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1.AzureAD\Downloads\"/>
    </mc:Choice>
  </mc:AlternateContent>
  <xr:revisionPtr revIDLastSave="0" documentId="13_ncr:1_{E6D856A4-BBE7-4229-8082-C6F252834BD2}" xr6:coauthVersionLast="47" xr6:coauthVersionMax="47" xr10:uidLastSave="{00000000-0000-0000-0000-000000000000}"/>
  <bookViews>
    <workbookView xWindow="-28920" yWindow="-120" windowWidth="29040" windowHeight="15840" firstSheet="25" activeTab="32" xr2:uid="{00000000-000D-0000-FFFF-FFFF00000000}"/>
  </bookViews>
  <sheets>
    <sheet name="Adj Highlights" sheetId="2" r:id="rId1"/>
    <sheet name="GAAP Highlights" sheetId="3" r:id="rId2"/>
    <sheet name="Earnings" sheetId="4" r:id="rId3"/>
    <sheet name="Enterprise Value" sheetId="5" r:id="rId4"/>
    <sheet name="Multiples" sheetId="6" r:id="rId5"/>
    <sheet name="Per Share" sheetId="7" r:id="rId6"/>
    <sheet name="Stock Value" sheetId="8" r:id="rId7"/>
    <sheet name="EV Ex Operating Leases" sheetId="9" r:id="rId8"/>
    <sheet name="Income - Adjusted" sheetId="10" r:id="rId9"/>
    <sheet name="Income - GAAP" sheetId="11" r:id="rId10"/>
    <sheet name="Income - As Reported" sheetId="12" r:id="rId11"/>
    <sheet name="Reconciliation" sheetId="13" r:id="rId12"/>
    <sheet name="SBC &amp; Amort" sheetId="14" r:id="rId13"/>
    <sheet name="Adj %" sheetId="15" r:id="rId14"/>
    <sheet name="GAAP %" sheetId="16" r:id="rId15"/>
    <sheet name="Bal Sheet - Standardized" sheetId="17" r:id="rId16"/>
    <sheet name="Bal Sheet - As Reported" sheetId="18" r:id="rId17"/>
    <sheet name="Bal Sheet - Common Size" sheetId="19" r:id="rId18"/>
    <sheet name="Fair Value Analysis" sheetId="20" r:id="rId19"/>
    <sheet name="Cash Flow - Standardized" sheetId="21" r:id="rId20"/>
    <sheet name="Cash Flow - As Reported" sheetId="22" r:id="rId21"/>
    <sheet name="Profitability" sheetId="23" r:id="rId22"/>
    <sheet name="Growth" sheetId="24" r:id="rId23"/>
    <sheet name="Credit" sheetId="25" r:id="rId24"/>
    <sheet name="Credit Ex Operating Leases" sheetId="26" r:id="rId25"/>
    <sheet name="Liquidity" sheetId="27" r:id="rId26"/>
    <sheet name="Working Capital" sheetId="28" r:id="rId27"/>
    <sheet name="Yield Analysis" sheetId="29" r:id="rId28"/>
    <sheet name="DuPont Analysis" sheetId="30" r:id="rId29"/>
    <sheet name="By Measure" sheetId="31" r:id="rId30"/>
    <sheet name="By Geography" sheetId="32" r:id="rId31"/>
    <sheet name="By Segment" sheetId="33" r:id="rId32"/>
    <sheet name="ESG Ratios" sheetId="34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4" l="1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Z7" i="34"/>
  <c r="AA7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Z8" i="34"/>
  <c r="AA8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Z9" i="34"/>
  <c r="AA9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Z10" i="34"/>
  <c r="AA10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Z16" i="34"/>
  <c r="AA16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Z17" i="34"/>
  <c r="AA17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Z18" i="34"/>
  <c r="AA18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Z19" i="34"/>
  <c r="AA19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Z20" i="34"/>
  <c r="AA20" i="34"/>
  <c r="C21" i="34"/>
  <c r="D21" i="34"/>
  <c r="E21" i="34"/>
  <c r="F21" i="34"/>
  <c r="G21" i="34"/>
  <c r="H21" i="34"/>
  <c r="I21" i="34"/>
  <c r="J21" i="34"/>
  <c r="K21" i="34"/>
  <c r="L21" i="34"/>
  <c r="M21" i="34"/>
  <c r="N21" i="34"/>
  <c r="O21" i="34"/>
  <c r="P21" i="34"/>
  <c r="Q21" i="34"/>
  <c r="R21" i="34"/>
  <c r="S21" i="34"/>
  <c r="T21" i="34"/>
  <c r="U21" i="34"/>
  <c r="V21" i="34"/>
  <c r="W21" i="34"/>
  <c r="X21" i="34"/>
  <c r="Y21" i="34"/>
  <c r="Z21" i="34"/>
  <c r="AA21" i="34"/>
  <c r="C22" i="34"/>
  <c r="D22" i="34"/>
  <c r="E22" i="34"/>
  <c r="F22" i="34"/>
  <c r="G22" i="34"/>
  <c r="H22" i="34"/>
  <c r="I22" i="34"/>
  <c r="J22" i="34"/>
  <c r="K22" i="34"/>
  <c r="L22" i="34"/>
  <c r="M22" i="34"/>
  <c r="N22" i="34"/>
  <c r="O22" i="34"/>
  <c r="P22" i="34"/>
  <c r="Q22" i="34"/>
  <c r="R22" i="34"/>
  <c r="S22" i="34"/>
  <c r="T22" i="34"/>
  <c r="U22" i="34"/>
  <c r="V22" i="34"/>
  <c r="W22" i="34"/>
  <c r="X22" i="34"/>
  <c r="Y22" i="34"/>
  <c r="Z22" i="34"/>
  <c r="AA22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Z26" i="34"/>
  <c r="AA26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Z27" i="34"/>
  <c r="AA27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Z28" i="34"/>
  <c r="AA28" i="34"/>
  <c r="C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Z29" i="34"/>
  <c r="AA29" i="34"/>
  <c r="C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Z30" i="34"/>
  <c r="AA30" i="34"/>
  <c r="C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Z33" i="34"/>
  <c r="AA33" i="34"/>
  <c r="C34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C35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C37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W37" i="34"/>
  <c r="X37" i="34"/>
  <c r="Y37" i="34"/>
  <c r="Z37" i="34"/>
  <c r="AA37" i="34"/>
  <c r="C38" i="34"/>
  <c r="D38" i="34"/>
  <c r="E38" i="34"/>
  <c r="F38" i="34"/>
  <c r="G38" i="34"/>
  <c r="H38" i="34"/>
  <c r="I38" i="34"/>
  <c r="J38" i="34"/>
  <c r="K38" i="34"/>
  <c r="L38" i="34"/>
  <c r="M38" i="34"/>
  <c r="N38" i="34"/>
  <c r="O38" i="34"/>
  <c r="P38" i="34"/>
  <c r="Q38" i="34"/>
  <c r="R38" i="34"/>
  <c r="S38" i="34"/>
  <c r="T38" i="34"/>
  <c r="U38" i="34"/>
  <c r="V38" i="34"/>
  <c r="W38" i="34"/>
  <c r="X38" i="34"/>
  <c r="Y38" i="34"/>
  <c r="Z38" i="34"/>
  <c r="AA38" i="34"/>
  <c r="C41" i="34"/>
  <c r="D41" i="34"/>
  <c r="E41" i="34"/>
  <c r="F41" i="34"/>
  <c r="G41" i="34"/>
  <c r="H41" i="34"/>
  <c r="I41" i="34"/>
  <c r="J41" i="34"/>
  <c r="K41" i="34"/>
  <c r="L41" i="34"/>
  <c r="M41" i="34"/>
  <c r="N41" i="34"/>
  <c r="O41" i="34"/>
  <c r="P41" i="34"/>
  <c r="Q41" i="34"/>
  <c r="R41" i="34"/>
  <c r="S41" i="34"/>
  <c r="T41" i="34"/>
  <c r="U41" i="34"/>
  <c r="V41" i="34"/>
  <c r="W41" i="34"/>
  <c r="X41" i="34"/>
  <c r="Y41" i="34"/>
  <c r="Z41" i="34"/>
  <c r="AA41" i="34"/>
  <c r="C42" i="34"/>
  <c r="D42" i="34"/>
  <c r="E42" i="34"/>
  <c r="F42" i="34"/>
  <c r="G42" i="34"/>
  <c r="H42" i="34"/>
  <c r="I42" i="34"/>
  <c r="J42" i="34"/>
  <c r="K42" i="34"/>
  <c r="L42" i="34"/>
  <c r="M42" i="34"/>
  <c r="N42" i="34"/>
  <c r="O42" i="34"/>
  <c r="P42" i="34"/>
  <c r="Q42" i="34"/>
  <c r="R42" i="34"/>
  <c r="S42" i="34"/>
  <c r="T42" i="34"/>
  <c r="U42" i="34"/>
  <c r="V42" i="34"/>
  <c r="W42" i="34"/>
  <c r="X42" i="34"/>
  <c r="Y42" i="34"/>
  <c r="Z42" i="34"/>
  <c r="AA42" i="34"/>
  <c r="C43" i="34"/>
  <c r="D43" i="34"/>
  <c r="E43" i="34"/>
  <c r="F43" i="34"/>
  <c r="G43" i="34"/>
  <c r="H43" i="34"/>
  <c r="I43" i="34"/>
  <c r="J43" i="34"/>
  <c r="K43" i="34"/>
  <c r="L43" i="34"/>
  <c r="M43" i="34"/>
  <c r="N43" i="34"/>
  <c r="O43" i="34"/>
  <c r="P43" i="34"/>
  <c r="Q43" i="34"/>
  <c r="R43" i="34"/>
  <c r="S43" i="34"/>
  <c r="T43" i="34"/>
  <c r="U43" i="34"/>
  <c r="V43" i="34"/>
  <c r="W43" i="34"/>
  <c r="X43" i="34"/>
  <c r="Y43" i="34"/>
  <c r="Z43" i="34"/>
  <c r="AA43" i="34"/>
  <c r="C44" i="34"/>
  <c r="D44" i="34"/>
  <c r="E44" i="34"/>
  <c r="F44" i="34"/>
  <c r="G44" i="34"/>
  <c r="H44" i="34"/>
  <c r="I44" i="34"/>
  <c r="J44" i="34"/>
  <c r="K44" i="34"/>
  <c r="L44" i="34"/>
  <c r="M44" i="34"/>
  <c r="N44" i="34"/>
  <c r="O44" i="34"/>
  <c r="P44" i="34"/>
  <c r="Q44" i="34"/>
  <c r="R44" i="34"/>
  <c r="S44" i="34"/>
  <c r="T44" i="34"/>
  <c r="U44" i="34"/>
  <c r="V44" i="34"/>
  <c r="W44" i="34"/>
  <c r="X44" i="34"/>
  <c r="Y44" i="34"/>
  <c r="Z44" i="34"/>
  <c r="AA44" i="34"/>
  <c r="C45" i="34"/>
  <c r="D45" i="34"/>
  <c r="E45" i="34"/>
  <c r="F45" i="34"/>
  <c r="G45" i="34"/>
  <c r="H45" i="34"/>
  <c r="I45" i="34"/>
  <c r="J45" i="34"/>
  <c r="K45" i="34"/>
  <c r="L45" i="34"/>
  <c r="M45" i="34"/>
  <c r="N45" i="34"/>
  <c r="O45" i="34"/>
  <c r="P45" i="34"/>
  <c r="Q45" i="34"/>
  <c r="R45" i="34"/>
  <c r="S45" i="34"/>
  <c r="T45" i="34"/>
  <c r="U45" i="34"/>
  <c r="V45" i="34"/>
  <c r="W45" i="34"/>
  <c r="X45" i="34"/>
  <c r="Y45" i="34"/>
  <c r="Z45" i="34"/>
  <c r="AA45" i="34"/>
  <c r="C48" i="34"/>
  <c r="D48" i="34"/>
  <c r="E48" i="34"/>
  <c r="F48" i="34"/>
  <c r="G48" i="34"/>
  <c r="H48" i="34"/>
  <c r="I48" i="34"/>
  <c r="J48" i="34"/>
  <c r="K48" i="34"/>
  <c r="L48" i="34"/>
  <c r="M48" i="34"/>
  <c r="N48" i="34"/>
  <c r="O48" i="34"/>
  <c r="P48" i="34"/>
  <c r="Q48" i="34"/>
  <c r="R48" i="34"/>
  <c r="S48" i="34"/>
  <c r="T48" i="34"/>
  <c r="U48" i="34"/>
  <c r="V48" i="34"/>
  <c r="W48" i="34"/>
  <c r="X48" i="34"/>
  <c r="Y48" i="34"/>
  <c r="Z48" i="34"/>
  <c r="AA48" i="34"/>
  <c r="C49" i="34"/>
  <c r="D49" i="34"/>
  <c r="E49" i="34"/>
  <c r="F49" i="34"/>
  <c r="G49" i="34"/>
  <c r="H49" i="34"/>
  <c r="I49" i="34"/>
  <c r="J49" i="34"/>
  <c r="K49" i="34"/>
  <c r="L49" i="34"/>
  <c r="M49" i="34"/>
  <c r="N49" i="34"/>
  <c r="O49" i="34"/>
  <c r="P49" i="34"/>
  <c r="Q49" i="34"/>
  <c r="R49" i="34"/>
  <c r="S49" i="34"/>
  <c r="T49" i="34"/>
  <c r="U49" i="34"/>
  <c r="V49" i="34"/>
  <c r="W49" i="34"/>
  <c r="X49" i="34"/>
  <c r="Y49" i="34"/>
  <c r="Z49" i="34"/>
  <c r="AA49" i="34"/>
  <c r="C50" i="34"/>
  <c r="D50" i="34"/>
  <c r="E50" i="34"/>
  <c r="F50" i="34"/>
  <c r="G50" i="34"/>
  <c r="H50" i="34"/>
  <c r="I50" i="34"/>
  <c r="J50" i="34"/>
  <c r="K50" i="34"/>
  <c r="L50" i="34"/>
  <c r="M50" i="34"/>
  <c r="N50" i="34"/>
  <c r="O50" i="34"/>
  <c r="P50" i="34"/>
  <c r="Q50" i="34"/>
  <c r="R50" i="34"/>
  <c r="S50" i="34"/>
  <c r="T50" i="34"/>
  <c r="U50" i="34"/>
  <c r="V50" i="34"/>
  <c r="W50" i="34"/>
  <c r="X50" i="34"/>
  <c r="Y50" i="34"/>
  <c r="Z50" i="34"/>
  <c r="AA50" i="34"/>
  <c r="C55" i="34"/>
  <c r="D55" i="34"/>
  <c r="E55" i="34"/>
  <c r="F55" i="34"/>
  <c r="G55" i="34"/>
  <c r="H55" i="34"/>
  <c r="I55" i="34"/>
  <c r="J55" i="34"/>
  <c r="K55" i="34"/>
  <c r="L55" i="34"/>
  <c r="M55" i="34"/>
  <c r="N55" i="34"/>
  <c r="O55" i="34"/>
  <c r="P55" i="34"/>
  <c r="Q55" i="34"/>
  <c r="R55" i="34"/>
  <c r="S55" i="34"/>
  <c r="T55" i="34"/>
  <c r="U55" i="34"/>
  <c r="V55" i="34"/>
  <c r="W55" i="34"/>
  <c r="X55" i="34"/>
  <c r="Y55" i="34"/>
  <c r="Z55" i="34"/>
  <c r="AA55" i="34"/>
  <c r="C56" i="34"/>
  <c r="D56" i="34"/>
  <c r="E56" i="34"/>
  <c r="F56" i="34"/>
  <c r="G56" i="34"/>
  <c r="H56" i="34"/>
  <c r="I56" i="34"/>
  <c r="J56" i="34"/>
  <c r="K56" i="34"/>
  <c r="L56" i="34"/>
  <c r="M56" i="34"/>
  <c r="N56" i="34"/>
  <c r="O56" i="34"/>
  <c r="P56" i="34"/>
  <c r="Q56" i="34"/>
  <c r="R56" i="34"/>
  <c r="S56" i="34"/>
  <c r="T56" i="34"/>
  <c r="U56" i="34"/>
  <c r="V56" i="34"/>
  <c r="W56" i="34"/>
  <c r="X56" i="34"/>
  <c r="Y56" i="34"/>
  <c r="Z56" i="34"/>
  <c r="AA56" i="34"/>
  <c r="C57" i="34"/>
  <c r="D57" i="34"/>
  <c r="E57" i="34"/>
  <c r="F57" i="34"/>
  <c r="G57" i="34"/>
  <c r="H57" i="34"/>
  <c r="I57" i="34"/>
  <c r="J57" i="34"/>
  <c r="K57" i="34"/>
  <c r="L57" i="34"/>
  <c r="M57" i="34"/>
  <c r="N57" i="34"/>
  <c r="O57" i="34"/>
  <c r="P57" i="34"/>
  <c r="Q57" i="34"/>
  <c r="R57" i="34"/>
  <c r="S57" i="34"/>
  <c r="T57" i="34"/>
  <c r="U57" i="34"/>
  <c r="V57" i="34"/>
  <c r="W57" i="34"/>
  <c r="X57" i="34"/>
  <c r="Y57" i="34"/>
  <c r="Z57" i="34"/>
  <c r="AA57" i="34"/>
  <c r="C58" i="34"/>
  <c r="D58" i="34"/>
  <c r="E58" i="34"/>
  <c r="F58" i="34"/>
  <c r="G58" i="34"/>
  <c r="H58" i="34"/>
  <c r="I58" i="34"/>
  <c r="J58" i="34"/>
  <c r="K58" i="34"/>
  <c r="L58" i="34"/>
  <c r="M58" i="34"/>
  <c r="N58" i="34"/>
  <c r="O58" i="34"/>
  <c r="P58" i="34"/>
  <c r="Q58" i="34"/>
  <c r="R58" i="34"/>
  <c r="S58" i="34"/>
  <c r="T58" i="34"/>
  <c r="U58" i="34"/>
  <c r="V58" i="34"/>
  <c r="W58" i="34"/>
  <c r="X58" i="34"/>
  <c r="Y58" i="34"/>
  <c r="Z58" i="34"/>
  <c r="AA58" i="34"/>
  <c r="C59" i="34"/>
  <c r="D59" i="34"/>
  <c r="E59" i="34"/>
  <c r="F59" i="34"/>
  <c r="G59" i="34"/>
  <c r="H59" i="34"/>
  <c r="I59" i="34"/>
  <c r="J59" i="34"/>
  <c r="K59" i="34"/>
  <c r="L59" i="34"/>
  <c r="M59" i="34"/>
  <c r="N59" i="34"/>
  <c r="O59" i="34"/>
  <c r="P59" i="34"/>
  <c r="Q59" i="34"/>
  <c r="R59" i="34"/>
  <c r="S59" i="34"/>
  <c r="T59" i="34"/>
  <c r="U59" i="34"/>
  <c r="V59" i="34"/>
  <c r="W59" i="34"/>
  <c r="X59" i="34"/>
  <c r="Y59" i="34"/>
  <c r="Z59" i="34"/>
  <c r="AA59" i="34"/>
  <c r="C60" i="34"/>
  <c r="D60" i="34"/>
  <c r="E60" i="34"/>
  <c r="F60" i="34"/>
  <c r="G60" i="34"/>
  <c r="H60" i="34"/>
  <c r="I60" i="34"/>
  <c r="J60" i="34"/>
  <c r="K60" i="34"/>
  <c r="L60" i="34"/>
  <c r="M60" i="34"/>
  <c r="N60" i="34"/>
  <c r="O60" i="34"/>
  <c r="P60" i="34"/>
  <c r="Q60" i="34"/>
  <c r="R60" i="34"/>
  <c r="S60" i="34"/>
  <c r="T60" i="34"/>
  <c r="U60" i="34"/>
  <c r="V60" i="34"/>
  <c r="W60" i="34"/>
  <c r="X60" i="34"/>
  <c r="Y60" i="34"/>
  <c r="Z60" i="34"/>
  <c r="AA60" i="34"/>
  <c r="C61" i="34"/>
  <c r="D61" i="34"/>
  <c r="E61" i="34"/>
  <c r="F61" i="34"/>
  <c r="G61" i="34"/>
  <c r="H61" i="34"/>
  <c r="I61" i="34"/>
  <c r="J61" i="34"/>
  <c r="K61" i="34"/>
  <c r="L61" i="34"/>
  <c r="M61" i="34"/>
  <c r="N61" i="34"/>
  <c r="O61" i="34"/>
  <c r="P61" i="34"/>
  <c r="Q61" i="34"/>
  <c r="R61" i="34"/>
  <c r="S61" i="34"/>
  <c r="T61" i="34"/>
  <c r="U61" i="34"/>
  <c r="V61" i="34"/>
  <c r="W61" i="34"/>
  <c r="X61" i="34"/>
  <c r="Y61" i="34"/>
  <c r="Z61" i="34"/>
  <c r="AA61" i="34"/>
  <c r="C62" i="34"/>
  <c r="D62" i="34"/>
  <c r="E62" i="34"/>
  <c r="F62" i="34"/>
  <c r="G62" i="34"/>
  <c r="H62" i="34"/>
  <c r="I62" i="34"/>
  <c r="J62" i="34"/>
  <c r="K62" i="34"/>
  <c r="L62" i="34"/>
  <c r="M62" i="34"/>
  <c r="N62" i="34"/>
  <c r="O62" i="34"/>
  <c r="P62" i="34"/>
  <c r="Q62" i="34"/>
  <c r="R62" i="34"/>
  <c r="S62" i="34"/>
  <c r="T62" i="34"/>
  <c r="U62" i="34"/>
  <c r="V62" i="34"/>
  <c r="W62" i="34"/>
  <c r="X62" i="34"/>
  <c r="Y62" i="34"/>
  <c r="Z62" i="34"/>
  <c r="AA62" i="34"/>
  <c r="C63" i="34"/>
  <c r="D63" i="34"/>
  <c r="E63" i="34"/>
  <c r="F63" i="34"/>
  <c r="G63" i="34"/>
  <c r="H63" i="34"/>
  <c r="I63" i="34"/>
  <c r="J63" i="34"/>
  <c r="K63" i="34"/>
  <c r="L63" i="34"/>
  <c r="M63" i="34"/>
  <c r="N63" i="34"/>
  <c r="O63" i="34"/>
  <c r="P63" i="34"/>
  <c r="Q63" i="34"/>
  <c r="R63" i="34"/>
  <c r="S63" i="34"/>
  <c r="T63" i="34"/>
  <c r="U63" i="34"/>
  <c r="V63" i="34"/>
  <c r="W63" i="34"/>
  <c r="X63" i="34"/>
  <c r="Y63" i="34"/>
  <c r="Z63" i="34"/>
  <c r="AA63" i="34"/>
  <c r="C64" i="34"/>
  <c r="D64" i="34"/>
  <c r="E64" i="34"/>
  <c r="F64" i="34"/>
  <c r="G64" i="34"/>
  <c r="H64" i="34"/>
  <c r="I64" i="34"/>
  <c r="J64" i="34"/>
  <c r="K64" i="34"/>
  <c r="L64" i="34"/>
  <c r="M64" i="34"/>
  <c r="N64" i="34"/>
  <c r="O64" i="34"/>
  <c r="P64" i="34"/>
  <c r="Q64" i="34"/>
  <c r="R64" i="34"/>
  <c r="S64" i="34"/>
  <c r="T64" i="34"/>
  <c r="U64" i="34"/>
  <c r="V64" i="34"/>
  <c r="W64" i="34"/>
  <c r="X64" i="34"/>
  <c r="Y64" i="34"/>
  <c r="Z64" i="34"/>
  <c r="AA64" i="34"/>
  <c r="C67" i="34"/>
  <c r="D67" i="34"/>
  <c r="E67" i="34"/>
  <c r="F67" i="34"/>
  <c r="G67" i="34"/>
  <c r="H67" i="34"/>
  <c r="I67" i="34"/>
  <c r="J67" i="34"/>
  <c r="K67" i="34"/>
  <c r="L67" i="34"/>
  <c r="M67" i="34"/>
  <c r="N67" i="34"/>
  <c r="O67" i="34"/>
  <c r="P67" i="34"/>
  <c r="Q67" i="34"/>
  <c r="R67" i="34"/>
  <c r="S67" i="34"/>
  <c r="T67" i="34"/>
  <c r="U67" i="34"/>
  <c r="V67" i="34"/>
  <c r="W67" i="34"/>
  <c r="X67" i="34"/>
  <c r="Y67" i="34"/>
  <c r="Z67" i="34"/>
  <c r="AA67" i="34"/>
  <c r="C68" i="34"/>
  <c r="D68" i="34"/>
  <c r="E68" i="34"/>
  <c r="F68" i="34"/>
  <c r="G68" i="34"/>
  <c r="H68" i="34"/>
  <c r="I68" i="34"/>
  <c r="J68" i="34"/>
  <c r="K68" i="34"/>
  <c r="L68" i="34"/>
  <c r="M68" i="34"/>
  <c r="N68" i="34"/>
  <c r="O68" i="34"/>
  <c r="P68" i="34"/>
  <c r="Q68" i="34"/>
  <c r="R68" i="34"/>
  <c r="S68" i="34"/>
  <c r="T68" i="34"/>
  <c r="U68" i="34"/>
  <c r="V68" i="34"/>
  <c r="W68" i="34"/>
  <c r="X68" i="34"/>
  <c r="Y68" i="34"/>
  <c r="Z68" i="34"/>
  <c r="AA68" i="34"/>
  <c r="C69" i="34"/>
  <c r="D69" i="34"/>
  <c r="E69" i="34"/>
  <c r="F69" i="34"/>
  <c r="G69" i="34"/>
  <c r="H69" i="34"/>
  <c r="I69" i="34"/>
  <c r="J69" i="34"/>
  <c r="K69" i="34"/>
  <c r="L69" i="34"/>
  <c r="M69" i="34"/>
  <c r="N69" i="34"/>
  <c r="O69" i="34"/>
  <c r="P69" i="34"/>
  <c r="Q69" i="34"/>
  <c r="R69" i="34"/>
  <c r="S69" i="34"/>
  <c r="T69" i="34"/>
  <c r="U69" i="34"/>
  <c r="V69" i="34"/>
  <c r="W69" i="34"/>
  <c r="X69" i="34"/>
  <c r="Y69" i="34"/>
  <c r="Z69" i="34"/>
  <c r="AA69" i="34"/>
  <c r="C70" i="34"/>
  <c r="D70" i="34"/>
  <c r="E70" i="34"/>
  <c r="F70" i="34"/>
  <c r="G70" i="34"/>
  <c r="H70" i="34"/>
  <c r="I70" i="34"/>
  <c r="J70" i="34"/>
  <c r="K70" i="34"/>
  <c r="L70" i="34"/>
  <c r="M70" i="34"/>
  <c r="N70" i="34"/>
  <c r="O70" i="34"/>
  <c r="P70" i="34"/>
  <c r="Q70" i="34"/>
  <c r="R70" i="34"/>
  <c r="S70" i="34"/>
  <c r="T70" i="34"/>
  <c r="U70" i="34"/>
  <c r="V70" i="34"/>
  <c r="W70" i="34"/>
  <c r="X70" i="34"/>
  <c r="Y70" i="34"/>
  <c r="Z70" i="34"/>
  <c r="AA70" i="34"/>
  <c r="C71" i="34"/>
  <c r="D71" i="34"/>
  <c r="E71" i="34"/>
  <c r="F71" i="34"/>
  <c r="G71" i="34"/>
  <c r="H71" i="34"/>
  <c r="I71" i="34"/>
  <c r="J71" i="34"/>
  <c r="K71" i="34"/>
  <c r="L71" i="34"/>
  <c r="M71" i="34"/>
  <c r="N71" i="34"/>
  <c r="O71" i="34"/>
  <c r="P71" i="34"/>
  <c r="Q71" i="34"/>
  <c r="R71" i="34"/>
  <c r="S71" i="34"/>
  <c r="T71" i="34"/>
  <c r="U71" i="34"/>
  <c r="V71" i="34"/>
  <c r="W71" i="34"/>
  <c r="X71" i="34"/>
  <c r="Y71" i="34"/>
  <c r="Z71" i="34"/>
  <c r="AA71" i="34"/>
  <c r="C72" i="34"/>
  <c r="D72" i="34"/>
  <c r="E72" i="34"/>
  <c r="F72" i="34"/>
  <c r="G72" i="34"/>
  <c r="H72" i="34"/>
  <c r="I72" i="34"/>
  <c r="J72" i="34"/>
  <c r="K72" i="34"/>
  <c r="L72" i="34"/>
  <c r="M72" i="34"/>
  <c r="N72" i="34"/>
  <c r="O72" i="34"/>
  <c r="P72" i="34"/>
  <c r="Q72" i="34"/>
  <c r="R72" i="34"/>
  <c r="S72" i="34"/>
  <c r="T72" i="34"/>
  <c r="U72" i="34"/>
  <c r="V72" i="34"/>
  <c r="W72" i="34"/>
  <c r="X72" i="34"/>
  <c r="Y72" i="34"/>
  <c r="Z72" i="34"/>
  <c r="AA72" i="34"/>
  <c r="C73" i="34"/>
  <c r="D73" i="34"/>
  <c r="E73" i="34"/>
  <c r="F73" i="34"/>
  <c r="G73" i="34"/>
  <c r="H73" i="34"/>
  <c r="I73" i="34"/>
  <c r="J73" i="34"/>
  <c r="K73" i="34"/>
  <c r="L73" i="34"/>
  <c r="M73" i="34"/>
  <c r="N73" i="34"/>
  <c r="O73" i="34"/>
  <c r="P73" i="34"/>
  <c r="Q73" i="34"/>
  <c r="R73" i="34"/>
  <c r="S73" i="34"/>
  <c r="T73" i="34"/>
  <c r="U73" i="34"/>
  <c r="V73" i="34"/>
  <c r="W73" i="34"/>
  <c r="X73" i="34"/>
  <c r="Y73" i="34"/>
  <c r="Z73" i="34"/>
  <c r="AA73" i="34"/>
  <c r="C74" i="34"/>
  <c r="D74" i="34"/>
  <c r="E74" i="34"/>
  <c r="F74" i="34"/>
  <c r="G74" i="34"/>
  <c r="H74" i="34"/>
  <c r="I74" i="34"/>
  <c r="J74" i="34"/>
  <c r="K74" i="34"/>
  <c r="L74" i="34"/>
  <c r="M74" i="34"/>
  <c r="N74" i="34"/>
  <c r="O74" i="34"/>
  <c r="P74" i="34"/>
  <c r="Q74" i="34"/>
  <c r="R74" i="34"/>
  <c r="S74" i="34"/>
  <c r="T74" i="34"/>
  <c r="U74" i="34"/>
  <c r="V74" i="34"/>
  <c r="W74" i="34"/>
  <c r="X74" i="34"/>
  <c r="Y74" i="34"/>
  <c r="Z74" i="34"/>
  <c r="AA74" i="34"/>
  <c r="C75" i="34"/>
  <c r="D75" i="34"/>
  <c r="E75" i="34"/>
  <c r="F75" i="34"/>
  <c r="G75" i="34"/>
  <c r="H75" i="34"/>
  <c r="I75" i="34"/>
  <c r="J75" i="34"/>
  <c r="K75" i="34"/>
  <c r="L75" i="34"/>
  <c r="M75" i="34"/>
  <c r="N75" i="34"/>
  <c r="O75" i="34"/>
  <c r="P75" i="34"/>
  <c r="Q75" i="34"/>
  <c r="R75" i="34"/>
  <c r="S75" i="34"/>
  <c r="T75" i="34"/>
  <c r="U75" i="34"/>
  <c r="V75" i="34"/>
  <c r="W75" i="34"/>
  <c r="X75" i="34"/>
  <c r="Y75" i="34"/>
  <c r="Z75" i="34"/>
  <c r="AA75" i="34"/>
  <c r="C76" i="34"/>
  <c r="D76" i="34"/>
  <c r="E76" i="34"/>
  <c r="F76" i="34"/>
  <c r="G76" i="34"/>
  <c r="H76" i="34"/>
  <c r="I76" i="34"/>
  <c r="J76" i="34"/>
  <c r="K76" i="34"/>
  <c r="L76" i="34"/>
  <c r="M76" i="34"/>
  <c r="N76" i="34"/>
  <c r="O76" i="34"/>
  <c r="P76" i="34"/>
  <c r="Q76" i="34"/>
  <c r="R76" i="34"/>
  <c r="S76" i="34"/>
  <c r="T76" i="34"/>
  <c r="U76" i="34"/>
  <c r="V76" i="34"/>
  <c r="W76" i="34"/>
  <c r="X76" i="34"/>
  <c r="Y76" i="34"/>
  <c r="Z76" i="34"/>
  <c r="AA76" i="34"/>
  <c r="C77" i="34"/>
  <c r="D77" i="34"/>
  <c r="E77" i="34"/>
  <c r="F77" i="34"/>
  <c r="G77" i="34"/>
  <c r="H77" i="34"/>
  <c r="I77" i="34"/>
  <c r="J77" i="34"/>
  <c r="K77" i="34"/>
  <c r="L77" i="34"/>
  <c r="M77" i="34"/>
  <c r="N77" i="34"/>
  <c r="O77" i="34"/>
  <c r="P77" i="34"/>
  <c r="Q77" i="34"/>
  <c r="R77" i="34"/>
  <c r="S77" i="34"/>
  <c r="T77" i="34"/>
  <c r="U77" i="34"/>
  <c r="V77" i="34"/>
  <c r="W77" i="34"/>
  <c r="X77" i="34"/>
  <c r="Y77" i="34"/>
  <c r="Z77" i="34"/>
  <c r="AA77" i="34"/>
  <c r="C78" i="34"/>
  <c r="D78" i="34"/>
  <c r="E78" i="34"/>
  <c r="F78" i="34"/>
  <c r="G78" i="34"/>
  <c r="H78" i="34"/>
  <c r="I78" i="34"/>
  <c r="J78" i="34"/>
  <c r="K78" i="34"/>
  <c r="L78" i="34"/>
  <c r="M78" i="34"/>
  <c r="N78" i="34"/>
  <c r="O78" i="34"/>
  <c r="P78" i="34"/>
  <c r="Q78" i="34"/>
  <c r="R78" i="34"/>
  <c r="S78" i="34"/>
  <c r="T78" i="34"/>
  <c r="U78" i="34"/>
  <c r="V78" i="34"/>
  <c r="W78" i="34"/>
  <c r="X78" i="34"/>
  <c r="Y78" i="34"/>
  <c r="Z78" i="34"/>
  <c r="AA78" i="34"/>
  <c r="C79" i="34"/>
  <c r="D79" i="34"/>
  <c r="E79" i="34"/>
  <c r="F79" i="34"/>
  <c r="G79" i="34"/>
  <c r="H79" i="34"/>
  <c r="I79" i="34"/>
  <c r="J79" i="34"/>
  <c r="K79" i="34"/>
  <c r="L79" i="34"/>
  <c r="M79" i="34"/>
  <c r="N79" i="34"/>
  <c r="O79" i="34"/>
  <c r="P79" i="34"/>
  <c r="Q79" i="34"/>
  <c r="R79" i="34"/>
  <c r="S79" i="34"/>
  <c r="T79" i="34"/>
  <c r="U79" i="34"/>
  <c r="V79" i="34"/>
  <c r="W79" i="34"/>
  <c r="X79" i="34"/>
  <c r="Y79" i="34"/>
  <c r="Z79" i="34"/>
  <c r="AA79" i="34"/>
  <c r="C80" i="34"/>
  <c r="D80" i="34"/>
  <c r="E80" i="34"/>
  <c r="F80" i="34"/>
  <c r="G80" i="34"/>
  <c r="H80" i="34"/>
  <c r="I80" i="34"/>
  <c r="J80" i="34"/>
  <c r="K80" i="34"/>
  <c r="L80" i="34"/>
  <c r="M80" i="34"/>
  <c r="N80" i="34"/>
  <c r="O80" i="34"/>
  <c r="P80" i="34"/>
  <c r="Q80" i="34"/>
  <c r="R80" i="34"/>
  <c r="S80" i="34"/>
  <c r="T80" i="34"/>
  <c r="U80" i="34"/>
  <c r="V80" i="34"/>
  <c r="W80" i="34"/>
  <c r="X80" i="34"/>
  <c r="Y80" i="34"/>
  <c r="Z80" i="34"/>
  <c r="AA80" i="34"/>
  <c r="C81" i="34"/>
  <c r="D81" i="34"/>
  <c r="E81" i="34"/>
  <c r="F81" i="34"/>
  <c r="G81" i="34"/>
  <c r="H81" i="34"/>
  <c r="I81" i="34"/>
  <c r="J81" i="34"/>
  <c r="K81" i="34"/>
  <c r="L81" i="34"/>
  <c r="M81" i="34"/>
  <c r="N81" i="34"/>
  <c r="O81" i="34"/>
  <c r="P81" i="34"/>
  <c r="Q81" i="34"/>
  <c r="R81" i="34"/>
  <c r="S81" i="34"/>
  <c r="T81" i="34"/>
  <c r="U81" i="34"/>
  <c r="V81" i="34"/>
  <c r="W81" i="34"/>
  <c r="X81" i="34"/>
  <c r="Y81" i="34"/>
  <c r="Z81" i="34"/>
  <c r="AA81" i="34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Z17" i="30"/>
  <c r="AA17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Z21" i="30"/>
  <c r="AA21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Z22" i="30"/>
  <c r="AA22" i="30"/>
  <c r="C23" i="30"/>
  <c r="D23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Z23" i="30"/>
  <c r="AA23" i="30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Z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Z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Z17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Z18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Z26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Z30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Z31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Z37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Z38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Z7" i="28"/>
  <c r="AA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Z8" i="28"/>
  <c r="AA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Z9" i="28"/>
  <c r="AA9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Z10" i="28"/>
  <c r="AA10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Z17" i="28"/>
  <c r="AA17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Z18" i="28"/>
  <c r="AA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A20" i="28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AA17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Z18" i="27"/>
  <c r="AA18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C22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C25" i="27"/>
  <c r="D25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Z10" i="26"/>
  <c r="AA10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Z30" i="26"/>
  <c r="AA30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Z31" i="26"/>
  <c r="AA31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Z37" i="26"/>
  <c r="AA37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Z38" i="26"/>
  <c r="AA38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C30" i="25"/>
  <c r="D30" i="25"/>
  <c r="E30" i="25"/>
  <c r="F30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T30" i="25"/>
  <c r="U30" i="25"/>
  <c r="V30" i="25"/>
  <c r="W30" i="25"/>
  <c r="X30" i="25"/>
  <c r="Y30" i="25"/>
  <c r="Z30" i="25"/>
  <c r="AA30" i="25"/>
  <c r="C31" i="25"/>
  <c r="D31" i="25"/>
  <c r="E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R31" i="25"/>
  <c r="S31" i="25"/>
  <c r="T31" i="25"/>
  <c r="U31" i="25"/>
  <c r="V31" i="25"/>
  <c r="W31" i="25"/>
  <c r="X31" i="25"/>
  <c r="Y31" i="25"/>
  <c r="Z31" i="25"/>
  <c r="AA31" i="25"/>
  <c r="C32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C34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C35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C39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AA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Z17" i="24"/>
  <c r="AA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Z25" i="24"/>
  <c r="AA25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Z30" i="24"/>
  <c r="AA30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Z31" i="24"/>
  <c r="AA31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Z38" i="24"/>
  <c r="AA38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Z48" i="24"/>
  <c r="AA48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C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Z50" i="24"/>
  <c r="AA50" i="24"/>
  <c r="C51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Z52" i="24"/>
  <c r="AA52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Z53" i="24"/>
  <c r="AA53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Z57" i="24"/>
  <c r="AA57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T58" i="24"/>
  <c r="U58" i="24"/>
  <c r="V58" i="24"/>
  <c r="W58" i="24"/>
  <c r="X58" i="24"/>
  <c r="Y58" i="24"/>
  <c r="Z58" i="24"/>
  <c r="AA58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C61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S62" i="24"/>
  <c r="T62" i="24"/>
  <c r="U62" i="24"/>
  <c r="V62" i="24"/>
  <c r="W62" i="24"/>
  <c r="X62" i="24"/>
  <c r="Y62" i="24"/>
  <c r="Z62" i="24"/>
  <c r="AA62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S63" i="24"/>
  <c r="T63" i="24"/>
  <c r="U63" i="24"/>
  <c r="V63" i="24"/>
  <c r="W63" i="24"/>
  <c r="X63" i="24"/>
  <c r="Y63" i="24"/>
  <c r="Z63" i="24"/>
  <c r="AA63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Z64" i="24"/>
  <c r="AA64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Z65" i="24"/>
  <c r="AA65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Z68" i="24"/>
  <c r="AA68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T69" i="24"/>
  <c r="U69" i="24"/>
  <c r="V69" i="24"/>
  <c r="W69" i="24"/>
  <c r="X69" i="24"/>
  <c r="Y69" i="24"/>
  <c r="Z69" i="24"/>
  <c r="AA69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C77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C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T84" i="24"/>
  <c r="U84" i="24"/>
  <c r="V84" i="24"/>
  <c r="W84" i="24"/>
  <c r="X84" i="24"/>
  <c r="Y84" i="24"/>
  <c r="Z84" i="24"/>
  <c r="AA84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X85" i="24"/>
  <c r="Y85" i="24"/>
  <c r="Z85" i="24"/>
  <c r="AA85" i="24"/>
  <c r="C86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C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Z90" i="24"/>
  <c r="AA90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C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X92" i="24"/>
  <c r="Y92" i="24"/>
  <c r="Z92" i="24"/>
  <c r="AA92" i="24"/>
  <c r="C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X93" i="24"/>
  <c r="Y93" i="24"/>
  <c r="Z93" i="24"/>
  <c r="AA93" i="24"/>
  <c r="C94" i="24"/>
  <c r="D94" i="24"/>
  <c r="E94" i="24"/>
  <c r="F94" i="24"/>
  <c r="G94" i="24"/>
  <c r="H94" i="24"/>
  <c r="I94" i="24"/>
  <c r="J94" i="24"/>
  <c r="K94" i="24"/>
  <c r="L94" i="24"/>
  <c r="M94" i="24"/>
  <c r="N94" i="24"/>
  <c r="O94" i="24"/>
  <c r="P94" i="24"/>
  <c r="Q94" i="24"/>
  <c r="R94" i="24"/>
  <c r="S94" i="24"/>
  <c r="T94" i="24"/>
  <c r="U94" i="24"/>
  <c r="V94" i="24"/>
  <c r="W94" i="24"/>
  <c r="X94" i="24"/>
  <c r="Y94" i="24"/>
  <c r="Z94" i="24"/>
  <c r="AA94" i="24"/>
  <c r="C95" i="24"/>
  <c r="D95" i="24"/>
  <c r="E95" i="24"/>
  <c r="F95" i="24"/>
  <c r="G95" i="24"/>
  <c r="H95" i="24"/>
  <c r="I95" i="24"/>
  <c r="J95" i="24"/>
  <c r="K95" i="24"/>
  <c r="L95" i="24"/>
  <c r="M95" i="24"/>
  <c r="N95" i="24"/>
  <c r="O95" i="24"/>
  <c r="P95" i="24"/>
  <c r="Q95" i="24"/>
  <c r="R95" i="24"/>
  <c r="S95" i="24"/>
  <c r="T95" i="24"/>
  <c r="U95" i="24"/>
  <c r="V95" i="24"/>
  <c r="W95" i="24"/>
  <c r="X95" i="24"/>
  <c r="Y95" i="24"/>
  <c r="Z95" i="24"/>
  <c r="AA95" i="24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Z30" i="22"/>
  <c r="AA30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Z31" i="22"/>
  <c r="AA31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V37" i="22"/>
  <c r="W37" i="22"/>
  <c r="X37" i="22"/>
  <c r="Y37" i="22"/>
  <c r="Z37" i="22"/>
  <c r="AA37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V38" i="22"/>
  <c r="W38" i="22"/>
  <c r="X38" i="22"/>
  <c r="Y38" i="22"/>
  <c r="Z38" i="22"/>
  <c r="AA38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Z9" i="21"/>
  <c r="AA9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C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Z30" i="21"/>
  <c r="AA30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C33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C38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Z38" i="21"/>
  <c r="AA38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W44" i="21"/>
  <c r="X44" i="21"/>
  <c r="Y44" i="21"/>
  <c r="Z44" i="21"/>
  <c r="AA44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Y46" i="21"/>
  <c r="Z46" i="21"/>
  <c r="AA46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X48" i="21"/>
  <c r="Y48" i="21"/>
  <c r="Z48" i="21"/>
  <c r="AA48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T50" i="21"/>
  <c r="U50" i="21"/>
  <c r="V50" i="21"/>
  <c r="W50" i="21"/>
  <c r="X50" i="21"/>
  <c r="Y50" i="21"/>
  <c r="Z50" i="21"/>
  <c r="AA50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Z53" i="21"/>
  <c r="AA53" i="21"/>
  <c r="C55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C59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C60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C62" i="21"/>
  <c r="D62" i="21"/>
  <c r="E62" i="21"/>
  <c r="F62" i="21"/>
  <c r="G62" i="21"/>
  <c r="H62" i="21"/>
  <c r="I62" i="21"/>
  <c r="J62" i="21"/>
  <c r="K62" i="21"/>
  <c r="L62" i="21"/>
  <c r="M62" i="21"/>
  <c r="N62" i="21"/>
  <c r="O62" i="21"/>
  <c r="P62" i="21"/>
  <c r="Q62" i="21"/>
  <c r="R62" i="21"/>
  <c r="S62" i="21"/>
  <c r="T62" i="21"/>
  <c r="U62" i="21"/>
  <c r="V62" i="21"/>
  <c r="W62" i="21"/>
  <c r="X62" i="21"/>
  <c r="Y62" i="21"/>
  <c r="Z62" i="21"/>
  <c r="AA62" i="21"/>
  <c r="C63" i="21"/>
  <c r="D63" i="21"/>
  <c r="E63" i="21"/>
  <c r="F63" i="21"/>
  <c r="G63" i="21"/>
  <c r="H63" i="21"/>
  <c r="I63" i="21"/>
  <c r="J63" i="21"/>
  <c r="K63" i="21"/>
  <c r="L63" i="21"/>
  <c r="M63" i="21"/>
  <c r="N63" i="21"/>
  <c r="O63" i="21"/>
  <c r="P63" i="21"/>
  <c r="Q63" i="21"/>
  <c r="R63" i="21"/>
  <c r="S63" i="21"/>
  <c r="T63" i="21"/>
  <c r="U63" i="21"/>
  <c r="V63" i="21"/>
  <c r="W63" i="21"/>
  <c r="X63" i="21"/>
  <c r="Y63" i="21"/>
  <c r="Z63" i="21"/>
  <c r="AA63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O67" i="21"/>
  <c r="P67" i="21"/>
  <c r="Q67" i="21"/>
  <c r="R67" i="21"/>
  <c r="S67" i="21"/>
  <c r="T67" i="21"/>
  <c r="U67" i="21"/>
  <c r="V67" i="21"/>
  <c r="W67" i="21"/>
  <c r="X67" i="21"/>
  <c r="Y67" i="21"/>
  <c r="Z67" i="21"/>
  <c r="AA67" i="21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Z29" i="18"/>
  <c r="AA29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Z32" i="18"/>
  <c r="AA32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C34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Z35" i="18"/>
  <c r="AA35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AA40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Z41" i="18"/>
  <c r="AA41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Z46" i="18"/>
  <c r="AA46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Z47" i="18"/>
  <c r="AA47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Z48" i="18"/>
  <c r="AA48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Z49" i="18"/>
  <c r="AA49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Z50" i="18"/>
  <c r="AA50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Z51" i="18"/>
  <c r="AA51" i="18"/>
  <c r="C52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Z52" i="18"/>
  <c r="AA52" i="18"/>
  <c r="C53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Z53" i="18"/>
  <c r="AA53" i="18"/>
  <c r="C55" i="18"/>
  <c r="D55" i="18"/>
  <c r="E55" i="18"/>
  <c r="F55" i="18"/>
  <c r="G55" i="18"/>
  <c r="H55" i="18"/>
  <c r="I55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Z55" i="18"/>
  <c r="AA55" i="18"/>
  <c r="C56" i="18"/>
  <c r="D56" i="18"/>
  <c r="E56" i="18"/>
  <c r="F56" i="18"/>
  <c r="G56" i="18"/>
  <c r="H56" i="18"/>
  <c r="I56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Z56" i="18"/>
  <c r="AA56" i="18"/>
  <c r="C57" i="18"/>
  <c r="D57" i="18"/>
  <c r="E57" i="18"/>
  <c r="F57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Z57" i="18"/>
  <c r="AA57" i="18"/>
  <c r="C58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Z58" i="18"/>
  <c r="AA58" i="18"/>
  <c r="C59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Z59" i="18"/>
  <c r="AA59" i="18"/>
  <c r="C60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Z60" i="18"/>
  <c r="AA60" i="18"/>
  <c r="C61" i="18"/>
  <c r="D61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Z61" i="18"/>
  <c r="AA61" i="18"/>
  <c r="C62" i="18"/>
  <c r="D62" i="18"/>
  <c r="E62" i="18"/>
  <c r="F62" i="18"/>
  <c r="G62" i="18"/>
  <c r="H62" i="18"/>
  <c r="I62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Z62" i="18"/>
  <c r="AA62" i="18"/>
  <c r="C63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Z63" i="18"/>
  <c r="AA63" i="18"/>
  <c r="C64" i="18"/>
  <c r="D64" i="18"/>
  <c r="E64" i="18"/>
  <c r="F64" i="18"/>
  <c r="G64" i="18"/>
  <c r="H64" i="18"/>
  <c r="I64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Z64" i="18"/>
  <c r="AA64" i="18"/>
  <c r="C65" i="18"/>
  <c r="D65" i="18"/>
  <c r="E65" i="18"/>
  <c r="F65" i="18"/>
  <c r="G65" i="18"/>
  <c r="H65" i="18"/>
  <c r="I65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Z65" i="18"/>
  <c r="AA65" i="18"/>
  <c r="C66" i="18"/>
  <c r="D66" i="18"/>
  <c r="E66" i="18"/>
  <c r="F66" i="18"/>
  <c r="G66" i="18"/>
  <c r="H66" i="18"/>
  <c r="I66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Z66" i="18"/>
  <c r="AA66" i="18"/>
  <c r="C67" i="18"/>
  <c r="D67" i="18"/>
  <c r="E67" i="18"/>
  <c r="F67" i="18"/>
  <c r="G67" i="18"/>
  <c r="H67" i="18"/>
  <c r="I67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Z67" i="18"/>
  <c r="AA67" i="18"/>
  <c r="C68" i="18"/>
  <c r="D68" i="18"/>
  <c r="E68" i="18"/>
  <c r="F68" i="18"/>
  <c r="G68" i="18"/>
  <c r="H68" i="18"/>
  <c r="I68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Z68" i="18"/>
  <c r="AA68" i="18"/>
  <c r="C69" i="18"/>
  <c r="D69" i="18"/>
  <c r="E69" i="18"/>
  <c r="F69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Z69" i="18"/>
  <c r="AA69" i="18"/>
  <c r="C70" i="18"/>
  <c r="D70" i="18"/>
  <c r="E70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Z70" i="18"/>
  <c r="AA70" i="18"/>
  <c r="C71" i="18"/>
  <c r="D71" i="18"/>
  <c r="E71" i="18"/>
  <c r="F71" i="18"/>
  <c r="G71" i="18"/>
  <c r="H71" i="18"/>
  <c r="I71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Z71" i="18"/>
  <c r="AA71" i="18"/>
  <c r="C72" i="18"/>
  <c r="D72" i="18"/>
  <c r="E72" i="18"/>
  <c r="F72" i="18"/>
  <c r="G72" i="18"/>
  <c r="H72" i="18"/>
  <c r="I72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Z72" i="18"/>
  <c r="AA72" i="18"/>
  <c r="C73" i="18"/>
  <c r="D73" i="18"/>
  <c r="E73" i="18"/>
  <c r="F73" i="18"/>
  <c r="G73" i="18"/>
  <c r="H73" i="18"/>
  <c r="I73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Z73" i="18"/>
  <c r="AA73" i="18"/>
  <c r="C74" i="18"/>
  <c r="D74" i="18"/>
  <c r="E74" i="18"/>
  <c r="F74" i="18"/>
  <c r="G74" i="18"/>
  <c r="H74" i="18"/>
  <c r="I74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Z74" i="18"/>
  <c r="AA74" i="18"/>
  <c r="C75" i="18"/>
  <c r="D75" i="18"/>
  <c r="E75" i="18"/>
  <c r="F75" i="18"/>
  <c r="G75" i="18"/>
  <c r="H75" i="18"/>
  <c r="I75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Z75" i="18"/>
  <c r="AA75" i="18"/>
  <c r="C76" i="18"/>
  <c r="D76" i="18"/>
  <c r="E76" i="18"/>
  <c r="F76" i="18"/>
  <c r="G76" i="18"/>
  <c r="H76" i="18"/>
  <c r="I76" i="18"/>
  <c r="J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  <c r="Z76" i="18"/>
  <c r="AA76" i="18"/>
  <c r="C77" i="18"/>
  <c r="D77" i="18"/>
  <c r="E77" i="18"/>
  <c r="F77" i="18"/>
  <c r="G77" i="18"/>
  <c r="H77" i="18"/>
  <c r="I77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Z77" i="18"/>
  <c r="AA77" i="18"/>
  <c r="C78" i="18"/>
  <c r="D78" i="18"/>
  <c r="E78" i="18"/>
  <c r="F78" i="18"/>
  <c r="G78" i="18"/>
  <c r="H78" i="18"/>
  <c r="I78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Z78" i="18"/>
  <c r="AA78" i="18"/>
  <c r="C79" i="18"/>
  <c r="D79" i="18"/>
  <c r="E79" i="18"/>
  <c r="F79" i="18"/>
  <c r="G79" i="18"/>
  <c r="H79" i="18"/>
  <c r="I79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Z79" i="18"/>
  <c r="AA79" i="18"/>
  <c r="C80" i="18"/>
  <c r="D80" i="18"/>
  <c r="E80" i="18"/>
  <c r="F80" i="18"/>
  <c r="G80" i="18"/>
  <c r="H80" i="18"/>
  <c r="I80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Z80" i="18"/>
  <c r="AA80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Z83" i="18"/>
  <c r="AA83" i="18"/>
  <c r="C84" i="18"/>
  <c r="D84" i="18"/>
  <c r="E84" i="18"/>
  <c r="F84" i="18"/>
  <c r="G84" i="18"/>
  <c r="H84" i="18"/>
  <c r="I84" i="18"/>
  <c r="J84" i="18"/>
  <c r="K84" i="18"/>
  <c r="L84" i="18"/>
  <c r="M84" i="18"/>
  <c r="N84" i="18"/>
  <c r="O84" i="18"/>
  <c r="P84" i="18"/>
  <c r="Q84" i="18"/>
  <c r="R84" i="18"/>
  <c r="S84" i="18"/>
  <c r="T84" i="18"/>
  <c r="U84" i="18"/>
  <c r="V84" i="18"/>
  <c r="W84" i="18"/>
  <c r="X84" i="18"/>
  <c r="Y84" i="18"/>
  <c r="Z84" i="18"/>
  <c r="AA84" i="18"/>
  <c r="C85" i="18"/>
  <c r="D85" i="18"/>
  <c r="E85" i="18"/>
  <c r="F85" i="18"/>
  <c r="G85" i="18"/>
  <c r="H85" i="18"/>
  <c r="I85" i="18"/>
  <c r="J85" i="18"/>
  <c r="K85" i="18"/>
  <c r="L85" i="18"/>
  <c r="M85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Z85" i="18"/>
  <c r="AA85" i="18"/>
  <c r="C86" i="18"/>
  <c r="D86" i="18"/>
  <c r="E86" i="18"/>
  <c r="F86" i="18"/>
  <c r="G86" i="18"/>
  <c r="H86" i="18"/>
  <c r="I86" i="18"/>
  <c r="J86" i="18"/>
  <c r="K86" i="18"/>
  <c r="L86" i="18"/>
  <c r="M86" i="18"/>
  <c r="N86" i="18"/>
  <c r="O86" i="18"/>
  <c r="P86" i="18"/>
  <c r="Q86" i="18"/>
  <c r="R86" i="18"/>
  <c r="S86" i="18"/>
  <c r="T86" i="18"/>
  <c r="U86" i="18"/>
  <c r="V86" i="18"/>
  <c r="W86" i="18"/>
  <c r="X86" i="18"/>
  <c r="Y86" i="18"/>
  <c r="Z86" i="18"/>
  <c r="AA86" i="18"/>
  <c r="C87" i="18"/>
  <c r="D87" i="18"/>
  <c r="E87" i="18"/>
  <c r="F87" i="18"/>
  <c r="G87" i="18"/>
  <c r="H87" i="18"/>
  <c r="I87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Z87" i="18"/>
  <c r="AA87" i="18"/>
  <c r="C88" i="18"/>
  <c r="D88" i="18"/>
  <c r="E88" i="18"/>
  <c r="F88" i="18"/>
  <c r="G88" i="18"/>
  <c r="H88" i="18"/>
  <c r="I88" i="18"/>
  <c r="J88" i="18"/>
  <c r="K88" i="18"/>
  <c r="L88" i="18"/>
  <c r="M88" i="18"/>
  <c r="N88" i="18"/>
  <c r="O88" i="18"/>
  <c r="P88" i="18"/>
  <c r="Q88" i="18"/>
  <c r="R88" i="18"/>
  <c r="S88" i="18"/>
  <c r="T88" i="18"/>
  <c r="U88" i="18"/>
  <c r="V88" i="18"/>
  <c r="W88" i="18"/>
  <c r="X88" i="18"/>
  <c r="Y88" i="18"/>
  <c r="Z88" i="18"/>
  <c r="AA88" i="18"/>
  <c r="C89" i="18"/>
  <c r="D89" i="18"/>
  <c r="E89" i="18"/>
  <c r="F89" i="18"/>
  <c r="G89" i="18"/>
  <c r="H89" i="18"/>
  <c r="I89" i="18"/>
  <c r="J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Z89" i="18"/>
  <c r="AA89" i="18"/>
  <c r="C90" i="18"/>
  <c r="D90" i="18"/>
  <c r="E90" i="18"/>
  <c r="F90" i="18"/>
  <c r="G90" i="18"/>
  <c r="H90" i="18"/>
  <c r="I90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Z90" i="18"/>
  <c r="AA90" i="18"/>
  <c r="C91" i="18"/>
  <c r="D91" i="18"/>
  <c r="E91" i="18"/>
  <c r="F91" i="18"/>
  <c r="G91" i="18"/>
  <c r="H91" i="18"/>
  <c r="I91" i="18"/>
  <c r="J91" i="18"/>
  <c r="K91" i="18"/>
  <c r="L91" i="18"/>
  <c r="M91" i="18"/>
  <c r="N91" i="18"/>
  <c r="O91" i="18"/>
  <c r="P91" i="18"/>
  <c r="Q91" i="18"/>
  <c r="R91" i="18"/>
  <c r="S91" i="18"/>
  <c r="T91" i="18"/>
  <c r="U91" i="18"/>
  <c r="V91" i="18"/>
  <c r="W91" i="18"/>
  <c r="X91" i="18"/>
  <c r="Y91" i="18"/>
  <c r="Z91" i="18"/>
  <c r="AA91" i="18"/>
  <c r="C92" i="18"/>
  <c r="D92" i="18"/>
  <c r="E92" i="18"/>
  <c r="F92" i="18"/>
  <c r="G92" i="18"/>
  <c r="H92" i="18"/>
  <c r="I92" i="18"/>
  <c r="J92" i="18"/>
  <c r="K92" i="18"/>
  <c r="L92" i="18"/>
  <c r="M92" i="18"/>
  <c r="N92" i="18"/>
  <c r="O92" i="18"/>
  <c r="P92" i="18"/>
  <c r="Q92" i="18"/>
  <c r="R92" i="18"/>
  <c r="S92" i="18"/>
  <c r="T92" i="18"/>
  <c r="U92" i="18"/>
  <c r="V92" i="18"/>
  <c r="W92" i="18"/>
  <c r="X92" i="18"/>
  <c r="Y92" i="18"/>
  <c r="Z92" i="18"/>
  <c r="AA92" i="18"/>
  <c r="C93" i="18"/>
  <c r="D93" i="18"/>
  <c r="E93" i="18"/>
  <c r="F93" i="18"/>
  <c r="G93" i="18"/>
  <c r="H93" i="18"/>
  <c r="I93" i="18"/>
  <c r="J93" i="18"/>
  <c r="K93" i="18"/>
  <c r="L93" i="18"/>
  <c r="M93" i="18"/>
  <c r="N93" i="18"/>
  <c r="O93" i="18"/>
  <c r="P93" i="18"/>
  <c r="Q93" i="18"/>
  <c r="R93" i="18"/>
  <c r="S93" i="18"/>
  <c r="T93" i="18"/>
  <c r="U93" i="18"/>
  <c r="V93" i="18"/>
  <c r="W93" i="18"/>
  <c r="X93" i="18"/>
  <c r="Y93" i="18"/>
  <c r="Z93" i="18"/>
  <c r="AA93" i="18"/>
  <c r="C94" i="18"/>
  <c r="D94" i="18"/>
  <c r="E94" i="18"/>
  <c r="F94" i="18"/>
  <c r="G94" i="18"/>
  <c r="H94" i="18"/>
  <c r="I94" i="18"/>
  <c r="J94" i="18"/>
  <c r="K94" i="18"/>
  <c r="L94" i="18"/>
  <c r="M94" i="18"/>
  <c r="N94" i="18"/>
  <c r="O94" i="18"/>
  <c r="P94" i="18"/>
  <c r="Q94" i="18"/>
  <c r="R94" i="18"/>
  <c r="S94" i="18"/>
  <c r="T94" i="18"/>
  <c r="U94" i="18"/>
  <c r="V94" i="18"/>
  <c r="W94" i="18"/>
  <c r="X94" i="18"/>
  <c r="Y94" i="18"/>
  <c r="Z94" i="18"/>
  <c r="AA94" i="18"/>
  <c r="C95" i="18"/>
  <c r="D95" i="18"/>
  <c r="E95" i="18"/>
  <c r="F95" i="18"/>
  <c r="G95" i="18"/>
  <c r="H95" i="18"/>
  <c r="I95" i="18"/>
  <c r="J95" i="18"/>
  <c r="K95" i="18"/>
  <c r="L95" i="18"/>
  <c r="M95" i="18"/>
  <c r="N95" i="18"/>
  <c r="O95" i="18"/>
  <c r="P95" i="18"/>
  <c r="Q95" i="18"/>
  <c r="R95" i="18"/>
  <c r="S95" i="18"/>
  <c r="T95" i="18"/>
  <c r="U95" i="18"/>
  <c r="V95" i="18"/>
  <c r="W95" i="18"/>
  <c r="X95" i="18"/>
  <c r="Y95" i="18"/>
  <c r="Z95" i="18"/>
  <c r="AA95" i="18"/>
  <c r="C96" i="18"/>
  <c r="D96" i="18"/>
  <c r="E96" i="18"/>
  <c r="F96" i="18"/>
  <c r="G96" i="18"/>
  <c r="H96" i="18"/>
  <c r="I96" i="18"/>
  <c r="J96" i="18"/>
  <c r="K96" i="18"/>
  <c r="L96" i="18"/>
  <c r="M96" i="18"/>
  <c r="N96" i="18"/>
  <c r="O96" i="18"/>
  <c r="P96" i="18"/>
  <c r="Q96" i="18"/>
  <c r="R96" i="18"/>
  <c r="S96" i="18"/>
  <c r="T96" i="18"/>
  <c r="U96" i="18"/>
  <c r="V96" i="18"/>
  <c r="W96" i="18"/>
  <c r="X96" i="18"/>
  <c r="Y96" i="18"/>
  <c r="Z96" i="18"/>
  <c r="AA96" i="18"/>
  <c r="C97" i="18"/>
  <c r="D97" i="18"/>
  <c r="E97" i="18"/>
  <c r="F97" i="18"/>
  <c r="G97" i="18"/>
  <c r="H97" i="18"/>
  <c r="I97" i="18"/>
  <c r="J97" i="18"/>
  <c r="K97" i="18"/>
  <c r="L97" i="18"/>
  <c r="M97" i="18"/>
  <c r="N97" i="18"/>
  <c r="O97" i="18"/>
  <c r="P97" i="18"/>
  <c r="Q97" i="18"/>
  <c r="R97" i="18"/>
  <c r="S97" i="18"/>
  <c r="T97" i="18"/>
  <c r="U97" i="18"/>
  <c r="V97" i="18"/>
  <c r="W97" i="18"/>
  <c r="X97" i="18"/>
  <c r="Y97" i="18"/>
  <c r="Z97" i="18"/>
  <c r="AA97" i="18"/>
  <c r="C98" i="18"/>
  <c r="D98" i="18"/>
  <c r="E98" i="18"/>
  <c r="F98" i="18"/>
  <c r="G98" i="18"/>
  <c r="H98" i="18"/>
  <c r="I98" i="18"/>
  <c r="J98" i="18"/>
  <c r="K98" i="18"/>
  <c r="L98" i="18"/>
  <c r="M98" i="18"/>
  <c r="N98" i="18"/>
  <c r="O98" i="18"/>
  <c r="P98" i="18"/>
  <c r="Q98" i="18"/>
  <c r="R98" i="18"/>
  <c r="S98" i="18"/>
  <c r="T98" i="18"/>
  <c r="U98" i="18"/>
  <c r="V98" i="18"/>
  <c r="W98" i="18"/>
  <c r="X98" i="18"/>
  <c r="Y98" i="18"/>
  <c r="Z98" i="18"/>
  <c r="AA98" i="18"/>
  <c r="C99" i="18"/>
  <c r="D99" i="18"/>
  <c r="E99" i="18"/>
  <c r="F99" i="18"/>
  <c r="G99" i="18"/>
  <c r="H99" i="18"/>
  <c r="I99" i="18"/>
  <c r="J99" i="18"/>
  <c r="K99" i="18"/>
  <c r="L99" i="18"/>
  <c r="M99" i="18"/>
  <c r="N99" i="18"/>
  <c r="O99" i="18"/>
  <c r="P99" i="18"/>
  <c r="Q99" i="18"/>
  <c r="R99" i="18"/>
  <c r="S99" i="18"/>
  <c r="T99" i="18"/>
  <c r="U99" i="18"/>
  <c r="V99" i="18"/>
  <c r="W99" i="18"/>
  <c r="X99" i="18"/>
  <c r="Y99" i="18"/>
  <c r="Z99" i="18"/>
  <c r="AA99" i="18"/>
  <c r="C100" i="18"/>
  <c r="D100" i="18"/>
  <c r="E100" i="18"/>
  <c r="F100" i="18"/>
  <c r="G100" i="18"/>
  <c r="H100" i="18"/>
  <c r="I100" i="18"/>
  <c r="J100" i="18"/>
  <c r="K100" i="18"/>
  <c r="L100" i="18"/>
  <c r="M100" i="18"/>
  <c r="N100" i="18"/>
  <c r="O100" i="18"/>
  <c r="P100" i="18"/>
  <c r="Q100" i="18"/>
  <c r="R100" i="18"/>
  <c r="S100" i="18"/>
  <c r="T100" i="18"/>
  <c r="U100" i="18"/>
  <c r="V100" i="18"/>
  <c r="W100" i="18"/>
  <c r="X100" i="18"/>
  <c r="Y100" i="18"/>
  <c r="Z100" i="18"/>
  <c r="AA100" i="18"/>
  <c r="C101" i="18"/>
  <c r="D101" i="18"/>
  <c r="E101" i="18"/>
  <c r="F101" i="18"/>
  <c r="G101" i="18"/>
  <c r="H101" i="18"/>
  <c r="I101" i="18"/>
  <c r="J101" i="18"/>
  <c r="K101" i="18"/>
  <c r="L101" i="18"/>
  <c r="M101" i="18"/>
  <c r="N101" i="18"/>
  <c r="O101" i="18"/>
  <c r="P101" i="18"/>
  <c r="Q101" i="18"/>
  <c r="R101" i="18"/>
  <c r="S101" i="18"/>
  <c r="T101" i="18"/>
  <c r="U101" i="18"/>
  <c r="V101" i="18"/>
  <c r="W101" i="18"/>
  <c r="X101" i="18"/>
  <c r="Y101" i="18"/>
  <c r="Z101" i="18"/>
  <c r="AA101" i="18"/>
  <c r="C102" i="18"/>
  <c r="D102" i="18"/>
  <c r="E102" i="18"/>
  <c r="F102" i="18"/>
  <c r="G102" i="18"/>
  <c r="H102" i="18"/>
  <c r="I102" i="18"/>
  <c r="J102" i="18"/>
  <c r="K102" i="18"/>
  <c r="L102" i="18"/>
  <c r="M102" i="18"/>
  <c r="N102" i="18"/>
  <c r="O102" i="18"/>
  <c r="P102" i="18"/>
  <c r="Q102" i="18"/>
  <c r="R102" i="18"/>
  <c r="S102" i="18"/>
  <c r="T102" i="18"/>
  <c r="U102" i="18"/>
  <c r="V102" i="18"/>
  <c r="W102" i="18"/>
  <c r="X102" i="18"/>
  <c r="Y102" i="18"/>
  <c r="Z102" i="18"/>
  <c r="AA102" i="18"/>
  <c r="C103" i="18"/>
  <c r="D103" i="18"/>
  <c r="E103" i="18"/>
  <c r="F103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Z103" i="18"/>
  <c r="AA103" i="18"/>
  <c r="C104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Z104" i="18"/>
  <c r="AA104" i="18"/>
  <c r="C105" i="18"/>
  <c r="D105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Z105" i="18"/>
  <c r="AA105" i="18"/>
  <c r="C106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Z106" i="18"/>
  <c r="AA106" i="18"/>
  <c r="C107" i="18"/>
  <c r="D107" i="18"/>
  <c r="E107" i="18"/>
  <c r="F107" i="18"/>
  <c r="G107" i="18"/>
  <c r="H107" i="18"/>
  <c r="I107" i="18"/>
  <c r="J107" i="18"/>
  <c r="K107" i="18"/>
  <c r="L107" i="18"/>
  <c r="M107" i="18"/>
  <c r="N107" i="18"/>
  <c r="O107" i="18"/>
  <c r="P107" i="18"/>
  <c r="Q107" i="18"/>
  <c r="R107" i="18"/>
  <c r="S107" i="18"/>
  <c r="T107" i="18"/>
  <c r="U107" i="18"/>
  <c r="V107" i="18"/>
  <c r="W107" i="18"/>
  <c r="X107" i="18"/>
  <c r="Y107" i="18"/>
  <c r="Z107" i="18"/>
  <c r="AA107" i="18"/>
  <c r="C108" i="18"/>
  <c r="D108" i="18"/>
  <c r="E108" i="18"/>
  <c r="F108" i="18"/>
  <c r="G108" i="18"/>
  <c r="H108" i="18"/>
  <c r="I108" i="18"/>
  <c r="J108" i="18"/>
  <c r="K108" i="18"/>
  <c r="L108" i="18"/>
  <c r="M108" i="18"/>
  <c r="N108" i="18"/>
  <c r="O108" i="18"/>
  <c r="P108" i="18"/>
  <c r="Q108" i="18"/>
  <c r="R108" i="18"/>
  <c r="S108" i="18"/>
  <c r="T108" i="18"/>
  <c r="U108" i="18"/>
  <c r="V108" i="18"/>
  <c r="W108" i="18"/>
  <c r="X108" i="18"/>
  <c r="Y108" i="18"/>
  <c r="Z108" i="18"/>
  <c r="AA108" i="18"/>
  <c r="C109" i="18"/>
  <c r="D109" i="18"/>
  <c r="E109" i="18"/>
  <c r="F109" i="18"/>
  <c r="G109" i="18"/>
  <c r="H109" i="18"/>
  <c r="I109" i="18"/>
  <c r="J109" i="18"/>
  <c r="K109" i="18"/>
  <c r="L109" i="18"/>
  <c r="M109" i="18"/>
  <c r="N109" i="18"/>
  <c r="O109" i="18"/>
  <c r="P109" i="18"/>
  <c r="Q109" i="18"/>
  <c r="R109" i="18"/>
  <c r="S109" i="18"/>
  <c r="T109" i="18"/>
  <c r="U109" i="18"/>
  <c r="V109" i="18"/>
  <c r="W109" i="18"/>
  <c r="X109" i="18"/>
  <c r="Y109" i="18"/>
  <c r="Z109" i="18"/>
  <c r="AA109" i="18"/>
  <c r="C110" i="18"/>
  <c r="D110" i="18"/>
  <c r="E110" i="18"/>
  <c r="F110" i="18"/>
  <c r="G110" i="18"/>
  <c r="H110" i="18"/>
  <c r="I110" i="18"/>
  <c r="J110" i="18"/>
  <c r="K110" i="18"/>
  <c r="L110" i="18"/>
  <c r="M110" i="18"/>
  <c r="N110" i="18"/>
  <c r="O110" i="18"/>
  <c r="P110" i="18"/>
  <c r="Q110" i="18"/>
  <c r="R110" i="18"/>
  <c r="S110" i="18"/>
  <c r="T110" i="18"/>
  <c r="U110" i="18"/>
  <c r="V110" i="18"/>
  <c r="W110" i="18"/>
  <c r="X110" i="18"/>
  <c r="Y110" i="18"/>
  <c r="Z110" i="18"/>
  <c r="AA110" i="18"/>
  <c r="C111" i="18"/>
  <c r="D111" i="18"/>
  <c r="E111" i="18"/>
  <c r="F111" i="18"/>
  <c r="G111" i="18"/>
  <c r="H111" i="18"/>
  <c r="I111" i="18"/>
  <c r="J111" i="18"/>
  <c r="K111" i="18"/>
  <c r="L111" i="18"/>
  <c r="M111" i="18"/>
  <c r="N111" i="18"/>
  <c r="O111" i="18"/>
  <c r="P111" i="18"/>
  <c r="Q111" i="18"/>
  <c r="R111" i="18"/>
  <c r="S111" i="18"/>
  <c r="T111" i="18"/>
  <c r="U111" i="18"/>
  <c r="V111" i="18"/>
  <c r="W111" i="18"/>
  <c r="X111" i="18"/>
  <c r="Y111" i="18"/>
  <c r="Z111" i="18"/>
  <c r="AA111" i="18"/>
  <c r="C112" i="18"/>
  <c r="D112" i="18"/>
  <c r="E112" i="18"/>
  <c r="F112" i="18"/>
  <c r="G112" i="18"/>
  <c r="H112" i="18"/>
  <c r="I112" i="18"/>
  <c r="J112" i="18"/>
  <c r="K112" i="18"/>
  <c r="L112" i="18"/>
  <c r="M112" i="18"/>
  <c r="N112" i="18"/>
  <c r="O112" i="18"/>
  <c r="P112" i="18"/>
  <c r="Q112" i="18"/>
  <c r="R112" i="18"/>
  <c r="S112" i="18"/>
  <c r="T112" i="18"/>
  <c r="U112" i="18"/>
  <c r="V112" i="18"/>
  <c r="W112" i="18"/>
  <c r="X112" i="18"/>
  <c r="Y112" i="18"/>
  <c r="Z112" i="18"/>
  <c r="AA112" i="18"/>
  <c r="C113" i="18"/>
  <c r="D113" i="18"/>
  <c r="E113" i="18"/>
  <c r="F113" i="18"/>
  <c r="G113" i="18"/>
  <c r="H113" i="18"/>
  <c r="I113" i="18"/>
  <c r="J113" i="18"/>
  <c r="K113" i="18"/>
  <c r="L113" i="18"/>
  <c r="M113" i="18"/>
  <c r="N113" i="18"/>
  <c r="O113" i="18"/>
  <c r="P113" i="18"/>
  <c r="Q113" i="18"/>
  <c r="R113" i="18"/>
  <c r="S113" i="18"/>
  <c r="T113" i="18"/>
  <c r="U113" i="18"/>
  <c r="V113" i="18"/>
  <c r="W113" i="18"/>
  <c r="X113" i="18"/>
  <c r="Y113" i="18"/>
  <c r="Z113" i="18"/>
  <c r="AA113" i="18"/>
  <c r="C114" i="18"/>
  <c r="D114" i="18"/>
  <c r="E114" i="18"/>
  <c r="F114" i="18"/>
  <c r="G114" i="18"/>
  <c r="H114" i="18"/>
  <c r="I114" i="18"/>
  <c r="J114" i="18"/>
  <c r="K114" i="18"/>
  <c r="L114" i="18"/>
  <c r="M114" i="18"/>
  <c r="N114" i="18"/>
  <c r="O114" i="18"/>
  <c r="P114" i="18"/>
  <c r="Q114" i="18"/>
  <c r="R114" i="18"/>
  <c r="S114" i="18"/>
  <c r="T114" i="18"/>
  <c r="U114" i="18"/>
  <c r="V114" i="18"/>
  <c r="W114" i="18"/>
  <c r="X114" i="18"/>
  <c r="Y114" i="18"/>
  <c r="Z114" i="18"/>
  <c r="AA114" i="18"/>
  <c r="C115" i="18"/>
  <c r="D115" i="18"/>
  <c r="E115" i="18"/>
  <c r="F115" i="18"/>
  <c r="G115" i="18"/>
  <c r="H115" i="18"/>
  <c r="I115" i="18"/>
  <c r="J115" i="18"/>
  <c r="K115" i="18"/>
  <c r="L115" i="18"/>
  <c r="M115" i="18"/>
  <c r="N115" i="18"/>
  <c r="O115" i="18"/>
  <c r="P115" i="18"/>
  <c r="Q115" i="18"/>
  <c r="R115" i="18"/>
  <c r="S115" i="18"/>
  <c r="T115" i="18"/>
  <c r="U115" i="18"/>
  <c r="V115" i="18"/>
  <c r="W115" i="18"/>
  <c r="X115" i="18"/>
  <c r="Y115" i="18"/>
  <c r="Z115" i="18"/>
  <c r="AA115" i="18"/>
  <c r="C116" i="18"/>
  <c r="D116" i="18"/>
  <c r="E116" i="18"/>
  <c r="F116" i="18"/>
  <c r="G116" i="18"/>
  <c r="H116" i="18"/>
  <c r="I116" i="18"/>
  <c r="J116" i="18"/>
  <c r="K116" i="18"/>
  <c r="L116" i="18"/>
  <c r="M116" i="18"/>
  <c r="N116" i="18"/>
  <c r="O116" i="18"/>
  <c r="P116" i="18"/>
  <c r="Q116" i="18"/>
  <c r="R116" i="18"/>
  <c r="S116" i="18"/>
  <c r="T116" i="18"/>
  <c r="U116" i="18"/>
  <c r="V116" i="18"/>
  <c r="W116" i="18"/>
  <c r="X116" i="18"/>
  <c r="Y116" i="18"/>
  <c r="Z116" i="18"/>
  <c r="AA116" i="18"/>
  <c r="C117" i="18"/>
  <c r="D117" i="18"/>
  <c r="E117" i="18"/>
  <c r="F117" i="18"/>
  <c r="G117" i="18"/>
  <c r="H117" i="18"/>
  <c r="I117" i="18"/>
  <c r="J117" i="18"/>
  <c r="K117" i="18"/>
  <c r="L117" i="18"/>
  <c r="M117" i="18"/>
  <c r="N117" i="18"/>
  <c r="O117" i="18"/>
  <c r="P117" i="18"/>
  <c r="Q117" i="18"/>
  <c r="R117" i="18"/>
  <c r="S117" i="18"/>
  <c r="T117" i="18"/>
  <c r="U117" i="18"/>
  <c r="V117" i="18"/>
  <c r="W117" i="18"/>
  <c r="X117" i="18"/>
  <c r="Y117" i="18"/>
  <c r="Z117" i="18"/>
  <c r="AA117" i="18"/>
  <c r="C118" i="18"/>
  <c r="D118" i="18"/>
  <c r="E118" i="18"/>
  <c r="F118" i="18"/>
  <c r="G118" i="18"/>
  <c r="H118" i="18"/>
  <c r="I118" i="18"/>
  <c r="J118" i="18"/>
  <c r="K118" i="18"/>
  <c r="L118" i="18"/>
  <c r="M118" i="18"/>
  <c r="N118" i="18"/>
  <c r="O118" i="18"/>
  <c r="P118" i="18"/>
  <c r="Q118" i="18"/>
  <c r="R118" i="18"/>
  <c r="S118" i="18"/>
  <c r="T118" i="18"/>
  <c r="U118" i="18"/>
  <c r="V118" i="18"/>
  <c r="W118" i="18"/>
  <c r="X118" i="18"/>
  <c r="Y118" i="18"/>
  <c r="Z118" i="18"/>
  <c r="AA118" i="18"/>
  <c r="C119" i="18"/>
  <c r="D119" i="18"/>
  <c r="E119" i="18"/>
  <c r="F119" i="18"/>
  <c r="G119" i="18"/>
  <c r="H119" i="18"/>
  <c r="I119" i="18"/>
  <c r="J119" i="18"/>
  <c r="K119" i="18"/>
  <c r="L119" i="18"/>
  <c r="M119" i="18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Z119" i="18"/>
  <c r="AA119" i="18"/>
  <c r="C120" i="18"/>
  <c r="D120" i="18"/>
  <c r="E120" i="18"/>
  <c r="F120" i="18"/>
  <c r="G120" i="18"/>
  <c r="H120" i="18"/>
  <c r="I120" i="18"/>
  <c r="J120" i="18"/>
  <c r="K120" i="18"/>
  <c r="L120" i="18"/>
  <c r="M120" i="18"/>
  <c r="N120" i="18"/>
  <c r="O120" i="18"/>
  <c r="P120" i="18"/>
  <c r="Q120" i="18"/>
  <c r="R120" i="18"/>
  <c r="S120" i="18"/>
  <c r="T120" i="18"/>
  <c r="U120" i="18"/>
  <c r="V120" i="18"/>
  <c r="W120" i="18"/>
  <c r="X120" i="18"/>
  <c r="Y120" i="18"/>
  <c r="Z120" i="18"/>
  <c r="AA120" i="18"/>
  <c r="C121" i="18"/>
  <c r="D121" i="18"/>
  <c r="E121" i="18"/>
  <c r="F121" i="18"/>
  <c r="G121" i="18"/>
  <c r="H121" i="18"/>
  <c r="I121" i="18"/>
  <c r="J121" i="18"/>
  <c r="K121" i="18"/>
  <c r="L121" i="18"/>
  <c r="M121" i="18"/>
  <c r="N121" i="18"/>
  <c r="O121" i="18"/>
  <c r="P121" i="18"/>
  <c r="Q121" i="18"/>
  <c r="R121" i="18"/>
  <c r="S121" i="18"/>
  <c r="T121" i="18"/>
  <c r="U121" i="18"/>
  <c r="V121" i="18"/>
  <c r="W121" i="18"/>
  <c r="X121" i="18"/>
  <c r="Y121" i="18"/>
  <c r="Z121" i="18"/>
  <c r="AA121" i="18"/>
  <c r="C122" i="18"/>
  <c r="D122" i="18"/>
  <c r="E122" i="18"/>
  <c r="F122" i="18"/>
  <c r="G122" i="18"/>
  <c r="H122" i="18"/>
  <c r="I122" i="18"/>
  <c r="J122" i="18"/>
  <c r="K122" i="18"/>
  <c r="L122" i="18"/>
  <c r="M122" i="18"/>
  <c r="N122" i="18"/>
  <c r="O122" i="18"/>
  <c r="P122" i="18"/>
  <c r="Q122" i="18"/>
  <c r="R122" i="18"/>
  <c r="S122" i="18"/>
  <c r="T122" i="18"/>
  <c r="U122" i="18"/>
  <c r="V122" i="18"/>
  <c r="W122" i="18"/>
  <c r="X122" i="18"/>
  <c r="Y122" i="18"/>
  <c r="Z122" i="18"/>
  <c r="AA122" i="18"/>
  <c r="C123" i="18"/>
  <c r="D123" i="18"/>
  <c r="E123" i="18"/>
  <c r="F123" i="18"/>
  <c r="G123" i="18"/>
  <c r="H123" i="18"/>
  <c r="I123" i="18"/>
  <c r="J123" i="18"/>
  <c r="K123" i="18"/>
  <c r="L123" i="18"/>
  <c r="M123" i="18"/>
  <c r="N123" i="18"/>
  <c r="O123" i="18"/>
  <c r="P123" i="18"/>
  <c r="Q123" i="18"/>
  <c r="R123" i="18"/>
  <c r="S123" i="18"/>
  <c r="T123" i="18"/>
  <c r="U123" i="18"/>
  <c r="V123" i="18"/>
  <c r="W123" i="18"/>
  <c r="X123" i="18"/>
  <c r="Y123" i="18"/>
  <c r="Z123" i="18"/>
  <c r="AA123" i="18"/>
  <c r="C124" i="18"/>
  <c r="D124" i="18"/>
  <c r="E124" i="18"/>
  <c r="F124" i="18"/>
  <c r="G124" i="18"/>
  <c r="H124" i="18"/>
  <c r="I124" i="18"/>
  <c r="J124" i="18"/>
  <c r="K124" i="18"/>
  <c r="L124" i="18"/>
  <c r="M124" i="18"/>
  <c r="N124" i="18"/>
  <c r="O124" i="18"/>
  <c r="P124" i="18"/>
  <c r="Q124" i="18"/>
  <c r="R124" i="18"/>
  <c r="S124" i="18"/>
  <c r="T124" i="18"/>
  <c r="U124" i="18"/>
  <c r="V124" i="18"/>
  <c r="W124" i="18"/>
  <c r="X124" i="18"/>
  <c r="Y124" i="18"/>
  <c r="Z124" i="18"/>
  <c r="AA124" i="18"/>
  <c r="C125" i="18"/>
  <c r="D125" i="18"/>
  <c r="E125" i="18"/>
  <c r="F125" i="18"/>
  <c r="G125" i="18"/>
  <c r="H125" i="18"/>
  <c r="I125" i="18"/>
  <c r="J125" i="18"/>
  <c r="K125" i="18"/>
  <c r="L125" i="18"/>
  <c r="M125" i="18"/>
  <c r="N125" i="18"/>
  <c r="O125" i="18"/>
  <c r="P125" i="18"/>
  <c r="Q125" i="18"/>
  <c r="R125" i="18"/>
  <c r="S125" i="18"/>
  <c r="T125" i="18"/>
  <c r="U125" i="18"/>
  <c r="V125" i="18"/>
  <c r="W125" i="18"/>
  <c r="X125" i="18"/>
  <c r="Y125" i="18"/>
  <c r="Z125" i="18"/>
  <c r="AA125" i="18"/>
  <c r="C126" i="18"/>
  <c r="D126" i="18"/>
  <c r="E126" i="18"/>
  <c r="F126" i="18"/>
  <c r="G126" i="18"/>
  <c r="H126" i="18"/>
  <c r="I126" i="18"/>
  <c r="J126" i="18"/>
  <c r="K126" i="18"/>
  <c r="L126" i="18"/>
  <c r="M126" i="18"/>
  <c r="N126" i="18"/>
  <c r="O126" i="18"/>
  <c r="P126" i="18"/>
  <c r="Q126" i="18"/>
  <c r="R126" i="18"/>
  <c r="S126" i="18"/>
  <c r="T126" i="18"/>
  <c r="U126" i="18"/>
  <c r="V126" i="18"/>
  <c r="W126" i="18"/>
  <c r="X126" i="18"/>
  <c r="Y126" i="18"/>
  <c r="Z126" i="18"/>
  <c r="AA126" i="18"/>
  <c r="C127" i="18"/>
  <c r="D127" i="18"/>
  <c r="E127" i="18"/>
  <c r="F127" i="18"/>
  <c r="G127" i="18"/>
  <c r="H127" i="18"/>
  <c r="I127" i="18"/>
  <c r="J127" i="18"/>
  <c r="K127" i="18"/>
  <c r="L127" i="18"/>
  <c r="M127" i="18"/>
  <c r="N127" i="18"/>
  <c r="O127" i="18"/>
  <c r="P127" i="18"/>
  <c r="Q127" i="18"/>
  <c r="R127" i="18"/>
  <c r="S127" i="18"/>
  <c r="T127" i="18"/>
  <c r="U127" i="18"/>
  <c r="V127" i="18"/>
  <c r="W127" i="18"/>
  <c r="X127" i="18"/>
  <c r="Y127" i="18"/>
  <c r="Z127" i="18"/>
  <c r="AA127" i="18"/>
  <c r="C128" i="18"/>
  <c r="D128" i="18"/>
  <c r="E128" i="18"/>
  <c r="F128" i="18"/>
  <c r="G128" i="18"/>
  <c r="H128" i="18"/>
  <c r="I128" i="18"/>
  <c r="J128" i="18"/>
  <c r="K128" i="18"/>
  <c r="L128" i="18"/>
  <c r="M128" i="18"/>
  <c r="N128" i="18"/>
  <c r="O128" i="18"/>
  <c r="P128" i="18"/>
  <c r="Q128" i="18"/>
  <c r="R128" i="18"/>
  <c r="S128" i="18"/>
  <c r="T128" i="18"/>
  <c r="U128" i="18"/>
  <c r="V128" i="18"/>
  <c r="W128" i="18"/>
  <c r="X128" i="18"/>
  <c r="Y128" i="18"/>
  <c r="Z128" i="18"/>
  <c r="AA128" i="18"/>
  <c r="C129" i="18"/>
  <c r="D129" i="18"/>
  <c r="E129" i="18"/>
  <c r="F129" i="18"/>
  <c r="G129" i="18"/>
  <c r="H129" i="18"/>
  <c r="I129" i="18"/>
  <c r="J129" i="18"/>
  <c r="K129" i="18"/>
  <c r="L129" i="18"/>
  <c r="M129" i="18"/>
  <c r="N129" i="18"/>
  <c r="O129" i="18"/>
  <c r="P129" i="18"/>
  <c r="Q129" i="18"/>
  <c r="R129" i="18"/>
  <c r="S129" i="18"/>
  <c r="T129" i="18"/>
  <c r="U129" i="18"/>
  <c r="V129" i="18"/>
  <c r="W129" i="18"/>
  <c r="X129" i="18"/>
  <c r="Y129" i="18"/>
  <c r="Z129" i="18"/>
  <c r="AA129" i="18"/>
  <c r="C130" i="18"/>
  <c r="D130" i="18"/>
  <c r="E130" i="18"/>
  <c r="F130" i="18"/>
  <c r="G130" i="18"/>
  <c r="H130" i="18"/>
  <c r="I130" i="18"/>
  <c r="J130" i="18"/>
  <c r="K130" i="18"/>
  <c r="L130" i="18"/>
  <c r="M130" i="18"/>
  <c r="N130" i="18"/>
  <c r="O130" i="18"/>
  <c r="P130" i="18"/>
  <c r="Q130" i="18"/>
  <c r="R130" i="18"/>
  <c r="S130" i="18"/>
  <c r="T130" i="18"/>
  <c r="U130" i="18"/>
  <c r="V130" i="18"/>
  <c r="W130" i="18"/>
  <c r="X130" i="18"/>
  <c r="Y130" i="18"/>
  <c r="Z130" i="18"/>
  <c r="AA130" i="18"/>
  <c r="C131" i="18"/>
  <c r="D131" i="18"/>
  <c r="E131" i="18"/>
  <c r="F131" i="18"/>
  <c r="G131" i="18"/>
  <c r="H131" i="18"/>
  <c r="I131" i="18"/>
  <c r="J131" i="18"/>
  <c r="K131" i="18"/>
  <c r="L131" i="18"/>
  <c r="M131" i="18"/>
  <c r="N131" i="18"/>
  <c r="O131" i="18"/>
  <c r="P131" i="18"/>
  <c r="Q131" i="18"/>
  <c r="R131" i="18"/>
  <c r="S131" i="18"/>
  <c r="T131" i="18"/>
  <c r="U131" i="18"/>
  <c r="V131" i="18"/>
  <c r="W131" i="18"/>
  <c r="X131" i="18"/>
  <c r="Y131" i="18"/>
  <c r="Z131" i="18"/>
  <c r="AA131" i="18"/>
  <c r="C132" i="18"/>
  <c r="D132" i="18"/>
  <c r="E132" i="18"/>
  <c r="F132" i="18"/>
  <c r="G132" i="18"/>
  <c r="H132" i="18"/>
  <c r="I132" i="18"/>
  <c r="J132" i="18"/>
  <c r="K132" i="18"/>
  <c r="L132" i="18"/>
  <c r="M132" i="18"/>
  <c r="N132" i="18"/>
  <c r="O132" i="18"/>
  <c r="P132" i="18"/>
  <c r="Q132" i="18"/>
  <c r="R132" i="18"/>
  <c r="S132" i="18"/>
  <c r="T132" i="18"/>
  <c r="U132" i="18"/>
  <c r="V132" i="18"/>
  <c r="W132" i="18"/>
  <c r="X132" i="18"/>
  <c r="Y132" i="18"/>
  <c r="Z132" i="18"/>
  <c r="AA132" i="18"/>
  <c r="C133" i="18"/>
  <c r="D133" i="18"/>
  <c r="E133" i="18"/>
  <c r="F133" i="18"/>
  <c r="G133" i="18"/>
  <c r="H133" i="18"/>
  <c r="I133" i="18"/>
  <c r="J133" i="18"/>
  <c r="K133" i="18"/>
  <c r="L133" i="18"/>
  <c r="M133" i="18"/>
  <c r="N133" i="18"/>
  <c r="O133" i="18"/>
  <c r="P133" i="18"/>
  <c r="Q133" i="18"/>
  <c r="R133" i="18"/>
  <c r="S133" i="18"/>
  <c r="T133" i="18"/>
  <c r="U133" i="18"/>
  <c r="V133" i="18"/>
  <c r="W133" i="18"/>
  <c r="X133" i="18"/>
  <c r="Y133" i="18"/>
  <c r="Z133" i="18"/>
  <c r="AA133" i="18"/>
  <c r="C134" i="18"/>
  <c r="D134" i="18"/>
  <c r="E134" i="18"/>
  <c r="F134" i="18"/>
  <c r="G134" i="18"/>
  <c r="H134" i="18"/>
  <c r="I134" i="18"/>
  <c r="J134" i="18"/>
  <c r="K134" i="18"/>
  <c r="L134" i="18"/>
  <c r="M134" i="18"/>
  <c r="N134" i="18"/>
  <c r="O134" i="18"/>
  <c r="P134" i="18"/>
  <c r="Q134" i="18"/>
  <c r="R134" i="18"/>
  <c r="S134" i="18"/>
  <c r="T134" i="18"/>
  <c r="U134" i="18"/>
  <c r="V134" i="18"/>
  <c r="W134" i="18"/>
  <c r="X134" i="18"/>
  <c r="Y134" i="18"/>
  <c r="Z134" i="18"/>
  <c r="AA134" i="18"/>
  <c r="C135" i="18"/>
  <c r="D135" i="18"/>
  <c r="E135" i="18"/>
  <c r="F135" i="18"/>
  <c r="G135" i="18"/>
  <c r="H135" i="18"/>
  <c r="I135" i="18"/>
  <c r="J135" i="18"/>
  <c r="K135" i="18"/>
  <c r="L135" i="18"/>
  <c r="M135" i="18"/>
  <c r="N135" i="18"/>
  <c r="O135" i="18"/>
  <c r="P135" i="18"/>
  <c r="Q135" i="18"/>
  <c r="R135" i="18"/>
  <c r="S135" i="18"/>
  <c r="T135" i="18"/>
  <c r="U135" i="18"/>
  <c r="V135" i="18"/>
  <c r="W135" i="18"/>
  <c r="X135" i="18"/>
  <c r="Y135" i="18"/>
  <c r="Z135" i="18"/>
  <c r="AA135" i="18"/>
  <c r="C136" i="18"/>
  <c r="D136" i="18"/>
  <c r="E136" i="18"/>
  <c r="F136" i="18"/>
  <c r="G136" i="18"/>
  <c r="H136" i="18"/>
  <c r="I136" i="18"/>
  <c r="J136" i="18"/>
  <c r="K136" i="18"/>
  <c r="L136" i="18"/>
  <c r="M136" i="18"/>
  <c r="N136" i="18"/>
  <c r="O136" i="18"/>
  <c r="P136" i="18"/>
  <c r="Q136" i="18"/>
  <c r="R136" i="18"/>
  <c r="S136" i="18"/>
  <c r="T136" i="18"/>
  <c r="U136" i="18"/>
  <c r="V136" i="18"/>
  <c r="W136" i="18"/>
  <c r="X136" i="18"/>
  <c r="Y136" i="18"/>
  <c r="Z136" i="18"/>
  <c r="AA136" i="18"/>
  <c r="C137" i="18"/>
  <c r="D137" i="18"/>
  <c r="E137" i="18"/>
  <c r="F137" i="18"/>
  <c r="G137" i="18"/>
  <c r="H137" i="18"/>
  <c r="I137" i="18"/>
  <c r="J137" i="18"/>
  <c r="K137" i="18"/>
  <c r="L137" i="18"/>
  <c r="M137" i="18"/>
  <c r="N137" i="18"/>
  <c r="O137" i="18"/>
  <c r="P137" i="18"/>
  <c r="Q137" i="18"/>
  <c r="R137" i="18"/>
  <c r="S137" i="18"/>
  <c r="T137" i="18"/>
  <c r="U137" i="18"/>
  <c r="V137" i="18"/>
  <c r="W137" i="18"/>
  <c r="X137" i="18"/>
  <c r="Y137" i="18"/>
  <c r="Z137" i="18"/>
  <c r="AA137" i="18"/>
  <c r="C138" i="18"/>
  <c r="D138" i="18"/>
  <c r="E138" i="18"/>
  <c r="F138" i="18"/>
  <c r="G138" i="18"/>
  <c r="H138" i="18"/>
  <c r="I138" i="18"/>
  <c r="J138" i="18"/>
  <c r="K138" i="18"/>
  <c r="L138" i="18"/>
  <c r="M138" i="18"/>
  <c r="N138" i="18"/>
  <c r="O138" i="18"/>
  <c r="P138" i="18"/>
  <c r="Q138" i="18"/>
  <c r="R138" i="18"/>
  <c r="S138" i="18"/>
  <c r="T138" i="18"/>
  <c r="U138" i="18"/>
  <c r="V138" i="18"/>
  <c r="W138" i="18"/>
  <c r="X138" i="18"/>
  <c r="Y138" i="18"/>
  <c r="Z138" i="18"/>
  <c r="AA138" i="18"/>
  <c r="C139" i="18"/>
  <c r="D139" i="18"/>
  <c r="E139" i="18"/>
  <c r="F139" i="18"/>
  <c r="G139" i="18"/>
  <c r="H139" i="18"/>
  <c r="I139" i="18"/>
  <c r="J139" i="18"/>
  <c r="K139" i="18"/>
  <c r="L139" i="18"/>
  <c r="M139" i="18"/>
  <c r="N139" i="18"/>
  <c r="O139" i="18"/>
  <c r="P139" i="18"/>
  <c r="Q139" i="18"/>
  <c r="R139" i="18"/>
  <c r="S139" i="18"/>
  <c r="T139" i="18"/>
  <c r="U139" i="18"/>
  <c r="V139" i="18"/>
  <c r="W139" i="18"/>
  <c r="X139" i="18"/>
  <c r="Y139" i="18"/>
  <c r="Z139" i="18"/>
  <c r="AA139" i="18"/>
  <c r="C140" i="18"/>
  <c r="D140" i="18"/>
  <c r="E140" i="18"/>
  <c r="F140" i="18"/>
  <c r="G140" i="18"/>
  <c r="H140" i="18"/>
  <c r="I140" i="18"/>
  <c r="J140" i="18"/>
  <c r="K140" i="18"/>
  <c r="L140" i="18"/>
  <c r="M140" i="18"/>
  <c r="N140" i="18"/>
  <c r="O140" i="18"/>
  <c r="P140" i="18"/>
  <c r="Q140" i="18"/>
  <c r="R140" i="18"/>
  <c r="S140" i="18"/>
  <c r="T140" i="18"/>
  <c r="U140" i="18"/>
  <c r="V140" i="18"/>
  <c r="W140" i="18"/>
  <c r="X140" i="18"/>
  <c r="Y140" i="18"/>
  <c r="Z140" i="18"/>
  <c r="AA140" i="18"/>
  <c r="C141" i="18"/>
  <c r="D141" i="18"/>
  <c r="E141" i="18"/>
  <c r="F141" i="18"/>
  <c r="G141" i="18"/>
  <c r="H141" i="18"/>
  <c r="I141" i="18"/>
  <c r="J141" i="18"/>
  <c r="K141" i="18"/>
  <c r="L141" i="18"/>
  <c r="M141" i="18"/>
  <c r="N141" i="18"/>
  <c r="O141" i="18"/>
  <c r="P141" i="18"/>
  <c r="Q141" i="18"/>
  <c r="R141" i="18"/>
  <c r="S141" i="18"/>
  <c r="T141" i="18"/>
  <c r="U141" i="18"/>
  <c r="V141" i="18"/>
  <c r="W141" i="18"/>
  <c r="X141" i="18"/>
  <c r="Y141" i="18"/>
  <c r="Z141" i="18"/>
  <c r="AA141" i="18"/>
  <c r="C142" i="18"/>
  <c r="D142" i="18"/>
  <c r="E142" i="18"/>
  <c r="F142" i="18"/>
  <c r="G142" i="18"/>
  <c r="H142" i="18"/>
  <c r="I142" i="18"/>
  <c r="J142" i="18"/>
  <c r="K142" i="18"/>
  <c r="L142" i="18"/>
  <c r="M142" i="18"/>
  <c r="N142" i="18"/>
  <c r="O142" i="18"/>
  <c r="P142" i="18"/>
  <c r="Q142" i="18"/>
  <c r="R142" i="18"/>
  <c r="S142" i="18"/>
  <c r="T142" i="18"/>
  <c r="U142" i="18"/>
  <c r="V142" i="18"/>
  <c r="W142" i="18"/>
  <c r="X142" i="18"/>
  <c r="Y142" i="18"/>
  <c r="Z142" i="18"/>
  <c r="AA142" i="18"/>
  <c r="C143" i="18"/>
  <c r="D143" i="18"/>
  <c r="E143" i="18"/>
  <c r="F143" i="18"/>
  <c r="G143" i="18"/>
  <c r="H143" i="18"/>
  <c r="I143" i="18"/>
  <c r="J143" i="18"/>
  <c r="K143" i="18"/>
  <c r="L143" i="18"/>
  <c r="M143" i="18"/>
  <c r="N143" i="18"/>
  <c r="O143" i="18"/>
  <c r="P143" i="18"/>
  <c r="Q143" i="18"/>
  <c r="R143" i="18"/>
  <c r="S143" i="18"/>
  <c r="T143" i="18"/>
  <c r="U143" i="18"/>
  <c r="V143" i="18"/>
  <c r="W143" i="18"/>
  <c r="X143" i="18"/>
  <c r="Y143" i="18"/>
  <c r="Z143" i="18"/>
  <c r="AA143" i="18"/>
  <c r="C144" i="18"/>
  <c r="D144" i="18"/>
  <c r="E144" i="18"/>
  <c r="F144" i="18"/>
  <c r="G144" i="18"/>
  <c r="H144" i="18"/>
  <c r="I144" i="18"/>
  <c r="J144" i="18"/>
  <c r="K144" i="18"/>
  <c r="L144" i="18"/>
  <c r="M144" i="18"/>
  <c r="N144" i="18"/>
  <c r="O144" i="18"/>
  <c r="P144" i="18"/>
  <c r="Q144" i="18"/>
  <c r="R144" i="18"/>
  <c r="S144" i="18"/>
  <c r="T144" i="18"/>
  <c r="U144" i="18"/>
  <c r="V144" i="18"/>
  <c r="W144" i="18"/>
  <c r="X144" i="18"/>
  <c r="Y144" i="18"/>
  <c r="Z144" i="18"/>
  <c r="AA144" i="18"/>
  <c r="C145" i="18"/>
  <c r="D145" i="18"/>
  <c r="E145" i="18"/>
  <c r="F145" i="18"/>
  <c r="G145" i="18"/>
  <c r="H145" i="18"/>
  <c r="I145" i="18"/>
  <c r="J145" i="18"/>
  <c r="K145" i="18"/>
  <c r="L145" i="18"/>
  <c r="M145" i="18"/>
  <c r="N145" i="18"/>
  <c r="O145" i="18"/>
  <c r="P145" i="18"/>
  <c r="Q145" i="18"/>
  <c r="R145" i="18"/>
  <c r="S145" i="18"/>
  <c r="T145" i="18"/>
  <c r="U145" i="18"/>
  <c r="V145" i="18"/>
  <c r="W145" i="18"/>
  <c r="X145" i="18"/>
  <c r="Y145" i="18"/>
  <c r="Z145" i="18"/>
  <c r="AA145" i="18"/>
  <c r="C146" i="18"/>
  <c r="D146" i="18"/>
  <c r="E146" i="18"/>
  <c r="F146" i="18"/>
  <c r="G146" i="18"/>
  <c r="H146" i="18"/>
  <c r="I146" i="18"/>
  <c r="J146" i="18"/>
  <c r="K146" i="18"/>
  <c r="L146" i="18"/>
  <c r="M146" i="18"/>
  <c r="N146" i="18"/>
  <c r="O146" i="18"/>
  <c r="P146" i="18"/>
  <c r="Q146" i="18"/>
  <c r="R146" i="18"/>
  <c r="S146" i="18"/>
  <c r="T146" i="18"/>
  <c r="U146" i="18"/>
  <c r="V146" i="18"/>
  <c r="W146" i="18"/>
  <c r="X146" i="18"/>
  <c r="Y146" i="18"/>
  <c r="Z146" i="18"/>
  <c r="AA146" i="18"/>
  <c r="C147" i="18"/>
  <c r="D147" i="18"/>
  <c r="E147" i="18"/>
  <c r="F147" i="18"/>
  <c r="G147" i="18"/>
  <c r="H147" i="18"/>
  <c r="I147" i="18"/>
  <c r="J147" i="18"/>
  <c r="K147" i="18"/>
  <c r="L147" i="18"/>
  <c r="M147" i="18"/>
  <c r="N147" i="18"/>
  <c r="O147" i="18"/>
  <c r="P147" i="18"/>
  <c r="Q147" i="18"/>
  <c r="R147" i="18"/>
  <c r="S147" i="18"/>
  <c r="T147" i="18"/>
  <c r="U147" i="18"/>
  <c r="V147" i="18"/>
  <c r="W147" i="18"/>
  <c r="X147" i="18"/>
  <c r="Y147" i="18"/>
  <c r="Z147" i="18"/>
  <c r="AA147" i="18"/>
  <c r="C148" i="18"/>
  <c r="D148" i="18"/>
  <c r="E148" i="18"/>
  <c r="F148" i="18"/>
  <c r="G148" i="18"/>
  <c r="H148" i="18"/>
  <c r="I148" i="18"/>
  <c r="J148" i="18"/>
  <c r="K148" i="18"/>
  <c r="L148" i="18"/>
  <c r="M148" i="18"/>
  <c r="N148" i="18"/>
  <c r="O148" i="18"/>
  <c r="P148" i="18"/>
  <c r="Q148" i="18"/>
  <c r="R148" i="18"/>
  <c r="S148" i="18"/>
  <c r="T148" i="18"/>
  <c r="U148" i="18"/>
  <c r="V148" i="18"/>
  <c r="W148" i="18"/>
  <c r="X148" i="18"/>
  <c r="Y148" i="18"/>
  <c r="Z148" i="18"/>
  <c r="AA148" i="18"/>
  <c r="C149" i="18"/>
  <c r="D149" i="18"/>
  <c r="E149" i="18"/>
  <c r="F149" i="18"/>
  <c r="G149" i="18"/>
  <c r="H149" i="18"/>
  <c r="I149" i="18"/>
  <c r="J149" i="18"/>
  <c r="K149" i="18"/>
  <c r="L149" i="18"/>
  <c r="M149" i="18"/>
  <c r="N149" i="18"/>
  <c r="O149" i="18"/>
  <c r="P149" i="18"/>
  <c r="Q149" i="18"/>
  <c r="R149" i="18"/>
  <c r="S149" i="18"/>
  <c r="T149" i="18"/>
  <c r="U149" i="18"/>
  <c r="V149" i="18"/>
  <c r="W149" i="18"/>
  <c r="X149" i="18"/>
  <c r="Y149" i="18"/>
  <c r="Z149" i="18"/>
  <c r="AA149" i="18"/>
  <c r="C150" i="18"/>
  <c r="D150" i="18"/>
  <c r="E150" i="18"/>
  <c r="F150" i="18"/>
  <c r="G150" i="18"/>
  <c r="H150" i="18"/>
  <c r="I150" i="18"/>
  <c r="J150" i="18"/>
  <c r="K150" i="18"/>
  <c r="L150" i="18"/>
  <c r="M150" i="18"/>
  <c r="N150" i="18"/>
  <c r="O150" i="18"/>
  <c r="P150" i="18"/>
  <c r="Q150" i="18"/>
  <c r="R150" i="18"/>
  <c r="S150" i="18"/>
  <c r="T150" i="18"/>
  <c r="U150" i="18"/>
  <c r="V150" i="18"/>
  <c r="W150" i="18"/>
  <c r="X150" i="18"/>
  <c r="Y150" i="18"/>
  <c r="Z150" i="18"/>
  <c r="AA150" i="18"/>
  <c r="C151" i="18"/>
  <c r="D151" i="18"/>
  <c r="E151" i="18"/>
  <c r="F151" i="18"/>
  <c r="G151" i="18"/>
  <c r="H151" i="18"/>
  <c r="I151" i="18"/>
  <c r="J151" i="18"/>
  <c r="K151" i="18"/>
  <c r="L151" i="18"/>
  <c r="M151" i="18"/>
  <c r="N151" i="18"/>
  <c r="O151" i="18"/>
  <c r="P151" i="18"/>
  <c r="Q151" i="18"/>
  <c r="R151" i="18"/>
  <c r="S151" i="18"/>
  <c r="T151" i="18"/>
  <c r="U151" i="18"/>
  <c r="V151" i="18"/>
  <c r="W151" i="18"/>
  <c r="X151" i="18"/>
  <c r="Y151" i="18"/>
  <c r="Z151" i="18"/>
  <c r="AA151" i="18"/>
  <c r="C152" i="18"/>
  <c r="D152" i="18"/>
  <c r="E152" i="18"/>
  <c r="F152" i="18"/>
  <c r="G152" i="18"/>
  <c r="H152" i="18"/>
  <c r="I152" i="18"/>
  <c r="J152" i="18"/>
  <c r="K152" i="18"/>
  <c r="L152" i="18"/>
  <c r="M152" i="18"/>
  <c r="N152" i="18"/>
  <c r="O152" i="18"/>
  <c r="P152" i="18"/>
  <c r="Q152" i="18"/>
  <c r="R152" i="18"/>
  <c r="S152" i="18"/>
  <c r="T152" i="18"/>
  <c r="U152" i="18"/>
  <c r="V152" i="18"/>
  <c r="W152" i="18"/>
  <c r="X152" i="18"/>
  <c r="Y152" i="18"/>
  <c r="Z152" i="18"/>
  <c r="AA152" i="18"/>
  <c r="C153" i="18"/>
  <c r="D153" i="18"/>
  <c r="E153" i="18"/>
  <c r="F153" i="18"/>
  <c r="G153" i="18"/>
  <c r="H153" i="18"/>
  <c r="I153" i="18"/>
  <c r="J153" i="18"/>
  <c r="K153" i="18"/>
  <c r="L153" i="18"/>
  <c r="M153" i="18"/>
  <c r="N153" i="18"/>
  <c r="O153" i="18"/>
  <c r="P153" i="18"/>
  <c r="Q153" i="18"/>
  <c r="R153" i="18"/>
  <c r="S153" i="18"/>
  <c r="T153" i="18"/>
  <c r="U153" i="18"/>
  <c r="V153" i="18"/>
  <c r="W153" i="18"/>
  <c r="X153" i="18"/>
  <c r="Y153" i="18"/>
  <c r="Z153" i="18"/>
  <c r="AA153" i="18"/>
  <c r="C154" i="18"/>
  <c r="D154" i="18"/>
  <c r="E154" i="18"/>
  <c r="F154" i="18"/>
  <c r="G154" i="18"/>
  <c r="H154" i="18"/>
  <c r="I154" i="18"/>
  <c r="J154" i="18"/>
  <c r="K154" i="18"/>
  <c r="L154" i="18"/>
  <c r="M154" i="18"/>
  <c r="N154" i="18"/>
  <c r="O154" i="18"/>
  <c r="P154" i="18"/>
  <c r="Q154" i="18"/>
  <c r="R154" i="18"/>
  <c r="S154" i="18"/>
  <c r="T154" i="18"/>
  <c r="U154" i="18"/>
  <c r="V154" i="18"/>
  <c r="W154" i="18"/>
  <c r="X154" i="18"/>
  <c r="Y154" i="18"/>
  <c r="Z154" i="18"/>
  <c r="AA154" i="18"/>
  <c r="C155" i="18"/>
  <c r="D155" i="18"/>
  <c r="E155" i="18"/>
  <c r="F155" i="18"/>
  <c r="G155" i="18"/>
  <c r="H155" i="18"/>
  <c r="I155" i="18"/>
  <c r="J155" i="18"/>
  <c r="K155" i="18"/>
  <c r="L155" i="18"/>
  <c r="M155" i="18"/>
  <c r="N155" i="18"/>
  <c r="O155" i="18"/>
  <c r="P155" i="18"/>
  <c r="Q155" i="18"/>
  <c r="R155" i="18"/>
  <c r="S155" i="18"/>
  <c r="T155" i="18"/>
  <c r="U155" i="18"/>
  <c r="V155" i="18"/>
  <c r="W155" i="18"/>
  <c r="X155" i="18"/>
  <c r="Y155" i="18"/>
  <c r="Z155" i="18"/>
  <c r="AA155" i="18"/>
  <c r="C156" i="18"/>
  <c r="D156" i="18"/>
  <c r="E156" i="18"/>
  <c r="F156" i="18"/>
  <c r="G156" i="18"/>
  <c r="H156" i="18"/>
  <c r="I156" i="18"/>
  <c r="J156" i="18"/>
  <c r="K156" i="18"/>
  <c r="L156" i="18"/>
  <c r="M156" i="18"/>
  <c r="N156" i="18"/>
  <c r="O156" i="18"/>
  <c r="P156" i="18"/>
  <c r="Q156" i="18"/>
  <c r="R156" i="18"/>
  <c r="S156" i="18"/>
  <c r="T156" i="18"/>
  <c r="U156" i="18"/>
  <c r="V156" i="18"/>
  <c r="W156" i="18"/>
  <c r="X156" i="18"/>
  <c r="Y156" i="18"/>
  <c r="Z156" i="18"/>
  <c r="AA156" i="18"/>
  <c r="C157" i="18"/>
  <c r="D157" i="18"/>
  <c r="E157" i="18"/>
  <c r="F157" i="18"/>
  <c r="G157" i="18"/>
  <c r="H157" i="18"/>
  <c r="I157" i="18"/>
  <c r="J157" i="18"/>
  <c r="K157" i="18"/>
  <c r="L157" i="18"/>
  <c r="M157" i="18"/>
  <c r="N157" i="18"/>
  <c r="O157" i="18"/>
  <c r="P157" i="18"/>
  <c r="Q157" i="18"/>
  <c r="R157" i="18"/>
  <c r="S157" i="18"/>
  <c r="T157" i="18"/>
  <c r="U157" i="18"/>
  <c r="V157" i="18"/>
  <c r="W157" i="18"/>
  <c r="X157" i="18"/>
  <c r="Y157" i="18"/>
  <c r="Z157" i="18"/>
  <c r="AA157" i="18"/>
  <c r="C158" i="18"/>
  <c r="D158" i="18"/>
  <c r="E158" i="18"/>
  <c r="F158" i="18"/>
  <c r="G158" i="18"/>
  <c r="H158" i="18"/>
  <c r="I158" i="18"/>
  <c r="J158" i="18"/>
  <c r="K158" i="18"/>
  <c r="L158" i="18"/>
  <c r="M158" i="18"/>
  <c r="N158" i="18"/>
  <c r="O158" i="18"/>
  <c r="P158" i="18"/>
  <c r="Q158" i="18"/>
  <c r="R158" i="18"/>
  <c r="S158" i="18"/>
  <c r="T158" i="18"/>
  <c r="U158" i="18"/>
  <c r="V158" i="18"/>
  <c r="W158" i="18"/>
  <c r="X158" i="18"/>
  <c r="Y158" i="18"/>
  <c r="Z158" i="18"/>
  <c r="AA158" i="18"/>
  <c r="C159" i="18"/>
  <c r="D159" i="18"/>
  <c r="E159" i="18"/>
  <c r="F159" i="18"/>
  <c r="G159" i="18"/>
  <c r="H159" i="18"/>
  <c r="I159" i="18"/>
  <c r="J159" i="18"/>
  <c r="K159" i="18"/>
  <c r="L159" i="18"/>
  <c r="M159" i="18"/>
  <c r="N159" i="18"/>
  <c r="O159" i="18"/>
  <c r="P159" i="18"/>
  <c r="Q159" i="18"/>
  <c r="R159" i="18"/>
  <c r="S159" i="18"/>
  <c r="T159" i="18"/>
  <c r="U159" i="18"/>
  <c r="V159" i="18"/>
  <c r="W159" i="18"/>
  <c r="X159" i="18"/>
  <c r="Y159" i="18"/>
  <c r="Z159" i="18"/>
  <c r="AA159" i="18"/>
  <c r="C160" i="18"/>
  <c r="D160" i="18"/>
  <c r="E160" i="18"/>
  <c r="F160" i="18"/>
  <c r="G160" i="18"/>
  <c r="H160" i="18"/>
  <c r="I160" i="18"/>
  <c r="J160" i="18"/>
  <c r="K160" i="18"/>
  <c r="L160" i="18"/>
  <c r="M160" i="18"/>
  <c r="N160" i="18"/>
  <c r="O160" i="18"/>
  <c r="P160" i="18"/>
  <c r="Q160" i="18"/>
  <c r="R160" i="18"/>
  <c r="S160" i="18"/>
  <c r="T160" i="18"/>
  <c r="U160" i="18"/>
  <c r="V160" i="18"/>
  <c r="W160" i="18"/>
  <c r="X160" i="18"/>
  <c r="Y160" i="18"/>
  <c r="Z160" i="18"/>
  <c r="AA160" i="18"/>
  <c r="C161" i="18"/>
  <c r="D161" i="18"/>
  <c r="E161" i="18"/>
  <c r="F161" i="18"/>
  <c r="G161" i="18"/>
  <c r="H161" i="18"/>
  <c r="I161" i="18"/>
  <c r="J161" i="18"/>
  <c r="K161" i="18"/>
  <c r="L161" i="18"/>
  <c r="M161" i="18"/>
  <c r="N161" i="18"/>
  <c r="O161" i="18"/>
  <c r="P161" i="18"/>
  <c r="Q161" i="18"/>
  <c r="R161" i="18"/>
  <c r="S161" i="18"/>
  <c r="T161" i="18"/>
  <c r="U161" i="18"/>
  <c r="V161" i="18"/>
  <c r="W161" i="18"/>
  <c r="X161" i="18"/>
  <c r="Y161" i="18"/>
  <c r="Z161" i="18"/>
  <c r="AA161" i="18"/>
  <c r="C162" i="18"/>
  <c r="D162" i="18"/>
  <c r="E162" i="18"/>
  <c r="F162" i="18"/>
  <c r="G162" i="18"/>
  <c r="H162" i="18"/>
  <c r="I162" i="18"/>
  <c r="J162" i="18"/>
  <c r="K162" i="18"/>
  <c r="L162" i="18"/>
  <c r="M162" i="18"/>
  <c r="N162" i="18"/>
  <c r="O162" i="18"/>
  <c r="P162" i="18"/>
  <c r="Q162" i="18"/>
  <c r="R162" i="18"/>
  <c r="S162" i="18"/>
  <c r="T162" i="18"/>
  <c r="U162" i="18"/>
  <c r="V162" i="18"/>
  <c r="W162" i="18"/>
  <c r="X162" i="18"/>
  <c r="Y162" i="18"/>
  <c r="Z162" i="18"/>
  <c r="AA162" i="18"/>
  <c r="C163" i="18"/>
  <c r="D163" i="18"/>
  <c r="E163" i="18"/>
  <c r="F163" i="18"/>
  <c r="G163" i="18"/>
  <c r="H163" i="18"/>
  <c r="I163" i="18"/>
  <c r="J163" i="18"/>
  <c r="K163" i="18"/>
  <c r="L163" i="18"/>
  <c r="M163" i="18"/>
  <c r="N163" i="18"/>
  <c r="O163" i="18"/>
  <c r="P163" i="18"/>
  <c r="Q163" i="18"/>
  <c r="R163" i="18"/>
  <c r="S163" i="18"/>
  <c r="T163" i="18"/>
  <c r="U163" i="18"/>
  <c r="V163" i="18"/>
  <c r="W163" i="18"/>
  <c r="X163" i="18"/>
  <c r="Y163" i="18"/>
  <c r="Z163" i="18"/>
  <c r="AA163" i="18"/>
  <c r="C164" i="18"/>
  <c r="D164" i="18"/>
  <c r="E164" i="18"/>
  <c r="F164" i="18"/>
  <c r="G164" i="18"/>
  <c r="H164" i="18"/>
  <c r="I164" i="18"/>
  <c r="J164" i="18"/>
  <c r="K164" i="18"/>
  <c r="L164" i="18"/>
  <c r="M164" i="18"/>
  <c r="N164" i="18"/>
  <c r="O164" i="18"/>
  <c r="P164" i="18"/>
  <c r="Q164" i="18"/>
  <c r="R164" i="18"/>
  <c r="S164" i="18"/>
  <c r="T164" i="18"/>
  <c r="U164" i="18"/>
  <c r="V164" i="18"/>
  <c r="W164" i="18"/>
  <c r="X164" i="18"/>
  <c r="Y164" i="18"/>
  <c r="Z164" i="18"/>
  <c r="AA164" i="18"/>
  <c r="C165" i="18"/>
  <c r="D165" i="18"/>
  <c r="E165" i="18"/>
  <c r="F165" i="18"/>
  <c r="G165" i="18"/>
  <c r="H165" i="18"/>
  <c r="I165" i="18"/>
  <c r="J165" i="18"/>
  <c r="K165" i="18"/>
  <c r="L165" i="18"/>
  <c r="M165" i="18"/>
  <c r="N165" i="18"/>
  <c r="O165" i="18"/>
  <c r="P165" i="18"/>
  <c r="Q165" i="18"/>
  <c r="R165" i="18"/>
  <c r="S165" i="18"/>
  <c r="T165" i="18"/>
  <c r="U165" i="18"/>
  <c r="V165" i="18"/>
  <c r="W165" i="18"/>
  <c r="X165" i="18"/>
  <c r="Y165" i="18"/>
  <c r="Z165" i="18"/>
  <c r="AA165" i="18"/>
  <c r="C166" i="18"/>
  <c r="D166" i="18"/>
  <c r="E166" i="18"/>
  <c r="F166" i="18"/>
  <c r="G166" i="18"/>
  <c r="H166" i="18"/>
  <c r="I166" i="18"/>
  <c r="J166" i="18"/>
  <c r="K166" i="18"/>
  <c r="L166" i="18"/>
  <c r="M166" i="18"/>
  <c r="N166" i="18"/>
  <c r="O166" i="18"/>
  <c r="P166" i="18"/>
  <c r="Q166" i="18"/>
  <c r="R166" i="18"/>
  <c r="S166" i="18"/>
  <c r="T166" i="18"/>
  <c r="U166" i="18"/>
  <c r="V166" i="18"/>
  <c r="W166" i="18"/>
  <c r="X166" i="18"/>
  <c r="Y166" i="18"/>
  <c r="Z166" i="18"/>
  <c r="AA166" i="18"/>
  <c r="C167" i="18"/>
  <c r="D167" i="18"/>
  <c r="E167" i="18"/>
  <c r="F167" i="18"/>
  <c r="G167" i="18"/>
  <c r="H167" i="18"/>
  <c r="I167" i="18"/>
  <c r="J167" i="18"/>
  <c r="K167" i="18"/>
  <c r="L167" i="18"/>
  <c r="M167" i="18"/>
  <c r="N167" i="18"/>
  <c r="O167" i="18"/>
  <c r="P167" i="18"/>
  <c r="Q167" i="18"/>
  <c r="R167" i="18"/>
  <c r="S167" i="18"/>
  <c r="T167" i="18"/>
  <c r="U167" i="18"/>
  <c r="V167" i="18"/>
  <c r="W167" i="18"/>
  <c r="X167" i="18"/>
  <c r="Y167" i="18"/>
  <c r="Z167" i="18"/>
  <c r="AA167" i="18"/>
  <c r="C168" i="18"/>
  <c r="D168" i="18"/>
  <c r="E168" i="18"/>
  <c r="F168" i="18"/>
  <c r="G168" i="18"/>
  <c r="H168" i="18"/>
  <c r="I168" i="18"/>
  <c r="J168" i="18"/>
  <c r="K168" i="18"/>
  <c r="L168" i="18"/>
  <c r="M168" i="18"/>
  <c r="N168" i="18"/>
  <c r="O168" i="18"/>
  <c r="P168" i="18"/>
  <c r="Q168" i="18"/>
  <c r="R168" i="18"/>
  <c r="S168" i="18"/>
  <c r="T168" i="18"/>
  <c r="U168" i="18"/>
  <c r="V168" i="18"/>
  <c r="W168" i="18"/>
  <c r="X168" i="18"/>
  <c r="Y168" i="18"/>
  <c r="Z168" i="18"/>
  <c r="AA168" i="18"/>
  <c r="C169" i="18"/>
  <c r="D169" i="18"/>
  <c r="E169" i="18"/>
  <c r="F169" i="18"/>
  <c r="G169" i="18"/>
  <c r="H169" i="18"/>
  <c r="I169" i="18"/>
  <c r="J169" i="18"/>
  <c r="K169" i="18"/>
  <c r="L169" i="18"/>
  <c r="M169" i="18"/>
  <c r="N169" i="18"/>
  <c r="O169" i="18"/>
  <c r="P169" i="18"/>
  <c r="Q169" i="18"/>
  <c r="R169" i="18"/>
  <c r="S169" i="18"/>
  <c r="T169" i="18"/>
  <c r="U169" i="18"/>
  <c r="V169" i="18"/>
  <c r="W169" i="18"/>
  <c r="X169" i="18"/>
  <c r="Y169" i="18"/>
  <c r="Z169" i="18"/>
  <c r="AA169" i="18"/>
  <c r="C170" i="18"/>
  <c r="D170" i="18"/>
  <c r="E170" i="18"/>
  <c r="F170" i="18"/>
  <c r="G170" i="18"/>
  <c r="H170" i="18"/>
  <c r="I170" i="18"/>
  <c r="J170" i="18"/>
  <c r="K170" i="18"/>
  <c r="L170" i="18"/>
  <c r="M170" i="18"/>
  <c r="N170" i="18"/>
  <c r="O170" i="18"/>
  <c r="P170" i="18"/>
  <c r="Q170" i="18"/>
  <c r="R170" i="18"/>
  <c r="S170" i="18"/>
  <c r="T170" i="18"/>
  <c r="U170" i="18"/>
  <c r="V170" i="18"/>
  <c r="W170" i="18"/>
  <c r="X170" i="18"/>
  <c r="Y170" i="18"/>
  <c r="Z170" i="18"/>
  <c r="AA170" i="18"/>
  <c r="C171" i="18"/>
  <c r="D171" i="18"/>
  <c r="E171" i="18"/>
  <c r="F171" i="18"/>
  <c r="G171" i="18"/>
  <c r="H171" i="18"/>
  <c r="I171" i="18"/>
  <c r="J171" i="18"/>
  <c r="K171" i="18"/>
  <c r="L171" i="18"/>
  <c r="M171" i="18"/>
  <c r="N171" i="18"/>
  <c r="O171" i="18"/>
  <c r="P171" i="18"/>
  <c r="Q171" i="18"/>
  <c r="R171" i="18"/>
  <c r="S171" i="18"/>
  <c r="T171" i="18"/>
  <c r="U171" i="18"/>
  <c r="V171" i="18"/>
  <c r="W171" i="18"/>
  <c r="X171" i="18"/>
  <c r="Y171" i="18"/>
  <c r="Z171" i="18"/>
  <c r="AA171" i="18"/>
  <c r="C172" i="18"/>
  <c r="D172" i="18"/>
  <c r="E172" i="18"/>
  <c r="F172" i="18"/>
  <c r="G172" i="18"/>
  <c r="H172" i="18"/>
  <c r="I172" i="18"/>
  <c r="J172" i="18"/>
  <c r="K172" i="18"/>
  <c r="L172" i="18"/>
  <c r="M172" i="18"/>
  <c r="N172" i="18"/>
  <c r="O172" i="18"/>
  <c r="P172" i="18"/>
  <c r="Q172" i="18"/>
  <c r="R172" i="18"/>
  <c r="S172" i="18"/>
  <c r="T172" i="18"/>
  <c r="U172" i="18"/>
  <c r="V172" i="18"/>
  <c r="W172" i="18"/>
  <c r="X172" i="18"/>
  <c r="Y172" i="18"/>
  <c r="Z172" i="18"/>
  <c r="AA172" i="18"/>
  <c r="C173" i="18"/>
  <c r="D173" i="18"/>
  <c r="E173" i="18"/>
  <c r="F173" i="18"/>
  <c r="G173" i="18"/>
  <c r="H173" i="18"/>
  <c r="I173" i="18"/>
  <c r="J173" i="18"/>
  <c r="K173" i="18"/>
  <c r="L173" i="18"/>
  <c r="M173" i="18"/>
  <c r="N173" i="18"/>
  <c r="O173" i="18"/>
  <c r="P173" i="18"/>
  <c r="Q173" i="18"/>
  <c r="R173" i="18"/>
  <c r="S173" i="18"/>
  <c r="T173" i="18"/>
  <c r="U173" i="18"/>
  <c r="V173" i="18"/>
  <c r="W173" i="18"/>
  <c r="X173" i="18"/>
  <c r="Y173" i="18"/>
  <c r="Z173" i="18"/>
  <c r="AA173" i="18"/>
  <c r="C174" i="18"/>
  <c r="D174" i="18"/>
  <c r="E174" i="18"/>
  <c r="F174" i="18"/>
  <c r="G174" i="18"/>
  <c r="H174" i="18"/>
  <c r="I174" i="18"/>
  <c r="J174" i="18"/>
  <c r="K174" i="18"/>
  <c r="L174" i="18"/>
  <c r="M174" i="18"/>
  <c r="N174" i="18"/>
  <c r="O174" i="18"/>
  <c r="P174" i="18"/>
  <c r="Q174" i="18"/>
  <c r="R174" i="18"/>
  <c r="S174" i="18"/>
  <c r="T174" i="18"/>
  <c r="U174" i="18"/>
  <c r="V174" i="18"/>
  <c r="W174" i="18"/>
  <c r="X174" i="18"/>
  <c r="Y174" i="18"/>
  <c r="Z174" i="18"/>
  <c r="AA174" i="18"/>
  <c r="C175" i="18"/>
  <c r="D175" i="18"/>
  <c r="E175" i="18"/>
  <c r="F175" i="18"/>
  <c r="G175" i="18"/>
  <c r="H175" i="18"/>
  <c r="I175" i="18"/>
  <c r="J175" i="18"/>
  <c r="K175" i="18"/>
  <c r="L175" i="18"/>
  <c r="M175" i="18"/>
  <c r="N175" i="18"/>
  <c r="O175" i="18"/>
  <c r="P175" i="18"/>
  <c r="Q175" i="18"/>
  <c r="R175" i="18"/>
  <c r="S175" i="18"/>
  <c r="T175" i="18"/>
  <c r="U175" i="18"/>
  <c r="V175" i="18"/>
  <c r="W175" i="18"/>
  <c r="X175" i="18"/>
  <c r="Y175" i="18"/>
  <c r="Z175" i="18"/>
  <c r="AA175" i="18"/>
  <c r="C176" i="18"/>
  <c r="D176" i="18"/>
  <c r="E176" i="18"/>
  <c r="F176" i="18"/>
  <c r="G176" i="18"/>
  <c r="H176" i="18"/>
  <c r="I176" i="18"/>
  <c r="J176" i="18"/>
  <c r="K176" i="18"/>
  <c r="L176" i="18"/>
  <c r="M176" i="18"/>
  <c r="N176" i="18"/>
  <c r="O176" i="18"/>
  <c r="P176" i="18"/>
  <c r="Q176" i="18"/>
  <c r="R176" i="18"/>
  <c r="S176" i="18"/>
  <c r="T176" i="18"/>
  <c r="U176" i="18"/>
  <c r="V176" i="18"/>
  <c r="W176" i="18"/>
  <c r="X176" i="18"/>
  <c r="Y176" i="18"/>
  <c r="Z176" i="18"/>
  <c r="AA176" i="18"/>
  <c r="C177" i="18"/>
  <c r="D177" i="18"/>
  <c r="E177" i="18"/>
  <c r="F177" i="18"/>
  <c r="G177" i="18"/>
  <c r="H177" i="18"/>
  <c r="I177" i="18"/>
  <c r="J177" i="18"/>
  <c r="K177" i="18"/>
  <c r="L177" i="18"/>
  <c r="M177" i="18"/>
  <c r="N177" i="18"/>
  <c r="O177" i="18"/>
  <c r="P177" i="18"/>
  <c r="Q177" i="18"/>
  <c r="R177" i="18"/>
  <c r="S177" i="18"/>
  <c r="T177" i="18"/>
  <c r="U177" i="18"/>
  <c r="V177" i="18"/>
  <c r="W177" i="18"/>
  <c r="X177" i="18"/>
  <c r="Y177" i="18"/>
  <c r="Z177" i="18"/>
  <c r="AA177" i="18"/>
  <c r="C178" i="18"/>
  <c r="D178" i="18"/>
  <c r="E178" i="18"/>
  <c r="F178" i="18"/>
  <c r="G178" i="18"/>
  <c r="H178" i="18"/>
  <c r="I178" i="18"/>
  <c r="J178" i="18"/>
  <c r="K178" i="18"/>
  <c r="L178" i="18"/>
  <c r="M178" i="18"/>
  <c r="N178" i="18"/>
  <c r="O178" i="18"/>
  <c r="P178" i="18"/>
  <c r="Q178" i="18"/>
  <c r="R178" i="18"/>
  <c r="S178" i="18"/>
  <c r="T178" i="18"/>
  <c r="U178" i="18"/>
  <c r="V178" i="18"/>
  <c r="W178" i="18"/>
  <c r="X178" i="18"/>
  <c r="Y178" i="18"/>
  <c r="Z178" i="18"/>
  <c r="AA178" i="18"/>
  <c r="C179" i="18"/>
  <c r="D179" i="18"/>
  <c r="E179" i="18"/>
  <c r="F179" i="18"/>
  <c r="G179" i="18"/>
  <c r="H179" i="18"/>
  <c r="I179" i="18"/>
  <c r="J179" i="18"/>
  <c r="K179" i="18"/>
  <c r="L179" i="18"/>
  <c r="M179" i="18"/>
  <c r="N179" i="18"/>
  <c r="O179" i="18"/>
  <c r="P179" i="18"/>
  <c r="Q179" i="18"/>
  <c r="R179" i="18"/>
  <c r="S179" i="18"/>
  <c r="T179" i="18"/>
  <c r="U179" i="18"/>
  <c r="V179" i="18"/>
  <c r="W179" i="18"/>
  <c r="X179" i="18"/>
  <c r="Y179" i="18"/>
  <c r="Z179" i="18"/>
  <c r="AA179" i="18"/>
  <c r="C180" i="18"/>
  <c r="D180" i="18"/>
  <c r="E180" i="18"/>
  <c r="F180" i="18"/>
  <c r="G180" i="18"/>
  <c r="H180" i="18"/>
  <c r="I180" i="18"/>
  <c r="J180" i="18"/>
  <c r="K180" i="18"/>
  <c r="L180" i="18"/>
  <c r="M180" i="18"/>
  <c r="N180" i="18"/>
  <c r="O180" i="18"/>
  <c r="P180" i="18"/>
  <c r="Q180" i="18"/>
  <c r="R180" i="18"/>
  <c r="S180" i="18"/>
  <c r="T180" i="18"/>
  <c r="U180" i="18"/>
  <c r="V180" i="18"/>
  <c r="W180" i="18"/>
  <c r="X180" i="18"/>
  <c r="Y180" i="18"/>
  <c r="Z180" i="18"/>
  <c r="AA180" i="18"/>
  <c r="C181" i="18"/>
  <c r="D181" i="18"/>
  <c r="E181" i="18"/>
  <c r="F181" i="18"/>
  <c r="G181" i="18"/>
  <c r="H181" i="18"/>
  <c r="I181" i="18"/>
  <c r="J181" i="18"/>
  <c r="K181" i="18"/>
  <c r="L181" i="18"/>
  <c r="M181" i="18"/>
  <c r="N181" i="18"/>
  <c r="O181" i="18"/>
  <c r="P181" i="18"/>
  <c r="Q181" i="18"/>
  <c r="R181" i="18"/>
  <c r="S181" i="18"/>
  <c r="T181" i="18"/>
  <c r="U181" i="18"/>
  <c r="V181" i="18"/>
  <c r="W181" i="18"/>
  <c r="X181" i="18"/>
  <c r="Y181" i="18"/>
  <c r="Z181" i="18"/>
  <c r="AA181" i="18"/>
  <c r="C182" i="18"/>
  <c r="D182" i="18"/>
  <c r="E182" i="18"/>
  <c r="F182" i="18"/>
  <c r="G182" i="18"/>
  <c r="H182" i="18"/>
  <c r="I182" i="18"/>
  <c r="J182" i="18"/>
  <c r="K182" i="18"/>
  <c r="L182" i="18"/>
  <c r="M182" i="18"/>
  <c r="N182" i="18"/>
  <c r="O182" i="18"/>
  <c r="P182" i="18"/>
  <c r="Q182" i="18"/>
  <c r="R182" i="18"/>
  <c r="S182" i="18"/>
  <c r="T182" i="18"/>
  <c r="U182" i="18"/>
  <c r="V182" i="18"/>
  <c r="W182" i="18"/>
  <c r="X182" i="18"/>
  <c r="Y182" i="18"/>
  <c r="Z182" i="18"/>
  <c r="AA182" i="18"/>
  <c r="C183" i="18"/>
  <c r="D183" i="18"/>
  <c r="E183" i="18"/>
  <c r="F183" i="18"/>
  <c r="G183" i="18"/>
  <c r="H183" i="18"/>
  <c r="I183" i="18"/>
  <c r="J183" i="18"/>
  <c r="K183" i="18"/>
  <c r="L183" i="18"/>
  <c r="M183" i="18"/>
  <c r="N183" i="18"/>
  <c r="O183" i="18"/>
  <c r="P183" i="18"/>
  <c r="Q183" i="18"/>
  <c r="R183" i="18"/>
  <c r="S183" i="18"/>
  <c r="T183" i="18"/>
  <c r="U183" i="18"/>
  <c r="V183" i="18"/>
  <c r="W183" i="18"/>
  <c r="X183" i="18"/>
  <c r="Y183" i="18"/>
  <c r="Z183" i="18"/>
  <c r="AA183" i="18"/>
  <c r="C184" i="18"/>
  <c r="D184" i="18"/>
  <c r="E184" i="18"/>
  <c r="F184" i="18"/>
  <c r="G184" i="18"/>
  <c r="H184" i="18"/>
  <c r="I184" i="18"/>
  <c r="J184" i="18"/>
  <c r="K184" i="18"/>
  <c r="L184" i="18"/>
  <c r="M184" i="18"/>
  <c r="N184" i="18"/>
  <c r="O184" i="18"/>
  <c r="P184" i="18"/>
  <c r="Q184" i="18"/>
  <c r="R184" i="18"/>
  <c r="S184" i="18"/>
  <c r="T184" i="18"/>
  <c r="U184" i="18"/>
  <c r="V184" i="18"/>
  <c r="W184" i="18"/>
  <c r="X184" i="18"/>
  <c r="Y184" i="18"/>
  <c r="Z184" i="18"/>
  <c r="AA184" i="18"/>
  <c r="C185" i="18"/>
  <c r="D185" i="18"/>
  <c r="E185" i="18"/>
  <c r="F185" i="18"/>
  <c r="G185" i="18"/>
  <c r="H185" i="18"/>
  <c r="I185" i="18"/>
  <c r="J185" i="18"/>
  <c r="K185" i="18"/>
  <c r="L185" i="18"/>
  <c r="M185" i="18"/>
  <c r="N185" i="18"/>
  <c r="O185" i="18"/>
  <c r="P185" i="18"/>
  <c r="Q185" i="18"/>
  <c r="R185" i="18"/>
  <c r="S185" i="18"/>
  <c r="T185" i="18"/>
  <c r="U185" i="18"/>
  <c r="V185" i="18"/>
  <c r="W185" i="18"/>
  <c r="X185" i="18"/>
  <c r="Y185" i="18"/>
  <c r="Z185" i="18"/>
  <c r="AA185" i="18"/>
  <c r="C186" i="18"/>
  <c r="D186" i="18"/>
  <c r="E186" i="18"/>
  <c r="F186" i="18"/>
  <c r="G186" i="18"/>
  <c r="H186" i="18"/>
  <c r="I186" i="18"/>
  <c r="J186" i="18"/>
  <c r="K186" i="18"/>
  <c r="L186" i="18"/>
  <c r="M186" i="18"/>
  <c r="N186" i="18"/>
  <c r="O186" i="18"/>
  <c r="P186" i="18"/>
  <c r="Q186" i="18"/>
  <c r="R186" i="18"/>
  <c r="S186" i="18"/>
  <c r="T186" i="18"/>
  <c r="U186" i="18"/>
  <c r="V186" i="18"/>
  <c r="W186" i="18"/>
  <c r="X186" i="18"/>
  <c r="Y186" i="18"/>
  <c r="Z186" i="18"/>
  <c r="AA186" i="18"/>
  <c r="C187" i="18"/>
  <c r="D187" i="18"/>
  <c r="E187" i="18"/>
  <c r="F187" i="18"/>
  <c r="G187" i="18"/>
  <c r="H187" i="18"/>
  <c r="I187" i="18"/>
  <c r="J187" i="18"/>
  <c r="K187" i="18"/>
  <c r="L187" i="18"/>
  <c r="M187" i="18"/>
  <c r="N187" i="18"/>
  <c r="O187" i="18"/>
  <c r="P187" i="18"/>
  <c r="Q187" i="18"/>
  <c r="R187" i="18"/>
  <c r="S187" i="18"/>
  <c r="T187" i="18"/>
  <c r="U187" i="18"/>
  <c r="V187" i="18"/>
  <c r="W187" i="18"/>
  <c r="X187" i="18"/>
  <c r="Y187" i="18"/>
  <c r="Z187" i="18"/>
  <c r="AA187" i="18"/>
  <c r="C188" i="18"/>
  <c r="D188" i="18"/>
  <c r="E188" i="18"/>
  <c r="F188" i="18"/>
  <c r="G188" i="18"/>
  <c r="H188" i="18"/>
  <c r="I188" i="18"/>
  <c r="J188" i="18"/>
  <c r="K188" i="18"/>
  <c r="L188" i="18"/>
  <c r="M188" i="18"/>
  <c r="N188" i="18"/>
  <c r="O188" i="18"/>
  <c r="P188" i="18"/>
  <c r="Q188" i="18"/>
  <c r="R188" i="18"/>
  <c r="S188" i="18"/>
  <c r="T188" i="18"/>
  <c r="U188" i="18"/>
  <c r="V188" i="18"/>
  <c r="W188" i="18"/>
  <c r="X188" i="18"/>
  <c r="Y188" i="18"/>
  <c r="Z188" i="18"/>
  <c r="AA188" i="18"/>
  <c r="C189" i="18"/>
  <c r="D189" i="18"/>
  <c r="E189" i="18"/>
  <c r="F189" i="18"/>
  <c r="G189" i="18"/>
  <c r="H189" i="18"/>
  <c r="I189" i="18"/>
  <c r="J189" i="18"/>
  <c r="K189" i="18"/>
  <c r="L189" i="18"/>
  <c r="M189" i="18"/>
  <c r="N189" i="18"/>
  <c r="O189" i="18"/>
  <c r="P189" i="18"/>
  <c r="Q189" i="18"/>
  <c r="R189" i="18"/>
  <c r="S189" i="18"/>
  <c r="T189" i="18"/>
  <c r="U189" i="18"/>
  <c r="V189" i="18"/>
  <c r="W189" i="18"/>
  <c r="X189" i="18"/>
  <c r="Y189" i="18"/>
  <c r="Z189" i="18"/>
  <c r="AA189" i="18"/>
  <c r="C190" i="18"/>
  <c r="D190" i="18"/>
  <c r="E190" i="18"/>
  <c r="F190" i="18"/>
  <c r="G190" i="18"/>
  <c r="H190" i="18"/>
  <c r="I190" i="18"/>
  <c r="J190" i="18"/>
  <c r="K190" i="18"/>
  <c r="L190" i="18"/>
  <c r="M190" i="18"/>
  <c r="N190" i="18"/>
  <c r="O190" i="18"/>
  <c r="P190" i="18"/>
  <c r="Q190" i="18"/>
  <c r="R190" i="18"/>
  <c r="S190" i="18"/>
  <c r="T190" i="18"/>
  <c r="U190" i="18"/>
  <c r="V190" i="18"/>
  <c r="W190" i="18"/>
  <c r="X190" i="18"/>
  <c r="Y190" i="18"/>
  <c r="Z190" i="18"/>
  <c r="AA190" i="18"/>
  <c r="C191" i="18"/>
  <c r="D191" i="18"/>
  <c r="E191" i="18"/>
  <c r="F191" i="18"/>
  <c r="G191" i="18"/>
  <c r="H191" i="18"/>
  <c r="I191" i="18"/>
  <c r="J191" i="18"/>
  <c r="K191" i="18"/>
  <c r="L191" i="18"/>
  <c r="M191" i="18"/>
  <c r="N191" i="18"/>
  <c r="O191" i="18"/>
  <c r="P191" i="18"/>
  <c r="Q191" i="18"/>
  <c r="R191" i="18"/>
  <c r="S191" i="18"/>
  <c r="T191" i="18"/>
  <c r="U191" i="18"/>
  <c r="V191" i="18"/>
  <c r="W191" i="18"/>
  <c r="X191" i="18"/>
  <c r="Y191" i="18"/>
  <c r="Z191" i="18"/>
  <c r="AA191" i="18"/>
  <c r="C192" i="18"/>
  <c r="D192" i="18"/>
  <c r="E192" i="18"/>
  <c r="F192" i="18"/>
  <c r="G192" i="18"/>
  <c r="H192" i="18"/>
  <c r="I192" i="18"/>
  <c r="J192" i="18"/>
  <c r="K192" i="18"/>
  <c r="L192" i="18"/>
  <c r="M192" i="18"/>
  <c r="N192" i="18"/>
  <c r="O192" i="18"/>
  <c r="P192" i="18"/>
  <c r="Q192" i="18"/>
  <c r="R192" i="18"/>
  <c r="S192" i="18"/>
  <c r="T192" i="18"/>
  <c r="U192" i="18"/>
  <c r="V192" i="18"/>
  <c r="W192" i="18"/>
  <c r="X192" i="18"/>
  <c r="Y192" i="18"/>
  <c r="Z192" i="18"/>
  <c r="AA192" i="18"/>
  <c r="C193" i="18"/>
  <c r="D193" i="18"/>
  <c r="E193" i="18"/>
  <c r="F193" i="18"/>
  <c r="G193" i="18"/>
  <c r="H193" i="18"/>
  <c r="I193" i="18"/>
  <c r="J193" i="18"/>
  <c r="K193" i="18"/>
  <c r="L193" i="18"/>
  <c r="M193" i="18"/>
  <c r="N193" i="18"/>
  <c r="O193" i="18"/>
  <c r="P193" i="18"/>
  <c r="Q193" i="18"/>
  <c r="R193" i="18"/>
  <c r="S193" i="18"/>
  <c r="T193" i="18"/>
  <c r="U193" i="18"/>
  <c r="V193" i="18"/>
  <c r="W193" i="18"/>
  <c r="X193" i="18"/>
  <c r="Y193" i="18"/>
  <c r="Z193" i="18"/>
  <c r="AA193" i="18"/>
  <c r="C194" i="18"/>
  <c r="D194" i="18"/>
  <c r="E194" i="18"/>
  <c r="F194" i="18"/>
  <c r="G194" i="18"/>
  <c r="H194" i="18"/>
  <c r="I194" i="18"/>
  <c r="J194" i="18"/>
  <c r="K194" i="18"/>
  <c r="L194" i="18"/>
  <c r="M194" i="18"/>
  <c r="N194" i="18"/>
  <c r="O194" i="18"/>
  <c r="P194" i="18"/>
  <c r="Q194" i="18"/>
  <c r="R194" i="18"/>
  <c r="S194" i="18"/>
  <c r="T194" i="18"/>
  <c r="U194" i="18"/>
  <c r="V194" i="18"/>
  <c r="W194" i="18"/>
  <c r="X194" i="18"/>
  <c r="Y194" i="18"/>
  <c r="Z194" i="18"/>
  <c r="AA194" i="18"/>
  <c r="C195" i="18"/>
  <c r="D195" i="18"/>
  <c r="E195" i="18"/>
  <c r="F195" i="18"/>
  <c r="G195" i="18"/>
  <c r="H195" i="18"/>
  <c r="I195" i="18"/>
  <c r="J195" i="18"/>
  <c r="K195" i="18"/>
  <c r="L195" i="18"/>
  <c r="M195" i="18"/>
  <c r="N195" i="18"/>
  <c r="O195" i="18"/>
  <c r="P195" i="18"/>
  <c r="Q195" i="18"/>
  <c r="R195" i="18"/>
  <c r="S195" i="18"/>
  <c r="T195" i="18"/>
  <c r="U195" i="18"/>
  <c r="V195" i="18"/>
  <c r="W195" i="18"/>
  <c r="X195" i="18"/>
  <c r="Y195" i="18"/>
  <c r="Z195" i="18"/>
  <c r="AA195" i="18"/>
  <c r="C196" i="18"/>
  <c r="D196" i="18"/>
  <c r="E196" i="18"/>
  <c r="F196" i="18"/>
  <c r="G196" i="18"/>
  <c r="H196" i="18"/>
  <c r="I196" i="18"/>
  <c r="J196" i="18"/>
  <c r="K196" i="18"/>
  <c r="L196" i="18"/>
  <c r="M196" i="18"/>
  <c r="N196" i="18"/>
  <c r="O196" i="18"/>
  <c r="P196" i="18"/>
  <c r="Q196" i="18"/>
  <c r="R196" i="18"/>
  <c r="S196" i="18"/>
  <c r="T196" i="18"/>
  <c r="U196" i="18"/>
  <c r="V196" i="18"/>
  <c r="W196" i="18"/>
  <c r="X196" i="18"/>
  <c r="Y196" i="18"/>
  <c r="Z196" i="18"/>
  <c r="AA196" i="18"/>
  <c r="C197" i="18"/>
  <c r="D197" i="18"/>
  <c r="E197" i="18"/>
  <c r="F197" i="18"/>
  <c r="G197" i="18"/>
  <c r="H197" i="18"/>
  <c r="I197" i="18"/>
  <c r="J197" i="18"/>
  <c r="K197" i="18"/>
  <c r="L197" i="18"/>
  <c r="M197" i="18"/>
  <c r="N197" i="18"/>
  <c r="O197" i="18"/>
  <c r="P197" i="18"/>
  <c r="Q197" i="18"/>
  <c r="R197" i="18"/>
  <c r="S197" i="18"/>
  <c r="T197" i="18"/>
  <c r="U197" i="18"/>
  <c r="V197" i="18"/>
  <c r="W197" i="18"/>
  <c r="X197" i="18"/>
  <c r="Y197" i="18"/>
  <c r="Z197" i="18"/>
  <c r="AA197" i="18"/>
  <c r="C198" i="18"/>
  <c r="D198" i="18"/>
  <c r="E198" i="18"/>
  <c r="F198" i="18"/>
  <c r="G198" i="18"/>
  <c r="H198" i="18"/>
  <c r="I198" i="18"/>
  <c r="J198" i="18"/>
  <c r="K198" i="18"/>
  <c r="L198" i="18"/>
  <c r="M198" i="18"/>
  <c r="N198" i="18"/>
  <c r="O198" i="18"/>
  <c r="P198" i="18"/>
  <c r="Q198" i="18"/>
  <c r="R198" i="18"/>
  <c r="S198" i="18"/>
  <c r="T198" i="18"/>
  <c r="U198" i="18"/>
  <c r="V198" i="18"/>
  <c r="W198" i="18"/>
  <c r="X198" i="18"/>
  <c r="Y198" i="18"/>
  <c r="Z198" i="18"/>
  <c r="AA198" i="18"/>
  <c r="C199" i="18"/>
  <c r="D199" i="18"/>
  <c r="E199" i="18"/>
  <c r="F199" i="18"/>
  <c r="G199" i="18"/>
  <c r="H199" i="18"/>
  <c r="I199" i="18"/>
  <c r="J199" i="18"/>
  <c r="K199" i="18"/>
  <c r="L199" i="18"/>
  <c r="M199" i="18"/>
  <c r="N199" i="18"/>
  <c r="O199" i="18"/>
  <c r="P199" i="18"/>
  <c r="Q199" i="18"/>
  <c r="R199" i="18"/>
  <c r="S199" i="18"/>
  <c r="T199" i="18"/>
  <c r="U199" i="18"/>
  <c r="V199" i="18"/>
  <c r="W199" i="18"/>
  <c r="X199" i="18"/>
  <c r="Y199" i="18"/>
  <c r="Z199" i="18"/>
  <c r="AA199" i="18"/>
  <c r="C200" i="18"/>
  <c r="D200" i="18"/>
  <c r="E200" i="18"/>
  <c r="F200" i="18"/>
  <c r="G200" i="18"/>
  <c r="H200" i="18"/>
  <c r="I200" i="18"/>
  <c r="J200" i="18"/>
  <c r="K200" i="18"/>
  <c r="L200" i="18"/>
  <c r="M200" i="18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Z200" i="18"/>
  <c r="AA200" i="18"/>
  <c r="C201" i="18"/>
  <c r="D201" i="18"/>
  <c r="E201" i="18"/>
  <c r="F201" i="18"/>
  <c r="G201" i="18"/>
  <c r="H201" i="18"/>
  <c r="I201" i="18"/>
  <c r="J201" i="18"/>
  <c r="K201" i="18"/>
  <c r="L201" i="18"/>
  <c r="M201" i="18"/>
  <c r="N201" i="18"/>
  <c r="O201" i="18"/>
  <c r="P201" i="18"/>
  <c r="Q201" i="18"/>
  <c r="R201" i="18"/>
  <c r="S201" i="18"/>
  <c r="T201" i="18"/>
  <c r="U201" i="18"/>
  <c r="V201" i="18"/>
  <c r="W201" i="18"/>
  <c r="X201" i="18"/>
  <c r="Y201" i="18"/>
  <c r="Z201" i="18"/>
  <c r="AA201" i="18"/>
  <c r="C202" i="18"/>
  <c r="D202" i="18"/>
  <c r="E202" i="18"/>
  <c r="F202" i="18"/>
  <c r="G202" i="18"/>
  <c r="H202" i="18"/>
  <c r="I202" i="18"/>
  <c r="J202" i="18"/>
  <c r="K202" i="18"/>
  <c r="L202" i="18"/>
  <c r="M202" i="18"/>
  <c r="N202" i="18"/>
  <c r="O202" i="18"/>
  <c r="P202" i="18"/>
  <c r="Q202" i="18"/>
  <c r="R202" i="18"/>
  <c r="S202" i="18"/>
  <c r="T202" i="18"/>
  <c r="U202" i="18"/>
  <c r="V202" i="18"/>
  <c r="W202" i="18"/>
  <c r="X202" i="18"/>
  <c r="Y202" i="18"/>
  <c r="Z202" i="18"/>
  <c r="AA202" i="18"/>
  <c r="C203" i="18"/>
  <c r="D203" i="18"/>
  <c r="E203" i="18"/>
  <c r="F203" i="18"/>
  <c r="G203" i="18"/>
  <c r="H203" i="18"/>
  <c r="I203" i="18"/>
  <c r="J203" i="18"/>
  <c r="K203" i="18"/>
  <c r="L203" i="18"/>
  <c r="M203" i="18"/>
  <c r="N203" i="18"/>
  <c r="O203" i="18"/>
  <c r="P203" i="18"/>
  <c r="Q203" i="18"/>
  <c r="R203" i="18"/>
  <c r="S203" i="18"/>
  <c r="T203" i="18"/>
  <c r="U203" i="18"/>
  <c r="V203" i="18"/>
  <c r="W203" i="18"/>
  <c r="X203" i="18"/>
  <c r="Y203" i="18"/>
  <c r="Z203" i="18"/>
  <c r="AA203" i="18"/>
  <c r="C204" i="18"/>
  <c r="D204" i="18"/>
  <c r="E204" i="18"/>
  <c r="F204" i="18"/>
  <c r="G204" i="18"/>
  <c r="H204" i="18"/>
  <c r="I204" i="18"/>
  <c r="J204" i="18"/>
  <c r="K204" i="18"/>
  <c r="L204" i="18"/>
  <c r="M204" i="18"/>
  <c r="N204" i="18"/>
  <c r="O204" i="18"/>
  <c r="P204" i="18"/>
  <c r="Q204" i="18"/>
  <c r="R204" i="18"/>
  <c r="S204" i="18"/>
  <c r="T204" i="18"/>
  <c r="U204" i="18"/>
  <c r="V204" i="18"/>
  <c r="W204" i="18"/>
  <c r="X204" i="18"/>
  <c r="Y204" i="18"/>
  <c r="Z204" i="18"/>
  <c r="AA204" i="18"/>
  <c r="C205" i="18"/>
  <c r="D205" i="18"/>
  <c r="E205" i="18"/>
  <c r="F205" i="18"/>
  <c r="G205" i="18"/>
  <c r="H205" i="18"/>
  <c r="I205" i="18"/>
  <c r="J205" i="18"/>
  <c r="K205" i="18"/>
  <c r="L205" i="18"/>
  <c r="M205" i="18"/>
  <c r="N205" i="18"/>
  <c r="O205" i="18"/>
  <c r="P205" i="18"/>
  <c r="Q205" i="18"/>
  <c r="R205" i="18"/>
  <c r="S205" i="18"/>
  <c r="T205" i="18"/>
  <c r="U205" i="18"/>
  <c r="V205" i="18"/>
  <c r="W205" i="18"/>
  <c r="X205" i="18"/>
  <c r="Y205" i="18"/>
  <c r="Z205" i="18"/>
  <c r="AA205" i="18"/>
  <c r="C206" i="18"/>
  <c r="D206" i="18"/>
  <c r="E206" i="18"/>
  <c r="F206" i="18"/>
  <c r="G206" i="18"/>
  <c r="H206" i="18"/>
  <c r="I206" i="18"/>
  <c r="J206" i="18"/>
  <c r="K206" i="18"/>
  <c r="L206" i="18"/>
  <c r="M206" i="18"/>
  <c r="N206" i="18"/>
  <c r="O206" i="18"/>
  <c r="P206" i="18"/>
  <c r="Q206" i="18"/>
  <c r="R206" i="18"/>
  <c r="S206" i="18"/>
  <c r="T206" i="18"/>
  <c r="U206" i="18"/>
  <c r="V206" i="18"/>
  <c r="W206" i="18"/>
  <c r="X206" i="18"/>
  <c r="Y206" i="18"/>
  <c r="Z206" i="18"/>
  <c r="AA206" i="18"/>
  <c r="C207" i="18"/>
  <c r="D207" i="18"/>
  <c r="E207" i="18"/>
  <c r="F207" i="18"/>
  <c r="G207" i="18"/>
  <c r="H207" i="18"/>
  <c r="I207" i="18"/>
  <c r="J207" i="18"/>
  <c r="K207" i="18"/>
  <c r="L207" i="18"/>
  <c r="M207" i="18"/>
  <c r="N207" i="18"/>
  <c r="O207" i="18"/>
  <c r="P207" i="18"/>
  <c r="Q207" i="18"/>
  <c r="R207" i="18"/>
  <c r="S207" i="18"/>
  <c r="T207" i="18"/>
  <c r="U207" i="18"/>
  <c r="V207" i="18"/>
  <c r="W207" i="18"/>
  <c r="X207" i="18"/>
  <c r="Y207" i="18"/>
  <c r="Z207" i="18"/>
  <c r="AA207" i="18"/>
  <c r="C208" i="18"/>
  <c r="D208" i="18"/>
  <c r="E208" i="18"/>
  <c r="F208" i="18"/>
  <c r="G208" i="18"/>
  <c r="H208" i="18"/>
  <c r="I208" i="18"/>
  <c r="J208" i="18"/>
  <c r="K208" i="18"/>
  <c r="L208" i="18"/>
  <c r="M208" i="18"/>
  <c r="N208" i="18"/>
  <c r="O208" i="18"/>
  <c r="P208" i="18"/>
  <c r="Q208" i="18"/>
  <c r="R208" i="18"/>
  <c r="S208" i="18"/>
  <c r="T208" i="18"/>
  <c r="U208" i="18"/>
  <c r="V208" i="18"/>
  <c r="W208" i="18"/>
  <c r="X208" i="18"/>
  <c r="Y208" i="18"/>
  <c r="Z208" i="18"/>
  <c r="AA208" i="18"/>
  <c r="C209" i="18"/>
  <c r="D209" i="18"/>
  <c r="E209" i="18"/>
  <c r="F209" i="18"/>
  <c r="G209" i="18"/>
  <c r="H209" i="18"/>
  <c r="I209" i="18"/>
  <c r="J209" i="18"/>
  <c r="K209" i="18"/>
  <c r="L209" i="18"/>
  <c r="M209" i="18"/>
  <c r="N209" i="18"/>
  <c r="O209" i="18"/>
  <c r="P209" i="18"/>
  <c r="Q209" i="18"/>
  <c r="R209" i="18"/>
  <c r="S209" i="18"/>
  <c r="T209" i="18"/>
  <c r="U209" i="18"/>
  <c r="V209" i="18"/>
  <c r="W209" i="18"/>
  <c r="X209" i="18"/>
  <c r="Y209" i="18"/>
  <c r="Z209" i="18"/>
  <c r="AA209" i="18"/>
  <c r="C210" i="18"/>
  <c r="D210" i="18"/>
  <c r="E210" i="18"/>
  <c r="F210" i="18"/>
  <c r="G210" i="18"/>
  <c r="H210" i="18"/>
  <c r="I210" i="18"/>
  <c r="J210" i="18"/>
  <c r="K210" i="18"/>
  <c r="L210" i="18"/>
  <c r="M210" i="18"/>
  <c r="N210" i="18"/>
  <c r="O210" i="18"/>
  <c r="P210" i="18"/>
  <c r="Q210" i="18"/>
  <c r="R210" i="18"/>
  <c r="S210" i="18"/>
  <c r="T210" i="18"/>
  <c r="U210" i="18"/>
  <c r="V210" i="18"/>
  <c r="W210" i="18"/>
  <c r="X210" i="18"/>
  <c r="Y210" i="18"/>
  <c r="Z210" i="18"/>
  <c r="AA210" i="18"/>
  <c r="C211" i="18"/>
  <c r="D211" i="18"/>
  <c r="E211" i="18"/>
  <c r="F211" i="18"/>
  <c r="G211" i="18"/>
  <c r="H211" i="18"/>
  <c r="I211" i="18"/>
  <c r="J211" i="18"/>
  <c r="K211" i="18"/>
  <c r="L211" i="18"/>
  <c r="M211" i="18"/>
  <c r="N211" i="18"/>
  <c r="O211" i="18"/>
  <c r="P211" i="18"/>
  <c r="Q211" i="18"/>
  <c r="R211" i="18"/>
  <c r="S211" i="18"/>
  <c r="T211" i="18"/>
  <c r="U211" i="18"/>
  <c r="V211" i="18"/>
  <c r="W211" i="18"/>
  <c r="X211" i="18"/>
  <c r="Y211" i="18"/>
  <c r="Z211" i="18"/>
  <c r="AA211" i="18"/>
  <c r="C212" i="18"/>
  <c r="D212" i="18"/>
  <c r="E212" i="18"/>
  <c r="F212" i="18"/>
  <c r="G212" i="18"/>
  <c r="H212" i="18"/>
  <c r="I212" i="18"/>
  <c r="J212" i="18"/>
  <c r="K212" i="18"/>
  <c r="L212" i="18"/>
  <c r="M212" i="18"/>
  <c r="N212" i="18"/>
  <c r="O212" i="18"/>
  <c r="P212" i="18"/>
  <c r="Q212" i="18"/>
  <c r="R212" i="18"/>
  <c r="S212" i="18"/>
  <c r="T212" i="18"/>
  <c r="U212" i="18"/>
  <c r="V212" i="18"/>
  <c r="W212" i="18"/>
  <c r="X212" i="18"/>
  <c r="Y212" i="18"/>
  <c r="Z212" i="18"/>
  <c r="AA212" i="18"/>
  <c r="C213" i="18"/>
  <c r="D213" i="18"/>
  <c r="E213" i="18"/>
  <c r="F213" i="18"/>
  <c r="G213" i="18"/>
  <c r="H213" i="18"/>
  <c r="I213" i="18"/>
  <c r="J213" i="18"/>
  <c r="K213" i="18"/>
  <c r="L213" i="18"/>
  <c r="M213" i="18"/>
  <c r="N213" i="18"/>
  <c r="O213" i="18"/>
  <c r="P213" i="18"/>
  <c r="Q213" i="18"/>
  <c r="R213" i="18"/>
  <c r="S213" i="18"/>
  <c r="T213" i="18"/>
  <c r="U213" i="18"/>
  <c r="V213" i="18"/>
  <c r="W213" i="18"/>
  <c r="X213" i="18"/>
  <c r="Y213" i="18"/>
  <c r="Z213" i="18"/>
  <c r="AA213" i="18"/>
  <c r="C214" i="18"/>
  <c r="D214" i="18"/>
  <c r="E214" i="18"/>
  <c r="F214" i="18"/>
  <c r="G214" i="18"/>
  <c r="H214" i="18"/>
  <c r="I214" i="18"/>
  <c r="J214" i="18"/>
  <c r="K214" i="18"/>
  <c r="L214" i="18"/>
  <c r="M214" i="18"/>
  <c r="N214" i="18"/>
  <c r="O214" i="18"/>
  <c r="P214" i="18"/>
  <c r="Q214" i="18"/>
  <c r="R214" i="18"/>
  <c r="S214" i="18"/>
  <c r="T214" i="18"/>
  <c r="U214" i="18"/>
  <c r="V214" i="18"/>
  <c r="W214" i="18"/>
  <c r="X214" i="18"/>
  <c r="Y214" i="18"/>
  <c r="Z214" i="18"/>
  <c r="AA214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A51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A55" i="17"/>
  <c r="C56" i="17"/>
  <c r="D56" i="17"/>
  <c r="E56" i="17"/>
  <c r="F56" i="17"/>
  <c r="G56" i="17"/>
  <c r="H56" i="17"/>
  <c r="I56" i="17"/>
  <c r="J56" i="17"/>
  <c r="K56" i="17"/>
  <c r="L56" i="17"/>
  <c r="M56" i="17"/>
  <c r="N56" i="17"/>
  <c r="O56" i="17"/>
  <c r="P56" i="17"/>
  <c r="Q56" i="17"/>
  <c r="R56" i="17"/>
  <c r="S56" i="17"/>
  <c r="T56" i="17"/>
  <c r="U56" i="17"/>
  <c r="V56" i="17"/>
  <c r="W56" i="17"/>
  <c r="X56" i="17"/>
  <c r="Y56" i="17"/>
  <c r="Z56" i="17"/>
  <c r="AA56" i="17"/>
  <c r="C57" i="17"/>
  <c r="D57" i="17"/>
  <c r="E57" i="17"/>
  <c r="F57" i="17"/>
  <c r="G57" i="17"/>
  <c r="H57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C58" i="17"/>
  <c r="D58" i="17"/>
  <c r="E58" i="17"/>
  <c r="F58" i="17"/>
  <c r="G58" i="17"/>
  <c r="H58" i="17"/>
  <c r="I58" i="17"/>
  <c r="J58" i="17"/>
  <c r="K58" i="17"/>
  <c r="L58" i="17"/>
  <c r="M58" i="17"/>
  <c r="N58" i="17"/>
  <c r="O58" i="17"/>
  <c r="P58" i="17"/>
  <c r="Q58" i="17"/>
  <c r="R58" i="17"/>
  <c r="S58" i="17"/>
  <c r="T58" i="17"/>
  <c r="U58" i="17"/>
  <c r="V58" i="17"/>
  <c r="W58" i="17"/>
  <c r="X58" i="17"/>
  <c r="Y58" i="17"/>
  <c r="Z58" i="17"/>
  <c r="AA58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A59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A61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Z62" i="17"/>
  <c r="AA62" i="17"/>
  <c r="C63" i="17"/>
  <c r="D63" i="17"/>
  <c r="E63" i="17"/>
  <c r="F63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A63" i="17"/>
  <c r="C64" i="17"/>
  <c r="D64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C65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A65" i="17"/>
  <c r="C66" i="17"/>
  <c r="D66" i="17"/>
  <c r="E66" i="17"/>
  <c r="F66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W66" i="17"/>
  <c r="X66" i="17"/>
  <c r="Y66" i="17"/>
  <c r="Z66" i="17"/>
  <c r="AA66" i="17"/>
  <c r="C67" i="17"/>
  <c r="D67" i="17"/>
  <c r="E67" i="17"/>
  <c r="F67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A67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Z68" i="17"/>
  <c r="AA68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Z69" i="17"/>
  <c r="AA69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Z70" i="17"/>
  <c r="AA70" i="17"/>
  <c r="C71" i="17"/>
  <c r="D71" i="17"/>
  <c r="E71" i="17"/>
  <c r="F71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U71" i="17"/>
  <c r="V71" i="17"/>
  <c r="W71" i="17"/>
  <c r="X71" i="17"/>
  <c r="Y71" i="17"/>
  <c r="Z71" i="17"/>
  <c r="AA71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T72" i="17"/>
  <c r="U72" i="17"/>
  <c r="V72" i="17"/>
  <c r="W72" i="17"/>
  <c r="X72" i="17"/>
  <c r="Y72" i="17"/>
  <c r="Z72" i="17"/>
  <c r="AA72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Z73" i="17"/>
  <c r="AA73" i="17"/>
  <c r="C74" i="17"/>
  <c r="D74" i="17"/>
  <c r="E74" i="17"/>
  <c r="F74" i="17"/>
  <c r="G74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T74" i="17"/>
  <c r="U74" i="17"/>
  <c r="V74" i="17"/>
  <c r="W74" i="17"/>
  <c r="X74" i="17"/>
  <c r="Y74" i="17"/>
  <c r="Z74" i="17"/>
  <c r="AA74" i="17"/>
  <c r="C75" i="17"/>
  <c r="D75" i="17"/>
  <c r="E75" i="17"/>
  <c r="F75" i="17"/>
  <c r="G75" i="17"/>
  <c r="H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U75" i="17"/>
  <c r="V75" i="17"/>
  <c r="W75" i="17"/>
  <c r="X75" i="17"/>
  <c r="Y75" i="17"/>
  <c r="Z75" i="17"/>
  <c r="AA75" i="17"/>
  <c r="C76" i="17"/>
  <c r="D76" i="17"/>
  <c r="E76" i="17"/>
  <c r="F76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W76" i="17"/>
  <c r="X76" i="17"/>
  <c r="Y76" i="17"/>
  <c r="Z76" i="17"/>
  <c r="AA76" i="17"/>
  <c r="C77" i="17"/>
  <c r="D77" i="17"/>
  <c r="E77" i="17"/>
  <c r="F77" i="17"/>
  <c r="G77" i="17"/>
  <c r="H77" i="17"/>
  <c r="I77" i="17"/>
  <c r="J77" i="17"/>
  <c r="K77" i="17"/>
  <c r="L77" i="17"/>
  <c r="M77" i="17"/>
  <c r="N77" i="17"/>
  <c r="O77" i="17"/>
  <c r="P77" i="17"/>
  <c r="Q77" i="17"/>
  <c r="R77" i="17"/>
  <c r="S77" i="17"/>
  <c r="T77" i="17"/>
  <c r="U77" i="17"/>
  <c r="V77" i="17"/>
  <c r="W77" i="17"/>
  <c r="X77" i="17"/>
  <c r="Y77" i="17"/>
  <c r="Z77" i="17"/>
  <c r="AA77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W78" i="17"/>
  <c r="X78" i="17"/>
  <c r="Y78" i="17"/>
  <c r="Z78" i="17"/>
  <c r="AA78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Z79" i="17"/>
  <c r="AA79" i="17"/>
  <c r="C80" i="17"/>
  <c r="D80" i="17"/>
  <c r="E80" i="17"/>
  <c r="F80" i="17"/>
  <c r="G80" i="17"/>
  <c r="H80" i="17"/>
  <c r="I80" i="17"/>
  <c r="J80" i="17"/>
  <c r="K80" i="17"/>
  <c r="L80" i="17"/>
  <c r="M80" i="17"/>
  <c r="N80" i="17"/>
  <c r="O80" i="17"/>
  <c r="P80" i="17"/>
  <c r="Q80" i="17"/>
  <c r="R80" i="17"/>
  <c r="S80" i="17"/>
  <c r="T80" i="17"/>
  <c r="U80" i="17"/>
  <c r="V80" i="17"/>
  <c r="W80" i="17"/>
  <c r="X80" i="17"/>
  <c r="Y80" i="17"/>
  <c r="Z80" i="17"/>
  <c r="AA80" i="17"/>
  <c r="C81" i="17"/>
  <c r="D81" i="17"/>
  <c r="E81" i="17"/>
  <c r="F81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W81" i="17"/>
  <c r="X81" i="17"/>
  <c r="Y81" i="17"/>
  <c r="Z81" i="17"/>
  <c r="AA81" i="17"/>
  <c r="C85" i="17"/>
  <c r="D85" i="17"/>
  <c r="E85" i="17"/>
  <c r="F85" i="17"/>
  <c r="G85" i="17"/>
  <c r="H85" i="17"/>
  <c r="I85" i="17"/>
  <c r="J85" i="17"/>
  <c r="K85" i="17"/>
  <c r="L85" i="17"/>
  <c r="M85" i="17"/>
  <c r="N85" i="17"/>
  <c r="O85" i="17"/>
  <c r="P85" i="17"/>
  <c r="Q85" i="17"/>
  <c r="R85" i="17"/>
  <c r="S85" i="17"/>
  <c r="T85" i="17"/>
  <c r="U85" i="17"/>
  <c r="V85" i="17"/>
  <c r="W85" i="17"/>
  <c r="X85" i="17"/>
  <c r="Y85" i="17"/>
  <c r="Z85" i="17"/>
  <c r="AA85" i="17"/>
  <c r="C86" i="17"/>
  <c r="D86" i="17"/>
  <c r="E86" i="17"/>
  <c r="F86" i="17"/>
  <c r="G86" i="17"/>
  <c r="H86" i="17"/>
  <c r="I86" i="17"/>
  <c r="J86" i="17"/>
  <c r="K86" i="17"/>
  <c r="L86" i="17"/>
  <c r="M86" i="17"/>
  <c r="N86" i="17"/>
  <c r="O86" i="17"/>
  <c r="P86" i="17"/>
  <c r="Q86" i="17"/>
  <c r="R86" i="17"/>
  <c r="S86" i="17"/>
  <c r="T86" i="17"/>
  <c r="U86" i="17"/>
  <c r="V86" i="17"/>
  <c r="W86" i="17"/>
  <c r="X86" i="17"/>
  <c r="Y86" i="17"/>
  <c r="Z86" i="17"/>
  <c r="AA86" i="17"/>
  <c r="C87" i="17"/>
  <c r="D87" i="17"/>
  <c r="E87" i="17"/>
  <c r="F87" i="17"/>
  <c r="G87" i="17"/>
  <c r="H87" i="17"/>
  <c r="I87" i="17"/>
  <c r="J87" i="17"/>
  <c r="K87" i="17"/>
  <c r="L87" i="17"/>
  <c r="M87" i="17"/>
  <c r="N87" i="17"/>
  <c r="O87" i="17"/>
  <c r="P87" i="17"/>
  <c r="Q87" i="17"/>
  <c r="R87" i="17"/>
  <c r="S87" i="17"/>
  <c r="T87" i="17"/>
  <c r="U87" i="17"/>
  <c r="V87" i="17"/>
  <c r="W87" i="17"/>
  <c r="X87" i="17"/>
  <c r="Y87" i="17"/>
  <c r="Z87" i="17"/>
  <c r="AA87" i="17"/>
  <c r="C88" i="17"/>
  <c r="D88" i="17"/>
  <c r="E88" i="17"/>
  <c r="F88" i="17"/>
  <c r="G88" i="17"/>
  <c r="H88" i="17"/>
  <c r="I88" i="17"/>
  <c r="J88" i="17"/>
  <c r="K88" i="17"/>
  <c r="L88" i="17"/>
  <c r="M88" i="17"/>
  <c r="N88" i="17"/>
  <c r="O88" i="17"/>
  <c r="P88" i="17"/>
  <c r="Q88" i="17"/>
  <c r="R88" i="17"/>
  <c r="S88" i="17"/>
  <c r="T88" i="17"/>
  <c r="U88" i="17"/>
  <c r="V88" i="17"/>
  <c r="W88" i="17"/>
  <c r="X88" i="17"/>
  <c r="Y88" i="17"/>
  <c r="Z88" i="17"/>
  <c r="AA88" i="17"/>
  <c r="C89" i="17"/>
  <c r="D89" i="17"/>
  <c r="E89" i="17"/>
  <c r="F89" i="17"/>
  <c r="G89" i="17"/>
  <c r="H89" i="17"/>
  <c r="I89" i="17"/>
  <c r="J89" i="17"/>
  <c r="K89" i="17"/>
  <c r="L89" i="17"/>
  <c r="M89" i="17"/>
  <c r="N89" i="17"/>
  <c r="O89" i="17"/>
  <c r="P89" i="17"/>
  <c r="Q89" i="17"/>
  <c r="R89" i="17"/>
  <c r="S89" i="17"/>
  <c r="T89" i="17"/>
  <c r="U89" i="17"/>
  <c r="V89" i="17"/>
  <c r="W89" i="17"/>
  <c r="X89" i="17"/>
  <c r="Y89" i="17"/>
  <c r="Z89" i="17"/>
  <c r="AA89" i="17"/>
  <c r="C90" i="17"/>
  <c r="D90" i="17"/>
  <c r="E90" i="17"/>
  <c r="F90" i="17"/>
  <c r="G90" i="17"/>
  <c r="H90" i="17"/>
  <c r="I90" i="17"/>
  <c r="J90" i="17"/>
  <c r="K90" i="17"/>
  <c r="L90" i="17"/>
  <c r="M90" i="17"/>
  <c r="N90" i="17"/>
  <c r="O90" i="17"/>
  <c r="P90" i="17"/>
  <c r="Q90" i="17"/>
  <c r="R90" i="17"/>
  <c r="S90" i="17"/>
  <c r="T90" i="17"/>
  <c r="U90" i="17"/>
  <c r="V90" i="17"/>
  <c r="W90" i="17"/>
  <c r="X90" i="17"/>
  <c r="Y90" i="17"/>
  <c r="Z90" i="17"/>
  <c r="AA90" i="17"/>
  <c r="C91" i="17"/>
  <c r="D91" i="17"/>
  <c r="E91" i="17"/>
  <c r="F91" i="17"/>
  <c r="G91" i="17"/>
  <c r="H91" i="17"/>
  <c r="I91" i="17"/>
  <c r="J91" i="17"/>
  <c r="K91" i="17"/>
  <c r="L91" i="17"/>
  <c r="M91" i="17"/>
  <c r="N91" i="17"/>
  <c r="O91" i="17"/>
  <c r="P91" i="17"/>
  <c r="Q91" i="17"/>
  <c r="R91" i="17"/>
  <c r="S91" i="17"/>
  <c r="T91" i="17"/>
  <c r="U91" i="17"/>
  <c r="V91" i="17"/>
  <c r="W91" i="17"/>
  <c r="X91" i="17"/>
  <c r="Y91" i="17"/>
  <c r="Z91" i="17"/>
  <c r="AA91" i="17"/>
  <c r="C92" i="17"/>
  <c r="D92" i="17"/>
  <c r="E92" i="17"/>
  <c r="F92" i="17"/>
  <c r="G92" i="17"/>
  <c r="H92" i="17"/>
  <c r="I92" i="17"/>
  <c r="J92" i="17"/>
  <c r="K92" i="17"/>
  <c r="L92" i="17"/>
  <c r="M92" i="17"/>
  <c r="N92" i="17"/>
  <c r="O92" i="17"/>
  <c r="P92" i="17"/>
  <c r="Q92" i="17"/>
  <c r="R92" i="17"/>
  <c r="S92" i="17"/>
  <c r="T92" i="17"/>
  <c r="U92" i="17"/>
  <c r="V92" i="17"/>
  <c r="W92" i="17"/>
  <c r="X92" i="17"/>
  <c r="Y92" i="17"/>
  <c r="Z92" i="17"/>
  <c r="AA92" i="17"/>
  <c r="C93" i="17"/>
  <c r="D93" i="17"/>
  <c r="E93" i="17"/>
  <c r="F93" i="17"/>
  <c r="G93" i="17"/>
  <c r="H93" i="17"/>
  <c r="I93" i="17"/>
  <c r="J93" i="17"/>
  <c r="K93" i="17"/>
  <c r="L93" i="17"/>
  <c r="M93" i="17"/>
  <c r="N93" i="17"/>
  <c r="O93" i="17"/>
  <c r="P93" i="17"/>
  <c r="Q93" i="17"/>
  <c r="R93" i="17"/>
  <c r="S93" i="17"/>
  <c r="T93" i="17"/>
  <c r="U93" i="17"/>
  <c r="V93" i="17"/>
  <c r="W93" i="17"/>
  <c r="X93" i="17"/>
  <c r="Y93" i="17"/>
  <c r="Z93" i="17"/>
  <c r="AA93" i="17"/>
  <c r="C94" i="17"/>
  <c r="D94" i="17"/>
  <c r="E94" i="17"/>
  <c r="F94" i="17"/>
  <c r="G94" i="17"/>
  <c r="H94" i="17"/>
  <c r="I94" i="17"/>
  <c r="J94" i="17"/>
  <c r="K94" i="17"/>
  <c r="L94" i="17"/>
  <c r="M94" i="17"/>
  <c r="N94" i="17"/>
  <c r="O94" i="17"/>
  <c r="P94" i="17"/>
  <c r="Q94" i="17"/>
  <c r="R94" i="17"/>
  <c r="S94" i="17"/>
  <c r="T94" i="17"/>
  <c r="U94" i="17"/>
  <c r="V94" i="17"/>
  <c r="W94" i="17"/>
  <c r="X94" i="17"/>
  <c r="Y94" i="17"/>
  <c r="Z94" i="17"/>
  <c r="AA94" i="17"/>
  <c r="C95" i="17"/>
  <c r="D95" i="17"/>
  <c r="E95" i="17"/>
  <c r="F95" i="17"/>
  <c r="G95" i="17"/>
  <c r="H95" i="17"/>
  <c r="I95" i="17"/>
  <c r="J95" i="17"/>
  <c r="K95" i="17"/>
  <c r="L95" i="17"/>
  <c r="M95" i="17"/>
  <c r="N95" i="17"/>
  <c r="O95" i="17"/>
  <c r="P95" i="17"/>
  <c r="Q95" i="17"/>
  <c r="R95" i="17"/>
  <c r="S95" i="17"/>
  <c r="T95" i="17"/>
  <c r="U95" i="17"/>
  <c r="V95" i="17"/>
  <c r="W95" i="17"/>
  <c r="X95" i="17"/>
  <c r="Y95" i="17"/>
  <c r="Z95" i="17"/>
  <c r="AA95" i="17"/>
  <c r="C96" i="17"/>
  <c r="D96" i="17"/>
  <c r="E96" i="17"/>
  <c r="F96" i="17"/>
  <c r="G96" i="17"/>
  <c r="H96" i="17"/>
  <c r="I96" i="17"/>
  <c r="J96" i="17"/>
  <c r="K96" i="17"/>
  <c r="L96" i="17"/>
  <c r="M96" i="17"/>
  <c r="N96" i="17"/>
  <c r="O96" i="17"/>
  <c r="P96" i="17"/>
  <c r="Q96" i="17"/>
  <c r="R96" i="17"/>
  <c r="S96" i="17"/>
  <c r="T96" i="17"/>
  <c r="U96" i="17"/>
  <c r="V96" i="17"/>
  <c r="W96" i="17"/>
  <c r="X96" i="17"/>
  <c r="Y96" i="17"/>
  <c r="Z96" i="17"/>
  <c r="AA96" i="17"/>
  <c r="C97" i="17"/>
  <c r="D97" i="17"/>
  <c r="E97" i="17"/>
  <c r="F97" i="17"/>
  <c r="G97" i="17"/>
  <c r="H97" i="17"/>
  <c r="I97" i="17"/>
  <c r="J97" i="17"/>
  <c r="K97" i="17"/>
  <c r="L97" i="17"/>
  <c r="M97" i="17"/>
  <c r="N97" i="17"/>
  <c r="O97" i="17"/>
  <c r="P97" i="17"/>
  <c r="Q97" i="17"/>
  <c r="R97" i="17"/>
  <c r="S97" i="17"/>
  <c r="T97" i="17"/>
  <c r="U97" i="17"/>
  <c r="V97" i="17"/>
  <c r="W97" i="17"/>
  <c r="X97" i="17"/>
  <c r="Y97" i="17"/>
  <c r="Z97" i="17"/>
  <c r="AA97" i="17"/>
  <c r="C98" i="17"/>
  <c r="D98" i="17"/>
  <c r="E98" i="17"/>
  <c r="F98" i="17"/>
  <c r="G98" i="17"/>
  <c r="H98" i="17"/>
  <c r="I98" i="17"/>
  <c r="J98" i="17"/>
  <c r="K98" i="17"/>
  <c r="L98" i="17"/>
  <c r="M98" i="17"/>
  <c r="N98" i="17"/>
  <c r="O98" i="17"/>
  <c r="P98" i="17"/>
  <c r="Q98" i="17"/>
  <c r="R98" i="17"/>
  <c r="S98" i="17"/>
  <c r="T98" i="17"/>
  <c r="U98" i="17"/>
  <c r="V98" i="17"/>
  <c r="W98" i="17"/>
  <c r="X98" i="17"/>
  <c r="Y98" i="17"/>
  <c r="Z98" i="17"/>
  <c r="AA98" i="17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</calcChain>
</file>

<file path=xl/sharedStrings.xml><?xml version="1.0" encoding="utf-8"?>
<sst xmlns="http://schemas.openxmlformats.org/spreadsheetml/2006/main" count="8442" uniqueCount="2068">
  <si>
    <t>Revenue</t>
  </si>
  <si>
    <t>Total Revenue</t>
  </si>
  <si>
    <t>Gross Profit</t>
  </si>
  <si>
    <t>Cash &amp; Equivalents</t>
  </si>
  <si>
    <t>Reference Items</t>
  </si>
  <si>
    <t>Right click to show data transparency (not supported for all values)</t>
  </si>
  <si>
    <t>FY 2005</t>
  </si>
  <si>
    <t>Gilead Sciences Inc (GILD US) - Adj Highlights</t>
  </si>
  <si>
    <t>In Millions of USD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</si>
  <si>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</si>
  <si>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</si>
  <si>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</si>
  <si>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</si>
  <si>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</si>
  <si>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</si>
  <si>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</si>
  <si>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</si>
  <si>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</si>
  <si>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</si>
  <si>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</si>
  <si>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</si>
  <si>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</si>
  <si>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</si>
  <si>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</si>
  <si>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</si>
  <si>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</si>
  <si>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</si>
  <si>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</si>
  <si>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</si>
  <si>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</si>
  <si>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</si>
  <si>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</si>
  <si>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 Est</t>
  </si>
  <si>
    <t>Q2 2025 Est</t>
  </si>
  <si>
    <t>3 Months Ending</t>
  </si>
  <si>
    <t>06/30/2019</t>
  </si>
  <si>
    <t>09/30/2019</t>
  </si>
  <si>
    <t>12/31/2019</t>
  </si>
  <si>
    <t>03/31/2020</t>
  </si>
  <si>
    <t>06/30/2020</t>
  </si>
  <si>
    <t>09/30/2020</t>
  </si>
  <si>
    <t>12/31/2020</t>
  </si>
  <si>
    <t>03/31/2021</t>
  </si>
  <si>
    <t>06/30/2021</t>
  </si>
  <si>
    <t>09/30/2021</t>
  </si>
  <si>
    <t>12/31/2021</t>
  </si>
  <si>
    <t>03/31/2022</t>
  </si>
  <si>
    <t>06/30/2022</t>
  </si>
  <si>
    <t>09/30/2022</t>
  </si>
  <si>
    <t>12/31/2022</t>
  </si>
  <si>
    <t>03/31/2023</t>
  </si>
  <si>
    <t>06/30/2023</t>
  </si>
  <si>
    <t>09/30/2023</t>
  </si>
  <si>
    <t>12/31/2023</t>
  </si>
  <si>
    <t>03/31/2024</t>
  </si>
  <si>
    <t>06/30/2024</t>
  </si>
  <si>
    <t>09/30/2024</t>
  </si>
  <si>
    <t>12/31/2024</t>
  </si>
  <si>
    <t>03/31/2025</t>
  </si>
  <si>
    <t>06/30/2025</t>
  </si>
  <si>
    <t>Market Capitalization</t>
  </si>
  <si>
    <t>HISTORICAL_MARKET_CAP</t>
  </si>
  <si>
    <t>- Cash &amp; Equivalents</t>
  </si>
  <si>
    <t>CASH_AND_MARKETABLE_SECURITIES</t>
  </si>
  <si>
    <t>+ Preferred &amp; Other</t>
  </si>
  <si>
    <t>PFD_EQTY_MINORTY_INTEREST</t>
  </si>
  <si>
    <t>+ Total Debt</t>
  </si>
  <si>
    <t>SHORT_AND_LONG_TERM_DEBT</t>
  </si>
  <si>
    <t>Enterprise Value</t>
  </si>
  <si>
    <t>ENTERPRISE_VALUE</t>
  </si>
  <si>
    <t>Revenue, Adj</t>
  </si>
  <si>
    <t>SALES_REV_TURN</t>
  </si>
  <si>
    <t xml:space="preserve">  Growth %, YoY</t>
  </si>
  <si>
    <t>SALES_GROWTH</t>
  </si>
  <si>
    <t>Gross Profit, Adj</t>
  </si>
  <si>
    <t>GROSS_PROFIT</t>
  </si>
  <si>
    <t xml:space="preserve">  Margin %</t>
  </si>
  <si>
    <t>EBITDA, Adj</t>
  </si>
  <si>
    <t>EBITDA</t>
  </si>
  <si>
    <t>Net Income, Adj</t>
  </si>
  <si>
    <t>EARN_FOR_COMMON</t>
  </si>
  <si>
    <t>EPS, Adj</t>
  </si>
  <si>
    <t>IS_DIL_EPS_CONT_OPS</t>
  </si>
  <si>
    <t>DILUTED_EPS_AFT_XO_ITEMS_GROWTH</t>
  </si>
  <si>
    <t>Cash from Operations</t>
  </si>
  <si>
    <t>CF_CASH_FROM_OPER</t>
  </si>
  <si>
    <t>Capital Expenditures</t>
  </si>
  <si>
    <t>CAPITAL_EXPEND</t>
  </si>
  <si>
    <t>Free Cash Flow</t>
  </si>
  <si>
    <t>CF_FREE_CASH_FLOW</t>
  </si>
  <si>
    <t>Source: Bloomberg</t>
  </si>
  <si>
    <t>Gilead Sciences Inc (GILD US) - GAAP Highlights</t>
  </si>
  <si>
    <t>In Millions of USD except Per Share</t>
  </si>
  <si>
    <t>Q4 2018</t>
  </si>
  <si>
    <t>Q1 2019</t>
  </si>
  <si>
    <t>12/31/2018</t>
  </si>
  <si>
    <t>03/31/2019</t>
  </si>
  <si>
    <t>Total Revenues</t>
  </si>
  <si>
    <t>Operating Income</t>
  </si>
  <si>
    <t>IS_OPER_INC</t>
  </si>
  <si>
    <t>Net Income to Common</t>
  </si>
  <si>
    <t>Basic EPS, GAAP</t>
  </si>
  <si>
    <t>IS_EPS</t>
  </si>
  <si>
    <t>Diluted EPS, GAAP</t>
  </si>
  <si>
    <t>IS_DILUTED_EPS</t>
  </si>
  <si>
    <t xml:space="preserve">  Basic Weighted Avg Shares</t>
  </si>
  <si>
    <t>IS_AVG_NUM_SH_FOR_EPS</t>
  </si>
  <si>
    <t xml:space="preserve">  Diluted Weighted Avg Shares</t>
  </si>
  <si>
    <t>IS_SH_FOR_DILUTED_EPS</t>
  </si>
  <si>
    <t>Cash and Equivalents</t>
  </si>
  <si>
    <t>Total Current Assets</t>
  </si>
  <si>
    <t>BS_CUR_ASSET_REPORT</t>
  </si>
  <si>
    <t>Total Assets</t>
  </si>
  <si>
    <t>BS_TOT_ASSET</t>
  </si>
  <si>
    <t>Total Current Liabilities</t>
  </si>
  <si>
    <t>BS_CUR_LIAB</t>
  </si>
  <si>
    <t>Total Liabilities</t>
  </si>
  <si>
    <t>BS_TOT_LIAB2</t>
  </si>
  <si>
    <t>Total Equity</t>
  </si>
  <si>
    <t>TOTAL_EQUITY</t>
  </si>
  <si>
    <t xml:space="preserve">  Shares Out on Balance Sheet</t>
  </si>
  <si>
    <t>BS_SH_OUT</t>
  </si>
  <si>
    <t xml:space="preserve">  Shares Out on Filing Cover</t>
  </si>
  <si>
    <t>ARD_SHARE_OUT_FROM_FRONT_COVER</t>
  </si>
  <si>
    <t>Cash From Operations</t>
  </si>
  <si>
    <t>Cash From Investing</t>
  </si>
  <si>
    <t>CF_CASH_FROM_INV_ACT</t>
  </si>
  <si>
    <t>Cash From Financing</t>
  </si>
  <si>
    <t>CF_CASH_FROM_FNC_ACT</t>
  </si>
  <si>
    <t>Gilead Sciences Inc (GILD US) - Earnings</t>
  </si>
  <si>
    <t>Consensus Estimate</t>
  </si>
  <si>
    <t>BEST_SALES</t>
  </si>
  <si>
    <t>Comparable Actual</t>
  </si>
  <si>
    <t>IS_COMP_SALES</t>
  </si>
  <si>
    <t xml:space="preserve">  Revenue Surprise %</t>
  </si>
  <si>
    <t xml:space="preserve">  GAAP Actual</t>
  </si>
  <si>
    <t xml:space="preserve">  Adjusted Actual</t>
  </si>
  <si>
    <t>Earnings Per Share</t>
  </si>
  <si>
    <t>BEST_EPS</t>
  </si>
  <si>
    <t>IS_COMP_EPS_EXCL_STOCK_COMP</t>
  </si>
  <si>
    <t xml:space="preserve">  EPS Surprise %</t>
  </si>
  <si>
    <t>EBIT</t>
  </si>
  <si>
    <t>BEST_OPP</t>
  </si>
  <si>
    <t>IS_COMPARABLE_EBIT</t>
  </si>
  <si>
    <t xml:space="preserve">  EBIT Surprise %</t>
  </si>
  <si>
    <t>BEST_EBITDA</t>
  </si>
  <si>
    <t>IS_COMPARABLE_EBITDA</t>
  </si>
  <si>
    <t xml:space="preserve">  EBITDA Surprise %</t>
  </si>
  <si>
    <t>—</t>
  </si>
  <si>
    <t>Gross Margin %</t>
  </si>
  <si>
    <t>BEST_GROSS_MARGIN</t>
  </si>
  <si>
    <t>IS_COMP_GROSS_MARGIN_PERCENTAGE</t>
  </si>
  <si>
    <t xml:space="preserve">  Gross Margin Surprise %</t>
  </si>
  <si>
    <t>GROSS_MARGIN</t>
  </si>
  <si>
    <t>Pretax Income (Loss)</t>
  </si>
  <si>
    <t>BEST_PTP</t>
  </si>
  <si>
    <t>IS_COMP_PTP_EX_STK_BASED_COMP</t>
  </si>
  <si>
    <t xml:space="preserve">  Pretax Income (Loss) Surprise %</t>
  </si>
  <si>
    <t>PRETAX_INC</t>
  </si>
  <si>
    <t>Net Income</t>
  </si>
  <si>
    <t>BEST_NET_INCOME</t>
  </si>
  <si>
    <t>IS_COMP_NET_INC_EXCL_STOCK_COMP</t>
  </si>
  <si>
    <t xml:space="preserve">  Net Income Surprise %</t>
  </si>
  <si>
    <t>Gilead Sciences Inc (GILD US) - Enterprise Value</t>
  </si>
  <si>
    <t>Current</t>
  </si>
  <si>
    <t>03/28/2025</t>
  </si>
  <si>
    <t xml:space="preserve">  - Cash &amp; Equivalents</t>
  </si>
  <si>
    <t xml:space="preserve">  + Preferred Equity</t>
  </si>
  <si>
    <t>PFD_EQTY_HYBRID_CAPITAL</t>
  </si>
  <si>
    <t xml:space="preserve">  + Minority Interest</t>
  </si>
  <si>
    <t>MINORITY_NONCONTROLLING_INTEREST</t>
  </si>
  <si>
    <t xml:space="preserve">  + Total Debt</t>
  </si>
  <si>
    <t>Total Capital</t>
  </si>
  <si>
    <t>BS_TOT_CAP</t>
  </si>
  <si>
    <t>Total Debt/Total Capital</t>
  </si>
  <si>
    <t>TOT_DEBT_TO_TOT_CAP</t>
  </si>
  <si>
    <t>Total Debt/EV</t>
  </si>
  <si>
    <t>TOTAL_DEBT_TO_EV</t>
  </si>
  <si>
    <t>EV/Sales</t>
  </si>
  <si>
    <t>EV_TO_T12M_SALES</t>
  </si>
  <si>
    <t>EV/EBITDA</t>
  </si>
  <si>
    <t>EV_TO_T12M_EBITDA</t>
  </si>
  <si>
    <t>EV/EBIT</t>
  </si>
  <si>
    <t>EV_TO_T12M_EBIT</t>
  </si>
  <si>
    <t>EV/Cash Flow to Firm</t>
  </si>
  <si>
    <t>EV_TO_T12M_CASH_FLOW_FIRM</t>
  </si>
  <si>
    <t>EV/Free Cash Flow to Firm</t>
  </si>
  <si>
    <t>EV_TO_T12M_FREE_CASH_FLOW_FIRM</t>
  </si>
  <si>
    <t>Diluted Market Cap</t>
  </si>
  <si>
    <t>DILUTED_MKT_CAP</t>
  </si>
  <si>
    <t>Diluted Enterprise Value</t>
  </si>
  <si>
    <t>DILUTED_EV</t>
  </si>
  <si>
    <t>EV per Share</t>
  </si>
  <si>
    <t>EV_TO_SH_OUT</t>
  </si>
  <si>
    <t>Trailing 12 Month Values for Ratios</t>
  </si>
  <si>
    <t>IFRS 16/ASC 842 Adoption</t>
  </si>
  <si>
    <t>IFRS_16_ASC_842_ADOPTION_IND</t>
  </si>
  <si>
    <t>Yes</t>
  </si>
  <si>
    <t>Sales</t>
  </si>
  <si>
    <t>TRAIL_12M_NET_SALES</t>
  </si>
  <si>
    <t>TRAIL_12M_EBITDA</t>
  </si>
  <si>
    <t>TRAIL_12M_OPER_INC</t>
  </si>
  <si>
    <t>Cash Flow To Firm</t>
  </si>
  <si>
    <t>TRAIL_12M_CASH_FLOW_FIRM</t>
  </si>
  <si>
    <t>Free Cash Flow To Firm</t>
  </si>
  <si>
    <t>TRAIL_12M_FREE_CASH_FLOW_FIRM</t>
  </si>
  <si>
    <t>Gilead Sciences Inc (GILD US) - Multiples</t>
  </si>
  <si>
    <t>P/E</t>
  </si>
  <si>
    <t>PE_RATIO</t>
  </si>
  <si>
    <t xml:space="preserve">  Average</t>
  </si>
  <si>
    <t>AVERAGE_PRICE_EARNINGS_RATIO</t>
  </si>
  <si>
    <t xml:space="preserve">  High</t>
  </si>
  <si>
    <t>PX_ERN_RATIO_WITH_HIGH_CLOS_PX</t>
  </si>
  <si>
    <t xml:space="preserve">  Low</t>
  </si>
  <si>
    <t>PX_ERN_RATIO_WITH_LOW_CLOS_PX</t>
  </si>
  <si>
    <t>P/Book</t>
  </si>
  <si>
    <t>PX_TO_BOOK_RATIO</t>
  </si>
  <si>
    <t>AVERAGE_PRICE_TO_BOOK_RATIO</t>
  </si>
  <si>
    <t>HIGH_CLOSING_PRICE_TO_BOOK_RATIO</t>
  </si>
  <si>
    <t>LOW_CLOSING_PRICE_TO_BOOK_RATIO</t>
  </si>
  <si>
    <t>P/Tangible Book</t>
  </si>
  <si>
    <t>PX_TO_TANG_BV_PER_SH</t>
  </si>
  <si>
    <t>AVERAGE_PRICE_TO_TANGIBLE_BPS</t>
  </si>
  <si>
    <t>HIGH_PRICE_TO_TANGIBLE_BPS</t>
  </si>
  <si>
    <t>LOW_PRICE_TO_TANGIBLE_BPS</t>
  </si>
  <si>
    <t>P/Sales</t>
  </si>
  <si>
    <t>PX_TO_SALES_RATIO</t>
  </si>
  <si>
    <t>AVERAGE_PRICE_TO_SALES_RATIO</t>
  </si>
  <si>
    <t>HIGH_PX_TO_SALES_RATIO</t>
  </si>
  <si>
    <t>LOW_PX_TO_SALES_RATIO</t>
  </si>
  <si>
    <t>P/Cash Flow</t>
  </si>
  <si>
    <t>PX_TO_CASH_FLOW</t>
  </si>
  <si>
    <t>AVERAGE_PRICE_TO_CASH_FLOW</t>
  </si>
  <si>
    <t>HIGH_CLOSING_PRICE_TO_CASH_FLOW</t>
  </si>
  <si>
    <t>LOW_CLOSING_PRICE_TO_CASH_FLOW</t>
  </si>
  <si>
    <t>P/Free Cash Flow</t>
  </si>
  <si>
    <t>PX_TO_FREE_CASH_FLOW</t>
  </si>
  <si>
    <t>AVERAGE_PRICE_TO_FREE_CASH_FLOW</t>
  </si>
  <si>
    <t>HIGH_PRICE_TO_FREE_CASH_FLOW</t>
  </si>
  <si>
    <t>LOW_PRICE_TO_FREE_CASH_FLOW</t>
  </si>
  <si>
    <t>AVERAGE_EV_TO_T12M_SALES</t>
  </si>
  <si>
    <t>HIGH_EV_TO_T12M_SALES</t>
  </si>
  <si>
    <t>LOW_EV_TO_T12M_SALES</t>
  </si>
  <si>
    <t>AVG_EV_TO_T12M_EBITDA</t>
  </si>
  <si>
    <t>HIGH_EV_TO_T12M_EBITDA</t>
  </si>
  <si>
    <t>LOW_EV_TO_T12M_EBITDA</t>
  </si>
  <si>
    <t>AVERAGE_EV_TO_T12M_EBIT</t>
  </si>
  <si>
    <t>HIGH_EV_TO_T12M_EBIT</t>
  </si>
  <si>
    <t>LOW_EV_TO_T12M_EBIT</t>
  </si>
  <si>
    <t>Price/Share</t>
  </si>
  <si>
    <t>PX_LAST</t>
  </si>
  <si>
    <t>PX_HIGH</t>
  </si>
  <si>
    <t>PX_LOW</t>
  </si>
  <si>
    <t>AVERAGE_ENTERPRISE_VALUE</t>
  </si>
  <si>
    <t>HIGH_ENTERPRISE_VALUE</t>
  </si>
  <si>
    <t>LOW_ENTERPRISE_VALUE</t>
  </si>
  <si>
    <t>Gilead Sciences Inc (GILD US) - Per Share</t>
  </si>
  <si>
    <t>Basic Shares Outstanding</t>
  </si>
  <si>
    <t>Diluted Weighted Avg Shares</t>
  </si>
  <si>
    <t>Basic Weighted Avg Shares</t>
  </si>
  <si>
    <t>Per Share Data Items</t>
  </si>
  <si>
    <t>REVENUE_PER_SH</t>
  </si>
  <si>
    <t>EBITDA_PER_SH</t>
  </si>
  <si>
    <t>OPER_INC_PER_SH</t>
  </si>
  <si>
    <t>Net Income to Common - Basic</t>
  </si>
  <si>
    <t>Net Income before XO - Basic</t>
  </si>
  <si>
    <t>IS_EARN_BEF_XO_ITEMS_PER_SH</t>
  </si>
  <si>
    <t>Normalized Net Income - Basic</t>
  </si>
  <si>
    <t>IS_BASIC_EPS_CONT_OPS</t>
  </si>
  <si>
    <t>Net Income to Common - Diluted</t>
  </si>
  <si>
    <t>Net Income before XO - Diluted</t>
  </si>
  <si>
    <t>IS_DIL_EPS_BEF_XO</t>
  </si>
  <si>
    <t>Normalized Net Income - Diluted</t>
  </si>
  <si>
    <t>Dividends</t>
  </si>
  <si>
    <t>EQY_DPS</t>
  </si>
  <si>
    <t>Cash Flow</t>
  </si>
  <si>
    <t>CASH_FLOW_PER_SH</t>
  </si>
  <si>
    <t>FREE_CASH_FLOW_PER_SH</t>
  </si>
  <si>
    <t>CASH_ST_INVESTMENTS_PER_SH</t>
  </si>
  <si>
    <t>Book Value</t>
  </si>
  <si>
    <t>BOOK_VAL_PER_SH</t>
  </si>
  <si>
    <t>Tangible Book Value</t>
  </si>
  <si>
    <t>TANG_BOOK_VAL_PER_SH</t>
  </si>
  <si>
    <t>Gilead Sciences Inc (GILD US) - Stock Value</t>
  </si>
  <si>
    <t>Last Price</t>
  </si>
  <si>
    <t xml:space="preserve">  Period-over-Period % Change</t>
  </si>
  <si>
    <t>CHG_PCT_PERIOD</t>
  </si>
  <si>
    <t>Open Price</t>
  </si>
  <si>
    <t>PX_OPEN</t>
  </si>
  <si>
    <t>High Price</t>
  </si>
  <si>
    <t>Low Price</t>
  </si>
  <si>
    <t xml:space="preserve">  Current Shares Outstanding</t>
  </si>
  <si>
    <t>EQY_SH_OUT</t>
  </si>
  <si>
    <t xml:space="preserve">  Equity Float</t>
  </si>
  <si>
    <t>EQY_FLOAT</t>
  </si>
  <si>
    <t>Gilead Sciences Inc (GILD US) - EV Ex Operating Leases</t>
  </si>
  <si>
    <t>TOT_DEBT_EX_OPERATING_LEA_LIABS</t>
  </si>
  <si>
    <t>EV_EX_OPERATING_LEASE_LIABS</t>
  </si>
  <si>
    <t>TOT_CPTL_EX_OPERATING_LEA_LIABS</t>
  </si>
  <si>
    <t>TOT_DBT_TO_CPTL_EX_OP_LEA_LIABS</t>
  </si>
  <si>
    <t>TOT_DEBT_TO_EV_EX_OPER_LEA_LIABS</t>
  </si>
  <si>
    <t>EV_EX_OPER_LEA_LIABS_TO_SALES</t>
  </si>
  <si>
    <t>EV_TO_EBITDA_EX_OPERATING_LEASE</t>
  </si>
  <si>
    <t>EV_TO_EBIT_EX_OPERATING_LEASE</t>
  </si>
  <si>
    <t>EV_EX_OP_LEA_LIABS_TO_CF_TO_FIRM</t>
  </si>
  <si>
    <t>EV_EX_OP_LEA_LIAB_TO_FCF_TO_FIRM</t>
  </si>
  <si>
    <t>DILUTED_EV_EX_OPERATING_LEASE</t>
  </si>
  <si>
    <t>EV_EX_OP_LEA_LIAB_TO_SHS_OUTSTDG</t>
  </si>
  <si>
    <t>T12M_EBITDA_AFTER_OPER_LEA_EXPN</t>
  </si>
  <si>
    <t>T12_EBIT_AFT_OPER_LEASE_EXPN</t>
  </si>
  <si>
    <t>T12_CF_TO_FIRM_AFT_OP_LEA_PYMTS</t>
  </si>
  <si>
    <t>T12_FCF_TO_FIRM_AFT_OP_LEA_PYMTS</t>
  </si>
  <si>
    <t>Gilead Sciences Inc (GILD US) - Adjusted</t>
  </si>
  <si>
    <t xml:space="preserve">    + Sales &amp; Services Revenue</t>
  </si>
  <si>
    <t>IS_SALES_AND_SERVICES_REVENUES</t>
  </si>
  <si>
    <t xml:space="preserve">    + Other Revenue</t>
  </si>
  <si>
    <t>IS_OTHER_REVENUE</t>
  </si>
  <si>
    <t xml:space="preserve">  - Cost of Revenue</t>
  </si>
  <si>
    <t>IS_COGS_TO_FE_AND_PP_AND_G</t>
  </si>
  <si>
    <t xml:space="preserve">    + Cost of Goods &amp; Services</t>
  </si>
  <si>
    <t>IS_COG_AND_SERVICES_SOLD</t>
  </si>
  <si>
    <t xml:space="preserve">  + Other Operating Income</t>
  </si>
  <si>
    <t>IS_OTHER_OPER_INC</t>
  </si>
  <si>
    <t xml:space="preserve">  - Operating Expenses</t>
  </si>
  <si>
    <t>IS_OPERATING_EXPN</t>
  </si>
  <si>
    <t xml:space="preserve">    + Selling, General &amp; Admin</t>
  </si>
  <si>
    <t>IS_SGA_EXPENSE</t>
  </si>
  <si>
    <t xml:space="preserve">    + Research &amp; Development</t>
  </si>
  <si>
    <t>IS_OPERATING_EXPENSES_RD</t>
  </si>
  <si>
    <t xml:space="preserve">    + Other Operating Expense</t>
  </si>
  <si>
    <t>IS_OTHER_OPERATING_EXPENSES</t>
  </si>
  <si>
    <t>Operating Income (Loss)</t>
  </si>
  <si>
    <t xml:space="preserve">  - Non-Operating (Income) Loss</t>
  </si>
  <si>
    <t>IS_NONOP_INCOME_LOSS</t>
  </si>
  <si>
    <t xml:space="preserve">    + Interest Expense, Net</t>
  </si>
  <si>
    <t>IS_NET_INTEREST_EXPENSE</t>
  </si>
  <si>
    <t xml:space="preserve">    + Interest Expense</t>
  </si>
  <si>
    <t>IS_INT_EXPENSE</t>
  </si>
  <si>
    <t xml:space="preserve">    - Interest Income</t>
  </si>
  <si>
    <t>IS_INT_INC</t>
  </si>
  <si>
    <t xml:space="preserve">    + Foreign Exch (Gain) Loss</t>
  </si>
  <si>
    <t>IS_FOREIGN_EXCH_LOSS</t>
  </si>
  <si>
    <t xml:space="preserve">    + Other Non-Op (Income) Loss</t>
  </si>
  <si>
    <t>IS_OTHER_NON_OPERATING_INC_LOSS</t>
  </si>
  <si>
    <t>Pretax Income (Loss), Adjusted</t>
  </si>
  <si>
    <t xml:space="preserve">  - Abnormal Losses (Gains)</t>
  </si>
  <si>
    <t>IS_ABNORMAL_ITEM</t>
  </si>
  <si>
    <t xml:space="preserve">    + Acquired In-Process R&amp;D</t>
  </si>
  <si>
    <t>IS_ACQUIRED_PROCESS_RD</t>
  </si>
  <si>
    <t xml:space="preserve">    + Merger/Acquisition Expense</t>
  </si>
  <si>
    <t>IS_MERGER_ACQUISITION_EXPENSE</t>
  </si>
  <si>
    <t xml:space="preserve">    + Impairment of Intangibles</t>
  </si>
  <si>
    <t>IS_IMPAIR_OF_INTANG_ASSETS</t>
  </si>
  <si>
    <t xml:space="preserve">    + Restructuring</t>
  </si>
  <si>
    <t>IS_RESTRUCTURING_EXPENSES</t>
  </si>
  <si>
    <t xml:space="preserve">    + Sale of Investments</t>
  </si>
  <si>
    <t>IS_GAIN_LOSS_ON_INVESTMENTS</t>
  </si>
  <si>
    <t xml:space="preserve">    + Unrealized Investments</t>
  </si>
  <si>
    <t>IS_UNREALIZED_INVESTMENTS</t>
  </si>
  <si>
    <t xml:space="preserve">    + Other Abnormal Items</t>
  </si>
  <si>
    <t>IS_OTHER_ONE_TIME_ITEMS</t>
  </si>
  <si>
    <t>Pretax Income (Loss), GAAP</t>
  </si>
  <si>
    <t xml:space="preserve">  - Income Tax Expense (Benefit)</t>
  </si>
  <si>
    <t>IS_INC_TAX_EXP</t>
  </si>
  <si>
    <t>Income (Loss) from Cont Ops</t>
  </si>
  <si>
    <t>IS_INC_BEF_XO_ITEM</t>
  </si>
  <si>
    <t xml:space="preserve">  - Net Extraordinary Losses (Gains)</t>
  </si>
  <si>
    <t>XO_GL_NET_OF_TAX</t>
  </si>
  <si>
    <t xml:space="preserve">    + Discontinued Operations</t>
  </si>
  <si>
    <t>IS_DISCONTINUED_OPERATIONS</t>
  </si>
  <si>
    <t xml:space="preserve">    + XO &amp; Accounting Changes</t>
  </si>
  <si>
    <t>EXTRAORD_ITEMS_ACCOUNTING_CHANGS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</si>
  <si>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</si>
  <si>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</si>
  <si>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</si>
  <si>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</si>
  <si>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</si>
  <si>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>NET_INCOME</t>
  </si>
  <si>
    <t xml:space="preserve">  - Preferred Dividends</t>
  </si>
  <si>
    <t>IS_TOT_CASH_PFD_DVD</t>
  </si>
  <si>
    <t xml:space="preserve">  - Other Adjustments</t>
  </si>
  <si>
    <t>OTHER_ADJUSTMENTS</t>
  </si>
  <si>
    <t>Net Income Avail to Common, GAAP</t>
  </si>
  <si>
    <t>Net Income Avail to Common, Adj</t>
  </si>
  <si>
    <t xml:space="preserve">  Net Abnormal Losses (Gains)</t>
  </si>
  <si>
    <t>IS_NET_ABNORMAL_ITEMS</t>
  </si>
  <si>
    <t xml:space="preserve">  Net Extraordinary Losses (Gains)</t>
  </si>
  <si>
    <t>Basic EPS from Cont Ops, GAAP</t>
  </si>
  <si>
    <t>Basic EPS from Cont Ops, Adjusted</t>
  </si>
  <si>
    <t>Diluted EPS from Cont Ops, GAAP</t>
  </si>
  <si>
    <t>Diluted EPS from Cont Ops, Adjusted</t>
  </si>
  <si>
    <t>Accounting Standard</t>
  </si>
  <si>
    <t>ACCOUNTING_STANDARD</t>
  </si>
  <si>
    <t>US GAAP</t>
  </si>
  <si>
    <t>EBITDA Margin (T12M)</t>
  </si>
  <si>
    <t>EBITDA_MARGIN</t>
  </si>
  <si>
    <t>EBITA</t>
  </si>
  <si>
    <t>Gross Margin</t>
  </si>
  <si>
    <t>Operating Margin</t>
  </si>
  <si>
    <t>OPER_MARGIN</t>
  </si>
  <si>
    <t>Profit Margin</t>
  </si>
  <si>
    <t>PROF_MARGIN</t>
  </si>
  <si>
    <t>Sales per Employee</t>
  </si>
  <si>
    <t>ACTUAL_SALES_PER_EMPL</t>
  </si>
  <si>
    <t>Dividends per Share</t>
  </si>
  <si>
    <t>Total Cash Common Dividends</t>
  </si>
  <si>
    <t>IS_TOT_CASH_COM_DVD</t>
  </si>
  <si>
    <t>Depreciation Expense</t>
  </si>
  <si>
    <t>IS_DEPR_EXP</t>
  </si>
  <si>
    <t>Rental Expense</t>
  </si>
  <si>
    <t>BS_CURR_RENTAL_EXPENSE</t>
  </si>
  <si>
    <t>Gilead Sciences Inc (GILD US) - GAAP</t>
  </si>
  <si>
    <t>IS_OPER_EXPENSES_RD_GAAP</t>
  </si>
  <si>
    <t>OTHER_OPERATING_EXPENSES_RATIO</t>
  </si>
  <si>
    <t>NONOP_INCOME_LOSS</t>
  </si>
  <si>
    <t>OTHER_NONOP_INCOME_LOSS</t>
  </si>
  <si>
    <t>Pretax Income</t>
  </si>
  <si>
    <t>Gilead Sciences Inc (GILD US) - As Reported</t>
  </si>
  <si>
    <t>Income Statement</t>
  </si>
  <si>
    <t xml:space="preserve">  Revenues</t>
  </si>
  <si>
    <t>Royalty Revenue</t>
  </si>
  <si>
    <t>ARD_ROYALTY_REVENUE</t>
  </si>
  <si>
    <t>Product Revenue</t>
  </si>
  <si>
    <t>ARD_PRODUCT_REVENUE</t>
  </si>
  <si>
    <t>ARD_TOTAL_REVENUES</t>
  </si>
  <si>
    <t xml:space="preserve">  Operating Expenses</t>
  </si>
  <si>
    <t>Total Operating Expenses</t>
  </si>
  <si>
    <t>ARD_TOTAL_OPERATING_EXPENSES</t>
  </si>
  <si>
    <t>Cost of Goods Sold</t>
  </si>
  <si>
    <t>ARD_COST_OF_GOODS_SOLD</t>
  </si>
  <si>
    <t>R &amp; D Expenditures</t>
  </si>
  <si>
    <t>ARD_R&amp;D_EXPENDITURES</t>
  </si>
  <si>
    <t>Selling General and Administrative Expenses</t>
  </si>
  <si>
    <t>ARD_SELLING_GENERAL_ADMIN_EXP</t>
  </si>
  <si>
    <t>Acquired In-Process R&amp;D</t>
  </si>
  <si>
    <t>ARD_ACQUIRED_IN_PROCESS_R&amp;D</t>
  </si>
  <si>
    <t>ARD_OPERATING_INCOME</t>
  </si>
  <si>
    <t>Other Operating (Income)/Expense - Net</t>
  </si>
  <si>
    <t>ARD_OTH_OPERATING_INC_EXP_NET</t>
  </si>
  <si>
    <t>Loss/(Recovery) on Impair of Intangible Assets</t>
  </si>
  <si>
    <t>ARD_LOSS_RECOV_IMPAIR_INTANG</t>
  </si>
  <si>
    <t xml:space="preserve">  Non-Operating Expenses</t>
  </si>
  <si>
    <t>Interest Expense</t>
  </si>
  <si>
    <t>ARD_INT_EXP</t>
  </si>
  <si>
    <t>Income Tax Expense (Benefit)</t>
  </si>
  <si>
    <t>ARD_INCOME_TAX_EXP_BENEFIT</t>
  </si>
  <si>
    <t>Income Before Income Taxes</t>
  </si>
  <si>
    <t>ARD_INCOME_BEFORE_INCOME_TAXES</t>
  </si>
  <si>
    <t>Other Non-Operating (Income)/Expense - Net</t>
  </si>
  <si>
    <t>ARD_OTH_NON_OPER_INC_EXP_NET</t>
  </si>
  <si>
    <t xml:space="preserve">  Extraordinary Items</t>
  </si>
  <si>
    <t xml:space="preserve">  Earnings</t>
  </si>
  <si>
    <t>Minority/Non Controlling Interest</t>
  </si>
  <si>
    <t>ARD_MINORITY_NONCONTROL_INTEREST</t>
  </si>
  <si>
    <t>Dividends Per Share</t>
  </si>
  <si>
    <t>ARD_DVD_PER_SH</t>
  </si>
  <si>
    <t>Basic EPS</t>
  </si>
  <si>
    <t>ARD_BASIC_EPS</t>
  </si>
  <si>
    <t>Weighted Avg. Shares - Basic</t>
  </si>
  <si>
    <t>ARD_WEIGHTED_AVG_SHARES_BASIC</t>
  </si>
  <si>
    <t>Diluted EPS</t>
  </si>
  <si>
    <t>ARD_DILUTED_EPS</t>
  </si>
  <si>
    <t>Weighted Avg. Shares - Diluted</t>
  </si>
  <si>
    <t>ARD_WEIGHTED_AVG_SHARE_DILUTED</t>
  </si>
  <si>
    <t>Net Income Available For Common Shareholders</t>
  </si>
  <si>
    <t>ARD_NET_INC_AVAIL_COM_SHRHLDR</t>
  </si>
  <si>
    <t>Profit After Taxation Before Minority</t>
  </si>
  <si>
    <t>ARD_PROF_AFTER_TAX_BEF_MINORITY</t>
  </si>
  <si>
    <t>Cumulative Net Income</t>
  </si>
  <si>
    <t>ARD_CUMULATIVE_NET_INCOME</t>
  </si>
  <si>
    <t>ARD_NET_INC</t>
  </si>
  <si>
    <t xml:space="preserve">  Comprehensive Income</t>
  </si>
  <si>
    <t>Net Income - Comprehensive Income</t>
  </si>
  <si>
    <t>ARDR_COMPR_INCOME_NET_INC</t>
  </si>
  <si>
    <t xml:space="preserve">  Others</t>
  </si>
  <si>
    <t xml:space="preserve">  Reference Items</t>
  </si>
  <si>
    <t>ARDR Revenue Impact from COVID-19 Reltd Charges</t>
  </si>
  <si>
    <t>ARDR_REV_IMPCT_COVID_19_CHRG</t>
  </si>
  <si>
    <t>ARDR COVID-19 Related Charges - Operating</t>
  </si>
  <si>
    <t>ARDR_COVID_19_RELTD_CHARGS_OPER</t>
  </si>
  <si>
    <t>ARDR_COST_OF_GOODS_SOLD</t>
  </si>
  <si>
    <t>Amortization Expense</t>
  </si>
  <si>
    <t>ARDR_AMORT_EXP</t>
  </si>
  <si>
    <t>ARDR_R&amp;D_EXPENDITURES</t>
  </si>
  <si>
    <t>ARDR_DEPRECIATION_EXP</t>
  </si>
  <si>
    <t>Selling General and Administrative Expense</t>
  </si>
  <si>
    <t>ARDR_SELLING_GENERAL_ADMIN_EXP</t>
  </si>
  <si>
    <t>Depreciation and Amortization</t>
  </si>
  <si>
    <t>ARDR_DEPRECIATION_AMORTIZATION</t>
  </si>
  <si>
    <t>ARDR_INT_EXP</t>
  </si>
  <si>
    <t>ARDR_ACQUIRED_IN_PROCESS_R&amp;D</t>
  </si>
  <si>
    <t>Restructuring Charges</t>
  </si>
  <si>
    <t>ARDR_RESTRUCTURING_CHARGES</t>
  </si>
  <si>
    <t>Other One-Time Charges</t>
  </si>
  <si>
    <t>ARDR_OTHER_ONE_TIME_CHARGES</t>
  </si>
  <si>
    <t>Interest Income</t>
  </si>
  <si>
    <t>ARDR_INT_INCOME</t>
  </si>
  <si>
    <t>Other Non-Operating Income</t>
  </si>
  <si>
    <t>ARDR_OTHER_NON_OPERATING_INC</t>
  </si>
  <si>
    <t>ARDR_INCOME_TAX_EXP_BENEFIT</t>
  </si>
  <si>
    <t>Foreign Currency Translation Adjustments</t>
  </si>
  <si>
    <t>ARDR_FOR_CRNCY_TRANSLATION_ADJ</t>
  </si>
  <si>
    <t>Unrealized Gain (Loss) On Securities</t>
  </si>
  <si>
    <t>ARDR_UNREALIZED_GL_ON_SECS</t>
  </si>
  <si>
    <t>Change In Fair Value of Derivatives</t>
  </si>
  <si>
    <t>ARDR_CHG_FAIR_VAL_OF_DERIVATIVES</t>
  </si>
  <si>
    <t>Reclassification Adjustments</t>
  </si>
  <si>
    <t>ARDR_RECLASS_ADJUSTMENTS</t>
  </si>
  <si>
    <t>Other Comprehensive Income</t>
  </si>
  <si>
    <t>ARDR_OTHER_COMPREHENSIVE_INCOME</t>
  </si>
  <si>
    <t>ARDR_TOTAL_CASH_COMMON_DVD</t>
  </si>
  <si>
    <t>ARDR_DVD_PER_SH</t>
  </si>
  <si>
    <t>ARDR_BASIC_EPS</t>
  </si>
  <si>
    <t>ARDR_WEIGHTED_AVG_SHARES_BASIC</t>
  </si>
  <si>
    <t>ARDR_DILUTED_EPS</t>
  </si>
  <si>
    <t>ARDR_WEIGHTED_AVG_SHARE_DILUTED</t>
  </si>
  <si>
    <t>Current Rental Expense</t>
  </si>
  <si>
    <t>ARDR_CURRENT_RENTAL_EXP</t>
  </si>
  <si>
    <t>Stock Based Compensation Expense</t>
  </si>
  <si>
    <t>ARDR_STK_BASED_COMPENSATION_EXP</t>
  </si>
  <si>
    <t>Total Comprehensive Income</t>
  </si>
  <si>
    <t>ARDR_TOTAL_COMPREHENSIVE_INCOME</t>
  </si>
  <si>
    <t>Merger/Acquisition Expense</t>
  </si>
  <si>
    <t>ARDR_MERGER_ACQUISITION_EXPENSE</t>
  </si>
  <si>
    <t>Amortization of Intangible Assets</t>
  </si>
  <si>
    <t>ARDR_AMORT_OF_INTANGIBLE_ASSETS</t>
  </si>
  <si>
    <t>ARDR_TOTAL_REVENUES</t>
  </si>
  <si>
    <t>ARDR_ROYALTY_REVENUE</t>
  </si>
  <si>
    <t>ARDR_PRODUCT_REVENUE</t>
  </si>
  <si>
    <t>(Gain)/Loss On Sale of Investments</t>
  </si>
  <si>
    <t>ARDR_GL_ON_SALE_OF_INVESTMENTS</t>
  </si>
  <si>
    <t>Net Inc Available For Common Shareholders</t>
  </si>
  <si>
    <t>ARDR_NET_INC_AVAIL_COM_SHRHLDR</t>
  </si>
  <si>
    <t>ARDR_OTH_NON_OPER_INC_EXP_NET</t>
  </si>
  <si>
    <t>Adjusted Net Income-As Reported</t>
  </si>
  <si>
    <t>ARD_ADJ_NET_INCOME_AS_REPORTED</t>
  </si>
  <si>
    <t>Effective Tax Rate - %</t>
  </si>
  <si>
    <t>ARDR_EFFECTIVE_TAX_RATE_PCT</t>
  </si>
  <si>
    <t>Unrealized Gain (Loss) On Secs Related Tax</t>
  </si>
  <si>
    <t>ARDR_UNREALIZED_GL_ON_SEC_TAX</t>
  </si>
  <si>
    <t>Adjusted EPS</t>
  </si>
  <si>
    <t>ARDR_ADJUSTED_EPS</t>
  </si>
  <si>
    <t>Unrealized (Gain)/Loss From Secs Non-Op</t>
  </si>
  <si>
    <t>ARDR_UNREAL_GL_FROM_SECS_NON_OP</t>
  </si>
  <si>
    <t>Loss/(Recovery) Impair Intangible Assets</t>
  </si>
  <si>
    <t>ARDR_LOSS_RECOVERY_IMPAIR_INTANG</t>
  </si>
  <si>
    <t>Tax Provision/Benefit - Non-Recurring</t>
  </si>
  <si>
    <t>ARDR_TAX_PROV_BENEFIT_NONREC</t>
  </si>
  <si>
    <t>ARDR In Process R&amp;D After Tax</t>
  </si>
  <si>
    <t>ARDR_IN_PROCESS_R&amp;D_AFTER_TAX</t>
  </si>
  <si>
    <t>ARDR Acquisition Mergers After Tax</t>
  </si>
  <si>
    <t>ARDR_ACQUISITION_MERGERS_AFT_TAX</t>
  </si>
  <si>
    <t>ARDR Restructuring After Tax</t>
  </si>
  <si>
    <t>ARDR_RESTRUCTURING_AFTER_TAX</t>
  </si>
  <si>
    <t>ARDR Realized Investments After Tax</t>
  </si>
  <si>
    <t>ARDR_REALIZED_INVESTMNTS_AFT_TAX</t>
  </si>
  <si>
    <t>ARDR Stock-Based Compensation After Tax</t>
  </si>
  <si>
    <t>ARDR_SBC_AFTER_TAX</t>
  </si>
  <si>
    <t>ARDR Other One Time Charge After Tax</t>
  </si>
  <si>
    <t>ARDR_OTHER_ONE_TIME_CHRG_AFT_TAX</t>
  </si>
  <si>
    <t>Comprehensive Inc Attrib to Minority Int</t>
  </si>
  <si>
    <t>ARDR_COMPREHENSIVE_INC_ATTRIB_MI</t>
  </si>
  <si>
    <t>Adjusted EBIT/Non-GAAP Operating Income</t>
  </si>
  <si>
    <t>ARDR_ADJ_EBIT_NON_GAAP_OP_INC</t>
  </si>
  <si>
    <t>Stock-Based Compensation Attrib to R&amp;D</t>
  </si>
  <si>
    <t>ARDR_STOCK_BASED_CMPNSTN_IN_R&amp;D</t>
  </si>
  <si>
    <t>Stock-Based Compensation Attrib to SG&amp;A</t>
  </si>
  <si>
    <t>ARDR_STOCK_BASED_CMPNSTN_IN_SG&amp;A</t>
  </si>
  <si>
    <t>Stock-Based Compensation Attrib to COGS</t>
  </si>
  <si>
    <t>ARDR_STOCK_BASED_CMPNSTN_IN_COGS</t>
  </si>
  <si>
    <t>Non-GAAP Revenue</t>
  </si>
  <si>
    <t>ARDR_NON_GAAP_REVENUE</t>
  </si>
  <si>
    <t>Non-GAAP Cost of Sales</t>
  </si>
  <si>
    <t>ARDR_NON_GAAP_COST_OF_SALES</t>
  </si>
  <si>
    <t>Non-GAAP Gross Margin Percentage</t>
  </si>
  <si>
    <t>ARDR_NON_GAAP_GROSS_MARGIN_PCT</t>
  </si>
  <si>
    <t>Non-GAAP Selling General &amp; Administrative</t>
  </si>
  <si>
    <t>ARDR_NON_GAAP_SG&amp;A</t>
  </si>
  <si>
    <t>Non-GAAP Research and Development</t>
  </si>
  <si>
    <t>ARDR_NON_GAAP_R&amp;D</t>
  </si>
  <si>
    <t>Non-GAAP Interest Expense</t>
  </si>
  <si>
    <t>ARDR_NON_GAAP_INTEREST_EXPENSE</t>
  </si>
  <si>
    <t>Non-GAAP Other Income - Net</t>
  </si>
  <si>
    <t>ARDR_NON_GAAP_OTHER_INCOME_NET</t>
  </si>
  <si>
    <t>Restructuring/Workflow Bal - Non-GAAP COGS</t>
  </si>
  <si>
    <t>ARDR_RSTRCT_WF_BAL_NON_GAAP_COGS</t>
  </si>
  <si>
    <t>Restructuring/Workflow Bal - Non-GAAP SGA</t>
  </si>
  <si>
    <t>ARDR_RSTRCT_WF_BAL_NON_GAAP_SG&amp;A</t>
  </si>
  <si>
    <t>Restructuring/Workflow Bal - Non-GAAP R&amp;D</t>
  </si>
  <si>
    <t>ARDR_RSTRCT_WF_BAL_NON_GAAP_R&amp;D</t>
  </si>
  <si>
    <t>Amort of Intangible Assets - Non-GAAP COGS</t>
  </si>
  <si>
    <t>ARDR_AMORT_INT_AST_NON_GAAP_COGS</t>
  </si>
  <si>
    <t>Acquisition Related Charges - Non-GAAP SGA</t>
  </si>
  <si>
    <t>ARDR_ACQ_REL_CHRGS_NON_GAAP_SG&amp;A</t>
  </si>
  <si>
    <t>Acquisition Related Charges - Non-GAAP R&amp;D</t>
  </si>
  <si>
    <t>ARDR_ACQ_REL_CHRGS_NON_GAAP_R&amp;D</t>
  </si>
  <si>
    <t>Stock-Based Compensation - Non-GAAP COGS</t>
  </si>
  <si>
    <t>ARDR_SBC_NON_GAAP_COGS</t>
  </si>
  <si>
    <t>Stock-Based Compensation - Non-GAAP SG&amp;A</t>
  </si>
  <si>
    <t>ARDR_SBC_NON_GAAP_SG&amp;A</t>
  </si>
  <si>
    <t>Stock-Based Compensation - Non-GAAP R&amp;D</t>
  </si>
  <si>
    <t>ARDR_SBC_NON_GAAP_R&amp;D</t>
  </si>
  <si>
    <t>Other Adjustments - Non-GAAP COGS</t>
  </si>
  <si>
    <t>ARDR_OTH_ADJ_NON_GAAP_COGS</t>
  </si>
  <si>
    <t>Other Adjustments - Non-GAAP SG&amp;A</t>
  </si>
  <si>
    <t>ARDR_OTH_ADJ_NON_GAAP_SG&amp;A</t>
  </si>
  <si>
    <t>Other Adjustments - Non-GAAP R&amp;D</t>
  </si>
  <si>
    <t>ARDR_OTH_ADJ_NON_GAAP_R&amp;D</t>
  </si>
  <si>
    <t>Tax Effect on Non-GAAP Adjustments</t>
  </si>
  <si>
    <t>ARDR_TAX_EFFECT_NON_GAAP_ADJ</t>
  </si>
  <si>
    <t>Non-GAAP Diluted Weighted Average Shares</t>
  </si>
  <si>
    <t>ARDR_NON_GAAP_DIL_WAVG_SHRS</t>
  </si>
  <si>
    <t>ARDR Restructuring Workflow Balance Non-GAAP EPS</t>
  </si>
  <si>
    <t>ARDR_REST_WF_BAL_NON-GAAP_EPS</t>
  </si>
  <si>
    <t>ARDR Amortization Intangible Assets Non-GAAP EPS</t>
  </si>
  <si>
    <t>ARDR_AMO_INTAN_AST_NON-GAAP_EPS</t>
  </si>
  <si>
    <t>ARDR Acquisition Related Charges Non-GAAP EPS</t>
  </si>
  <si>
    <t>ARDR_ACQ_REL_CHRG_NON-GAAP_EPS</t>
  </si>
  <si>
    <t>ARDR Stock-Based Compensation Non-GAAP EPS</t>
  </si>
  <si>
    <t>ARDR_SBC_NON-GAAP_EPS</t>
  </si>
  <si>
    <t>ARDR Other Adjustments Non-GAAP EPS</t>
  </si>
  <si>
    <t>ARDR_OTHER_ADJ_NON-GAAP_EPS</t>
  </si>
  <si>
    <t>ARDR Tax Provision Benefit Non-GAAP EPS</t>
  </si>
  <si>
    <t>ARDR_TAX_PROV_BFIT_NON-GAAP_EPS</t>
  </si>
  <si>
    <t>ARDR EBIT Margin</t>
  </si>
  <si>
    <t>ARDR_EBIT_MARGIN</t>
  </si>
  <si>
    <t>ARDR Gross Margin</t>
  </si>
  <si>
    <t>ARDR_GROSS_MARGIN</t>
  </si>
  <si>
    <t>ARDR Revenue Growth</t>
  </si>
  <si>
    <t>ARDR_REVENUE_GROWTH</t>
  </si>
  <si>
    <t>ARDR Adjusted Operating Margin</t>
  </si>
  <si>
    <t>ARDR_ADJUSTED_OPERATING_MARGIN</t>
  </si>
  <si>
    <t>ARDR Stock Based Compensation CF Pre Tax</t>
  </si>
  <si>
    <t>ARDR_STK_BSD_CMPNSTN_CF_PRE_TAX</t>
  </si>
  <si>
    <t>Gilead Sciences Inc (GILD US) - Reconciliation</t>
  </si>
  <si>
    <t>EBITDA Reconciliation</t>
  </si>
  <si>
    <t>EBIT, GAAP</t>
  </si>
  <si>
    <t xml:space="preserve">  + Revenue Adjustments</t>
  </si>
  <si>
    <t>IS_REVENUE_ADJUSTMENTS</t>
  </si>
  <si>
    <t xml:space="preserve">  + Cost of Revenue Adjustments</t>
  </si>
  <si>
    <t>IS_COST_OF_REVENUE_ADJUSTMENTS</t>
  </si>
  <si>
    <t xml:space="preserve">  + Other Op Inc Adjustments</t>
  </si>
  <si>
    <t>IS_OTHER_OPER_INC_NONGAAP_ADJUST</t>
  </si>
  <si>
    <t xml:space="preserve">  + SG&amp;A Adjustments</t>
  </si>
  <si>
    <t>IS_SGA_ADJ</t>
  </si>
  <si>
    <t xml:space="preserve">  + R&amp;D Expense Adjustments</t>
  </si>
  <si>
    <t>IS_RD_EXPENSE_NON_GAAP_ADJ</t>
  </si>
  <si>
    <t xml:space="preserve">  + D&amp;A Adjustments</t>
  </si>
  <si>
    <t>IS_DA_NON_GAAP_ADJ</t>
  </si>
  <si>
    <t xml:space="preserve">  + Prov for Doubtful Acct Adj</t>
  </si>
  <si>
    <t>IS_PDA_NONGAAP_ADJUSTMENTS</t>
  </si>
  <si>
    <t xml:space="preserve">  + Other Op Exp Adjustments</t>
  </si>
  <si>
    <t>IS_OTHER_OPERATING_EXPN_ADJUST</t>
  </si>
  <si>
    <t>EBIT, Adjusted</t>
  </si>
  <si>
    <t xml:space="preserve">  + Depreciation &amp; Amortization</t>
  </si>
  <si>
    <t>ADJUSTED_DA_EXPENSES</t>
  </si>
  <si>
    <t xml:space="preserve">  + Cost of Capitalized Operating Leases</t>
  </si>
  <si>
    <t>COST_CAPITALIZED_OPERATING_LEAS</t>
  </si>
  <si>
    <t>EBITDA, Adjusted</t>
  </si>
  <si>
    <t>EBIT Reconciliation</t>
  </si>
  <si>
    <t xml:space="preserve">  + Acquired In-Process R&amp;D</t>
  </si>
  <si>
    <t>IS_AIP_RD_EXPENSE_OPERATING</t>
  </si>
  <si>
    <t xml:space="preserve">  + Merger Expense</t>
  </si>
  <si>
    <t>IS_MERGER_ACQ_EXPENSE_OPERATING</t>
  </si>
  <si>
    <t xml:space="preserve">  + Impairment of Intangibles</t>
  </si>
  <si>
    <t>IS_IIA_OP</t>
  </si>
  <si>
    <t xml:space="preserve">  + Restructuring Expense</t>
  </si>
  <si>
    <t>IS_RESTRUCTURING_OP</t>
  </si>
  <si>
    <t xml:space="preserve">  + Sale of Investments</t>
  </si>
  <si>
    <t>IS_GAIN_LOSS_SALE_OF_INVEST_OP</t>
  </si>
  <si>
    <t xml:space="preserve">  + Other Abnormal Items</t>
  </si>
  <si>
    <t>IS_OTHER_ONE_TIME_ITEMS_OP</t>
  </si>
  <si>
    <t>Pretax Income Reconciliation</t>
  </si>
  <si>
    <t xml:space="preserve">  + Unrealized Investments</t>
  </si>
  <si>
    <t>Net Income Reconciliation</t>
  </si>
  <si>
    <t>Net Inc Avail to Common, GAAP</t>
  </si>
  <si>
    <t xml:space="preserve">  + Discontinued Operations</t>
  </si>
  <si>
    <t xml:space="preserve">  + XO &amp; Accounting Changes</t>
  </si>
  <si>
    <t>Net Inc Avail to Common Cont, GAAP</t>
  </si>
  <si>
    <t>INC_BEF_XO_LESS_MIN_INT_PREF_DVD</t>
  </si>
  <si>
    <t>IS_AIP_RD_AFTER_TAX</t>
  </si>
  <si>
    <t>IS_MA_EXPENSE_AFTER_TAX</t>
  </si>
  <si>
    <t>IS_IIA_AFTER_TAX</t>
  </si>
  <si>
    <t>IS_RESTRUCTURING_CHRG_AFTER_TAX</t>
  </si>
  <si>
    <t>IS_SALE_OF_INVESTMENTS_AFTER_TAX</t>
  </si>
  <si>
    <t>IS_UNREALIZED_INVEST_AFT_TAX</t>
  </si>
  <si>
    <t>IS_OTH_ONE_TIME_ITEMS_AFTER_TAX</t>
  </si>
  <si>
    <t xml:space="preserve">  + Income Tax Charge (Benefit)</t>
  </si>
  <si>
    <t>IS_ABNORMAL_TAX_PROV_BENEFIT</t>
  </si>
  <si>
    <t>Earnings Per Share Reconciliation</t>
  </si>
  <si>
    <t>IS_DISC_OPS_DILUTED_SH</t>
  </si>
  <si>
    <t>IS_XO_ITEMS_ACCT_CHG_DIL_SH</t>
  </si>
  <si>
    <t>IS_AIP_RD_PER_DILUTED_SHARE</t>
  </si>
  <si>
    <t>IS_MERGER_ACQUIS_EXPN_DILUTED_SH</t>
  </si>
  <si>
    <t>IS_IIA_DILUTED_SHARE</t>
  </si>
  <si>
    <t>IS_RESTRUCTURING_CHRG_DILUTED_SH</t>
  </si>
  <si>
    <t>IS_SALE_INVESTMENTS_DILUTED_SH</t>
  </si>
  <si>
    <t>IS_UNREALIZED_INVEST_DILUTED_SH</t>
  </si>
  <si>
    <t>IS_OTH_ONE_TIME_ITEMS_DILUTED_SH</t>
  </si>
  <si>
    <t>IS_TAX_PROV_BENEFIT_DILUTED_SH</t>
  </si>
  <si>
    <t>Diluted EPS from Cont Ops, Adj</t>
  </si>
  <si>
    <t>Gilead Sciences Inc (GILD US) - SBC &amp; Amort</t>
  </si>
  <si>
    <t>Basic EPS Ex-SBC, Adj</t>
  </si>
  <si>
    <t>BASIC_EPS_EX_STK_BASED_COMP</t>
  </si>
  <si>
    <t>Diluted EPS Ex-SBC, Adj</t>
  </si>
  <si>
    <t>DILUTED_EPS_EX_STK_BASED_COMP</t>
  </si>
  <si>
    <t>Basic EPS Ex-Amortization, Adj</t>
  </si>
  <si>
    <t>ADJ_EPS_EX_AMORT_TOT_INTANG_BAS</t>
  </si>
  <si>
    <t>Diluted EPS Ex-Amortization, Adj</t>
  </si>
  <si>
    <t>ADJ_EPS_EX_AMORT_TOT_INTANG_DIL</t>
  </si>
  <si>
    <t>Basic EPS Ex-SBC &amp; Amort, Adj</t>
  </si>
  <si>
    <t>ADJ_EPS_EX_SBC_AMORT_TOT_INT_BAS</t>
  </si>
  <si>
    <t>Diluted EPS Ex-SBC &amp; Amort, Adj</t>
  </si>
  <si>
    <t>ADJ_EPS_EX_SBC_AMORT_TOT_INT_DIL</t>
  </si>
  <si>
    <t>Stock Based Compensation</t>
  </si>
  <si>
    <t>Pre-Tax</t>
  </si>
  <si>
    <t>IS_EXPENSE_STOCK_BASED_COMP</t>
  </si>
  <si>
    <t>After-Tax</t>
  </si>
  <si>
    <t>IS_STK_BASED_COMP_AFT_TAX</t>
  </si>
  <si>
    <t>Per Basic Share</t>
  </si>
  <si>
    <t>IS_STK_BASED_COMP_PER_BAS_SH</t>
  </si>
  <si>
    <t>Per Diluted Share</t>
  </si>
  <si>
    <t>IS_STK_BASED_COMP_PER_DIL_SH</t>
  </si>
  <si>
    <t>Cost of Revenue</t>
  </si>
  <si>
    <t>IS_SBC_ATTRIB_TO_COGS_PRETX</t>
  </si>
  <si>
    <t>Selling, General &amp; Administrative</t>
  </si>
  <si>
    <t>IS_SBC_INCL_SELLING</t>
  </si>
  <si>
    <t>Research &amp; Development</t>
  </si>
  <si>
    <t>IS_SBC_INCL_RD</t>
  </si>
  <si>
    <t>Amortization of Acquisition Related Intangibles</t>
  </si>
  <si>
    <t>IS_AMORT_OF_INTANG_ACQUIS_REL</t>
  </si>
  <si>
    <t>IS_AMORT_INTANG_ACQ_REL_AT</t>
  </si>
  <si>
    <t>IS_AMORT_INTANG_ACQ_REL_BASIC_PS</t>
  </si>
  <si>
    <t>IS_AMORT_INTANG_ACQ_REL_DIL_PS</t>
  </si>
  <si>
    <t>IS_AMORT_ACQD_INTANGIBLES_COGS</t>
  </si>
  <si>
    <t>Amortization of Total Intangibles</t>
  </si>
  <si>
    <t>IS_AMORT_OF_TOT_INTANG_PRETX</t>
  </si>
  <si>
    <t>IS_AMORT_OF_TOT_INTANG_AFT_TAX</t>
  </si>
  <si>
    <t>IS_AMORT_OF_TOT_INTANG_P_BAS_SH</t>
  </si>
  <si>
    <t>IS_AMORT_OF_TOT_INTANG_P_DIL_SH</t>
  </si>
  <si>
    <t>Gilead Sciences Inc (GILD US) - Adj %</t>
  </si>
  <si>
    <t>Gilead Sciences Inc (GILD US) - GAAP %</t>
  </si>
  <si>
    <t>Last 12M</t>
  </si>
  <si>
    <t>Gilead Sciences Inc (GILD US) - Standardized</t>
  </si>
  <si>
    <t xml:space="preserve">  + Cash, Cash Equivalents &amp; STI</t>
  </si>
  <si>
    <t>CASH_CASH_EQTY_STI_DETAILED</t>
  </si>
  <si>
    <t xml:space="preserve">    + Cash &amp; Cash Equivalents</t>
  </si>
  <si>
    <t>BS_CASH_NEAR_CASH_ITEM</t>
  </si>
  <si>
    <t xml:space="preserve">    + ST Investments</t>
  </si>
  <si>
    <t>BS_MKT_SEC_OTHER_ST_INVEST</t>
  </si>
  <si>
    <t xml:space="preserve">  + Accounts &amp; Notes Receiv</t>
  </si>
  <si>
    <t>BS_ACCT_NOTE_RCV</t>
  </si>
  <si>
    <t xml:space="preserve">    + Accounts Receivable, Net</t>
  </si>
  <si>
    <t>BS_ACCTS_REC_EXCL_NOTES_REC</t>
  </si>
  <si>
    <t xml:space="preserve">    + Notes Receivable, Net</t>
  </si>
  <si>
    <t>NOTES_RECEIVABLE</t>
  </si>
  <si>
    <t xml:space="preserve">  + Inventories</t>
  </si>
  <si>
    <t>BS_INVENTORIES</t>
  </si>
  <si>
    <t xml:space="preserve">    + Raw Materials</t>
  </si>
  <si>
    <t>INVTRY_RAW_MATERIALS</t>
  </si>
  <si>
    <t xml:space="preserve">    + Work In Process</t>
  </si>
  <si>
    <t>INVTRY_IN_PROGRESS</t>
  </si>
  <si>
    <t xml:space="preserve">    + Finished Goods</t>
  </si>
  <si>
    <t>INVTRY_FINISHED_GOODS</t>
  </si>
  <si>
    <t xml:space="preserve">    + Other Inventory</t>
  </si>
  <si>
    <t>BS_OTHER_INV</t>
  </si>
  <si>
    <t xml:space="preserve">  + Other ST Assets</t>
  </si>
  <si>
    <t>OTHER_CURRENT_ASSETS_DETAILED</t>
  </si>
  <si>
    <t xml:space="preserve">    + Derivative &amp; Hedging Assets</t>
  </si>
  <si>
    <t>BS_DERIV_HEDGING_ASST_ST</t>
  </si>
  <si>
    <t xml:space="preserve">    + Deferred Tax Assets</t>
  </si>
  <si>
    <t>BS_DEFERRED_TAX_ASSETS_ST</t>
  </si>
  <si>
    <t xml:space="preserve">    + Misc ST Assets</t>
  </si>
  <si>
    <t>BS_OTHER_CUR_ASSET_LESS_PREPAY</t>
  </si>
  <si>
    <t xml:space="preserve">  + Property, Plant &amp; Equip, Net</t>
  </si>
  <si>
    <t>BS_NET_FIX_ASSET</t>
  </si>
  <si>
    <t xml:space="preserve">    + Property, Plant &amp; Equip</t>
  </si>
  <si>
    <t>BS_GROSS_FIX_ASSET</t>
  </si>
  <si>
    <t xml:space="preserve">    - Accumulated Depreciation</t>
  </si>
  <si>
    <t>BS_ACCUM_DEPR</t>
  </si>
  <si>
    <t xml:space="preserve">  + LT Investments &amp; Receivables</t>
  </si>
  <si>
    <t>BS_LT_INVEST</t>
  </si>
  <si>
    <t xml:space="preserve">    + LT Marketable Securities</t>
  </si>
  <si>
    <t>BS_LT_MARKETABLE_SECURITIES</t>
  </si>
  <si>
    <t xml:space="preserve">  + Other LT Assets</t>
  </si>
  <si>
    <t>BS_OTHER_ASSETS_DEF_CHRG_OTHER</t>
  </si>
  <si>
    <t xml:space="preserve">    + Total Intangible Assets</t>
  </si>
  <si>
    <t>BS_DISCLOSED_INTANGIBLES</t>
  </si>
  <si>
    <t xml:space="preserve">    + Goodwill</t>
  </si>
  <si>
    <t>BS_GOODWILL</t>
  </si>
  <si>
    <t xml:space="preserve">    + Other Intangible Assets</t>
  </si>
  <si>
    <t>OTHER_INTANGIBLE_ASSETS_DETAILED</t>
  </si>
  <si>
    <t xml:space="preserve">    + Prepaid Expense</t>
  </si>
  <si>
    <t>BS_PREPAID_EXPENSE_LT</t>
  </si>
  <si>
    <t>BS_DEFERRED_TAX_ASSETS_LT</t>
  </si>
  <si>
    <t>BS_DERIV_HEDGING_ASST_LT</t>
  </si>
  <si>
    <t xml:space="preserve">    + Misc LT Assets</t>
  </si>
  <si>
    <t>OTHER_NONCURRENT_ASSETS_DETAILED</t>
  </si>
  <si>
    <t>Total Noncurrent Assets</t>
  </si>
  <si>
    <t>BS_TOT_NON_CUR_ASSET</t>
  </si>
  <si>
    <t>Liabilities &amp; Shareholders' Equity</t>
  </si>
  <si>
    <t xml:space="preserve">  + Payables &amp; Accruals</t>
  </si>
  <si>
    <t>ACCT_PAYABLE_ACCRUALS_DETAILED</t>
  </si>
  <si>
    <t xml:space="preserve">    + Accounts Payable</t>
  </si>
  <si>
    <t>BS_ACCT_PAYABLE</t>
  </si>
  <si>
    <t xml:space="preserve">    + Accrued Taxes</t>
  </si>
  <si>
    <t>BS_TAXES_PAYABLE</t>
  </si>
  <si>
    <t xml:space="preserve">    + Other Payables &amp; Accruals</t>
  </si>
  <si>
    <t>BS_ACCRUAL</t>
  </si>
  <si>
    <t xml:space="preserve">  + ST Debt</t>
  </si>
  <si>
    <t>BS_ST_BORROW</t>
  </si>
  <si>
    <t xml:space="preserve">    + ST Borrowings</t>
  </si>
  <si>
    <t>SHORT_TERM_DEBT_DETAILED</t>
  </si>
  <si>
    <t xml:space="preserve">    + ST Lease Liabilities</t>
  </si>
  <si>
    <t>ST_CAPITALIZED_LEASE_LIABILITIES</t>
  </si>
  <si>
    <t xml:space="preserve">      + ST Finance Leases</t>
  </si>
  <si>
    <t>ST_CAPITAL_LEASE_OBLIGATIONS</t>
  </si>
  <si>
    <t xml:space="preserve">      + ST Operating Leases</t>
  </si>
  <si>
    <t>BS_ST_OPERATING_LEASE_LIABS</t>
  </si>
  <si>
    <t xml:space="preserve">    + Current Portion of LT Debt</t>
  </si>
  <si>
    <t>BS_CURR_PORTION_LT_DEBT</t>
  </si>
  <si>
    <t xml:space="preserve">  + Other ST Liabilities</t>
  </si>
  <si>
    <t>OTHER_CURRENT_LIABS_SUB_DETAILED</t>
  </si>
  <si>
    <t xml:space="preserve">    + Deferred Revenue</t>
  </si>
  <si>
    <t>ST_DEFERRED_REVENUE</t>
  </si>
  <si>
    <t xml:space="preserve">    + Derivatives &amp; Hedging</t>
  </si>
  <si>
    <t>BS_DERIV_HEDGING_LIAB_ST</t>
  </si>
  <si>
    <t xml:space="preserve">    + Misc ST Liabilities</t>
  </si>
  <si>
    <t>OTHER_CURRENT_LIABS_DETAILED</t>
  </si>
  <si>
    <t xml:space="preserve">  + LT Debt</t>
  </si>
  <si>
    <t>BS_LT_BORROW</t>
  </si>
  <si>
    <t xml:space="preserve">    + LT Borrowings</t>
  </si>
  <si>
    <t>LONG_TERM_BORROWINGS_DETAILED</t>
  </si>
  <si>
    <t xml:space="preserve">    + LT Lease Liabilities</t>
  </si>
  <si>
    <t>LT_CAPITALIZED_LEASE_LIABILITIES</t>
  </si>
  <si>
    <t xml:space="preserve">      + LT Finance Leases</t>
  </si>
  <si>
    <t>LT_CAPITAL_LEASE_OBLIGATIONS</t>
  </si>
  <si>
    <t xml:space="preserve">      + LT Operating Leases</t>
  </si>
  <si>
    <t>BS_LT_OPERATING_LEASE_LIABS</t>
  </si>
  <si>
    <t xml:space="preserve">  + Other LT Liabilities</t>
  </si>
  <si>
    <t>OTHER_NONCUR_LIABS_SUB_DETAILED</t>
  </si>
  <si>
    <t xml:space="preserve">    + Accrued Liabilities</t>
  </si>
  <si>
    <t>BS_ACCRUED_LIABILITIES</t>
  </si>
  <si>
    <t xml:space="preserve">    + Pension Liabilities</t>
  </si>
  <si>
    <t>PENSION_LIABILITIES</t>
  </si>
  <si>
    <t xml:space="preserve">    + Pensions</t>
  </si>
  <si>
    <t>BS_PENSIONS_LT_LIABS</t>
  </si>
  <si>
    <t xml:space="preserve">    + Other Post-Ret Benefits</t>
  </si>
  <si>
    <t>BS_OPRB_LT_LIABS</t>
  </si>
  <si>
    <t>LT_DEFERRED_REVENUE</t>
  </si>
  <si>
    <t xml:space="preserve">    + Deferred Tax Liabilities</t>
  </si>
  <si>
    <t>BS_DEFERRED_TAX_LIABILITIES_LT</t>
  </si>
  <si>
    <t>BS_DERIV_HEDGING_LIAB_LT</t>
  </si>
  <si>
    <t xml:space="preserve">    + Misc LT Liabilities</t>
  </si>
  <si>
    <t>OTHER_NONCURRENT_LIABS_DETAILED</t>
  </si>
  <si>
    <t>Total Noncurrent Liabilities</t>
  </si>
  <si>
    <t>NON_CUR_LIAB</t>
  </si>
  <si>
    <t xml:space="preserve">  + Preferred Equity and Hybrid Capital</t>
  </si>
  <si>
    <t xml:space="preserve">  + Share Capital &amp; APIC</t>
  </si>
  <si>
    <t>BS_SH_CAP_AND_APIC</t>
  </si>
  <si>
    <t xml:space="preserve">    + Common Stock</t>
  </si>
  <si>
    <t>BS_COMMON_STOCK</t>
  </si>
  <si>
    <t xml:space="preserve">    + Additional Paid in Capital</t>
  </si>
  <si>
    <t>BS_ADD_PAID_IN_CAP</t>
  </si>
  <si>
    <t xml:space="preserve">  - Treasury Stock</t>
  </si>
  <si>
    <t>BS_AMT_OF_TSY_STOCK</t>
  </si>
  <si>
    <t xml:space="preserve">  + Retained Earnings</t>
  </si>
  <si>
    <t>BS_PURE_RETAINED_EARNINGS</t>
  </si>
  <si>
    <t xml:space="preserve">  + Other Equity</t>
  </si>
  <si>
    <t>OTHER_EQUITY_RATIO</t>
  </si>
  <si>
    <t>Equity Before Minority Interest</t>
  </si>
  <si>
    <t>EQTY_BEF_MINORITY_INT_DETAILED</t>
  </si>
  <si>
    <t xml:space="preserve">  + Minority/Non Controlling Interest</t>
  </si>
  <si>
    <t>Total Liabilities &amp; Equity</t>
  </si>
  <si>
    <t>TOT_LIAB_AND_EQY</t>
  </si>
  <si>
    <t>Shares Outstanding</t>
  </si>
  <si>
    <t>Number of Treasury Shares</t>
  </si>
  <si>
    <t>BS_NUM_OF_TSY_SH</t>
  </si>
  <si>
    <t>Pension Obligations</t>
  </si>
  <si>
    <t>BS_PENSION_RSRV</t>
  </si>
  <si>
    <t>Future Minimum Operating Lease Obligations</t>
  </si>
  <si>
    <t>BS_FUTURE_MIN_OPER_LEASE_OBLIG</t>
  </si>
  <si>
    <t>Capital Leases - Total</t>
  </si>
  <si>
    <t>BS_TOTAL_CAPITAL_LEASES</t>
  </si>
  <si>
    <t>Options Granted During Period</t>
  </si>
  <si>
    <t>BS_OPTIONS_GRANTED</t>
  </si>
  <si>
    <t>Options Outstanding at Period End</t>
  </si>
  <si>
    <t>BS_OPTIONS_OUTSTANDING</t>
  </si>
  <si>
    <t>Net Debt</t>
  </si>
  <si>
    <t>NET_DEBT</t>
  </si>
  <si>
    <t>Net Debt to Equity</t>
  </si>
  <si>
    <t>NET_DEBT_TO_SHRHLDR_EQTY</t>
  </si>
  <si>
    <t>Tangible Common Equity Ratio</t>
  </si>
  <si>
    <t>TCE_RATIO</t>
  </si>
  <si>
    <t>Current Ratio</t>
  </si>
  <si>
    <t>CUR_RATIO</t>
  </si>
  <si>
    <t>Cash Conversion Cycle</t>
  </si>
  <si>
    <t>CASH_CONVERSION_CYCLE</t>
  </si>
  <si>
    <t>Cash Held Overseas</t>
  </si>
  <si>
    <t>BS_CASH_HELD_OVERSEAS</t>
  </si>
  <si>
    <t>Number of Employees</t>
  </si>
  <si>
    <t>NUM_OF_EMPLOYEES</t>
  </si>
  <si>
    <t>Balance Sheet</t>
  </si>
  <si>
    <t xml:space="preserve">  Current Assets</t>
  </si>
  <si>
    <t>ARD_CASH_AND_EQUIVALENTS</t>
  </si>
  <si>
    <t>Marketable Securities</t>
  </si>
  <si>
    <t>ARD_MARKETABLE_SECURITIES</t>
  </si>
  <si>
    <t>Accounts Receivable - Trade</t>
  </si>
  <si>
    <t>ARD_ACCTS_RECEIVABLE_TRADE</t>
  </si>
  <si>
    <t>Inventories</t>
  </si>
  <si>
    <t>ARD_INVENTORY</t>
  </si>
  <si>
    <t>Prepaid Expenses and Other</t>
  </si>
  <si>
    <t>ARD_PREPAID_EXP_AND_OTHER</t>
  </si>
  <si>
    <t>Other Current Assets</t>
  </si>
  <si>
    <t>ARD_OTHER_CURRENT_ASSETS</t>
  </si>
  <si>
    <t>Allowance For Doubtful Accounts</t>
  </si>
  <si>
    <t>ARD_ALLOW_FOR_DOUBTFUL_ACCTS</t>
  </si>
  <si>
    <t>ARD_TOTAL_CUR_ASSETS</t>
  </si>
  <si>
    <t xml:space="preserve">  Noncurrent Assets</t>
  </si>
  <si>
    <t>Non-Current Marketable Securities</t>
  </si>
  <si>
    <t>ARD_NON_CUR_MKT_SEC</t>
  </si>
  <si>
    <t>Property Plant &amp; Equipment - Net</t>
  </si>
  <si>
    <t>ARD_PROPERTY_PLANT_EQUIP_NET</t>
  </si>
  <si>
    <t>Total Intangible Assets - Net</t>
  </si>
  <si>
    <t>ARD_TOTAL_INTANGIBLE_ASSET_NET</t>
  </si>
  <si>
    <t>Other Intangible Assets</t>
  </si>
  <si>
    <t>ARD_OTHER_INTANGIBLE_ASSET</t>
  </si>
  <si>
    <t>Goodwill</t>
  </si>
  <si>
    <t>ARD_GOODWLL</t>
  </si>
  <si>
    <t>Other Noncurrent Assets</t>
  </si>
  <si>
    <t>ARD_OTHER_NONCURRENT_ASSET</t>
  </si>
  <si>
    <t>Total Non-Current Assets</t>
  </si>
  <si>
    <t>ARD_TOTAL_NONCURRENT_ASSETS</t>
  </si>
  <si>
    <t>ARD_TOT_ASSETS</t>
  </si>
  <si>
    <t xml:space="preserve">  Current Liabilities</t>
  </si>
  <si>
    <t>Accounts Payable - Trade</t>
  </si>
  <si>
    <t>ARD_ACCOUNTS_PAYABLE_TRADE</t>
  </si>
  <si>
    <t>Current Portion of Long-Term Debt</t>
  </si>
  <si>
    <t>ARD_CURRENT_PORTION_OF_LT_DEBT</t>
  </si>
  <si>
    <t>Accrued Expenses</t>
  </si>
  <si>
    <t>ARD_ACCRUED_EXPENSES</t>
  </si>
  <si>
    <t>Other Current Liabilities</t>
  </si>
  <si>
    <t>ARD_OTHER_CURRENT_LIABILITIES</t>
  </si>
  <si>
    <t>ARD_TOTAL_CURRENT_LIABILITIES</t>
  </si>
  <si>
    <t xml:space="preserve">  Non Current Liabilities</t>
  </si>
  <si>
    <t>ARD_TOT_NONCURRENT_LIABILITIES</t>
  </si>
  <si>
    <t>Long Term Debt</t>
  </si>
  <si>
    <t>ARD_LT_DEBT</t>
  </si>
  <si>
    <t>Deferred Income Taxes (Liabilities)</t>
  </si>
  <si>
    <t>ARD_DEFERRED_INCOME_TAXES_LIAB</t>
  </si>
  <si>
    <t>Other Noncurrent Liabilities</t>
  </si>
  <si>
    <t>ARD_OTH_NONCURRENT_LIABILITIES</t>
  </si>
  <si>
    <t>Provision For Taxation</t>
  </si>
  <si>
    <t>ARD_PROVISION_FOR_TAXATION</t>
  </si>
  <si>
    <t>ARD_TOT_LIABILITIES</t>
  </si>
  <si>
    <t xml:space="preserve">  Stockholder Equity</t>
  </si>
  <si>
    <t>Preferred Stock</t>
  </si>
  <si>
    <t>ARD_PREFERRED_STOCK</t>
  </si>
  <si>
    <t>Minority/Non Controlling Int (Stckhldrs Eqty)</t>
  </si>
  <si>
    <t>ARD_MIN_NONCONTROL_INT_SE</t>
  </si>
  <si>
    <t>Common Stock</t>
  </si>
  <si>
    <t>ARD_COMMON_STOCK</t>
  </si>
  <si>
    <t>Additional Paid In Capital</t>
  </si>
  <si>
    <t>ARD_ADDITIONAL_PAID_IN_CAPITAL</t>
  </si>
  <si>
    <t>Accumulated Other Comprehensive Income</t>
  </si>
  <si>
    <t>ARD_ACC_OTH_COMPREHENSIVE_INC</t>
  </si>
  <si>
    <t>Retained Earnings (Accumulated Deficit)</t>
  </si>
  <si>
    <t>ARD_RETAINED_EARN_ACC_DEFICIT</t>
  </si>
  <si>
    <t>Other Equity</t>
  </si>
  <si>
    <t>ARD_OTHER_EQUITY</t>
  </si>
  <si>
    <t>ARD_SHARES_OUTSTANDING</t>
  </si>
  <si>
    <t>Par Value</t>
  </si>
  <si>
    <t>ARD_PAR_VALUE</t>
  </si>
  <si>
    <t>Common Stock &amp; APIC</t>
  </si>
  <si>
    <t>ARD_COMMON_STOCK_AND_APIC</t>
  </si>
  <si>
    <t>Shares Issued</t>
  </si>
  <si>
    <t>ARD_SHARES_ISSUED</t>
  </si>
  <si>
    <t>Total Shareholders Equity</t>
  </si>
  <si>
    <t>ARD_TOTAL_SHAREHOLDERS_EQUITY</t>
  </si>
  <si>
    <t>Shares Authorized</t>
  </si>
  <si>
    <t>ARD_SHARES_AUTHORIZED</t>
  </si>
  <si>
    <t>Total Shareholders Equity Excluding Minority</t>
  </si>
  <si>
    <t>ARD_TOT_SHARE_EQY_EXCL_MINORITY</t>
  </si>
  <si>
    <t>Total Liabilities and Shareholders Equity</t>
  </si>
  <si>
    <t>ARD_TOT_LIAB_AND_SHAREHOLDER_EQY</t>
  </si>
  <si>
    <t>ARDR Number of RSU Beginning of the Period</t>
  </si>
  <si>
    <t>ARDR_NUM_OF_RSU_BEGIN_OF_PER</t>
  </si>
  <si>
    <t>ARDR Number of Restricted Stock Units Granted</t>
  </si>
  <si>
    <t>ARDR_NUMBER_OF_RSU_GRANTED</t>
  </si>
  <si>
    <t>ARDR Number of Restricted Stock Units Vested</t>
  </si>
  <si>
    <t>ARDR_NUMBER_OF_RSU_VESTED</t>
  </si>
  <si>
    <t>ARDR Number of RSU Forfeited Canceled</t>
  </si>
  <si>
    <t>ARDR_NUMBER_OF_RSU_FORFTD_CANCLD</t>
  </si>
  <si>
    <t>ARDR_ACCTS_RECEIVABLE_TRADE</t>
  </si>
  <si>
    <t>ARDR_INVENTORY</t>
  </si>
  <si>
    <t>Land</t>
  </si>
  <si>
    <t>ARDR_LAND</t>
  </si>
  <si>
    <t>Buildings</t>
  </si>
  <si>
    <t>ARDR_BUILDING</t>
  </si>
  <si>
    <t>Construction In Progress</t>
  </si>
  <si>
    <t>ARDR_CONSTRUCTION_IN_PROGRESS</t>
  </si>
  <si>
    <t>Furniture/Machinery/Equipment</t>
  </si>
  <si>
    <t>ARDR_FURNITURE_MACHINERY_EQUIP</t>
  </si>
  <si>
    <t>Property Plant &amp; Equipment - Gross</t>
  </si>
  <si>
    <t>ARDR_PROPERTY_PLANT_EQUIP_GROSS</t>
  </si>
  <si>
    <t>Accumulated Depreciation</t>
  </si>
  <si>
    <t>ARDR_ACCUMULATED_DEPREC</t>
  </si>
  <si>
    <t>ARDR_PROPERTY_PLANT_EQUIP_NET</t>
  </si>
  <si>
    <t>Deferred Income Tax Asset (LT)</t>
  </si>
  <si>
    <t>ARDR_DEFERRED_INC_TAX_ASSET_LT</t>
  </si>
  <si>
    <t>ARDR_TOTAL_INTANGIBLE_ASSET_NET</t>
  </si>
  <si>
    <t>ARDR_OTHER_INTANGIBLE_ASSET</t>
  </si>
  <si>
    <t>ARDR_GOODWLL</t>
  </si>
  <si>
    <t>ARDR_CURRENT_PORTION_OF_LT_DEBT</t>
  </si>
  <si>
    <t>ARDR_DEFERRED_INCOME_TAXES_LIAB</t>
  </si>
  <si>
    <t>Min/Non Cntrlling Int(Stckhldrs Eqty)</t>
  </si>
  <si>
    <t>ARDR_MIN_NONCONTROL_INT_SE</t>
  </si>
  <si>
    <t>ARDR_COMMON_STOCK</t>
  </si>
  <si>
    <t>ARDR_ADDITIONAL_PAID_IN_CAPITAL</t>
  </si>
  <si>
    <t>ARDR_ACC_OTH_COMPREHENSIVE_INC</t>
  </si>
  <si>
    <t>ARDR_RETAINED_EARN_ACC_DEFICIT</t>
  </si>
  <si>
    <t>ARDR_SHARES_OUTSTANDING</t>
  </si>
  <si>
    <t>ARDR_PAR_VALUE</t>
  </si>
  <si>
    <t>Raw Materials</t>
  </si>
  <si>
    <t>ARDR_RAW_MATERIAL</t>
  </si>
  <si>
    <t>Work In Progress</t>
  </si>
  <si>
    <t>ARDR_WORK_IN_PROGRESS</t>
  </si>
  <si>
    <t>Finished Goods</t>
  </si>
  <si>
    <t>ARDR_FINISHED_GOOD</t>
  </si>
  <si>
    <t>Income Taxes Accrued/Payable</t>
  </si>
  <si>
    <t>ARDR_INCOME_TAX_ACCRUED_PAYABLE</t>
  </si>
  <si>
    <t>Total Line of Credit</t>
  </si>
  <si>
    <t>ARDR_TOTAL_LINE_OF_CREDIT</t>
  </si>
  <si>
    <t>Total Available Line of Credit</t>
  </si>
  <si>
    <t>ARDR_TOTAL_AVAIL_LINE_OF_CREDIT</t>
  </si>
  <si>
    <t>ARDR_FUT_MIN_OPER_LEASE_OBLIG</t>
  </si>
  <si>
    <t>Rental Expense - Year 1</t>
  </si>
  <si>
    <t>ARDR_RENTAL_EXP_YR1</t>
  </si>
  <si>
    <t>Rental Expense - Year 2</t>
  </si>
  <si>
    <t>ARDR_RENTAL_EXP_YR2</t>
  </si>
  <si>
    <t>Rental Expense - Year 3</t>
  </si>
  <si>
    <t>ARDR_RENTAL_EXP_YR3</t>
  </si>
  <si>
    <t>Rental Expense - Year 4</t>
  </si>
  <si>
    <t>ARDR_RENTAL_EXP_YR4</t>
  </si>
  <si>
    <t>Rental Expense - Year 5</t>
  </si>
  <si>
    <t>ARDR_RENTAL_EXP_YR5</t>
  </si>
  <si>
    <t>Rental Expense - Beyond Year 5</t>
  </si>
  <si>
    <t>ARDR_RENTAL_EXP_BEYOND_YR5</t>
  </si>
  <si>
    <t>Other Inventory Reserves</t>
  </si>
  <si>
    <t>ARDR_OTHER_INVENTORY_RESERVES</t>
  </si>
  <si>
    <t>ARDR_ALLOW_FOR_DOUBTFUL_ACCTS</t>
  </si>
  <si>
    <t>ARDR_TOTAL_SHAREHOLDERS_EQUITY</t>
  </si>
  <si>
    <t>Derivative Assets Short-Term</t>
  </si>
  <si>
    <t>ARDR_DERIVATIVE_ASSET_ST</t>
  </si>
  <si>
    <t>Derivative Assets (Long-Term)</t>
  </si>
  <si>
    <t>ARDR_DERIVATIVE_ASSET_LT</t>
  </si>
  <si>
    <t>Derivative Liabilities (Short-Term)</t>
  </si>
  <si>
    <t>ARDR_DERIVATIVE_LIABILITIES_ST</t>
  </si>
  <si>
    <t>Derivative Liabilities (Long-Term)</t>
  </si>
  <si>
    <t>ARDR_DERIVATIVE_LIABILITIES_LT</t>
  </si>
  <si>
    <t>Shares Outstanding From The Front Cover</t>
  </si>
  <si>
    <t>ARDR_SHARE_OUT_FROM_FRONT_COVER</t>
  </si>
  <si>
    <t>Accumulated Amortization Intangible Assets</t>
  </si>
  <si>
    <t>ARDR_ACCCUM_AMORT_INTANG_ASSET</t>
  </si>
  <si>
    <t>Cash Equivalents And Marketable Securities</t>
  </si>
  <si>
    <t>ARDR_CASH_EQUIVALENTS_MKT_SECS</t>
  </si>
  <si>
    <t>ARDR_OPTIONS_GRANTED_DURING_PER</t>
  </si>
  <si>
    <t>Options Outstanding End Period</t>
  </si>
  <si>
    <t>ARDR_OPTIONS_OUTSTANDING_END_PER</t>
  </si>
  <si>
    <t>Options Exercised During the Period</t>
  </si>
  <si>
    <t>ARDR_OPTIONS_EXERCISED_DUR_PER</t>
  </si>
  <si>
    <t>Options Expired During the Period</t>
  </si>
  <si>
    <t>ARDR_OPTIONS_EXPIRED_DUR_PER</t>
  </si>
  <si>
    <t>Accrued Expenses And Other (ST)</t>
  </si>
  <si>
    <t>ARDR_ACCRUED_EXP_OTHER_ST</t>
  </si>
  <si>
    <t>Total Credit Utilized</t>
  </si>
  <si>
    <t>ARDR_TOTAL_CREDIT_UTILIZED</t>
  </si>
  <si>
    <t>Purchase Obligations</t>
  </si>
  <si>
    <t>ARDR_PURCHASE_OBLIGATIONS</t>
  </si>
  <si>
    <t>Debt Schedule - Total Debt</t>
  </si>
  <si>
    <t>ARDR_DEBT_SCHEDULE_TOTAL_DEBT</t>
  </si>
  <si>
    <t>Debt Schedule - Total Long Term Debt</t>
  </si>
  <si>
    <t>ARDR_DEBT_SCHEDULE_TOTAL_LT_DEBT</t>
  </si>
  <si>
    <t>Number of Common Shares Repurchased</t>
  </si>
  <si>
    <t>ARDR_COMMON_SHARES_REPURCHASED</t>
  </si>
  <si>
    <t>Value of Common Shares Repurchased</t>
  </si>
  <si>
    <t>ARDR_VAL_COMMON_SHRS_REPURCHASED</t>
  </si>
  <si>
    <t>ARDR Total Operating Liabilities</t>
  </si>
  <si>
    <t>ARDR_TOTAL_OPERATING_LIABILITIES</t>
  </si>
  <si>
    <t>Fair Value Assets Recur - Level 1</t>
  </si>
  <si>
    <t>ARDR_FV_ASSETS_REC_LEVEL_1</t>
  </si>
  <si>
    <t>Fair Value Assets Recur - Level 2</t>
  </si>
  <si>
    <t>ARDR_FV_ASSETS_REC_LEVEL_2</t>
  </si>
  <si>
    <t>Fair Value Assets Recur - Level 3</t>
  </si>
  <si>
    <t>ARDR_FV_ASSETS_REC_LEVEL_3</t>
  </si>
  <si>
    <t>Fair Value Assets Recur - Total</t>
  </si>
  <si>
    <t>ARDR_FV_ASSETS_REC_TOTAL</t>
  </si>
  <si>
    <t>Fair Value Liab Recur - Level 1</t>
  </si>
  <si>
    <t>ARDR_FV_LIAB_REC_LEVEL_1</t>
  </si>
  <si>
    <t>Fair Value Liab Recur - Level 2</t>
  </si>
  <si>
    <t>ARDR_FV_LIAB_REC_LEVEL_2</t>
  </si>
  <si>
    <t>Fair Value Liab Recur - Level 3</t>
  </si>
  <si>
    <t>ARDR_FV_LIAB_REC_LEVEL_3</t>
  </si>
  <si>
    <t>Fair Value Liab Recur - Total</t>
  </si>
  <si>
    <t>ARDR_FV_LIAB_REC_TOTAL</t>
  </si>
  <si>
    <t>ARDR Options Cancelled or Forfeited</t>
  </si>
  <si>
    <t>ARDR_OPTIONS_CANCELLED_FORFEITED</t>
  </si>
  <si>
    <t>Contractual Obligations - Year 1</t>
  </si>
  <si>
    <t>ARDR_CONTRACTUAL_OBLIG_YEAR_1</t>
  </si>
  <si>
    <t>Contractual Obligations Years - 2 &amp; 3</t>
  </si>
  <si>
    <t>ARDR_CONTRACTUAL_OBLIG_YEAR_2_3</t>
  </si>
  <si>
    <t>Contractual Obligations Years - 4 &amp; 5</t>
  </si>
  <si>
    <t>ARDR_CONTRACTUAL_OBLIG_YEAR_4_5</t>
  </si>
  <si>
    <t>Contractual Obligations - Beyond Year 5</t>
  </si>
  <si>
    <t>ARDR_CONT_OBLIG_BEYOND_YEAR_5</t>
  </si>
  <si>
    <t>Total Contractual Obligations</t>
  </si>
  <si>
    <t>ARDR_CONTRACTUAL_OBLIG_TOTAL</t>
  </si>
  <si>
    <t>Capital Lease Year 1</t>
  </si>
  <si>
    <t>ARDR_CAPITAL_LEASE_YEAR_1</t>
  </si>
  <si>
    <t>Capital Lease Beyond Year 5</t>
  </si>
  <si>
    <t>ARDR_CAPITAL_LEASE_BEYOND_YEAR_5</t>
  </si>
  <si>
    <t>Total Capital Lease</t>
  </si>
  <si>
    <t>ARDR_TOTAL_CAPITAL_LEASE</t>
  </si>
  <si>
    <t>Fair Value of Derivatives Net</t>
  </si>
  <si>
    <t>ARDR_FAIR_VALUE_DERIVATIVES_NET</t>
  </si>
  <si>
    <t>PV of Future Min Op Lease Obligations</t>
  </si>
  <si>
    <t>ARDR_PV_FUTURE_MIN_OP_LEASE_OBL</t>
  </si>
  <si>
    <t>Capital Leases - Years 2 - 3</t>
  </si>
  <si>
    <t>ARDR_CAPITAL_LEASE_YR_2_3</t>
  </si>
  <si>
    <t>Capital Leases - Years 4 - 5</t>
  </si>
  <si>
    <t>ARDR_CAPITAL_LEASE_YR_4_5</t>
  </si>
  <si>
    <t>Weighted Average Cost of Options Granted</t>
  </si>
  <si>
    <t>ARDR_WEI_AVG_COST_OPTIONS_GRANT</t>
  </si>
  <si>
    <t>Stock Opt Valuation - Risk Free Rate (%)</t>
  </si>
  <si>
    <t>ARDR_STOCK_OPTION_VAL_RFR</t>
  </si>
  <si>
    <t>Stock Opt Valuation - Expected Life (Yrs)</t>
  </si>
  <si>
    <t>ARDR_STOCK_OPTION_VAL_EXP_LIFE</t>
  </si>
  <si>
    <t>Stock Opt Valuation - Expected Volatil (%)</t>
  </si>
  <si>
    <t>ARDR_STOCK_OPTION_VAL_EXP_VOL</t>
  </si>
  <si>
    <t>Stock Opt Valuation - Dividend Yield (%)</t>
  </si>
  <si>
    <t>ARDR_STOCK_OPTION_VAL_DVD_YLD</t>
  </si>
  <si>
    <t>Avg Exercise Price (Options Exercisable)</t>
  </si>
  <si>
    <t>ARDR_AVG_EXER_PX_OPT_EXERCISABLE</t>
  </si>
  <si>
    <t>Avg Exercise Price (Options Outstanding)</t>
  </si>
  <si>
    <t>ARDR_AVG_EXER_PX_OPT_OUTSTANDING</t>
  </si>
  <si>
    <t>Options Exercisable End of Period</t>
  </si>
  <si>
    <t>ARDR_OPTIONS_EXERCISABLE</t>
  </si>
  <si>
    <t>Deferred Tax Asset - Valuation Allowance</t>
  </si>
  <si>
    <t>ARDR_DEFERRED_TAX_ALLOWANCE</t>
  </si>
  <si>
    <t>Shares Authorized for Repurchase Amount</t>
  </si>
  <si>
    <t>ARDR_SHARES_AUTH_REPURCH_AMOUNT</t>
  </si>
  <si>
    <t>Remaining Shares Auth for Repurchase Amt</t>
  </si>
  <si>
    <t>ARDR_REMAINING_SH_AUTH_REP_AMT</t>
  </si>
  <si>
    <t>FV Assets Rec L1: Trading Treasuries</t>
  </si>
  <si>
    <t>ARDR_FV_ASSETS_REC_L1_TRAD_TREAS</t>
  </si>
  <si>
    <t>FV Assets Rec L1: AFS Treasuries</t>
  </si>
  <si>
    <t>ARDR_FV_ASSETS_REC_L1_AFS_TREAS</t>
  </si>
  <si>
    <t>FV Assets Rec L1: AFS Corporate Bonds</t>
  </si>
  <si>
    <t>ARDR_FV_ASTS_REC_L1_AFS_CORP_BDS</t>
  </si>
  <si>
    <t>FV Assets Rec L1: AFS CDO CLO</t>
  </si>
  <si>
    <t>ARDR_FV_ASTS_REC_L1_AFS_CDO_CLO</t>
  </si>
  <si>
    <t>FV Assets Rec L1: AFS GSE CMO</t>
  </si>
  <si>
    <t>ARDR_FV_ASTS_REC_L1_AFS_GSE_CMO</t>
  </si>
  <si>
    <t>FV Assets Rec L1: AFS Other</t>
  </si>
  <si>
    <t>ARDR_FV_ASSETS_REC_L1_AFS_OTHER</t>
  </si>
  <si>
    <t>FV Assets Rec L1: HTM Other</t>
  </si>
  <si>
    <t>ARDR_FV_ASSETS_REC_L1_HTM_OTHER</t>
  </si>
  <si>
    <t>FV Assets Rec L1: Derivatives</t>
  </si>
  <si>
    <t>ARDR_FV_ASTS_REC_L1_DERIVATIVES</t>
  </si>
  <si>
    <t>FV Assets Rec L1: Other</t>
  </si>
  <si>
    <t>ARDR_FV_ASSETS_REC_L1_OTHER</t>
  </si>
  <si>
    <t>FV Assets Rec L2: Trading Treasuries</t>
  </si>
  <si>
    <t>ARDR_FV_ASTS_REC_L2_TRAD_TREAS</t>
  </si>
  <si>
    <t>FV Assets Rec L2: Trading Bonds</t>
  </si>
  <si>
    <t>ARDR_FV_ASTS_REC_L2_TRAD_BONDS</t>
  </si>
  <si>
    <t>FV Assets Rec L2: AFS Treasuries</t>
  </si>
  <si>
    <t>ARDR_FV_ASSETS_REC_L2_AFS_TREAS</t>
  </si>
  <si>
    <t>FV Assets Rec L2: AFS Corp Bonds</t>
  </si>
  <si>
    <t>ARDR_FV_ASTS_REC_L2_AFS_CORP_BDS</t>
  </si>
  <si>
    <t>FV Assets Rec L2: AFS CDO CLO</t>
  </si>
  <si>
    <t>ARDR_FV_ASTS_REC_L2_AFS_CDO_CLO</t>
  </si>
  <si>
    <t>FV Assets Rec L2: AFS GSE CMO</t>
  </si>
  <si>
    <t>ARDR_FV_ASTS_REC_L2_AFS_GSE_CMO</t>
  </si>
  <si>
    <t>FV Assets Rec L2: AFS Non GSE</t>
  </si>
  <si>
    <t>ARDR_FV_ASTS_REC_L2_AFS_NON_GSE</t>
  </si>
  <si>
    <t>FV Assets Rec L2: AFS ABS</t>
  </si>
  <si>
    <t>ARDR_FV_ASSETS_REC_L2_AFS_ABS</t>
  </si>
  <si>
    <t>FV Assets Rec L2: AFS Other</t>
  </si>
  <si>
    <t>ARDR_FV_ASSETS_REC_L2_AFS_OTHER</t>
  </si>
  <si>
    <t>FV Assets Rec L2: Derivatives</t>
  </si>
  <si>
    <t>ARDR_FV_ASTS_REC_L2_DERIVATIVES</t>
  </si>
  <si>
    <t>FV Assets Rec L2: Other</t>
  </si>
  <si>
    <t>ARDR_FV_ASSETS_REC_L2_OTH</t>
  </si>
  <si>
    <t>FV Assets Rec L3: Trading Treasuries</t>
  </si>
  <si>
    <t>ARDR_FV_ASTS_REC_L3_TRAD_TREAS</t>
  </si>
  <si>
    <t>FV Assets Rec L3: AFS Treasuries</t>
  </si>
  <si>
    <t>ARDR_FV_ASSETS_REC_L3_AFS_TREAS</t>
  </si>
  <si>
    <t>FV Assets Rec L3: AFS Corporate Bonds</t>
  </si>
  <si>
    <t>ARDR_FV_ASTS_REC_L3_AFS_CORP_BDS</t>
  </si>
  <si>
    <t>FV Assets Rec L3: AFS CDO CLO</t>
  </si>
  <si>
    <t>ARDR_FV_ASTS_REC_L3_AFS_CDO_CLO</t>
  </si>
  <si>
    <t>FV Assets Rec L3: AFS GSE CMO</t>
  </si>
  <si>
    <t>ARDR_FV_ASTS_REC_L3_AFS_GSE_CMO</t>
  </si>
  <si>
    <t>FV Assets Rec L3: AFS Non GSE</t>
  </si>
  <si>
    <t>ARDR_FV_ASTS_REC_L3_AFS_NON_GSE</t>
  </si>
  <si>
    <t>FV Assets Rec L3: AFS Other</t>
  </si>
  <si>
    <t>ARDR_FV_ASSETS_REC_L3_AFS_OTHER</t>
  </si>
  <si>
    <t>FV Assets Rec L3: Derivatives</t>
  </si>
  <si>
    <t>ARDR_FV_ASTS_REC_L3_DERIVATIVES</t>
  </si>
  <si>
    <t>FV Assets Rec L3: Other</t>
  </si>
  <si>
    <t>ARDR_FV_ASSETS_REC_L3_OTHER</t>
  </si>
  <si>
    <t>FV Assets Rec Total: AFS</t>
  </si>
  <si>
    <t>ARDR_FV_ASSETS_REC_TOT_AFS</t>
  </si>
  <si>
    <t>FV Assets Rec Total: CP</t>
  </si>
  <si>
    <t>ARDR_FV_ASSETS_REC_TOT_CP</t>
  </si>
  <si>
    <t>FV Assets Rec Total: Investment Securities</t>
  </si>
  <si>
    <t>ARDR_FV_ASTS_REC_TOT_INV_SEC</t>
  </si>
  <si>
    <t>FV Assets Rec Total: Derivatives</t>
  </si>
  <si>
    <t>ARDR_FV_ASTS_REC_TOT_DERIVATIVES</t>
  </si>
  <si>
    <t>FV Assets Rec Total: Other</t>
  </si>
  <si>
    <t>ARDR_FV_ASSETS_REC_TOT_OTHER</t>
  </si>
  <si>
    <t>FV Liabs Rec L1: Derivatives</t>
  </si>
  <si>
    <t>ARDR_FV_LIABS_REC_L1_DERIVATIVES</t>
  </si>
  <si>
    <t>FV Liabs Rec L1: Other</t>
  </si>
  <si>
    <t>ARDR_FV_LIABS_REC_L1_OTHER</t>
  </si>
  <si>
    <t>FV Liabs Rec L2: Derivatives</t>
  </si>
  <si>
    <t>ARDR_FV_LIABS_REC_L2_DERIVATIVES</t>
  </si>
  <si>
    <t>FV Liabs Rec L2: Other</t>
  </si>
  <si>
    <t>ARDR_FV_LIABS_REC_L2_OTHER</t>
  </si>
  <si>
    <t>FV Liabs Rec L3: Derivatives</t>
  </si>
  <si>
    <t>ARDR_FV_LIABS_REC_L3_DERIVATIVES</t>
  </si>
  <si>
    <t>FV Liabs Rec L3: Other</t>
  </si>
  <si>
    <t>ARDR_FV_LIABS_REC_L3_OTHER</t>
  </si>
  <si>
    <t>FV Liabs Rec Total: Derivatives</t>
  </si>
  <si>
    <t>ARDR_FV_LIABS_REC_TOT_DERV</t>
  </si>
  <si>
    <t>FV Liabs Rec Total: Other</t>
  </si>
  <si>
    <t>ARDR_FV_LIABS_REC_TOT_OTHER</t>
  </si>
  <si>
    <t>FV Hedging Derivative Assets-Foreign Exch</t>
  </si>
  <si>
    <t>ARDR_FV_HEDG_DERIV_ASSETS_FX</t>
  </si>
  <si>
    <t>FV Non-Hedging Deriv Assets - FX Contract</t>
  </si>
  <si>
    <t>ARDR_FV_NON_HEDG_DERIV_ASSETS_FX</t>
  </si>
  <si>
    <t>FV Non-Hedging Deriv Liabs - FX Contract</t>
  </si>
  <si>
    <t>ARDR_FV_HEDG_DERIV_LIABS_FX</t>
  </si>
  <si>
    <t>Hedging Derivative Liabs-Foreign Exchange</t>
  </si>
  <si>
    <t>ARDR_FV_HEDG_DERIV_LIABI_FX</t>
  </si>
  <si>
    <t>DTA - Net Operating Loss Carryforward</t>
  </si>
  <si>
    <t>ARDR_DTA_NOL_CARRYFORWARD</t>
  </si>
  <si>
    <t>As Reported Data Reference FV Hedging Total Assets</t>
  </si>
  <si>
    <t>ARDR_FV_HEDGING_TOTAL_ASSETS</t>
  </si>
  <si>
    <t>ARDR FV Hedging Total Liabilities</t>
  </si>
  <si>
    <t>ARDR_FV_HEDGING_TOTAL_LIABS</t>
  </si>
  <si>
    <t>Fair Value Non Hedging Total Assets</t>
  </si>
  <si>
    <t>ARDR_FV_NON_HEDGING_TOTAL_ASSETS</t>
  </si>
  <si>
    <t>Fair Value Non Hedging Total Liabilities</t>
  </si>
  <si>
    <t>ARDR_FV_NON_HEDGING_TOTAL_LIABS</t>
  </si>
  <si>
    <t>Options at Beginning of Period</t>
  </si>
  <si>
    <t>ARDR_OPTIONS_BEGINNING_OF_PERIOD</t>
  </si>
  <si>
    <t>Average Price per Share Repurchased</t>
  </si>
  <si>
    <t>ARDR_AVG_PRICE_PER_SHARE_REPURCH</t>
  </si>
  <si>
    <t>UTB Balance at Beginning Period</t>
  </si>
  <si>
    <t>ARDR_UTB_BALANCE_BEGIN_PERIOD</t>
  </si>
  <si>
    <t>UTB Balance at Period End</t>
  </si>
  <si>
    <t>ARDR_UTB_BALANCE_END_PERIOD</t>
  </si>
  <si>
    <t>Additions for Tax Positions of the Crnt Yr</t>
  </si>
  <si>
    <t>ARDR_ADDITIONS_TAX_POS_CUR_YR</t>
  </si>
  <si>
    <t>Additions for Tax Positions of Prior Years</t>
  </si>
  <si>
    <t>ARDR_ADDITIONS_TAX_POS_PR_YR</t>
  </si>
  <si>
    <t>Reductions for Tax Positions for Prior Yrs</t>
  </si>
  <si>
    <t>ARDR_REDUCTIONS_TAX_POS_PR_YR</t>
  </si>
  <si>
    <t>Settlements</t>
  </si>
  <si>
    <t>ARDR_SETTLEMENTS</t>
  </si>
  <si>
    <t>Statutes of Limitations under UTB</t>
  </si>
  <si>
    <t>ARDR_STATUTES_LIMITATIONS_UTB</t>
  </si>
  <si>
    <t>Total Derivative Assets</t>
  </si>
  <si>
    <t>ARDR_TOTAL_DERIVATIVE_ASSETS</t>
  </si>
  <si>
    <t>As Reported Data Reference Restricted Stock Units</t>
  </si>
  <si>
    <t>ARDR_RESTRICTED_STOCK_UNITS</t>
  </si>
  <si>
    <t>ARDR Restricted Stock Unit WAvg FV PS</t>
  </si>
  <si>
    <t>ARDR_RSTR_STK_UNIT_WAVG_FV_PS</t>
  </si>
  <si>
    <t>ARDR Full Time Employees</t>
  </si>
  <si>
    <t>ARDR_FULL_TIME_EMPLOYEES</t>
  </si>
  <si>
    <t>As Reported Data Reference Cash Held Overseas</t>
  </si>
  <si>
    <t>ARDR_CASH_HELD_OVERSEAS</t>
  </si>
  <si>
    <t>ARDR Remaining # Shares Auth Und Repurch Prog</t>
  </si>
  <si>
    <t>ARDR_REM_#_SHS_AUTH_UND_REP_PROG</t>
  </si>
  <si>
    <t>ARDR Number Shares Repurchased Repurchase Program</t>
  </si>
  <si>
    <t>ARDR_#_SHS_REPURCH_FR_REP_PROG</t>
  </si>
  <si>
    <t>Gilead Sciences Inc (GILD US) - Common Size</t>
  </si>
  <si>
    <t>Gilead Sciences Inc (GILD US) - Fair Value Analysis</t>
  </si>
  <si>
    <t xml:space="preserve">  Level 1 Assets</t>
  </si>
  <si>
    <t xml:space="preserve">  Level 2 Assets</t>
  </si>
  <si>
    <t xml:space="preserve">  Level 3 Assets</t>
  </si>
  <si>
    <t>Total FV Assets</t>
  </si>
  <si>
    <t xml:space="preserve">  Level 1 Liabilities</t>
  </si>
  <si>
    <t xml:space="preserve">  Level 2 Liabilities</t>
  </si>
  <si>
    <t xml:space="preserve">  Level 3 Liabilities</t>
  </si>
  <si>
    <t>Total FV Liabilities</t>
  </si>
  <si>
    <t xml:space="preserve">  Level 1 Assets/Total Equity</t>
  </si>
  <si>
    <t>LEVEL_1_ASSETS_TO_TOTAL_EQUITY</t>
  </si>
  <si>
    <t xml:space="preserve">  Level 2 Assets/Total Equity</t>
  </si>
  <si>
    <t>LEVEL_2_ASSETS_TO_TOTAL_EQUITY</t>
  </si>
  <si>
    <t xml:space="preserve">  Level 3 Assets/Total Equity</t>
  </si>
  <si>
    <t>LEVEL_3_ASSETS_TO_TOTAL_EQUITY</t>
  </si>
  <si>
    <t>Total FV Assets/Total Equity</t>
  </si>
  <si>
    <t>TOT_FAIR_VAL_ASSETS_TO_TOT_EQTY</t>
  </si>
  <si>
    <t xml:space="preserve">  Level 1 Assets/Total Assets</t>
  </si>
  <si>
    <t>LEVEL_1_ASSETS_TO_TOTAL_ASSETS</t>
  </si>
  <si>
    <t xml:space="preserve">  Level 2 Assets/Total Assets</t>
  </si>
  <si>
    <t>LEVEL_2_ASSETS_TO_TOTAL_ASSETS</t>
  </si>
  <si>
    <t xml:space="preserve">  Level 3 Assets/Total Assets</t>
  </si>
  <si>
    <t>LEVEL_3_ASSETS_TO_TOTAL_ASSETS</t>
  </si>
  <si>
    <t>Total FV Assets/Total Assets</t>
  </si>
  <si>
    <t>TOT_FAIR_VAL_ASSET_TO_TOT_ASSETS</t>
  </si>
  <si>
    <t>Cash from Operating Activities</t>
  </si>
  <si>
    <t xml:space="preserve">  + Net Income</t>
  </si>
  <si>
    <t>CF_NET_INC</t>
  </si>
  <si>
    <t>CF_DEPR_AMORT</t>
  </si>
  <si>
    <t xml:space="preserve">  + Non-Cash Items</t>
  </si>
  <si>
    <t>NON_CASH_ITEMS_DETAILED</t>
  </si>
  <si>
    <t xml:space="preserve">    + Stock-Based Compensation</t>
  </si>
  <si>
    <t>CF_STOCK_BASED_COMPENSATION</t>
  </si>
  <si>
    <t xml:space="preserve">    + Deferred Income Taxes</t>
  </si>
  <si>
    <t>CF_DEF_INC_TAX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</si>
  <si>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</si>
  <si>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</si>
  <si>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</si>
  <si>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</si>
  <si>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(Inc) Dec in Accts Receiv</t>
  </si>
  <si>
    <t>CF_ACCT_RCV_UNBILLED_REV</t>
  </si>
  <si>
    <t xml:space="preserve">    + (Inc) Dec in Inventories</t>
  </si>
  <si>
    <t>CF_CHANGE_IN_INVENTORIES</t>
  </si>
  <si>
    <t xml:space="preserve">    + Inc (Dec) in Accts Payable</t>
  </si>
  <si>
    <t>CF_CHANGE_IN_ACCOUNTS_PAYABLE</t>
  </si>
  <si>
    <t xml:space="preserve">    + Inc (Dec) in Other</t>
  </si>
  <si>
    <t>INC_DEC_IN_OT_OP_AST_LIAB_DETAIL</t>
  </si>
  <si>
    <t xml:space="preserve">  + Net Cash From Disc Ops</t>
  </si>
  <si>
    <t>CF_NET_CASH_DISCONT_OPS_OPER</t>
  </si>
  <si>
    <t>Cash from Investing Activities</t>
  </si>
  <si>
    <t xml:space="preserve">  + Change in Fixed &amp; Intang</t>
  </si>
  <si>
    <t>FIXED_INTANG_ASST_CHANGE</t>
  </si>
  <si>
    <t xml:space="preserve">    + Disp in Fixed &amp; Intang</t>
  </si>
  <si>
    <t>DISPOSAL_OF_FIXED_INTANG</t>
  </si>
  <si>
    <t xml:space="preserve">    + Disp of Fixed Prod Assets</t>
  </si>
  <si>
    <t>CF_DISPOSAL_OF_FIXED_PROD_ASSETS</t>
  </si>
  <si>
    <t xml:space="preserve">    + Disp of Intangible Assets</t>
  </si>
  <si>
    <t>CF_DISPOSAL_OF_INTANGIBLE_ASSETS</t>
  </si>
  <si>
    <t xml:space="preserve">    + Acq of Fixed &amp; Intang</t>
  </si>
  <si>
    <t>ACQUIS_OF_FIXED_INTANG</t>
  </si>
  <si>
    <t xml:space="preserve">    + Acq of Fixed Prod Assets</t>
  </si>
  <si>
    <t>CF_PURCHASE_OF_FIXED_PROD_ASSETS</t>
  </si>
  <si>
    <t xml:space="preserve">    + Acq of Intangible Assets</t>
  </si>
  <si>
    <t>CF_ACQUISITION_OF_INTANG_ASSETS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</si>
  <si>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</si>
  <si>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</si>
  <si>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</si>
  <si>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</si>
  <si>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</si>
  <si>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</si>
  <si>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Net Cash From Acq &amp; Div</t>
  </si>
  <si>
    <t>CF_NT_CSH_RCVD_PD_FOR_ACQUIS_DIV</t>
  </si>
  <si>
    <t xml:space="preserve">    + Cash from Divestitures</t>
  </si>
  <si>
    <t>CF_CASH_FOR_DIVESTITURES</t>
  </si>
  <si>
    <t xml:space="preserve">    + Cash for Acq of Subs</t>
  </si>
  <si>
    <t>CF_CASH_FOR_ACQUIS_SUBSIDIARIES</t>
  </si>
  <si>
    <t xml:space="preserve">    + Cash for JVs</t>
  </si>
  <si>
    <t>CF_CASH_FOR_JOINT_VENTURES_ASSOC</t>
  </si>
  <si>
    <t xml:space="preserve">  + Other Investing Activities</t>
  </si>
  <si>
    <t>OTHER_INVESTING_ACT_DETAILED</t>
  </si>
  <si>
    <t>CF_NET_CASH_DISCONTINUED_OPS_INV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</si>
  <si>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</si>
  <si>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</si>
  <si>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</si>
  <si>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</si>
  <si>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</si>
  <si>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  + Cash From (Repay) ST Debt</t>
  </si>
  <si>
    <t>CF_NET_CHG_ST_DEBT_CPTL_LEAS</t>
  </si>
  <si>
    <t xml:space="preserve">    + Cash From LT Debt</t>
  </si>
  <si>
    <t>CF_LT_DEBT_CAP_LEAS_PROCEEDS</t>
  </si>
  <si>
    <t xml:space="preserve">    + Repayments of LT Debt</t>
  </si>
  <si>
    <t>CF_LT_DEBT_CAP_LEAS_PAYMENT</t>
  </si>
  <si>
    <t xml:space="preserve">  + Cash (Repurchase) of Equity</t>
  </si>
  <si>
    <t>PROC_FR_REPURCH_EQTY_DETAILED</t>
  </si>
  <si>
    <t xml:space="preserve">    + Increase in Capital Stock</t>
  </si>
  <si>
    <t>CF_INCR_CAP_STOCK</t>
  </si>
  <si>
    <t xml:space="preserve">    + Decrease in Capital Stock</t>
  </si>
  <si>
    <t>CF_DECR_CAP_STOCK</t>
  </si>
  <si>
    <t xml:space="preserve">  + Other Financing Activities</t>
  </si>
  <si>
    <t>OTHER_FIN_AND_DEC_CAP</t>
  </si>
  <si>
    <t>CF_NET_CASH_DISCONTINUED_OPS_FIN</t>
  </si>
  <si>
    <t>CFF_ACTIVITIES_DETAILED</t>
  </si>
  <si>
    <t xml:space="preserve">  Effect of Foreign Exchange Rates</t>
  </si>
  <si>
    <t>CF_EFFECT_FOREIGN_EXCHANGES</t>
  </si>
  <si>
    <t>Net Changes in Cash</t>
  </si>
  <si>
    <t>CF_NET_CHNG_CASH</t>
  </si>
  <si>
    <t>Trailing 12M EBITDA Margin</t>
  </si>
  <si>
    <t>Net Cash Paid for Acquisitions</t>
  </si>
  <si>
    <t>CF_NET_CASH_PAID_FOR_AQUIS</t>
  </si>
  <si>
    <t>Free Cash Flow to Firm</t>
  </si>
  <si>
    <t>CF_FREE_CASH_FLOW_FIRM</t>
  </si>
  <si>
    <t>Free Cash Flow to Equity</t>
  </si>
  <si>
    <t>FREE_CASH_FLOW_EQUITY</t>
  </si>
  <si>
    <t>Free Cash Flow per Basic Share</t>
  </si>
  <si>
    <t>Price to Free Cash Flow</t>
  </si>
  <si>
    <t>Cash Flow to Net Income</t>
  </si>
  <si>
    <t>CASH_FLOW_TO_NET_INC</t>
  </si>
  <si>
    <t xml:space="preserve">  Cash From Operating Activities</t>
  </si>
  <si>
    <t>Net Income - CF</t>
  </si>
  <si>
    <t>ARD_NET_INCOME_CF</t>
  </si>
  <si>
    <t>Depreciation</t>
  </si>
  <si>
    <t>ARD_DEPRECIATION_CF</t>
  </si>
  <si>
    <t>Amortization - CF</t>
  </si>
  <si>
    <t>ARD_AMORTIZATION_CF</t>
  </si>
  <si>
    <t>Deferred Income Taxes - CF</t>
  </si>
  <si>
    <t>ARD_DEFERRED_INCOME_TAXES_CF</t>
  </si>
  <si>
    <t>ARD_STOCK_BASED_COMPENSATION</t>
  </si>
  <si>
    <t>Other Non-Cash Items</t>
  </si>
  <si>
    <t>ARD_OTHER_NON_CASH_ITEMS</t>
  </si>
  <si>
    <t>Change in Inventories</t>
  </si>
  <si>
    <t>ARD_CHANGE_IN_INVENTORIES</t>
  </si>
  <si>
    <t>Change in Accounts Payable</t>
  </si>
  <si>
    <t>ARD_CHANGE_IN_ACCOUNTS_PAYABLE</t>
  </si>
  <si>
    <t>Change in Accounts Receivable</t>
  </si>
  <si>
    <t>ARD_CHG_IN_ACCOUNTS_RECEIVABLE</t>
  </si>
  <si>
    <t>Change in Prepaid Expenses</t>
  </si>
  <si>
    <t>ARD_CHANGE_IN_PREPAID_EXP</t>
  </si>
  <si>
    <t>Change in Accrued Expenses</t>
  </si>
  <si>
    <t>ARD_CHANGE_IN_ACCRUED_EXP</t>
  </si>
  <si>
    <t>Change in Income Taxes Payable (Receivable)</t>
  </si>
  <si>
    <t>ARD_CHG_IN_INC_TAX_PAYABLE_REC</t>
  </si>
  <si>
    <t>Impairments</t>
  </si>
  <si>
    <t>ARD_IMPAIRMENTS</t>
  </si>
  <si>
    <t>Acquired In-Process R&amp;D -CF</t>
  </si>
  <si>
    <t>ARD_ACQUIRED_IN_PROCESS_RD_CF</t>
  </si>
  <si>
    <t>Change in Other Assets</t>
  </si>
  <si>
    <t>ARD_CHANGE_IN_OTHER_ASSETS</t>
  </si>
  <si>
    <t>Total Cash Flows From Operations</t>
  </si>
  <si>
    <t>ARD_TOT_CASH_FLOWS_FROM_OPS</t>
  </si>
  <si>
    <t>Revaluation/Impairment Of Investments</t>
  </si>
  <si>
    <t>ARD_REVAL_IMPAIR_OF_INVESTMENTS</t>
  </si>
  <si>
    <t xml:space="preserve">  Cash From Investing Activities</t>
  </si>
  <si>
    <t>ARD_CAPITAL_EXPENDITURES</t>
  </si>
  <si>
    <t>Purchases of Short-Term Investments</t>
  </si>
  <si>
    <t>ARD_PURCHASES_OF_ST_INVEST</t>
  </si>
  <si>
    <t>Proceeds From Investments</t>
  </si>
  <si>
    <t>ARD_PROCEEDS_FROM_INVESTMENTS</t>
  </si>
  <si>
    <t>Acquisition of Business</t>
  </si>
  <si>
    <t>ARD_ACQUISITION_OF_BUSINESS</t>
  </si>
  <si>
    <t>Other Investing Activities</t>
  </si>
  <si>
    <t>ARD_OTHER_INVESTING_ACTIVITIES</t>
  </si>
  <si>
    <t>Purchases of Long-Term Marketable Securities</t>
  </si>
  <si>
    <t>ARD_PURCHASES_OF_LT_MKT_SEC</t>
  </si>
  <si>
    <t>Total Cash Flows From Investing</t>
  </si>
  <si>
    <t>ARD_TOT_CASHFLOWS_FROM_INVESTING</t>
  </si>
  <si>
    <t xml:space="preserve">  Cash from Financing Activities</t>
  </si>
  <si>
    <t>Dividends Paid</t>
  </si>
  <si>
    <t>ARD_DIVIDEND_PD</t>
  </si>
  <si>
    <t>Issuance of Common Stock</t>
  </si>
  <si>
    <t>ARD_ISSUANCE_OF_COMMON_STOCK</t>
  </si>
  <si>
    <t>Repurchase of Common Stock</t>
  </si>
  <si>
    <t>ARD_REPURCHASE_OF_COMMON_STOCK</t>
  </si>
  <si>
    <t>Effect of Exchange Rates On Cash</t>
  </si>
  <si>
    <t>ARD_EFF_OF_EXCH_RATES_ON_CASH</t>
  </si>
  <si>
    <t>Other Financing Activities</t>
  </si>
  <si>
    <t>ARD_OTHER_FINANCING_ACTIVITIES</t>
  </si>
  <si>
    <t>Cash Paid For Taxes</t>
  </si>
  <si>
    <t>ARD_CASH_PAID_FOR_TAXES</t>
  </si>
  <si>
    <t>Cash Paid For Interest</t>
  </si>
  <si>
    <t>ARD_CASH_PAID_FOR_INTEREST</t>
  </si>
  <si>
    <t>Net Change In Cash</t>
  </si>
  <si>
    <t>ARD_NET_CHANGE_IN_CASH</t>
  </si>
  <si>
    <t>Cash and Cash Equivalents (End of Period)</t>
  </si>
  <si>
    <t>ARD_CASH_CASH_EQUIV_END_OF_PER</t>
  </si>
  <si>
    <t>Cash and Cash Equivalents (Beg of Period)</t>
  </si>
  <si>
    <t>ARD_CASH_CASH_EQUIV_BEG_OF_PER</t>
  </si>
  <si>
    <t>Decrease In Borrowings</t>
  </si>
  <si>
    <t>ARD_DECREASE_IN_BORROWINGS</t>
  </si>
  <si>
    <t>Increase In Borrowings</t>
  </si>
  <si>
    <t>ARD_INCREASE_IN_BORROWINGS</t>
  </si>
  <si>
    <t>Total Cash Flows From Financing</t>
  </si>
  <si>
    <t>ARD_TOT_CASHFLOWS_FROM_FINANCING</t>
  </si>
  <si>
    <t>Gilead Sciences Inc (GILD US) - Profitability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</si>
  <si>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</si>
  <si>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</si>
  <si>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</si>
  <si>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</si>
  <si>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</si>
  <si>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</si>
  <si>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</si>
  <si>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</si>
  <si>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</si>
  <si>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</si>
  <si>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EBITDA Margin</t>
  </si>
  <si>
    <t>EBITDA_TO_REVENUE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</si>
  <si>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</si>
  <si>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</si>
  <si>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</si>
  <si>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</si>
  <si>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</si>
  <si>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</si>
  <si>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</si>
  <si>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</si>
  <si>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</si>
  <si>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</si>
  <si>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</si>
  <si>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</si>
  <si>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</si>
  <si>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</si>
  <si>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</si>
  <si>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</si>
  <si>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Gilead Sciences Inc (GILD US) - Growth</t>
  </si>
  <si>
    <t>1 Year Growth</t>
  </si>
  <si>
    <t>EBITDA_GROWTH</t>
  </si>
  <si>
    <t>OPER_INC_GROWTH</t>
  </si>
  <si>
    <t>EARN_FOR_COM_GROWTH</t>
  </si>
  <si>
    <t>EPS Diluted</t>
  </si>
  <si>
    <t>EPS Diluted before XO</t>
  </si>
  <si>
    <t>DILUTED_EPS_BEF_XO_ITEMS_GROWTH</t>
  </si>
  <si>
    <t>EPS Diluted before Abnormal</t>
  </si>
  <si>
    <t>RR_DIL_EPS_CONT_OPS_GROWTH</t>
  </si>
  <si>
    <t>Dividend per Share</t>
  </si>
  <si>
    <t>DIVIDEND_PER_SHARE_1_YEAR_GROWTH</t>
  </si>
  <si>
    <t>Accounts Receivable</t>
  </si>
  <si>
    <t>ACCOUNTS_RECEIVABLE_GROWTH</t>
  </si>
  <si>
    <t>Inventory</t>
  </si>
  <si>
    <t>INVENTORY_GROWTH</t>
  </si>
  <si>
    <t>Fixed Assets</t>
  </si>
  <si>
    <t>NET_FIXED_ASSETS_1_YEAR_GROWTH</t>
  </si>
  <si>
    <t>ASSET_GROWTH</t>
  </si>
  <si>
    <t>Modified Working Capital</t>
  </si>
  <si>
    <t>MODIFIED_WORK_CAP_GROWTH</t>
  </si>
  <si>
    <t>Working Capital</t>
  </si>
  <si>
    <t>WORK_CAP_GROWTH</t>
  </si>
  <si>
    <t>Employees</t>
  </si>
  <si>
    <t>EMPL_GROWTH</t>
  </si>
  <si>
    <t>Accounts Payable</t>
  </si>
  <si>
    <t>ACCOUNTS_PAYABLE_GROWTH_1YR</t>
  </si>
  <si>
    <t>Short-Term Debt</t>
  </si>
  <si>
    <t>SHORT_TERM_DEBT_1_YEAR_GROWTH</t>
  </si>
  <si>
    <t>Total Debt</t>
  </si>
  <si>
    <t>TOTAL_DEBT_1_YEAR_GROWTH</t>
  </si>
  <si>
    <t>TOTAL_EQUITY_1_YEAR_GROWTH</t>
  </si>
  <si>
    <t>Capital</t>
  </si>
  <si>
    <t>GROWTH_IN_CAP</t>
  </si>
  <si>
    <t>Book Value per Share</t>
  </si>
  <si>
    <t>BVPS_GROWTH</t>
  </si>
  <si>
    <t>CASH_FLOW_GROWTH</t>
  </si>
  <si>
    <t>TOT_CAP_EXPEND_GROWTH</t>
  </si>
  <si>
    <t>NET_CHANGE_IN_CASH_1_YEAR_GROWTH</t>
  </si>
  <si>
    <t>FREE_CASH_FLOW_1_YEAR_GROWTH</t>
  </si>
  <si>
    <t>Cash Flow to Firm</t>
  </si>
  <si>
    <t>CASH_FLOW_TO_FIRM_1_YEAR_GROWTH</t>
  </si>
  <si>
    <t>FCF_TO_FIRM_1_YEAR_GROWTH</t>
  </si>
  <si>
    <t>5 Year Growth</t>
  </si>
  <si>
    <t>GEO_GROW_NET_SALES</t>
  </si>
  <si>
    <t>GEO_GROW_EBITDA</t>
  </si>
  <si>
    <t>GEO_GROW_OPER_INC</t>
  </si>
  <si>
    <t>NET_INCOME_TO_COMMON_5_YR_GROWTH</t>
  </si>
  <si>
    <t>5Y_GEO_GROWTH_DILUTED_EPS</t>
  </si>
  <si>
    <t>5Y_GEO_GROWTH_DILUTED_EPS_BEF_XO</t>
  </si>
  <si>
    <t>GEO_GROW_DILUTED_EPS_CONT_OPS</t>
  </si>
  <si>
    <t>GEO_GROW_DVD_PER_SH</t>
  </si>
  <si>
    <t>ACCOUNTS_RECEIVABLE_5_YR_GROWTH</t>
  </si>
  <si>
    <t>INVENTORY_5_YEAR_GROWTH</t>
  </si>
  <si>
    <t>NET_FIXED_ASSETS_5_YEAR_GROWTH</t>
  </si>
  <si>
    <t>GEO_GROW_TOT_ASSET</t>
  </si>
  <si>
    <t>MODIFIED_WORKING_CPTL_5YR_GRWTH</t>
  </si>
  <si>
    <t>WORKING_CAPITAL_5_YEAR_GROWTH</t>
  </si>
  <si>
    <t>EMPLOYEES_5_YEAR_GROWTH</t>
  </si>
  <si>
    <t>ACCOUNTS_PAYABLE_5_YEAR_GROWTH</t>
  </si>
  <si>
    <t>SHORT_TERM_DEBT_5_YEAR_GROWTH</t>
  </si>
  <si>
    <t>TOTAL_DEBT_5_YEAR_GROWTH</t>
  </si>
  <si>
    <t>GEO_GROW_TOT_SHRHLDR_EQY</t>
  </si>
  <si>
    <t>Total Capital 5 Year Growth</t>
  </si>
  <si>
    <t>TOTAL_CAPITAL_5_YEAR_GROWTH</t>
  </si>
  <si>
    <t>GEO_GROW_BOOK_VAL</t>
  </si>
  <si>
    <t>GEO_GROW_CASH_OPER_ACT</t>
  </si>
  <si>
    <t>NET_CHANGE_IN_CASH_5_YEAR_GROWTH</t>
  </si>
  <si>
    <t>FREE_CASH_FLOW_5_YEAR_GROWTH</t>
  </si>
  <si>
    <t>CASH_FLOW_TO_FIRM_5_YEAR_GROWTH</t>
  </si>
  <si>
    <t>FCF_TO_FIRM_5_YEAR_GROWTH</t>
  </si>
  <si>
    <t>Sequential Growth</t>
  </si>
  <si>
    <t>REVENUE_SEQUENTIAL_GROWTH</t>
  </si>
  <si>
    <t>EBITDA_SEQUENTIAL_GROWTH</t>
  </si>
  <si>
    <t>OPERATING_INCOME_SEQ_GROWTH</t>
  </si>
  <si>
    <t>NET_INCOME_TO_COMMON_SEQ_GROWTH</t>
  </si>
  <si>
    <t>EPS_DILUTED_SEQUENTIAL_GROWTH</t>
  </si>
  <si>
    <t>EPS_DIL_BEF_EXTRAORD_SEQ_GRWTH</t>
  </si>
  <si>
    <t>EPS_DILUTED_BEF_ABNRML_SEQ_GRWTH</t>
  </si>
  <si>
    <t>DPS_SEQUENTIAL_GROWTH</t>
  </si>
  <si>
    <t>ACCOUNTS_RECEIVABLE_SEQ_GROWTH</t>
  </si>
  <si>
    <t>INVENTORY_SEQUENTIAL_GROWTH</t>
  </si>
  <si>
    <t>FIXED_ASSETS_SEQUENTIAL_GROWTH</t>
  </si>
  <si>
    <t>TOTAL_ASSETS_SEQUENTIAL_GROWTH</t>
  </si>
  <si>
    <t>MODIFIED_WORKING_CPTL_SEQ_GRWTH</t>
  </si>
  <si>
    <t>WORKING_CAPITAL_SEQ_GROWTH</t>
  </si>
  <si>
    <t>ACCOUNTS_PAYABLE_SEQ_GROWTH</t>
  </si>
  <si>
    <t>ST_DEBT_SEQUENTIAL_GROWTH</t>
  </si>
  <si>
    <t>TOTAL_DEBT_SEQUENTIAL_GROWTH</t>
  </si>
  <si>
    <t>TOTAL_EQUITY_SEQUENTIAL_GROWTH</t>
  </si>
  <si>
    <t>TOTAL_CAPITAL_SEQUENTIAL_GROWTH</t>
  </si>
  <si>
    <t>BPS_SEQUENTIAL_GROWTH</t>
  </si>
  <si>
    <t>CFO_SEQUENTIAL_GROWTH</t>
  </si>
  <si>
    <t>CAPEX_SEQUENTIAL_GROWTH</t>
  </si>
  <si>
    <t>NET_CHANGE_IN_CASH_SEQ_GROWTH</t>
  </si>
  <si>
    <t>FREE_CASH_FLOW_SEQUENTIAL_GROWTH</t>
  </si>
  <si>
    <t>CF_TO_FIRM_SEQUENTIAL_GROWTH</t>
  </si>
  <si>
    <t>FCF_TO_FIRM_SEQUENTIAL_GROWTH</t>
  </si>
  <si>
    <t>Gilead Sciences Inc (GILD US) - Credit</t>
  </si>
  <si>
    <t>No</t>
  </si>
  <si>
    <t xml:space="preserve">  Short-Term Debt</t>
  </si>
  <si>
    <t xml:space="preserve">  Long Term Debt</t>
  </si>
  <si>
    <t>Total Debt/T12M EBITDA</t>
  </si>
  <si>
    <t>TOT_DEBT_TO_EBITDA</t>
  </si>
  <si>
    <t>Net Debt/EBITDA</t>
  </si>
  <si>
    <t>NET_DEBT_TO_EBITDA</t>
  </si>
  <si>
    <t>Total Debt/EBIT</t>
  </si>
  <si>
    <t>TOTAL_DEBT_TO_EBIT</t>
  </si>
  <si>
    <t>Net Debt/EBIT</t>
  </si>
  <si>
    <t>NET_DEBT_TO_EBIT</t>
  </si>
  <si>
    <t>EBITDA to Interest Expense</t>
  </si>
  <si>
    <t>EBITDA_TO_INTEREST_EXPN</t>
  </si>
  <si>
    <t>EBITDA-CapEx/Interest Expense</t>
  </si>
  <si>
    <t>EBITDA_LES_CAP_EXPEND_TO_INT_EXP</t>
  </si>
  <si>
    <t>EBIT to Interest Expense</t>
  </si>
  <si>
    <t>OPER_INC_TO_INT_EXP</t>
  </si>
  <si>
    <t>Common Equity/Total Assets</t>
  </si>
  <si>
    <t>COM_EQY_TO_TOT_ASSET</t>
  </si>
  <si>
    <t>Long-Term Debt/Equity</t>
  </si>
  <si>
    <t>LT_DEBT_TO_TOT_EQY</t>
  </si>
  <si>
    <t>Long-Term Debt/Capital</t>
  </si>
  <si>
    <t>LT_DEBT_TO_TOT_CAP</t>
  </si>
  <si>
    <t>Long-Term Debt/Total Assets</t>
  </si>
  <si>
    <t>LT_DEBT_TO_TOT_ASSET</t>
  </si>
  <si>
    <t>Total Debt/Equity</t>
  </si>
  <si>
    <t>TOT_DEBT_TO_TOT_EQY</t>
  </si>
  <si>
    <t>Total Debt/Capital</t>
  </si>
  <si>
    <t>Total Debt/Total Assets</t>
  </si>
  <si>
    <t>TOT_DEBT_TO_TOT_ASSET</t>
  </si>
  <si>
    <t>Net Debt/Equity</t>
  </si>
  <si>
    <t>Net Debt/Capital</t>
  </si>
  <si>
    <t>NET_DEBT_PCT_OF_TOT_CAPITAL</t>
  </si>
  <si>
    <t>EBITDA-CapEx</t>
  </si>
  <si>
    <t>EBITDA_AFTER_CAPEX</t>
  </si>
  <si>
    <t>Gilead Sciences Inc (GILD US) - Credit Ex Operating Leases</t>
  </si>
  <si>
    <t>ST_DEBT_EX_OPERATING_LEASE_LIABS</t>
  </si>
  <si>
    <t>LT_DEBT_EX_OPERATING_LEASE_LIABS</t>
  </si>
  <si>
    <t>TOT_DBT_TO_EBITDA_EX_OP_LEA_ACT</t>
  </si>
  <si>
    <t>NET_DEBT_EBITDA_EX_OPER_LEA_ACT</t>
  </si>
  <si>
    <t>TOT_DEBT_TO_EBIT_EX_OPER_LEA_ACT</t>
  </si>
  <si>
    <t>NET_DEBT_TO_EBIT_EX_OPER_LEA_ACT</t>
  </si>
  <si>
    <t>EBITDA_AFT_OP_LEA_EXP_TO_INT_EXP</t>
  </si>
  <si>
    <t>EBITDA_AFT_CAPEX_OP_LEA_EX_INT</t>
  </si>
  <si>
    <t>EBIT_AFT_OP_LEA_EXPN_TO_INT_EXPN</t>
  </si>
  <si>
    <t>INT_EXPN_AFTER_OPERATING_LEA_ACT</t>
  </si>
  <si>
    <t>CE_TO_TOT_AST_LESS_OPER_LEA_AST</t>
  </si>
  <si>
    <t>LT_DBT_EX_OPER_LEA_LIABS_TO_EQTY</t>
  </si>
  <si>
    <t>LT_DBT_TO_CPTL_EX_OPER_LEA_LIABS</t>
  </si>
  <si>
    <t>LT_DBT_AST_EX_OP_LEA_LIAB_AST</t>
  </si>
  <si>
    <t>TOT_DBT_EX_OP_LEA_LIABS_TO_EQTY</t>
  </si>
  <si>
    <t>TOT_DBT_AST_EX_OP_LEA_LIAB_AST</t>
  </si>
  <si>
    <t>NET_DBT_EX_OPER_LEA_LIABS_EQTY</t>
  </si>
  <si>
    <t>NET_DBT_CPTL_EX_OPER_LEA_LIABS</t>
  </si>
  <si>
    <t>EBITDA_AFTER_OPERATING_LEA_EXPN</t>
  </si>
  <si>
    <t>EBITDA_AFT_CAPEX_AND_OP_LEA_EXPN</t>
  </si>
  <si>
    <t>EBIT_AFTER_OPERATING_LEASE</t>
  </si>
  <si>
    <t>Gilead Sciences Inc (GILD US) - Liquidity</t>
  </si>
  <si>
    <t>Cash Ratio</t>
  </si>
  <si>
    <t>CASH_RATIO</t>
  </si>
  <si>
    <t>Quick Ratio</t>
  </si>
  <si>
    <t>QUICK_RATIO</t>
  </si>
  <si>
    <t>CFO/Avg Current Liab</t>
  </si>
  <si>
    <t>CFO_TO_AVG_CURRENT_LIABILITIES</t>
  </si>
  <si>
    <t>CFO/Total Liabilities</t>
  </si>
  <si>
    <t>CASH_FLOW_TO_TOT_LIAB</t>
  </si>
  <si>
    <t>CFO/CapEx</t>
  </si>
  <si>
    <t>CAP_EXPEND_RATIO</t>
  </si>
  <si>
    <t>Altman's Z-Score</t>
  </si>
  <si>
    <t>ALTMAN_Z_SCORE</t>
  </si>
  <si>
    <t>BS_TOTAL_LINE_OF_CREDIT</t>
  </si>
  <si>
    <t xml:space="preserve">  Total Available Line Of Credit</t>
  </si>
  <si>
    <t>BS_TOTAL_AVAIL_LINE_OF_CREDIT</t>
  </si>
  <si>
    <t xml:space="preserve">  Total Credit Lines Drawn</t>
  </si>
  <si>
    <t>LINE_OF_CREDIT_UTILIZED_AMOUNT</t>
  </si>
  <si>
    <t>Gilead Sciences Inc (GILD US) - Working Capital</t>
  </si>
  <si>
    <t>Accounts Receivable Turnover</t>
  </si>
  <si>
    <t>ACCT_RCV_TURN</t>
  </si>
  <si>
    <t xml:space="preserve">  Days Sales Outstanding</t>
  </si>
  <si>
    <t>ACCT_RCV_DAYS</t>
  </si>
  <si>
    <t>Inventory Turnover</t>
  </si>
  <si>
    <t>INVENT_TURN</t>
  </si>
  <si>
    <t xml:space="preserve">  Days Inventory Outstanding</t>
  </si>
  <si>
    <t>INVENT_DAYS</t>
  </si>
  <si>
    <t>Accounts Payable Turnover</t>
  </si>
  <si>
    <t>ACCOUNTS_PAYABLE_TURNOVER</t>
  </si>
  <si>
    <t xml:space="preserve">  Accounts Payable Turnover Days</t>
  </si>
  <si>
    <t>ACCOUNTS_PAYABLE_TURNOVER_DAYS</t>
  </si>
  <si>
    <t>Inventory to Cash Days</t>
  </si>
  <si>
    <t>INV_TO_CASH_DAYS</t>
  </si>
  <si>
    <t>Total Inventory</t>
  </si>
  <si>
    <t xml:space="preserve">  Inventory Raw Materials</t>
  </si>
  <si>
    <t xml:space="preserve">  Inventory In Progress</t>
  </si>
  <si>
    <t xml:space="preserve">  Inventory Finished Goods</t>
  </si>
  <si>
    <t xml:space="preserve">  Other Inventory</t>
  </si>
  <si>
    <t>Gilead Sciences Inc (GILD US) - Yield Analysis</t>
  </si>
  <si>
    <t>T12 Cash Flows to Equity</t>
  </si>
  <si>
    <t>+ Cash From Operations</t>
  </si>
  <si>
    <t>TRAIL_12M_CASH_FROM_OPER</t>
  </si>
  <si>
    <t>+ Capital Expenditures</t>
  </si>
  <si>
    <t>TRAIL_12M_CAP_EXPEND</t>
  </si>
  <si>
    <t>TRAIL_12M_FREE_CASH_FLOW</t>
  </si>
  <si>
    <t>Free Cash Flow Yield</t>
  </si>
  <si>
    <t>FREE_CASH_FLOW_YIELD</t>
  </si>
  <si>
    <t>T12M_DVDS_PAID</t>
  </si>
  <si>
    <t>Net Share Repurchases</t>
  </si>
  <si>
    <t>T12M_NET_CAPITAL_STOCK</t>
  </si>
  <si>
    <t>Net ST Debt Repayments</t>
  </si>
  <si>
    <t>T12M_CHG_ST_BORROWINGS</t>
  </si>
  <si>
    <t>Net LT Debt Repayments</t>
  </si>
  <si>
    <t>T12M_CHG_LT_DEBT</t>
  </si>
  <si>
    <t>T12_OTHER_CFF</t>
  </si>
  <si>
    <t>T12 Cash to Suppliers of Capital</t>
  </si>
  <si>
    <t>T12_CFF</t>
  </si>
  <si>
    <t>T12 Shareholder Yield</t>
  </si>
  <si>
    <t>SHAREHOLDER_YIELD_CFF</t>
  </si>
  <si>
    <t>- Dividends Paid</t>
  </si>
  <si>
    <t>- Net Share Repurchases</t>
  </si>
  <si>
    <t>T12 Cash to Shareholders</t>
  </si>
  <si>
    <t>RETURNED_CAPITAL_EX_DEBT</t>
  </si>
  <si>
    <t>T12 Shareholder Yield, Ex Debt</t>
  </si>
  <si>
    <t>SHAREHOLDER_YIELD_EX_DEBT</t>
  </si>
  <si>
    <t>T12 Cash Flows to the Firm</t>
  </si>
  <si>
    <t>+ After-Tax Interest Expense</t>
  </si>
  <si>
    <t>AFTER_TAX_INTEREST_EXPENSE</t>
  </si>
  <si>
    <t>Trailing 12M Free Cash Flow To Firm</t>
  </si>
  <si>
    <t>Periodic Enterprise Value</t>
  </si>
  <si>
    <t>T12 FCFF Yield</t>
  </si>
  <si>
    <t>T12M_FCF_TO_FIRM_YIELD</t>
  </si>
  <si>
    <t>- Net ST Debt Repayments</t>
  </si>
  <si>
    <t>- Net LT Debt Repayments</t>
  </si>
  <si>
    <t>- Other Financing Activities</t>
  </si>
  <si>
    <t>T12 Capital Yield</t>
  </si>
  <si>
    <t>CAPITAL_YIELD</t>
  </si>
  <si>
    <t>Gilead Sciences Inc (GILD US) - DuPont Analysis</t>
  </si>
  <si>
    <t>Tax Burden</t>
  </si>
  <si>
    <t xml:space="preserve">  Net Inc to Comn/Pre-Tax Profit %</t>
  </si>
  <si>
    <t>TAX_EFFICIENCY</t>
  </si>
  <si>
    <t>Adjustment Factor</t>
  </si>
  <si>
    <t xml:space="preserve">  Normlzd Net Inc/Net Inc to Cmn</t>
  </si>
  <si>
    <t>NORM_NET_INC_TO_NET_INC_FO_COM</t>
  </si>
  <si>
    <t>Interest Burden</t>
  </si>
  <si>
    <t xml:space="preserve">  Pre-Tax Profit/EBIT %</t>
  </si>
  <si>
    <t>INT_BURDEN</t>
  </si>
  <si>
    <t xml:space="preserve">  EBIT/Revenue %</t>
  </si>
  <si>
    <t>T12_EBIT_TO_REVENUE</t>
  </si>
  <si>
    <t>Asset Turnover</t>
  </si>
  <si>
    <t xml:space="preserve">  Revenue/Avg Assets</t>
  </si>
  <si>
    <t>ASSET_TURNOVER</t>
  </si>
  <si>
    <t>Leverage Ratio</t>
  </si>
  <si>
    <t xml:space="preserve">  Avg Assets/Avg Equity</t>
  </si>
  <si>
    <t>FNCL_LVRG</t>
  </si>
  <si>
    <t>Adjusted Return on Equity</t>
  </si>
  <si>
    <t>NORMALIZED_ROE</t>
  </si>
  <si>
    <t>5 Year Average Adj ROE</t>
  </si>
  <si>
    <t>5_YEAR_AVERAGE_ADJUSTED_ROE</t>
  </si>
  <si>
    <t>Payout Ratio</t>
  </si>
  <si>
    <t>Gilead Sciences Inc (GILD US) - By Measure</t>
  </si>
  <si>
    <t xml:space="preserve">  HIV</t>
  </si>
  <si>
    <t xml:space="preserve">    Biktarvy</t>
  </si>
  <si>
    <t xml:space="preserve">    Descovy</t>
  </si>
  <si>
    <t xml:space="preserve">    Genvoya</t>
  </si>
  <si>
    <t xml:space="preserve">    Odefsey</t>
  </si>
  <si>
    <t xml:space="preserve">    Symtuza</t>
  </si>
  <si>
    <t xml:space="preserve">    Other HIV</t>
  </si>
  <si>
    <t xml:space="preserve">    Truvada ( FTC / TDF ) Based Products</t>
  </si>
  <si>
    <t xml:space="preserve">    Descovy ( FTC / TAF ) Based Products</t>
  </si>
  <si>
    <t xml:space="preserve">    Complera/Eviplera</t>
  </si>
  <si>
    <t xml:space="preserve">    Stribild</t>
  </si>
  <si>
    <t xml:space="preserve">    Truvada</t>
  </si>
  <si>
    <t xml:space="preserve">  Oncology</t>
  </si>
  <si>
    <t xml:space="preserve">    Cell Therapy Products</t>
  </si>
  <si>
    <t xml:space="preserve">      Yescarta</t>
  </si>
  <si>
    <t xml:space="preserve">      Tecartus</t>
  </si>
  <si>
    <t xml:space="preserve">    Trodelvy</t>
  </si>
  <si>
    <t xml:space="preserve">  Liver Disease</t>
  </si>
  <si>
    <t xml:space="preserve">    Sofosbuvir / Velpatasvir</t>
  </si>
  <si>
    <t xml:space="preserve">    Vemlidy</t>
  </si>
  <si>
    <t xml:space="preserve">    Other Liver Disease</t>
  </si>
  <si>
    <t xml:space="preserve">    HBV/HDV Products</t>
  </si>
  <si>
    <t xml:space="preserve">      Other HBV / HDV</t>
  </si>
  <si>
    <t xml:space="preserve">      Viread</t>
  </si>
  <si>
    <t xml:space="preserve">    HCV Products</t>
  </si>
  <si>
    <t xml:space="preserve">      Sofosbuvir / Velpatasvir - Duplicate</t>
  </si>
  <si>
    <t xml:space="preserve">      Ledipasvir/Sofosbuvir - Duplicate</t>
  </si>
  <si>
    <t xml:space="preserve">      Other HCV</t>
  </si>
  <si>
    <t xml:space="preserve">      Ledipasvir / Sofosbuvir</t>
  </si>
  <si>
    <t xml:space="preserve">  Veklury</t>
  </si>
  <si>
    <t xml:space="preserve">  Other Products</t>
  </si>
  <si>
    <t xml:space="preserve">    AmBisome</t>
  </si>
  <si>
    <t xml:space="preserve">    Other</t>
  </si>
  <si>
    <t xml:space="preserve">    Letairis</t>
  </si>
  <si>
    <t xml:space="preserve">  Royalty, Contract &amp; Other</t>
  </si>
  <si>
    <t xml:space="preserve">  Vosevi</t>
  </si>
  <si>
    <t xml:space="preserve">  Zydelig - Other Products</t>
  </si>
  <si>
    <t xml:space="preserve">  Ranexa-HIV</t>
  </si>
  <si>
    <t xml:space="preserve">  Other</t>
  </si>
  <si>
    <t xml:space="preserve">  Atripla - Truvada / FTC / TDF / Based Products</t>
  </si>
  <si>
    <t>Revenue - Supplementary Breakdown</t>
  </si>
  <si>
    <t xml:space="preserve">  Product</t>
  </si>
  <si>
    <t>Revenue Growth %</t>
  </si>
  <si>
    <t xml:space="preserve">  Trodelvy</t>
  </si>
  <si>
    <t xml:space="preserve">  Cell Therapy Products</t>
  </si>
  <si>
    <t xml:space="preserve">    Yescarta</t>
  </si>
  <si>
    <t xml:space="preserve">    Tecartus</t>
  </si>
  <si>
    <t xml:space="preserve">  HBV/HDV Products</t>
  </si>
  <si>
    <t xml:space="preserve">    Other HBV / HDV</t>
  </si>
  <si>
    <t xml:space="preserve">    Viread</t>
  </si>
  <si>
    <t xml:space="preserve">  HCV Products</t>
  </si>
  <si>
    <t xml:space="preserve">    Sofosbuvir / Velpatasvir - Duplicate</t>
  </si>
  <si>
    <t xml:space="preserve">    Ledipasvir/Sofosbuvir - Duplicate</t>
  </si>
  <si>
    <t xml:space="preserve">    Other HCV</t>
  </si>
  <si>
    <t xml:space="preserve">    Ledipasvir / Sofosbuvir - Correct</t>
  </si>
  <si>
    <t xml:space="preserve">  HIV Products - Delete</t>
  </si>
  <si>
    <t xml:space="preserve">  Other - Delete</t>
  </si>
  <si>
    <t xml:space="preserve">  Letairis</t>
  </si>
  <si>
    <t xml:space="preserve">  Genvoya - Delete</t>
  </si>
  <si>
    <t xml:space="preserve">  Complera/Eviplera</t>
  </si>
  <si>
    <t xml:space="preserve">  Stribild</t>
  </si>
  <si>
    <t xml:space="preserve">  Epclusa</t>
  </si>
  <si>
    <t xml:space="preserve">  Harvoni - HCV</t>
  </si>
  <si>
    <t xml:space="preserve">  Truvada</t>
  </si>
  <si>
    <t>Gilead Sciences Inc (GILD US) - By Geography</t>
  </si>
  <si>
    <t xml:space="preserve">  United States</t>
  </si>
  <si>
    <t xml:space="preserve">    Sofosbuvir/Velpatasvir</t>
  </si>
  <si>
    <t xml:space="preserve">    Veklury</t>
  </si>
  <si>
    <t xml:space="preserve">    Royalty, Contract &amp; Other - United States</t>
  </si>
  <si>
    <t xml:space="preserve">    Other HBV/HDV-US</t>
  </si>
  <si>
    <t xml:space="preserve">    Ranexa</t>
  </si>
  <si>
    <t xml:space="preserve">    Vosevi</t>
  </si>
  <si>
    <t xml:space="preserve">    Zydelig - United States</t>
  </si>
  <si>
    <t xml:space="preserve">    Stribild - United States</t>
  </si>
  <si>
    <t xml:space="preserve">    Complera / Eviplera - United States</t>
  </si>
  <si>
    <t xml:space="preserve">    Atripla - United States</t>
  </si>
  <si>
    <t xml:space="preserve">    Ledipasvir/Sofosbuvir</t>
  </si>
  <si>
    <t xml:space="preserve">  Europe</t>
  </si>
  <si>
    <t xml:space="preserve">    Royalty, Contract &amp; Other - Europe</t>
  </si>
  <si>
    <t xml:space="preserve">    Other HBV / HDV - Europe</t>
  </si>
  <si>
    <t xml:space="preserve">    Other Antiviral</t>
  </si>
  <si>
    <t xml:space="preserve">    Atripla</t>
  </si>
  <si>
    <t xml:space="preserve">    Zydelig</t>
  </si>
  <si>
    <t xml:space="preserve">  Rest of World</t>
  </si>
  <si>
    <t xml:space="preserve">    Other-HIV</t>
  </si>
  <si>
    <t xml:space="preserve">    Royalty, Contract &amp; Other - Other International</t>
  </si>
  <si>
    <t xml:space="preserve">    Other HBV/HDV - Other International</t>
  </si>
  <si>
    <t xml:space="preserve">    Vosevi - Other International</t>
  </si>
  <si>
    <t>Long-Term Assets</t>
  </si>
  <si>
    <t>Gilead Sciences Inc (GILD US) - By Segment</t>
  </si>
  <si>
    <t>Royalty, Contract &amp; Other</t>
  </si>
  <si>
    <t xml:space="preserve">  Revenue</t>
  </si>
  <si>
    <t xml:space="preserve">  Revenue - Supplementary Breakdown</t>
  </si>
  <si>
    <t xml:space="preserve">  Revenue Growth %</t>
  </si>
  <si>
    <t>Veklury</t>
  </si>
  <si>
    <t>HIV</t>
  </si>
  <si>
    <t>Other Products</t>
  </si>
  <si>
    <t>Oncology</t>
  </si>
  <si>
    <t>Liver Disease</t>
  </si>
  <si>
    <t>Product</t>
  </si>
  <si>
    <t>Trodelvy</t>
  </si>
  <si>
    <t>Cell Therapy Products</t>
  </si>
  <si>
    <t>Genvoya</t>
  </si>
  <si>
    <t>Descovy</t>
  </si>
  <si>
    <t>Odefsey</t>
  </si>
  <si>
    <t>Symtuza</t>
  </si>
  <si>
    <t>Other HIV</t>
  </si>
  <si>
    <t>Biktarvy</t>
  </si>
  <si>
    <t>HCV Products</t>
  </si>
  <si>
    <t>HBV/HDV Products</t>
  </si>
  <si>
    <t>Other - Delete</t>
  </si>
  <si>
    <t>HIV Products - Delete</t>
  </si>
  <si>
    <t>Other - Other Products</t>
  </si>
  <si>
    <t>Truvada</t>
  </si>
  <si>
    <t>Atripla - Truvada / FTC / TDF / Based Products</t>
  </si>
  <si>
    <t>Harvoni - HCV</t>
  </si>
  <si>
    <t>Epclusa</t>
  </si>
  <si>
    <t>Stribild</t>
  </si>
  <si>
    <t>Complera/Eviplera</t>
  </si>
  <si>
    <t>AmBisome</t>
  </si>
  <si>
    <t>Genvoya - Delete</t>
  </si>
  <si>
    <t>Letairis</t>
  </si>
  <si>
    <t>Zydelig - Other Products</t>
  </si>
  <si>
    <t>Ranexa-HIV</t>
  </si>
  <si>
    <t>Viread</t>
  </si>
  <si>
    <t>Yescarta</t>
  </si>
  <si>
    <t>Vemlidy</t>
  </si>
  <si>
    <t>Ledipasvir/Sofosbuvir - Duplicate</t>
  </si>
  <si>
    <t>Sofosbuvir / Velpatasvir - Duplicate</t>
  </si>
  <si>
    <t>Ledipasvir / Sofosbuvir - Correct</t>
  </si>
  <si>
    <t>Sofosbuvir / Velpatasvir - Correct</t>
  </si>
  <si>
    <t>Vosevi</t>
  </si>
  <si>
    <t>Gilead Sciences Inc (GILD US) - ESG Ratios</t>
  </si>
  <si>
    <t>FY 2000</t>
  </si>
  <si>
    <t>FY 2001</t>
  </si>
  <si>
    <t>FY 2002</t>
  </si>
  <si>
    <t>FY 2003</t>
  </si>
  <si>
    <t>FY 2004</t>
  </si>
  <si>
    <t>FY 2006</t>
  </si>
  <si>
    <t>FY 2007</t>
  </si>
  <si>
    <t>FY 2008</t>
  </si>
  <si>
    <t>FY 2009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</si>
  <si>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</si>
  <si>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</si>
  <si>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</si>
  <si>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</si>
  <si>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</si>
  <si>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</si>
  <si>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</si>
  <si>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</si>
  <si>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</si>
  <si>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</si>
  <si>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</si>
  <si>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</si>
  <si>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</si>
  <si>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FY 2023</t>
  </si>
  <si>
    <t>FY 2024</t>
  </si>
  <si>
    <t>12/31/2000</t>
  </si>
  <si>
    <t>12/31/2001</t>
  </si>
  <si>
    <t>12/31/2002</t>
  </si>
  <si>
    <t>12/31/2003</t>
  </si>
  <si>
    <t>12/31/2004</t>
  </si>
  <si>
    <t>12/31/2005</t>
  </si>
  <si>
    <t>12/31/2006</t>
  </si>
  <si>
    <t>12/31/2007</t>
  </si>
  <si>
    <t>12/31/2008</t>
  </si>
  <si>
    <t>12/31/2009</t>
  </si>
  <si>
    <t>12/31/2010</t>
  </si>
  <si>
    <t>12/31/2011</t>
  </si>
  <si>
    <t>12/31/2012</t>
  </si>
  <si>
    <t>12/31/2013</t>
  </si>
  <si>
    <t>12/31/2014</t>
  </si>
  <si>
    <t>12/31/2015</t>
  </si>
  <si>
    <t>12/31/2016</t>
  </si>
  <si>
    <t>12/31/2017</t>
  </si>
  <si>
    <t>Disclosure Scores</t>
  </si>
  <si>
    <t>ESG Disclosure Score</t>
  </si>
  <si>
    <t>ESG_DISCLOSURE_SCORE</t>
  </si>
  <si>
    <t>Environmental Disclosure Score</t>
  </si>
  <si>
    <t>ENVIRON_DISCLOSURE_SCORE</t>
  </si>
  <si>
    <t>Social Disclosure Score</t>
  </si>
  <si>
    <t>SOCIAL_DISCLOSURE_SCORE</t>
  </si>
  <si>
    <t>Governance Disclosure Score</t>
  </si>
  <si>
    <t>GOVNCE_DISCLOSURE_SCORE</t>
  </si>
  <si>
    <t>Greenhouse Gases</t>
  </si>
  <si>
    <t>GHG Intensity per Sales</t>
  </si>
  <si>
    <t>GHG_INTENSITY_PER_SALES</t>
  </si>
  <si>
    <t>GHG Scope 1 Intensity per Sales</t>
  </si>
  <si>
    <t>GHG_SCOPE_1_INTENSITY_PER_SALES</t>
  </si>
  <si>
    <t>GHG Scope 2 Intensity per Sales</t>
  </si>
  <si>
    <t>GHG_SCOPE_2_INTENSITY_PER_SALES</t>
  </si>
  <si>
    <t>GHG Intensity per EBITDA</t>
  </si>
  <si>
    <t>GHG_INTENSITY_PER_EBITDA</t>
  </si>
  <si>
    <t>GHG/CO2 Intensity / Gross Fixed Assets</t>
  </si>
  <si>
    <t>TOT_GHG_CO2_EM_INT_P_GR_FXD_AST</t>
  </si>
  <si>
    <t>GHG/CO2 Intensity / Net Fixed Assets</t>
  </si>
  <si>
    <t>TOT_GHG_CO2_EM_INT_P_NT_FXD_AST</t>
  </si>
  <si>
    <t>GHG Intensity per Energy</t>
  </si>
  <si>
    <t>GHG_INTENSITY_PER_ENERGY</t>
  </si>
  <si>
    <t>GHG Intensity per Employee</t>
  </si>
  <si>
    <t>GHG_INTENSITY_PER_EMPLOYEE</t>
  </si>
  <si>
    <t>GHG Intensity per Assets</t>
  </si>
  <si>
    <t>GHG_INTENSITY_PER_ASSETS</t>
  </si>
  <si>
    <t>Scope 3 GHG per Employee</t>
  </si>
  <si>
    <t>TRAVEL_GHG_PER_EMPLOYEE</t>
  </si>
  <si>
    <t>Carbon Dioxide</t>
  </si>
  <si>
    <t>CO2 Intensity per Sales</t>
  </si>
  <si>
    <t>CO2_INTENSITY_PER_SALES_CALC</t>
  </si>
  <si>
    <t>CO2 Intensity per EBITDA</t>
  </si>
  <si>
    <t>CO2_INTENSITY_PER_EBITDA</t>
  </si>
  <si>
    <t>CO2 Intensity per Employee</t>
  </si>
  <si>
    <t>CO2_INTENSITY_PER_EMPLOYEE</t>
  </si>
  <si>
    <t>CO2 Intensity per Assets</t>
  </si>
  <si>
    <t>CO2_INTENSITY_PER_ASSETS</t>
  </si>
  <si>
    <t>Travel Emissions per Sales</t>
  </si>
  <si>
    <t>TRAVEL_EMISSIONS_PER_SALES</t>
  </si>
  <si>
    <t>Travel Emissions per Employee</t>
  </si>
  <si>
    <t>TRAVEL_CO2_PER_EMPLOYEE</t>
  </si>
  <si>
    <t>Energy</t>
  </si>
  <si>
    <t>Energy Intensity per Sales</t>
  </si>
  <si>
    <t>ENERGY_INTENSITY_PER_SALES</t>
  </si>
  <si>
    <t>Energy Intensity per EBITDA</t>
  </si>
  <si>
    <t>ENERGY_INTENSITY_PER_EBITDA</t>
  </si>
  <si>
    <t>Energy Intensity per Employee</t>
  </si>
  <si>
    <t>ENERGY_INTENSITY_PER_EMPLOYEE</t>
  </si>
  <si>
    <t>Energy Intensity per Assets</t>
  </si>
  <si>
    <t>ENERGY_INTENSITY_PER_ASSETS</t>
  </si>
  <si>
    <t>Alternative Fuel Use %</t>
  </si>
  <si>
    <t>ALTERNATIVE_FUEL_USE_PCT</t>
  </si>
  <si>
    <t>Biomass Fuel Use %</t>
  </si>
  <si>
    <t>BIOMASS_FUEL_USE_PERCENTAGE</t>
  </si>
  <si>
    <t>Water</t>
  </si>
  <si>
    <t>Water Intensity per Sales</t>
  </si>
  <si>
    <t>WATER_INTENSITY_PER_SALES</t>
  </si>
  <si>
    <t>Water Intensity per EBITDA</t>
  </si>
  <si>
    <t>WATER_INTENSITY_PER_EBITDA</t>
  </si>
  <si>
    <t>Water Intensity per Energy</t>
  </si>
  <si>
    <t>WATER_INTENSITY_PER_ENERGY</t>
  </si>
  <si>
    <t>Water Intensity per Employee</t>
  </si>
  <si>
    <t>WATER_INTENSITY_PER_EMPLOYEE</t>
  </si>
  <si>
    <t>Water Intensity per Assets</t>
  </si>
  <si>
    <t>WATER_INTENSITY_PER_ASSETS</t>
  </si>
  <si>
    <t>Waste</t>
  </si>
  <si>
    <t>Waste Intensity per Employee</t>
  </si>
  <si>
    <t>WASTE_INTENSITY_PER_EMPLOYEE</t>
  </si>
  <si>
    <t>Waste Generated per Assets</t>
  </si>
  <si>
    <t>WASTE_GENERATED_PER_ASSETS</t>
  </si>
  <si>
    <t>Waste Generated per Sales</t>
  </si>
  <si>
    <t>WASTE_GENERATED_PER_SALES</t>
  </si>
  <si>
    <t>Other Environmental</t>
  </si>
  <si>
    <t>Social</t>
  </si>
  <si>
    <t>Women Management to Employees Ratio</t>
  </si>
  <si>
    <t>WOMEN_MANAGEMENT_TO_EMPL_RATIO</t>
  </si>
  <si>
    <t>Fatality Rate - Workforce</t>
  </si>
  <si>
    <t>FATALITY_RATE_WORKFORCE</t>
  </si>
  <si>
    <t>Accidents per 1000 employees</t>
  </si>
  <si>
    <t>ACCIDENTS_PER_1000_EMPLOYEES</t>
  </si>
  <si>
    <t>Community Spend % PTP</t>
  </si>
  <si>
    <t>COMMUNITY_SPND_PCT_PRETAX_PROFIT</t>
  </si>
  <si>
    <t>Community Spend%EBITDA</t>
  </si>
  <si>
    <t>COMMUNITY_SPEND_PCT_EBITDA</t>
  </si>
  <si>
    <t>Community Spend%Equity</t>
  </si>
  <si>
    <t>COMMUNITY_SPEND_PCT_EQUITY</t>
  </si>
  <si>
    <t>Political Donations % PTP</t>
  </si>
  <si>
    <t>POL_DONATIONS_PCT_PRETAX_PROFIT</t>
  </si>
  <si>
    <t>R&amp;D Expenditures per Cash Flow</t>
  </si>
  <si>
    <t>RD_EXPENDITURES_PER_CASH_FLOW</t>
  </si>
  <si>
    <t>Actual Net Income per Employee</t>
  </si>
  <si>
    <t>ACTUAL_NET_INCOME_PER_EMPLOYEE</t>
  </si>
  <si>
    <t>Actual Cash Flow per Employee</t>
  </si>
  <si>
    <t>CASH_FLOW_PER_EMPLOYEE</t>
  </si>
  <si>
    <t>Governance</t>
  </si>
  <si>
    <t>Percentage of Non-Executive Directors on Board</t>
  </si>
  <si>
    <t>PCT_OF_NON_EXEC_DIR_ON_BRD</t>
  </si>
  <si>
    <t>Pct Independent Directors</t>
  </si>
  <si>
    <t>PCT_INDEPENDENT_DIRECTORS</t>
  </si>
  <si>
    <t>% Women on Board</t>
  </si>
  <si>
    <t>PCT_WOMEN_ON_BOARD</t>
  </si>
  <si>
    <t>Percentage of Female Executives</t>
  </si>
  <si>
    <t>PERCENTAGE_OF_FEMALE_EXECUTIVES</t>
  </si>
  <si>
    <t>Board of Directors Age Range</t>
  </si>
  <si>
    <t>BOARD_OF_DIRECTORS_AGE_RANGE</t>
  </si>
  <si>
    <t>Board Average Age</t>
  </si>
  <si>
    <t>BOARD_AVERAGE_AGE</t>
  </si>
  <si>
    <t>Board Meeting Attendance Pct</t>
  </si>
  <si>
    <t>BOARD_MEETING_ATTENDANCE_PCT</t>
  </si>
  <si>
    <t>Independent Directors Board Meeting Attendance %</t>
  </si>
  <si>
    <t>IND_DIRECTORS_BRD_MTG_ATTEND_PCT</t>
  </si>
  <si>
    <t>Pct of Independent Directors on Audit Committee</t>
  </si>
  <si>
    <t>PCT_IND_DIRECTORS_ON_AUDIT_CMTE</t>
  </si>
  <si>
    <t>Audit Committee Meeting Attendance Percentage</t>
  </si>
  <si>
    <t>AUDIT_COMMITTEE_MTG_ATTEND_PCT</t>
  </si>
  <si>
    <t>Pct of Ind Directors on Compensation Committee</t>
  </si>
  <si>
    <t>PCT_IND_DIRECTORS_ON_COMP_CMTE</t>
  </si>
  <si>
    <t>Compensation Committee Meeting Attendance %</t>
  </si>
  <si>
    <t>COMPENSATION_CMTE_MTG_ATTEND_PCT</t>
  </si>
  <si>
    <t>Pct of Ind Directors on Nomination Committee</t>
  </si>
  <si>
    <t>PCT_OF_IND_DIRECTORS_ON_NOM_CMTE</t>
  </si>
  <si>
    <t>Pct Ownership Required for Special Meeting</t>
  </si>
  <si>
    <t>PCT_OWNERSHIP_REQ_SPECIAL_MTG</t>
  </si>
  <si>
    <t>Pct Poison Pill Trigger Threshold</t>
  </si>
  <si>
    <t>PCT_POISON_PILL_TRIG_THRESHOLD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</si>
</sst>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#,##0.0"/>
    <numFmt numFmtId="173" formatCode="0.0%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81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6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172" fontId="1" fillId="34" borderId="2">
      <alignment horizontal="right"/>
    </xf>
    <xf numFmtId="4" fontId="1" fillId="34" borderId="2">
      <alignment horizontal="right"/>
    </xf>
    <xf numFmtId="3" fontId="1" fillId="35" borderId="2">
      <alignment horizontal="right"/>
    </xf>
    <xf numFmtId="172" fontId="1" fillId="35" borderId="2">
      <alignment horizontal="right"/>
    </xf>
    <xf numFmtId="4" fontId="1" fillId="35" borderId="2">
      <alignment horizontal="right"/>
    </xf>
    <xf numFmtId="3" fontId="8" fillId="34" borderId="2">
      <alignment horizontal="right"/>
    </xf>
    <xf numFmtId="172" fontId="8" fillId="34" borderId="2">
      <alignment horizontal="right"/>
    </xf>
    <xf numFmtId="4" fontId="8" fillId="34" borderId="2">
      <alignment horizontal="right"/>
    </xf>
    <xf numFmtId="3" fontId="8" fillId="35" borderId="2">
      <alignment horizontal="right"/>
    </xf>
    <xf numFmtId="172" fontId="8" fillId="35" borderId="2">
      <alignment horizontal="right"/>
    </xf>
    <xf numFmtId="4" fontId="8" fillId="35" borderId="2">
      <alignment horizontal="right"/>
    </xf>
    <xf numFmtId="3" fontId="11" fillId="34" borderId="2">
      <alignment horizontal="right"/>
    </xf>
    <xf numFmtId="172" fontId="11" fillId="34" borderId="2">
      <alignment horizontal="right"/>
    </xf>
    <xf numFmtId="4" fontId="11" fillId="34" borderId="2">
      <alignment horizontal="right"/>
    </xf>
    <xf numFmtId="3" fontId="11" fillId="35" borderId="2">
      <alignment horizontal="right"/>
    </xf>
    <xf numFmtId="172" fontId="11" fillId="35" borderId="2">
      <alignment horizontal="right"/>
    </xf>
    <xf numFmtId="4" fontId="11" fillId="35" borderId="2">
      <alignment horizontal="right"/>
    </xf>
    <xf numFmtId="0" fontId="7" fillId="33" borderId="16">
      <alignment horizontal="centerContinuous"/>
    </xf>
    <xf numFmtId="0" fontId="7" fillId="33" borderId="17">
      <alignment horizontal="centerContinuous"/>
    </xf>
    <xf numFmtId="172" fontId="1" fillId="34" borderId="18">
      <alignment horizontal="right"/>
    </xf>
    <xf numFmtId="173" fontId="1" fillId="34" borderId="19">
      <alignment horizontal="right"/>
    </xf>
    <xf numFmtId="4" fontId="1" fillId="34" borderId="18">
      <alignment horizontal="right"/>
    </xf>
    <xf numFmtId="10" fontId="1" fillId="34" borderId="19">
      <alignment horizontal="right"/>
    </xf>
    <xf numFmtId="172" fontId="8" fillId="34" borderId="18">
      <alignment horizontal="right"/>
    </xf>
    <xf numFmtId="173" fontId="8" fillId="34" borderId="19">
      <alignment horizontal="right"/>
    </xf>
    <xf numFmtId="4" fontId="8" fillId="34" borderId="18">
      <alignment horizontal="right"/>
    </xf>
    <xf numFmtId="10" fontId="8" fillId="34" borderId="19">
      <alignment horizontal="right"/>
    </xf>
  </cellStyleXfs>
  <cellXfs count="40">
    <xf numFmtId="0" fontId="0" fillId="0" borderId="0" xfId="0"/>
    <xf numFmtId="0" fontId="2" fillId="33" borderId="0" xfId="26"/>
    <xf numFmtId="0" fontId="6" fillId="34" borderId="0" xfId="31">
      <alignment horizontal="center"/>
    </xf>
    <xf numFmtId="0" fontId="7" fillId="33" borderId="3" xfId="33">
      <alignment horizontal="left"/>
    </xf>
    <xf numFmtId="0" fontId="7" fillId="33" borderId="3" xfId="32">
      <alignment horizontal="right"/>
    </xf>
    <xf numFmtId="0" fontId="7" fillId="33" borderId="1" xfId="30">
      <alignment horizontal="right"/>
    </xf>
    <xf numFmtId="0" fontId="8" fillId="34" borderId="5" xfId="35"/>
    <xf numFmtId="0" fontId="11" fillId="36" borderId="4" xfId="34"/>
    <xf numFmtId="0" fontId="5" fillId="33" borderId="15" xfId="51">
      <alignment horizontal="left" vertical="center" readingOrder="1"/>
    </xf>
    <xf numFmtId="0" fontId="7" fillId="33" borderId="1" xfId="52">
      <alignment horizontal="left"/>
    </xf>
    <xf numFmtId="0" fontId="3" fillId="34" borderId="5" xfId="37" applyFont="1"/>
    <xf numFmtId="0" fontId="4" fillId="34" borderId="5" xfId="36" applyFont="1"/>
    <xf numFmtId="3" fontId="1" fillId="34" borderId="2" xfId="53">
      <alignment horizontal="right"/>
    </xf>
    <xf numFmtId="172" fontId="1" fillId="34" borderId="2" xfId="54">
      <alignment horizontal="right"/>
    </xf>
    <xf numFmtId="4" fontId="1" fillId="34" borderId="2" xfId="55">
      <alignment horizontal="right"/>
    </xf>
    <xf numFmtId="3" fontId="1" fillId="35" borderId="2" xfId="56">
      <alignment horizontal="right"/>
    </xf>
    <xf numFmtId="172" fontId="1" fillId="35" borderId="2" xfId="57">
      <alignment horizontal="right"/>
    </xf>
    <xf numFmtId="4" fontId="1" fillId="35" borderId="2" xfId="58">
      <alignment horizontal="right"/>
    </xf>
    <xf numFmtId="3" fontId="8" fillId="34" borderId="2" xfId="59">
      <alignment horizontal="right"/>
    </xf>
    <xf numFmtId="172" fontId="8" fillId="34" borderId="2" xfId="60">
      <alignment horizontal="right"/>
    </xf>
    <xf numFmtId="4" fontId="8" fillId="34" borderId="2" xfId="61">
      <alignment horizontal="right"/>
    </xf>
    <xf numFmtId="3" fontId="8" fillId="35" borderId="2" xfId="62">
      <alignment horizontal="right"/>
    </xf>
    <xf numFmtId="172" fontId="8" fillId="35" borderId="2" xfId="63">
      <alignment horizontal="right"/>
    </xf>
    <xf numFmtId="4" fontId="8" fillId="35" borderId="2" xfId="64">
      <alignment horizontal="right"/>
    </xf>
    <xf numFmtId="3" fontId="11" fillId="34" borderId="2" xfId="65">
      <alignment horizontal="right"/>
    </xf>
    <xf numFmtId="172" fontId="11" fillId="34" borderId="2" xfId="66">
      <alignment horizontal="right"/>
    </xf>
    <xf numFmtId="4" fontId="11" fillId="34" borderId="2" xfId="67">
      <alignment horizontal="right"/>
    </xf>
    <xf numFmtId="3" fontId="11" fillId="35" borderId="2" xfId="68">
      <alignment horizontal="right"/>
    </xf>
    <xf numFmtId="172" fontId="11" fillId="35" borderId="2" xfId="69">
      <alignment horizontal="right"/>
    </xf>
    <xf numFmtId="4" fontId="11" fillId="35" borderId="2" xfId="70">
      <alignment horizontal="right"/>
    </xf>
    <xf numFmtId="0" fontId="7" fillId="33" borderId="16" xfId="71">
      <alignment horizontal="centerContinuous"/>
    </xf>
    <xf numFmtId="0" fontId="7" fillId="33" borderId="17" xfId="72">
      <alignment horizontal="centerContinuous"/>
    </xf>
    <xf numFmtId="172" fontId="1" fillId="34" borderId="18" xfId="73">
      <alignment horizontal="right"/>
    </xf>
    <xf numFmtId="173" fontId="1" fillId="34" borderId="19" xfId="74">
      <alignment horizontal="right"/>
    </xf>
    <xf numFmtId="4" fontId="1" fillId="34" borderId="18" xfId="75">
      <alignment horizontal="right"/>
    </xf>
    <xf numFmtId="10" fontId="1" fillId="34" borderId="19" xfId="76">
      <alignment horizontal="right"/>
    </xf>
    <xf numFmtId="172" fontId="8" fillId="34" borderId="18" xfId="77">
      <alignment horizontal="right"/>
    </xf>
    <xf numFmtId="173" fontId="8" fillId="34" borderId="19" xfId="78">
      <alignment horizontal="right"/>
    </xf>
    <xf numFmtId="4" fontId="8" fillId="34" borderId="18" xfId="79">
      <alignment horizontal="right"/>
    </xf>
    <xf numFmtId="10" fontId="8" fillId="34" borderId="19" xfId="80">
      <alignment horizontal="right"/>
    </xf>
  </cellXfs>
  <cellStyles count="8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1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centered" xfId="72" xr:uid="{00000000-0005-0000-0000-00001F000000}"/>
    <cellStyle name="fa_column_header_bottom_left" xfId="52" xr:uid="{00000000-0005-0000-0000-000020000000}"/>
    <cellStyle name="fa_column_header_empty" xfId="31" xr:uid="{00000000-0005-0000-0000-000021000000}"/>
    <cellStyle name="fa_column_header_top" xfId="32" xr:uid="{00000000-0005-0000-0000-000022000000}"/>
    <cellStyle name="fa_column_header_top_centered" xfId="71" xr:uid="{00000000-0005-0000-0000-000023000000}"/>
    <cellStyle name="fa_column_header_top_left" xfId="33" xr:uid="{00000000-0005-0000-0000-000024000000}"/>
    <cellStyle name="fa_data_bold_0_grouped" xfId="59" xr:uid="{00000000-0005-0000-0000-000025000000}"/>
    <cellStyle name="fa_data_bold_1_grouped" xfId="60" xr:uid="{00000000-0005-0000-0000-000026000000}"/>
    <cellStyle name="fa_data_bold_1_grouped_single_border" xfId="77" xr:uid="{00000000-0005-0000-0000-000027000000}"/>
    <cellStyle name="fa_data_bold_1_percent_single_border" xfId="78" xr:uid="{00000000-0005-0000-0000-000028000000}"/>
    <cellStyle name="fa_data_bold_2_grouped" xfId="61" xr:uid="{00000000-0005-0000-0000-000029000000}"/>
    <cellStyle name="fa_data_bold_2_grouped_single_border" xfId="79" xr:uid="{00000000-0005-0000-0000-00002A000000}"/>
    <cellStyle name="fa_data_bold_2_percent_single_border" xfId="80" xr:uid="{00000000-0005-0000-0000-00002B000000}"/>
    <cellStyle name="fa_data_current_bold_0_grouped" xfId="62" xr:uid="{00000000-0005-0000-0000-00002C000000}"/>
    <cellStyle name="fa_data_current_bold_1_grouped" xfId="63" xr:uid="{00000000-0005-0000-0000-00002D000000}"/>
    <cellStyle name="fa_data_current_bold_2_grouped" xfId="64" xr:uid="{00000000-0005-0000-0000-00002E000000}"/>
    <cellStyle name="fa_data_current_italic_0_grouped" xfId="68" xr:uid="{00000000-0005-0000-0000-00002F000000}"/>
    <cellStyle name="fa_data_current_italic_1_grouped" xfId="69" xr:uid="{00000000-0005-0000-0000-000030000000}"/>
    <cellStyle name="fa_data_current_italic_2_grouped" xfId="70" xr:uid="{00000000-0005-0000-0000-000031000000}"/>
    <cellStyle name="fa_data_current_standard_0_grouped" xfId="56" xr:uid="{00000000-0005-0000-0000-000032000000}"/>
    <cellStyle name="fa_data_current_standard_1_grouped" xfId="57" xr:uid="{00000000-0005-0000-0000-000033000000}"/>
    <cellStyle name="fa_data_current_standard_2_grouped" xfId="58" xr:uid="{00000000-0005-0000-0000-000034000000}"/>
    <cellStyle name="fa_data_italic_0_grouped" xfId="65" xr:uid="{00000000-0005-0000-0000-000035000000}"/>
    <cellStyle name="fa_data_italic_1_grouped" xfId="66" xr:uid="{00000000-0005-0000-0000-000036000000}"/>
    <cellStyle name="fa_data_italic_2_grouped" xfId="67" xr:uid="{00000000-0005-0000-0000-000037000000}"/>
    <cellStyle name="fa_data_standard_0_grouped" xfId="53" xr:uid="{00000000-0005-0000-0000-000038000000}"/>
    <cellStyle name="fa_data_standard_1_grouped" xfId="54" xr:uid="{00000000-0005-0000-0000-000039000000}"/>
    <cellStyle name="fa_data_standard_1_grouped_single_border" xfId="73" xr:uid="{00000000-0005-0000-0000-00003A000000}"/>
    <cellStyle name="fa_data_standard_1_percent_single_border" xfId="74" xr:uid="{00000000-0005-0000-0000-00003B000000}"/>
    <cellStyle name="fa_data_standard_2_grouped" xfId="55" xr:uid="{00000000-0005-0000-0000-00003C000000}"/>
    <cellStyle name="fa_data_standard_2_grouped_single_border" xfId="75" xr:uid="{00000000-0005-0000-0000-00003D000000}"/>
    <cellStyle name="fa_data_standard_2_percent_single_border" xfId="76" xr:uid="{00000000-0005-0000-0000-00003E000000}"/>
    <cellStyle name="fa_footer_italic" xfId="34" xr:uid="{00000000-0005-0000-0000-00003F000000}"/>
    <cellStyle name="fa_row_header_bold" xfId="35" xr:uid="{00000000-0005-0000-0000-000040000000}"/>
    <cellStyle name="fa_row_header_italic" xfId="36" xr:uid="{00000000-0005-0000-0000-000041000000}"/>
    <cellStyle name="fa_row_header_standard" xfId="37" xr:uid="{00000000-0005-0000-0000-000042000000}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BDH|16239189772268974205</stp>
        <tr r="M23" s="22"/>
      </tp>
      <tp t="e">
        <v>#N/A</v>
        <stp/>
        <stp>BDH|15748598293714832742</stp>
        <tr r="M38" s="22"/>
      </tp>
      <tp t="e">
        <v>#N/A</v>
        <stp/>
        <stp>BDH|12375321970205864988</stp>
        <tr r="D100" s="18"/>
      </tp>
      <tp t="e">
        <v>#N/A</v>
        <stp/>
        <stp>BDH|10290986699233203907</stp>
        <tr r="N19" s="6"/>
      </tp>
      <tp t="e">
        <v>#N/A</v>
        <stp/>
        <stp>BDH|17063509994148070950</stp>
        <tr r="M79" s="17"/>
        <tr r="J9" s="9"/>
        <tr r="J9" s="5"/>
      </tp>
      <tp t="e">
        <v>#N/A</v>
        <stp/>
        <stp>BDH|11739904193468587302</stp>
        <tr r="AA45" s="34"/>
      </tp>
      <tp t="e">
        <v>#N/A</v>
        <stp/>
        <stp>BDH|14691952760385237402</stp>
        <tr r="L26" s="21"/>
      </tp>
      <tp t="e">
        <v>#N/A</v>
        <stp/>
        <stp>BDH|14102336386056570308</stp>
        <tr r="I71" s="18"/>
      </tp>
      <tp t="e">
        <v>#N/A</v>
        <stp/>
        <stp>BDH|14390140681170187769</stp>
        <tr r="C61" s="17"/>
      </tp>
      <tp t="e">
        <v>#N/A</v>
        <stp/>
        <stp>BDH|17402630322630194957</stp>
        <tr r="N72" s="34"/>
      </tp>
      <tp t="e">
        <v>#N/A</v>
        <stp/>
        <stp>BDH|18432039713674461712</stp>
        <tr r="R157" s="18"/>
      </tp>
      <tp t="e">
        <v>#N/A</v>
        <stp/>
        <stp>BDH|14657931137203219718</stp>
        <tr r="E110" s="12"/>
      </tp>
      <tp t="e">
        <v>#N/A</v>
        <stp/>
        <stp>BDH|15114778752465753826</stp>
        <tr r="R63" s="24"/>
      </tp>
      <tp t="e">
        <v>#N/A</v>
        <stp/>
        <stp>BDH|14791563090501680369</stp>
        <tr r="E32" s="5"/>
      </tp>
      <tp t="e">
        <v>#N/A</v>
        <stp/>
        <stp>BDH|17802880644571023059</stp>
        <tr r="X47" s="6"/>
      </tp>
      <tp t="e">
        <v>#N/A</v>
        <stp/>
        <stp>BDH|10050294844689892540</stp>
        <tr r="Q90" s="24"/>
      </tp>
      <tp t="e">
        <v>#N/A</v>
        <stp/>
        <stp>BDH|10052650359031520889</stp>
        <tr r="O183" s="18"/>
      </tp>
      <tp t="e">
        <v>#N/A</v>
        <stp/>
        <stp>BDH|13753806622180397376</stp>
        <tr r="L110" s="18"/>
      </tp>
      <tp t="e">
        <v>#N/A</v>
        <stp/>
        <stp>BDH|12275828063353225503</stp>
        <tr r="U109" s="18"/>
      </tp>
      <tp t="e">
        <v>#N/A</v>
        <stp/>
        <stp>BDH|10743980708936786518</stp>
        <tr r="T76" s="18"/>
      </tp>
      <tp t="e">
        <v>#N/A</v>
        <stp/>
        <stp>BDH|15336430298764091690</stp>
        <tr r="X21" s="3"/>
      </tp>
      <tp t="e">
        <v>#N/A</v>
        <stp/>
        <stp>BDH|17266848243777156650</stp>
        <tr r="H37" s="13"/>
        <tr r="F30" s="10"/>
      </tp>
      <tp t="e">
        <v>#N/A</v>
        <stp/>
        <stp>BDH|14181511886322516128</stp>
        <tr r="C14" s="27"/>
        <tr r="C28" s="25"/>
      </tp>
      <tp t="e">
        <v>#N/A</v>
        <stp/>
        <stp>BDH|17800406585124478583</stp>
        <tr r="G56" s="34"/>
      </tp>
      <tp t="e">
        <v>#N/A</v>
        <stp/>
        <stp>BDH|14252050099194650393</stp>
        <tr r="R21" s="14"/>
      </tp>
      <tp t="e">
        <v>#N/A</v>
        <stp/>
        <stp>BDH|18354493299869142638</stp>
        <tr r="G11" s="18"/>
      </tp>
      <tp t="e">
        <v>#N/A</v>
        <stp/>
        <stp>BDH|11209419626748492506</stp>
        <tr r="I135" s="18"/>
      </tp>
      <tp t="e">
        <v>#N/A</v>
        <stp/>
        <stp>BDH|13574858444302555709</stp>
        <tr r="T34" s="24"/>
      </tp>
      <tp t="e">
        <v>#N/A</v>
        <stp/>
        <stp>BDH|10721701166369931293</stp>
        <tr r="V20" s="28"/>
        <tr r="V17" s="17"/>
      </tp>
      <tp t="e">
        <v>#N/A</v>
        <stp/>
        <stp>BDH|10816921694448957261</stp>
        <tr r="V27" s="21"/>
      </tp>
      <tp t="e">
        <v>#N/A</v>
        <stp/>
        <stp>BDH|15603937516130237705</stp>
        <tr r="F90" s="24"/>
      </tp>
      <tp t="e">
        <v>#N/A</v>
        <stp/>
        <stp>BDH|15381241912735197950</stp>
        <tr r="O44" s="18"/>
      </tp>
      <tp t="e">
        <v>#N/A</v>
        <stp/>
        <stp>BDH|15358865636660740455</stp>
        <tr r="L61" s="12"/>
      </tp>
      <tp t="e">
        <v>#N/A</v>
        <stp/>
        <stp>BDH|17491395139505692837</stp>
        <tr r="U24" s="6"/>
      </tp>
      <tp t="e">
        <v>#N/A</v>
        <stp/>
        <stp>BDH|15741841201785646250</stp>
        <tr r="Z49" s="34"/>
      </tp>
      <tp t="e">
        <v>#N/A</v>
        <stp/>
        <stp>BDH|18209107854036359047</stp>
        <tr r="AA13" s="23"/>
        <tr r="Y57" s="11"/>
        <tr r="Y38" s="4"/>
      </tp>
      <tp t="e">
        <v>#N/A</v>
        <stp/>
        <stp>BDH|10419250485127529706</stp>
        <tr r="N13" s="34"/>
      </tp>
      <tp t="e">
        <v>#N/A</v>
        <stp/>
        <stp>BDH|13332056125319641246</stp>
        <tr r="AA30" s="14"/>
      </tp>
      <tp t="e">
        <v>#N/A</v>
        <stp/>
        <stp>BDH|15867072481773618489</stp>
        <tr r="M56" s="34"/>
      </tp>
      <tp t="e">
        <v>#N/A</v>
        <stp/>
        <stp>BDH|15085679507430487946</stp>
        <tr r="L211" s="18"/>
      </tp>
      <tp t="e">
        <v>#N/A</v>
        <stp/>
        <stp>BDH|13787762960599474153</stp>
        <tr r="Q7" s="8"/>
      </tp>
      <tp t="e">
        <v>#N/A</v>
        <stp/>
        <stp>BDH|10954096916188299341</stp>
        <tr r="R13" s="25"/>
      </tp>
      <tp t="e">
        <v>#N/A</v>
        <stp/>
        <stp>BDH|11958479899303725507</stp>
        <tr r="E38" s="13"/>
        <tr r="C31" s="10"/>
      </tp>
      <tp t="e">
        <v>#N/A</v>
        <stp/>
        <stp>BDH|13808522946910533892</stp>
        <tr r="L123" s="12"/>
      </tp>
      <tp t="e">
        <v>#N/A</v>
        <stp/>
        <stp>BDH|15547865818582980425</stp>
        <tr r="P22" s="6"/>
      </tp>
      <tp t="e">
        <v>#N/A</v>
        <stp/>
        <stp>BDH|11340884792292822818</stp>
        <tr r="W210" s="18"/>
      </tp>
      <tp t="e">
        <v>#N/A</v>
        <stp/>
        <stp>BDH|16863356432164705889</stp>
        <tr r="H156" s="18"/>
      </tp>
      <tp t="e">
        <v>#N/A</v>
        <stp/>
        <stp>BDH|16700843281105033929</stp>
        <tr r="Z160" s="18"/>
      </tp>
      <tp t="e">
        <v>#N/A</v>
        <stp/>
        <stp>BDH|12013017361878237625</stp>
        <tr r="D31" s="11"/>
        <tr r="D40" s="10"/>
      </tp>
      <tp t="e">
        <v>#N/A</v>
        <stp/>
        <stp>BDH|17999404598724042411</stp>
        <tr r="V68" s="18"/>
      </tp>
      <tp t="e">
        <v>#N/A</v>
        <stp/>
        <stp>BDH|11725155077454451919</stp>
        <tr r="T90" s="24"/>
      </tp>
      <tp t="e">
        <v>#N/A</v>
        <stp/>
        <stp>BDH|17829735825340785892</stp>
        <tr r="I27" s="6"/>
      </tp>
      <tp t="e">
        <v>#N/A</v>
        <stp/>
        <stp>BDH|12980743361618405180</stp>
        <tr r="G85" s="17"/>
        <tr r="E6" s="7"/>
        <tr r="G20" s="3"/>
      </tp>
      <tp t="e">
        <v>#N/A</v>
        <stp/>
        <stp>BDH|12061726471830326807</stp>
        <tr r="W37" s="26"/>
      </tp>
      <tp t="e">
        <v>#N/A</v>
        <stp/>
        <stp>BDH|14971522623371928818</stp>
        <tr r="O116" s="12"/>
      </tp>
      <tp t="e">
        <v>#N/A</v>
        <stp/>
        <stp>BDH|16071752854158609678</stp>
        <tr r="Z25" s="26"/>
      </tp>
      <tp t="e">
        <v>#N/A</v>
        <stp/>
        <stp>BDH|13025603222054095924</stp>
        <tr r="E52" s="24"/>
      </tp>
      <tp t="e">
        <v>#N/A</v>
        <stp/>
        <stp>BDH|14869037181884821227</stp>
        <tr r="P13" s="22"/>
      </tp>
      <tp t="e">
        <v>#N/A</v>
        <stp/>
        <stp>BDH|16446321445468344306</stp>
        <tr r="U28" s="18"/>
      </tp>
      <tp t="e">
        <v>#N/A</v>
        <stp/>
        <stp>BDH|18359642033216070140</stp>
        <tr r="E50" s="21"/>
      </tp>
      <tp t="e">
        <v>#N/A</v>
        <stp/>
        <stp>BDH|15573767963989123719</stp>
        <tr r="F14" s="8"/>
      </tp>
      <tp t="e">
        <v>#N/A</v>
        <stp/>
        <stp>BDH|18240144176301364534</stp>
        <tr r="T15" s="18"/>
      </tp>
      <tp t="e">
        <v>#N/A</v>
        <stp/>
        <stp>BDH|12454127100751342850</stp>
        <tr r="K57" s="18"/>
      </tp>
      <tp t="e">
        <v>#N/A</v>
        <stp/>
        <stp>BDH|11764553307026747826</stp>
        <tr r="W145" s="18"/>
      </tp>
      <tp t="e">
        <v>#N/A</v>
        <stp/>
        <stp>BDH|17677002883061517402</stp>
        <tr r="Q37" s="21"/>
      </tp>
      <tp t="e">
        <v>#N/A</v>
        <stp/>
        <stp>BDH|18139427225285597139</stp>
        <tr r="E20" s="17"/>
      </tp>
      <tp t="e">
        <v>#N/A</v>
        <stp/>
        <stp>BDH|12048524580002630746</stp>
        <tr r="R17" s="34"/>
      </tp>
      <tp t="e">
        <v>#N/A</v>
        <stp/>
        <stp>BDH|17376922647508766813</stp>
        <tr r="X45" s="13"/>
        <tr r="V29" s="11"/>
        <tr r="V38" s="10"/>
      </tp>
      <tp t="e">
        <v>#N/A</v>
        <stp/>
        <stp>BDH|11421876522263953286</stp>
        <tr r="D91" s="17"/>
      </tp>
      <tp t="e">
        <v>#N/A</v>
        <stp/>
        <stp>BDH|17032515475197200863</stp>
        <tr r="M17" s="34"/>
      </tp>
      <tp t="e">
        <v>#N/A</v>
        <stp/>
        <stp>BDH|11242261784020650164</stp>
        <tr r="R42" s="18"/>
      </tp>
      <tp t="e">
        <v>#N/A</v>
        <stp/>
        <stp>BDH|10739651916675745834</stp>
        <tr r="H18" s="28"/>
        <tr r="H15" s="17"/>
      </tp>
      <tp t="e">
        <v>#N/A</v>
        <stp/>
        <stp>BDH|12051821916455793402</stp>
        <tr r="X33" s="17"/>
      </tp>
      <tp t="e">
        <v>#N/A</v>
        <stp/>
        <stp>BDH|15055932011731882693</stp>
        <tr r="G8" s="23"/>
      </tp>
      <tp t="e">
        <v>#N/A</v>
        <stp/>
        <stp>BDH|11489255522782142915</stp>
        <tr r="J14" s="11"/>
      </tp>
      <tp t="e">
        <v>#N/A</v>
        <stp/>
        <stp>BDH|13641443873229499367</stp>
        <tr r="X8" s="14"/>
      </tp>
      <tp t="e">
        <v>#N/A</v>
        <stp/>
        <stp>BDH|12222279887552725066</stp>
        <tr r="K10" s="26"/>
      </tp>
      <tp t="e">
        <v>#N/A</v>
        <stp/>
        <stp>BDH|12430636952078494326</stp>
        <tr r="I8" s="21"/>
      </tp>
      <tp t="e">
        <v>#N/A</v>
        <stp/>
        <stp>BDH|17853981234936422135</stp>
        <tr r="Q14" s="34"/>
      </tp>
      <tp t="e">
        <v>#N/A</v>
        <stp/>
        <stp>BDH|10683222721209457327</stp>
        <tr r="P18" s="9"/>
      </tp>
      <tp t="e">
        <v>#N/A</v>
        <stp/>
        <stp>BDH|14161915179080327098</stp>
        <tr r="Y94" s="17"/>
      </tp>
      <tp t="e">
        <v>#N/A</v>
        <stp/>
        <stp>BDH|11071287982986821712</stp>
        <tr r="N19" s="30"/>
      </tp>
      <tp t="e">
        <v>#N/A</v>
        <stp/>
        <stp>BDH|15483621224129781269</stp>
        <tr r="M44" s="13"/>
        <tr r="K28" s="11"/>
        <tr r="K37" s="10"/>
      </tp>
      <tp t="e">
        <v>#N/A</v>
        <stp/>
        <stp>BDH|16798539774868293619</stp>
        <tr r="F62" s="17"/>
      </tp>
      <tp t="e">
        <v>#N/A</v>
        <stp/>
        <stp>BDH|18135142244455542279</stp>
        <tr r="W21" s="34"/>
      </tp>
      <tp t="e">
        <v>#N/A</v>
        <stp/>
        <stp>BDH|17732027547920453957</stp>
        <tr r="N10" s="21"/>
      </tp>
      <tp t="e">
        <v>#N/A</v>
        <stp/>
        <stp>BDH|12685293624479827102</stp>
        <tr r="H83" s="24"/>
      </tp>
      <tp t="e">
        <v>#N/A</v>
        <stp/>
        <stp>BDH|15195743948684839861</stp>
        <tr r="C71" s="12"/>
      </tp>
      <tp t="e">
        <v>#N/A</v>
        <stp/>
        <stp>BDH|17040636347909146661</stp>
        <tr r="P10" s="24"/>
      </tp>
      <tp t="e">
        <v>#N/A</v>
        <stp/>
        <stp>BDH|12159024287470081070</stp>
        <tr r="I90" s="18"/>
      </tp>
      <tp t="e">
        <v>#N/A</v>
        <stp/>
        <stp>BDH|12798936534127773544</stp>
        <tr r="I97" s="12"/>
      </tp>
      <tp t="e">
        <v>#N/A</v>
        <stp/>
        <stp>BDH|17208320400826757840</stp>
        <tr r="L68" s="34"/>
      </tp>
      <tp t="e">
        <v>#N/A</v>
        <stp/>
        <stp>BDH|14381404605188490217</stp>
        <tr r="R39" s="11"/>
        <tr r="R27" s="11"/>
        <tr r="R48" s="10"/>
        <tr r="R36" s="10"/>
      </tp>
      <tp t="e">
        <v>#N/A</v>
        <stp/>
        <stp>BDH|14739159754989089358</stp>
        <tr r="J156" s="18"/>
      </tp>
      <tp t="e">
        <v>#N/A</v>
        <stp/>
        <stp>BDH|17392136915839160472</stp>
        <tr r="M174" s="18"/>
      </tp>
      <tp t="e">
        <v>#N/A</v>
        <stp/>
        <stp>BDH|12155866209383843356</stp>
        <tr r="AA124" s="12"/>
      </tp>
      <tp t="e">
        <v>#N/A</v>
        <stp/>
        <stp>BDH|13175885648506269303</stp>
        <tr r="L19" s="9"/>
      </tp>
      <tp t="e">
        <v>#N/A</v>
        <stp/>
        <stp>BDH|18289109777091633500</stp>
        <tr r="O39" s="26"/>
      </tp>
      <tp t="e">
        <v>#N/A</v>
        <stp/>
        <stp>BDH|11377412141178727374</stp>
        <tr r="J25" s="29"/>
        <tr r="J19" s="29"/>
        <tr r="J10" s="29"/>
        <tr r="H6" s="9"/>
        <tr r="J12" s="8"/>
        <tr r="H6" s="5"/>
        <tr r="I6" s="2"/>
      </tp>
      <tp t="e">
        <v>#N/A</v>
        <stp/>
        <stp>BDH|10176250105608176034</stp>
        <tr r="W25" s="10"/>
      </tp>
      <tp t="e">
        <v>#N/A</v>
        <stp/>
        <stp>BDH|14357512104178151341</stp>
        <tr r="J63" s="13"/>
      </tp>
      <tp t="e">
        <v>#N/A</v>
        <stp/>
        <stp>BDH|17543441227478465315</stp>
        <tr r="V176" s="18"/>
      </tp>
      <tp t="e">
        <v>#N/A</v>
        <stp/>
        <stp>BDH|13996431551881925913</stp>
        <tr r="E88" s="24"/>
      </tp>
      <tp t="e">
        <v>#N/A</v>
        <stp/>
        <stp>BDH|13941947496648018185</stp>
        <tr r="L17" s="34"/>
      </tp>
      <tp t="e">
        <v>#N/A</v>
        <stp/>
        <stp>BDH|17394938045349145977</stp>
        <tr r="Z49" s="24"/>
      </tp>
      <tp t="e">
        <v>#N/A</v>
        <stp/>
        <stp>BDH|12389364881320575329</stp>
        <tr r="S26" s="11"/>
        <tr r="S35" s="10"/>
      </tp>
      <tp t="e">
        <v>#N/A</v>
        <stp/>
        <stp>BDH|10973502333354165881</stp>
        <tr r="Z35" s="14"/>
      </tp>
      <tp t="e">
        <v>#N/A</v>
        <stp/>
        <stp>BDH|17976313156728815353</stp>
        <tr r="H32" s="13"/>
        <tr r="F24" s="11"/>
        <tr r="F33" s="10"/>
        <tr r="F45" s="4"/>
      </tp>
      <tp t="e">
        <v>#N/A</v>
        <stp/>
        <stp>BDH|12228984644617410291</stp>
        <tr r="X48" s="17"/>
      </tp>
      <tp t="e">
        <v>#N/A</v>
        <stp/>
        <stp>BDH|13690700073721789816</stp>
        <tr r="U54" s="12"/>
      </tp>
      <tp t="e">
        <v>#N/A</v>
        <stp/>
        <stp>BDH|14292803900752337429</stp>
        <tr r="L28" s="14"/>
      </tp>
      <tp t="e">
        <v>#N/A</v>
        <stp/>
        <stp>BDH|10963523109258377727</stp>
        <tr r="S155" s="18"/>
      </tp>
      <tp t="e">
        <v>#N/A</v>
        <stp/>
        <stp>BDH|14525633722572068874</stp>
        <tr r="F194" s="18"/>
      </tp>
      <tp t="e">
        <v>#N/A</v>
        <stp/>
        <stp>BDH|17381067554731179939</stp>
        <tr r="Q113" s="12"/>
      </tp>
      <tp t="e">
        <v>#N/A</v>
        <stp/>
        <stp>BDH|11716956435369350877</stp>
        <tr r="L9" s="17"/>
      </tp>
      <tp t="e">
        <v>#N/A</v>
        <stp/>
        <stp>BDH|17576476861699103611</stp>
        <tr r="E68" s="17"/>
      </tp>
      <tp t="e">
        <v>#N/A</v>
        <stp/>
        <stp>BDH|15417025471631366972</stp>
        <tr r="Z86" s="24"/>
      </tp>
      <tp t="e">
        <v>#N/A</v>
        <stp/>
        <stp>BDH|11832513060191817925</stp>
        <tr r="D39" s="13"/>
      </tp>
      <tp t="e">
        <v>#N/A</v>
        <stp/>
        <stp>BDH|11076006252657442956</stp>
        <tr r="AA26" s="21"/>
      </tp>
      <tp t="e">
        <v>#N/A</v>
        <stp/>
        <stp>BDH|11532757151251055826</stp>
        <tr r="R114" s="18"/>
      </tp>
      <tp t="e">
        <v>#N/A</v>
        <stp/>
        <stp>BDH|13440896335381824337</stp>
        <tr r="F19" s="10"/>
      </tp>
      <tp t="e">
        <v>#N/A</v>
        <stp/>
        <stp>BDH|13905116505250963876</stp>
        <tr r="D28" s="4"/>
      </tp>
      <tp t="e">
        <v>#N/A</v>
        <stp/>
        <stp>BDH|17384625421700497968</stp>
        <tr r="U6" s="8"/>
        <tr r="S51" s="6"/>
      </tp>
      <tp t="e">
        <v>#N/A</v>
        <stp/>
        <stp>BDH|14418252109764373899</stp>
        <tr r="AA62" s="13"/>
      </tp>
      <tp t="e">
        <v>#N/A</v>
        <stp/>
        <stp>BDH|15569472397926612416</stp>
        <tr r="C26" s="18"/>
      </tp>
      <tp t="e">
        <v>#N/A</v>
        <stp/>
        <stp>BDH|17791864244679077874</stp>
        <tr r="E105" s="12"/>
      </tp>
      <tp t="e">
        <v>#N/A</v>
        <stp/>
        <stp>BDH|15229414150728172609</stp>
        <tr r="Y13" s="25"/>
      </tp>
      <tp t="e">
        <v>#N/A</v>
        <stp/>
        <stp>BDH|16618139326587751867</stp>
        <tr r="V22" s="6"/>
      </tp>
      <tp t="e">
        <v>#N/A</v>
        <stp/>
        <stp>BDH|13626037221392480920</stp>
        <tr r="D59" s="18"/>
      </tp>
      <tp t="e">
        <v>#N/A</v>
        <stp/>
        <stp>BDH|17767348817069494629</stp>
        <tr r="O21" s="6"/>
      </tp>
      <tp t="e">
        <v>#N/A</v>
        <stp/>
        <stp>BDH|18077651683488156459</stp>
        <tr r="P62" s="11"/>
        <tr r="P71" s="10"/>
      </tp>
      <tp t="e">
        <v>#N/A</v>
        <stp/>
        <stp>BDH|17068236294114675238</stp>
        <tr r="P58" s="17"/>
      </tp>
      <tp t="e">
        <v>#N/A</v>
        <stp/>
        <stp>BDH|17100616264205139879</stp>
        <tr r="Q174" s="18"/>
      </tp>
      <tp t="e">
        <v>#N/A</v>
        <stp/>
        <stp>BDH|14683822660571181179</stp>
        <tr r="L26" s="24"/>
      </tp>
      <tp t="e">
        <v>#N/A</v>
        <stp/>
        <stp>BDH|15424698939169741312</stp>
        <tr r="Q60" s="13"/>
      </tp>
      <tp t="e">
        <v>#N/A</v>
        <stp/>
        <stp>BDH|15480280499694019072</stp>
        <tr r="I199" s="18"/>
      </tp>
      <tp t="e">
        <v>#N/A</v>
        <stp/>
        <stp>BDH|13751001491670094046</stp>
        <tr r="H50" s="21"/>
      </tp>
      <tp t="e">
        <v>#N/A</v>
        <stp/>
        <stp>BDH|13682193888572671235</stp>
        <tr r="N49" s="13"/>
      </tp>
      <tp t="e">
        <v>#N/A</v>
        <stp/>
        <stp>BDH|17648741304839633322</stp>
        <tr r="O8" s="34"/>
      </tp>
      <tp t="e">
        <v>#N/A</v>
        <stp/>
        <stp>BDH|17892877459274326472</stp>
        <tr r="H62" s="13"/>
      </tp>
      <tp t="e">
        <v>#N/A</v>
        <stp/>
        <stp>BDH|15048858775755101538</stp>
        <tr r="Z162" s="18"/>
      </tp>
      <tp t="e">
        <v>#N/A</v>
        <stp/>
        <stp>BDH|14682829587319146705</stp>
        <tr r="I112" s="12"/>
      </tp>
      <tp t="e">
        <v>#N/A</v>
        <stp/>
        <stp>BDH|12029933160476126105</stp>
        <tr r="D191" s="18"/>
      </tp>
      <tp t="e">
        <v>#N/A</v>
        <stp/>
        <stp>BDH|11228265765627755846</stp>
        <tr r="T21" s="6"/>
      </tp>
      <tp t="e">
        <v>#N/A</v>
        <stp/>
        <stp>BDH|18436931490596518404</stp>
        <tr r="G62" s="11"/>
        <tr r="G71" s="10"/>
      </tp>
      <tp t="e">
        <v>#N/A</v>
        <stp/>
        <stp>BDH|16419150651751655942</stp>
        <tr r="X18" s="21"/>
      </tp>
      <tp t="e">
        <v>#N/A</v>
        <stp/>
        <stp>BDH|15804054868580130963</stp>
        <tr r="X17" s="28"/>
        <tr r="X14" s="17"/>
      </tp>
      <tp t="e">
        <v>#N/A</v>
        <stp/>
        <stp>BDH|18016960273464252851</stp>
        <tr r="L29" s="22"/>
      </tp>
      <tp t="e">
        <v>#N/A</v>
        <stp/>
        <stp>BDH|10994967752136699096</stp>
        <tr r="C38" s="25"/>
      </tp>
      <tp t="e">
        <v>#N/A</v>
        <stp/>
        <stp>BDH|11436030574175530941</stp>
        <tr r="H63" s="21"/>
      </tp>
      <tp t="e">
        <v>#N/A</v>
        <stp/>
        <stp>BDH|11475944956764022341</stp>
        <tr r="M211" s="18"/>
      </tp>
      <tp t="e">
        <v>#N/A</v>
        <stp/>
        <stp>BDH|16975792966264060946</stp>
        <tr r="Q72" s="34"/>
      </tp>
      <tp t="e">
        <v>#N/A</v>
        <stp/>
        <stp>BDH|13079649125899465477</stp>
        <tr r="J113" s="12"/>
      </tp>
      <tp t="e">
        <v>#N/A</v>
        <stp/>
        <stp>BDH|17873470263757928874</stp>
        <tr r="Q81" s="24"/>
      </tp>
      <tp t="e">
        <v>#N/A</v>
        <stp/>
        <stp>BDH|14636118922949412435</stp>
        <tr r="V32" s="9"/>
      </tp>
      <tp t="e">
        <v>#N/A</v>
        <stp/>
        <stp>BDH|14991203557249578099</stp>
        <tr r="Y124" s="18"/>
      </tp>
      <tp t="e">
        <v>#N/A</v>
        <stp/>
        <stp>BDH|10573359429018882330</stp>
        <tr r="L144" s="18"/>
      </tp>
      <tp t="e">
        <v>#N/A</v>
        <stp/>
        <stp>BDH|15348502665478424405</stp>
        <tr r="M22" s="12"/>
      </tp>
      <tp t="e">
        <v>#N/A</v>
        <stp/>
        <stp>BDH|12050969545995008010</stp>
        <tr r="N10" s="18"/>
      </tp>
      <tp t="e">
        <v>#N/A</v>
        <stp/>
        <stp>BDH|13286344090844691728</stp>
        <tr r="T13" s="20"/>
        <tr r="T122" s="18"/>
      </tp>
      <tp t="e">
        <v>#N/A</v>
        <stp/>
        <stp>BDH|14816336823197235880</stp>
        <tr r="C203" s="18"/>
      </tp>
      <tp t="e">
        <v>#N/A</v>
        <stp/>
        <stp>BDH|18428669726233758518</stp>
        <tr r="C155" s="18"/>
      </tp>
      <tp t="e">
        <v>#N/A</v>
        <stp/>
        <stp>BDH|10528083222889864124</stp>
        <tr r="Y50" s="24"/>
      </tp>
      <tp t="e">
        <v>#N/A</v>
        <stp/>
        <stp>BDH|11119118872475240853</stp>
        <tr r="I11" s="18"/>
      </tp>
      <tp t="e">
        <v>#N/A</v>
        <stp/>
        <stp>BDH|15785475540207710824</stp>
        <tr r="Z142" s="18"/>
      </tp>
      <tp t="e">
        <v>#N/A</v>
        <stp/>
        <stp>BDH|11189118522659380147</stp>
        <tr r="F9" s="34"/>
      </tp>
      <tp t="e">
        <v>#N/A</v>
        <stp/>
        <stp>BDH|16704473358349995440</stp>
        <tr r="N16" s="26"/>
      </tp>
      <tp t="e">
        <v>#N/A</v>
        <stp/>
        <stp>BDH|15865722690618793982</stp>
        <tr r="R28" s="14"/>
      </tp>
      <tp t="e">
        <v>#N/A</v>
        <stp/>
        <stp>BDH|13000819804737816687</stp>
        <tr r="D96" s="12"/>
      </tp>
      <tp t="e">
        <v>#N/A</v>
        <stp/>
        <stp>BDH|18286717321016429135</stp>
        <tr r="P36" s="6"/>
        <tr r="P17" s="5"/>
      </tp>
      <tp t="e">
        <v>#N/A</v>
        <stp/>
        <stp>BDH|15106608828248552397</stp>
        <tr r="T66" s="17"/>
      </tp>
      <tp t="e">
        <v>#N/A</v>
        <stp/>
        <stp>BDH|18016677005867435335</stp>
        <tr r="R55" s="11"/>
      </tp>
      <tp t="e">
        <v>#N/A</v>
        <stp/>
        <stp>BDH|16282634161555260977</stp>
        <tr r="M34" s="14"/>
      </tp>
      <tp t="e">
        <v>#N/A</v>
        <stp/>
        <stp>BDH|16520855855233585252</stp>
        <tr r="L18" s="11"/>
      </tp>
      <tp t="e">
        <v>#N/A</v>
        <stp/>
        <stp>BDH|14741522681526455559</stp>
        <tr r="L66" s="17"/>
      </tp>
      <tp t="e">
        <v>#N/A</v>
        <stp/>
        <stp>BDH|15312300966303746978</stp>
        <tr r="S33" s="14"/>
      </tp>
      <tp t="e">
        <v>#N/A</v>
        <stp/>
        <stp>BDH|14405233653980814995</stp>
        <tr r="I86" s="17"/>
      </tp>
      <tp t="e">
        <v>#N/A</v>
        <stp/>
        <stp>BDH|13961830563197884041</stp>
        <tr r="R7" s="9"/>
        <tr r="R7" s="5"/>
        <tr r="U14" s="3"/>
        <tr r="S7" s="2"/>
      </tp>
      <tp t="e">
        <v>#N/A</v>
        <stp/>
        <stp>BDH|10726775139308992653</stp>
        <tr r="P31" s="5"/>
      </tp>
      <tp t="e">
        <v>#N/A</v>
        <stp/>
        <stp>BDH|13195551881172633667</stp>
        <tr r="Y73" s="12"/>
      </tp>
      <tp t="e">
        <v>#N/A</v>
        <stp/>
        <stp>BDH|15354007977858712066</stp>
        <tr r="U210" s="18"/>
      </tp>
      <tp t="e">
        <v>#N/A</v>
        <stp/>
        <stp>BDH|17608625139479990114</stp>
        <tr r="O36" s="12"/>
      </tp>
      <tp t="e">
        <v>#N/A</v>
        <stp/>
        <stp>BDH|17685492989136625755</stp>
        <tr r="H102" s="12"/>
      </tp>
      <tp t="e">
        <v>#N/A</v>
        <stp/>
        <stp>BDH|14805065388175184320</stp>
        <tr r="W20" s="5"/>
      </tp>
      <tp t="e">
        <v>#N/A</v>
        <stp/>
        <stp>BDH|12466974732153658125</stp>
        <tr r="T16" s="28"/>
        <tr r="T13" s="17"/>
      </tp>
      <tp t="e">
        <v>#N/A</v>
        <stp/>
        <stp>BDH|16239814777226770561</stp>
        <tr r="Q8" s="23"/>
      </tp>
      <tp t="e">
        <v>#N/A</v>
        <stp/>
        <stp>BDH|10866619665352196886</stp>
        <tr r="P15" s="13"/>
      </tp>
      <tp t="e">
        <v>#N/A</v>
        <stp/>
        <stp>BDH|16124425130573412821</stp>
        <tr r="V39" s="22"/>
      </tp>
      <tp t="e">
        <v>#N/A</v>
        <stp/>
        <stp>BDH|13713946085359069133</stp>
        <tr r="G26" s="26"/>
      </tp>
      <tp t="e">
        <v>#N/A</v>
        <stp/>
        <stp>BDH|10244787871412925874</stp>
        <tr r="W18" s="23"/>
      </tp>
      <tp t="e">
        <v>#N/A</v>
        <stp/>
        <stp>BDH|16799957353333396374</stp>
        <tr r="O98" s="12"/>
      </tp>
      <tp t="e">
        <v>#N/A</v>
        <stp/>
        <stp>BDH|14153042514529525610</stp>
        <tr r="S40" s="29"/>
        <tr r="S17" s="29"/>
      </tp>
      <tp t="e">
        <v>#N/A</v>
        <stp/>
        <stp>BDH|17000422690771700105</stp>
        <tr r="M58" s="24"/>
      </tp>
      <tp t="e">
        <v>#N/A</v>
        <stp/>
        <stp>BDH|13227530713324101961</stp>
        <tr r="R31" s="12"/>
      </tp>
      <tp t="e">
        <v>#N/A</v>
        <stp/>
        <stp>BDH|11440313255645438815</stp>
        <tr r="Q193" s="18"/>
      </tp>
      <tp t="e">
        <v>#N/A</v>
        <stp/>
        <stp>BDH|12701868977987156023</stp>
        <tr r="H17" s="22"/>
      </tp>
      <tp t="e">
        <v>#N/A</v>
        <stp/>
        <stp>BDH|13807764463709179192</stp>
        <tr r="G39" s="11"/>
        <tr r="G27" s="11"/>
        <tr r="G48" s="10"/>
        <tr r="G36" s="10"/>
      </tp>
      <tp t="e">
        <v>#N/A</v>
        <stp/>
        <stp>BDH|13100853774365574301</stp>
        <tr r="F34" s="26"/>
      </tp>
      <tp t="e">
        <v>#N/A</v>
        <stp/>
        <stp>BDH|18406136628866387790</stp>
        <tr r="K44" s="22"/>
      </tp>
      <tp t="e">
        <v>#N/A</v>
        <stp/>
        <stp>BDH|11624157647556664870</stp>
        <tr r="H17" s="9"/>
      </tp>
      <tp t="e">
        <v>#N/A</v>
        <stp/>
        <stp>BDH|16758080340290810820</stp>
        <tr r="C52" s="18"/>
      </tp>
      <tp t="e">
        <v>#N/A</v>
        <stp/>
        <stp>BDH|13569402471479810394</stp>
        <tr r="U32" s="9"/>
      </tp>
      <tp t="e">
        <v>#N/A</v>
        <stp/>
        <stp>BDH|10395376584065633439</stp>
        <tr r="N78" s="17"/>
      </tp>
      <tp t="e">
        <v>#N/A</v>
        <stp/>
        <stp>BDH|11819988251926325176</stp>
        <tr r="F12" s="26"/>
      </tp>
      <tp t="e">
        <v>#N/A</v>
        <stp/>
        <stp>BDH|11706941217306547542</stp>
        <tr r="K88" s="18"/>
      </tp>
      <tp t="e">
        <v>#N/A</v>
        <stp/>
        <stp>BDH|14365004439824790987</stp>
        <tr r="Y27" s="24"/>
      </tp>
      <tp t="e">
        <v>#N/A</v>
        <stp/>
        <stp>BDH|13479505587595558129</stp>
        <tr r="C103" s="12"/>
      </tp>
      <tp t="e">
        <v>#N/A</v>
        <stp/>
        <stp>BDH|15452977257884085709</stp>
        <tr r="E19" s="34"/>
      </tp>
      <tp t="e">
        <v>#N/A</v>
        <stp/>
        <stp>BDH|17260947929872220490</stp>
        <tr r="R127" s="18"/>
      </tp>
      <tp t="e">
        <v>#N/A</v>
        <stp/>
        <stp>BDH|12646258343729363776</stp>
        <tr r="X12" s="24"/>
      </tp>
      <tp t="e">
        <v>#N/A</v>
        <stp/>
        <stp>BDH|15036231683114585110</stp>
        <tr r="T37" s="29"/>
        <tr r="T23" s="29"/>
        <tr r="T14" s="29"/>
      </tp>
      <tp t="e">
        <v>#N/A</v>
        <stp/>
        <stp>BDH|15253378940781083919</stp>
        <tr r="E28" s="18"/>
      </tp>
      <tp t="e">
        <v>#N/A</v>
        <stp/>
        <stp>BDH|14341948322320902584</stp>
        <tr r="P63" s="10"/>
      </tp>
      <tp t="e">
        <v>#N/A</v>
        <stp/>
        <stp>BDH|14651867428242939659</stp>
        <tr r="V21" s="20"/>
      </tp>
      <tp t="e">
        <v>#N/A</v>
        <stp/>
        <stp>BDH|12332959481740569961</stp>
        <tr r="Q25" s="10"/>
      </tp>
      <tp t="e">
        <v>#N/A</v>
        <stp/>
        <stp>BDH|11255531586714695250</stp>
        <tr r="K39" s="13"/>
        <tr r="I32" s="10"/>
      </tp>
      <tp t="e">
        <v>#N/A</v>
        <stp/>
        <stp>BDH|16115414383212083275</stp>
        <tr r="I16" s="6"/>
      </tp>
      <tp t="e">
        <v>#N/A</v>
        <stp/>
        <stp>BDH|11556769324746036832</stp>
        <tr r="D165" s="18"/>
      </tp>
      <tp t="e">
        <v>#N/A</v>
        <stp/>
        <stp>BDH|16244141596535681121</stp>
        <tr r="P135" s="18"/>
      </tp>
      <tp t="e">
        <v>#N/A</v>
        <stp/>
        <stp>BDH|13242977963614296204</stp>
        <tr r="D83" s="24"/>
      </tp>
      <tp t="e">
        <v>#N/A</v>
        <stp/>
        <stp>BDH|11874985646495261308</stp>
        <tr r="T68" s="24"/>
      </tp>
      <tp t="e">
        <v>#N/A</v>
        <stp/>
        <stp>BDH|17230000195651486575</stp>
        <tr r="H124" s="18"/>
      </tp>
      <tp t="e">
        <v>#N/A</v>
        <stp/>
        <stp>BDH|17905098883083687618</stp>
        <tr r="C126" s="18"/>
      </tp>
      <tp t="e">
        <v>#N/A</v>
        <stp/>
        <stp>BDH|16488862610736525330</stp>
        <tr r="Y72" s="34"/>
      </tp>
      <tp t="e">
        <v>#N/A</v>
        <stp/>
        <stp>BDH|14606216882827909381</stp>
        <tr r="H13" s="12"/>
      </tp>
      <tp t="e">
        <v>#N/A</v>
        <stp/>
        <stp>BDH|18007908051219473712</stp>
        <tr r="K49" s="17"/>
      </tp>
      <tp t="e">
        <v>#N/A</v>
        <stp/>
        <stp>BDH|13600968665104544242</stp>
        <tr r="R20" s="29"/>
      </tp>
      <tp t="e">
        <v>#N/A</v>
        <stp/>
        <stp>BDH|16270220855913115802</stp>
        <tr r="F46" s="13"/>
      </tp>
      <tp t="e">
        <v>#N/A</v>
        <stp/>
        <stp>BDH|10520198334968566098</stp>
        <tr r="Z58" s="12"/>
      </tp>
      <tp t="e">
        <v>#N/A</v>
        <stp/>
        <stp>BDH|15842271584235737089</stp>
        <tr r="G94" s="17"/>
      </tp>
      <tp t="e">
        <v>#N/A</v>
        <stp/>
        <stp>BDH|14594838738297977238</stp>
        <tr r="V70" s="18"/>
      </tp>
      <tp t="e">
        <v>#N/A</v>
        <stp/>
        <stp>BDH|12203639084025659370</stp>
        <tr r="U32" s="29"/>
        <tr r="S34" s="5"/>
      </tp>
      <tp t="e">
        <v>#N/A</v>
        <stp/>
        <stp>BDH|15654057963969743033</stp>
        <tr r="G30" s="29"/>
        <tr r="G8" s="29"/>
      </tp>
      <tp t="e">
        <v>#N/A</v>
        <stp/>
        <stp>BDH|11814989425367171700</stp>
        <tr r="I174" s="18"/>
      </tp>
      <tp t="e">
        <v>#N/A</v>
        <stp/>
        <stp>BDH|12180011389589986947</stp>
        <tr r="X13" s="12"/>
      </tp>
      <tp t="e">
        <v>#N/A</v>
        <stp/>
        <stp>BDH|10080079756227231873</stp>
        <tr r="AA66" s="17"/>
      </tp>
      <tp t="e">
        <v>#N/A</v>
        <stp/>
        <stp>BDH|12024980264774940312</stp>
        <tr r="Q69" s="10"/>
      </tp>
      <tp t="e">
        <v>#N/A</v>
        <stp/>
        <stp>BDH|13181390057829839631</stp>
        <tr r="I52" s="18"/>
      </tp>
      <tp t="e">
        <v>#N/A</v>
        <stp/>
        <stp>BDH|15206414038191755982</stp>
        <tr r="O14" s="24"/>
      </tp>
      <tp t="e">
        <v>#N/A</v>
        <stp/>
        <stp>BDH|18034349368814187398</stp>
        <tr r="I33" s="18"/>
      </tp>
      <tp t="e">
        <v>#N/A</v>
        <stp/>
        <stp>BDH|16576390350339854303</stp>
        <tr r="Q61" s="34"/>
      </tp>
      <tp t="e">
        <v>#N/A</v>
        <stp/>
        <stp>BDH|11420611964459376261</stp>
        <tr r="D91" s="12"/>
      </tp>
      <tp t="e">
        <v>#N/A</v>
        <stp/>
        <stp>BDH|15261022769950859959</stp>
        <tr r="F61" s="12"/>
      </tp>
      <tp t="e">
        <v>#N/A</v>
        <stp/>
        <stp>BDH|12579076694105548475</stp>
        <tr r="L36" s="12"/>
      </tp>
      <tp t="e">
        <v>#N/A</v>
        <stp/>
        <stp>BDH|17753744177845080801</stp>
        <tr r="V98" s="12"/>
      </tp>
      <tp t="e">
        <v>#N/A</v>
        <stp/>
        <stp>BDH|12783164792263583326</stp>
        <tr r="I28" s="14"/>
      </tp>
      <tp t="e">
        <v>#N/A</v>
        <stp/>
        <stp>BDH|14775187724564727987</stp>
        <tr r="K182" s="18"/>
      </tp>
      <tp t="e">
        <v>#N/A</v>
        <stp/>
        <stp>BDH|16408378100786495931</stp>
        <tr r="Z11" s="20"/>
        <tr r="Z120" s="18"/>
      </tp>
      <tp t="e">
        <v>#N/A</v>
        <stp/>
        <stp>BDH|16463577795722104231</stp>
        <tr r="AA93" s="24"/>
      </tp>
      <tp t="e">
        <v>#N/A</v>
        <stp/>
        <stp>BDH|13289920157724482171</stp>
        <tr r="O38" s="29"/>
        <tr r="O15" s="29"/>
      </tp>
      <tp t="e">
        <v>#N/A</v>
        <stp/>
        <stp>BDH|14925016882465610384</stp>
        <tr r="M78" s="12"/>
      </tp>
      <tp t="e">
        <v>#N/A</v>
        <stp/>
        <stp>BDH|17666014906615315860</stp>
        <tr r="Y33" s="21"/>
      </tp>
      <tp t="e">
        <v>#N/A</v>
        <stp/>
        <stp>BDH|17517644064748612576</stp>
        <tr r="C127" s="12"/>
      </tp>
      <tp t="e">
        <v>#N/A</v>
        <stp/>
        <stp>BDH|16008028898183655688</stp>
        <tr r="Y53" s="18"/>
      </tp>
      <tp t="e">
        <v>#N/A</v>
        <stp/>
        <stp>BDH|15635743211128551120</stp>
        <tr r="Z72" s="12"/>
      </tp>
      <tp t="e">
        <v>#N/A</v>
        <stp/>
        <stp>BDH|12591561701259564438</stp>
        <tr r="R51" s="21"/>
      </tp>
      <tp t="e">
        <v>#N/A</v>
        <stp/>
        <stp>BDH|16567382278771465951</stp>
        <tr r="U89" s="12"/>
      </tp>
      <tp t="e">
        <v>#N/A</v>
        <stp/>
        <stp>BDH|16949380654702216809</stp>
        <tr r="J24" s="13"/>
      </tp>
      <tp t="e">
        <v>#N/A</v>
        <stp/>
        <stp>BDH|13312885623207793484</stp>
        <tr r="C14" s="18"/>
      </tp>
      <tp t="e">
        <v>#N/A</v>
        <stp/>
        <stp>BDH|14807004280943652593</stp>
        <tr r="G34" s="13"/>
        <tr r="E27" s="10"/>
      </tp>
      <tp t="e">
        <v>#N/A</v>
        <stp/>
        <stp>BDH|10515220881905671575</stp>
        <tr r="I32" s="29"/>
        <tr r="G34" s="5"/>
      </tp>
      <tp t="e">
        <v>#N/A</v>
        <stp/>
        <stp>BDH|13781912940636210237</stp>
        <tr r="Q96" s="12"/>
      </tp>
      <tp t="e">
        <v>#N/A</v>
        <stp/>
        <stp>BDH|13779788300386903816</stp>
        <tr r="M79" s="18"/>
      </tp>
      <tp t="e">
        <v>#N/A</v>
        <stp/>
        <stp>BDH|12531889587751451992</stp>
        <tr r="U10" s="27"/>
        <tr r="U25" s="25"/>
      </tp>
      <tp t="e">
        <v>#N/A</v>
        <stp/>
        <stp>BDH|11141616325969726653</stp>
        <tr r="N98" s="12"/>
      </tp>
      <tp t="e">
        <v>#N/A</v>
        <stp/>
        <stp>BDH|12694126741075559873</stp>
        <tr r="N62" s="12"/>
      </tp>
      <tp t="e">
        <v>#N/A</v>
        <stp/>
        <stp>BDH|18432455118945852263</stp>
        <tr r="AA155" s="18"/>
      </tp>
      <tp t="e">
        <v>#N/A</v>
        <stp/>
        <stp>BDH|14485753014339641145</stp>
        <tr r="X57" s="6"/>
      </tp>
      <tp t="e">
        <v>#N/A</v>
        <stp/>
        <stp>BDH|18245121881423492820</stp>
        <tr r="N45" s="12"/>
      </tp>
      <tp t="e">
        <v>#N/A</v>
        <stp/>
        <stp>BDH|13872058693422972204</stp>
        <tr r="W47" s="21"/>
      </tp>
      <tp t="e">
        <v>#N/A</v>
        <stp/>
        <stp>BDH|13969889775802314409</stp>
        <tr r="S51" s="21"/>
      </tp>
      <tp t="e">
        <v>#N/A</v>
        <stp/>
        <stp>BDH|11344576291723220408</stp>
        <tr r="X11" s="18"/>
      </tp>
      <tp t="e">
        <v>#N/A</v>
        <stp/>
        <stp>BDH|14489123249849146299</stp>
        <tr r="O14" s="6"/>
      </tp>
      <tp t="e">
        <v>#N/A</v>
        <stp/>
        <stp>BDH|14517561377254699855</stp>
        <tr r="I20" s="22"/>
      </tp>
      <tp t="e">
        <v>#N/A</v>
        <stp/>
        <stp>BDH|15377636389924705596</stp>
        <tr r="M66" s="12"/>
      </tp>
      <tp t="e">
        <v>#N/A</v>
        <stp/>
        <stp>BDH|16340685486763891121</stp>
        <tr r="F15" s="21"/>
      </tp>
      <tp t="e">
        <v>#N/A</v>
        <stp/>
        <stp>BDH|11768512307806126872</stp>
        <tr r="U68" s="24"/>
      </tp>
      <tp t="e">
        <v>#N/A</v>
        <stp/>
        <stp>BDH|11374942029318839819</stp>
        <tr r="J18" s="21"/>
      </tp>
      <tp t="e">
        <v>#N/A</v>
        <stp/>
        <stp>BDH|15624144175580372938</stp>
        <tr r="R56" s="24"/>
      </tp>
      <tp t="e">
        <v>#N/A</v>
        <stp/>
        <stp>BDH|17442482184916918762</stp>
        <tr r="K165" s="18"/>
      </tp>
      <tp t="e">
        <v>#N/A</v>
        <stp/>
        <stp>BDH|13084864094718320065</stp>
        <tr r="P21" s="22"/>
      </tp>
      <tp t="e">
        <v>#N/A</v>
        <stp/>
        <stp>BDH|16231395589715158247</stp>
        <tr r="U15" s="18"/>
      </tp>
      <tp t="e">
        <v>#N/A</v>
        <stp/>
        <stp>BDH|12721126447104430915</stp>
        <tr r="V31" s="9"/>
      </tp>
      <tp t="e">
        <v>#N/A</v>
        <stp/>
        <stp>BDH|17522330228765100986</stp>
        <tr r="K72" s="24"/>
      </tp>
      <tp t="e">
        <v>#N/A</v>
        <stp/>
        <stp>BDH|11235505035304114917</stp>
        <tr r="X21" s="14"/>
      </tp>
      <tp t="e">
        <v>#N/A</v>
        <stp/>
        <stp>BDH|12915687475691245816</stp>
        <tr r="I8" s="26"/>
        <tr r="F10" s="9"/>
      </tp>
      <tp t="e">
        <v>#N/A</v>
        <stp/>
        <stp>BDH|10319012375574169912</stp>
        <tr r="J89" s="17"/>
      </tp>
      <tp t="e">
        <v>#N/A</v>
        <stp/>
        <stp>BDH|13402833918237167796</stp>
        <tr r="C72" s="34"/>
      </tp>
      <tp t="e">
        <v>#N/A</v>
        <stp/>
        <stp>BDH|17462254860259321053</stp>
        <tr r="I159" s="18"/>
      </tp>
      <tp t="e">
        <v>#N/A</v>
        <stp/>
        <stp>BDH|11752471989451789699</stp>
        <tr r="V105" s="12"/>
      </tp>
      <tp t="e">
        <v>#N/A</v>
        <stp/>
        <stp>BDH|14245471095287130464</stp>
        <tr r="K58" s="13"/>
        <tr r="I47" s="11"/>
        <tr r="I56" s="10"/>
        <tr r="I17" s="7"/>
        <tr r="I17" s="4"/>
        <tr r="K10" s="3"/>
      </tp>
      <tp t="e">
        <v>#N/A</v>
        <stp/>
        <stp>BDH|13272355350316219920</stp>
        <tr r="V67" s="12"/>
      </tp>
      <tp t="e">
        <v>#N/A</v>
        <stp/>
        <stp>BDH|18382458580546666873</stp>
        <tr r="O139" s="18"/>
      </tp>
      <tp t="e">
        <v>#N/A</v>
        <stp/>
        <stp>BDH|14631274195412120726</stp>
        <tr r="M68" s="18"/>
      </tp>
      <tp t="e">
        <v>#N/A</v>
        <stp/>
        <stp>BDH|11485672681266465319</stp>
        <tr r="Y59" s="34"/>
      </tp>
      <tp t="e">
        <v>#N/A</v>
        <stp/>
        <stp>BDH|12368839084699573169</stp>
        <tr r="M6" s="28"/>
      </tp>
      <tp t="e">
        <v>#N/A</v>
        <stp/>
        <stp>BDH|14469154022755105853</stp>
        <tr r="U12" s="24"/>
      </tp>
      <tp t="e">
        <v>#N/A</v>
        <stp/>
        <stp>BDH|15514777795014529552</stp>
        <tr r="X71" s="18"/>
      </tp>
      <tp t="e">
        <v>#N/A</v>
        <stp/>
        <stp>BDH|15567241283395269074</stp>
        <tr r="K51" s="21"/>
      </tp>
      <tp t="e">
        <v>#N/A</v>
        <stp/>
        <stp>BDH|10364319697867319713</stp>
        <tr r="P66" s="12"/>
      </tp>
      <tp t="e">
        <v>#N/A</v>
        <stp/>
        <stp>BDH|12759560636088259625</stp>
        <tr r="R15" s="4"/>
      </tp>
      <tp t="e">
        <v>#N/A</v>
        <stp/>
        <stp>BDH|16541870764482351021</stp>
        <tr r="Q26" s="14"/>
      </tp>
      <tp t="e">
        <v>#N/A</v>
        <stp/>
        <stp>BDH|15783536541829417763</stp>
        <tr r="N70" s="34"/>
      </tp>
      <tp t="e">
        <v>#N/A</v>
        <stp/>
        <stp>BDH|13008805403022078359</stp>
        <tr r="H16" s="14"/>
      </tp>
      <tp t="e">
        <v>#N/A</v>
        <stp/>
        <stp>BDH|10507052752948037743</stp>
        <tr r="G182" s="18"/>
      </tp>
      <tp t="e">
        <v>#N/A</v>
        <stp/>
        <stp>BDH|12959487659249820068</stp>
        <tr r="S30" s="18"/>
      </tp>
      <tp t="e">
        <v>#N/A</v>
        <stp/>
        <stp>BDH|14262748648334923915</stp>
        <tr r="W16" s="10"/>
      </tp>
      <tp t="e">
        <v>#N/A</v>
        <stp/>
        <stp>BDH|14651968841695724603</stp>
        <tr r="D15" s="22"/>
      </tp>
      <tp t="e">
        <v>#N/A</v>
        <stp/>
        <stp>BDH|11106996219800535327</stp>
        <tr r="F55" s="24"/>
      </tp>
      <tp t="e">
        <v>#N/A</v>
        <stp/>
        <stp>BDH|11792891518297443547</stp>
        <tr r="S27" s="21"/>
      </tp>
      <tp t="e">
        <v>#N/A</v>
        <stp/>
        <stp>BDH|11439840657212211439</stp>
        <tr r="X45" s="22"/>
      </tp>
      <tp t="e">
        <v>#N/A</v>
        <stp/>
        <stp>BDH|12193909806836597748</stp>
        <tr r="N57" s="18"/>
      </tp>
      <tp t="e">
        <v>#N/A</v>
        <stp/>
        <stp>BDH|16793829344668513828</stp>
        <tr r="K20" s="5"/>
      </tp>
      <tp t="e">
        <v>#N/A</v>
        <stp/>
        <stp>BDH|10205884418543790036</stp>
        <tr r="G30" s="9"/>
        <tr r="G30" s="5"/>
      </tp>
      <tp t="e">
        <v>#N/A</v>
        <stp/>
        <stp>BDH|10520715094812096668</stp>
        <tr r="L17" s="30"/>
      </tp>
      <tp t="e">
        <v>#N/A</v>
        <stp/>
        <stp>BDH|16243585835292984805</stp>
        <tr r="I40" s="24"/>
      </tp>
      <tp t="e">
        <v>#N/A</v>
        <stp/>
        <stp>BDH|17528676490886667424</stp>
        <tr r="R84" s="12"/>
      </tp>
      <tp t="e">
        <v>#N/A</v>
        <stp/>
        <stp>BDH|13800273488051186206</stp>
        <tr r="Q75" s="34"/>
      </tp>
      <tp t="e">
        <v>#N/A</v>
        <stp/>
        <stp>BDH|17266273855899560336</stp>
        <tr r="P119" s="12"/>
      </tp>
      <tp t="e">
        <v>#N/A</v>
        <stp/>
        <stp>BDH|12218859030687713462</stp>
        <tr r="M114" s="12"/>
      </tp>
      <tp t="e">
        <v>#N/A</v>
        <stp/>
        <stp>BDH|18064317442853347660</stp>
        <tr r="Y49" s="24"/>
      </tp>
      <tp t="e">
        <v>#N/A</v>
        <stp/>
        <stp>BDH|11686025194465712714</stp>
        <tr r="T41" s="17"/>
      </tp>
      <tp t="e">
        <v>#N/A</v>
        <stp/>
        <stp>BDH|14221844450620844388</stp>
        <tr r="U165" s="18"/>
      </tp>
      <tp t="e">
        <v>#N/A</v>
        <stp/>
        <stp>BDH|10026749469433948828</stp>
        <tr r="U46" s="17"/>
      </tp>
      <tp t="e">
        <v>#N/A</v>
        <stp/>
        <stp>BDH|14622863551032026170</stp>
        <tr r="W7" s="14"/>
      </tp>
      <tp t="e">
        <v>#N/A</v>
        <stp/>
        <stp>BDH|18110722403917317259</stp>
        <tr r="W75" s="18"/>
      </tp>
      <tp t="e">
        <v>#N/A</v>
        <stp/>
        <stp>BDH|11040681569329478230</stp>
        <tr r="R100" s="12"/>
      </tp>
      <tp t="e">
        <v>#N/A</v>
        <stp/>
        <stp>BDH|10915891521822798200</stp>
        <tr r="D25" s="11"/>
        <tr r="D34" s="10"/>
      </tp>
      <tp t="e">
        <v>#N/A</v>
        <stp/>
        <stp>BDH|15368465063798646561</stp>
        <tr r="F51" s="21"/>
      </tp>
      <tp t="e">
        <v>#N/A</v>
        <stp/>
        <stp>BDH|11289589946713947933</stp>
        <tr r="Z12" s="24"/>
      </tp>
      <tp t="e">
        <v>#N/A</v>
        <stp/>
        <stp>BDH|16308875639505905220</stp>
        <tr r="R9" s="20"/>
        <tr r="R119" s="18"/>
      </tp>
      <tp t="e">
        <v>#N/A</v>
        <stp/>
        <stp>BDH|15878965377398868977</stp>
        <tr r="V9" s="24"/>
      </tp>
      <tp t="e">
        <v>#N/A</v>
        <stp/>
        <stp>BDH|10914466848658325224</stp>
        <tr r="E63" s="34"/>
      </tp>
      <tp t="e">
        <v>#N/A</v>
        <stp/>
        <stp>BDH|17804500537408928301</stp>
        <tr r="AA10" s="17"/>
      </tp>
      <tp t="e">
        <v>#N/A</v>
        <stp/>
        <stp>BDH|14333906857272069026</stp>
        <tr r="U59" s="13"/>
      </tp>
      <tp t="e">
        <v>#N/A</v>
        <stp/>
        <stp>BDH|15810986136395808083</stp>
        <tr r="Q179" s="18"/>
      </tp>
      <tp t="e">
        <v>#N/A</v>
        <stp/>
        <stp>BDH|12869395363244421905</stp>
        <tr r="K125" s="18"/>
      </tp>
      <tp t="e">
        <v>#N/A</v>
        <stp/>
        <stp>BDH|16664926831253716545</stp>
        <tr r="Z131" s="18"/>
      </tp>
      <tp t="e">
        <v>#N/A</v>
        <stp/>
        <stp>BDH|13401145793546505706</stp>
        <tr r="C71" s="18"/>
      </tp>
      <tp t="e">
        <v>#N/A</v>
        <stp/>
        <stp>BDH|12731949673793038568</stp>
        <tr r="U55" s="21"/>
      </tp>
      <tp t="e">
        <v>#N/A</v>
        <stp/>
        <stp>BDH|12099768610159205725</stp>
        <tr r="N64" s="24"/>
      </tp>
      <tp t="e">
        <v>#N/A</v>
        <stp/>
        <stp>BDH|18105893467785896918</stp>
        <tr r="E7" s="21"/>
      </tp>
      <tp t="e">
        <v>#N/A</v>
        <stp/>
        <stp>BDH|12322057095127465617</stp>
        <tr r="W30" s="11"/>
        <tr r="W39" s="10"/>
      </tp>
      <tp t="e">
        <v>#N/A</v>
        <stp/>
        <stp>BDH|12274899722437991566</stp>
        <tr r="U33" s="14"/>
      </tp>
      <tp t="e">
        <v>#N/A</v>
        <stp/>
        <stp>BDH|18376038202595837732</stp>
        <tr r="H39" s="13"/>
        <tr r="F32" s="10"/>
      </tp>
      <tp t="e">
        <v>#N/A</v>
        <stp/>
        <stp>BDH|10794349786808426981</stp>
        <tr r="Z10" s="26"/>
      </tp>
      <tp t="e">
        <v>#N/A</v>
        <stp/>
        <stp>BDH|13728676697290752698</stp>
        <tr r="G55" s="21"/>
      </tp>
      <tp t="e">
        <v>#N/A</v>
        <stp/>
        <stp>BDH|12787424538848567718</stp>
        <tr r="X16" s="28"/>
        <tr r="X13" s="17"/>
      </tp>
      <tp t="e">
        <v>#N/A</v>
        <stp/>
        <stp>BDH|15023635533549080390</stp>
        <tr r="F20" s="14"/>
      </tp>
      <tp t="e">
        <v>#N/A</v>
        <stp/>
        <stp>BDH|16354518736083535987</stp>
        <tr r="L9" s="8"/>
        <tr r="J52" s="6"/>
      </tp>
      <tp t="e">
        <v>#N/A</v>
        <stp/>
        <stp>BDH|13989531506349021551</stp>
        <tr r="AA83" s="18"/>
      </tp>
      <tp t="e">
        <v>#N/A</v>
        <stp/>
        <stp>BDH|16916078992660600536</stp>
        <tr r="P34" s="29"/>
      </tp>
      <tp t="e">
        <v>#N/A</v>
        <stp/>
        <stp>BDH|11837988820483870311</stp>
        <tr r="P10" s="22"/>
      </tp>
      <tp t="e">
        <v>#N/A</v>
        <stp/>
        <stp>BDH|18081226310360370182</stp>
        <tr r="S55" s="21"/>
      </tp>
      <tp t="e">
        <v>#N/A</v>
        <stp/>
        <stp>BDH|11214361910421811858</stp>
        <tr r="M99" s="12"/>
      </tp>
      <tp t="e">
        <v>#N/A</v>
        <stp/>
        <stp>BDH|18174577140943718085</stp>
        <tr r="Q127" s="18"/>
      </tp>
      <tp t="e">
        <v>#N/A</v>
        <stp/>
        <stp>BDH|16867148243728005164</stp>
        <tr r="E28" s="34"/>
      </tp>
      <tp t="e">
        <v>#N/A</v>
        <stp/>
        <stp>BDH|11199576180437613199</stp>
        <tr r="X14" s="6"/>
      </tp>
      <tp t="e">
        <v>#N/A</v>
        <stp/>
        <stp>BDH|15842493012023248980</stp>
        <tr r="T43" s="12"/>
      </tp>
      <tp t="e">
        <v>#N/A</v>
        <stp/>
        <stp>BDH|18093035285923851973</stp>
        <tr r="R6" s="6"/>
      </tp>
      <tp t="e">
        <v>#N/A</v>
        <stp/>
        <stp>BDH|13672725624118190488</stp>
        <tr r="V22" s="17"/>
        <tr r="V15" s="3"/>
      </tp>
      <tp t="e">
        <v>#N/A</v>
        <stp/>
        <stp>BDH|14044883551122213125</stp>
        <tr r="L61" s="34"/>
      </tp>
      <tp t="e">
        <v>#N/A</v>
        <stp/>
        <stp>BDH|14614342287541801444</stp>
        <tr r="S91" s="12"/>
      </tp>
      <tp t="e">
        <v>#N/A</v>
        <stp/>
        <stp>BDH|14585115808487104848</stp>
        <tr r="X18" s="24"/>
      </tp>
      <tp t="e">
        <v>#N/A</v>
        <stp/>
        <stp>BDH|12751056161139238781</stp>
        <tr r="J19" s="6"/>
      </tp>
      <tp t="e">
        <v>#N/A</v>
        <stp/>
        <stp>BDH|14011375060533965877</stp>
        <tr r="J9" s="20"/>
        <tr r="J119" s="18"/>
      </tp>
      <tp t="e">
        <v>#N/A</v>
        <stp/>
        <stp>BDH|11978357280043574300</stp>
        <tr r="S168" s="18"/>
      </tp>
      <tp t="e">
        <v>#N/A</v>
        <stp/>
        <stp>BDH|10101677174289272294</stp>
        <tr r="Q30" s="18"/>
      </tp>
      <tp t="e">
        <v>#N/A</v>
        <stp/>
        <stp>BDH|12262182848438234596</stp>
        <tr r="S58" s="6"/>
      </tp>
      <tp t="e">
        <v>#N/A</v>
        <stp/>
        <stp>BDH|11764799690694745108</stp>
        <tr r="I27" s="14"/>
      </tp>
      <tp t="e">
        <v>#N/A</v>
        <stp/>
        <stp>BDH|15350030519666158813</stp>
        <tr r="O101" s="18"/>
      </tp>
      <tp t="e">
        <v>#N/A</v>
        <stp/>
        <stp>BDH|14991902170240550059</stp>
        <tr r="X92" s="17"/>
      </tp>
      <tp t="e">
        <v>#N/A</v>
        <stp/>
        <stp>BDH|11819157217939489272</stp>
        <tr r="Q6" s="19"/>
        <tr r="Q37" s="17"/>
        <tr r="Q16" s="3"/>
      </tp>
      <tp t="e">
        <v>#N/A</v>
        <stp/>
        <stp>BDH|13642186346859166509</stp>
        <tr r="Z63" s="34"/>
      </tp>
      <tp t="e">
        <v>#N/A</v>
        <stp/>
        <stp>BDH|13708803661733914461</stp>
        <tr r="F9" s="13"/>
      </tp>
      <tp t="e">
        <v>#N/A</v>
        <stp/>
        <stp>BDH|13877401333889725758</stp>
        <tr r="S22" s="6"/>
      </tp>
      <tp t="e">
        <v>#N/A</v>
        <stp/>
        <stp>BDH|15903713675458279764</stp>
        <tr r="L38" s="6"/>
      </tp>
      <tp t="e">
        <v>#N/A</v>
        <stp/>
        <stp>BDH|10949847038135432485</stp>
        <tr r="N64" s="12"/>
      </tp>
      <tp t="e">
        <v>#N/A</v>
        <stp/>
        <stp>BDH|12654304431581794986</stp>
        <tr r="L214" s="18"/>
      </tp>
      <tp t="e">
        <v>#N/A</v>
        <stp/>
        <stp>BDH|13236201317339439399</stp>
        <tr r="Q93" s="12"/>
      </tp>
      <tp t="e">
        <v>#N/A</v>
        <stp/>
        <stp>BDH|14026366048718018169</stp>
        <tr r="Z35" s="22"/>
      </tp>
      <tp t="e">
        <v>#N/A</v>
        <stp/>
        <stp>BDH|13002114068038395626</stp>
        <tr r="V26" s="17"/>
      </tp>
      <tp t="e">
        <v>#N/A</v>
        <stp/>
        <stp>BDH|15007443688512747139</stp>
        <tr r="Y49" s="4"/>
      </tp>
      <tp t="e">
        <v>#N/A</v>
        <stp/>
        <stp>BDH|11681811597418061281</stp>
        <tr r="P134" s="18"/>
      </tp>
      <tp t="e">
        <v>#N/A</v>
        <stp/>
        <stp>BDH|14391079966458840029</stp>
        <tr r="O12" s="11"/>
      </tp>
      <tp t="e">
        <v>#N/A</v>
        <stp/>
        <stp>BDH|14401913835016881202</stp>
        <tr r="AA38" s="21"/>
        <tr r="AA24" s="3"/>
      </tp>
      <tp t="e">
        <v>#N/A</v>
        <stp/>
        <stp>BDH|13154164248549057578</stp>
        <tr r="C41" s="12"/>
      </tp>
      <tp t="e">
        <v>#N/A</v>
        <stp/>
        <stp>BDH|14289294200895357908</stp>
        <tr r="P10" s="27"/>
        <tr r="P25" s="25"/>
      </tp>
      <tp t="e">
        <v>#N/A</v>
        <stp/>
        <stp>BDH|10171604664128456298</stp>
        <tr r="F62" s="12"/>
      </tp>
      <tp t="e">
        <v>#N/A</v>
        <stp/>
        <stp>BDH|15909999140730169297</stp>
        <tr r="N36" s="12"/>
      </tp>
      <tp t="e">
        <v>#N/A</v>
        <stp/>
        <stp>BDH|10072285991541018018</stp>
        <tr r="R9" s="29"/>
      </tp>
      <tp t="e">
        <v>#N/A</v>
        <stp/>
        <stp>BDH|14952647301758232068</stp>
        <tr r="H57" s="6"/>
      </tp>
      <tp t="e">
        <v>#N/A</v>
        <stp/>
        <stp>BDH|12585945165811410689</stp>
        <tr r="Q24" s="18"/>
      </tp>
      <tp t="e">
        <v>#N/A</v>
        <stp/>
        <stp>BDH|11900705460842290838</stp>
        <tr r="Q33" s="12"/>
      </tp>
      <tp t="e">
        <v>#N/A</v>
        <stp/>
        <stp>BDH|17900111027079658717</stp>
        <tr r="X24" s="17"/>
      </tp>
      <tp t="e">
        <v>#N/A</v>
        <stp/>
        <stp>BDH|14610406236540121993</stp>
        <tr r="X92" s="12"/>
      </tp>
      <tp t="e">
        <v>#N/A</v>
        <stp/>
        <stp>BDH|14929270524887593972</stp>
        <tr r="O32" s="5"/>
      </tp>
      <tp t="e">
        <v>#N/A</v>
        <stp/>
        <stp>BDH|11427847662422354794</stp>
        <tr r="Y30" s="21"/>
      </tp>
      <tp t="e">
        <v>#N/A</v>
        <stp/>
        <stp>BDH|16012528533202935808</stp>
        <tr r="N30" s="26"/>
      </tp>
      <tp t="e">
        <v>#N/A</v>
        <stp/>
        <stp>BDH|18316907829810390910</stp>
        <tr r="U54" s="13"/>
      </tp>
      <tp t="e">
        <v>#N/A</v>
        <stp/>
        <stp>BDH|16848007599372954702</stp>
        <tr r="Y83" s="12"/>
      </tp>
      <tp t="e">
        <v>#N/A</v>
        <stp/>
        <stp>BDH|12778260310062110980</stp>
        <tr r="E92" s="18"/>
      </tp>
      <tp t="e">
        <v>#N/A</v>
        <stp/>
        <stp>BDH|17638783426579512152</stp>
        <tr r="D30" s="26"/>
      </tp>
      <tp t="e">
        <v>#N/A</v>
        <stp/>
        <stp>BDH|11294479496146364081</stp>
        <tr r="AA48" s="17"/>
      </tp>
      <tp t="e">
        <v>#N/A</v>
        <stp/>
        <stp>BDH|14987750980984165551</stp>
        <tr r="X25" s="34"/>
      </tp>
      <tp t="e">
        <v>#N/A</v>
        <stp/>
        <stp>BDH|14410102899533641537</stp>
        <tr r="O41" s="12"/>
      </tp>
      <tp t="e">
        <v>#N/A</v>
        <stp/>
        <stp>BDH|15513037788005145277</stp>
        <tr r="T7" s="28"/>
      </tp>
      <tp t="e">
        <v>#N/A</v>
        <stp/>
        <stp>BDH|16413688204628082202</stp>
        <tr r="Y32" s="17"/>
      </tp>
      <tp t="e">
        <v>#N/A</v>
        <stp/>
        <stp>BDH|15978376449171824976</stp>
        <tr r="S16" s="6"/>
      </tp>
      <tp t="e">
        <v>#N/A</v>
        <stp/>
        <stp>BDH|10146098200882594859</stp>
        <tr r="F17" s="24"/>
      </tp>
      <tp t="e">
        <v>#N/A</v>
        <stp/>
        <stp>BDH|14737008311156997977</stp>
        <tr r="E32" s="18"/>
      </tp>
      <tp t="e">
        <v>#N/A</v>
        <stp/>
        <stp>BDH|17063304262550255886</stp>
        <tr r="W96" s="18"/>
      </tp>
      <tp t="e">
        <v>#N/A</v>
        <stp/>
        <stp>BDH|17523428431643603988</stp>
        <tr r="L56" s="6"/>
      </tp>
      <tp t="e">
        <v>#N/A</v>
        <stp/>
        <stp>BDH|10825852990833373855</stp>
        <tr r="X195" s="18"/>
      </tp>
      <tp t="e">
        <v>#N/A</v>
        <stp/>
        <stp>BDH|18008808779275799859</stp>
        <tr r="Y24" s="29"/>
      </tp>
      <tp t="e">
        <v>#N/A</v>
        <stp/>
        <stp>BDH|17443434274987109993</stp>
        <tr r="E42" s="11"/>
        <tr r="E51" s="10"/>
        <tr r="E14" s="7"/>
        <tr r="G9" s="3"/>
      </tp>
      <tp t="e">
        <v>#N/A</v>
        <stp/>
        <stp>BDH|11279855587453271899</stp>
        <tr r="U90" s="24"/>
      </tp>
      <tp t="e">
        <v>#N/A</v>
        <stp/>
        <stp>BDH|12082807301468347891</stp>
        <tr r="P75" s="17"/>
      </tp>
      <tp t="e">
        <v>#N/A</v>
        <stp/>
        <stp>BDH|15852359380664670001</stp>
        <tr r="I101" s="12"/>
      </tp>
      <tp t="e">
        <v>#N/A</v>
        <stp/>
        <stp>BDH|10168065890175576696</stp>
        <tr r="S42" s="22"/>
      </tp>
      <tp t="e">
        <v>#N/A</v>
        <stp/>
        <stp>BDH|13811556665102507864</stp>
        <tr r="X10" s="10"/>
      </tp>
      <tp t="e">
        <v>#N/A</v>
        <stp/>
        <stp>BDH|17838946656073544240</stp>
        <tr r="G10" s="22"/>
      </tp>
      <tp t="e">
        <v>#N/A</v>
        <stp/>
        <stp>BDH|14060597177098294479</stp>
        <tr r="H22" s="11"/>
      </tp>
      <tp t="e">
        <v>#N/A</v>
        <stp/>
        <stp>BDH|17649543278706512940</stp>
        <tr r="H64" s="21"/>
      </tp>
      <tp t="e">
        <v>#N/A</v>
        <stp/>
        <stp>BDH|15497291187242725769</stp>
        <tr r="W33" s="21"/>
      </tp>
      <tp t="e">
        <v>#N/A</v>
        <stp/>
        <stp>BDH|18076485311767132037</stp>
        <tr r="S72" s="17"/>
      </tp>
      <tp t="e">
        <v>#N/A</v>
        <stp/>
        <stp>BDH|17379195185240732433</stp>
        <tr r="C32" s="5"/>
      </tp>
      <tp t="e">
        <v>#N/A</v>
        <stp/>
        <stp>BDH|11297386990888872990</stp>
        <tr r="R75" s="12"/>
      </tp>
      <tp t="e">
        <v>#N/A</v>
        <stp/>
        <stp>BDH|13225974505606221692</stp>
        <tr r="X42" s="12"/>
      </tp>
      <tp t="e">
        <v>#N/A</v>
        <stp/>
        <stp>BDH|12138802278731185639</stp>
        <tr r="L11" s="17"/>
      </tp>
      <tp t="e">
        <v>#N/A</v>
        <stp/>
        <stp>BDH|17484289046179353222</stp>
        <tr r="L97" s="18"/>
      </tp>
      <tp t="e">
        <v>#N/A</v>
        <stp/>
        <stp>BDH|10436039540969516795</stp>
        <tr r="X73" s="12"/>
      </tp>
      <tp t="e">
        <v>#N/A</v>
        <stp/>
        <stp>BDH|13076069488891587008</stp>
        <tr r="I79" s="17"/>
        <tr r="F9" s="9"/>
        <tr r="F9" s="5"/>
      </tp>
      <tp t="e">
        <v>#N/A</v>
        <stp/>
        <stp>BDH|16320191855681477907</stp>
        <tr r="N38" s="12"/>
      </tp>
      <tp t="e">
        <v>#N/A</v>
        <stp/>
        <stp>BDH|14319270589486779216</stp>
        <tr r="C95" s="18"/>
      </tp>
      <tp t="e">
        <v>#N/A</v>
        <stp/>
        <stp>BDH|10906542211308578622</stp>
        <tr r="Z97" s="18"/>
      </tp>
      <tp t="e">
        <v>#N/A</v>
        <stp/>
        <stp>BDH|14969950688636937967</stp>
        <tr r="X148" s="18"/>
      </tp>
      <tp t="e">
        <v>#N/A</v>
        <stp/>
        <stp>BDH|12779051989749656960</stp>
        <tr r="G160" s="18"/>
      </tp>
      <tp t="e">
        <v>#N/A</v>
        <stp/>
        <stp>BDH|11542073895895446790</stp>
        <tr r="M160" s="18"/>
      </tp>
      <tp t="e">
        <v>#N/A</v>
        <stp/>
        <stp>BDH|10544181170674412839</stp>
        <tr r="E9" s="26"/>
      </tp>
      <tp t="e">
        <v>#N/A</v>
        <stp/>
        <stp>BDH|15990305016354717925</stp>
        <tr r="S35" s="13"/>
        <tr r="Q28" s="10"/>
      </tp>
      <tp t="e">
        <v>#N/A</v>
        <stp/>
        <stp>BDH|11180567465038872002</stp>
        <tr r="O21" s="12"/>
      </tp>
      <tp t="e">
        <v>#N/A</v>
        <stp/>
        <stp>BDH|15944446563589066448</stp>
        <tr r="Q27" s="12"/>
      </tp>
      <tp t="e">
        <v>#N/A</v>
        <stp/>
        <stp>BDH|14522535711093595986</stp>
        <tr r="F53" s="13"/>
      </tp>
      <tp t="e">
        <v>#N/A</v>
        <stp/>
        <stp>BDH|17561449636693458994</stp>
        <tr r="M65" s="18"/>
      </tp>
      <tp t="e">
        <v>#N/A</v>
        <stp/>
        <stp>BDH|12810646567439496154</stp>
        <tr r="Q45" s="21"/>
      </tp>
      <tp t="e">
        <v>#N/A</v>
        <stp/>
        <stp>BDH|16249301084981509691</stp>
        <tr r="F130" s="18"/>
      </tp>
      <tp t="e">
        <v>#N/A</v>
        <stp/>
        <stp>BDH|13158528792656828334</stp>
        <tr r="Z115" s="18"/>
      </tp>
      <tp t="e">
        <v>#N/A</v>
        <stp/>
        <stp>BDH|15065718509051369914</stp>
        <tr r="S64" s="21"/>
      </tp>
      <tp t="e">
        <v>#N/A</v>
        <stp/>
        <stp>BDH|17307945612584947168</stp>
        <tr r="C44" s="12"/>
      </tp>
      <tp t="e">
        <v>#N/A</v>
        <stp/>
        <stp>BDH|18353287215920348173</stp>
        <tr r="L61" s="21"/>
      </tp>
      <tp t="e">
        <v>#N/A</v>
        <stp/>
        <stp>BDH|13912963262724508229</stp>
        <tr r="L17" s="6"/>
      </tp>
      <tp t="e">
        <v>#N/A</v>
        <stp/>
        <stp>BDH|10589930896588889229</stp>
        <tr r="P41" s="17"/>
      </tp>
      <tp t="e">
        <v>#N/A</v>
        <stp/>
        <stp>BDH|16722633833991435899</stp>
        <tr r="I119" s="12"/>
      </tp>
      <tp t="e">
        <v>#N/A</v>
        <stp/>
        <stp>BDH|17581695515852413876</stp>
        <tr r="Q103" s="18"/>
      </tp>
      <tp t="e">
        <v>#N/A</v>
        <stp/>
        <stp>BDH|17618455488353531245</stp>
        <tr r="S28" s="4"/>
      </tp>
      <tp t="e">
        <v>#N/A</v>
        <stp/>
        <stp>BDH|14777019424839953512</stp>
        <tr r="M18" s="28"/>
        <tr r="M15" s="17"/>
      </tp>
      <tp t="e">
        <v>#N/A</v>
        <stp/>
        <stp>BDH|15447957958826493572</stp>
        <tr r="G24" s="17"/>
      </tp>
      <tp t="e">
        <v>#N/A</v>
        <stp/>
        <stp>BDH|12540868761100993614</stp>
        <tr r="T13" s="18"/>
      </tp>
      <tp t="e">
        <v>#N/A</v>
        <stp/>
        <stp>BDH|13765275868489031423</stp>
        <tr r="D9" s="14"/>
      </tp>
      <tp t="e">
        <v>#N/A</v>
        <stp/>
        <stp>BDH|13860356520048273051</stp>
        <tr r="V82" s="24"/>
      </tp>
      <tp t="e">
        <v>#N/A</v>
        <stp/>
        <stp>BDH|15830451430711328942</stp>
        <tr r="R85" s="18"/>
      </tp>
      <tp t="e">
        <v>#N/A</v>
        <stp/>
        <stp>BDH|16573954822756030182</stp>
        <tr r="E51" s="13"/>
      </tp>
      <tp t="e">
        <v>#N/A</v>
        <stp/>
        <stp>BDH|14437639333892636984</stp>
        <tr r="T58" s="24"/>
      </tp>
      <tp t="e">
        <v>#N/A</v>
        <stp/>
        <stp>BDH|12225489004185790948</stp>
        <tr r="T25" s="13"/>
      </tp>
      <tp t="e">
        <v>#N/A</v>
        <stp/>
        <stp>BDH|17191587863506416831</stp>
        <tr r="S21" s="4"/>
      </tp>
      <tp t="e">
        <v>#N/A</v>
        <stp/>
        <stp>BDH|17610741094995332680</stp>
        <tr r="J93" s="12"/>
      </tp>
      <tp t="e">
        <v>#N/A</v>
        <stp/>
        <stp>BDH|18052860008863766941</stp>
        <tr r="R44" s="11"/>
        <tr r="R53" s="10"/>
        <tr r="R16" s="7"/>
      </tp>
      <tp t="e">
        <v>#N/A</v>
        <stp/>
        <stp>BDH|15188960149171222313</stp>
        <tr r="J182" s="18"/>
      </tp>
      <tp t="e">
        <v>#N/A</v>
        <stp/>
        <stp>BDH|15859574905903507920</stp>
        <tr r="Z14" s="20"/>
        <tr r="Z123" s="18"/>
      </tp>
      <tp t="e">
        <v>#N/A</v>
        <stp/>
        <stp>BDH|13999431392645030152</stp>
        <tr r="N47" s="18"/>
      </tp>
      <tp t="e">
        <v>#N/A</v>
        <stp/>
        <stp>BDH|11985996101620842241</stp>
        <tr r="U6" s="16"/>
        <tr r="V6" s="11"/>
        <tr r="V10" s="4"/>
        <tr r="X6" s="3"/>
      </tp>
      <tp t="e">
        <v>#N/A</v>
        <stp/>
        <stp>BDH|11617600713485008988</stp>
        <tr r="N105" s="12"/>
      </tp>
      <tp t="e">
        <v>#N/A</v>
        <stp/>
        <stp>BDH|10996723420187007867</stp>
        <tr r="F20" s="22"/>
      </tp>
      <tp t="e">
        <v>#N/A</v>
        <stp/>
        <stp>BDH|17498983577747490428</stp>
        <tr r="F53" s="17"/>
      </tp>
      <tp t="e">
        <v>#N/A</v>
        <stp/>
        <stp>BDH|15701602717661508988</stp>
        <tr r="F9" s="23"/>
      </tp>
      <tp t="e">
        <v>#N/A</v>
        <stp/>
        <stp>BDH|17031338318588422720</stp>
        <tr r="W72" s="17"/>
      </tp>
      <tp t="e">
        <v>#N/A</v>
        <stp/>
        <stp>BDH|14936935557296466441</stp>
        <tr r="O55" s="34"/>
      </tp>
      <tp t="e">
        <v>#N/A</v>
        <stp/>
        <stp>BDH|11515567894472382599</stp>
        <tr r="H65" s="21"/>
        <tr r="F23" s="7"/>
      </tp>
      <tp t="e">
        <v>#N/A</v>
        <stp/>
        <stp>BDH|15124845359943285135</stp>
        <tr r="F40" s="18"/>
      </tp>
      <tp t="e">
        <v>#N/A</v>
        <stp/>
        <stp>BDH|10956021259667702881</stp>
        <tr r="V43" s="21"/>
      </tp>
      <tp t="e">
        <v>#N/A</v>
        <stp/>
        <stp>BDH|11480027532981931907</stp>
        <tr r="AA34" s="18"/>
      </tp>
      <tp t="e">
        <v>#N/A</v>
        <stp/>
        <stp>BDH|17225434960509926653</stp>
        <tr r="K15" s="18"/>
      </tp>
      <tp t="e">
        <v>#N/A</v>
        <stp/>
        <stp>BDH|17607094036149039744</stp>
        <tr r="U36" s="12"/>
      </tp>
      <tp t="e">
        <v>#N/A</v>
        <stp/>
        <stp>BDH|15117840778224306431</stp>
        <tr r="N42" s="11"/>
        <tr r="N51" s="10"/>
        <tr r="N14" s="7"/>
        <tr r="P9" s="3"/>
      </tp>
      <tp t="e">
        <v>#N/A</v>
        <stp/>
        <stp>BDH|16090269198882216518</stp>
        <tr r="D174" s="18"/>
      </tp>
      <tp t="e">
        <v>#N/A</v>
        <stp/>
        <stp>BDH|10541274363798402686</stp>
        <tr r="Y16" s="22"/>
      </tp>
      <tp t="e">
        <v>#N/A</v>
        <stp/>
        <stp>BDH|10749739918698530449</stp>
        <tr r="AA18" s="27"/>
        <tr r="AA32" s="25"/>
      </tp>
      <tp t="e">
        <v>#N/A</v>
        <stp/>
        <stp>BDH|11060185683627302554</stp>
        <tr r="Z35" s="25"/>
      </tp>
      <tp t="e">
        <v>#N/A</v>
        <stp/>
        <stp>BDH|14853754213858490070</stp>
        <tr r="G208" s="18"/>
      </tp>
      <tp t="e">
        <v>#N/A</v>
        <stp/>
        <stp>BDH|11889608608929879459</stp>
        <tr r="M194" s="18"/>
      </tp>
      <tp t="e">
        <v>#N/A</v>
        <stp/>
        <stp>BDH|18006615439652547500</stp>
        <tr r="L10" s="13"/>
      </tp>
      <tp t="e">
        <v>#N/A</v>
        <stp/>
        <stp>BDH|12658938309633640279</stp>
        <tr r="Q39" s="26"/>
      </tp>
      <tp t="e">
        <v>#N/A</v>
        <stp/>
        <stp>BDH|18376984072264754832</stp>
        <tr r="V61" s="12"/>
      </tp>
      <tp t="e">
        <v>#N/A</v>
        <stp/>
        <stp>BDH|11026074533479892102</stp>
        <tr r="D18" s="9"/>
      </tp>
      <tp t="e">
        <v>#N/A</v>
        <stp/>
        <stp>BDH|16501765999375387756</stp>
        <tr r="U56" s="17"/>
      </tp>
      <tp t="e">
        <v>#N/A</v>
        <stp/>
        <stp>BDH|12794359169628666518</stp>
        <tr r="S87" s="18"/>
      </tp>
      <tp t="e">
        <v>#N/A</v>
        <stp/>
        <stp>BDH|15415586541976855893</stp>
        <tr r="Z66" s="12"/>
      </tp>
      <tp t="e">
        <v>#N/A</v>
        <stp/>
        <stp>BDH|13107618998185548312</stp>
        <tr r="X14" s="34"/>
      </tp>
      <tp t="e">
        <v>#N/A</v>
        <stp/>
        <stp>BDH|15307958001736239092</stp>
        <tr r="W38" s="25"/>
      </tp>
      <tp t="e">
        <v>#N/A</v>
        <stp/>
        <stp>BDH|10402640483696989263</stp>
        <tr r="J51" s="24"/>
      </tp>
      <tp t="e">
        <v>#N/A</v>
        <stp/>
        <stp>BDH|17496232944602793988</stp>
        <tr r="U49" s="21"/>
      </tp>
      <tp t="e">
        <v>#N/A</v>
        <stp/>
        <stp>BDH|12226415298450360549</stp>
        <tr r="K196" s="18"/>
      </tp>
      <tp t="e">
        <v>#N/A</v>
        <stp/>
        <stp>BDH|14485340024918948716</stp>
        <tr r="W27" s="21"/>
      </tp>
      <tp t="e">
        <v>#N/A</v>
        <stp/>
        <stp>BDH|16557706090107107580</stp>
        <tr r="R41" s="29"/>
        <tr r="R18" s="29"/>
      </tp>
      <tp t="e">
        <v>#N/A</v>
        <stp/>
        <stp>BDH|15158772499404422570</stp>
        <tr r="S84" s="12"/>
      </tp>
      <tp t="e">
        <v>#N/A</v>
        <stp/>
        <stp>BDH|17379084866349269236</stp>
        <tr r="F38" s="29"/>
        <tr r="F15" s="29"/>
      </tp>
      <tp t="e">
        <v>#N/A</v>
        <stp/>
        <stp>BDH|16250495797530752170</stp>
        <tr r="L97" s="12"/>
      </tp>
      <tp t="e">
        <v>#N/A</v>
        <stp/>
        <stp>BDH|17051131340429901160</stp>
        <tr r="V21" s="9"/>
      </tp>
      <tp t="e">
        <v>#N/A</v>
        <stp/>
        <stp>BDH|14126782910519343166</stp>
        <tr r="Q11" s="22"/>
      </tp>
      <tp t="e">
        <v>#N/A</v>
        <stp/>
        <stp>BDH|15612889821021075438</stp>
        <tr r="AA28" s="17"/>
      </tp>
      <tp t="e">
        <v>#N/A</v>
        <stp/>
        <stp>BDH|11762787393621247425</stp>
        <tr r="K201" s="18"/>
      </tp>
      <tp t="e">
        <v>#N/A</v>
        <stp/>
        <stp>BDH|11695868325135053493</stp>
        <tr r="K10" s="8"/>
        <tr r="I53" s="6"/>
      </tp>
      <tp t="e">
        <v>#N/A</v>
        <stp/>
        <stp>BDH|17645580491307123623</stp>
        <tr r="S54" s="12"/>
      </tp>
      <tp t="e">
        <v>#N/A</v>
        <stp/>
        <stp>BDH|14785896405772543428</stp>
        <tr r="N50" s="4"/>
      </tp>
      <tp t="e">
        <v>#N/A</v>
        <stp/>
        <stp>BDH|15854836307305652260</stp>
        <tr r="V45" s="13"/>
        <tr r="T29" s="11"/>
        <tr r="T38" s="10"/>
      </tp>
      <tp t="e">
        <v>#N/A</v>
        <stp/>
        <stp>BDH|12326806368073585529</stp>
        <tr r="S39" s="6"/>
      </tp>
      <tp t="e">
        <v>#N/A</v>
        <stp/>
        <stp>BDH|15815081288462481537</stp>
        <tr r="M14" s="4"/>
      </tp>
      <tp t="e">
        <v>#N/A</v>
        <stp/>
        <stp>BDH|11837701834827465875</stp>
        <tr r="AA17" s="13"/>
      </tp>
      <tp t="e">
        <v>#N/A</v>
        <stp/>
        <stp>BDH|10294890449697443192</stp>
        <tr r="R23" s="24"/>
      </tp>
      <tp t="e">
        <v>#N/A</v>
        <stp/>
        <stp>BDH|14331677824353968968</stp>
        <tr r="O122" s="12"/>
      </tp>
      <tp t="e">
        <v>#N/A</v>
        <stp/>
        <stp>BDH|15157217142041522889</stp>
        <tr r="Q67" s="13"/>
      </tp>
      <tp t="e">
        <v>#N/A</v>
        <stp/>
        <stp>BDH|18145572139717889381</stp>
        <tr r="F75" s="24"/>
      </tp>
      <tp t="e">
        <v>#N/A</v>
        <stp/>
        <stp>BDH|14421238189573536742</stp>
        <tr r="L22" s="18"/>
      </tp>
      <tp t="e">
        <v>#N/A</v>
        <stp/>
        <stp>BDH|14778993196657472938</stp>
        <tr r="F134" s="18"/>
      </tp>
      <tp t="e">
        <v>#N/A</v>
        <stp/>
        <stp>BDH|11374104698104587717</stp>
        <tr r="G48" s="21"/>
      </tp>
      <tp t="e">
        <v>#N/A</v>
        <stp/>
        <stp>BDH|10950249327189055354</stp>
        <tr r="T59" s="34"/>
      </tp>
      <tp t="e">
        <v>#N/A</v>
        <stp/>
        <stp>BDH|12051413233438520783</stp>
        <tr r="O157" s="18"/>
      </tp>
      <tp t="e">
        <v>#N/A</v>
        <stp/>
        <stp>BDH|13300076280136811735</stp>
        <tr r="D129" s="18"/>
      </tp>
      <tp t="e">
        <v>#N/A</v>
        <stp/>
        <stp>BDH|13842021582806569729</stp>
        <tr r="S63" s="13"/>
      </tp>
      <tp t="e">
        <v>#N/A</v>
        <stp/>
        <stp>BDH|10530572899123270565</stp>
        <tr r="T28" s="18"/>
      </tp>
      <tp t="e">
        <v>#N/A</v>
        <stp/>
        <stp>BDH|14908697080967982767</stp>
        <tr r="C58" s="12"/>
      </tp>
      <tp t="e">
        <v>#N/A</v>
        <stp/>
        <stp>BDH|16624103067679760290</stp>
        <tr r="I9" s="30"/>
      </tp>
      <tp t="e">
        <v>#N/A</v>
        <stp/>
        <stp>BDH|17825943158659925825</stp>
        <tr r="K10" s="10"/>
      </tp>
      <tp t="e">
        <v>#N/A</v>
        <stp/>
        <stp>BDH|16362473482408812817</stp>
        <tr r="Z161" s="18"/>
      </tp>
      <tp t="e">
        <v>#N/A</v>
        <stp/>
        <stp>BDH|17905518182230440019</stp>
        <tr r="L15" s="34"/>
      </tp>
      <tp t="e">
        <v>#N/A</v>
        <stp/>
        <stp>BDH|17156403600611863861</stp>
        <tr r="D125" s="18"/>
      </tp>
      <tp t="e">
        <v>#N/A</v>
        <stp/>
        <stp>BDH|11980830632150099076</stp>
        <tr r="G55" s="11"/>
      </tp>
      <tp t="e">
        <v>#N/A</v>
        <stp/>
        <stp>BDH|15639984206650308647</stp>
        <tr r="Q33" s="17"/>
      </tp>
      <tp t="e">
        <v>#N/A</v>
        <stp/>
        <stp>BDH|16403390170011107934</stp>
        <tr r="N16" s="6"/>
      </tp>
      <tp t="e">
        <v>#N/A</v>
        <stp/>
        <stp>BDH|11210858428858916994</stp>
        <tr r="T22" s="10"/>
      </tp>
      <tp t="e">
        <v>#N/A</v>
        <stp/>
        <stp>BDH|16348425387593195389</stp>
        <tr r="AA66" s="21"/>
        <tr r="X31" s="6"/>
      </tp>
      <tp t="e">
        <v>#N/A</v>
        <stp/>
        <stp>BDH|15794760218891237859</stp>
        <tr r="I67" s="21"/>
      </tp>
      <tp t="e">
        <v>#N/A</v>
        <stp/>
        <stp>BDH|17502539008309099108</stp>
        <tr r="E25" s="26"/>
      </tp>
      <tp t="e">
        <v>#N/A</v>
        <stp/>
        <stp>BDH|10782446787900840628</stp>
        <tr r="O86" s="12"/>
      </tp>
      <tp t="e">
        <v>#N/A</v>
        <stp/>
        <stp>BDH|16722214475839965043</stp>
        <tr r="N14" s="13"/>
      </tp>
      <tp t="e">
        <v>#N/A</v>
        <stp/>
        <stp>BDH|10144686481256738219</stp>
        <tr r="K16" s="34"/>
      </tp>
      <tp t="e">
        <v>#N/A</v>
        <stp/>
        <stp>BDH|17328581361067490900</stp>
        <tr r="N69" s="10"/>
      </tp>
      <tp t="e">
        <v>#N/A</v>
        <stp/>
        <stp>BDH|16499676840296554882</stp>
        <tr r="N28" s="21"/>
      </tp>
      <tp t="e">
        <v>#N/A</v>
        <stp/>
        <stp>BDH|16104405086798082892</stp>
        <tr r="K8" s="13"/>
      </tp>
      <tp t="e">
        <v>#N/A</v>
        <stp/>
        <stp>BDH|12891750933148535453</stp>
        <tr r="P45" s="18"/>
      </tp>
      <tp t="e">
        <v>#N/A</v>
        <stp/>
        <stp>BDH|12532497393400097511</stp>
        <tr r="H23" s="20"/>
      </tp>
      <tp t="e">
        <v>#N/A</v>
        <stp/>
        <stp>BDH|17463387193946640174</stp>
        <tr r="T29" s="21"/>
      </tp>
      <tp t="e">
        <v>#N/A</v>
        <stp/>
        <stp>BDH|11833582029605291956</stp>
        <tr r="J20" s="5"/>
      </tp>
      <tp t="e">
        <v>#N/A</v>
        <stp/>
        <stp>BDH|16492139481131198497</stp>
        <tr r="P21" s="34"/>
      </tp>
      <tp t="e">
        <v>#N/A</v>
        <stp/>
        <stp>BDH|15359518783273600190</stp>
        <tr r="T29" s="4"/>
      </tp>
      <tp t="e">
        <v>#N/A</v>
        <stp/>
        <stp>BDH|13069968221231076395</stp>
        <tr r="S24" s="9"/>
      </tp>
      <tp t="e">
        <v>#N/A</v>
        <stp/>
        <stp>BDH|18381917529150154945</stp>
        <tr r="G49" s="6"/>
      </tp>
      <tp t="e">
        <v>#N/A</v>
        <stp/>
        <stp>BDH|15472785192310096106</stp>
        <tr r="F13" s="2"/>
      </tp>
      <tp t="e">
        <v>#N/A</v>
        <stp/>
        <stp>BDH|10146721830369426799</stp>
        <tr r="J36" s="4"/>
      </tp>
      <tp t="e">
        <v>#N/A</v>
        <stp/>
        <stp>BDH|17085806222256859145</stp>
        <tr r="R10" s="22"/>
      </tp>
      <tp t="e">
        <v>#N/A</v>
        <stp/>
        <stp>BDH|13354749762779998121</stp>
        <tr r="L28" s="13"/>
      </tp>
      <tp t="e">
        <v>#N/A</v>
        <stp/>
        <stp>BDH|11908973835214134541</stp>
        <tr r="P42" s="17"/>
      </tp>
      <tp t="e">
        <v>#N/A</v>
        <stp/>
        <stp>BDH|15876716284246494679</stp>
        <tr r="J160" s="18"/>
      </tp>
      <tp t="e">
        <v>#N/A</v>
        <stp/>
        <stp>BDH|10371781094637372324</stp>
        <tr r="D49" s="34"/>
      </tp>
      <tp t="e">
        <v>#N/A</v>
        <stp/>
        <stp>BDH|11248713798737553207</stp>
        <tr r="M31" s="29"/>
      </tp>
      <tp t="e">
        <v>#N/A</v>
        <stp/>
        <stp>BDH|11273908943542893472</stp>
        <tr r="H14" s="23"/>
      </tp>
      <tp t="e">
        <v>#N/A</v>
        <stp/>
        <stp>BDH|11077647348809192030</stp>
        <tr r="M17" s="9"/>
      </tp>
      <tp t="e">
        <v>#N/A</v>
        <stp/>
        <stp>BDH|10299030472208943548</stp>
        <tr r="I12" s="18"/>
      </tp>
      <tp t="e">
        <v>#N/A</v>
        <stp/>
        <stp>BDH|13802843525396040572</stp>
        <tr r="Q30" s="22"/>
      </tp>
      <tp t="e">
        <v>#N/A</v>
        <stp/>
        <stp>BDH|17748090394197642327</stp>
        <tr r="I34" s="6"/>
      </tp>
      <tp t="e">
        <v>#N/A</v>
        <stp/>
        <stp>BDH|14128431995475085699</stp>
        <tr r="D44" s="34"/>
      </tp>
      <tp t="e">
        <v>#N/A</v>
        <stp/>
        <stp>BDH|17425487103818110109</stp>
        <tr r="Y13" s="23"/>
        <tr r="W57" s="11"/>
        <tr r="W38" s="4"/>
      </tp>
      <tp t="e">
        <v>#N/A</v>
        <stp/>
        <stp>BDH|16809245343409913384</stp>
        <tr r="L10" s="34"/>
      </tp>
      <tp t="e">
        <v>#N/A</v>
        <stp/>
        <stp>BDH|18141305550594896079</stp>
        <tr r="X8" s="20"/>
        <tr r="X118" s="18"/>
      </tp>
      <tp t="e">
        <v>#N/A</v>
        <stp/>
        <stp>BDH|15803481506043866803</stp>
        <tr r="L39" s="13"/>
        <tr r="J32" s="10"/>
      </tp>
      <tp t="e">
        <v>#N/A</v>
        <stp/>
        <stp>BDH|13302760805989327621</stp>
        <tr r="S112" s="18"/>
      </tp>
      <tp t="e">
        <v>#N/A</v>
        <stp/>
        <stp>BDH|13435619653372478937</stp>
        <tr r="T179" s="18"/>
      </tp>
      <tp t="e">
        <v>#N/A</v>
        <stp/>
        <stp>BDH|16077352226194243809</stp>
        <tr r="M34" s="26"/>
      </tp>
      <tp t="e">
        <v>#N/A</v>
        <stp/>
        <stp>BDH|16513795064608186482</stp>
        <tr r="U47" s="21"/>
      </tp>
      <tp t="e">
        <v>#N/A</v>
        <stp/>
        <stp>BDH|12578562963713327928</stp>
        <tr r="M103" s="12"/>
      </tp>
      <tp t="e">
        <v>#N/A</v>
        <stp/>
        <stp>BDH|17069032887443613739</stp>
        <tr r="G38" s="24"/>
      </tp>
      <tp t="e">
        <v>#N/A</v>
        <stp/>
        <stp>BDH|14544159974471376861</stp>
        <tr r="T67" s="10"/>
      </tp>
      <tp t="e">
        <v>#N/A</v>
        <stp/>
        <stp>BDH|15857274383632913649</stp>
        <tr r="J26" s="22"/>
      </tp>
      <tp t="e">
        <v>#N/A</v>
        <stp/>
        <stp>BDH|15273547206052277939</stp>
        <tr r="S6" s="28"/>
      </tp>
      <tp t="e">
        <v>#N/A</v>
        <stp/>
        <stp>BDH|13658197393625492590</stp>
        <tr r="S29" s="13"/>
        <tr r="S16" s="13"/>
        <tr r="Q17" s="10"/>
      </tp>
      <tp t="e">
        <v>#N/A</v>
        <stp/>
        <stp>BDH|15288612470458548777</stp>
        <tr r="Y129" s="18"/>
      </tp>
      <tp t="e">
        <v>#N/A</v>
        <stp/>
        <stp>BDH|11776549681380298719</stp>
        <tr r="Z15" s="34"/>
      </tp>
      <tp t="e">
        <v>#N/A</v>
        <stp/>
        <stp>BDH|16743361114047788831</stp>
        <tr r="V74" s="17"/>
      </tp>
      <tp t="e">
        <v>#N/A</v>
        <stp/>
        <stp>BDH|15358589108972594970</stp>
        <tr r="Y104" s="18"/>
      </tp>
      <tp t="e">
        <v>#N/A</v>
        <stp/>
        <stp>BDH|15690046244118459237</stp>
        <tr r="O27" s="34"/>
      </tp>
      <tp t="e">
        <v>#N/A</v>
        <stp/>
        <stp>BDH|11443689477559351291</stp>
        <tr r="D13" s="24"/>
      </tp>
      <tp t="e">
        <v>#N/A</v>
        <stp/>
        <stp>BDH|14852486631511737976</stp>
        <tr r="P59" s="18"/>
      </tp>
      <tp t="e">
        <v>#N/A</v>
        <stp/>
        <stp>BDH|11612612554298543177</stp>
        <tr r="C17" s="6"/>
      </tp>
      <tp t="e">
        <v>#N/A</v>
        <stp/>
        <stp>BDH|12509847673254646253</stp>
        <tr r="V13" s="13"/>
      </tp>
      <tp t="e">
        <v>#N/A</v>
        <stp/>
        <stp>BDH|14569847847396206550</stp>
        <tr r="H53" s="24"/>
      </tp>
      <tp t="e">
        <v>#N/A</v>
        <stp/>
        <stp>BDH|16439875075647384549</stp>
        <tr r="AA31" s="17"/>
      </tp>
      <tp t="e">
        <v>#N/A</v>
        <stp/>
        <stp>BDH|11146974717031418341</stp>
        <tr r="Z51" s="13"/>
      </tp>
      <tp t="e">
        <v>#N/A</v>
        <stp/>
        <stp>BDH|12703423464429432244</stp>
        <tr r="Z45" s="34"/>
      </tp>
      <tp t="e">
        <v>#N/A</v>
        <stp/>
        <stp>BDH|17434597589134345561</stp>
        <tr r="Y69" s="24"/>
      </tp>
      <tp t="e">
        <v>#N/A</v>
        <stp/>
        <stp>BDH|11131886233374274591</stp>
        <tr r="P42" s="6"/>
      </tp>
      <tp t="e">
        <v>#N/A</v>
        <stp/>
        <stp>BDH|16782849714132775617</stp>
        <tr r="S12" s="10"/>
      </tp>
      <tp t="e">
        <v>#N/A</v>
        <stp/>
        <stp>BDH|16912673992943845158</stp>
        <tr r="X163" s="18"/>
      </tp>
      <tp t="e">
        <v>#N/A</v>
        <stp/>
        <stp>BDH|14215966608641520784</stp>
        <tr r="D39" s="25"/>
        <tr r="D22" s="13"/>
        <tr r="D7" s="13"/>
        <tr r="D7" s="3"/>
      </tp>
      <tp t="e">
        <v>#N/A</v>
        <stp/>
        <stp>BDH|10234444641239403222</stp>
        <tr r="N45" s="34"/>
      </tp>
      <tp t="e">
        <v>#N/A</v>
        <stp/>
        <stp>BDH|10272866925044536554</stp>
        <tr r="P47" s="18"/>
      </tp>
      <tp t="e">
        <v>#N/A</v>
        <stp/>
        <stp>BDH|18046851357559361703</stp>
        <tr r="Y115" s="12"/>
      </tp>
      <tp t="e">
        <v>#N/A</v>
        <stp/>
        <stp>BDH|17630042703788953497</stp>
        <tr r="D82" s="24"/>
      </tp>
      <tp t="e">
        <v>#N/A</v>
        <stp/>
        <stp>BDH|16820825412540978401</stp>
        <tr r="X12" s="25"/>
      </tp>
      <tp t="e">
        <v>#N/A</v>
        <stp/>
        <stp>BDH|12126989757537995263</stp>
        <tr r="I203" s="18"/>
      </tp>
      <tp t="e">
        <v>#N/A</v>
        <stp/>
        <stp>BDH|10898689298454999009</stp>
        <tr r="O187" s="18"/>
      </tp>
      <tp t="e">
        <v>#N/A</v>
        <stp/>
        <stp>BDH|17147711996364408632</stp>
        <tr r="L33" s="17"/>
      </tp>
      <tp t="e">
        <v>#N/A</v>
        <stp/>
        <stp>BDH|12153053801210158955</stp>
        <tr r="AA68" s="13"/>
      </tp>
      <tp t="e">
        <v>#N/A</v>
        <stp/>
        <stp>BDH|17068496328703229921</stp>
        <tr r="Y96" s="12"/>
      </tp>
      <tp t="e">
        <v>#N/A</v>
        <stp/>
        <stp>BDH|14626771637992599938</stp>
        <tr r="S9" s="29"/>
      </tp>
      <tp t="e">
        <v>#N/A</v>
        <stp/>
        <stp>BDH|17643094755579291087</stp>
        <tr r="Z7" s="21"/>
      </tp>
      <tp t="e">
        <v>#N/A</v>
        <stp/>
        <stp>BDH|11188905351502442446</stp>
        <tr r="C26" s="7"/>
      </tp>
      <tp t="e">
        <v>#N/A</v>
        <stp/>
        <stp>BDH|10264919047473540515</stp>
        <tr r="U38" s="12"/>
      </tp>
      <tp t="e">
        <v>#N/A</v>
        <stp/>
        <stp>BDH|10128119606049243347</stp>
        <tr r="L10" s="25"/>
        <tr r="L55" s="17"/>
      </tp>
      <tp t="e">
        <v>#N/A</v>
        <stp/>
        <stp>BDH|11112668668683865976</stp>
        <tr r="H13" s="28"/>
        <tr r="H96" s="17"/>
      </tp>
      <tp t="e">
        <v>#N/A</v>
        <stp/>
        <stp>BDH|10027238351338377411</stp>
        <tr r="R192" s="18"/>
      </tp>
      <tp t="e">
        <v>#N/A</v>
        <stp/>
        <stp>BDH|16931809518231108506</stp>
        <tr r="Q139" s="18"/>
      </tp>
      <tp t="e">
        <v>#N/A</v>
        <stp/>
        <stp>BDH|12939890830833819184</stp>
        <tr r="P76" s="17"/>
      </tp>
      <tp t="e">
        <v>#N/A</v>
        <stp/>
        <stp>BDH|17399996720427817024</stp>
        <tr r="M24" s="12"/>
      </tp>
      <tp t="e">
        <v>#N/A</v>
        <stp/>
        <stp>BDH|15126987629645773079</stp>
        <tr r="V22" s="27"/>
      </tp>
      <tp t="e">
        <v>#N/A</v>
        <stp/>
        <stp>BDH|17381368650852465813</stp>
        <tr r="Y160" s="18"/>
      </tp>
      <tp t="e">
        <v>#N/A</v>
        <stp/>
        <stp>BDH|10910896720915510452</stp>
        <tr r="Q162" s="18"/>
      </tp>
      <tp t="e">
        <v>#N/A</v>
        <stp/>
        <stp>BDH|12832219809562923991</stp>
        <tr r="C16" s="6"/>
      </tp>
      <tp t="e">
        <v>#N/A</v>
        <stp/>
        <stp>BDH|16913731253148140789</stp>
        <tr r="F141" s="18"/>
      </tp>
      <tp t="e">
        <v>#N/A</v>
        <stp/>
        <stp>BDH|14688805059690956262</stp>
        <tr r="E77" s="17"/>
      </tp>
      <tp t="e">
        <v>#N/A</v>
        <stp/>
        <stp>BDH|10094212920742448954</stp>
        <tr r="M12" s="26"/>
      </tp>
      <tp t="e">
        <v>#N/A</v>
        <stp/>
        <stp>BDH|10046993428262307229</stp>
        <tr r="U42" s="12"/>
      </tp>
      <tp t="e">
        <v>#N/A</v>
        <stp/>
        <stp>BDH|11612099380335951762</stp>
        <tr r="D29" s="34"/>
      </tp>
      <tp t="e">
        <v>#N/A</v>
        <stp/>
        <stp>BDH|16473022150690172877</stp>
        <tr r="S8" s="17"/>
      </tp>
      <tp t="e">
        <v>#N/A</v>
        <stp/>
        <stp>BDH|17244914403422954792</stp>
        <tr r="T64" s="12"/>
      </tp>
      <tp t="e">
        <v>#N/A</v>
        <stp/>
        <stp>BDH|14395923006766561028</stp>
        <tr r="Q77" s="17"/>
      </tp>
      <tp t="e">
        <v>#N/A</v>
        <stp/>
        <stp>BDH|14772522795593920090</stp>
        <tr r="AA81" s="34"/>
      </tp>
      <tp t="e">
        <v>#N/A</v>
        <stp/>
        <stp>BDH|15427222137029151607</stp>
        <tr r="T32" s="11"/>
        <tr r="T41" s="10"/>
      </tp>
      <tp t="e">
        <v>#N/A</v>
        <stp/>
        <stp>BDH|12289224251927772963</stp>
        <tr r="U67" s="13"/>
      </tp>
      <tp t="e">
        <v>#N/A</v>
        <stp/>
        <stp>BDH|12067403307028516525</stp>
        <tr r="T65" s="21"/>
        <tr r="R23" s="7"/>
      </tp>
      <tp t="e">
        <v>#N/A</v>
        <stp/>
        <stp>BDH|17669373658519133383</stp>
        <tr r="P35" s="14"/>
      </tp>
      <tp t="e">
        <v>#N/A</v>
        <stp/>
        <stp>BDH|13676942521437296418</stp>
        <tr r="O53" s="24"/>
      </tp>
      <tp t="e">
        <v>#N/A</v>
        <stp/>
        <stp>BDH|15605976067407303655</stp>
        <tr r="Q185" s="18"/>
      </tp>
      <tp t="e">
        <v>#N/A</v>
        <stp/>
        <stp>BDH|16101450422303717814</stp>
        <tr r="K69" s="24"/>
      </tp>
      <tp t="e">
        <v>#N/A</v>
        <stp/>
        <stp>BDH|14391399409908048438</stp>
        <tr r="H41" s="22"/>
      </tp>
      <tp t="e">
        <v>#N/A</v>
        <stp/>
        <stp>BDH|11236305756419328575</stp>
        <tr r="V16" s="25"/>
      </tp>
      <tp t="e">
        <v>#N/A</v>
        <stp/>
        <stp>BDH|12462439857511884986</stp>
        <tr r="F16" s="34"/>
      </tp>
      <tp t="e">
        <v>#N/A</v>
        <stp/>
        <stp>BDH|16416861753058637877</stp>
        <tr r="M156" s="18"/>
      </tp>
      <tp t="e">
        <v>#N/A</v>
        <stp/>
        <stp>BDH|15806914928241729460</stp>
        <tr r="G17" s="14"/>
      </tp>
      <tp t="e">
        <v>#N/A</v>
        <stp/>
        <stp>BDH|13192989065946959166</stp>
        <tr r="H58" s="18"/>
      </tp>
      <tp t="e">
        <v>#N/A</v>
        <stp/>
        <stp>BDH|14086146206239108706</stp>
        <tr r="X117" s="12"/>
      </tp>
      <tp t="e">
        <v>#N/A</v>
        <stp/>
        <stp>BDH|18100542258471980277</stp>
        <tr r="Q30" s="34"/>
      </tp>
      <tp t="e">
        <v>#N/A</v>
        <stp/>
        <stp>BDH|15149517891150234208</stp>
        <tr r="S19" s="24"/>
      </tp>
      <tp t="e">
        <v>#N/A</v>
        <stp/>
        <stp>BDH|11335371547204788970</stp>
        <tr r="T18" s="23"/>
      </tp>
      <tp t="e">
        <v>#N/A</v>
        <stp/>
        <stp>BDH|14462068299762810407</stp>
        <tr r="L36" s="18"/>
      </tp>
      <tp t="e">
        <v>#N/A</v>
        <stp/>
        <stp>BDH|18354414020202350728</stp>
        <tr r="AA49" s="13"/>
      </tp>
      <tp t="e">
        <v>#N/A</v>
        <stp/>
        <stp>BDH|13147981878883641547</stp>
        <tr r="C61" s="13"/>
      </tp>
      <tp t="e">
        <v>#N/A</v>
        <stp/>
        <stp>BDH|14795300645190308826</stp>
        <tr r="Y53" s="12"/>
      </tp>
      <tp t="e">
        <v>#N/A</v>
        <stp/>
        <stp>BDH|16101891947425985450</stp>
        <tr r="C78" s="17"/>
      </tp>
      <tp t="e">
        <v>#N/A</v>
        <stp/>
        <stp>BDH|15232350855578785063</stp>
        <tr r="L77" s="12"/>
      </tp>
      <tp t="e">
        <v>#N/A</v>
        <stp/>
        <stp>BDH|10331936355153184471</stp>
        <tr r="K18" s="6"/>
      </tp>
      <tp t="e">
        <v>#N/A</v>
        <stp/>
        <stp>BDH|10607209940228541503</stp>
        <tr r="O67" s="18"/>
      </tp>
      <tp t="e">
        <v>#N/A</v>
        <stp/>
        <stp>BDH|14184962543330669213</stp>
        <tr r="H14" s="8"/>
      </tp>
      <tp t="e">
        <v>#N/A</v>
        <stp/>
        <stp>BDH|15809874650121960250</stp>
        <tr r="AA91" s="12"/>
      </tp>
      <tp t="e">
        <v>#N/A</v>
        <stp/>
        <stp>BDH|15524817330502312742</stp>
        <tr r="N36" s="18"/>
      </tp>
      <tp t="e">
        <v>#N/A</v>
        <stp/>
        <stp>BDH|17645588289404438509</stp>
        <tr r="I86" s="12"/>
      </tp>
      <tp t="e">
        <v>#N/A</v>
        <stp/>
        <stp>BDH|10261479499794885272</stp>
        <tr r="T7" s="4"/>
      </tp>
      <tp t="e">
        <v>#N/A</v>
        <stp/>
        <stp>BDH|17128297289415301313</stp>
        <tr r="E49" s="12"/>
      </tp>
      <tp t="e">
        <v>#N/A</v>
        <stp/>
        <stp>BDH|17873764590910987240</stp>
        <tr r="X7" s="11"/>
      </tp>
      <tp t="e">
        <v>#N/A</v>
        <stp/>
        <stp>BDH|17222951553794237456</stp>
        <tr r="C12" s="14"/>
      </tp>
      <tp t="e">
        <v>#N/A</v>
        <stp/>
        <stp>BDH|16724959440465476559</stp>
        <tr r="U49" s="13"/>
      </tp>
      <tp t="e">
        <v>#N/A</v>
        <stp/>
        <stp>BDH|13619662317548543712</stp>
        <tr r="I212" s="18"/>
      </tp>
      <tp t="e">
        <v>#N/A</v>
        <stp/>
        <stp>BDH|18218626057582549216</stp>
        <tr r="U9" s="10"/>
      </tp>
      <tp t="e">
        <v>#N/A</v>
        <stp/>
        <stp>BDH|15184680881813919326</stp>
        <tr r="J22" s="14"/>
      </tp>
      <tp t="e">
        <v>#N/A</v>
        <stp/>
        <stp>BDH|16823824278372637071</stp>
        <tr r="G68" s="10"/>
      </tp>
      <tp t="e">
        <v>#N/A</v>
        <stp/>
        <stp>BDH|17048917935021240750</stp>
        <tr r="N21" s="17"/>
      </tp>
      <tp t="e">
        <v>#N/A</v>
        <stp/>
        <stp>BDH|13420372447296001974</stp>
        <tr r="D80" s="34"/>
      </tp>
      <tp t="e">
        <v>#N/A</v>
        <stp/>
        <stp>BDH|14319784636558626384</stp>
        <tr r="R72" s="18"/>
      </tp>
      <tp t="e">
        <v>#N/A</v>
        <stp/>
        <stp>BDH|14363484528999284025</stp>
        <tr r="U18" s="20"/>
      </tp>
      <tp t="e">
        <v>#N/A</v>
        <stp/>
        <stp>BDH|16405254680797421067</stp>
        <tr r="P21" s="14"/>
      </tp>
      <tp t="e">
        <v>#N/A</v>
        <stp/>
        <stp>BDH|12692655153669385304</stp>
        <tr r="Q9" s="25"/>
        <tr r="Q44" s="17"/>
      </tp>
      <tp t="e">
        <v>#N/A</v>
        <stp/>
        <stp>BDH|13173096596390515186</stp>
        <tr r="M47" s="13"/>
      </tp>
      <tp t="e">
        <v>#N/A</v>
        <stp/>
        <stp>BDH|15004239363769539369</stp>
        <tr r="S38" s="26"/>
      </tp>
      <tp t="e">
        <v>#N/A</v>
        <stp/>
        <stp>BDH|18248709670292626179</stp>
        <tr r="J22" s="17"/>
        <tr r="J15" s="3"/>
      </tp>
      <tp t="e">
        <v>#N/A</v>
        <stp/>
        <stp>BDH|16198971874731283233</stp>
        <tr r="AA8" s="21"/>
      </tp>
      <tp t="e">
        <v>#N/A</v>
        <stp/>
        <stp>BDH|13405163182301256011</stp>
        <tr r="W34" s="9"/>
      </tp>
      <tp t="e">
        <v>#N/A</v>
        <stp/>
        <stp>BDH|12561858027494475716</stp>
        <tr r="L16" s="20"/>
      </tp>
      <tp t="e">
        <v>#N/A</v>
        <stp/>
        <stp>BDH|11276948232431022162</stp>
        <tr r="U91" s="12"/>
      </tp>
      <tp t="e">
        <v>#N/A</v>
        <stp/>
        <stp>BDH|13734942577530766619</stp>
        <tr r="M16" s="26"/>
      </tp>
      <tp t="e">
        <v>#N/A</v>
        <stp/>
        <stp>BDH|14181952204133278505</stp>
        <tr r="Z85" s="12"/>
      </tp>
      <tp t="e">
        <v>#N/A</v>
        <stp/>
        <stp>BDH|16205154954899232036</stp>
        <tr r="O33" s="9"/>
      </tp>
      <tp t="e">
        <v>#N/A</v>
        <stp/>
        <stp>BDH|10290612238049924700</stp>
        <tr r="F45" s="34"/>
      </tp>
      <tp t="e">
        <v>#N/A</v>
        <stp/>
        <stp>BDH|10315697859270643878</stp>
        <tr r="U72" s="17"/>
      </tp>
      <tp t="e">
        <v>#N/A</v>
        <stp/>
        <stp>BDH|12322910930882725170</stp>
        <tr r="I80" s="17"/>
        <tr r="I19" s="3"/>
      </tp>
      <tp t="e">
        <v>#N/A</v>
        <stp/>
        <stp>BDH|18199898571198295491</stp>
        <tr r="M88" s="24"/>
      </tp>
      <tp t="e">
        <v>#N/A</v>
        <stp/>
        <stp>BDH|16595908745648508878</stp>
        <tr r="D25" s="5"/>
      </tp>
      <tp t="e">
        <v>#N/A</v>
        <stp/>
        <stp>BDH|12545133998961593099</stp>
        <tr r="R22" s="17"/>
        <tr r="R15" s="3"/>
      </tp>
      <tp t="e">
        <v>#N/A</v>
        <stp/>
        <stp>BDH|16214396270931810811</stp>
        <tr r="I32" s="26"/>
      </tp>
      <tp t="e">
        <v>#N/A</v>
        <stp/>
        <stp>BDH|14565432352477680906</stp>
        <tr r="J23" s="22"/>
      </tp>
      <tp t="e">
        <v>#N/A</v>
        <stp/>
        <stp>BDH|13759260089136239489</stp>
        <tr r="N22" s="10"/>
      </tp>
      <tp t="e">
        <v>#N/A</v>
        <stp/>
        <stp>BDH|16564878576556538435</stp>
        <tr r="E35" s="13"/>
        <tr r="C28" s="10"/>
      </tp>
      <tp t="e">
        <v>#N/A</v>
        <stp/>
        <stp>BDH|14782996607002209492</stp>
        <tr r="T34" s="9"/>
      </tp>
      <tp t="e">
        <v>#N/A</v>
        <stp/>
        <stp>BDH|11072361987800154128</stp>
        <tr r="R21" s="20"/>
      </tp>
      <tp t="e">
        <v>#N/A</v>
        <stp/>
        <stp>BDH|17866920827704941366</stp>
        <tr r="G127" s="12"/>
      </tp>
      <tp t="e">
        <v>#N/A</v>
        <stp/>
        <stp>BDH|12399710157859714203</stp>
        <tr r="H32" s="24"/>
      </tp>
      <tp t="e">
        <v>#N/A</v>
        <stp/>
        <stp>BDH|12571516587586504247</stp>
        <tr r="R14" s="8"/>
      </tp>
      <tp t="e">
        <v>#N/A</v>
        <stp/>
        <stp>BDH|12775988740241563588</stp>
        <tr r="K48" s="12"/>
      </tp>
      <tp t="e">
        <v>#N/A</v>
        <stp/>
        <stp>BDH|12110656706386568951</stp>
        <tr r="C23" s="18"/>
      </tp>
      <tp t="e">
        <v>#N/A</v>
        <stp/>
        <stp>BDH|14951973827662336681</stp>
        <tr r="Q67" s="17"/>
      </tp>
      <tp t="e">
        <v>#N/A</v>
        <stp/>
        <stp>BDH|14683532334521299814</stp>
        <tr r="R121" s="12"/>
      </tp>
      <tp t="e">
        <v>#N/A</v>
        <stp/>
        <stp>BDH|14354698266007795896</stp>
        <tr r="X87" s="24"/>
      </tp>
      <tp t="e">
        <v>#N/A</v>
        <stp/>
        <stp>BDH|16537433627223280818</stp>
        <tr r="P31" s="17"/>
      </tp>
      <tp t="e">
        <v>#N/A</v>
        <stp/>
        <stp>BDH|12389670136918414440</stp>
        <tr r="I149" s="18"/>
      </tp>
      <tp t="e">
        <v>#N/A</v>
        <stp/>
        <stp>BDH|10561619807369190405</stp>
        <tr r="K115" s="18"/>
      </tp>
      <tp t="e">
        <v>#N/A</v>
        <stp/>
        <stp>BDH|15421801566335703570</stp>
        <tr r="J62" s="21"/>
        <tr r="H25" s="2"/>
      </tp>
      <tp t="e">
        <v>#N/A</v>
        <stp/>
        <stp>BDH|12810606738239715554</stp>
        <tr r="W28" s="26"/>
      </tp>
      <tp t="e">
        <v>#N/A</v>
        <stp/>
        <stp>BDH|15663138896981315721</stp>
        <tr r="M41" s="6"/>
        <tr r="M18" s="5"/>
      </tp>
      <tp t="e">
        <v>#N/A</v>
        <stp/>
        <stp>BDH|15461972076757074773</stp>
        <tr r="U86" s="12"/>
      </tp>
      <tp t="e">
        <v>#N/A</v>
        <stp/>
        <stp>BDH|17615905901442744722</stp>
        <tr r="X198" s="18"/>
      </tp>
      <tp t="e">
        <v>#N/A</v>
        <stp/>
        <stp>BDH|16576560299397913613</stp>
        <tr r="F19" s="26"/>
      </tp>
      <tp t="e">
        <v>#N/A</v>
        <stp/>
        <stp>BDH|17338280923035949931</stp>
        <tr r="T55" s="34"/>
      </tp>
      <tp t="e">
        <v>#N/A</v>
        <stp/>
        <stp>BDH|10862326874289546690</stp>
        <tr r="J83" s="12"/>
      </tp>
      <tp t="e">
        <v>#N/A</v>
        <stp/>
        <stp>BDH|13395896270446082185</stp>
        <tr r="E71" s="18"/>
      </tp>
      <tp t="e">
        <v>#N/A</v>
        <stp/>
        <stp>BDH|10838284416239771137</stp>
        <tr r="K41" s="18"/>
      </tp>
      <tp t="e">
        <v>#N/A</v>
        <stp/>
        <stp>BDH|13148024161489664767</stp>
        <tr r="N80" s="17"/>
        <tr r="N19" s="3"/>
      </tp>
      <tp t="e">
        <v>#N/A</v>
        <stp/>
        <stp>BDH|18285548139354501186</stp>
        <tr r="H67" s="17"/>
      </tp>
      <tp t="e">
        <v>#N/A</v>
        <stp/>
        <stp>BDH|11732175632719856181</stp>
        <tr r="Z95" s="18"/>
      </tp>
      <tp t="e">
        <v>#N/A</v>
        <stp/>
        <stp>BDH|13648058025489688324</stp>
        <tr r="S11" s="9"/>
      </tp>
      <tp t="e">
        <v>#N/A</v>
        <stp/>
        <stp>BDH|18438790546044013496</stp>
        <tr r="U10" s="11"/>
      </tp>
      <tp t="e">
        <v>#N/A</v>
        <stp/>
        <stp>BDH|13871257434250815937</stp>
        <tr r="T42" s="29"/>
        <tr r="T33" s="29"/>
        <tr r="R55" s="6"/>
        <tr r="R11" s="5"/>
        <tr r="S10" s="2"/>
      </tp>
      <tp t="e">
        <v>#N/A</v>
        <stp/>
        <stp>BDH|12694235307248460332</stp>
        <tr r="U21" s="30"/>
      </tp>
      <tp t="e">
        <v>#N/A</v>
        <stp/>
        <stp>BDH|17203129719969518599</stp>
        <tr r="Z54" s="12"/>
      </tp>
      <tp t="e">
        <v>#N/A</v>
        <stp/>
        <stp>BDH|11213216770228790713</stp>
        <tr r="F12" s="17"/>
      </tp>
      <tp t="e">
        <v>#N/A</v>
        <stp/>
        <stp>BDH|16358407541089285455</stp>
        <tr r="R35" s="24"/>
      </tp>
      <tp t="e">
        <v>#N/A</v>
        <stp/>
        <stp>BDH|16018378026938468409</stp>
        <tr r="E27" s="21"/>
      </tp>
      <tp t="e">
        <v>#N/A</v>
        <stp/>
        <stp>BDH|13727762091691400718</stp>
        <tr r="Q46" s="13"/>
      </tp>
      <tp t="e">
        <v>#N/A</v>
        <stp/>
        <stp>BDH|12482904375110110752</stp>
        <tr r="Z14" s="8"/>
      </tp>
      <tp t="e">
        <v>#N/A</v>
        <stp/>
        <stp>BDH|14491035281077258014</stp>
        <tr r="V72" s="18"/>
      </tp>
      <tp t="e">
        <v>#N/A</v>
        <stp/>
        <stp>BDH|11563491599866769174</stp>
        <tr r="S29" s="22"/>
      </tp>
      <tp t="e">
        <v>#N/A</v>
        <stp/>
        <stp>BDH|14255044481452197531</stp>
        <tr r="C43" s="29"/>
      </tp>
      <tp t="e">
        <v>#N/A</v>
        <stp/>
        <stp>BDH|10640766809448586492</stp>
        <tr r="Y32" s="12"/>
      </tp>
      <tp t="e">
        <v>#N/A</v>
        <stp/>
        <stp>BDH|16624985456123956241</stp>
        <tr r="O65" s="21"/>
        <tr r="M23" s="7"/>
      </tp>
      <tp t="e">
        <v>#N/A</v>
        <stp/>
        <stp>BDH|12025523784314345004</stp>
        <tr r="Z141" s="18"/>
      </tp>
      <tp t="e">
        <v>#N/A</v>
        <stp/>
        <stp>BDH|10817127280174903665</stp>
        <tr r="K34" s="18"/>
      </tp>
      <tp t="e">
        <v>#N/A</v>
        <stp/>
        <stp>BDH|15887237482832441681</stp>
        <tr r="AA63" s="18"/>
      </tp>
      <tp t="e">
        <v>#N/A</v>
        <stp/>
        <stp>BDH|16772972433152731515</stp>
        <tr r="Y61" s="12"/>
      </tp>
      <tp t="e">
        <v>#N/A</v>
        <stp/>
        <stp>BDH|17373531955244923897</stp>
        <tr r="K82" s="24"/>
      </tp>
      <tp t="e">
        <v>#N/A</v>
        <stp/>
        <stp>BDH|12637206883702943197</stp>
        <tr r="Q67" s="21"/>
      </tp>
      <tp t="e">
        <v>#N/A</v>
        <stp/>
        <stp>BDH|11732914943456245126</stp>
        <tr r="L74" s="12"/>
      </tp>
      <tp t="e">
        <v>#N/A</v>
        <stp/>
        <stp>BDH|13135257360415883999</stp>
        <tr r="O17" s="18"/>
      </tp>
      <tp t="e">
        <v>#N/A</v>
        <stp/>
        <stp>BDH|16229727524288653073</stp>
        <tr r="E56" s="18"/>
      </tp>
      <tp t="e">
        <v>#N/A</v>
        <stp/>
        <stp>BDH|17073120957871487947</stp>
        <tr r="Z39" s="22"/>
      </tp>
      <tp t="e">
        <v>#N/A</v>
        <stp/>
        <stp>BDH|15599838055583376053</stp>
        <tr r="Z64" s="18"/>
      </tp>
      <tp t="e">
        <v>#N/A</v>
        <stp/>
        <stp>BDH|17306987225173973421</stp>
        <tr r="X28" s="18"/>
      </tp>
      <tp t="e">
        <v>#N/A</v>
        <stp/>
        <stp>BDH|16528895879506463444</stp>
        <tr r="N32" s="9"/>
      </tp>
      <tp t="e">
        <v>#N/A</v>
        <stp/>
        <stp>BDH|16028448685802521317</stp>
        <tr r="AA76" s="17"/>
      </tp>
      <tp t="e">
        <v>#N/A</v>
        <stp/>
        <stp>BDH|10165882541641442691</stp>
        <tr r="S37" s="26"/>
      </tp>
      <tp t="e">
        <v>#N/A</v>
        <stp/>
        <stp>BDH|10041855500414055707</stp>
        <tr r="V136" s="18"/>
      </tp>
      <tp t="e">
        <v>#N/A</v>
        <stp/>
        <stp>BDH|13834229628919159160</stp>
        <tr r="R23" s="13"/>
      </tp>
      <tp t="e">
        <v>#N/A</v>
        <stp/>
        <stp>BDH|10833629610859664592</stp>
        <tr r="P9" s="14"/>
      </tp>
      <tp t="e">
        <v>#N/A</v>
        <stp/>
        <stp>BDH|14900120768539235140</stp>
        <tr r="Q49" s="12"/>
      </tp>
      <tp t="e">
        <v>#N/A</v>
        <stp/>
        <stp>BDH|17393577292137591763</stp>
        <tr r="O41" s="21"/>
      </tp>
      <tp t="e">
        <v>#N/A</v>
        <stp/>
        <stp>BDH|15521542876145442961</stp>
        <tr r="L9" s="27"/>
      </tp>
      <tp t="e">
        <v>#N/A</v>
        <stp/>
        <stp>BDH|17769566945505800891</stp>
        <tr r="C10" s="21"/>
      </tp>
      <tp t="e">
        <v>#N/A</v>
        <stp/>
        <stp>BDH|16961359309826463845</stp>
        <tr r="W69" s="13"/>
      </tp>
      <tp t="e">
        <v>#N/A</v>
        <stp/>
        <stp>BDH|14407166806927834987</stp>
        <tr r="R21" s="24"/>
      </tp>
      <tp t="e">
        <v>#N/A</v>
        <stp/>
        <stp>BDH|15844064881533396587</stp>
        <tr r="G71" s="17"/>
        <tr r="D8" s="9"/>
        <tr r="D8" s="5"/>
      </tp>
      <tp t="e">
        <v>#N/A</v>
        <stp/>
        <stp>BDH|16336651880813677046</stp>
        <tr r="Q23" s="12"/>
      </tp>
      <tp t="e">
        <v>#N/A</v>
        <stp/>
        <stp>BDH|17485000864473770930</stp>
        <tr r="J36" s="14"/>
      </tp>
      <tp t="e">
        <v>#N/A</v>
        <stp/>
        <stp>BDH|11643319884775079477</stp>
        <tr r="L12" s="22"/>
      </tp>
      <tp t="e">
        <v>#N/A</v>
        <stp/>
        <stp>BDH|11541866221960096068</stp>
        <tr r="AA84" s="18"/>
      </tp>
      <tp t="e">
        <v>#N/A</v>
        <stp/>
        <stp>BDH|15277855911883355415</stp>
        <tr r="Y74" s="12"/>
      </tp>
      <tp t="e">
        <v>#N/A</v>
        <stp/>
        <stp>BDH|17755234056979440226</stp>
        <tr r="K26" s="21"/>
      </tp>
      <tp t="e">
        <v>#N/A</v>
        <stp/>
        <stp>BDH|17316912353826443616</stp>
        <tr r="T48" s="21"/>
      </tp>
      <tp t="e">
        <v>#N/A</v>
        <stp/>
        <stp>BDH|17144738955737354906</stp>
        <tr r="U92" s="12"/>
      </tp>
      <tp t="e">
        <v>#N/A</v>
        <stp/>
        <stp>BDH|17632484550519295483</stp>
        <tr r="G146" s="18"/>
      </tp>
      <tp t="e">
        <v>#N/A</v>
        <stp/>
        <stp>BDH|16946865942714004599</stp>
        <tr r="I90" s="24"/>
      </tp>
      <tp t="e">
        <v>#N/A</v>
        <stp/>
        <stp>BDH|16858459329252442944</stp>
        <tr r="I25" s="26"/>
      </tp>
      <tp t="e">
        <v>#N/A</v>
        <stp/>
        <stp>BDH|11578110544388530719</stp>
        <tr r="E53" s="24"/>
      </tp>
      <tp t="e">
        <v>#N/A</v>
        <stp/>
        <stp>BDH|18152494459962111047</stp>
        <tr r="D16" s="25"/>
      </tp>
      <tp t="e">
        <v>#N/A</v>
        <stp/>
        <stp>BDH|17776833046283096363</stp>
        <tr r="U150" s="18"/>
      </tp>
      <tp t="e">
        <v>#N/A</v>
        <stp/>
        <stp>BDH|18177445766974516526</stp>
        <tr r="O45" s="18"/>
      </tp>
      <tp t="e">
        <v>#N/A</v>
        <stp/>
        <stp>BDH|10486124742258349639</stp>
        <tr r="E10" s="28"/>
      </tp>
      <tp t="e">
        <v>#N/A</v>
        <stp/>
        <stp>BDH|17932401093372659387</stp>
        <tr r="V7" s="20"/>
        <tr r="V117" s="18"/>
      </tp>
      <tp t="e">
        <v>#N/A</v>
        <stp/>
        <stp>BDH|16296128237476468970</stp>
        <tr r="R17" s="22"/>
      </tp>
      <tp t="e">
        <v>#N/A</v>
        <stp/>
        <stp>BDH|15237074558518149384</stp>
        <tr r="Z20" s="25"/>
      </tp>
      <tp t="e">
        <v>#N/A</v>
        <stp/>
        <stp>BDH|17519279882251312779</stp>
        <tr r="L35" s="18"/>
      </tp>
      <tp t="e">
        <v>#N/A</v>
        <stp/>
        <stp>BDH|16602314613188132717</stp>
        <tr r="U19" s="28"/>
        <tr r="U16" s="17"/>
      </tp>
      <tp t="e">
        <v>#N/A</v>
        <stp/>
        <stp>BDH|16452885712641337594</stp>
        <tr r="O29" s="13"/>
        <tr r="O16" s="13"/>
        <tr r="M17" s="10"/>
      </tp>
      <tp t="e">
        <v>#N/A</v>
        <stp/>
        <stp>BDH|17545366070930587822</stp>
        <tr r="T103" s="12"/>
      </tp>
      <tp t="e">
        <v>#N/A</v>
        <stp/>
        <stp>BDH|18139371202364030402</stp>
        <tr r="Y181" s="18"/>
      </tp>
      <tp t="e">
        <v>#N/A</v>
        <stp/>
        <stp>BDH|18040509403672296452</stp>
        <tr r="D10" s="17"/>
      </tp>
      <tp t="e">
        <v>#N/A</v>
        <stp/>
        <stp>BDH|11201232226418300206</stp>
        <tr r="L179" s="18"/>
      </tp>
      <tp t="e">
        <v>#N/A</v>
        <stp/>
        <stp>BDH|12566961935200520370</stp>
        <tr r="J77" s="18"/>
      </tp>
      <tp t="e">
        <v>#N/A</v>
        <stp/>
        <stp>BDH|12460533367339478306</stp>
        <tr r="E18" s="21"/>
      </tp>
      <tp t="e">
        <v>#N/A</v>
        <stp/>
        <stp>BDH|13565914543511237413</stp>
        <tr r="AA89" s="12"/>
      </tp>
      <tp t="e">
        <v>#N/A</v>
        <stp/>
        <stp>BDH|13156965375204501234</stp>
        <tr r="O34" s="9"/>
      </tp>
      <tp t="e">
        <v>#N/A</v>
        <stp/>
        <stp>BDH|10378014545239729645</stp>
        <tr r="P58" s="13"/>
        <tr r="N47" s="11"/>
        <tr r="N56" s="10"/>
        <tr r="N17" s="7"/>
        <tr r="N17" s="4"/>
        <tr r="P10" s="3"/>
      </tp>
      <tp t="e">
        <v>#N/A</v>
        <stp/>
        <stp>BDH|12263029099833506381</stp>
        <tr r="E8" s="14"/>
      </tp>
      <tp t="e">
        <v>#N/A</v>
        <stp/>
        <stp>BDH|15601829859912009196</stp>
        <tr r="Q187" s="18"/>
      </tp>
      <tp t="e">
        <v>#N/A</v>
        <stp/>
        <stp>BDH|16522608182972154120</stp>
        <tr r="F57" s="34"/>
      </tp>
      <tp t="e">
        <v>#N/A</v>
        <stp/>
        <stp>BDH|18428122952374563350</stp>
        <tr r="Z81" s="34"/>
      </tp>
      <tp t="e">
        <v>#N/A</v>
        <stp/>
        <stp>BDH|13501432981182542662</stp>
        <tr r="Y43" s="11"/>
        <tr r="Y52" s="10"/>
        <tr r="Y15" s="7"/>
      </tp>
      <tp t="e">
        <v>#N/A</v>
        <stp/>
        <stp>BDH|14744402917009342376</stp>
        <tr r="M13" s="34"/>
      </tp>
      <tp t="e">
        <v>#N/A</v>
        <stp/>
        <stp>BDH|17351576190555263524</stp>
        <tr r="E38" s="11"/>
        <tr r="E47" s="10"/>
      </tp>
      <tp t="e">
        <v>#N/A</v>
        <stp/>
        <stp>BDH|15801506813758984252</stp>
        <tr r="O48" s="17"/>
      </tp>
      <tp t="e">
        <v>#N/A</v>
        <stp/>
        <stp>BDH|10966353388621287110</stp>
        <tr r="L59" s="17"/>
      </tp>
      <tp t="e">
        <v>#N/A</v>
        <stp/>
        <stp>BDH|15285928717907231121</stp>
        <tr r="M184" s="18"/>
      </tp>
      <tp t="e">
        <v>#N/A</v>
        <stp/>
        <stp>BDH|14041949345180047262</stp>
        <tr r="P76" s="12"/>
      </tp>
      <tp t="e">
        <v>#N/A</v>
        <stp/>
        <stp>BDH|15762027743822550846</stp>
        <tr r="W53" s="18"/>
      </tp>
      <tp t="e">
        <v>#N/A</v>
        <stp/>
        <stp>BDH|17147856987439093547</stp>
        <tr r="AA14" s="20"/>
        <tr r="AA123" s="18"/>
      </tp>
      <tp t="e">
        <v>#N/A</v>
        <stp/>
        <stp>BDH|16391993468041347366</stp>
        <tr r="M38" s="24"/>
      </tp>
      <tp t="e">
        <v>#N/A</v>
        <stp/>
        <stp>BDH|12280882916032342281</stp>
        <tr r="S23" s="20"/>
      </tp>
      <tp t="e">
        <v>#N/A</v>
        <stp/>
        <stp>BDH|10442347153024592915</stp>
        <tr r="O34" s="12"/>
      </tp>
      <tp t="e">
        <v>#N/A</v>
        <stp/>
        <stp>BDH|16543662380151228268</stp>
        <tr r="G133" s="18"/>
      </tp>
      <tp t="e">
        <v>#N/A</v>
        <stp/>
        <stp>BDH|15003017512788641729</stp>
        <tr r="R24" s="27"/>
      </tp>
      <tp t="e">
        <v>#N/A</v>
        <stp/>
        <stp>BDH|14215567899764881724</stp>
        <tr r="K41" s="17"/>
      </tp>
      <tp t="e">
        <v>#N/A</v>
        <stp/>
        <stp>BDH|16585648284953530077</stp>
        <tr r="D85" s="18"/>
      </tp>
      <tp t="e">
        <v>#N/A</v>
        <stp/>
        <stp>BDH|12881572248268248020</stp>
        <tr r="C18" s="20"/>
      </tp>
      <tp t="e">
        <v>#N/A</v>
        <stp/>
        <stp>BDH|14264473970814221803</stp>
        <tr r="H12" s="25"/>
      </tp>
      <tp t="e">
        <v>#N/A</v>
        <stp/>
        <stp>BDH|11925923377845937126</stp>
        <tr r="V44" s="6"/>
      </tp>
      <tp t="e">
        <v>#N/A</v>
        <stp/>
        <stp>BDH|10153244474558194671</stp>
        <tr r="H8" s="21"/>
      </tp>
      <tp t="e">
        <v>#N/A</v>
        <stp/>
        <stp>BDH|14465341190537674219</stp>
        <tr r="G100" s="18"/>
      </tp>
      <tp t="e">
        <v>#N/A</v>
        <stp/>
        <stp>BDH|16225395327569263598</stp>
        <tr r="Z79" s="34"/>
      </tp>
      <tp t="e">
        <v>#N/A</v>
        <stp/>
        <stp>BDH|17517132095187673326</stp>
        <tr r="T109" s="18"/>
      </tp>
      <tp t="e">
        <v>#N/A</v>
        <stp/>
        <stp>BDH|15432695002359958113</stp>
        <tr r="I30" s="14"/>
      </tp>
      <tp t="e">
        <v>#N/A</v>
        <stp/>
        <stp>BDH|13533032949628100494</stp>
        <tr r="X67" s="12"/>
      </tp>
      <tp t="e">
        <v>#N/A</v>
        <stp/>
        <stp>BDH|16168559736518095350</stp>
        <tr r="M74" s="24"/>
      </tp>
      <tp t="e">
        <v>#N/A</v>
        <stp/>
        <stp>BDH|12976766294720853740</stp>
        <tr r="M119" s="12"/>
      </tp>
      <tp t="e">
        <v>#N/A</v>
        <stp/>
        <stp>BDH|15786868206813332538</stp>
        <tr r="U57" s="17"/>
      </tp>
      <tp t="e">
        <v>#N/A</v>
        <stp/>
        <stp>BDH|15655583474595469996</stp>
        <tr r="D51" s="21"/>
      </tp>
      <tp t="e">
        <v>#N/A</v>
        <stp/>
        <stp>BDH|18337749233163710449</stp>
        <tr r="O46" s="12"/>
      </tp>
      <tp t="e">
        <v>#N/A</v>
        <stp/>
        <stp>BDH|13258950207667273655</stp>
        <tr r="V107" s="18"/>
      </tp>
      <tp t="e">
        <v>#N/A</v>
        <stp/>
        <stp>BDH|16168229324315481845</stp>
        <tr r="S48" s="6"/>
      </tp>
      <tp t="e">
        <v>#N/A</v>
        <stp/>
        <stp>BDH|17076836469863816159</stp>
        <tr r="L196" s="18"/>
      </tp>
      <tp t="e">
        <v>#N/A</v>
        <stp/>
        <stp>BDH|14008186755349976232</stp>
        <tr r="N9" s="28"/>
      </tp>
      <tp t="e">
        <v>#N/A</v>
        <stp/>
        <stp>BDH|16128775896995791607</stp>
        <tr r="T7" s="27"/>
        <tr r="T95" s="17"/>
      </tp>
      <tp t="e">
        <v>#N/A</v>
        <stp/>
        <stp>BDH|18349050795412058845</stp>
        <tr r="S64" s="10"/>
      </tp>
      <tp t="e">
        <v>#N/A</v>
        <stp/>
        <stp>BDH|10554991614511732282</stp>
        <tr r="AA27" s="22"/>
      </tp>
      <tp t="e">
        <v>#N/A</v>
        <stp/>
        <stp>BDH|11453349696843712365</stp>
        <tr r="W32" s="24"/>
      </tp>
      <tp t="e">
        <v>#N/A</v>
        <stp/>
        <stp>BDH|17259988910305592187</stp>
        <tr r="O43" s="12"/>
      </tp>
      <tp t="e">
        <v>#N/A</v>
        <stp/>
        <stp>BDH|14213499965735907808</stp>
        <tr r="V204" s="18"/>
      </tp>
      <tp t="e">
        <v>#N/A</v>
        <stp/>
        <stp>BDH|13099413893616721329</stp>
        <tr r="Z37" s="26"/>
      </tp>
      <tp t="e">
        <v>#N/A</v>
        <stp/>
        <stp>BDH|15746578738049785183</stp>
        <tr r="C24" s="2"/>
      </tp>
      <tp t="e">
        <v>#N/A</v>
        <stp/>
        <stp>BDH|14789712994681191040</stp>
        <tr r="I40" s="18"/>
      </tp>
      <tp t="e">
        <v>#N/A</v>
        <stp/>
        <stp>BDH|16016507942504506807</stp>
        <tr r="F22" s="34"/>
      </tp>
      <tp t="e">
        <v>#N/A</v>
        <stp/>
        <stp>BDH|17311434327813499940</stp>
        <tr r="Z62" s="24"/>
      </tp>
      <tp t="e">
        <v>#N/A</v>
        <stp/>
        <stp>BDH|17991080584515170120</stp>
        <tr r="M77" s="12"/>
      </tp>
      <tp t="e">
        <v>#N/A</v>
        <stp/>
        <stp>BDH|10782761087511271520</stp>
        <tr r="I186" s="18"/>
      </tp>
      <tp t="e">
        <v>#N/A</v>
        <stp/>
        <stp>BDH|10168832733406783602</stp>
        <tr r="Z28" s="12"/>
      </tp>
      <tp t="e">
        <v>#N/A</v>
        <stp/>
        <stp>BDH|18082829955638380625</stp>
        <tr r="E160" s="18"/>
      </tp>
      <tp t="e">
        <v>#N/A</v>
        <stp/>
        <stp>BDH|10576633796223697706</stp>
        <tr r="V18" s="9"/>
      </tp>
      <tp t="e">
        <v>#N/A</v>
        <stp/>
        <stp>BDH|15620400434269796030</stp>
        <tr r="Q141" s="18"/>
      </tp>
      <tp t="e">
        <v>#N/A</v>
        <stp/>
        <stp>BDH|15594698371947304881</stp>
        <tr r="Y52" s="18"/>
      </tp>
      <tp t="e">
        <v>#N/A</v>
        <stp/>
        <stp>BDH|10800449707866403998</stp>
        <tr r="X39" s="25"/>
        <tr r="X22" s="13"/>
        <tr r="X7" s="13"/>
        <tr r="V17" s="11"/>
        <tr r="X7" s="3"/>
      </tp>
      <tp t="e">
        <v>#N/A</v>
        <stp/>
        <stp>BDH|15273480317572339989</stp>
        <tr r="O125" s="12"/>
      </tp>
      <tp t="e">
        <v>#N/A</v>
        <stp/>
        <stp>BDH|13989935058220728435</stp>
        <tr r="O94" s="17"/>
      </tp>
      <tp t="e">
        <v>#N/A</v>
        <stp/>
        <stp>BDH|17388229424888027433</stp>
        <tr r="C35" s="25"/>
      </tp>
      <tp t="e">
        <v>#N/A</v>
        <stp/>
        <stp>BDH|15308595795236115489</stp>
        <tr r="I50" s="24"/>
      </tp>
      <tp t="e">
        <v>#N/A</v>
        <stp/>
        <stp>BDH|14530385648139710149</stp>
        <tr r="C34" s="24"/>
      </tp>
      <tp t="e">
        <v>#N/A</v>
        <stp/>
        <stp>BDH|14691165482412546412</stp>
        <tr r="Y46" s="13"/>
      </tp>
      <tp t="e">
        <v>#N/A</v>
        <stp/>
        <stp>BDH|16442724028678198092</stp>
        <tr r="X15" s="12"/>
      </tp>
      <tp t="e">
        <v>#N/A</v>
        <stp/>
        <stp>BDH|10568867687748792352</stp>
        <tr r="O33" s="21"/>
      </tp>
      <tp t="e">
        <v>#N/A</v>
        <stp/>
        <stp>BDH|12269734477001385837</stp>
        <tr r="H49" s="24"/>
      </tp>
      <tp t="e">
        <v>#N/A</v>
        <stp/>
        <stp>BDH|13197869421997424547</stp>
        <tr r="R122" s="12"/>
      </tp>
      <tp t="e">
        <v>#N/A</v>
        <stp/>
        <stp>BDH|18045249087731107846</stp>
        <tr r="H63" s="13"/>
      </tp>
      <tp t="e">
        <v>#N/A</v>
        <stp/>
        <stp>BDH|16860335289326168055</stp>
        <tr r="F20" s="5"/>
      </tp>
      <tp t="e">
        <v>#N/A</v>
        <stp/>
        <stp>BDH|14802094984492167525</stp>
        <tr r="X36" s="29"/>
        <tr r="X22" s="29"/>
        <tr r="X13" s="29"/>
      </tp>
      <tp t="e">
        <v>#N/A</v>
        <stp/>
        <stp>BDH|15104560376108767404</stp>
        <tr r="Q34" s="12"/>
      </tp>
      <tp t="e">
        <v>#N/A</v>
        <stp/>
        <stp>BDH|11721785584142401794</stp>
        <tr r="U61" s="17"/>
      </tp>
      <tp t="e">
        <v>#N/A</v>
        <stp/>
        <stp>BDH|13103761281041651665</stp>
        <tr r="J17" s="23"/>
      </tp>
      <tp t="e">
        <v>#N/A</v>
        <stp/>
        <stp>BDH|12425154333118626325</stp>
        <tr r="C66" s="21"/>
      </tp>
      <tp t="e">
        <v>#N/A</v>
        <stp/>
        <stp>BDH|16607579086953692379</stp>
        <tr r="J89" s="12"/>
      </tp>
      <tp t="e">
        <v>#N/A</v>
        <stp/>
        <stp>BDH|18252977312063165804</stp>
        <tr r="X9" s="28"/>
      </tp>
      <tp t="e">
        <v>#N/A</v>
        <stp/>
        <stp>BDH|18214753212822552768</stp>
        <tr r="R96" s="12"/>
      </tp>
      <tp t="e">
        <v>#N/A</v>
        <stp/>
        <stp>BDH|16104684317622105895</stp>
        <tr r="P18" s="12"/>
      </tp>
      <tp t="e">
        <v>#N/A</v>
        <stp/>
        <stp>BDH|16325175680171733553</stp>
        <tr r="F99" s="12"/>
      </tp>
      <tp t="e">
        <v>#N/A</v>
        <stp/>
        <stp>BDH|15424193852352059891</stp>
        <tr r="T43" s="17"/>
      </tp>
      <tp t="e">
        <v>#N/A</v>
        <stp/>
        <stp>BDH|17425062003314028875</stp>
        <tr r="X31" s="24"/>
      </tp>
      <tp t="e">
        <v>#N/A</v>
        <stp/>
        <stp>BDH|10576548089297044112</stp>
        <tr r="K67" s="12"/>
      </tp>
      <tp t="e">
        <v>#N/A</v>
        <stp/>
        <stp>BDH|13016129040488244593</stp>
        <tr r="J25" s="3"/>
      </tp>
      <tp t="e">
        <v>#N/A</v>
        <stp/>
        <stp>BDH|13071180797933733317</stp>
        <tr r="AA36" s="18"/>
      </tp>
      <tp t="e">
        <v>#N/A</v>
        <stp/>
        <stp>BDH|10991820964492546730</stp>
        <tr r="Y93" s="24"/>
      </tp>
      <tp t="e">
        <v>#N/A</v>
        <stp/>
        <stp>BDH|15027544459066286867</stp>
        <tr r="U63" s="21"/>
      </tp>
      <tp t="e">
        <v>#N/A</v>
        <stp/>
        <stp>BDH|14914373029199681783</stp>
        <tr r="C77" s="17"/>
      </tp>
      <tp t="e">
        <v>#N/A</v>
        <stp/>
        <stp>BDH|16927968825481008736</stp>
        <tr r="K104" s="18"/>
      </tp>
      <tp t="e">
        <v>#N/A</v>
        <stp/>
        <stp>BDH|17123065991130983566</stp>
        <tr r="O44" s="24"/>
      </tp>
      <tp t="e">
        <v>#N/A</v>
        <stp/>
        <stp>BDH|10867787945968557092</stp>
        <tr r="V71" s="17"/>
        <tr r="S8" s="9"/>
        <tr r="S8" s="5"/>
      </tp>
      <tp t="e">
        <v>#N/A</v>
        <stp/>
        <stp>BDH|11873558645188303321</stp>
        <tr r="U68" s="12"/>
      </tp>
      <tp t="e">
        <v>#N/A</v>
        <stp/>
        <stp>BDH|10896730485561465535</stp>
        <tr r="N23" s="26"/>
      </tp>
      <tp t="e">
        <v>#N/A</v>
        <stp/>
        <stp>BDH|17850865736981170603</stp>
        <tr r="C16" s="20"/>
      </tp>
      <tp t="e">
        <v>#N/A</v>
        <stp/>
        <stp>BDH|12939904786370307859</stp>
        <tr r="F79" s="34"/>
      </tp>
      <tp t="e">
        <v>#N/A</v>
        <stp/>
        <stp>BDH|16526449299778980889</stp>
        <tr r="R12" s="17"/>
      </tp>
      <tp t="e">
        <v>#N/A</v>
        <stp/>
        <stp>BDH|17961162089112703788</stp>
        <tr r="C9" s="26"/>
      </tp>
      <tp t="e">
        <v>#N/A</v>
        <stp/>
        <stp>BDH|14975230087242002749</stp>
        <tr r="V27" s="34"/>
      </tp>
      <tp t="e">
        <v>#N/A</v>
        <stp/>
        <stp>BDH|14451574190322308191</stp>
        <tr r="L23" s="30"/>
        <tr r="L25" s="23"/>
      </tp>
      <tp t="e">
        <v>#N/A</v>
        <stp/>
        <stp>BDH|17682702489726773519</stp>
        <tr r="E39" s="6"/>
      </tp>
      <tp t="e">
        <v>#N/A</v>
        <stp/>
        <stp>BDH|12665261761445960816</stp>
        <tr r="Y10" s="28"/>
      </tp>
      <tp t="e">
        <v>#N/A</v>
        <stp/>
        <stp>BDH|12007690913046642856</stp>
        <tr r="V10" s="14"/>
      </tp>
      <tp t="e">
        <v>#N/A</v>
        <stp/>
        <stp>BDH|12005473186382176795</stp>
        <tr r="I181" s="18"/>
      </tp>
      <tp t="e">
        <v>#N/A</v>
        <stp/>
        <stp>BDH|14715100179321701800</stp>
        <tr r="S67" s="17"/>
      </tp>
      <tp t="e">
        <v>#N/A</v>
        <stp/>
        <stp>BDH|12878780964399904145</stp>
        <tr r="X42" s="22"/>
      </tp>
      <tp t="e">
        <v>#N/A</v>
        <stp/>
        <stp>BDH|11762396062797372861</stp>
        <tr r="T16" s="24"/>
      </tp>
      <tp t="e">
        <v>#N/A</v>
        <stp/>
        <stp>BDH|15793451260654880836</stp>
        <tr r="N179" s="18"/>
      </tp>
      <tp t="e">
        <v>#N/A</v>
        <stp/>
        <stp>BDH|12208838042052891726</stp>
        <tr r="C150" s="18"/>
      </tp>
      <tp t="e">
        <v>#N/A</v>
        <stp/>
        <stp>BDH|12671900716405879413</stp>
        <tr r="W66" s="10"/>
        <tr r="W39" s="4"/>
      </tp>
      <tp t="e">
        <v>#N/A</v>
        <stp/>
        <stp>BDH|16601985331177263045</stp>
        <tr r="Q18" s="28"/>
        <tr r="Q15" s="17"/>
      </tp>
      <tp t="e">
        <v>#N/A</v>
        <stp/>
        <stp>BDH|10841861532437629735</stp>
        <tr r="W25" s="3"/>
      </tp>
      <tp t="e">
        <v>#N/A</v>
        <stp/>
        <stp>BDH|10455420689305681208</stp>
        <tr r="N13" s="2"/>
      </tp>
      <tp t="e">
        <v>#N/A</v>
        <stp/>
        <stp>BDH|18098008098273271931</stp>
        <tr r="W55" s="21"/>
      </tp>
      <tp t="e">
        <v>#N/A</v>
        <stp/>
        <stp>BDH|17631236574618873101</stp>
        <tr r="U7" s="10"/>
      </tp>
      <tp t="e">
        <v>#N/A</v>
        <stp/>
        <stp>BDH|12523522324386375890</stp>
        <tr r="E61" s="13"/>
        <tr r="C48" s="11"/>
        <tr r="C57" s="10"/>
        <tr r="C18" s="7"/>
      </tp>
      <tp t="e">
        <v>#N/A</v>
        <stp/>
        <stp>BDH|14749871561138071987</stp>
        <tr r="N12" s="12"/>
      </tp>
      <tp t="e">
        <v>#N/A</v>
        <stp/>
        <stp>BDH|10309535093420370792</stp>
        <tr r="F23" s="13"/>
      </tp>
      <tp t="e">
        <v>#N/A</v>
        <stp/>
        <stp>BDH|15373450371465716896</stp>
        <tr r="X11" s="17"/>
      </tp>
      <tp t="e">
        <v>#N/A</v>
        <stp/>
        <stp>BDH|15115168888464237355</stp>
        <tr r="AA43" s="21"/>
      </tp>
      <tp t="e">
        <v>#N/A</v>
        <stp/>
        <stp>BDH|14917191041763885914</stp>
        <tr r="X20" s="23"/>
      </tp>
      <tp t="e">
        <v>#N/A</v>
        <stp/>
        <stp>BDH|12633212730628656099</stp>
        <tr r="H54" s="13"/>
      </tp>
      <tp t="e">
        <v>#N/A</v>
        <stp/>
        <stp>BDH|11200172788891543204</stp>
        <tr r="U40" s="18"/>
      </tp>
      <tp t="e">
        <v>#N/A</v>
        <stp/>
        <stp>BDH|11866642262003091967</stp>
        <tr r="Q12" s="14"/>
      </tp>
      <tp t="e">
        <v>#N/A</v>
        <stp/>
        <stp>BDH|16921298203808284790</stp>
        <tr r="W98" s="12"/>
      </tp>
      <tp t="e">
        <v>#N/A</v>
        <stp/>
        <stp>BDH|18373954310878708392</stp>
        <tr r="Z117" s="12"/>
      </tp>
      <tp t="e">
        <v>#N/A</v>
        <stp/>
        <stp>BDH|13161872103877507785</stp>
        <tr r="Z48" s="18"/>
      </tp>
      <tp t="e">
        <v>#N/A</v>
        <stp/>
        <stp>BDH|11821184591290945208</stp>
        <tr r="S48" s="17"/>
      </tp>
      <tp t="e">
        <v>#N/A</v>
        <stp/>
        <stp>BDH|12799940279843317418</stp>
        <tr r="F14" s="18"/>
      </tp>
      <tp t="e">
        <v>#N/A</v>
        <stp/>
        <stp>BDH|13303398950198532675</stp>
        <tr r="K64" s="11"/>
        <tr r="K73" s="10"/>
      </tp>
      <tp t="e">
        <v>#N/A</v>
        <stp/>
        <stp>BDH|17971979222827091040</stp>
        <tr r="N47" s="21"/>
      </tp>
      <tp t="e">
        <v>#N/A</v>
        <stp/>
        <stp>BDH|14358281693737588355</stp>
        <tr r="F25" s="7"/>
      </tp>
      <tp t="e">
        <v>#N/A</v>
        <stp/>
        <stp>BDH|14459801566876849726</stp>
        <tr r="S18" s="18"/>
      </tp>
      <tp t="e">
        <v>#N/A</v>
        <stp/>
        <stp>BDH|10952139590057776456</stp>
        <tr r="X31" s="29"/>
      </tp>
      <tp t="e">
        <v>#N/A</v>
        <stp/>
        <stp>BDH|15427496189115813749</stp>
        <tr r="J159" s="18"/>
      </tp>
      <tp t="e">
        <v>#N/A</v>
        <stp/>
        <stp>BDH|13188923027187955453</stp>
        <tr r="M67" s="10"/>
      </tp>
      <tp t="e">
        <v>#N/A</v>
        <stp/>
        <stp>BDH|10962986278175145009</stp>
        <tr r="D163" s="18"/>
      </tp>
      <tp t="e">
        <v>#N/A</v>
        <stp/>
        <stp>BDH|10377069817342272889</stp>
        <tr r="AA51" s="13"/>
      </tp>
      <tp t="e">
        <v>#N/A</v>
        <stp/>
        <stp>BDH|14942975406057218123</stp>
        <tr r="D21" s="2"/>
      </tp>
      <tp t="e">
        <v>#N/A</v>
        <stp/>
        <stp>BDH|16045819417527735398</stp>
        <tr r="I62" s="21"/>
        <tr r="G25" s="2"/>
      </tp>
      <tp t="e">
        <v>#N/A</v>
        <stp/>
        <stp>BDH|16051218698386759068</stp>
        <tr r="P18" s="17"/>
      </tp>
      <tp t="e">
        <v>#N/A</v>
        <stp/>
        <stp>BDH|17072777352217560986</stp>
        <tr r="V8" s="23"/>
      </tp>
      <tp t="e">
        <v>#N/A</v>
        <stp/>
        <stp>BDH|14857485790810083282</stp>
        <tr r="V8" s="20"/>
        <tr r="V118" s="18"/>
      </tp>
      <tp t="e">
        <v>#N/A</v>
        <stp/>
        <stp>BDH|17078956838433177543</stp>
        <tr r="J17" s="21"/>
      </tp>
      <tp t="e">
        <v>#N/A</v>
        <stp/>
        <stp>BDH|12447992886699151125</stp>
        <tr r="I35" s="34"/>
      </tp>
      <tp t="e">
        <v>#N/A</v>
        <stp/>
        <stp>BDH|11742521732905697992</stp>
        <tr r="P46" s="21"/>
      </tp>
      <tp t="e">
        <v>#N/A</v>
        <stp/>
        <stp>BDH|13822841949513457795</stp>
        <tr r="AA79" s="12"/>
      </tp>
      <tp t="e">
        <v>#N/A</v>
        <stp/>
        <stp>BDH|10428429429915634817</stp>
        <tr r="G26" s="13"/>
      </tp>
      <tp t="e">
        <v>#N/A</v>
        <stp/>
        <stp>BDH|11437761322797158895</stp>
        <tr r="C16" s="34"/>
      </tp>
      <tp t="e">
        <v>#N/A</v>
        <stp/>
        <stp>BDH|17750997283215726827</stp>
        <tr r="Q42" s="18"/>
      </tp>
      <tp t="e">
        <v>#N/A</v>
        <stp/>
        <stp>BDH|13442862029647354500</stp>
        <tr r="E176" s="18"/>
      </tp>
      <tp t="e">
        <v>#N/A</v>
        <stp/>
        <stp>BDH|10431357092056192796</stp>
        <tr r="Q33" s="6"/>
      </tp>
      <tp t="e">
        <v>#N/A</v>
        <stp/>
        <stp>BDH|11533595794842760443</stp>
        <tr r="D20" s="24"/>
      </tp>
      <tp t="e">
        <v>#N/A</v>
        <stp/>
        <stp>BDH|13157187737383332968</stp>
        <tr r="N44" s="12"/>
      </tp>
      <tp t="e">
        <v>#N/A</v>
        <stp/>
        <stp>BDH|17714253598924292338</stp>
        <tr r="M34" s="25"/>
        <tr r="M93" s="17"/>
      </tp>
      <tp t="e">
        <v>#N/A</v>
        <stp/>
        <stp>BDH|17861678595756952586</stp>
        <tr r="H45" s="18"/>
      </tp>
      <tp t="e">
        <v>#N/A</v>
        <stp/>
        <stp>BDH|14599778619269591053</stp>
        <tr r="Q64" s="34"/>
      </tp>
      <tp t="e">
        <v>#N/A</v>
        <stp/>
        <stp>BDH|18241284446145392041</stp>
        <tr r="E147" s="18"/>
      </tp>
      <tp t="e">
        <v>#N/A</v>
        <stp/>
        <stp>BDH|10548199930380697918</stp>
        <tr r="U27" s="12"/>
      </tp>
      <tp t="e">
        <v>#N/A</v>
        <stp/>
        <stp>BDH|12469818878043403521</stp>
        <tr r="Q32" s="5"/>
      </tp>
      <tp t="e">
        <v>#N/A</v>
        <stp/>
        <stp>BDH|14749819316322319482</stp>
        <tr r="F30" s="24"/>
      </tp>
      <tp t="e">
        <v>#N/A</v>
        <stp/>
        <stp>BDH|17850561693005207549</stp>
        <tr r="I7" s="4"/>
      </tp>
      <tp t="e">
        <v>#N/A</v>
        <stp/>
        <stp>BDH|14591104599357412032</stp>
        <tr r="S26" s="29"/>
      </tp>
      <tp t="e">
        <v>#N/A</v>
        <stp/>
        <stp>BDH|10553497416897670971</stp>
        <tr r="G23" s="22"/>
      </tp>
      <tp t="e">
        <v>#N/A</v>
        <stp/>
        <stp>BDH|15477894464969418968</stp>
        <tr r="E25" s="21"/>
      </tp>
      <tp t="e">
        <v>#N/A</v>
        <stp/>
        <stp>BDH|12395728131285875837</stp>
        <tr r="AA210" s="18"/>
      </tp>
      <tp t="e">
        <v>#N/A</v>
        <stp/>
        <stp>BDH|16316672654806909828</stp>
        <tr r="J11" s="20"/>
        <tr r="J120" s="18"/>
      </tp>
      <tp t="e">
        <v>#N/A</v>
        <stp/>
        <stp>BDH|12906154263047626925</stp>
        <tr r="D9" s="20"/>
        <tr r="D119" s="18"/>
      </tp>
      <tp t="e">
        <v>#N/A</v>
        <stp/>
        <stp>BDH|14648653777659827771</stp>
        <tr r="W101" s="18"/>
      </tp>
      <tp t="e">
        <v>#N/A</v>
        <stp/>
        <stp>BDH|17094278802518719697</stp>
        <tr r="P68" s="34"/>
      </tp>
      <tp t="e">
        <v>#N/A</v>
        <stp/>
        <stp>BDH|16194564733839957262</stp>
        <tr r="D64" s="12"/>
      </tp>
      <tp t="e">
        <v>#N/A</v>
        <stp/>
        <stp>BDH|14764017398326266076</stp>
        <tr r="R34" s="18"/>
      </tp>
      <tp t="e">
        <v>#N/A</v>
        <stp/>
        <stp>BDH|13668871017022548381</stp>
        <tr r="Z8" s="18"/>
      </tp>
      <tp t="e">
        <v>#N/A</v>
        <stp/>
        <stp>BDH|10508396383247440701</stp>
        <tr r="K13" s="25"/>
      </tp>
      <tp t="e">
        <v>#N/A</v>
        <stp/>
        <stp>BDH|14062815983258121782</stp>
        <tr r="R94" s="18"/>
      </tp>
      <tp t="e">
        <v>#N/A</v>
        <stp/>
        <stp>BDH|14504860526310673585</stp>
        <tr r="G22" s="14"/>
      </tp>
      <tp t="e">
        <v>#N/A</v>
        <stp/>
        <stp>BDH|11213955308432416101</stp>
        <tr r="F22" s="21"/>
      </tp>
      <tp t="e">
        <v>#N/A</v>
        <stp/>
        <stp>BDH|18242177620653644381</stp>
        <tr r="I64" s="18"/>
      </tp>
      <tp t="e">
        <v>#N/A</v>
        <stp/>
        <stp>BDH|13044850295000252991</stp>
        <tr r="G24" s="13"/>
      </tp>
      <tp t="e">
        <v>#N/A</v>
        <stp/>
        <stp>BDH|15780270579532492964</stp>
        <tr r="P25" s="10"/>
      </tp>
      <tp t="e">
        <v>#N/A</v>
        <stp/>
        <stp>BDH|13599564821167147888</stp>
        <tr r="O14" s="21"/>
      </tp>
      <tp t="e">
        <v>#N/A</v>
        <stp/>
        <stp>BDH|13040589617415492907</stp>
        <tr r="F18" s="27"/>
        <tr r="F32" s="25"/>
      </tp>
      <tp t="e">
        <v>#N/A</v>
        <stp/>
        <stp>BDH|16328339845733686983</stp>
        <tr r="Z9" s="25"/>
        <tr r="Z44" s="17"/>
      </tp>
      <tp t="e">
        <v>#N/A</v>
        <stp/>
        <stp>BDH|10238042799707539512</stp>
        <tr r="J65" s="24"/>
      </tp>
      <tp t="e">
        <v>#N/A</v>
        <stp/>
        <stp>BDH|12527722847612318880</stp>
        <tr r="I21" s="12"/>
      </tp>
      <tp t="e">
        <v>#N/A</v>
        <stp/>
        <stp>BDH|17428884841711438124</stp>
        <tr r="R50" s="24"/>
      </tp>
      <tp t="e">
        <v>#N/A</v>
        <stp/>
        <stp>BDH|18090888795267374552</stp>
        <tr r="X7" s="14"/>
      </tp>
      <tp t="e">
        <v>#N/A</v>
        <stp/>
        <stp>BDH|10243967528595068576</stp>
        <tr r="F204" s="18"/>
      </tp>
      <tp t="e">
        <v>#N/A</v>
        <stp/>
        <stp>BDH|11253324991739232980</stp>
        <tr r="M33" s="14"/>
      </tp>
      <tp t="e">
        <v>#N/A</v>
        <stp/>
        <stp>BDH|13490878630484129793</stp>
        <tr r="N19" s="9"/>
      </tp>
      <tp t="e">
        <v>#N/A</v>
        <stp/>
        <stp>BDH|16579427532168608285</stp>
        <tr r="V13" s="27"/>
        <tr r="V27" s="25"/>
      </tp>
      <tp t="e">
        <v>#N/A</v>
        <stp/>
        <stp>BDH|12742901919365192454</stp>
        <tr r="I38" s="34"/>
      </tp>
      <tp t="e">
        <v>#N/A</v>
        <stp/>
        <stp>BDH|10989043073399006543</stp>
        <tr r="V49" s="18"/>
      </tp>
      <tp t="e">
        <v>#N/A</v>
        <stp/>
        <stp>BDH|15606932159703691106</stp>
        <tr r="L52" s="18"/>
      </tp>
      <tp t="e">
        <v>#N/A</v>
        <stp/>
        <stp>BDH|15174758499474547426</stp>
        <tr r="Q32" s="22"/>
      </tp>
      <tp t="e">
        <v>#N/A</v>
        <stp/>
        <stp>BDH|13824819404012202253</stp>
        <tr r="Q15" s="34"/>
      </tp>
      <tp t="e">
        <v>#N/A</v>
        <stp/>
        <stp>BDH|18081293577186011044</stp>
        <tr r="C63" s="11"/>
        <tr r="C72" s="10"/>
      </tp>
      <tp t="e">
        <v>#N/A</v>
        <stp/>
        <stp>BDH|15146603707950801841</stp>
        <tr r="Z9" s="8"/>
        <tr r="X52" s="6"/>
      </tp>
      <tp t="e">
        <v>#N/A</v>
        <stp/>
        <stp>BDH|13844427731556702969</stp>
        <tr r="F20" s="29"/>
      </tp>
      <tp t="e">
        <v>#N/A</v>
        <stp/>
        <stp>BDH|18259504424115985156</stp>
        <tr r="Y34" s="13"/>
        <tr r="W27" s="10"/>
      </tp>
      <tp t="e">
        <v>#N/A</v>
        <stp/>
        <stp>BDH|13157119209159231010</stp>
        <tr r="R17" s="14"/>
      </tp>
      <tp t="e">
        <v>#N/A</v>
        <stp/>
        <stp>BDH|18243857154277076998</stp>
        <tr r="E148" s="18"/>
      </tp>
      <tp t="e">
        <v>#N/A</v>
        <stp/>
        <stp>BDH|11644514560508489190</stp>
        <tr r="Y11" s="20"/>
        <tr r="Y120" s="18"/>
      </tp>
      <tp t="e">
        <v>#N/A</v>
        <stp/>
        <stp>BDH|17198419319981249810</stp>
        <tr r="G202" s="18"/>
      </tp>
      <tp t="e">
        <v>#N/A</v>
        <stp/>
        <stp>BDH|11087621520859152799</stp>
        <tr r="N42" s="21"/>
      </tp>
      <tp t="e">
        <v>#N/A</v>
        <stp/>
        <stp>BDH|10514476531758840419</stp>
        <tr r="F38" s="22"/>
      </tp>
      <tp t="e">
        <v>#N/A</v>
        <stp/>
        <stp>BDH|14148086366790315969</stp>
        <tr r="W13" s="12"/>
      </tp>
      <tp t="e">
        <v>#N/A</v>
        <stp/>
        <stp>BDH|15892854300512421437</stp>
        <tr r="G61" s="21"/>
      </tp>
      <tp t="e">
        <v>#N/A</v>
        <stp/>
        <stp>BDH|18039747569053697111</stp>
        <tr r="U62" s="18"/>
      </tp>
      <tp t="e">
        <v>#N/A</v>
        <stp/>
        <stp>BDH|16086183191600200511</stp>
        <tr r="E137" s="18"/>
      </tp>
      <tp t="e">
        <v>#N/A</v>
        <stp/>
        <stp>BDH|13706954620582072185</stp>
        <tr r="W113" s="12"/>
      </tp>
      <tp t="e">
        <v>#N/A</v>
        <stp/>
        <stp>BDH|13931620364441242970</stp>
        <tr r="M34" s="9"/>
      </tp>
      <tp t="e">
        <v>#N/A</v>
        <stp/>
        <stp>BDH|11816113543519276622</stp>
        <tr r="L164" s="18"/>
      </tp>
      <tp t="e">
        <v>#N/A</v>
        <stp/>
        <stp>BDH|16944221395176024044</stp>
        <tr r="L23" s="20"/>
      </tp>
      <tp t="e">
        <v>#N/A</v>
        <stp/>
        <stp>BDH|17436774778055126907</stp>
        <tr r="Z172" s="18"/>
      </tp>
      <tp t="e">
        <v>#N/A</v>
        <stp/>
        <stp>BDH|15609265254421862866</stp>
        <tr r="H31" s="29"/>
      </tp>
      <tp t="e">
        <v>#N/A</v>
        <stp/>
        <stp>BDH|15540205521247832961</stp>
        <tr r="N14" s="28"/>
      </tp>
      <tp t="e">
        <v>#N/A</v>
        <stp/>
        <stp>BDH|17749782531320216864</stp>
        <tr r="Q9" s="29"/>
      </tp>
      <tp t="e">
        <v>#N/A</v>
        <stp/>
        <stp>BDH|18240545992688876760</stp>
        <tr r="S13" s="18"/>
      </tp>
      <tp t="e">
        <v>#N/A</v>
        <stp/>
        <stp>BDH|10828426398887980114</stp>
        <tr r="J9" s="13"/>
      </tp>
      <tp t="e">
        <v>#N/A</v>
        <stp/>
        <stp>BDH|14082982594908745717</stp>
        <tr r="Y27" s="18"/>
      </tp>
      <tp t="e">
        <v>#N/A</v>
        <stp/>
        <stp>BDH|12666432087997932219</stp>
        <tr r="M39" s="25"/>
        <tr r="M22" s="13"/>
        <tr r="M7" s="13"/>
        <tr r="K17" s="11"/>
        <tr r="M7" s="3"/>
      </tp>
      <tp t="e">
        <v>#N/A</v>
        <stp/>
        <stp>BDH|13652592162173415830</stp>
        <tr r="N11" s="28"/>
      </tp>
      <tp t="e">
        <v>#N/A</v>
        <stp/>
        <stp>BDH|13383130566846861941</stp>
        <tr r="C18" s="22"/>
      </tp>
      <tp t="e">
        <v>#N/A</v>
        <stp/>
        <stp>BDH|14256739849028237409</stp>
        <tr r="Y44" s="21"/>
      </tp>
      <tp t="e">
        <v>#N/A</v>
        <stp/>
        <stp>BDH|17035897541758067823</stp>
        <tr r="G46" s="21"/>
      </tp>
      <tp t="e">
        <v>#N/A</v>
        <stp/>
        <stp>BDH|15514382178233949961</stp>
        <tr r="AA34" s="25"/>
        <tr r="AA93" s="17"/>
      </tp>
      <tp t="e">
        <v>#N/A</v>
        <stp/>
        <stp>BDH|14471793804890615859</stp>
        <tr r="E32" s="22"/>
      </tp>
      <tp t="e">
        <v>#N/A</v>
        <stp/>
        <stp>BDH|17942820165506101455</stp>
        <tr r="U8" s="27"/>
      </tp>
      <tp t="e">
        <v>#N/A</v>
        <stp/>
        <stp>BDH|15158687474919938692</stp>
        <tr r="N47" s="17"/>
      </tp>
      <tp t="e">
        <v>#N/A</v>
        <stp/>
        <stp>BDH|10395079578269789563</stp>
        <tr r="E71" s="24"/>
      </tp>
      <tp t="e">
        <v>#N/A</v>
        <stp/>
        <stp>BDH|11917461824885708910</stp>
        <tr r="S53" s="13"/>
      </tp>
      <tp t="e">
        <v>#N/A</v>
        <stp/>
        <stp>BDH|13948668677128343161</stp>
        <tr r="J21" s="5"/>
      </tp>
      <tp t="e">
        <v>#N/A</v>
        <stp/>
        <stp>BDH|15208739020708449382</stp>
        <tr r="U36" s="6"/>
        <tr r="U17" s="5"/>
      </tp>
      <tp t="e">
        <v>#N/A</v>
        <stp/>
        <stp>BDH|13174901046592883724</stp>
        <tr r="Z83" s="12"/>
      </tp>
      <tp t="e">
        <v>#N/A</v>
        <stp/>
        <stp>BDH|14012896631444584004</stp>
        <tr r="AA54" s="17"/>
        <tr r="AA17" s="3"/>
      </tp>
      <tp t="e">
        <v>#N/A</v>
        <stp/>
        <stp>BDH|15121768469086722946</stp>
        <tr r="O22" s="24"/>
      </tp>
      <tp t="e">
        <v>#N/A</v>
        <stp/>
        <stp>BDH|17610666560925929942</stp>
        <tr r="G56" s="6"/>
      </tp>
      <tp t="e">
        <v>#N/A</v>
        <stp/>
        <stp>BDH|11999030940756730800</stp>
        <tr r="R206" s="18"/>
      </tp>
      <tp t="e">
        <v>#N/A</v>
        <stp/>
        <stp>BDH|17934538323272117955</stp>
        <tr r="S22" s="20"/>
      </tp>
      <tp t="e">
        <v>#N/A</v>
        <stp/>
        <stp>BDH|11329097387045688760</stp>
        <tr r="O82" s="24"/>
      </tp>
      <tp t="e">
        <v>#N/A</v>
        <stp/>
        <stp>BDH|16862921081754478824</stp>
        <tr r="W41" s="34"/>
      </tp>
      <tp t="e">
        <v>#N/A</v>
        <stp/>
        <stp>BDH|13749444678393043864</stp>
        <tr r="I61" s="17"/>
      </tp>
      <tp t="e">
        <v>#N/A</v>
        <stp/>
        <stp>BDH|13821344144729326660</stp>
        <tr r="W63" s="34"/>
      </tp>
      <tp t="e">
        <v>#N/A</v>
        <stp/>
        <stp>BDH|10188094435911535954</stp>
        <tr r="X22" s="21"/>
      </tp>
      <tp t="e">
        <v>#N/A</v>
        <stp/>
        <stp>BDH|10906045010372769872</stp>
        <tr r="M169" s="18"/>
      </tp>
      <tp t="e">
        <v>#N/A</v>
        <stp/>
        <stp>BDH|10648583231849455468</stp>
        <tr r="O22" s="20"/>
      </tp>
      <tp t="e">
        <v>#N/A</v>
        <stp/>
        <stp>BDH|12333324772454616980</stp>
        <tr r="Y61" s="11"/>
        <tr r="Y70" s="10"/>
        <tr r="Y20" s="7"/>
      </tp>
      <tp t="e">
        <v>#N/A</v>
        <stp/>
        <stp>BDH|17705385044583665807</stp>
        <tr r="X105" s="18"/>
      </tp>
      <tp t="e">
        <v>#N/A</v>
        <stp/>
        <stp>BDH|14661893771349200917</stp>
        <tr r="E10" s="24"/>
      </tp>
      <tp t="e">
        <v>#N/A</v>
        <stp/>
        <stp>BDH|10445150574939898404</stp>
        <tr r="X61" s="17"/>
      </tp>
      <tp t="e">
        <v>#N/A</v>
        <stp/>
        <stp>BDH|14688630294486999655</stp>
        <tr r="H76" s="17"/>
      </tp>
      <tp t="e">
        <v>#N/A</v>
        <stp/>
        <stp>BDH|15645086581630478663</stp>
        <tr r="K8" s="12"/>
      </tp>
      <tp t="e">
        <v>#N/A</v>
        <stp/>
        <stp>BDH|14068814120776854340</stp>
        <tr r="E65" s="10"/>
        <tr r="E25" s="4"/>
      </tp>
      <tp t="e">
        <v>#N/A</v>
        <stp/>
        <stp>BDH|16646230349413004810</stp>
        <tr r="V26" s="7"/>
      </tp>
      <tp t="e">
        <v>#N/A</v>
        <stp/>
        <stp>BDH|10394772789302289627</stp>
        <tr r="U55" s="13"/>
        <tr r="S37" s="11"/>
        <tr r="S46" s="10"/>
        <tr r="S53" s="4"/>
        <tr r="S18" s="2"/>
      </tp>
      <tp t="e">
        <v>#N/A</v>
        <stp/>
        <stp>BDH|14113470844386800975</stp>
        <tr r="X91" s="24"/>
      </tp>
      <tp t="e">
        <v>#N/A</v>
        <stp/>
        <stp>BDH|15337990952315306765</stp>
        <tr r="L60" s="18"/>
      </tp>
      <tp t="e">
        <v>#N/A</v>
        <stp/>
        <stp>BDH|13466065099679039863</stp>
        <tr r="R103" s="12"/>
      </tp>
      <tp t="e">
        <v>#N/A</v>
        <stp/>
        <stp>BDH|13175718719949602723</stp>
        <tr r="E21" s="22"/>
      </tp>
      <tp t="e">
        <v>#N/A</v>
        <stp/>
        <stp>BDH|10271136013979748288</stp>
        <tr r="D27" s="22"/>
      </tp>
      <tp t="e">
        <v>#N/A</v>
        <stp/>
        <stp>BDH|13970638490247729014</stp>
        <tr r="L26" s="14"/>
      </tp>
      <tp t="e">
        <v>#N/A</v>
        <stp/>
        <stp>BDH|13025321920570791994</stp>
        <tr r="D41" s="18"/>
      </tp>
      <tp t="e">
        <v>#N/A</v>
        <stp/>
        <stp>BDH|13602968326624202785</stp>
        <tr r="V20" s="22"/>
      </tp>
      <tp t="e">
        <v>#N/A</v>
        <stp/>
        <stp>BDH|14169239064489824223</stp>
        <tr r="AA17" s="12"/>
      </tp>
      <tp t="e">
        <v>#N/A</v>
        <stp/>
        <stp>BDH|13582976879542107462</stp>
        <tr r="O33" s="13"/>
        <tr r="M26" s="10"/>
      </tp>
      <tp t="e">
        <v>#N/A</v>
        <stp/>
        <stp>BDH|16959598230209573291</stp>
        <tr r="S61" s="13"/>
        <tr r="Q48" s="11"/>
        <tr r="Q57" s="10"/>
        <tr r="Q18" s="7"/>
      </tp>
      <tp t="e">
        <v>#N/A</v>
        <stp/>
        <stp>BDH|14305180571751674809</stp>
        <tr r="AA14" s="28"/>
      </tp>
      <tp t="e">
        <v>#N/A</v>
        <stp/>
        <stp>BDH|10784780995811181470</stp>
        <tr r="S33" s="17"/>
      </tp>
      <tp t="e">
        <v>#N/A</v>
        <stp/>
        <stp>BDH|18188202070322536482</stp>
        <tr r="I52" s="17"/>
      </tp>
      <tp t="e">
        <v>#N/A</v>
        <stp/>
        <stp>BDH|16108059511269124581</stp>
        <tr r="L25" s="14"/>
      </tp>
      <tp t="e">
        <v>#N/A</v>
        <stp/>
        <stp>BDH|16988554281725471554</stp>
        <tr r="K159" s="18"/>
      </tp>
      <tp t="e">
        <v>#N/A</v>
        <stp/>
        <stp>BDH|13407174494230373089</stp>
        <tr r="E10" s="26"/>
      </tp>
      <tp t="e">
        <v>#N/A</v>
        <stp/>
        <stp>BDH|17262808769781148362</stp>
        <tr r="C7" s="9"/>
        <tr r="C7" s="5"/>
        <tr r="F14" s="3"/>
        <tr r="D7" s="2"/>
      </tp>
      <tp t="e">
        <v>#N/A</v>
        <stp/>
        <stp>BDH|10981531094260309715</stp>
        <tr r="R85" s="12"/>
      </tp>
      <tp t="e">
        <v>#N/A</v>
        <stp/>
        <stp>BDH|16958750584183520118</stp>
        <tr r="D28" s="21"/>
      </tp>
      <tp t="e">
        <v>#N/A</v>
        <stp/>
        <stp>BDH|13182946719163565357</stp>
        <tr r="U9" s="30"/>
      </tp>
      <tp t="e">
        <v>#N/A</v>
        <stp/>
        <stp>BDH|13318644844953989968</stp>
        <tr r="Q61" s="11"/>
        <tr r="Q70" s="10"/>
        <tr r="Q20" s="7"/>
      </tp>
      <tp t="e">
        <v>#N/A</v>
        <stp/>
        <stp>BDH|15453720053258933407</stp>
        <tr r="O58" s="18"/>
      </tp>
      <tp t="e">
        <v>#N/A</v>
        <stp/>
        <stp>BDH|11076898123351568138</stp>
        <tr r="I47" s="6"/>
      </tp>
      <tp t="e">
        <v>#N/A</v>
        <stp/>
        <stp>BDH|18332592013100432711</stp>
        <tr r="H39" s="18"/>
      </tp>
      <tp t="e">
        <v>#N/A</v>
        <stp/>
        <stp>BDH|12469420398141550573</stp>
        <tr r="L34" s="13"/>
        <tr r="J27" s="10"/>
      </tp>
      <tp t="e">
        <v>#N/A</v>
        <stp/>
        <stp>BDH|12779630782733307491</stp>
        <tr r="D16" s="10"/>
      </tp>
      <tp t="e">
        <v>#N/A</v>
        <stp/>
        <stp>BDH|15650759515988279083</stp>
        <tr r="Y138" s="18"/>
      </tp>
      <tp t="e">
        <v>#N/A</v>
        <stp/>
        <stp>BDH|17131521365308960736</stp>
        <tr r="V32" s="24"/>
      </tp>
      <tp t="e">
        <v>#N/A</v>
        <stp/>
        <stp>BDH|10324814279152048673</stp>
        <tr r="AA58" s="13"/>
        <tr r="Y47" s="11"/>
        <tr r="Y56" s="10"/>
        <tr r="Y17" s="7"/>
        <tr r="Y17" s="4"/>
        <tr r="AA10" s="3"/>
      </tp>
      <tp t="e">
        <v>#N/A</v>
        <stp/>
        <stp>BDH|16370495595775446571</stp>
        <tr r="R28" s="12"/>
      </tp>
      <tp t="e">
        <v>#N/A</v>
        <stp/>
        <stp>BDH|17204936607073313697</stp>
        <tr r="Q55" s="21"/>
      </tp>
      <tp t="e">
        <v>#N/A</v>
        <stp/>
        <stp>BDH|12063864458393605745</stp>
        <tr r="I43" s="11"/>
        <tr r="I52" s="10"/>
        <tr r="I15" s="7"/>
      </tp>
      <tp t="e">
        <v>#N/A</v>
        <stp/>
        <stp>BDH|13783394865989339442</stp>
        <tr r="E41" s="29"/>
        <tr r="E18" s="29"/>
      </tp>
      <tp t="e">
        <v>#N/A</v>
        <stp/>
        <stp>BDH|13901888738017455419</stp>
        <tr r="R100" s="18"/>
      </tp>
      <tp t="e">
        <v>#N/A</v>
        <stp/>
        <stp>BDH|14173721480624637497</stp>
        <tr r="Y22" s="34"/>
      </tp>
      <tp t="e">
        <v>#N/A</v>
        <stp/>
        <stp>BDH|16935138735757172810</stp>
        <tr r="Y156" s="18"/>
      </tp>
      <tp t="e">
        <v>#N/A</v>
        <stp/>
        <stp>BDH|16048281110297540928</stp>
        <tr r="M14" s="21"/>
      </tp>
      <tp t="e">
        <v>#N/A</v>
        <stp/>
        <stp>BDH|10126173374628585584</stp>
        <tr r="E14" s="12"/>
      </tp>
      <tp t="e">
        <v>#N/A</v>
        <stp/>
        <stp>BDH|14836836850850349272</stp>
        <tr r="C8" s="26"/>
      </tp>
      <tp t="e">
        <v>#N/A</v>
        <stp/>
        <stp>BDH|12345989930271773232</stp>
        <tr r="L49" s="34"/>
      </tp>
      <tp t="e">
        <v>#N/A</v>
        <stp/>
        <stp>BDH|12203783234849530442</stp>
        <tr r="V33" s="13"/>
        <tr r="T26" s="10"/>
      </tp>
      <tp t="e">
        <v>#N/A</v>
        <stp/>
        <stp>BDH|12112196627483281922</stp>
        <tr r="T25" s="29"/>
        <tr r="T19" s="29"/>
        <tr r="T10" s="29"/>
        <tr r="R6" s="9"/>
        <tr r="T12" s="8"/>
        <tr r="R6" s="5"/>
        <tr r="S6" s="2"/>
      </tp>
      <tp t="e">
        <v>#N/A</v>
        <stp/>
        <stp>BDH|13313541017495880973</stp>
        <tr r="D64" s="21"/>
      </tp>
      <tp t="e">
        <v>#N/A</v>
        <stp/>
        <stp>BDH|12136366648039990793</stp>
        <tr r="D14" s="10"/>
      </tp>
      <tp t="e">
        <v>#N/A</v>
        <stp/>
        <stp>BDH|11323969418537751555</stp>
        <tr r="I23" s="11"/>
      </tp>
      <tp t="e">
        <v>#N/A</v>
        <stp/>
        <stp>BDH|12985960849387153383</stp>
        <tr r="Y65" s="17"/>
      </tp>
      <tp t="e">
        <v>#N/A</v>
        <stp/>
        <stp>BDH|14139353630527213898</stp>
        <tr r="G61" s="34"/>
      </tp>
      <tp t="e">
        <v>#N/A</v>
        <stp/>
        <stp>BDH|12061630094646869005</stp>
        <tr r="M25" s="29"/>
        <tr r="M19" s="29"/>
        <tr r="M10" s="29"/>
        <tr r="K6" s="9"/>
        <tr r="M12" s="8"/>
        <tr r="K6" s="5"/>
        <tr r="L6" s="2"/>
      </tp>
      <tp t="e">
        <v>#N/A</v>
        <stp/>
        <stp>BDH|10840254291520467070</stp>
        <tr r="AA59" s="12"/>
      </tp>
      <tp t="e">
        <v>#N/A</v>
        <stp/>
        <stp>BDH|12805013563409349661</stp>
        <tr r="R195" s="18"/>
      </tp>
      <tp t="e">
        <v>#N/A</v>
        <stp/>
        <stp>BDH|16683654192442732099</stp>
        <tr r="E7" s="27"/>
        <tr r="E95" s="17"/>
      </tp>
      <tp t="e">
        <v>#N/A</v>
        <stp/>
        <stp>BDH|11114964926300730194</stp>
        <tr r="F57" s="18"/>
      </tp>
      <tp t="e">
        <v>#N/A</v>
        <stp/>
        <stp>BDH|10891254902900714974</stp>
        <tr r="V15" s="12"/>
      </tp>
      <tp t="e">
        <v>#N/A</v>
        <stp/>
        <stp>BDH|17046824669387176555</stp>
        <tr r="V72" s="24"/>
      </tp>
      <tp t="e">
        <v>#N/A</v>
        <stp/>
        <stp>BDH|18083762468441884397</stp>
        <tr r="C47" s="21"/>
      </tp>
      <tp t="e">
        <v>#N/A</v>
        <stp/>
        <stp>BDH|12572932119290309136</stp>
        <tr r="Y7" s="28"/>
      </tp>
      <tp t="e">
        <v>#N/A</v>
        <stp/>
        <stp>BDH|17565562623252736985</stp>
        <tr r="F16" s="6"/>
      </tp>
      <tp t="e">
        <v>#N/A</v>
        <stp/>
        <stp>BDH|15044601739492506936</stp>
        <tr r="N20" s="25"/>
      </tp>
      <tp t="e">
        <v>#N/A</v>
        <stp/>
        <stp>BDH|15602990494947594917</stp>
        <tr r="W39" s="26"/>
      </tp>
      <tp t="e">
        <v>#N/A</v>
        <stp/>
        <stp>BDH|11452407377148862143</stp>
        <tr r="U204" s="18"/>
      </tp>
      <tp t="e">
        <v>#N/A</v>
        <stp/>
        <stp>BDH|17638908199899850580</stp>
        <tr r="U38" s="26"/>
      </tp>
      <tp t="e">
        <v>#N/A</v>
        <stp/>
        <stp>BDH|10561881526207078647</stp>
        <tr r="H60" s="12"/>
      </tp>
      <tp t="e">
        <v>#N/A</v>
        <stp/>
        <stp>BDH|13240850416376650787</stp>
        <tr r="O208" s="18"/>
      </tp>
      <tp t="e">
        <v>#N/A</v>
        <stp/>
        <stp>BDH|15497784862706282936</stp>
        <tr r="H6" s="20"/>
        <tr r="H116" s="18"/>
      </tp>
      <tp t="e">
        <v>#N/A</v>
        <stp/>
        <stp>BDH|14965914764454053437</stp>
        <tr r="G123" s="12"/>
      </tp>
      <tp t="e">
        <v>#N/A</v>
        <stp/>
        <stp>BDH|18170863283911987221</stp>
        <tr r="Q24" s="20"/>
      </tp>
      <tp t="e">
        <v>#N/A</v>
        <stp/>
        <stp>BDH|13921335785920134319</stp>
        <tr r="M18" s="25"/>
      </tp>
      <tp t="e">
        <v>#N/A</v>
        <stp/>
        <stp>BDH|17822568179709832715</stp>
        <tr r="J47" s="18"/>
      </tp>
      <tp t="e">
        <v>#N/A</v>
        <stp/>
        <stp>BDH|10714612102895826823</stp>
        <tr r="M6" s="19"/>
        <tr r="M37" s="17"/>
        <tr r="M16" s="3"/>
      </tp>
      <tp t="e">
        <v>#N/A</v>
        <stp/>
        <stp>BDH|16381930050200764196</stp>
        <tr r="Y82" s="18"/>
      </tp>
      <tp t="e">
        <v>#N/A</v>
        <stp/>
        <stp>BDH|11080482585564547261</stp>
        <tr r="Z70" s="12"/>
      </tp>
      <tp t="e">
        <v>#N/A</v>
        <stp/>
        <stp>BDH|14912416317869007315</stp>
        <tr r="N34" s="26"/>
      </tp>
      <tp t="e">
        <v>#N/A</v>
        <stp/>
        <stp>BDH|15311570512462172898</stp>
        <tr r="J12" s="6"/>
      </tp>
      <tp t="e">
        <v>#N/A</v>
        <stp/>
        <stp>BDH|14301734711309685095</stp>
        <tr r="X33" s="14"/>
      </tp>
      <tp t="e">
        <v>#N/A</v>
        <stp/>
        <stp>BDH|15653138395710822662</stp>
        <tr r="Q140" s="18"/>
      </tp>
      <tp t="e">
        <v>#N/A</v>
        <stp/>
        <stp>BDH|16316391633099007479</stp>
        <tr r="Q94" s="12"/>
      </tp>
      <tp t="e">
        <v>#N/A</v>
        <stp/>
        <stp>BDH|13158631783731989762</stp>
        <tr r="Q26" s="22"/>
      </tp>
      <tp t="e">
        <v>#N/A</v>
        <stp/>
        <stp>BDH|18102691110850760416</stp>
        <tr r="L60" s="11"/>
      </tp>
      <tp t="e">
        <v>#N/A</v>
        <stp/>
        <stp>BDH|10692141362228748496</stp>
        <tr r="O194" s="18"/>
      </tp>
      <tp t="e">
        <v>#N/A</v>
        <stp/>
        <stp>BDH|17952660540809173702</stp>
        <tr r="Z31" s="26"/>
        <tr r="W14" s="9"/>
      </tp>
      <tp t="e">
        <v>#N/A</v>
        <stp/>
        <stp>BDH|12440112089492140239</stp>
        <tr r="O60" s="18"/>
      </tp>
      <tp t="e">
        <v>#N/A</v>
        <stp/>
        <stp>BDH|16094963816544738193</stp>
        <tr r="G15" s="18"/>
      </tp>
      <tp t="e">
        <v>#N/A</v>
        <stp/>
        <stp>BDH|10210407448378485300</stp>
        <tr r="Z17" s="28"/>
        <tr r="Z14" s="17"/>
      </tp>
      <tp t="e">
        <v>#N/A</v>
        <stp/>
        <stp>BDH|17390744598901619379</stp>
        <tr r="N26" s="24"/>
      </tp>
      <tp t="e">
        <v>#N/A</v>
        <stp/>
        <stp>BDH|17439407471639864638</stp>
        <tr r="X7" s="10"/>
      </tp>
      <tp t="e">
        <v>#N/A</v>
        <stp/>
        <stp>BDH|18383260370024257291</stp>
        <tr r="R11" s="13"/>
      </tp>
      <tp t="e">
        <v>#N/A</v>
        <stp/>
        <stp>BDH|12840804009416907768</stp>
        <tr r="P81" s="24"/>
      </tp>
      <tp t="e">
        <v>#N/A</v>
        <stp/>
        <stp>BDH|12609779983620533690</stp>
        <tr r="G14" s="6"/>
      </tp>
      <tp t="e">
        <v>#N/A</v>
        <stp/>
        <stp>BDH|16228801760236875545</stp>
        <tr r="T19" s="21"/>
        <tr r="T23" s="3"/>
        <tr r="R23" s="2"/>
      </tp>
      <tp t="e">
        <v>#N/A</v>
        <stp/>
        <stp>BDH|15018055996263960443</stp>
        <tr r="L132" s="18"/>
      </tp>
      <tp t="e">
        <v>#N/A</v>
        <stp/>
        <stp>BDH|12295718085655940310</stp>
        <tr r="L51" s="12"/>
      </tp>
      <tp t="e">
        <v>#N/A</v>
        <stp/>
        <stp>BDH|10095599688140914663</stp>
        <tr r="K8" s="24"/>
      </tp>
      <tp t="e">
        <v>#N/A</v>
        <stp/>
        <stp>BDH|17248267098001648645</stp>
        <tr r="T26" s="7"/>
      </tp>
      <tp t="e">
        <v>#N/A</v>
        <stp/>
        <stp>BDH|10823626504114578953</stp>
        <tr r="Q171" s="18"/>
      </tp>
      <tp t="e">
        <v>#N/A</v>
        <stp/>
        <stp>BDH|16446430495724568494</stp>
        <tr r="H161" s="18"/>
      </tp>
      <tp t="e">
        <v>#N/A</v>
        <stp/>
        <stp>BDH|14135877254013560193</stp>
        <tr r="O21" s="10"/>
      </tp>
      <tp t="e">
        <v>#N/A</v>
        <stp/>
        <stp>BDH|11700922739465601547</stp>
        <tr r="D198" s="18"/>
      </tp>
      <tp t="e">
        <v>#N/A</v>
        <stp/>
        <stp>BDH|17833124618675951955</stp>
        <tr r="Q57" s="6"/>
      </tp>
      <tp t="e">
        <v>#N/A</v>
        <stp/>
        <stp>BDH|12033543192787964211</stp>
        <tr r="I37" s="29"/>
        <tr r="I23" s="29"/>
        <tr r="I14" s="29"/>
      </tp>
      <tp t="e">
        <v>#N/A</v>
        <stp/>
        <stp>BDH|17161992947640716163</stp>
        <tr r="N73" s="24"/>
      </tp>
      <tp t="e">
        <v>#N/A</v>
        <stp/>
        <stp>BDH|17998443053165388834</stp>
        <tr r="E20" s="24"/>
      </tp>
      <tp t="e">
        <v>#N/A</v>
        <stp/>
        <stp>BDH|18249790457686604745</stp>
        <tr r="T29" s="22"/>
      </tp>
      <tp t="e">
        <v>#N/A</v>
        <stp/>
        <stp>BDH|18365115402494710693</stp>
        <tr r="G11" s="29"/>
      </tp>
      <tp t="e">
        <v>#N/A</v>
        <stp/>
        <stp>BDH|12331938916433135298</stp>
        <tr r="U38" s="21"/>
        <tr r="U24" s="3"/>
      </tp>
      <tp t="e">
        <v>#N/A</v>
        <stp/>
        <stp>BDH|18324219586960239985</stp>
        <tr r="E105" s="18"/>
      </tp>
      <tp t="e">
        <v>#N/A</v>
        <stp/>
        <stp>BDH|14196845789949481669</stp>
        <tr r="X189" s="18"/>
      </tp>
      <tp t="e">
        <v>#N/A</v>
        <stp/>
        <stp>BDH|14995027299152884443</stp>
        <tr r="Z113" s="18"/>
      </tp>
      <tp t="e">
        <v>#N/A</v>
        <stp/>
        <stp>BDH|11664214792883358174</stp>
        <tr r="I9" s="20"/>
        <tr r="I119" s="18"/>
      </tp>
      <tp t="e">
        <v>#N/A</v>
        <stp/>
        <stp>BDH|11601957374482398551</stp>
        <tr r="I22" s="20"/>
      </tp>
      <tp t="e">
        <v>#N/A</v>
        <stp/>
        <stp>BDH|11050679497076653073</stp>
        <tr r="D31" s="9"/>
      </tp>
      <tp t="e">
        <v>#N/A</v>
        <stp/>
        <stp>BDH|12660628161219704335</stp>
        <tr r="R8" s="25"/>
        <tr r="O10" s="5"/>
        <tr r="P9" s="2"/>
      </tp>
      <tp t="e">
        <v>#N/A</v>
        <stp/>
        <stp>BDH|14180376993170008646</stp>
        <tr r="I47" s="21"/>
      </tp>
      <tp t="e">
        <v>#N/A</v>
        <stp/>
        <stp>BDH|17608985638673038679</stp>
        <tr r="N121" s="12"/>
      </tp>
      <tp t="e">
        <v>#N/A</v>
        <stp/>
        <stp>BDH|11415910124470184215</stp>
        <tr r="M36" s="17"/>
      </tp>
      <tp t="e">
        <v>#N/A</v>
        <stp/>
        <stp>BDH|11245622355233355979</stp>
        <tr r="M16" s="27"/>
        <tr r="M30" s="25"/>
      </tp>
      <tp t="e">
        <v>#N/A</v>
        <stp/>
        <stp>BDH|12891802059575864280</stp>
        <tr r="R18" s="24"/>
      </tp>
      <tp t="e">
        <v>#N/A</v>
        <stp/>
        <stp>BDH|13692356855215756807</stp>
        <tr r="S20" s="25"/>
      </tp>
      <tp t="e">
        <v>#N/A</v>
        <stp/>
        <stp>BDH|14591766483382807193</stp>
        <tr r="T33" s="12"/>
      </tp>
      <tp t="e">
        <v>#N/A</v>
        <stp/>
        <stp>BDH|13505054675668442409</stp>
        <tr r="D10" s="10"/>
      </tp>
      <tp t="e">
        <v>#N/A</v>
        <stp/>
        <stp>BDH|15384383999432271516</stp>
        <tr r="Y11" s="14"/>
      </tp>
      <tp t="e">
        <v>#N/A</v>
        <stp/>
        <stp>BDH|18397682477692915342</stp>
        <tr r="H68" s="10"/>
      </tp>
      <tp t="e">
        <v>#N/A</v>
        <stp/>
        <stp>BDH|18123805597581596025</stp>
        <tr r="AA35" s="34"/>
      </tp>
      <tp t="e">
        <v>#N/A</v>
        <stp/>
        <stp>BDH|15382738782413231119</stp>
        <tr r="O11" s="18"/>
      </tp>
      <tp t="e">
        <v>#N/A</v>
        <stp/>
        <stp>BDH|17587817212734256253</stp>
        <tr r="K207" s="18"/>
      </tp>
      <tp t="e">
        <v>#N/A</v>
        <stp/>
        <stp>BDH|17696848564797387643</stp>
        <tr r="AA77" s="17"/>
      </tp>
      <tp t="e">
        <v>#N/A</v>
        <stp/>
        <stp>BDH|17289175796290728750</stp>
        <tr r="L24" s="2"/>
      </tp>
      <tp t="e">
        <v>#N/A</v>
        <stp/>
        <stp>BDH|11575720980833208542</stp>
        <tr r="H24" s="29"/>
      </tp>
      <tp t="e">
        <v>#N/A</v>
        <stp/>
        <stp>BDH|15606775075239497413</stp>
        <tr r="Y67" s="18"/>
      </tp>
      <tp t="e">
        <v>#N/A</v>
        <stp/>
        <stp>BDH|11056530867498259278</stp>
        <tr r="C112" s="18"/>
      </tp>
      <tp t="e">
        <v>#N/A</v>
        <stp/>
        <stp>BDH|10269294418968503377</stp>
        <tr r="X72" s="17"/>
      </tp>
      <tp t="e">
        <v>#N/A</v>
        <stp/>
        <stp>BDH|12778441091823251418</stp>
        <tr r="H34" s="24"/>
      </tp>
      <tp t="e">
        <v>#N/A</v>
        <stp/>
        <stp>BDH|16670475588032152094</stp>
        <tr r="V19" s="20"/>
      </tp>
      <tp t="e">
        <v>#N/A</v>
        <stp/>
        <stp>BDH|17845232737229930744</stp>
        <tr r="G147" s="18"/>
      </tp>
      <tp t="e">
        <v>#N/A</v>
        <stp/>
        <stp>BDH|16733349330697575979</stp>
        <tr r="M61" s="11"/>
        <tr r="M70" s="10"/>
        <tr r="M20" s="7"/>
      </tp>
      <tp t="e">
        <v>#N/A</v>
        <stp/>
        <stp>BDH|10795035534852304924</stp>
        <tr r="L153" s="18"/>
      </tp>
      <tp t="e">
        <v>#N/A</v>
        <stp/>
        <stp>BDH|13162903466526144274</stp>
        <tr r="N53" s="17"/>
      </tp>
      <tp t="e">
        <v>#N/A</v>
        <stp/>
        <stp>BDH|16876147786261327680</stp>
        <tr r="V56" s="34"/>
      </tp>
      <tp t="e">
        <v>#N/A</v>
        <stp/>
        <stp>BDH|13294485968920030931</stp>
        <tr r="AA89" s="18"/>
      </tp>
      <tp t="e">
        <v>#N/A</v>
        <stp/>
        <stp>BDH|18273938023393333808</stp>
        <tr r="W17" s="23"/>
      </tp>
      <tp t="e">
        <v>#N/A</v>
        <stp/>
        <stp>BDH|14949966758034079462</stp>
        <tr r="L71" s="24"/>
      </tp>
      <tp t="e">
        <v>#N/A</v>
        <stp/>
        <stp>BDH|10488252790262478148</stp>
        <tr r="M62" s="18"/>
      </tp>
      <tp t="e">
        <v>#N/A</v>
        <stp/>
        <stp>BDH|10599526566349396233</stp>
        <tr r="D106" s="12"/>
      </tp>
      <tp t="e">
        <v>#N/A</v>
        <stp/>
        <stp>BDH|17983544916123331898</stp>
        <tr r="L50" s="13"/>
      </tp>
      <tp t="e">
        <v>#N/A</v>
        <stp/>
        <stp>BDH|15767123402505432925</stp>
        <tr r="V27" s="6"/>
      </tp>
      <tp t="e">
        <v>#N/A</v>
        <stp/>
        <stp>BDH|10375008890097784651</stp>
        <tr r="H78" s="12"/>
      </tp>
      <tp t="e">
        <v>#N/A</v>
        <stp/>
        <stp>BDH|12525807010301451206</stp>
        <tr r="Z9" s="21"/>
      </tp>
      <tp t="e">
        <v>#N/A</v>
        <stp/>
        <stp>BDH|14145462695131034031</stp>
        <tr r="AA34" s="26"/>
      </tp>
      <tp t="e">
        <v>#N/A</v>
        <stp/>
        <stp>BDH|15765730907123159937</stp>
        <tr r="N44" s="22"/>
      </tp>
      <tp t="e">
        <v>#N/A</v>
        <stp/>
        <stp>BDH|18000986615331488989</stp>
        <tr r="W99" s="18"/>
      </tp>
      <tp t="e">
        <v>#N/A</v>
        <stp/>
        <stp>BDH|17111121966810148858</stp>
        <tr r="H25" s="10"/>
      </tp>
      <tp t="e">
        <v>#N/A</v>
        <stp/>
        <stp>BDH|15932439241244949927</stp>
        <tr r="W123" s="12"/>
      </tp>
      <tp t="e">
        <v>#N/A</v>
        <stp/>
        <stp>BDH|11595599561998967244</stp>
        <tr r="F55" s="12"/>
      </tp>
      <tp t="e">
        <v>#N/A</v>
        <stp/>
        <stp>BDH|15508880169622483105</stp>
        <tr r="Q26" s="13"/>
      </tp>
      <tp t="e">
        <v>#N/A</v>
        <stp/>
        <stp>BDH|14591509255558792477</stp>
        <tr r="G55" s="13"/>
        <tr r="E37" s="11"/>
        <tr r="E46" s="10"/>
        <tr r="E53" s="4"/>
        <tr r="E18" s="2"/>
      </tp>
      <tp t="e">
        <v>#N/A</v>
        <stp/>
        <stp>BDH|12397667194813949688</stp>
        <tr r="Q10" s="8"/>
        <tr r="O53" s="6"/>
      </tp>
      <tp t="e">
        <v>#N/A</v>
        <stp/>
        <stp>BDH|14671007520608566639</stp>
        <tr r="I21" s="9"/>
      </tp>
      <tp t="e">
        <v>#N/A</v>
        <stp/>
        <stp>BDH|13708176350119705678</stp>
        <tr r="F49" s="24"/>
      </tp>
      <tp t="e">
        <v>#N/A</v>
        <stp/>
        <stp>BDH|16917106985890449784</stp>
        <tr r="J117" s="12"/>
      </tp>
      <tp t="e">
        <v>#N/A</v>
        <stp/>
        <stp>BDH|14395265000108455617</stp>
        <tr r="J201" s="18"/>
      </tp>
      <tp t="e">
        <v>#N/A</v>
        <stp/>
        <stp>BDH|13902874929941703003</stp>
        <tr r="O22" s="6"/>
      </tp>
      <tp t="e">
        <v>#N/A</v>
        <stp/>
        <stp>BDH|11633838401229439807</stp>
        <tr r="T21" s="17"/>
      </tp>
      <tp t="e">
        <v>#N/A</v>
        <stp/>
        <stp>BDH|17423974903577992197</stp>
        <tr r="N49" s="24"/>
      </tp>
      <tp t="e">
        <v>#N/A</v>
        <stp/>
        <stp>BDH|12640169535280010852</stp>
        <tr r="L35" s="22"/>
      </tp>
      <tp t="e">
        <v>#N/A</v>
        <stp/>
        <stp>BDH|11779538391016662335</stp>
        <tr r="O15" s="10"/>
      </tp>
      <tp t="e">
        <v>#N/A</v>
        <stp/>
        <stp>BDH|12347389204729971061</stp>
        <tr r="Y61" s="21"/>
      </tp>
      <tp t="e">
        <v>#N/A</v>
        <stp/>
        <stp>BDH|10075338295802346050</stp>
        <tr r="P43" s="12"/>
      </tp>
      <tp t="e">
        <v>#N/A</v>
        <stp/>
        <stp>BDH|13055540457993174829</stp>
        <tr r="G23" s="6"/>
      </tp>
      <tp t="e">
        <v>#N/A</v>
        <stp/>
        <stp>BDH|16353987595396753896</stp>
        <tr r="W63" s="11"/>
        <tr r="W72" s="10"/>
      </tp>
      <tp t="e">
        <v>#N/A</v>
        <stp/>
        <stp>BDH|18316940275387240904</stp>
        <tr r="G62" s="13"/>
      </tp>
      <tp t="e">
        <v>#N/A</v>
        <stp/>
        <stp>BDH|17188751973866077976</stp>
        <tr r="Y9" s="8"/>
        <tr r="W52" s="6"/>
      </tp>
      <tp t="e">
        <v>#N/A</v>
        <stp/>
        <stp>BDH|14778570236428164272</stp>
        <tr r="X146" s="18"/>
      </tp>
      <tp t="e">
        <v>#N/A</v>
        <stp/>
        <stp>BDH|13403814950903521508</stp>
        <tr r="Z45" s="12"/>
      </tp>
      <tp t="e">
        <v>#N/A</v>
        <stp/>
        <stp>BDH|16284878145515040706</stp>
        <tr r="V24" s="29"/>
      </tp>
      <tp t="e">
        <v>#N/A</v>
        <stp/>
        <stp>BDH|12392288346699461594</stp>
        <tr r="Z30" s="21"/>
      </tp>
      <tp t="e">
        <v>#N/A</v>
        <stp/>
        <stp>BDH|14618035127448774652</stp>
        <tr r="Z10" s="34"/>
      </tp>
      <tp t="e">
        <v>#N/A</v>
        <stp/>
        <stp>BDH|16548261804239055577</stp>
        <tr r="C51" s="18"/>
      </tp>
      <tp t="e">
        <v>#N/A</v>
        <stp/>
        <stp>BDH|14158926543924392537</stp>
        <tr r="M49" s="12"/>
      </tp>
      <tp t="e">
        <v>#N/A</v>
        <stp/>
        <stp>BDH|12230711163598050306</stp>
        <tr r="S24" s="22"/>
      </tp>
      <tp t="e">
        <v>#N/A</v>
        <stp/>
        <stp>BDH|11459153266216170867</stp>
        <tr r="F50" s="17"/>
      </tp>
      <tp t="e">
        <v>#N/A</v>
        <stp/>
        <stp>BDH|14105627743129304732</stp>
        <tr r="U72" s="18"/>
      </tp>
      <tp t="e">
        <v>#N/A</v>
        <stp/>
        <stp>BDH|11084638987284164350</stp>
        <tr r="I61" s="24"/>
      </tp>
      <tp t="e">
        <v>#N/A</v>
        <stp/>
        <stp>BDH|10723611942902154865</stp>
        <tr r="M163" s="18"/>
      </tp>
      <tp t="e">
        <v>#N/A</v>
        <stp/>
        <stp>BDH|16922006751303994824</stp>
        <tr r="K112" s="12"/>
      </tp>
      <tp t="e">
        <v>#N/A</v>
        <stp/>
        <stp>BDH|10240349641616025940</stp>
        <tr r="AA213" s="18"/>
      </tp>
      <tp t="e">
        <v>#N/A</v>
        <stp/>
        <stp>BDH|18070544780938569523</stp>
        <tr r="V23" s="9"/>
        <tr r="V23" s="5"/>
      </tp>
      <tp t="e">
        <v>#N/A</v>
        <stp/>
        <stp>BDH|10097290486503859146</stp>
        <tr r="D36" s="12"/>
      </tp>
      <tp t="e">
        <v>#N/A</v>
        <stp/>
        <stp>BDH|12313872646931901785</stp>
        <tr r="V41" s="12"/>
      </tp>
      <tp t="e">
        <v>#N/A</v>
        <stp/>
        <stp>BDH|10001291181321253398</stp>
        <tr r="J87" s="17"/>
      </tp>
      <tp t="e">
        <v>#N/A</v>
        <stp/>
        <stp>BDH|16429788003030573993</stp>
        <tr r="Z18" s="12"/>
      </tp>
      <tp t="e">
        <v>#N/A</v>
        <stp/>
        <stp>BDH|17207076931999073576</stp>
        <tr r="X9" s="13"/>
      </tp>
      <tp t="e">
        <v>#N/A</v>
        <stp/>
        <stp>BDH|18205882988991217134</stp>
        <tr r="F90" s="17"/>
      </tp>
      <tp t="e">
        <v>#N/A</v>
        <stp/>
        <stp>BDH|18408690514770324799</stp>
        <tr r="D115" s="18"/>
      </tp>
      <tp t="e">
        <v>#N/A</v>
        <stp/>
        <stp>BDH|14616038481530085477</stp>
        <tr r="Q48" s="24"/>
      </tp>
      <tp t="e">
        <v>#N/A</v>
        <stp/>
        <stp>BDH|17762144935764152942</stp>
        <tr r="P92" s="12"/>
      </tp>
      <tp t="e">
        <v>#N/A</v>
        <stp/>
        <stp>BDH|13334744425136127806</stp>
        <tr r="M62" s="17"/>
      </tp>
      <tp t="e">
        <v>#N/A</v>
        <stp/>
        <stp>BDH|12516728004814501953</stp>
        <tr r="I44" s="6"/>
      </tp>
      <tp t="e">
        <v>#N/A</v>
        <stp/>
        <stp>BDH|15938503117029436092</stp>
        <tr r="J33" s="11"/>
        <tr r="J42" s="10"/>
      </tp>
      <tp t="e">
        <v>#N/A</v>
        <stp/>
        <stp>BDH|10217957270797042144</stp>
        <tr r="J87" s="24"/>
      </tp>
      <tp t="e">
        <v>#N/A</v>
        <stp/>
        <stp>BDH|12591481438284595932</stp>
        <tr r="Q154" s="18"/>
      </tp>
      <tp t="e">
        <v>#N/A</v>
        <stp/>
        <stp>BDH|17875693224653258846</stp>
        <tr r="K14" s="13"/>
      </tp>
      <tp t="e">
        <v>#N/A</v>
        <stp/>
        <stp>BDH|13366315283262284208</stp>
        <tr r="S44" s="24"/>
      </tp>
      <tp t="e">
        <v>#N/A</v>
        <stp/>
        <stp>BDH|13465725105514105817</stp>
        <tr r="G22" s="22"/>
      </tp>
      <tp t="e">
        <v>#N/A</v>
        <stp/>
        <stp>BDH|14570598660827843873</stp>
        <tr r="H45" s="24"/>
      </tp>
      <tp t="e">
        <v>#N/A</v>
        <stp/>
        <stp>BDH|13564605450340216841</stp>
        <tr r="W31" s="11"/>
        <tr r="W40" s="10"/>
      </tp>
      <tp t="e">
        <v>#N/A</v>
        <stp/>
        <stp>BDH|17367202513318271410</stp>
        <tr r="AA24" s="24"/>
      </tp>
      <tp t="e">
        <v>#N/A</v>
        <stp/>
        <stp>BDH|18345502257487321747</stp>
        <tr r="O20" s="14"/>
      </tp>
      <tp t="e">
        <v>#N/A</v>
        <stp/>
        <stp>BDH|12670476067348215074</stp>
        <tr r="G62" s="18"/>
      </tp>
      <tp t="e">
        <v>#N/A</v>
        <stp/>
        <stp>BDH|10302023240609320510</stp>
        <tr r="Z65" s="18"/>
      </tp>
      <tp t="e">
        <v>#N/A</v>
        <stp/>
        <stp>BDH|11134851365787505073</stp>
        <tr r="E64" s="24"/>
      </tp>
      <tp t="e">
        <v>#N/A</v>
        <stp/>
        <stp>BDH|18339380000150167391</stp>
        <tr r="AA50" s="12"/>
      </tp>
      <tp t="e">
        <v>#N/A</v>
        <stp/>
        <stp>BDH|17842833768037550657</stp>
        <tr r="P16" s="21"/>
      </tp>
      <tp t="e">
        <v>#N/A</v>
        <stp/>
        <stp>BDH|15461776653079010634</stp>
        <tr r="X19" s="17"/>
      </tp>
      <tp t="e">
        <v>#N/A</v>
        <stp/>
        <stp>BDH|14798063493280056518</stp>
        <tr r="D15" s="10"/>
      </tp>
      <tp t="e">
        <v>#N/A</v>
        <stp/>
        <stp>BDH|14647341412177533963</stp>
        <tr r="F125" s="18"/>
      </tp>
      <tp t="e">
        <v>#N/A</v>
        <stp/>
        <stp>BDH|17877759861378801666</stp>
        <tr r="P7" s="23"/>
      </tp>
      <tp t="e">
        <v>#N/A</v>
        <stp/>
        <stp>BDH|17180820022484343103</stp>
        <tr r="V142" s="18"/>
      </tp>
      <tp t="e">
        <v>#N/A</v>
        <stp/>
        <stp>BDH|18316369231530203046</stp>
        <tr r="AA160" s="18"/>
      </tp>
      <tp t="e">
        <v>#N/A</v>
        <stp/>
        <stp>BDH|11071968451716125341</stp>
        <tr r="D19" s="26"/>
      </tp>
      <tp t="e">
        <v>#N/A</v>
        <stp/>
        <stp>BDH|11183371603749013374</stp>
        <tr r="N26" s="7"/>
      </tp>
      <tp t="e">
        <v>#N/A</v>
        <stp/>
        <stp>BDH|10312438966508374271</stp>
        <tr r="T172" s="18"/>
      </tp>
      <tp t="e">
        <v>#N/A</v>
        <stp/>
        <stp>BDH|14392266580975249358</stp>
        <tr r="U56" s="34"/>
      </tp>
      <tp t="e">
        <v>#N/A</v>
        <stp/>
        <stp>BDH|15289460981082322340</stp>
        <tr r="M46" s="17"/>
      </tp>
      <tp t="e">
        <v>#N/A</v>
        <stp/>
        <stp>BDH|10248302034571008949</stp>
        <tr r="Q85" s="24"/>
      </tp>
      <tp t="e">
        <v>#N/A</v>
        <stp/>
        <stp>BDH|14208863357163934288</stp>
        <tr r="Q34" s="18"/>
      </tp>
      <tp t="e">
        <v>#N/A</v>
        <stp/>
        <stp>BDH|16697844929110928407</stp>
        <tr r="O7" s="17"/>
      </tp>
      <tp t="e">
        <v>#N/A</v>
        <stp/>
        <stp>BDH|16098702491295375507</stp>
        <tr r="K210" s="18"/>
      </tp>
      <tp t="e">
        <v>#N/A</v>
        <stp/>
        <stp>BDH|14204777648957764881</stp>
        <tr r="I39" s="13"/>
        <tr r="G32" s="10"/>
      </tp>
      <tp t="e">
        <v>#N/A</v>
        <stp/>
        <stp>BDH|12762453396004783314</stp>
        <tr r="T89" s="17"/>
      </tp>
      <tp t="e">
        <v>#N/A</v>
        <stp/>
        <stp>BDH|13074169635099122004</stp>
        <tr r="D36" s="13"/>
      </tp>
      <tp t="e">
        <v>#N/A</v>
        <stp/>
        <stp>BDH|12634529110956681803</stp>
        <tr r="J24" s="9"/>
      </tp>
      <tp t="e">
        <v>#N/A</v>
        <stp/>
        <stp>BDH|10666225569498790481</stp>
        <tr r="E33" s="12"/>
      </tp>
      <tp t="e">
        <v>#N/A</v>
        <stp/>
        <stp>BDH|15060539039023017881</stp>
        <tr r="AA211" s="18"/>
      </tp>
      <tp t="e">
        <v>#N/A</v>
        <stp/>
        <stp>BDH|16044941363155396462</stp>
        <tr r="W88" s="12"/>
      </tp>
      <tp t="e">
        <v>#N/A</v>
        <stp/>
        <stp>BDH|10441656380924677253</stp>
        <tr r="V28" s="17"/>
      </tp>
      <tp t="e">
        <v>#N/A</v>
        <stp/>
        <stp>BDH|13770004145827964892</stp>
        <tr r="Y189" s="18"/>
      </tp>
      <tp t="e">
        <v>#N/A</v>
        <stp/>
        <stp>BDH|12005262296718686942</stp>
        <tr r="P58" s="6"/>
      </tp>
      <tp t="e">
        <v>#N/A</v>
        <stp/>
        <stp>BDH|10223237990801656256</stp>
        <tr r="O28" s="17"/>
      </tp>
      <tp t="e">
        <v>#N/A</v>
        <stp/>
        <stp>BDH|12061922943804209312</stp>
        <tr r="X142" s="18"/>
      </tp>
      <tp t="e">
        <v>#N/A</v>
        <stp/>
        <stp>BDH|10600152084793116248</stp>
        <tr r="G102" s="12"/>
      </tp>
      <tp t="e">
        <v>#N/A</v>
        <stp/>
        <stp>BDH|11619915504812284238</stp>
        <tr r="I24" s="20"/>
      </tp>
      <tp t="e">
        <v>#N/A</v>
        <stp/>
        <stp>BDH|18410400147240550045</stp>
        <tr r="V28" s="6"/>
      </tp>
      <tp t="e">
        <v>#N/A</v>
        <stp/>
        <stp>BDH|15541056626217015842</stp>
        <tr r="D36" s="6"/>
        <tr r="D17" s="5"/>
      </tp>
      <tp t="e">
        <v>#N/A</v>
        <stp/>
        <stp>BDH|17550545694565273651</stp>
        <tr r="J34" s="25"/>
        <tr r="J93" s="17"/>
      </tp>
      <tp t="e">
        <v>#N/A</v>
        <stp/>
        <stp>BDH|17615164942232812884</stp>
        <tr r="O10" s="34"/>
      </tp>
      <tp t="e">
        <v>#N/A</v>
        <stp/>
        <stp>BDH|12603916884459610271</stp>
        <tr r="H10" s="23"/>
      </tp>
      <tp t="e">
        <v>#N/A</v>
        <stp/>
        <stp>BDH|15478844422847681061</stp>
        <tr r="S23" s="22"/>
      </tp>
      <tp t="e">
        <v>#N/A</v>
        <stp/>
        <stp>BDH|14270944030124426201</stp>
        <tr r="V98" s="17"/>
      </tp>
      <tp t="e">
        <v>#N/A</v>
        <stp/>
        <stp>BDH|10340590264462876946</stp>
        <tr r="T20" s="28"/>
        <tr r="T17" s="17"/>
      </tp>
      <tp t="e">
        <v>#N/A</v>
        <stp/>
        <stp>BDH|12341537900828732758</stp>
        <tr r="V31" s="22"/>
      </tp>
      <tp t="e">
        <v>#N/A</v>
        <stp/>
        <stp>BDH|14175450438388622386</stp>
        <tr r="Y46" s="17"/>
      </tp>
      <tp t="e">
        <v>#N/A</v>
        <stp/>
        <stp>BDH|11874962838141069242</stp>
        <tr r="G44" s="21"/>
      </tp>
      <tp t="e">
        <v>#N/A</v>
        <stp/>
        <stp>BDH|16146644693965507419</stp>
        <tr r="E21" s="30"/>
      </tp>
      <tp t="e">
        <v>#N/A</v>
        <stp/>
        <stp>BDH|18159163707784269500</stp>
        <tr r="D45" s="34"/>
      </tp>
      <tp t="e">
        <v>#N/A</v>
        <stp/>
        <stp>BDH|15309826491139237503</stp>
        <tr r="M21" s="11"/>
      </tp>
      <tp t="e">
        <v>#N/A</v>
        <stp/>
        <stp>BDH|14511567675356478805</stp>
        <tr r="H173" s="18"/>
      </tp>
      <tp t="e">
        <v>#N/A</v>
        <stp/>
        <stp>BDH|10684970670766697051</stp>
        <tr r="S31" s="26"/>
        <tr r="P14" s="9"/>
      </tp>
      <tp t="e">
        <v>#N/A</v>
        <stp/>
        <stp>BDH|17516410818842687887</stp>
        <tr r="F32" s="13"/>
        <tr r="D24" s="11"/>
        <tr r="D33" s="10"/>
        <tr r="D45" s="4"/>
      </tp>
      <tp t="e">
        <v>#N/A</v>
        <stp/>
        <stp>BDH|15179565585041169112</stp>
        <tr r="D22" s="18"/>
      </tp>
      <tp t="e">
        <v>#N/A</v>
        <stp/>
        <stp>BDH|11173145106091704967</stp>
        <tr r="P13" s="13"/>
      </tp>
      <tp t="e">
        <v>#N/A</v>
        <stp/>
        <stp>BDH|14838738877355752998</stp>
        <tr r="J89" s="18"/>
      </tp>
      <tp t="e">
        <v>#N/A</v>
        <stp/>
        <stp>BDH|18409133562632529522</stp>
        <tr r="H94" s="12"/>
      </tp>
      <tp t="e">
        <v>#N/A</v>
        <stp/>
        <stp>BDH|13914431944499529292</stp>
        <tr r="N69" s="13"/>
      </tp>
      <tp t="e">
        <v>#N/A</v>
        <stp/>
        <stp>BDH|11914437885745411094</stp>
        <tr r="O18" s="25"/>
      </tp>
      <tp t="e">
        <v>#N/A</v>
        <stp/>
        <stp>BDH|14722850858097014687</stp>
        <tr r="P18" s="14"/>
      </tp>
      <tp t="e">
        <v>#N/A</v>
        <stp/>
        <stp>BDH|12120055144167316913</stp>
        <tr r="E15" s="21"/>
      </tp>
      <tp t="e">
        <v>#N/A</v>
        <stp/>
        <stp>BDH|15301571787518916881</stp>
        <tr r="P61" s="13"/>
        <tr r="N48" s="11"/>
        <tr r="N57" s="10"/>
        <tr r="N18" s="7"/>
      </tp>
      <tp t="e">
        <v>#N/A</v>
        <stp/>
        <stp>BDH|12059771372923001906</stp>
        <tr r="T204" s="18"/>
      </tp>
      <tp t="e">
        <v>#N/A</v>
        <stp/>
        <stp>BDH|11164578550251117826</stp>
        <tr r="F6" s="19"/>
        <tr r="F37" s="17"/>
        <tr r="F16" s="3"/>
      </tp>
      <tp t="e">
        <v>#N/A</v>
        <stp/>
        <stp>BDH|14721149992631313576</stp>
        <tr r="D29" s="12"/>
      </tp>
      <tp t="e">
        <v>#N/A</v>
        <stp/>
        <stp>BDH|14885647398010654370</stp>
        <tr r="O173" s="18"/>
      </tp>
      <tp t="e">
        <v>#N/A</v>
        <stp/>
        <stp>BDH|16714005137758596503</stp>
        <tr r="O9" s="18"/>
      </tp>
      <tp t="e">
        <v>#N/A</v>
        <stp/>
        <stp>BDH|10480215509498190288</stp>
        <tr r="F12" s="14"/>
      </tp>
      <tp t="e">
        <v>#N/A</v>
        <stp/>
        <stp>BDH|16061556148756180997</stp>
        <tr r="N29" s="29"/>
        <tr r="N7" s="29"/>
      </tp>
      <tp t="e">
        <v>#N/A</v>
        <stp/>
        <stp>BDH|11091843066027627010</stp>
        <tr r="I61" s="21"/>
      </tp>
      <tp t="e">
        <v>#N/A</v>
        <stp/>
        <stp>BDH|11203331706539380314</stp>
        <tr r="Q14" s="18"/>
      </tp>
      <tp t="e">
        <v>#N/A</v>
        <stp/>
        <stp>BDH|10247316928811748890</stp>
        <tr r="S35" s="12"/>
      </tp>
      <tp t="e">
        <v>#N/A</v>
        <stp/>
        <stp>BDH|13034682445801043883</stp>
        <tr r="X56" s="11"/>
        <tr r="X24" s="4"/>
      </tp>
      <tp t="e">
        <v>#N/A</v>
        <stp/>
        <stp>BDH|10915999335086932496</stp>
        <tr r="V75" s="17"/>
      </tp>
      <tp t="e">
        <v>#N/A</v>
        <stp/>
        <stp>BDH|10507977379542865469</stp>
        <tr r="L63" s="13"/>
      </tp>
      <tp t="e">
        <v>#N/A</v>
        <stp/>
        <stp>BDH|15985396984495313326</stp>
        <tr r="J32" s="13"/>
        <tr r="H24" s="11"/>
        <tr r="H33" s="10"/>
        <tr r="H45" s="4"/>
      </tp>
      <tp t="e">
        <v>#N/A</v>
        <stp/>
        <stp>BDH|18259564701600238529</stp>
        <tr r="N28" s="18"/>
      </tp>
      <tp t="e">
        <v>#N/A</v>
        <stp/>
        <stp>BDH|16815529607649878205</stp>
        <tr r="O27" s="21"/>
      </tp>
      <tp t="e">
        <v>#N/A</v>
        <stp/>
        <stp>BDH|16201443047417655921</stp>
        <tr r="I27" s="21"/>
      </tp>
      <tp t="e">
        <v>#N/A</v>
        <stp/>
        <stp>BDH|16436876444645541774</stp>
        <tr r="F22" s="11"/>
      </tp>
      <tp t="e">
        <v>#N/A</v>
        <stp/>
        <stp>BDH|10065641381631905792</stp>
        <tr r="W21" s="22"/>
      </tp>
      <tp t="e">
        <v>#N/A</v>
        <stp/>
        <stp>BDH|11645149833032294966</stp>
        <tr r="U15" s="30"/>
      </tp>
      <tp t="e">
        <v>#N/A</v>
        <stp/>
        <stp>BDH|18265026570266301160</stp>
        <tr r="G25" s="27"/>
      </tp>
      <tp t="e">
        <v>#N/A</v>
        <stp/>
        <stp>BDH|14499967610700413439</stp>
        <tr r="L46" s="12"/>
      </tp>
      <tp t="e">
        <v>#N/A</v>
        <stp/>
        <stp>BDH|15030842234117359164</stp>
        <tr r="R95" s="24"/>
      </tp>
      <tp t="e">
        <v>#N/A</v>
        <stp/>
        <stp>BDH|15283468405068661127</stp>
        <tr r="AA9" s="30"/>
      </tp>
      <tp t="e">
        <v>#N/A</v>
        <stp/>
        <stp>BDH|15750947843032628231</stp>
        <tr r="H71" s="18"/>
      </tp>
      <tp t="e">
        <v>#N/A</v>
        <stp/>
        <stp>BDH|10355143375019604716</stp>
        <tr r="W38" s="22"/>
      </tp>
      <tp t="e">
        <v>#N/A</v>
        <stp/>
        <stp>BDH|13477700135827486807</stp>
        <tr r="N14" s="4"/>
      </tp>
      <tp t="e">
        <v>#N/A</v>
        <stp/>
        <stp>BDH|11905723389233642512</stp>
        <tr r="N49" s="6"/>
      </tp>
      <tp t="e">
        <v>#N/A</v>
        <stp/>
        <stp>BDH|16861654919478899198</stp>
        <tr r="C15" s="10"/>
      </tp>
      <tp t="e">
        <v>#N/A</v>
        <stp/>
        <stp>BDH|16205919452880519217</stp>
        <tr r="K22" s="10"/>
      </tp>
      <tp t="e">
        <v>#N/A</v>
        <stp/>
        <stp>BDH|17511266341738009176</stp>
        <tr r="L29" s="18"/>
      </tp>
      <tp t="e">
        <v>#N/A</v>
        <stp/>
        <stp>BDH|16252711687519842893</stp>
        <tr r="I84" s="12"/>
      </tp>
      <tp t="e">
        <v>#N/A</v>
        <stp/>
        <stp>BDH|16513415057958721719</stp>
        <tr r="G18" s="24"/>
      </tp>
      <tp t="e">
        <v>#N/A</v>
        <stp/>
        <stp>BDH|13553826835612015271</stp>
        <tr r="X49" s="34"/>
      </tp>
      <tp t="e">
        <v>#N/A</v>
        <stp/>
        <stp>BDH|12564880003420818236</stp>
        <tr r="M62" s="12"/>
      </tp>
      <tp t="e">
        <v>#N/A</v>
        <stp/>
        <stp>BDH|16347005051933553828</stp>
        <tr r="P50" s="21"/>
      </tp>
      <tp t="e">
        <v>#N/A</v>
        <stp/>
        <stp>BDH|12613161208078476392</stp>
        <tr r="M25" s="9"/>
      </tp>
      <tp t="e">
        <v>#N/A</v>
        <stp/>
        <stp>BDH|14576523957125741925</stp>
        <tr r="H14" s="12"/>
      </tp>
      <tp t="e">
        <v>#N/A</v>
        <stp/>
        <stp>BDH|14078492052604871960</stp>
        <tr r="T25" s="14"/>
      </tp>
      <tp t="e">
        <v>#N/A</v>
        <stp/>
        <stp>BDH|12039201581385627538</stp>
        <tr r="H46" s="18"/>
      </tp>
      <tp t="e">
        <v>#N/A</v>
        <stp/>
        <stp>BDH|15135505316501414879</stp>
        <tr r="D67" s="18"/>
      </tp>
      <tp t="e">
        <v>#N/A</v>
        <stp/>
        <stp>BDH|10414175847718603569</stp>
        <tr r="P43" s="24"/>
      </tp>
      <tp t="e">
        <v>#N/A</v>
        <stp/>
        <stp>BDH|13108865839599387992</stp>
        <tr r="E9" s="29"/>
      </tp>
      <tp t="e">
        <v>#N/A</v>
        <stp/>
        <stp>BDH|14477232095975141272</stp>
        <tr r="G68" s="18"/>
      </tp>
      <tp t="e">
        <v>#N/A</v>
        <stp/>
        <stp>BDH|18193024516489207830</stp>
        <tr r="E81" s="34"/>
      </tp>
      <tp t="e">
        <v>#N/A</v>
        <stp/>
        <stp>BDH|17742248898157828376</stp>
        <tr r="I138" s="18"/>
      </tp>
      <tp t="e">
        <v>#N/A</v>
        <stp/>
        <stp>BDH|10697218260318132428</stp>
        <tr r="K118" s="12"/>
      </tp>
      <tp t="e">
        <v>#N/A</v>
        <stp/>
        <stp>BDH|11422015215981168951</stp>
        <tr r="D36" s="18"/>
      </tp>
      <tp t="e">
        <v>#N/A</v>
        <stp/>
        <stp>BDH|11243894596650880817</stp>
        <tr r="V86" s="17"/>
      </tp>
      <tp t="e">
        <v>#N/A</v>
        <stp/>
        <stp>BDH|11696571283632735615</stp>
        <tr r="J60" s="11"/>
      </tp>
      <tp t="e">
        <v>#N/A</v>
        <stp/>
        <stp>BDH|14148631293991223271</stp>
        <tr r="AA13" s="18"/>
      </tp>
      <tp t="e">
        <v>#N/A</v>
        <stp/>
        <stp>BDH|11699040832669644324</stp>
        <tr r="E68" s="24"/>
      </tp>
      <tp t="e">
        <v>#N/A</v>
        <stp/>
        <stp>BDH|15668530390668297937</stp>
        <tr r="X11" s="24"/>
      </tp>
      <tp t="e">
        <v>#N/A</v>
        <stp/>
        <stp>BDH|14244938228264524382</stp>
        <tr r="F44" s="13"/>
        <tr r="D28" s="11"/>
        <tr r="D37" s="10"/>
      </tp>
      <tp t="e">
        <v>#N/A</v>
        <stp/>
        <stp>BDH|17171601402950244955</stp>
        <tr r="T22" s="17"/>
        <tr r="T15" s="3"/>
      </tp>
      <tp t="e">
        <v>#N/A</v>
        <stp/>
        <stp>BDH|16483264386080723473</stp>
        <tr r="J95" s="18"/>
      </tp>
      <tp t="e">
        <v>#N/A</v>
        <stp/>
        <stp>BDH|12225554863200360931</stp>
        <tr r="W81" s="17"/>
      </tp>
      <tp t="e">
        <v>#N/A</v>
        <stp/>
        <stp>BDH|17116005727515539872</stp>
        <tr r="S79" s="18"/>
      </tp>
      <tp t="e">
        <v>#N/A</v>
        <stp/>
        <stp>BDH|10240330180031768222</stp>
        <tr r="AA14" s="23"/>
      </tp>
      <tp t="e">
        <v>#N/A</v>
        <stp/>
        <stp>BDH|17177911647372073032</stp>
        <tr r="T98" s="12"/>
      </tp>
      <tp t="e">
        <v>#N/A</v>
        <stp/>
        <stp>BDH|10478974771075131377</stp>
        <tr r="H63" s="12"/>
      </tp>
      <tp t="e">
        <v>#N/A</v>
        <stp/>
        <stp>BDH|10965551685170943545</stp>
        <tr r="P113" s="12"/>
      </tp>
      <tp t="e">
        <v>#N/A</v>
        <stp/>
        <stp>BDH|16189719128252800945</stp>
        <tr r="AA9" s="20"/>
        <tr r="AA119" s="18"/>
      </tp>
      <tp t="e">
        <v>#N/A</v>
        <stp/>
        <stp>BDH|14238949311321089537</stp>
        <tr r="J65" s="10"/>
        <tr r="J25" s="4"/>
      </tp>
      <tp t="e">
        <v>#N/A</v>
        <stp/>
        <stp>BDH|18114215135415964480</stp>
        <tr r="I63" s="17"/>
      </tp>
      <tp t="e">
        <v>#N/A</v>
        <stp/>
        <stp>BDH|11684558365579513372</stp>
        <tr r="Q43" s="4"/>
      </tp>
      <tp t="e">
        <v>#N/A</v>
        <stp/>
        <stp>BDH|16464905724564470105</stp>
        <tr r="R6" s="8"/>
        <tr r="P51" s="6"/>
      </tp>
      <tp t="e">
        <v>#N/A</v>
        <stp/>
        <stp>BDH|17172318651038397162</stp>
        <tr r="F26" s="13"/>
      </tp>
      <tp t="e">
        <v>#N/A</v>
        <stp/>
        <stp>BDH|11612157394860648161</stp>
        <tr r="Y26" s="21"/>
      </tp>
      <tp t="e">
        <v>#N/A</v>
        <stp/>
        <stp>BDH|16764965374996090628</stp>
        <tr r="Z10" s="13"/>
      </tp>
      <tp t="e">
        <v>#N/A</v>
        <stp/>
        <stp>BDH|18019139549732459791</stp>
        <tr r="K21" s="6"/>
      </tp>
      <tp t="e">
        <v>#N/A</v>
        <stp/>
        <stp>BDH|10899687627258818484</stp>
        <tr r="V16" s="27"/>
        <tr r="V30" s="25"/>
      </tp>
      <tp t="e">
        <v>#N/A</v>
        <stp/>
        <stp>BDH|14303577925962718917</stp>
        <tr r="L87" s="12"/>
      </tp>
      <tp t="e">
        <v>#N/A</v>
        <stp/>
        <stp>BDH|15440906642423392327</stp>
        <tr r="M106" s="18"/>
      </tp>
      <tp t="e">
        <v>#N/A</v>
        <stp/>
        <stp>BDH|14111931755131299127</stp>
        <tr r="L113" s="18"/>
      </tp>
      <tp t="e">
        <v>#N/A</v>
        <stp/>
        <stp>BDH|14190157511304276805</stp>
        <tr r="X21" s="5"/>
      </tp>
      <tp t="e">
        <v>#N/A</v>
        <stp/>
        <stp>BDH|14984855049425533574</stp>
        <tr r="T20" s="9"/>
      </tp>
      <tp t="e">
        <v>#N/A</v>
        <stp/>
        <stp>BDH|15510413452715123909</stp>
        <tr r="V114" s="18"/>
      </tp>
      <tp t="e">
        <v>#N/A</v>
        <stp/>
        <stp>BDH|12699117198244174696</stp>
        <tr r="G36" s="13"/>
        <tr r="E29" s="10"/>
      </tp>
      <tp t="e">
        <v>#N/A</v>
        <stp/>
        <stp>BDH|12235473852632924999</stp>
        <tr r="U76" s="17"/>
      </tp>
      <tp t="e">
        <v>#N/A</v>
        <stp/>
        <stp>BDH|14363351168641143888</stp>
        <tr r="L44" s="24"/>
      </tp>
      <tp t="e">
        <v>#N/A</v>
        <stp/>
        <stp>BDH|18314597068146490513</stp>
        <tr r="R22" s="24"/>
      </tp>
      <tp t="e">
        <v>#N/A</v>
        <stp/>
        <stp>BDH|17452904431186741358</stp>
        <tr r="L12" s="20"/>
        <tr r="L121" s="18"/>
      </tp>
      <tp t="e">
        <v>#N/A</v>
        <stp/>
        <stp>BDH|16203063503377685964</stp>
        <tr r="T6" s="20"/>
        <tr r="T116" s="18"/>
      </tp>
      <tp t="e">
        <v>#N/A</v>
        <stp/>
        <stp>BDH|18405020035764224769</stp>
        <tr r="Y26" s="34"/>
      </tp>
      <tp t="e">
        <v>#N/A</v>
        <stp/>
        <stp>BDH|10274174524978760310</stp>
        <tr r="E13" s="8"/>
      </tp>
      <tp t="e">
        <v>#N/A</v>
        <stp/>
        <stp>BDH|12118927205111265232</stp>
        <tr r="M32" s="26"/>
      </tp>
      <tp t="e">
        <v>#N/A</v>
        <stp/>
        <stp>BDH|15131964205057370363</stp>
        <tr r="W106" s="12"/>
      </tp>
      <tp t="e">
        <v>#N/A</v>
        <stp/>
        <stp>BDH|16667294419785478851</stp>
        <tr r="H6" s="15"/>
        <tr r="H6" s="10"/>
        <tr r="H11" s="4"/>
        <tr r="H12" s="2"/>
      </tp>
      <tp t="e">
        <v>#N/A</v>
        <stp/>
        <stp>BDH|14668775353058181649</stp>
        <tr r="H200" s="18"/>
      </tp>
      <tp t="e">
        <v>#N/A</v>
        <stp/>
        <stp>BDH|14917458825829922371</stp>
        <tr r="T12" s="14"/>
      </tp>
      <tp t="e">
        <v>#N/A</v>
        <stp/>
        <stp>BDH|16406620236399255254</stp>
        <tr r="H114" s="18"/>
      </tp>
      <tp t="e">
        <v>#N/A</v>
        <stp/>
        <stp>BDH|14286592298133416308</stp>
        <tr r="S20" s="23"/>
      </tp>
      <tp t="e">
        <v>#N/A</v>
        <stp/>
        <stp>BDH|17933733377507303897</stp>
        <tr r="F32" s="12"/>
      </tp>
      <tp t="e">
        <v>#N/A</v>
        <stp/>
        <stp>BDH|14354384111409467792</stp>
        <tr r="C88" s="17"/>
      </tp>
      <tp t="e">
        <v>#N/A</v>
        <stp/>
        <stp>BDH|17084830990079718738</stp>
        <tr r="I43" s="17"/>
      </tp>
      <tp t="e">
        <v>#N/A</v>
        <stp/>
        <stp>BDH|16632446771298454502</stp>
        <tr r="N68" s="10"/>
      </tp>
      <tp t="e">
        <v>#N/A</v>
        <stp/>
        <stp>BDH|14362422141215750903</stp>
        <tr r="T167" s="18"/>
      </tp>
      <tp t="e">
        <v>#N/A</v>
        <stp/>
        <stp>BDH|16846232881586949240</stp>
        <tr r="J20" s="27"/>
      </tp>
      <tp t="e">
        <v>#N/A</v>
        <stp/>
        <stp>BDH|12373177176244741821</stp>
        <tr r="W99" s="12"/>
      </tp>
      <tp t="e">
        <v>#N/A</v>
        <stp/>
        <stp>BDH|13155652655958485021</stp>
        <tr r="I30" s="21"/>
      </tp>
      <tp t="e">
        <v>#N/A</v>
        <stp/>
        <stp>BDH|11021077275417510907</stp>
        <tr r="L213" s="18"/>
      </tp>
      <tp t="e">
        <v>#N/A</v>
        <stp/>
        <stp>BDH|14175116753651537912</stp>
        <tr r="E38" s="25"/>
      </tp>
      <tp t="e">
        <v>#N/A</v>
        <stp/>
        <stp>BDH|12384762982334297125</stp>
        <tr r="Q37" s="13"/>
        <tr r="O30" s="10"/>
      </tp>
      <tp t="e">
        <v>#N/A</v>
        <stp/>
        <stp>BDH|16547669485750686077</stp>
        <tr r="I35" s="4"/>
      </tp>
      <tp t="e">
        <v>#N/A</v>
        <stp/>
        <stp>BDH|11284847937887058566</stp>
        <tr r="P12" s="6"/>
      </tp>
      <tp t="e">
        <v>#N/A</v>
        <stp/>
        <stp>BDH|15048837576750333213</stp>
        <tr r="S38" s="34"/>
      </tp>
      <tp t="e">
        <v>#N/A</v>
        <stp/>
        <stp>BDH|11059011281074086578</stp>
        <tr r="N91" s="12"/>
      </tp>
      <tp t="e">
        <v>#N/A</v>
        <stp/>
        <stp>BDH|12636621092704970186</stp>
        <tr r="Y41" s="11"/>
        <tr r="Y50" s="10"/>
        <tr r="Y8" s="7"/>
        <tr r="AA11" s="3"/>
      </tp>
      <tp t="e">
        <v>#N/A</v>
        <stp/>
        <stp>BDH|13212114794565653661</stp>
        <tr r="J9" s="10"/>
      </tp>
      <tp t="e">
        <v>#N/A</v>
        <stp/>
        <stp>BDH|11466390217369501281</stp>
        <tr r="C8" s="11"/>
      </tp>
      <tp t="e">
        <v>#N/A</v>
        <stp/>
        <stp>BDH|16674757036823746947</stp>
        <tr r="U80" s="24"/>
      </tp>
      <tp t="e">
        <v>#N/A</v>
        <stp/>
        <stp>BDH|11284955056657383248</stp>
        <tr r="L29" s="21"/>
      </tp>
      <tp t="e">
        <v>#N/A</v>
        <stp/>
        <stp>BDH|16311922969901857065</stp>
        <tr r="F113" s="18"/>
      </tp>
      <tp t="e">
        <v>#N/A</v>
        <stp/>
        <stp>BDH|18177636322334000068</stp>
        <tr r="Z22" s="14"/>
      </tp>
      <tp t="e">
        <v>#N/A</v>
        <stp/>
        <stp>BDH|10273488642410703893</stp>
        <tr r="D74" s="18"/>
      </tp>
      <tp t="e">
        <v>#N/A</v>
        <stp/>
        <stp>BDH|16826349185137925260</stp>
        <tr r="I19" s="9"/>
      </tp>
      <tp t="e">
        <v>#N/A</v>
        <stp/>
        <stp>BDH|12797379522689187250</stp>
        <tr r="Y10" s="11"/>
      </tp>
      <tp t="e">
        <v>#N/A</v>
        <stp/>
        <stp>BDH|16344016952103693804</stp>
        <tr r="F69" s="34"/>
      </tp>
      <tp t="e">
        <v>#N/A</v>
        <stp/>
        <stp>BDH|12252463095635279259</stp>
        <tr r="G10" s="25"/>
        <tr r="G55" s="17"/>
      </tp>
      <tp t="e">
        <v>#N/A</v>
        <stp/>
        <stp>BDH|14189275594283463407</stp>
        <tr r="E107" s="18"/>
      </tp>
      <tp t="e">
        <v>#N/A</v>
        <stp/>
        <stp>BDH|11912667235568597494</stp>
        <tr r="K18" s="25"/>
      </tp>
      <tp t="e">
        <v>#N/A</v>
        <stp/>
        <stp>BDH|14339923137617025109</stp>
        <tr r="P24" s="20"/>
      </tp>
      <tp t="e">
        <v>#N/A</v>
        <stp/>
        <stp>BDH|13155442073850303832</stp>
        <tr r="F10" s="8"/>
        <tr r="D53" s="6"/>
      </tp>
      <tp t="e">
        <v>#N/A</v>
        <stp/>
        <stp>BDH|14294019519775499882</stp>
        <tr r="F49" s="21"/>
      </tp>
      <tp t="e">
        <v>#N/A</v>
        <stp/>
        <stp>BDH|13582073693595404732</stp>
        <tr r="M12" s="10"/>
      </tp>
      <tp t="e">
        <v>#N/A</v>
        <stp/>
        <stp>BDH|10858366069055466859</stp>
        <tr r="K192" s="18"/>
      </tp>
      <tp t="e">
        <v>#N/A</v>
        <stp/>
        <stp>BDH|15042759251836193930</stp>
        <tr r="S50" s="13"/>
      </tp>
      <tp t="e">
        <v>#N/A</v>
        <stp/>
        <stp>BDH|15854472192437975728</stp>
        <tr r="I19" s="28"/>
        <tr r="I16" s="17"/>
      </tp>
      <tp t="e">
        <v>#N/A</v>
        <stp/>
        <stp>BDH|16080090829214581831</stp>
        <tr r="D44" s="6"/>
      </tp>
      <tp t="e">
        <v>#N/A</v>
        <stp/>
        <stp>BDH|12728528887903553415</stp>
        <tr r="E49" s="17"/>
      </tp>
      <tp t="e">
        <v>#N/A</v>
        <stp/>
        <stp>BDH|11204504823279507724</stp>
        <tr r="T38" s="12"/>
      </tp>
      <tp t="e">
        <v>#N/A</v>
        <stp/>
        <stp>BDH|17186416997215597747</stp>
        <tr r="Y19" s="13"/>
        <tr r="W62" s="10"/>
        <tr r="W32" s="4"/>
        <tr r="W16" s="2"/>
      </tp>
      <tp t="e">
        <v>#N/A</v>
        <stp/>
        <stp>BDH|18068310137609386938</stp>
        <tr r="L105" s="18"/>
      </tp>
      <tp t="e">
        <v>#N/A</v>
        <stp/>
        <stp>BDH|16913947905864675389</stp>
        <tr r="H87" s="12"/>
      </tp>
      <tp t="e">
        <v>#N/A</v>
        <stp/>
        <stp>BDH|16200446691360828397</stp>
        <tr r="H40" s="29"/>
        <tr r="H17" s="29"/>
      </tp>
      <tp t="e">
        <v>#N/A</v>
        <stp/>
        <stp>BDH|18278355686353683819</stp>
        <tr r="T25" s="5"/>
      </tp>
      <tp t="e">
        <v>#N/A</v>
        <stp/>
        <stp>BDH|12553670116705240806</stp>
        <tr r="T26" s="24"/>
      </tp>
      <tp t="e">
        <v>#N/A</v>
        <stp/>
        <stp>BDH|10238827298608762193</stp>
        <tr r="Z6" s="19"/>
        <tr r="Z37" s="17"/>
        <tr r="Z16" s="3"/>
      </tp>
      <tp t="e">
        <v>#N/A</v>
        <stp/>
        <stp>BDH|14359041099227023283</stp>
        <tr r="M10" s="22"/>
      </tp>
      <tp t="e">
        <v>#N/A</v>
        <stp/>
        <stp>BDH|18400364343194754306</stp>
        <tr r="X20" s="24"/>
      </tp>
      <tp t="e">
        <v>#N/A</v>
        <stp/>
        <stp>BDH|17658665243035711827</stp>
        <tr r="E47" s="21"/>
      </tp>
      <tp t="e">
        <v>#N/A</v>
        <stp/>
        <stp>BDH|14017318284250293714</stp>
        <tr r="Q126" s="12"/>
      </tp>
      <tp t="e">
        <v>#N/A</v>
        <stp/>
        <stp>BDH|17509746722183084959</stp>
        <tr r="G78" s="34"/>
      </tp>
      <tp t="e">
        <v>#N/A</v>
        <stp/>
        <stp>BDH|10551896778627099029</stp>
        <tr r="N36" s="34"/>
      </tp>
      <tp t="e">
        <v>#N/A</v>
        <stp/>
        <stp>BDH|10195136681280107148</stp>
        <tr r="M15" s="34"/>
      </tp>
      <tp t="e">
        <v>#N/A</v>
        <stp/>
        <stp>BDH|17381534573118790521</stp>
        <tr r="D20" s="9"/>
      </tp>
      <tp t="e">
        <v>#N/A</v>
        <stp/>
        <stp>BDH|15600817910706725266</stp>
        <tr r="T10" s="8"/>
        <tr r="R53" s="6"/>
      </tp>
      <tp t="e">
        <v>#N/A</v>
        <stp/>
        <stp>BDH|13855377482720956024</stp>
        <tr r="K21" s="34"/>
      </tp>
      <tp t="e">
        <v>#N/A</v>
        <stp/>
        <stp>BDH|16760019019576314950</stp>
        <tr r="Z68" s="17"/>
      </tp>
      <tp t="e">
        <v>#N/A</v>
        <stp/>
        <stp>BDH|13470889162502704701</stp>
        <tr r="F146" s="18"/>
      </tp>
      <tp t="e">
        <v>#N/A</v>
        <stp/>
        <stp>BDH|18170380545866377162</stp>
        <tr r="X37" s="22"/>
      </tp>
      <tp t="e">
        <v>#N/A</v>
        <stp/>
        <stp>BDH|13084662557929125198</stp>
        <tr r="M32" s="22"/>
      </tp>
      <tp t="e">
        <v>#N/A</v>
        <stp/>
        <stp>BDH|10915816041555520159</stp>
        <tr r="C56" s="18"/>
      </tp>
      <tp t="e">
        <v>#N/A</v>
        <stp/>
        <stp>BDH|14601095597974150100</stp>
        <tr r="G70" s="12"/>
      </tp>
      <tp t="e">
        <v>#N/A</v>
        <stp/>
        <stp>BDH|17267989071369542871</stp>
        <tr r="G156" s="18"/>
      </tp>
      <tp t="e">
        <v>#N/A</v>
        <stp/>
        <stp>BDH|14513925601717983263</stp>
        <tr r="AA30" s="22"/>
      </tp>
      <tp t="e">
        <v>#N/A</v>
        <stp/>
        <stp>BDH|10549483156010397911</stp>
        <tr r="N44" s="6"/>
      </tp>
      <tp t="e">
        <v>#N/A</v>
        <stp/>
        <stp>BDH|14596829718803765611</stp>
        <tr r="W117" s="12"/>
      </tp>
      <tp t="e">
        <v>#N/A</v>
        <stp/>
        <stp>BDH|13100206295554440498</stp>
        <tr r="J7" s="27"/>
        <tr r="J95" s="17"/>
      </tp>
      <tp t="e">
        <v>#N/A</v>
        <stp/>
        <stp>BDH|17504996609920803640</stp>
        <tr r="C81" s="18"/>
      </tp>
      <tp t="e">
        <v>#N/A</v>
        <stp/>
        <stp>BDH|17594166516086480989</stp>
        <tr r="V88" s="18"/>
      </tp>
      <tp t="e">
        <v>#N/A</v>
        <stp/>
        <stp>BDH|10543018869097230961</stp>
        <tr r="H23" s="9"/>
        <tr r="H23" s="5"/>
      </tp>
      <tp t="e">
        <v>#N/A</v>
        <stp/>
        <stp>BDH|11122348473468835570</stp>
        <tr r="K89" s="12"/>
      </tp>
      <tp t="e">
        <v>#N/A</v>
        <stp/>
        <stp>BDH|17470205044631195880</stp>
        <tr r="Q24" s="5"/>
      </tp>
      <tp t="e">
        <v>#N/A</v>
        <stp/>
        <stp>BDH|16364595407042675927</stp>
        <tr r="O28" s="14"/>
      </tp>
      <tp t="e">
        <v>#N/A</v>
        <stp/>
        <stp>BDH|11151970782861880956</stp>
        <tr r="E10" s="14"/>
      </tp>
      <tp t="e">
        <v>#N/A</v>
        <stp/>
        <stp>BDH|14908102495001784528</stp>
        <tr r="F43" s="29"/>
      </tp>
      <tp t="e">
        <v>#N/A</v>
        <stp/>
        <stp>BDH|13981701217198003579</stp>
        <tr r="O19" s="10"/>
      </tp>
      <tp t="e">
        <v>#N/A</v>
        <stp/>
        <stp>BDH|18144684062543408364</stp>
        <tr r="C10" s="17"/>
      </tp>
      <tp t="e">
        <v>#N/A</v>
        <stp/>
        <stp>BDH|18434794662743560237</stp>
        <tr r="U15" s="25"/>
      </tp>
      <tp t="e">
        <v>#N/A</v>
        <stp/>
        <stp>BDH|12671512811168610695</stp>
        <tr r="P44" s="34"/>
      </tp>
      <tp t="e">
        <v>#N/A</v>
        <stp/>
        <stp>BDH|11493019342745654885</stp>
        <tr r="W25" s="9"/>
      </tp>
      <tp t="e">
        <v>#N/A</v>
        <stp/>
        <stp>BDH|14883716695315132748</stp>
        <tr r="E200" s="18"/>
      </tp>
      <tp t="e">
        <v>#N/A</v>
        <stp/>
        <stp>BDH|13514155499984685760</stp>
        <tr r="E43" s="29"/>
      </tp>
      <tp t="e">
        <v>#N/A</v>
        <stp/>
        <stp>BDH|14762192024166443974</stp>
        <tr r="F29" s="4"/>
      </tp>
      <tp t="e">
        <v>#N/A</v>
        <stp/>
        <stp>BDH|15766873530702875410</stp>
        <tr r="O17" s="28"/>
        <tr r="O14" s="17"/>
      </tp>
      <tp t="e">
        <v>#N/A</v>
        <stp/>
        <stp>BDH|17696458483806952509</stp>
        <tr r="I205" s="18"/>
      </tp>
      <tp t="e">
        <v>#N/A</v>
        <stp/>
        <stp>BDH|10161880863094203213</stp>
        <tr r="K71" s="12"/>
      </tp>
      <tp t="e">
        <v>#N/A</v>
        <stp/>
        <stp>BDH|13279330578097955896</stp>
        <tr r="AA12" s="14"/>
      </tp>
      <tp t="e">
        <v>#N/A</v>
        <stp/>
        <stp>BDH|18216797312894735267</stp>
        <tr r="Z166" s="18"/>
      </tp>
      <tp t="e">
        <v>#N/A</v>
        <stp/>
        <stp>BDH|16359631239978447353</stp>
        <tr r="Z99" s="18"/>
      </tp>
      <tp t="e">
        <v>#N/A</v>
        <stp/>
        <stp>BDH|15809300363769599164</stp>
        <tr r="W126" s="18"/>
      </tp>
      <tp t="e">
        <v>#N/A</v>
        <stp/>
        <stp>BDH|14747839008722777634</stp>
        <tr r="W94" s="12"/>
      </tp>
      <tp t="e">
        <v>#N/A</v>
        <stp/>
        <stp>BDH|11222242118749778318</stp>
        <tr r="U188" s="18"/>
      </tp>
      <tp t="e">
        <v>#N/A</v>
        <stp/>
        <stp>BDH|17092928318860433762</stp>
        <tr r="Q20" s="17"/>
      </tp>
      <tp t="e">
        <v>#N/A</v>
        <stp/>
        <stp>BDH|14195985055745772534</stp>
        <tr r="E57" s="17"/>
      </tp>
      <tp t="e">
        <v>#N/A</v>
        <stp/>
        <stp>BDH|17110488267719088469</stp>
        <tr r="AA19" s="24"/>
      </tp>
      <tp t="e">
        <v>#N/A</v>
        <stp/>
        <stp>BDH|15807194963602243888</stp>
        <tr r="L48" s="12"/>
      </tp>
      <tp t="e">
        <v>#N/A</v>
        <stp/>
        <stp>BDH|10826897870005939208</stp>
        <tr r="F103" s="12"/>
      </tp>
      <tp t="e">
        <v>#N/A</v>
        <stp/>
        <stp>BDH|13130422668718204118</stp>
        <tr r="S94" s="24"/>
      </tp>
      <tp t="e">
        <v>#N/A</v>
        <stp/>
        <stp>BDH|13115941833986933777</stp>
        <tr r="I108" s="12"/>
      </tp>
      <tp t="e">
        <v>#N/A</v>
        <stp/>
        <stp>BDH|18017089357264169160</stp>
        <tr r="R19" s="11"/>
      </tp>
      <tp t="e">
        <v>#N/A</v>
        <stp/>
        <stp>BDH|11905815443807135222</stp>
        <tr r="E13" s="10"/>
      </tp>
      <tp t="e">
        <v>#N/A</v>
        <stp/>
        <stp>BDH|14265690351788559778</stp>
        <tr r="R61" s="13"/>
        <tr r="P48" s="11"/>
        <tr r="P57" s="10"/>
        <tr r="P18" s="7"/>
      </tp>
      <tp t="e">
        <v>#N/A</v>
        <stp/>
        <stp>BDH|17177835076351493184</stp>
        <tr r="AA122" s="12"/>
      </tp>
      <tp t="e">
        <v>#N/A</v>
        <stp/>
        <stp>BDH|11077731878558626152</stp>
        <tr r="N27" s="21"/>
      </tp>
      <tp t="e">
        <v>#N/A</v>
        <stp/>
        <stp>BDH|11249606484105931273</stp>
        <tr r="M14" s="27"/>
        <tr r="M28" s="25"/>
      </tp>
      <tp t="e">
        <v>#N/A</v>
        <stp/>
        <stp>BDH|13604102135621873830</stp>
        <tr r="V106" s="18"/>
      </tp>
      <tp t="e">
        <v>#N/A</v>
        <stp/>
        <stp>BDH|16079723091162913226</stp>
        <tr r="E196" s="18"/>
      </tp>
      <tp t="e">
        <v>#N/A</v>
        <stp/>
        <stp>BDH|12676803730417909672</stp>
        <tr r="W27" s="13"/>
      </tp>
      <tp t="e">
        <v>#N/A</v>
        <stp/>
        <stp>BDH|12748516606497052881</stp>
        <tr r="O41" s="22"/>
      </tp>
      <tp t="e">
        <v>#N/A</v>
        <stp/>
        <stp>BDH|15727890242656525714</stp>
        <tr r="J16" s="34"/>
      </tp>
      <tp t="e">
        <v>#N/A</v>
        <stp/>
        <stp>BDH|17984367137239796676</stp>
        <tr r="Z73" s="12"/>
      </tp>
      <tp t="e">
        <v>#N/A</v>
        <stp/>
        <stp>BDH|16589203882753886775</stp>
        <tr r="P23" s="11"/>
      </tp>
      <tp t="e">
        <v>#N/A</v>
        <stp/>
        <stp>BDH|10840662744679508370</stp>
        <tr r="O69" s="10"/>
      </tp>
      <tp t="e">
        <v>#N/A</v>
        <stp/>
        <stp>BDH|14830965167340524347</stp>
        <tr r="J48" s="18"/>
      </tp>
      <tp t="e">
        <v>#N/A</v>
        <stp/>
        <stp>BDH|12829223185487603715</stp>
        <tr r="C49" s="24"/>
      </tp>
      <tp t="e">
        <v>#N/A</v>
        <stp/>
        <stp>BDH|11076496452291119922</stp>
        <tr r="I83" s="18"/>
      </tp>
      <tp t="e">
        <v>#N/A</v>
        <stp/>
        <stp>BDH|16198663454124985924</stp>
        <tr r="X43" s="18"/>
      </tp>
      <tp t="e">
        <v>#N/A</v>
        <stp/>
        <stp>BDH|11932186183139213982</stp>
        <tr r="D94" s="17"/>
      </tp>
      <tp t="e">
        <v>#N/A</v>
        <stp/>
        <stp>BDH|12262941093483978943</stp>
        <tr r="N37" s="25"/>
        <tr r="N59" s="21"/>
        <tr r="L53" s="11"/>
        <tr r="L31" s="4"/>
      </tp>
      <tp t="e">
        <v>#N/A</v>
        <stp/>
        <stp>BDH|14979841390564221974</stp>
        <tr r="G39" s="13"/>
        <tr r="E32" s="10"/>
      </tp>
      <tp t="e">
        <v>#N/A</v>
        <stp/>
        <stp>BDH|10223294337719755030</stp>
        <tr r="S27" s="26"/>
      </tp>
      <tp t="e">
        <v>#N/A</v>
        <stp/>
        <stp>BDH|11456576688607492378</stp>
        <tr r="J34" s="13"/>
        <tr r="H27" s="10"/>
      </tp>
      <tp t="e">
        <v>#N/A</v>
        <stp/>
        <stp>BDH|17703887601215768228</stp>
        <tr r="O23" s="17"/>
      </tp>
      <tp t="e">
        <v>#N/A</v>
        <stp/>
        <stp>BDH|11904463615004532848</stp>
        <tr r="C64" s="34"/>
      </tp>
      <tp t="e">
        <v>#N/A</v>
        <stp/>
        <stp>BDH|11781821835841874339</stp>
        <tr r="R25" s="9"/>
      </tp>
      <tp t="e">
        <v>#N/A</v>
        <stp/>
        <stp>BDH|14124421064896546890</stp>
        <tr r="K34" s="29"/>
      </tp>
      <tp t="e">
        <v>#N/A</v>
        <stp/>
        <stp>BDH|15219970831684913369</stp>
        <tr r="Z195" s="18"/>
      </tp>
      <tp t="e">
        <v>#N/A</v>
        <stp/>
        <stp>BDH|17813401603839763271</stp>
        <tr r="C208" s="18"/>
      </tp>
      <tp t="e">
        <v>#N/A</v>
        <stp/>
        <stp>BDH|11879820730850202233</stp>
        <tr r="W15" s="25"/>
      </tp>
      <tp t="e">
        <v>#N/A</v>
        <stp/>
        <stp>BDH|11197123359649991486</stp>
        <tr r="H9" s="25"/>
        <tr r="H44" s="17"/>
      </tp>
      <tp t="e">
        <v>#N/A</v>
        <stp/>
        <stp>BDH|18177684664646665600</stp>
        <tr r="V19" s="24"/>
      </tp>
      <tp t="e">
        <v>#N/A</v>
        <stp/>
        <stp>BDH|10257718597374742288</stp>
        <tr r="W18" s="26"/>
      </tp>
      <tp t="e">
        <v>#N/A</v>
        <stp/>
        <stp>BDH|10304550983094865167</stp>
        <tr r="H16" s="28"/>
        <tr r="H13" s="17"/>
      </tp>
      <tp t="e">
        <v>#N/A</v>
        <stp/>
        <stp>BDH|13645811743512682599</stp>
        <tr r="F19" s="11"/>
      </tp>
      <tp t="e">
        <v>#N/A</v>
        <stp/>
        <stp>BDH|11216365098333658012</stp>
        <tr r="G66" s="12"/>
      </tp>
      <tp t="e">
        <v>#N/A</v>
        <stp/>
        <stp>BDH|12510391803139412000</stp>
        <tr r="Q20" s="25"/>
      </tp>
      <tp t="e">
        <v>#N/A</v>
        <stp/>
        <stp>BDH|16722801926360937433</stp>
        <tr r="W23" s="26"/>
      </tp>
      <tp t="e">
        <v>#N/A</v>
        <stp/>
        <stp>BDH|14924805980384536877</stp>
        <tr r="R124" s="18"/>
      </tp>
      <tp t="e">
        <v>#N/A</v>
        <stp/>
        <stp>BDH|10920150797614401442</stp>
        <tr r="D39" s="18"/>
      </tp>
      <tp t="e">
        <v>#N/A</v>
        <stp/>
        <stp>BDH|15512884779606604496</stp>
        <tr r="U120" s="12"/>
      </tp>
      <tp t="e">
        <v>#N/A</v>
        <stp/>
        <stp>BDH|16029362169319603227</stp>
        <tr r="Q14" s="13"/>
      </tp>
      <tp t="e">
        <v>#N/A</v>
        <stp/>
        <stp>BDH|11356892751630115414</stp>
        <tr r="G108" s="18"/>
      </tp>
      <tp t="e">
        <v>#N/A</v>
        <stp/>
        <stp>BDH|12565527240858495384</stp>
        <tr r="G10" s="28"/>
      </tp>
      <tp t="e">
        <v>#N/A</v>
        <stp/>
        <stp>BDH|13447058994960680297</stp>
        <tr r="M20" s="29"/>
      </tp>
      <tp t="e">
        <v>#N/A</v>
        <stp/>
        <stp>BDH|11204625219356087834</stp>
        <tr r="X10" s="18"/>
      </tp>
      <tp t="e">
        <v>#N/A</v>
        <stp/>
        <stp>BDH|17816257413728486403</stp>
        <tr r="F7" s="9"/>
        <tr r="F7" s="5"/>
        <tr r="I14" s="3"/>
        <tr r="G7" s="2"/>
      </tp>
      <tp t="e">
        <v>#N/A</v>
        <stp/>
        <stp>BDH|15858858244765664455</stp>
        <tr r="M45" s="17"/>
      </tp>
      <tp t="e">
        <v>#N/A</v>
        <stp/>
        <stp>BDH|11888094840398943522</stp>
        <tr r="V93" s="12"/>
      </tp>
      <tp t="e">
        <v>#N/A</v>
        <stp/>
        <stp>BDH|14841466245505592947</stp>
        <tr r="Y208" s="18"/>
      </tp>
      <tp t="e">
        <v>#N/A</v>
        <stp/>
        <stp>BDH|15085785708493397998</stp>
        <tr r="D112" s="18"/>
      </tp>
      <tp t="e">
        <v>#N/A</v>
        <stp/>
        <stp>BDH|12880559545143684840</stp>
        <tr r="P42" s="24"/>
      </tp>
      <tp t="e">
        <v>#N/A</v>
        <stp/>
        <stp>BDH|10949829563735720357</stp>
        <tr r="C19" s="22"/>
      </tp>
      <tp t="e">
        <v>#N/A</v>
        <stp/>
        <stp>BDH|13065929926045873567</stp>
        <tr r="E11" s="30"/>
      </tp>
      <tp t="e">
        <v>#N/A</v>
        <stp/>
        <stp>BDH|13692460298560410662</stp>
        <tr r="D56" s="18"/>
      </tp>
      <tp t="e">
        <v>#N/A</v>
        <stp/>
        <stp>BDH|14039082594993673600</stp>
        <tr r="C11" s="24"/>
      </tp>
      <tp t="e">
        <v>#N/A</v>
        <stp/>
        <stp>BDH|12796355149474131904</stp>
        <tr r="O85" s="17"/>
        <tr r="M6" s="7"/>
        <tr r="O20" s="3"/>
      </tp>
      <tp t="e">
        <v>#N/A</v>
        <stp/>
        <stp>BDH|13395395627348476237</stp>
        <tr r="G115" s="12"/>
      </tp>
      <tp t="e">
        <v>#N/A</v>
        <stp/>
        <stp>BDH|10416891929970760291</stp>
        <tr r="O8" s="6"/>
      </tp>
      <tp t="e">
        <v>#N/A</v>
        <stp/>
        <stp>BDH|13186836714236900452</stp>
        <tr r="W19" s="23"/>
        <tr r="U59" s="11"/>
      </tp>
      <tp t="e">
        <v>#N/A</v>
        <stp/>
        <stp>BDH|17833070796962050431</stp>
        <tr r="Y210" s="18"/>
      </tp>
      <tp t="e">
        <v>#N/A</v>
        <stp/>
        <stp>BDH|16203488242096311814</stp>
        <tr r="U43" s="24"/>
      </tp>
      <tp t="e">
        <v>#N/A</v>
        <stp/>
        <stp>BDH|12311666218188723509</stp>
        <tr r="F54" s="12"/>
      </tp>
      <tp t="e">
        <v>#N/A</v>
        <stp/>
        <stp>BDH|13679304199747293671</stp>
        <tr r="K7" s="9"/>
        <tr r="K7" s="5"/>
        <tr r="N14" s="3"/>
        <tr r="L7" s="2"/>
      </tp>
      <tp t="e">
        <v>#N/A</v>
        <stp/>
        <stp>BDH|10341312482166997532</stp>
        <tr r="N14" s="22"/>
      </tp>
      <tp t="e">
        <v>#N/A</v>
        <stp/>
        <stp>BDH|16441411920660898876</stp>
        <tr r="Z66" s="13"/>
      </tp>
      <tp t="e">
        <v>#N/A</v>
        <stp/>
        <stp>BDH|16684484193534407735</stp>
        <tr r="I29" s="21"/>
      </tp>
      <tp t="e">
        <v>#N/A</v>
        <stp/>
        <stp>BDH|13535705891800693584</stp>
        <tr r="K60" s="18"/>
      </tp>
      <tp t="e">
        <v>#N/A</v>
        <stp/>
        <stp>BDH|16379105596452714485</stp>
        <tr r="K152" s="18"/>
      </tp>
      <tp t="e">
        <v>#N/A</v>
        <stp/>
        <stp>BDH|14887278064769469150</stp>
        <tr r="K9" s="20"/>
        <tr r="K119" s="18"/>
      </tp>
      <tp t="e">
        <v>#N/A</v>
        <stp/>
        <stp>BDH|10315947388248327167</stp>
        <tr r="Z176" s="18"/>
      </tp>
      <tp t="e">
        <v>#N/A</v>
        <stp/>
        <stp>BDH|13113645690382708686</stp>
        <tr r="L69" s="34"/>
      </tp>
      <tp t="e">
        <v>#N/A</v>
        <stp/>
        <stp>BDH|17886971751466046548</stp>
        <tr r="C31" s="5"/>
      </tp>
      <tp t="e">
        <v>#N/A</v>
        <stp/>
        <stp>BDH|15541107829997184972</stp>
        <tr r="E20" s="22"/>
      </tp>
      <tp t="e">
        <v>#N/A</v>
        <stp/>
        <stp>BDH|12379295387120079074</stp>
        <tr r="L45" s="22"/>
      </tp>
      <tp t="e">
        <v>#N/A</v>
        <stp/>
        <stp>BDH|17833384540521958930</stp>
        <tr r="T14" s="4"/>
      </tp>
      <tp t="e">
        <v>#N/A</v>
        <stp/>
        <stp>BDH|12560301004398346187</stp>
        <tr r="I22" s="24"/>
      </tp>
      <tp t="e">
        <v>#N/A</v>
        <stp/>
        <stp>BDH|16990822116321560629</stp>
        <tr r="L7" s="11"/>
      </tp>
      <tp t="e">
        <v>#N/A</v>
        <stp/>
        <stp>BDH|15287481591997036715</stp>
        <tr r="Y162" s="18"/>
      </tp>
      <tp t="e">
        <v>#N/A</v>
        <stp/>
        <stp>BDH|11008174279416329977</stp>
        <tr r="R8" s="2"/>
      </tp>
      <tp t="e">
        <v>#N/A</v>
        <stp/>
        <stp>BDH|14462285436988281526</stp>
        <tr r="Q24" s="22"/>
      </tp>
      <tp t="e">
        <v>#N/A</v>
        <stp/>
        <stp>BDH|12789586289453577499</stp>
        <tr r="J16" s="6"/>
      </tp>
      <tp t="e">
        <v>#N/A</v>
        <stp/>
        <stp>BDH|16100613884868875868</stp>
        <tr r="K15" s="14"/>
      </tp>
      <tp t="e">
        <v>#N/A</v>
        <stp/>
        <stp>BDH|11647752862681210995</stp>
        <tr r="E71" s="12"/>
      </tp>
      <tp t="e">
        <v>#N/A</v>
        <stp/>
        <stp>BDH|14893263406078638632</stp>
        <tr r="M84" s="12"/>
      </tp>
      <tp t="e">
        <v>#N/A</v>
        <stp/>
        <stp>BDH|14902090995880810502</stp>
        <tr r="M23" s="18"/>
      </tp>
      <tp t="e">
        <v>#N/A</v>
        <stp/>
        <stp>BDH|15217882436994782268</stp>
        <tr r="U126" s="18"/>
      </tp>
      <tp t="e">
        <v>#N/A</v>
        <stp/>
        <stp>BDH|10253886836660680374</stp>
        <tr r="U60" s="11"/>
      </tp>
      <tp t="e">
        <v>#N/A</v>
        <stp/>
        <stp>BDH|13840364683980912091</stp>
        <tr r="G210" s="18"/>
      </tp>
      <tp t="e">
        <v>#N/A</v>
        <stp/>
        <stp>BDH|14625789921170222901</stp>
        <tr r="E13" s="18"/>
      </tp>
      <tp t="e">
        <v>#N/A</v>
        <stp/>
        <stp>BDH|17477522402873932907</stp>
        <tr r="J14" s="24"/>
      </tp>
      <tp t="e">
        <v>#N/A</v>
        <stp/>
        <stp>BDH|11649555675969802230</stp>
        <tr r="U13" s="8"/>
      </tp>
      <tp t="e">
        <v>#N/A</v>
        <stp/>
        <stp>BDH|15851203640153394866</stp>
        <tr r="U108" s="12"/>
      </tp>
      <tp t="e">
        <v>#N/A</v>
        <stp/>
        <stp>BDH|15554091754270786826</stp>
        <tr r="N8" s="10"/>
      </tp>
      <tp t="e">
        <v>#N/A</v>
        <stp/>
        <stp>BDH|17023173499531138628</stp>
        <tr r="K20" s="9"/>
      </tp>
      <tp t="e">
        <v>#N/A</v>
        <stp/>
        <stp>BDH|17319195467810225821</stp>
        <tr r="O34" s="24"/>
      </tp>
      <tp t="e">
        <v>#N/A</v>
        <stp/>
        <stp>BDH|12118968022703113290</stp>
        <tr r="E192" s="18"/>
      </tp>
      <tp t="e">
        <v>#N/A</v>
        <stp/>
        <stp>BDH|13586250289228176952</stp>
        <tr r="X37" s="29"/>
        <tr r="X23" s="29"/>
        <tr r="X14" s="29"/>
      </tp>
      <tp t="e">
        <v>#N/A</v>
        <stp/>
        <stp>BDH|12699836648004402241</stp>
        <tr r="Y44" s="34"/>
      </tp>
      <tp t="e">
        <v>#N/A</v>
        <stp/>
        <stp>BDH|15884517301600228875</stp>
        <tr r="I70" s="17"/>
        <tr r="I18" s="3"/>
      </tp>
      <tp t="e">
        <v>#N/A</v>
        <stp/>
        <stp>BDH|16792639998559713869</stp>
        <tr r="J50" s="24"/>
      </tp>
      <tp t="e">
        <v>#N/A</v>
        <stp/>
        <stp>BDH|13284253453188837414</stp>
        <tr r="Y65" s="24"/>
      </tp>
      <tp t="e">
        <v>#N/A</v>
        <stp/>
        <stp>BDH|15208948929937394115</stp>
        <tr r="Z84" s="18"/>
      </tp>
      <tp t="e">
        <v>#N/A</v>
        <stp/>
        <stp>BDH|10634171683839968860</stp>
        <tr r="E41" s="6"/>
        <tr r="E18" s="5"/>
      </tp>
      <tp t="e">
        <v>#N/A</v>
        <stp/>
        <stp>BDH|10435152750028956457</stp>
        <tr r="P25" s="3"/>
      </tp>
      <tp t="e">
        <v>#N/A</v>
        <stp/>
        <stp>BDH|15809777348577822922</stp>
        <tr r="V88" s="12"/>
      </tp>
      <tp t="e">
        <v>#N/A</v>
        <stp/>
        <stp>BDH|12367797023206771936</stp>
        <tr r="L8" s="14"/>
      </tp>
      <tp t="e">
        <v>#N/A</v>
        <stp/>
        <stp>BDH|17824573134089664006</stp>
        <tr r="X47" s="13"/>
      </tp>
      <tp t="e">
        <v>#N/A</v>
        <stp/>
        <stp>BDH|14850483998421725020</stp>
        <tr r="V78" s="12"/>
      </tp>
      <tp t="e">
        <v>#N/A</v>
        <stp/>
        <stp>BDH|16477929421101395496</stp>
        <tr r="K126" s="18"/>
      </tp>
      <tp t="e">
        <v>#N/A</v>
        <stp/>
        <stp>BDH|13831415689054937342</stp>
        <tr r="G7" s="23"/>
      </tp>
      <tp t="e">
        <v>#N/A</v>
        <stp/>
        <stp>BDH|18406787505252273565</stp>
        <tr r="C16" s="22"/>
      </tp>
      <tp t="e">
        <v>#N/A</v>
        <stp/>
        <stp>BDH|16423217992022209782</stp>
        <tr r="K38" s="12"/>
      </tp>
      <tp t="e">
        <v>#N/A</v>
        <stp/>
        <stp>BDH|12510361443589856456</stp>
        <tr r="M35" s="4"/>
      </tp>
      <tp t="e">
        <v>#N/A</v>
        <stp/>
        <stp>BDH|15984429679159670791</stp>
        <tr r="S66" s="17"/>
      </tp>
      <tp t="e">
        <v>#N/A</v>
        <stp/>
        <stp>BDH|14770787754218116675</stp>
        <tr r="O212" s="18"/>
      </tp>
      <tp t="e">
        <v>#N/A</v>
        <stp/>
        <stp>BDH|15645563258274113942</stp>
        <tr r="L201" s="18"/>
      </tp>
      <tp t="e">
        <v>#N/A</v>
        <stp/>
        <stp>BDH|17842905865144030406</stp>
        <tr r="S13" s="30"/>
      </tp>
      <tp t="e">
        <v>#N/A</v>
        <stp/>
        <stp>BDH|17562987582998090625</stp>
        <tr r="L88" s="18"/>
      </tp>
      <tp t="e">
        <v>#N/A</v>
        <stp/>
        <stp>BDH|14893034411989068476</stp>
        <tr r="V67" s="17"/>
      </tp>
      <tp t="e">
        <v>#N/A</v>
        <stp/>
        <stp>BDH|13064320152068893544</stp>
        <tr r="F88" s="18"/>
      </tp>
      <tp t="e">
        <v>#N/A</v>
        <stp/>
        <stp>BDH|11066498263198635306</stp>
        <tr r="U60" s="18"/>
      </tp>
      <tp t="e">
        <v>#N/A</v>
        <stp/>
        <stp>BDH|13761709033266002987</stp>
        <tr r="C12" s="18"/>
      </tp>
      <tp t="e">
        <v>#N/A</v>
        <stp/>
        <stp>BDH|11203309684946892423</stp>
        <tr r="AA117" s="12"/>
      </tp>
      <tp t="e">
        <v>#N/A</v>
        <stp/>
        <stp>BDH|11381969439051619269</stp>
        <tr r="E32" s="13"/>
        <tr r="C24" s="11"/>
        <tr r="C33" s="10"/>
        <tr r="C45" s="4"/>
      </tp>
      <tp t="e">
        <v>#N/A</v>
        <stp/>
        <stp>BDH|12156789667503151835</stp>
        <tr r="U17" s="22"/>
      </tp>
      <tp t="e">
        <v>#N/A</v>
        <stp/>
        <stp>BDH|16442619995737915653</stp>
        <tr r="L119" s="12"/>
      </tp>
      <tp t="e">
        <v>#N/A</v>
        <stp/>
        <stp>BDH|16849102670848347072</stp>
        <tr r="T55" s="13"/>
        <tr r="R37" s="11"/>
        <tr r="R46" s="10"/>
        <tr r="R53" s="4"/>
        <tr r="R18" s="2"/>
      </tp>
      <tp t="e">
        <v>#N/A</v>
        <stp/>
        <stp>BDH|15050423055764200899</stp>
        <tr r="V34" s="26"/>
      </tp>
      <tp t="e">
        <v>#N/A</v>
        <stp/>
        <stp>BDH|15487114769432410841</stp>
        <tr r="O40" s="17"/>
      </tp>
      <tp t="e">
        <v>#N/A</v>
        <stp/>
        <stp>BDH|11428671024725220899</stp>
        <tr r="D63" s="18"/>
      </tp>
      <tp t="e">
        <v>#N/A</v>
        <stp/>
        <stp>BDH|14159899942117625701</stp>
        <tr r="G87" s="18"/>
      </tp>
      <tp t="e">
        <v>#N/A</v>
        <stp/>
        <stp>BDH|15151134999112383745</stp>
        <tr r="U94" s="17"/>
      </tp>
      <tp t="e">
        <v>#N/A</v>
        <stp/>
        <stp>BDH|16897393626719925622</stp>
        <tr r="W13" s="25"/>
      </tp>
      <tp t="e">
        <v>#N/A</v>
        <stp/>
        <stp>BDH|14429930749444265503</stp>
        <tr r="Y90" s="18"/>
      </tp>
      <tp t="e">
        <v>#N/A</v>
        <stp/>
        <stp>BDH|10347380654387066933</stp>
        <tr r="G92" s="18"/>
      </tp>
      <tp t="e">
        <v>#N/A</v>
        <stp/>
        <stp>BDH|11470487787572034774</stp>
        <tr r="R19" s="20"/>
      </tp>
      <tp t="e">
        <v>#N/A</v>
        <stp/>
        <stp>BDH|14978094568492549813</stp>
        <tr r="W23" s="18"/>
      </tp>
      <tp t="e">
        <v>#N/A</v>
        <stp/>
        <stp>BDH|18168114004086030781</stp>
        <tr r="N11" s="22"/>
      </tp>
      <tp t="e">
        <v>#N/A</v>
        <stp/>
        <stp>BDH|11591875301856859776</stp>
        <tr r="E16" s="12"/>
      </tp>
      <tp t="e">
        <v>#N/A</v>
        <stp/>
        <stp>BDH|14592161071293681985</stp>
        <tr r="C33" s="12"/>
      </tp>
      <tp t="e">
        <v>#N/A</v>
        <stp/>
        <stp>BDH|17562945200503493599</stp>
        <tr r="L62" s="34"/>
      </tp>
      <tp t="e">
        <v>#N/A</v>
        <stp/>
        <stp>BDH|12115509968388475119</stp>
        <tr r="U207" s="18"/>
      </tp>
      <tp t="e">
        <v>#N/A</v>
        <stp/>
        <stp>BDH|15545821544354655596</stp>
        <tr r="L9" s="13"/>
      </tp>
      <tp t="e">
        <v>#N/A</v>
        <stp/>
        <stp>BDH|16722903771043373392</stp>
        <tr r="V55" s="13"/>
        <tr r="T37" s="11"/>
        <tr r="T46" s="10"/>
        <tr r="T53" s="4"/>
        <tr r="T18" s="2"/>
      </tp>
      <tp t="e">
        <v>#N/A</v>
        <stp/>
        <stp>BDH|16958502324699350020</stp>
        <tr r="X68" s="34"/>
      </tp>
      <tp t="e">
        <v>#N/A</v>
        <stp/>
        <stp>BDH|10898796166459143094</stp>
        <tr r="I42" s="17"/>
      </tp>
      <tp t="e">
        <v>#N/A</v>
        <stp/>
        <stp>BDH|14174459485758664885</stp>
        <tr r="N129" s="18"/>
      </tp>
      <tp t="e">
        <v>#N/A</v>
        <stp/>
        <stp>BDH|15382891271762437007</stp>
        <tr r="C21" s="3"/>
      </tp>
      <tp t="e">
        <v>#N/A</v>
        <stp/>
        <stp>BDH|17985175557123172871</stp>
        <tr r="S198" s="18"/>
      </tp>
      <tp t="e">
        <v>#N/A</v>
        <stp/>
        <stp>BDH|17777084065748789125</stp>
        <tr r="K18" s="24"/>
      </tp>
      <tp t="e">
        <v>#N/A</v>
        <stp/>
        <stp>BDH|14692556391650870057</stp>
        <tr r="K81" s="18"/>
      </tp>
      <tp t="e">
        <v>#N/A</v>
        <stp/>
        <stp>BDH|15066488459635730992</stp>
        <tr r="I56" s="11"/>
        <tr r="I24" s="4"/>
      </tp>
      <tp t="e">
        <v>#N/A</v>
        <stp/>
        <stp>BDH|13584583292282251524</stp>
        <tr r="X33" s="12"/>
      </tp>
      <tp t="e">
        <v>#N/A</v>
        <stp/>
        <stp>BDH|17200093700909110653</stp>
        <tr r="K22" s="11"/>
      </tp>
      <tp t="e">
        <v>#N/A</v>
        <stp/>
        <stp>BDH|12949466420569484540</stp>
        <tr r="J183" s="18"/>
      </tp>
      <tp t="e">
        <v>#N/A</v>
        <stp/>
        <stp>BDH|17531047899662093475</stp>
        <tr r="N68" s="12"/>
      </tp>
      <tp t="e">
        <v>#N/A</v>
        <stp/>
        <stp>BDH|18052065976416621198</stp>
        <tr r="C55" s="24"/>
      </tp>
      <tp t="e">
        <v>#N/A</v>
        <stp/>
        <stp>BDH|15048371673891387888</stp>
        <tr r="M33" s="17"/>
      </tp>
      <tp t="e">
        <v>#N/A</v>
        <stp/>
        <stp>BDH|10628198141054205936</stp>
        <tr r="C18" s="34"/>
      </tp>
      <tp t="e">
        <v>#N/A</v>
        <stp/>
        <stp>BDH|13249646049400698963</stp>
        <tr r="U65" s="10"/>
        <tr r="U25" s="4"/>
      </tp>
      <tp t="e">
        <v>#N/A</v>
        <stp/>
        <stp>BDH|16580033106739873777</stp>
        <tr r="D186" s="18"/>
      </tp>
      <tp t="e">
        <v>#N/A</v>
        <stp/>
        <stp>BDH|18349763451140874232</stp>
        <tr r="P8" s="4"/>
      </tp>
      <tp t="e">
        <v>#N/A</v>
        <stp/>
        <stp>BDH|13714609420349911619</stp>
        <tr r="W11" s="28"/>
      </tp>
      <tp t="e">
        <v>#N/A</v>
        <stp/>
        <stp>BDH|16925923642533536034</stp>
        <tr r="AA27" s="21"/>
      </tp>
      <tp t="e">
        <v>#N/A</v>
        <stp/>
        <stp>BDH|13522534581035919315</stp>
        <tr r="W10" s="22"/>
      </tp>
      <tp t="e">
        <v>#N/A</v>
        <stp/>
        <stp>BDH|12876990109617277454</stp>
        <tr r="K28" s="26"/>
      </tp>
      <tp t="e">
        <v>#N/A</v>
        <stp/>
        <stp>BDH|12645792740059804087</stp>
        <tr r="Y23" s="30"/>
        <tr r="Y25" s="23"/>
      </tp>
      <tp t="e">
        <v>#N/A</v>
        <stp/>
        <stp>BDH|13432075993573972164</stp>
        <tr r="P43" s="4"/>
      </tp>
      <tp t="e">
        <v>#N/A</v>
        <stp/>
        <stp>BDH|17211525356009013695</stp>
        <tr r="L29" s="12"/>
      </tp>
      <tp t="e">
        <v>#N/A</v>
        <stp/>
        <stp>BDH|10238473740488924036</stp>
        <tr r="D42" s="17"/>
      </tp>
      <tp t="e">
        <v>#N/A</v>
        <stp/>
        <stp>BDH|11920587240201714991</stp>
        <tr r="W92" s="12"/>
      </tp>
      <tp t="e">
        <v>#N/A</v>
        <stp/>
        <stp>BDH|14993420490898709937</stp>
        <tr r="L42" s="4"/>
      </tp>
      <tp t="e">
        <v>#N/A</v>
        <stp/>
        <stp>BDH|10395574122438887717</stp>
        <tr r="R18" s="6"/>
      </tp>
      <tp t="e">
        <v>#N/A</v>
        <stp/>
        <stp>BDH|10956485131628997769</stp>
        <tr r="Q51" s="24"/>
      </tp>
      <tp t="e">
        <v>#N/A</v>
        <stp/>
        <stp>BDH|16260496656457674846</stp>
        <tr r="V135" s="18"/>
      </tp>
      <tp t="e">
        <v>#N/A</v>
        <stp/>
        <stp>BDH|10922105090457437725</stp>
        <tr r="C35" s="18"/>
      </tp>
      <tp t="e">
        <v>#N/A</v>
        <stp/>
        <stp>BDH|14208954152277350797</stp>
        <tr r="AA74" s="12"/>
      </tp>
      <tp t="e">
        <v>#N/A</v>
        <stp/>
        <stp>BDH|12287580250272278879</stp>
        <tr r="M68" s="24"/>
      </tp>
      <tp t="e">
        <v>#N/A</v>
        <stp/>
        <stp>BDH|10919801585598095038</stp>
        <tr r="D11" s="14"/>
      </tp>
      <tp t="e">
        <v>#N/A</v>
        <stp/>
        <stp>BDH|14660488083194460472</stp>
        <tr r="N56" s="12"/>
      </tp>
      <tp t="e">
        <v>#N/A</v>
        <stp/>
        <stp>BDH|18417564575572982003</stp>
        <tr r="W89" s="17"/>
      </tp>
      <tp t="e">
        <v>#N/A</v>
        <stp/>
        <stp>BDH|11813713892977645036</stp>
        <tr r="I11" s="7"/>
      </tp>
      <tp t="e">
        <v>#N/A</v>
        <stp/>
        <stp>BDH|10097045670218930734</stp>
        <tr r="X44" s="12"/>
      </tp>
      <tp t="e">
        <v>#N/A</v>
        <stp/>
        <stp>BDH|17871859883068432745</stp>
        <tr r="Z32" s="22"/>
      </tp>
      <tp t="e">
        <v>#N/A</v>
        <stp/>
        <stp>BDH|15188096591726503221</stp>
        <tr r="G95" s="18"/>
      </tp>
      <tp t="e">
        <v>#N/A</v>
        <stp/>
        <stp>BDH|11887881870712657483</stp>
        <tr r="G24" s="18"/>
      </tp>
      <tp t="e">
        <v>#N/A</v>
        <stp/>
        <stp>BDH|15257539668346471830</stp>
        <tr r="U110" s="18"/>
      </tp>
      <tp t="e">
        <v>#N/A</v>
        <stp/>
        <stp>BDH|14164217739849715400</stp>
        <tr r="K15" s="26"/>
      </tp>
      <tp t="e">
        <v>#N/A</v>
        <stp/>
        <stp>BDH|15804055437828659627</stp>
        <tr r="U50" s="24"/>
      </tp>
      <tp t="e">
        <v>#N/A</v>
        <stp/>
        <stp>BDH|17788082985975655229</stp>
        <tr r="AA64" s="12"/>
      </tp>
      <tp t="e">
        <v>#N/A</v>
        <stp/>
        <stp>BDH|15587385956149338260</stp>
        <tr r="P55" s="11"/>
      </tp>
      <tp t="e">
        <v>#N/A</v>
        <stp/>
        <stp>BDH|17011528781632408091</stp>
        <tr r="V19" s="30"/>
      </tp>
      <tp t="e">
        <v>#N/A</v>
        <stp/>
        <stp>BDH|11596795794783340451</stp>
        <tr r="K13" s="11"/>
      </tp>
      <tp t="e">
        <v>#N/A</v>
        <stp/>
        <stp>BDH|13192525685710028684</stp>
        <tr r="S95" s="12"/>
      </tp>
      <tp t="e">
        <v>#N/A</v>
        <stp/>
        <stp>BDH|17153098720525663803</stp>
        <tr r="L86" s="18"/>
      </tp>
      <tp t="e">
        <v>#N/A</v>
        <stp/>
        <stp>BDH|16206378138839680755</stp>
        <tr r="N92" s="12"/>
      </tp>
      <tp t="e">
        <v>#N/A</v>
        <stp/>
        <stp>BDH|16754070501507985965</stp>
        <tr r="I8" s="4"/>
      </tp>
      <tp t="e">
        <v>#N/A</v>
        <stp/>
        <stp>BDH|18406659112167835056</stp>
        <tr r="Z11" s="29"/>
      </tp>
      <tp t="e">
        <v>#N/A</v>
        <stp/>
        <stp>BDH|14618928219115303104</stp>
        <tr r="I25" s="14"/>
      </tp>
      <tp t="e">
        <v>#N/A</v>
        <stp/>
        <stp>BDH|10121269349388130617</stp>
        <tr r="R111" s="12"/>
      </tp>
      <tp t="e">
        <v>#N/A</v>
        <stp/>
        <stp>BDH|11763541997031351491</stp>
        <tr r="J10" s="14"/>
      </tp>
      <tp t="e">
        <v>#N/A</v>
        <stp/>
        <stp>BDH|12601782339769858711</stp>
        <tr r="Y159" s="18"/>
      </tp>
      <tp t="e">
        <v>#N/A</v>
        <stp/>
        <stp>BDH|15103884214461628553</stp>
        <tr r="Y24" s="22"/>
      </tp>
      <tp t="e">
        <v>#N/A</v>
        <stp/>
        <stp>BDH|16269053988296567040</stp>
        <tr r="U57" s="24"/>
      </tp>
      <tp t="e">
        <v>#N/A</v>
        <stp/>
        <stp>BDH|12961385625059970235</stp>
        <tr r="E37" s="22"/>
      </tp>
      <tp t="e">
        <v>#N/A</v>
        <stp/>
        <stp>BDH|14814986313676846255</stp>
        <tr r="I39" s="26"/>
      </tp>
      <tp t="e">
        <v>#N/A</v>
        <stp/>
        <stp>BDH|16033621691433956244</stp>
        <tr r="I15" s="26"/>
      </tp>
      <tp t="e">
        <v>#N/A</v>
        <stp/>
        <stp>BDH|13928609481972118774</stp>
        <tr r="F203" s="18"/>
      </tp>
      <tp t="e">
        <v>#N/A</v>
        <stp/>
        <stp>BDH|11855758192160135709</stp>
        <tr r="F51" s="17"/>
      </tp>
      <tp t="e">
        <v>#N/A</v>
        <stp/>
        <stp>BDH|12878746546199316077</stp>
        <tr r="P20" s="24"/>
      </tp>
      <tp t="e">
        <v>#N/A</v>
        <stp/>
        <stp>BDH|11223514767849224389</stp>
        <tr r="F17" s="14"/>
      </tp>
      <tp t="e">
        <v>#N/A</v>
        <stp/>
        <stp>BDH|14202755433929203189</stp>
        <tr r="N150" s="18"/>
      </tp>
      <tp t="e">
        <v>#N/A</v>
        <stp/>
        <stp>BDH|14826515690342665217</stp>
        <tr r="D16" s="12"/>
      </tp>
      <tp t="e">
        <v>#N/A</v>
        <stp/>
        <stp>BDH|15612328899356191127</stp>
        <tr r="T37" s="6"/>
      </tp>
      <tp t="e">
        <v>#N/A</v>
        <stp/>
        <stp>BDH|16957095282422482488</stp>
        <tr r="W90" s="18"/>
      </tp>
      <tp t="e">
        <v>#N/A</v>
        <stp/>
        <stp>BDH|16821467384972841133</stp>
        <tr r="J35" s="21"/>
      </tp>
      <tp t="e">
        <v>#N/A</v>
        <stp/>
        <stp>BDH|13810310135489562389</stp>
        <tr r="G70" s="13"/>
        <tr r="E49" s="11"/>
        <tr r="E58" s="10"/>
        <tr r="E19" s="7"/>
        <tr r="E18" s="4"/>
        <tr r="E20" s="2"/>
      </tp>
      <tp t="e">
        <v>#N/A</v>
        <stp/>
        <stp>BDH|16403250593573567769</stp>
        <tr r="D72" s="24"/>
      </tp>
      <tp t="e">
        <v>#N/A</v>
        <stp/>
        <stp>BDH|17416972869889820833</stp>
        <tr r="J78" s="17"/>
      </tp>
      <tp t="e">
        <v>#N/A</v>
        <stp/>
        <stp>BDH|11829733892077087183</stp>
        <tr r="I10" s="12"/>
      </tp>
      <tp t="e">
        <v>#N/A</v>
        <stp/>
        <stp>BDH|15986827251341951023</stp>
        <tr r="M37" s="6"/>
      </tp>
      <tp t="e">
        <v>#N/A</v>
        <stp/>
        <stp>BDH|15854297572701271808</stp>
        <tr r="AA25" s="27"/>
      </tp>
      <tp t="e">
        <v>#N/A</v>
        <stp/>
        <stp>BDH|11830462799665042069</stp>
        <tr r="N79" s="18"/>
      </tp>
      <tp t="e">
        <v>#N/A</v>
        <stp/>
        <stp>BDH|15926170481033994672</stp>
        <tr r="P69" s="17"/>
      </tp>
      <tp t="e">
        <v>#N/A</v>
        <stp/>
        <stp>BDH|12670288107308912114</stp>
        <tr r="Q44" s="12"/>
      </tp>
      <tp t="e">
        <v>#N/A</v>
        <stp/>
        <stp>BDH|14696292930534705891</stp>
        <tr r="M86" s="12"/>
      </tp>
      <tp t="e">
        <v>#N/A</v>
        <stp/>
        <stp>BDH|15459158533538564661</stp>
        <tr r="D21" s="34"/>
      </tp>
      <tp t="e">
        <v>#N/A</v>
        <stp/>
        <stp>BDH|17551595339730488801</stp>
        <tr r="Y34" s="21"/>
      </tp>
      <tp t="e">
        <v>#N/A</v>
        <stp/>
        <stp>BDH|11494030722169473301</stp>
        <tr r="D20" s="22"/>
      </tp>
      <tp t="e">
        <v>#N/A</v>
        <stp/>
        <stp>BDH|15084848855249598855</stp>
        <tr r="Y30" s="34"/>
      </tp>
      <tp t="e">
        <v>#N/A</v>
        <stp/>
        <stp>BDH|12506959592028438377</stp>
        <tr r="P42" s="34"/>
      </tp>
      <tp t="e">
        <v>#N/A</v>
        <stp/>
        <stp>BDH|14124006740948190119</stp>
        <tr r="E90" s="24"/>
      </tp>
      <tp t="e">
        <v>#N/A</v>
        <stp/>
        <stp>BDH|17356402864519778518</stp>
        <tr r="X96" s="18"/>
      </tp>
      <tp t="e">
        <v>#N/A</v>
        <stp/>
        <stp>BDH|17106909500311461641</stp>
        <tr r="C74" s="18"/>
      </tp>
      <tp t="e">
        <v>#N/A</v>
        <stp/>
        <stp>BDH|12074386138122458959</stp>
        <tr r="P187" s="18"/>
      </tp>
      <tp t="e">
        <v>#N/A</v>
        <stp/>
        <stp>BDH|18370828887438001977</stp>
        <tr r="V34" s="12"/>
      </tp>
      <tp t="e">
        <v>#N/A</v>
        <stp/>
        <stp>BDH|10117455438069910749</stp>
        <tr r="Z78" s="12"/>
      </tp>
      <tp t="e">
        <v>#N/A</v>
        <stp/>
        <stp>BDH|17364457117938498342</stp>
        <tr r="D67" s="21"/>
      </tp>
      <tp t="e">
        <v>#N/A</v>
        <stp/>
        <stp>BDH|17333576906452661955</stp>
        <tr r="S67" s="10"/>
      </tp>
      <tp t="e">
        <v>#N/A</v>
        <stp/>
        <stp>BDH|11491836726613687163</stp>
        <tr r="M77" s="24"/>
      </tp>
      <tp t="e">
        <v>#N/A</v>
        <stp/>
        <stp>BDH|10777872250883683774</stp>
        <tr r="L53" s="24"/>
      </tp>
      <tp t="e">
        <v>#N/A</v>
        <stp/>
        <stp>BDH|13402702923188441726</stp>
        <tr r="Y111" s="12"/>
      </tp>
      <tp t="e">
        <v>#N/A</v>
        <stp/>
        <stp>BDH|13759304004710404966</stp>
        <tr r="G11" s="30"/>
      </tp>
      <tp t="e">
        <v>#N/A</v>
        <stp/>
        <stp>BDH|15352435897341656006</stp>
        <tr r="S7" s="34"/>
      </tp>
      <tp t="e">
        <v>#N/A</v>
        <stp/>
        <stp>BDH|15624080823949480783</stp>
        <tr r="AA69" s="18"/>
      </tp>
      <tp t="e">
        <v>#N/A</v>
        <stp/>
        <stp>BDH|11205798768918768157</stp>
        <tr r="Q89" s="12"/>
      </tp>
      <tp t="e">
        <v>#N/A</v>
        <stp/>
        <stp>BDH|14122672031181640905</stp>
        <tr r="Y9" s="23"/>
      </tp>
      <tp t="e">
        <v>#N/A</v>
        <stp/>
        <stp>BDH|15056795627979988066</stp>
        <tr r="AA146" s="18"/>
      </tp>
      <tp t="e">
        <v>#N/A</v>
        <stp/>
        <stp>BDH|17289082908216675858</stp>
        <tr r="D19" s="13"/>
      </tp>
      <tp t="e">
        <v>#N/A</v>
        <stp/>
        <stp>BDH|11074633620718304414</stp>
        <tr r="M59" s="12"/>
      </tp>
      <tp t="e">
        <v>#N/A</v>
        <stp/>
        <stp>BDH|11891814618680548158</stp>
        <tr r="R9" s="13"/>
      </tp>
      <tp t="e">
        <v>#N/A</v>
        <stp/>
        <stp>BDH|18062666647103034005</stp>
        <tr r="D73" s="18"/>
      </tp>
      <tp t="e">
        <v>#N/A</v>
        <stp/>
        <stp>BDH|17910953857161870322</stp>
        <tr r="E70" s="24"/>
      </tp>
      <tp t="e">
        <v>#N/A</v>
        <stp/>
        <stp>BDH|17471748208729978009</stp>
        <tr r="E53" s="21"/>
      </tp>
      <tp t="e">
        <v>#N/A</v>
        <stp/>
        <stp>BDH|17735233352021141862</stp>
        <tr r="W26" s="11"/>
        <tr r="W35" s="10"/>
      </tp>
      <tp t="e">
        <v>#N/A</v>
        <stp/>
        <stp>BDH|13498738623378208774</stp>
        <tr r="K15" s="34"/>
      </tp>
      <tp t="e">
        <v>#N/A</v>
        <stp/>
        <stp>BDH|10128304730070400943</stp>
        <tr r="R34" s="34"/>
      </tp>
      <tp t="e">
        <v>#N/A</v>
        <stp/>
        <stp>BDH|17074115805797356865</stp>
        <tr r="Z21" s="18"/>
      </tp>
      <tp t="e">
        <v>#N/A</v>
        <stp/>
        <stp>BDH|11082878552490563516</stp>
        <tr r="M95" s="24"/>
      </tp>
      <tp t="e">
        <v>#N/A</v>
        <stp/>
        <stp>BDH|17848685498927193685</stp>
        <tr r="H78" s="34"/>
      </tp>
      <tp t="e">
        <v>#N/A</v>
        <stp/>
        <stp>BDH|15084408927298660200</stp>
        <tr r="P70" s="17"/>
        <tr r="P18" s="3"/>
      </tp>
      <tp t="e">
        <v>#N/A</v>
        <stp/>
        <stp>BDH|12445779287381028558</stp>
        <tr r="K33" s="9"/>
      </tp>
      <tp t="e">
        <v>#N/A</v>
        <stp/>
        <stp>BDH|12743548968421225991</stp>
        <tr r="K33" s="13"/>
        <tr r="I26" s="10"/>
      </tp>
      <tp t="e">
        <v>#N/A</v>
        <stp/>
        <stp>BDH|13521800700282085053</stp>
        <tr r="L16" s="25"/>
      </tp>
      <tp t="e">
        <v>#N/A</v>
        <stp/>
        <stp>BDH|13408632803324080842</stp>
        <tr r="W16" s="12"/>
      </tp>
      <tp t="e">
        <v>#N/A</v>
        <stp/>
        <stp>BDH|11969676858933442827</stp>
        <tr r="V26" s="11"/>
        <tr r="V35" s="10"/>
      </tp>
      <tp t="e">
        <v>#N/A</v>
        <stp/>
        <stp>BDH|16606786053759490492</stp>
        <tr r="T75" s="24"/>
      </tp>
      <tp t="e">
        <v>#N/A</v>
        <stp/>
        <stp>BDH|15477722531898424036</stp>
        <tr r="R42" s="34"/>
      </tp>
      <tp t="e">
        <v>#N/A</v>
        <stp/>
        <stp>BDH|10647120686619688943</stp>
        <tr r="X214" s="18"/>
      </tp>
      <tp t="e">
        <v>#N/A</v>
        <stp/>
        <stp>BDH|17132929765267768617</stp>
        <tr r="U23" s="26"/>
      </tp>
      <tp t="e">
        <v>#N/A</v>
        <stp/>
        <stp>BDH|14407044093786625258</stp>
        <tr r="L41" s="29"/>
        <tr r="L18" s="29"/>
      </tp>
      <tp t="e">
        <v>#N/A</v>
        <stp/>
        <stp>BDH|16278529547958077678</stp>
        <tr r="D10" s="22"/>
      </tp>
      <tp t="e">
        <v>#N/A</v>
        <stp/>
        <stp>BDH|16434569818329851223</stp>
        <tr r="W22" s="30"/>
        <tr r="W24" s="23"/>
      </tp>
      <tp t="e">
        <v>#N/A</v>
        <stp/>
        <stp>BDH|10341906703995200526</stp>
        <tr r="C72" s="17"/>
      </tp>
      <tp t="e">
        <v>#N/A</v>
        <stp/>
        <stp>BDH|10966336488817269502</stp>
        <tr r="I70" s="13"/>
        <tr r="G49" s="11"/>
        <tr r="G58" s="10"/>
        <tr r="G19" s="7"/>
        <tr r="G18" s="4"/>
        <tr r="G20" s="2"/>
      </tp>
      <tp t="e">
        <v>#N/A</v>
        <stp/>
        <stp>BDH|17688750234093206954</stp>
        <tr r="L30" s="17"/>
      </tp>
      <tp t="e">
        <v>#N/A</v>
        <stp/>
        <stp>BDH|17735679682518498865</stp>
        <tr r="V14" s="13"/>
      </tp>
      <tp t="e">
        <v>#N/A</v>
        <stp/>
        <stp>BDH|13361374747605512866</stp>
        <tr r="X80" s="18"/>
      </tp>
      <tp t="e">
        <v>#N/A</v>
        <stp/>
        <stp>BDH|17788790614691883925</stp>
        <tr r="P102" s="12"/>
      </tp>
      <tp t="e">
        <v>#N/A</v>
        <stp/>
        <stp>BDH|11846228419658308308</stp>
        <tr r="G62" s="24"/>
      </tp>
      <tp t="e">
        <v>#N/A</v>
        <stp/>
        <stp>BDH|15847152022756715982</stp>
        <tr r="N80" s="12"/>
      </tp>
      <tp t="e">
        <v>#N/A</v>
        <stp/>
        <stp>BDH|10403233664908789543</stp>
        <tr r="R112" s="12"/>
      </tp>
      <tp t="e">
        <v>#N/A</v>
        <stp/>
        <stp>BDH|11417040961399244737</stp>
        <tr r="F7" s="23"/>
      </tp>
      <tp t="e">
        <v>#N/A</v>
        <stp/>
        <stp>BDH|18168113059730108583</stp>
        <tr r="T109" s="12"/>
      </tp>
      <tp t="e">
        <v>#N/A</v>
        <stp/>
        <stp>BDH|13517915755161003715</stp>
        <tr r="J18" s="11"/>
      </tp>
      <tp t="e">
        <v>#N/A</v>
        <stp/>
        <stp>BDH|16801575521388669080</stp>
        <tr r="J77" s="24"/>
      </tp>
      <tp t="e">
        <v>#N/A</v>
        <stp/>
        <stp>BDH|17697138138029884559</stp>
        <tr r="N97" s="12"/>
      </tp>
      <tp t="e">
        <v>#N/A</v>
        <stp/>
        <stp>BDH|15636470031408059305</stp>
        <tr r="W14" s="24"/>
      </tp>
      <tp t="e">
        <v>#N/A</v>
        <stp/>
        <stp>BDH|12050600644139103053</stp>
        <tr r="H12" s="27"/>
        <tr r="H26" s="25"/>
      </tp>
      <tp t="e">
        <v>#N/A</v>
        <stp/>
        <stp>BDH|14263192188525426174</stp>
        <tr r="R66" s="18"/>
      </tp>
      <tp t="e">
        <v>#N/A</v>
        <stp/>
        <stp>BDH|15749725980820093357</stp>
        <tr r="K77" s="24"/>
      </tp>
      <tp t="e">
        <v>#N/A</v>
        <stp/>
        <stp>BDH|13109227932682879990</stp>
        <tr r="Q15" s="18"/>
      </tp>
      <tp t="e">
        <v>#N/A</v>
        <stp/>
        <stp>BDH|11411027142568465403</stp>
        <tr r="C26" s="14"/>
      </tp>
      <tp t="e">
        <v>#N/A</v>
        <stp/>
        <stp>BDH|11353921743294177134</stp>
        <tr r="V92" s="12"/>
      </tp>
      <tp t="e">
        <v>#N/A</v>
        <stp/>
        <stp>BDH|12237907174113536633</stp>
        <tr r="K90" s="12"/>
      </tp>
      <tp t="e">
        <v>#N/A</v>
        <stp/>
        <stp>BDH|15521913212770075464</stp>
        <tr r="H48" s="13"/>
      </tp>
      <tp t="e">
        <v>#N/A</v>
        <stp/>
        <stp>BDH|16052896601112048582</stp>
        <tr r="R33" s="24"/>
      </tp>
      <tp t="e">
        <v>#N/A</v>
        <stp/>
        <stp>BDH|14247307544199652303</stp>
        <tr r="Y85" s="24"/>
      </tp>
      <tp t="e">
        <v>#N/A</v>
        <stp/>
        <stp>BDH|10267690686024859357</stp>
        <tr r="H43" s="4"/>
      </tp>
      <tp t="e">
        <v>#N/A</v>
        <stp/>
        <stp>BDH|13917315452794916809</stp>
        <tr r="AA98" s="18"/>
      </tp>
      <tp t="e">
        <v>#N/A</v>
        <stp/>
        <stp>BDH|11294882558462519745</stp>
        <tr r="K71" s="24"/>
      </tp>
      <tp t="e">
        <v>#N/A</v>
        <stp/>
        <stp>BDH|16614622452748363469</stp>
        <tr r="H82" s="12"/>
      </tp>
      <tp t="e">
        <v>#N/A</v>
        <stp/>
        <stp>BDH|16631128860609408136</stp>
        <tr r="U121" s="12"/>
      </tp>
      <tp t="e">
        <v>#N/A</v>
        <stp/>
        <stp>BDH|15856356891123982563</stp>
        <tr r="R193" s="18"/>
      </tp>
      <tp t="e">
        <v>#N/A</v>
        <stp/>
        <stp>BDH|10079911897980644933</stp>
        <tr r="K12" s="18"/>
      </tp>
      <tp t="e">
        <v>#N/A</v>
        <stp/>
        <stp>BDH|10467232976805319915</stp>
        <tr r="E24" s="12"/>
      </tp>
      <tp t="e">
        <v>#N/A</v>
        <stp/>
        <stp>BDH|16740945800382793473</stp>
        <tr r="Z193" s="18"/>
      </tp>
      <tp t="e">
        <v>#N/A</v>
        <stp/>
        <stp>BDH|11300317836779682117</stp>
        <tr r="V15" s="13"/>
      </tp>
      <tp t="e">
        <v>#N/A</v>
        <stp/>
        <stp>BDH|10185819287831378871</stp>
        <tr r="V33" s="17"/>
      </tp>
      <tp t="e">
        <v>#N/A</v>
        <stp/>
        <stp>BDH|12750656717834770813</stp>
        <tr r="C28" s="18"/>
      </tp>
      <tp t="e">
        <v>#N/A</v>
        <stp/>
        <stp>BDH|15049832617803138663</stp>
        <tr r="T25" s="7"/>
      </tp>
      <tp t="e">
        <v>#N/A</v>
        <stp/>
        <stp>BDH|10580762673660753947</stp>
        <tr r="R29" s="12"/>
      </tp>
      <tp t="e">
        <v>#N/A</v>
        <stp/>
        <stp>BDH|15254459934708465340</stp>
        <tr r="T14" s="10"/>
      </tp>
      <tp t="e">
        <v>#N/A</v>
        <stp/>
        <stp>BDH|16421899175701240195</stp>
        <tr r="K72" s="17"/>
      </tp>
      <tp t="e">
        <v>#N/A</v>
        <stp/>
        <stp>BDH|17076798599009064935</stp>
        <tr r="V39" s="13"/>
        <tr r="T32" s="10"/>
      </tp>
      <tp t="e">
        <v>#N/A</v>
        <stp/>
        <stp>BDH|10745661404799527633</stp>
        <tr r="AA21" s="14"/>
      </tp>
      <tp t="e">
        <v>#N/A</v>
        <stp/>
        <stp>BDH|11516452792384631170</stp>
        <tr r="L13" s="21"/>
      </tp>
      <tp t="e">
        <v>#N/A</v>
        <stp/>
        <stp>BDH|16848093675581642915</stp>
        <tr r="K25" s="21"/>
      </tp>
      <tp t="e">
        <v>#N/A</v>
        <stp/>
        <stp>BDH|12007253231922180861</stp>
        <tr r="T80" s="24"/>
      </tp>
      <tp t="e">
        <v>#N/A</v>
        <stp/>
        <stp>BDH|11493358877545026954</stp>
        <tr r="U30" s="22"/>
      </tp>
      <tp t="e">
        <v>#N/A</v>
        <stp/>
        <stp>BDH|10759613885377543053</stp>
        <tr r="L8" s="18"/>
      </tp>
      <tp t="e">
        <v>#N/A</v>
        <stp/>
        <stp>BDH|16023665212670720801</stp>
        <tr r="H9" s="24"/>
      </tp>
      <tp t="e">
        <v>#N/A</v>
        <stp/>
        <stp>BDH|14441617606202955996</stp>
        <tr r="W27" s="18"/>
      </tp>
      <tp t="e">
        <v>#N/A</v>
        <stp/>
        <stp>BDH|15523777321288405146</stp>
        <tr r="X86" s="24"/>
      </tp>
      <tp t="e">
        <v>#N/A</v>
        <stp/>
        <stp>BDH|17518336262622564926</stp>
        <tr r="N90" s="18"/>
      </tp>
      <tp t="e">
        <v>#N/A</v>
        <stp/>
        <stp>BDH|14069019093012077619</stp>
        <tr r="I26" s="26"/>
      </tp>
      <tp t="e">
        <v>#N/A</v>
        <stp/>
        <stp>BDH|11341462828056858862</stp>
        <tr r="H63" s="34"/>
      </tp>
      <tp t="e">
        <v>#N/A</v>
        <stp/>
        <stp>BDH|11269414807784626817</stp>
        <tr r="N48" s="18"/>
      </tp>
      <tp t="e">
        <v>#N/A</v>
        <stp/>
        <stp>BDH|18237714114521654627</stp>
        <tr r="O42" s="11"/>
        <tr r="O51" s="10"/>
        <tr r="O14" s="7"/>
        <tr r="Q9" s="3"/>
      </tp>
      <tp t="e">
        <v>#N/A</v>
        <stp/>
        <stp>BDH|10735528652020223969</stp>
        <tr r="F8" s="18"/>
      </tp>
      <tp t="e">
        <v>#N/A</v>
        <stp/>
        <stp>BDH|12097870646273088424</stp>
        <tr r="S17" s="23"/>
      </tp>
      <tp t="e">
        <v>#N/A</v>
        <stp/>
        <stp>BDH|15386540941819724425</stp>
        <tr r="D28" s="12"/>
      </tp>
      <tp t="e">
        <v>#N/A</v>
        <stp/>
        <stp>BDH|15699034248190938878</stp>
        <tr r="D48" s="24"/>
      </tp>
      <tp t="e">
        <v>#N/A</v>
        <stp/>
        <stp>BDH|13963375382792708383</stp>
        <tr r="K11" s="30"/>
      </tp>
      <tp t="e">
        <v>#N/A</v>
        <stp/>
        <stp>BDH|17379821511184288319</stp>
        <tr r="S45" s="21"/>
      </tp>
      <tp t="e">
        <v>#N/A</v>
        <stp/>
        <stp>BDH|16677778892329584852</stp>
        <tr r="W94" s="17"/>
      </tp>
      <tp t="e">
        <v>#N/A</v>
        <stp/>
        <stp>BDH|13538950746262479510</stp>
        <tr r="P22" s="10"/>
      </tp>
      <tp t="e">
        <v>#N/A</v>
        <stp/>
        <stp>BDH|16663296405618022591</stp>
        <tr r="F8" s="34"/>
      </tp>
      <tp t="e">
        <v>#N/A</v>
        <stp/>
        <stp>BDH|13393315963549020630</stp>
        <tr r="G9" s="13"/>
      </tp>
      <tp t="e">
        <v>#N/A</v>
        <stp/>
        <stp>BDH|16937981187679398776</stp>
        <tr r="H47" s="6"/>
      </tp>
      <tp t="e">
        <v>#N/A</v>
        <stp/>
        <stp>BDH|10318884162532880533</stp>
        <tr r="R29" s="29"/>
        <tr r="R7" s="29"/>
      </tp>
      <tp t="e">
        <v>#N/A</v>
        <stp/>
        <stp>BDH|10676818542452190769</stp>
        <tr r="M18" s="26"/>
      </tp>
      <tp t="e">
        <v>#N/A</v>
        <stp/>
        <stp>BDH|12982904270387304285</stp>
        <tr r="Q25" s="34"/>
      </tp>
      <tp t="e">
        <v>#N/A</v>
        <stp/>
        <stp>BDH|17984811439790016535</stp>
        <tr r="E37" s="21"/>
      </tp>
      <tp t="e">
        <v>#N/A</v>
        <stp/>
        <stp>BDH|18396988583531869128</stp>
        <tr r="N13" s="8"/>
      </tp>
      <tp t="e">
        <v>#N/A</v>
        <stp/>
        <stp>BDH|14172042452881165941</stp>
        <tr r="K71" s="34"/>
      </tp>
      <tp t="e">
        <v>#N/A</v>
        <stp/>
        <stp>BDH|14082303430399037422</stp>
        <tr r="M87" s="24"/>
      </tp>
      <tp t="e">
        <v>#N/A</v>
        <stp/>
        <stp>BDH|16591466290346242431</stp>
        <tr r="N7" s="8"/>
      </tp>
      <tp t="e">
        <v>#N/A</v>
        <stp/>
        <stp>BDH|11494857364666100061</stp>
        <tr r="Y45" s="34"/>
      </tp>
      <tp t="e">
        <v>#N/A</v>
        <stp/>
        <stp>BDH|15859795427260333979</stp>
        <tr r="J102" s="12"/>
      </tp>
      <tp t="e">
        <v>#N/A</v>
        <stp/>
        <stp>BDH|17863222904008992455</stp>
        <tr r="Y31" s="26"/>
        <tr r="V14" s="9"/>
      </tp>
      <tp t="e">
        <v>#N/A</v>
        <stp/>
        <stp>BDH|10822585192003298626</stp>
        <tr r="H74" s="34"/>
      </tp>
      <tp t="e">
        <v>#N/A</v>
        <stp/>
        <stp>BDH|15167745303929344276</stp>
        <tr r="C26" s="6"/>
      </tp>
      <tp t="e">
        <v>#N/A</v>
        <stp/>
        <stp>BDH|17568948752960216239</stp>
        <tr r="F158" s="18"/>
      </tp>
      <tp t="e">
        <v>#N/A</v>
        <stp/>
        <stp>BDH|18433162476205698205</stp>
        <tr r="G23" s="25"/>
        <tr r="E20" s="11"/>
      </tp>
      <tp t="e">
        <v>#N/A</v>
        <stp/>
        <stp>BDH|16189938596736416929</stp>
        <tr r="S28" s="24"/>
      </tp>
      <tp t="e">
        <v>#N/A</v>
        <stp/>
        <stp>BDH|17411729254955270929</stp>
        <tr r="T17" s="21"/>
      </tp>
      <tp t="e">
        <v>#N/A</v>
        <stp/>
        <stp>BDH|16064970932212022778</stp>
        <tr r="Z75" s="17"/>
      </tp>
      <tp t="e">
        <v>#N/A</v>
        <stp/>
        <stp>BDH|17733816064329006908</stp>
        <tr r="T14" s="8"/>
      </tp>
      <tp t="e">
        <v>#N/A</v>
        <stp/>
        <stp>BDH|12110854473071482513</stp>
        <tr r="H15" s="4"/>
      </tp>
      <tp t="e">
        <v>#N/A</v>
        <stp/>
        <stp>BDH|12916410338755303918</stp>
        <tr r="G50" s="24"/>
      </tp>
      <tp t="e">
        <v>#N/A</v>
        <stp/>
        <stp>BDH|15041705631949319104</stp>
        <tr r="D26" s="27"/>
      </tp>
      <tp t="e">
        <v>#N/A</v>
        <stp/>
        <stp>BDH|11766079716570517916</stp>
        <tr r="J17" s="30"/>
      </tp>
      <tp t="e">
        <v>#N/A</v>
        <stp/>
        <stp>BDH|15415605896845394639</stp>
        <tr r="R26" s="11"/>
        <tr r="R35" s="10"/>
      </tp>
      <tp t="e">
        <v>#N/A</v>
        <stp/>
        <stp>BDH|14149109662708305229</stp>
        <tr r="W20" s="10"/>
      </tp>
      <tp t="e">
        <v>#N/A</v>
        <stp/>
        <stp>BDH|17001370550529771121</stp>
        <tr r="E74" s="34"/>
      </tp>
      <tp t="e">
        <v>#N/A</v>
        <stp/>
        <stp>BDH|11722911401331155046</stp>
        <tr r="I17" s="14"/>
      </tp>
      <tp t="e">
        <v>#N/A</v>
        <stp/>
        <stp>BDH|11434254190771767244</stp>
        <tr r="S38" s="13"/>
        <tr r="Q31" s="10"/>
      </tp>
      <tp t="e">
        <v>#N/A</v>
        <stp/>
        <stp>BDH|11215670421534765810</stp>
        <tr r="C7" s="30"/>
      </tp>
      <tp t="e">
        <v>#N/A</v>
        <stp/>
        <stp>BDH|13910674122117707996</stp>
        <tr r="S157" s="18"/>
      </tp>
      <tp t="e">
        <v>#N/A</v>
        <stp/>
        <stp>BDH|17068115380315221213</stp>
        <tr r="L84" s="24"/>
      </tp>
      <tp t="e">
        <v>#N/A</v>
        <stp/>
        <stp>BDH|12049606484895133078</stp>
        <tr r="T53" s="24"/>
      </tp>
      <tp t="e">
        <v>#N/A</v>
        <stp/>
        <stp>BDH|17685315098976575283</stp>
        <tr r="L81" s="17"/>
      </tp>
      <tp t="e">
        <v>#N/A</v>
        <stp/>
        <stp>BDH|10409374816743260852</stp>
        <tr r="I30" s="22"/>
      </tp>
      <tp t="e">
        <v>#N/A</v>
        <stp/>
        <stp>BDH|12345591823285300981</stp>
        <tr r="X119" s="12"/>
      </tp>
      <tp t="e">
        <v>#N/A</v>
        <stp/>
        <stp>BDH|17669822071088348945</stp>
        <tr r="N20" s="23"/>
      </tp>
      <tp t="e">
        <v>#N/A</v>
        <stp/>
        <stp>BDH|12152917730863476268</stp>
        <tr r="V18" s="24"/>
      </tp>
      <tp t="e">
        <v>#N/A</v>
        <stp/>
        <stp>BDH|17562401287802881082</stp>
        <tr r="C43" s="17"/>
      </tp>
      <tp t="e">
        <v>#N/A</v>
        <stp/>
        <stp>BDH|17858885777952581305</stp>
        <tr r="Y26" s="26"/>
      </tp>
      <tp t="e">
        <v>#N/A</v>
        <stp/>
        <stp>BDH|17882222323158980627</stp>
        <tr r="C169" s="18"/>
      </tp>
      <tp t="e">
        <v>#N/A</v>
        <stp/>
        <stp>BDH|17938500744888664799</stp>
        <tr r="R62" s="11"/>
        <tr r="R71" s="10"/>
      </tp>
      <tp t="e">
        <v>#N/A</v>
        <stp/>
        <stp>BDH|16191156974360713926</stp>
        <tr r="O12" s="21"/>
      </tp>
      <tp t="e">
        <v>#N/A</v>
        <stp/>
        <stp>BDH|11191656780697116103</stp>
        <tr r="L101" s="12"/>
      </tp>
      <tp t="e">
        <v>#N/A</v>
        <stp/>
        <stp>BDH|17462519984093738037</stp>
        <tr r="V18" s="27"/>
        <tr r="V32" s="25"/>
      </tp>
      <tp t="e">
        <v>#N/A</v>
        <stp/>
        <stp>BDH|11547873360257466138</stp>
        <tr r="N146" s="18"/>
      </tp>
      <tp t="e">
        <v>#N/A</v>
        <stp/>
        <stp>BDH|12107300169997924941</stp>
        <tr r="S57" s="12"/>
      </tp>
      <tp t="e">
        <v>#N/A</v>
        <stp/>
        <stp>BDH|16912803365890962106</stp>
        <tr r="L96" s="12"/>
      </tp>
      <tp t="e">
        <v>#N/A</v>
        <stp/>
        <stp>BDH|13590384199345675573</stp>
        <tr r="E19" s="10"/>
      </tp>
      <tp t="e">
        <v>#N/A</v>
        <stp/>
        <stp>BDH|10411345831988763131</stp>
        <tr r="M63" s="10"/>
      </tp>
      <tp t="e">
        <v>#N/A</v>
        <stp/>
        <stp>BDH|16781542802788723235</stp>
        <tr r="X26" s="27"/>
      </tp>
      <tp t="e">
        <v>#N/A</v>
        <stp/>
        <stp>BDH|16188423661184609913</stp>
        <tr r="L15" s="25"/>
      </tp>
      <tp t="e">
        <v>#N/A</v>
        <stp/>
        <stp>BDH|18309428941851586001</stp>
        <tr r="D6" s="3"/>
      </tp>
      <tp t="e">
        <v>#N/A</v>
        <stp/>
        <stp>BDH|16884902548184064655</stp>
        <tr r="F25" s="26"/>
      </tp>
      <tp t="e">
        <v>#N/A</v>
        <stp/>
        <stp>BDH|16982163266359876147</stp>
        <tr r="K13" s="22"/>
      </tp>
      <tp t="e">
        <v>#N/A</v>
        <stp/>
        <stp>BDH|10179626963291540808</stp>
        <tr r="Q64" s="11"/>
        <tr r="Q73" s="10"/>
      </tp>
      <tp t="e">
        <v>#N/A</v>
        <stp/>
        <stp>BDH|14145288719418678630</stp>
        <tr r="O87" s="12"/>
      </tp>
      <tp t="e">
        <v>#N/A</v>
        <stp/>
        <stp>BDH|15476115684001097444</stp>
        <tr r="H22" s="27"/>
      </tp>
      <tp t="e">
        <v>#N/A</v>
        <stp/>
        <stp>BDH|10650958300490617006</stp>
        <tr r="M22" s="34"/>
      </tp>
      <tp t="e">
        <v>#N/A</v>
        <stp/>
        <stp>BDH|16063475582474896780</stp>
        <tr r="W54" s="12"/>
      </tp>
      <tp t="e">
        <v>#N/A</v>
        <stp/>
        <stp>BDH|11421139982610563156</stp>
        <tr r="V10" s="23"/>
      </tp>
      <tp t="e">
        <v>#N/A</v>
        <stp/>
        <stp>BDH|13670163588764564788</stp>
        <tr r="Q23" s="9"/>
        <tr r="Q23" s="5"/>
      </tp>
      <tp t="e">
        <v>#N/A</v>
        <stp/>
        <stp>BDH|14960728459346237953</stp>
        <tr r="H56" s="18"/>
      </tp>
      <tp t="e">
        <v>#N/A</v>
        <stp/>
        <stp>BDH|15495876525550212616</stp>
        <tr r="E12" s="7"/>
      </tp>
      <tp t="e">
        <v>#N/A</v>
        <stp/>
        <stp>BDH|16886572319163355803</stp>
        <tr r="K32" s="17"/>
      </tp>
      <tp t="e">
        <v>#N/A</v>
        <stp/>
        <stp>BDH|13054214054949527456</stp>
        <tr r="I114" s="12"/>
      </tp>
      <tp t="e">
        <v>#N/A</v>
        <stp/>
        <stp>BDH|18264633614271734778</stp>
        <tr r="K108" s="12"/>
      </tp>
      <tp t="e">
        <v>#N/A</v>
        <stp/>
        <stp>BDH|17058866000631788741</stp>
        <tr r="Y42" s="17"/>
      </tp>
      <tp t="e">
        <v>#N/A</v>
        <stp/>
        <stp>BDH|15519438226752241879</stp>
        <tr r="G67" s="18"/>
      </tp>
      <tp t="e">
        <v>#N/A</v>
        <stp/>
        <stp>BDH|13968323753279529586</stp>
        <tr r="T42" s="6"/>
      </tp>
      <tp t="e">
        <v>#N/A</v>
        <stp/>
        <stp>BDH|14367444294033197378</stp>
        <tr r="U103" s="12"/>
      </tp>
      <tp t="e">
        <v>#N/A</v>
        <stp/>
        <stp>BDH|18421732744771071363</stp>
        <tr r="S9" s="27"/>
      </tp>
      <tp t="e">
        <v>#N/A</v>
        <stp/>
        <stp>BDH|15030181761428978353</stp>
        <tr r="I35" s="22"/>
      </tp>
      <tp t="e">
        <v>#N/A</v>
        <stp/>
        <stp>BDH|10405813640785672061</stp>
        <tr r="C25" s="21"/>
      </tp>
      <tp t="e">
        <v>#N/A</v>
        <stp/>
        <stp>BDH|14783909326363280568</stp>
        <tr r="T42" s="11"/>
        <tr r="T51" s="10"/>
        <tr r="T14" s="7"/>
        <tr r="V9" s="3"/>
      </tp>
      <tp t="e">
        <v>#N/A</v>
        <stp/>
        <stp>BDH|12760035515259412302</stp>
        <tr r="I62" s="18"/>
      </tp>
      <tp t="e">
        <v>#N/A</v>
        <stp/>
        <stp>BDH|14110412827149540277</stp>
        <tr r="AA76" s="18"/>
      </tp>
      <tp t="e">
        <v>#N/A</v>
        <stp/>
        <stp>BDH|14583706442838235604</stp>
        <tr r="Z44" s="24"/>
      </tp>
      <tp t="e">
        <v>#N/A</v>
        <stp/>
        <stp>BDH|15432064740611194969</stp>
        <tr r="T62" s="24"/>
      </tp>
      <tp t="e">
        <v>#N/A</v>
        <stp/>
        <stp>BDH|18347207449483868470</stp>
        <tr r="Y12" s="10"/>
      </tp>
      <tp t="e">
        <v>#N/A</v>
        <stp/>
        <stp>BDH|15548366264249744054</stp>
        <tr r="C52" s="24"/>
      </tp>
      <tp t="e">
        <v>#N/A</v>
        <stp/>
        <stp>BDH|16550357620278490619</stp>
        <tr r="G81" s="18"/>
      </tp>
      <tp t="e">
        <v>#N/A</v>
        <stp/>
        <stp>BDH|18051011541333514601</stp>
        <tr r="H82" s="24"/>
      </tp>
      <tp t="e">
        <v>#N/A</v>
        <stp/>
        <stp>BDH|18431077494641443961</stp>
        <tr r="R104" s="12"/>
      </tp>
      <tp t="e">
        <v>#N/A</v>
        <stp/>
        <stp>BDH|11328171103808645149</stp>
        <tr r="T67" s="21"/>
      </tp>
      <tp t="e">
        <v>#N/A</v>
        <stp/>
        <stp>BDH|18188721201007280157</stp>
        <tr r="L25" s="13"/>
      </tp>
      <tp t="e">
        <v>#N/A</v>
        <stp/>
        <stp>BDH|14990841378717085501</stp>
        <tr r="D33" s="17"/>
      </tp>
      <tp t="e">
        <v>#N/A</v>
        <stp/>
        <stp>BDH|15492978765545207612</stp>
        <tr r="L22" s="6"/>
      </tp>
      <tp t="e">
        <v>#N/A</v>
        <stp/>
        <stp>BDH|13036440851193936897</stp>
        <tr r="U12" s="17"/>
      </tp>
      <tp t="e">
        <v>#N/A</v>
        <stp/>
        <stp>BDH|13571745083713111662</stp>
        <tr r="L181" s="18"/>
      </tp>
      <tp t="e">
        <v>#N/A</v>
        <stp/>
        <stp>BDH|16417816202565202204</stp>
        <tr r="R23" s="17"/>
      </tp>
      <tp t="e">
        <v>#N/A</v>
        <stp/>
        <stp>BDH|15446515492277257700</stp>
        <tr r="K71" s="18"/>
      </tp>
      <tp t="e">
        <v>#N/A</v>
        <stp/>
        <stp>BDH|10713835033517166532</stp>
        <tr r="T19" s="22"/>
      </tp>
      <tp t="e">
        <v>#N/A</v>
        <stp/>
        <stp>BDH|17666677277788248717</stp>
        <tr r="AA7" s="23"/>
      </tp>
      <tp t="e">
        <v>#N/A</v>
        <stp/>
        <stp>BDH|14198646347886340946</stp>
        <tr r="J14" s="21"/>
      </tp>
      <tp t="e">
        <v>#N/A</v>
        <stp/>
        <stp>BDH|11991219845939994714</stp>
        <tr r="U8" s="6"/>
      </tp>
      <tp t="e">
        <v>#N/A</v>
        <stp/>
        <stp>BDH|13712732627627288849</stp>
        <tr r="Q43" s="29"/>
      </tp>
      <tp t="e">
        <v>#N/A</v>
        <stp/>
        <stp>BDH|15962015839026220965</stp>
        <tr r="AA6" s="19"/>
        <tr r="AA37" s="17"/>
        <tr r="AA16" s="3"/>
      </tp>
      <tp t="e">
        <v>#N/A</v>
        <stp/>
        <stp>BDH|13032959912703062130</stp>
        <tr r="O66" s="21"/>
        <tr r="L31" s="6"/>
      </tp>
      <tp t="e">
        <v>#N/A</v>
        <stp/>
        <stp>BDH|16606557984177091535</stp>
        <tr r="G37" s="6"/>
      </tp>
      <tp t="e">
        <v>#N/A</v>
        <stp/>
        <stp>BDH|10919909849497532316</stp>
        <tr r="N23" s="30"/>
        <tr r="N25" s="23"/>
      </tp>
      <tp t="e">
        <v>#N/A</v>
        <stp/>
        <stp>BDH|13235980178370494420</stp>
        <tr r="O23" s="21"/>
      </tp>
      <tp t="e">
        <v>#N/A</v>
        <stp/>
        <stp>BDH|18009098079261237761</stp>
        <tr r="U38" s="11"/>
        <tr r="U47" s="10"/>
      </tp>
      <tp t="e">
        <v>#N/A</v>
        <stp/>
        <stp>BDH|12129997316074289785</stp>
        <tr r="N131" s="18"/>
      </tp>
      <tp t="e">
        <v>#N/A</v>
        <stp/>
        <stp>BDH|16464265710204594830</stp>
        <tr r="G107" s="12"/>
      </tp>
      <tp t="e">
        <v>#N/A</v>
        <stp/>
        <stp>BDH|14195466438539372385</stp>
        <tr r="Z27" s="34"/>
      </tp>
      <tp t="e">
        <v>#N/A</v>
        <stp/>
        <stp>BDH|13097455331618447546</stp>
        <tr r="V56" s="12"/>
      </tp>
      <tp t="e">
        <v>#N/A</v>
        <stp/>
        <stp>BDH|16376828330894217079</stp>
        <tr r="S91" s="17"/>
      </tp>
      <tp t="e">
        <v>#N/A</v>
        <stp/>
        <stp>BDH|12143409593152219442</stp>
        <tr r="K21" s="9"/>
      </tp>
      <tp t="e">
        <v>#N/A</v>
        <stp/>
        <stp>BDH|17225130428448882551</stp>
        <tr r="L23" s="25"/>
        <tr r="J20" s="11"/>
      </tp>
      <tp t="e">
        <v>#N/A</v>
        <stp/>
        <stp>BDH|15943125336098896616</stp>
        <tr r="M30" s="18"/>
      </tp>
      <tp t="e">
        <v>#N/A</v>
        <stp/>
        <stp>BDH|14446803746813243245</stp>
        <tr r="D22" s="34"/>
      </tp>
      <tp t="e">
        <v>#N/A</v>
        <stp/>
        <stp>BDH|13455315451894413844</stp>
        <tr r="D9" s="22"/>
      </tp>
      <tp t="e">
        <v>#N/A</v>
        <stp/>
        <stp>BDH|17197654626232517833</stp>
        <tr r="W70" s="17"/>
        <tr r="W18" s="3"/>
      </tp>
      <tp t="e">
        <v>#N/A</v>
        <stp/>
        <stp>BDH|17243723060046594913</stp>
        <tr r="I85" s="24"/>
      </tp>
      <tp t="e">
        <v>#N/A</v>
        <stp/>
        <stp>BDH|11273834067784042222</stp>
        <tr r="U40" s="29"/>
        <tr r="U17" s="29"/>
      </tp>
      <tp t="e">
        <v>#N/A</v>
        <stp/>
        <stp>BDH|11962369672899927507</stp>
        <tr r="P39" s="22"/>
      </tp>
      <tp t="e">
        <v>#N/A</v>
        <stp/>
        <stp>BDH|12932316622468717292</stp>
        <tr r="J34" s="21"/>
      </tp>
      <tp t="e">
        <v>#N/A</v>
        <stp/>
        <stp>BDH|17115931406350716770</stp>
        <tr r="F68" s="10"/>
      </tp>
      <tp t="e">
        <v>#N/A</v>
        <stp/>
        <stp>BDH|15048605529128526083</stp>
        <tr r="O30" s="17"/>
      </tp>
      <tp t="e">
        <v>#N/A</v>
        <stp/>
        <stp>BDH|15977746091437805504</stp>
        <tr r="G35" s="25"/>
      </tp>
      <tp t="e">
        <v>#N/A</v>
        <stp/>
        <stp>BDH|13137806760165775122</stp>
        <tr r="W35" s="24"/>
      </tp>
      <tp t="e">
        <v>#N/A</v>
        <stp/>
        <stp>BDH|13076879626801072150</stp>
        <tr r="I14" s="20"/>
        <tr r="I123" s="18"/>
      </tp>
      <tp t="e">
        <v>#N/A</v>
        <stp/>
        <stp>BDH|16978918019366243178</stp>
        <tr r="T40" s="29"/>
        <tr r="T17" s="29"/>
      </tp>
      <tp t="e">
        <v>#N/A</v>
        <stp/>
        <stp>BDH|14634861975074644676</stp>
        <tr r="C37" s="18"/>
      </tp>
      <tp t="e">
        <v>#N/A</v>
        <stp/>
        <stp>BDH|11578776775769112127</stp>
        <tr r="J46" s="11"/>
        <tr r="J55" s="10"/>
        <tr r="J7" s="7"/>
        <tr r="L12" s="3"/>
      </tp>
      <tp t="e">
        <v>#N/A</v>
        <stp/>
        <stp>BDH|12706612864723566833</stp>
        <tr r="Y60" s="34"/>
      </tp>
      <tp t="e">
        <v>#N/A</v>
        <stp/>
        <stp>BDH|12606748584800526472</stp>
        <tr r="C45" s="12"/>
      </tp>
      <tp t="e">
        <v>#N/A</v>
        <stp/>
        <stp>BDH|16291746525189308349</stp>
        <tr r="I50" s="34"/>
      </tp>
      <tp t="e">
        <v>#N/A</v>
        <stp/>
        <stp>BDH|15172801555195348434</stp>
        <tr r="H68" s="24"/>
      </tp>
      <tp t="e">
        <v>#N/A</v>
        <stp/>
        <stp>BDH|18300225427646326716</stp>
        <tr r="X24" s="9"/>
      </tp>
      <tp t="e">
        <v>#N/A</v>
        <stp/>
        <stp>BDH|17479558587225798652</stp>
        <tr r="Z18" s="34"/>
      </tp>
      <tp t="e">
        <v>#N/A</v>
        <stp/>
        <stp>BDH|14762232822749442463</stp>
        <tr r="V31" s="26"/>
        <tr r="S14" s="9"/>
      </tp>
      <tp t="e">
        <v>#N/A</v>
        <stp/>
        <stp>BDH|10218726768441545993</stp>
        <tr r="E214" s="18"/>
      </tp>
      <tp t="e">
        <v>#N/A</v>
        <stp/>
        <stp>BDH|10909856260886039189</stp>
        <tr r="G6" s="8"/>
        <tr r="E51" s="6"/>
      </tp>
      <tp t="e">
        <v>#N/A</v>
        <stp/>
        <stp>BDH|16301453914488153276</stp>
        <tr r="S22" s="4"/>
      </tp>
      <tp t="e">
        <v>#N/A</v>
        <stp/>
        <stp>BDH|15124573096927320741</stp>
        <tr r="C20" s="9"/>
      </tp>
      <tp t="e">
        <v>#N/A</v>
        <stp/>
        <stp>BDH|13674082319272141918</stp>
        <tr r="I25" s="29"/>
        <tr r="I19" s="29"/>
        <tr r="I10" s="29"/>
        <tr r="G6" s="9"/>
        <tr r="I12" s="8"/>
        <tr r="G6" s="5"/>
        <tr r="H6" s="2"/>
      </tp>
      <tp t="e">
        <v>#N/A</v>
        <stp/>
        <stp>BDH|14316297866340272998</stp>
        <tr r="U113" s="12"/>
      </tp>
      <tp t="e">
        <v>#N/A</v>
        <stp/>
        <stp>BDH|15688994450457952717</stp>
        <tr r="G196" s="18"/>
      </tp>
      <tp t="e">
        <v>#N/A</v>
        <stp/>
        <stp>BDH|10951013690913662393</stp>
        <tr r="J69" s="12"/>
      </tp>
      <tp t="e">
        <v>#N/A</v>
        <stp/>
        <stp>BDH|15200539102011666825</stp>
        <tr r="E55" s="13"/>
        <tr r="C37" s="11"/>
        <tr r="C46" s="10"/>
        <tr r="C53" s="4"/>
        <tr r="C18" s="2"/>
      </tp>
      <tp t="e">
        <v>#N/A</v>
        <stp/>
        <stp>BDH|17381740025148704323</stp>
        <tr r="V19" s="22"/>
      </tp>
      <tp t="e">
        <v>#N/A</v>
        <stp/>
        <stp>BDH|15471057429868707681</stp>
        <tr r="C90" s="17"/>
      </tp>
      <tp t="e">
        <v>#N/A</v>
        <stp/>
        <stp>BDH|17870984147966333530</stp>
        <tr r="X20" s="5"/>
      </tp>
      <tp t="e">
        <v>#N/A</v>
        <stp/>
        <stp>BDH|10292650487071360646</stp>
        <tr r="P18" s="18"/>
      </tp>
      <tp t="e">
        <v>#N/A</v>
        <stp/>
        <stp>BDH|10192089999982331243</stp>
        <tr r="K37" s="22"/>
      </tp>
      <tp t="e">
        <v>#N/A</v>
        <stp/>
        <stp>BDH|10198325156778737750</stp>
        <tr r="C22" s="6"/>
      </tp>
      <tp t="e">
        <v>#N/A</v>
        <stp/>
        <stp>BDH|18056890694827865723</stp>
        <tr r="H65" s="13"/>
      </tp>
      <tp t="e">
        <v>#N/A</v>
        <stp/>
        <stp>BDH|15462857422953310571</stp>
        <tr r="O76" s="12"/>
      </tp>
      <tp t="e">
        <v>#N/A</v>
        <stp/>
        <stp>BDH|17078760000641683876</stp>
        <tr r="C33" s="21"/>
      </tp>
      <tp t="e">
        <v>#N/A</v>
        <stp/>
        <stp>BDH|16134853217395684324</stp>
        <tr r="C51" s="24"/>
      </tp>
      <tp t="e">
        <v>#N/A</v>
        <stp/>
        <stp>BDH|10495838073575138328</stp>
        <tr r="W13" s="10"/>
      </tp>
      <tp t="e">
        <v>#N/A</v>
        <stp/>
        <stp>BDH|15361234893443797431</stp>
        <tr r="AA84" s="24"/>
      </tp>
      <tp t="e">
        <v>#N/A</v>
        <stp/>
        <stp>BDH|16408268835656792879</stp>
        <tr r="T200" s="18"/>
      </tp>
      <tp t="e">
        <v>#N/A</v>
        <stp/>
        <stp>BDH|11838955189518399104</stp>
        <tr r="AA134" s="18"/>
      </tp>
      <tp t="e">
        <v>#N/A</v>
        <stp/>
        <stp>BDH|12184083668348475521</stp>
        <tr r="N31" s="11"/>
        <tr r="N40" s="10"/>
      </tp>
      <tp t="e">
        <v>#N/A</v>
        <stp/>
        <stp>BDH|13563615380956119226</stp>
        <tr r="D46" s="22"/>
      </tp>
      <tp t="e">
        <v>#N/A</v>
        <stp/>
        <stp>BDH|14784344803536424836</stp>
        <tr r="C35" s="26"/>
      </tp>
      <tp t="e">
        <v>#N/A</v>
        <stp/>
        <stp>BDH|18155583528217095160</stp>
        <tr r="V158" s="18"/>
      </tp>
      <tp t="e">
        <v>#N/A</v>
        <stp/>
        <stp>BDH|17918983846792598151</stp>
        <tr r="J42" s="18"/>
      </tp>
      <tp t="e">
        <v>#N/A</v>
        <stp/>
        <stp>BDH|13323918765612307731</stp>
        <tr r="W176" s="18"/>
      </tp>
      <tp t="e">
        <v>#N/A</v>
        <stp/>
        <stp>BDH|10087771885065051350</stp>
        <tr r="K25" s="24"/>
      </tp>
      <tp t="e">
        <v>#N/A</v>
        <stp/>
        <stp>BDH|11937336946367957820</stp>
        <tr r="AA94" s="24"/>
      </tp>
      <tp t="e">
        <v>#N/A</v>
        <stp/>
        <stp>BDH|14501580288049013922</stp>
        <tr r="E13" s="5"/>
      </tp>
      <tp t="e">
        <v>#N/A</v>
        <stp/>
        <stp>BDH|15108372401436048901</stp>
        <tr r="X34" s="12"/>
      </tp>
      <tp t="e">
        <v>#N/A</v>
        <stp/>
        <stp>BDH|10736121145474731806</stp>
        <tr r="I41" s="6"/>
        <tr r="I18" s="5"/>
      </tp>
      <tp t="e">
        <v>#N/A</v>
        <stp/>
        <stp>BDH|10552556514754021935</stp>
        <tr r="X61" s="11"/>
        <tr r="X70" s="10"/>
        <tr r="X20" s="7"/>
      </tp>
      <tp t="e">
        <v>#N/A</v>
        <stp/>
        <stp>BDH|15968122178738266267</stp>
        <tr r="R57" s="17"/>
      </tp>
      <tp t="e">
        <v>#N/A</v>
        <stp/>
        <stp>BDH|15425043242529030155</stp>
        <tr r="V68" s="13"/>
      </tp>
      <tp t="e">
        <v>#N/A</v>
        <stp/>
        <stp>BDH|10062646453338763274</stp>
        <tr r="T8" s="6"/>
      </tp>
      <tp t="e">
        <v>#N/A</v>
        <stp/>
        <stp>BDH|15497352618008827668</stp>
        <tr r="I20" s="14"/>
      </tp>
      <tp t="e">
        <v>#N/A</v>
        <stp/>
        <stp>BDH|16402361453169128072</stp>
        <tr r="D13" s="7"/>
      </tp>
      <tp t="e">
        <v>#N/A</v>
        <stp/>
        <stp>BDH|10323808659290416499</stp>
        <tr r="M123" s="12"/>
      </tp>
      <tp t="e">
        <v>#N/A</v>
        <stp/>
        <stp>BDH|10013974310759862884</stp>
        <tr r="S58" s="17"/>
      </tp>
      <tp t="e">
        <v>#N/A</v>
        <stp/>
        <stp>BDH|15438502725989178278</stp>
        <tr r="X83" s="24"/>
      </tp>
      <tp t="e">
        <v>#N/A</v>
        <stp/>
        <stp>BDH|10074766669490873805</stp>
        <tr r="F98" s="12"/>
      </tp>
      <tp t="e">
        <v>#N/A</v>
        <stp/>
        <stp>BDH|12787666381633082677</stp>
        <tr r="I65" s="24"/>
      </tp>
      <tp t="e">
        <v>#N/A</v>
        <stp/>
        <stp>BDH|15568797877418576495</stp>
        <tr r="Q76" s="18"/>
      </tp>
      <tp t="e">
        <v>#N/A</v>
        <stp/>
        <stp>BDH|13033771175542330862</stp>
        <tr r="P21" s="11"/>
      </tp>
      <tp t="e">
        <v>#N/A</v>
        <stp/>
        <stp>BDH|10875394285873093134</stp>
        <tr r="AA18" s="12"/>
      </tp>
      <tp t="e">
        <v>#N/A</v>
        <stp/>
        <stp>BDH|14441467491102727236</stp>
        <tr r="Y29" s="34"/>
      </tp>
      <tp t="e">
        <v>#N/A</v>
        <stp/>
        <stp>BDH|11807994762442072542</stp>
        <tr r="Q20" s="10"/>
      </tp>
      <tp t="e">
        <v>#N/A</v>
        <stp/>
        <stp>BDH|15744680416529974273</stp>
        <tr r="W27" s="24"/>
      </tp>
      <tp t="e">
        <v>#N/A</v>
        <stp/>
        <stp>BDH|17717350754598098018</stp>
        <tr r="S24" s="27"/>
      </tp>
      <tp t="e">
        <v>#N/A</v>
        <stp/>
        <stp>BDH|13880860575297583296</stp>
        <tr r="J181" s="18"/>
      </tp>
      <tp t="e">
        <v>#N/A</v>
        <stp/>
        <stp>BDH|17603125148548939327</stp>
        <tr r="Z16" s="14"/>
      </tp>
      <tp t="e">
        <v>#N/A</v>
        <stp/>
        <stp>BDH|14212828486974405954</stp>
        <tr r="Z55" s="24"/>
      </tp>
      <tp t="e">
        <v>#N/A</v>
        <stp/>
        <stp>BDH|17146928315943446555</stp>
        <tr r="Y24" s="21"/>
      </tp>
      <tp t="e">
        <v>#N/A</v>
        <stp/>
        <stp>BDH|13011380427203119888</stp>
        <tr r="S141" s="18"/>
      </tp>
      <tp t="e">
        <v>#N/A</v>
        <stp/>
        <stp>BDH|15342479562507872985</stp>
        <tr r="AA66" s="13"/>
      </tp>
      <tp t="e">
        <v>#N/A</v>
        <stp/>
        <stp>BDH|12401369491058514902</stp>
        <tr r="S106" s="12"/>
      </tp>
      <tp t="e">
        <v>#N/A</v>
        <stp/>
        <stp>BDH|12482107978899295487</stp>
        <tr r="Q36" s="21"/>
      </tp>
      <tp t="e">
        <v>#N/A</v>
        <stp/>
        <stp>BDH|15791456376597069825</stp>
        <tr r="O87" s="24"/>
      </tp>
      <tp t="e">
        <v>#N/A</v>
        <stp/>
        <stp>BDH|14503861039947963156</stp>
        <tr r="C21" s="17"/>
      </tp>
      <tp t="e">
        <v>#N/A</v>
        <stp/>
        <stp>BDH|13771128182107923484</stp>
        <tr r="Z98" s="17"/>
      </tp>
      <tp t="e">
        <v>#N/A</v>
        <stp/>
        <stp>BDH|12612722561182293814</stp>
        <tr r="N7" s="20"/>
        <tr r="N117" s="18"/>
      </tp>
      <tp t="e">
        <v>#N/A</v>
        <stp/>
        <stp>BDH|13938982948381986665</stp>
        <tr r="X57" s="18"/>
      </tp>
      <tp t="e">
        <v>#N/A</v>
        <stp/>
        <stp>BDH|18129422040538707928</stp>
        <tr r="S118" s="12"/>
      </tp>
      <tp t="e">
        <v>#N/A</v>
        <stp/>
        <stp>BDH|11080896411859991872</stp>
        <tr r="U35" s="24"/>
      </tp>
      <tp t="e">
        <v>#N/A</v>
        <stp/>
        <stp>BDH|11807110098873160363</stp>
        <tr r="T38" s="34"/>
      </tp>
      <tp t="e">
        <v>#N/A</v>
        <stp/>
        <stp>BDH|12546546372901377861</stp>
        <tr r="H31" s="21"/>
      </tp>
      <tp t="e">
        <v>#N/A</v>
        <stp/>
        <stp>BDH|17060569324331194856</stp>
        <tr r="U13" s="5"/>
      </tp>
      <tp t="e">
        <v>#N/A</v>
        <stp/>
        <stp>BDH|11854741428258272502</stp>
        <tr r="J45" s="22"/>
      </tp>
      <tp t="e">
        <v>#N/A</v>
        <stp/>
        <stp>BDH|10326873754421702516</stp>
        <tr r="AA41" s="12"/>
      </tp>
      <tp t="e">
        <v>#N/A</v>
        <stp/>
        <stp>BDH|13773280239793668865</stp>
        <tr r="K17" s="30"/>
      </tp>
      <tp t="e">
        <v>#N/A</v>
        <stp/>
        <stp>BDH|14830668267524943969</stp>
        <tr r="G17" s="20"/>
      </tp>
      <tp t="e">
        <v>#N/A</v>
        <stp/>
        <stp>BDH|12075713809448942476</stp>
        <tr r="F104" s="18"/>
      </tp>
      <tp t="e">
        <v>#N/A</v>
        <stp/>
        <stp>BDH|14180235760958738136</stp>
        <tr r="K18" s="17"/>
      </tp>
      <tp t="e">
        <v>#N/A</v>
        <stp/>
        <stp>BDH|12097289463446960943</stp>
        <tr r="R53" s="13"/>
      </tp>
      <tp t="e">
        <v>#N/A</v>
        <stp/>
        <stp>BDH|17923367582874387184</stp>
        <tr r="L19" s="11"/>
      </tp>
      <tp t="e">
        <v>#N/A</v>
        <stp/>
        <stp>BDH|13016846818413857026</stp>
        <tr r="T74" s="34"/>
      </tp>
      <tp t="e">
        <v>#N/A</v>
        <stp/>
        <stp>BDH|15093649715248778305</stp>
        <tr r="V63" s="18"/>
      </tp>
      <tp t="e">
        <v>#N/A</v>
        <stp/>
        <stp>BDH|16290997686908919620</stp>
        <tr r="AA11" s="24"/>
      </tp>
      <tp t="e">
        <v>#N/A</v>
        <stp/>
        <stp>BDH|15277235305259248702</stp>
        <tr r="Q21" s="5"/>
      </tp>
      <tp t="e">
        <v>#N/A</v>
        <stp/>
        <stp>BDH|13637163411452601812</stp>
        <tr r="J79" s="18"/>
      </tp>
      <tp t="e">
        <v>#N/A</v>
        <stp/>
        <stp>BDH|13707077516672644963</stp>
        <tr r="X52" s="18"/>
      </tp>
      <tp t="e">
        <v>#N/A</v>
        <stp/>
        <stp>BDH|18302711150092665122</stp>
        <tr r="K68" s="12"/>
      </tp>
      <tp t="e">
        <v>#N/A</v>
        <stp/>
        <stp>BDH|13867706448480726912</stp>
        <tr r="N7" s="11"/>
      </tp>
      <tp t="e">
        <v>#N/A</v>
        <stp/>
        <stp>BDH|13567769313279131585</stp>
        <tr r="O27" s="22"/>
      </tp>
      <tp t="e">
        <v>#N/A</v>
        <stp/>
        <stp>BDH|11716342947809906642</stp>
        <tr r="C49" s="4"/>
      </tp>
      <tp t="e">
        <v>#N/A</v>
        <stp/>
        <stp>BDH|17951327922309781670</stp>
        <tr r="P33" s="6"/>
      </tp>
      <tp t="e">
        <v>#N/A</v>
        <stp/>
        <stp>BDH|15909919570421946380</stp>
        <tr r="V89" s="17"/>
      </tp>
      <tp t="e">
        <v>#N/A</v>
        <stp/>
        <stp>BDH|14036385021238854488</stp>
        <tr r="H50" s="13"/>
      </tp>
      <tp t="e">
        <v>#N/A</v>
        <stp/>
        <stp>BDH|17701982867872526340</stp>
        <tr r="K27" s="26"/>
      </tp>
      <tp t="e">
        <v>#N/A</v>
        <stp/>
        <stp>BDH|11605070193302822339</stp>
        <tr r="X19" s="11"/>
      </tp>
      <tp t="e">
        <v>#N/A</v>
        <stp/>
        <stp>BDH|14890823117172324671</stp>
        <tr r="I25" s="11"/>
        <tr r="I34" s="10"/>
      </tp>
      <tp t="e">
        <v>#N/A</v>
        <stp/>
        <stp>BDH|18365462241016484793</stp>
        <tr r="S78" s="18"/>
      </tp>
      <tp t="e">
        <v>#N/A</v>
        <stp/>
        <stp>BDH|16505624289938239950</stp>
        <tr r="R39" s="6"/>
      </tp>
      <tp t="e">
        <v>#N/A</v>
        <stp/>
        <stp>BDH|13897224242559819597</stp>
        <tr r="L15" s="26"/>
      </tp>
      <tp t="e">
        <v>#N/A</v>
        <stp/>
        <stp>BDH|18306335480819000390</stp>
        <tr r="D23" s="24"/>
      </tp>
      <tp t="e">
        <v>#N/A</v>
        <stp/>
        <stp>BDH|13808506393414764258</stp>
        <tr r="C188" s="18"/>
      </tp>
      <tp t="e">
        <v>#N/A</v>
        <stp/>
        <stp>BDH|12272902269700389416</stp>
        <tr r="C87" s="12"/>
      </tp>
      <tp t="e">
        <v>#N/A</v>
        <stp/>
        <stp>BDH|12780673785431542497</stp>
        <tr r="K42" s="6"/>
      </tp>
      <tp t="e">
        <v>#N/A</v>
        <stp/>
        <stp>BDH|13084674552549574092</stp>
        <tr r="U53" s="21"/>
      </tp>
      <tp t="e">
        <v>#N/A</v>
        <stp/>
        <stp>BDH|17328776220159834255</stp>
        <tr r="Z57" s="18"/>
      </tp>
      <tp t="e">
        <v>#N/A</v>
        <stp/>
        <stp>BDH|10563141758045721876</stp>
        <tr r="E38" s="12"/>
      </tp>
      <tp t="e">
        <v>#N/A</v>
        <stp/>
        <stp>BDH|13135609889432181607</stp>
        <tr r="F34" s="21"/>
      </tp>
      <tp t="e">
        <v>#N/A</v>
        <stp/>
        <stp>BDH|13924346982385785418</stp>
        <tr r="Y6" s="8"/>
        <tr r="W51" s="6"/>
      </tp>
      <tp t="e">
        <v>#N/A</v>
        <stp/>
        <stp>BDH|17861323066298784329</stp>
        <tr r="H23" s="24"/>
      </tp>
      <tp t="e">
        <v>#N/A</v>
        <stp/>
        <stp>BDH|13214723346391910866</stp>
        <tr r="T160" s="18"/>
      </tp>
      <tp t="e">
        <v>#N/A</v>
        <stp/>
        <stp>BDH|17873950821471175442</stp>
        <tr r="V50" s="17"/>
      </tp>
      <tp t="e">
        <v>#N/A</v>
        <stp/>
        <stp>BDH|11895368385663048025</stp>
        <tr r="V29" s="22"/>
      </tp>
      <tp t="e">
        <v>#N/A</v>
        <stp/>
        <stp>BDH|15467353290536956013</stp>
        <tr r="R79" s="24"/>
      </tp>
      <tp t="e">
        <v>#N/A</v>
        <stp/>
        <stp>BDH|14596794002432049878</stp>
        <tr r="AA38" s="24"/>
      </tp>
      <tp t="e">
        <v>#N/A</v>
        <stp/>
        <stp>BDH|18008005305024990559</stp>
        <tr r="T78" s="12"/>
      </tp>
      <tp t="e">
        <v>#N/A</v>
        <stp/>
        <stp>BDH|17911249872273670809</stp>
        <tr r="E35" s="26"/>
      </tp>
      <tp t="e">
        <v>#N/A</v>
        <stp/>
        <stp>BDH|13468991104203398027</stp>
        <tr r="AA51" s="18"/>
      </tp>
      <tp t="e">
        <v>#N/A</v>
        <stp/>
        <stp>BDH|10495965999198462172</stp>
        <tr r="K35" s="14"/>
      </tp>
      <tp t="e">
        <v>#N/A</v>
        <stp/>
        <stp>BDH|12750933258147295067</stp>
        <tr r="N13" s="30"/>
      </tp>
      <tp t="e">
        <v>#N/A</v>
        <stp/>
        <stp>BDH|10269180796436623728</stp>
        <tr r="O27" s="26"/>
      </tp>
      <tp t="e">
        <v>#N/A</v>
        <stp/>
        <stp>BDH|14997320891623736454</stp>
        <tr r="G35" s="12"/>
      </tp>
      <tp t="e">
        <v>#N/A</v>
        <stp/>
        <stp>BDH|17235438201799934317</stp>
        <tr r="AA19" s="28"/>
        <tr r="AA16" s="17"/>
      </tp>
      <tp t="e">
        <v>#N/A</v>
        <stp/>
        <stp>BDH|12118520399836065120</stp>
        <tr r="G28" s="17"/>
      </tp>
      <tp t="e">
        <v>#N/A</v>
        <stp/>
        <stp>BDH|11796607082315873354</stp>
        <tr r="Y8" s="17"/>
      </tp>
      <tp t="e">
        <v>#N/A</v>
        <stp/>
        <stp>BDH|17970808213483678442</stp>
        <tr r="K17" s="23"/>
      </tp>
      <tp t="e">
        <v>#N/A</v>
        <stp/>
        <stp>BDH|11459142753858848436</stp>
        <tr r="O13" s="25"/>
      </tp>
      <tp t="e">
        <v>#N/A</v>
        <stp/>
        <stp>BDH|12581999266995250101</stp>
        <tr r="O36" s="14"/>
      </tp>
      <tp t="e">
        <v>#N/A</v>
        <stp/>
        <stp>BDH|15480315906179964626</stp>
        <tr r="C211" s="18"/>
      </tp>
      <tp t="e">
        <v>#N/A</v>
        <stp/>
        <stp>BDH|12439950635732409388</stp>
        <tr r="D71" s="12"/>
      </tp>
      <tp t="e">
        <v>#N/A</v>
        <stp/>
        <stp>BDH|17313996653043485153</stp>
        <tr r="U12" s="21"/>
      </tp>
      <tp t="e">
        <v>#N/A</v>
        <stp/>
        <stp>BDH|18098976804141366984</stp>
        <tr r="H36" s="13"/>
        <tr r="F29" s="10"/>
      </tp>
      <tp t="e">
        <v>#N/A</v>
        <stp/>
        <stp>BDH|17414968408544061329</stp>
        <tr r="F81" s="24"/>
      </tp>
      <tp t="e">
        <v>#N/A</v>
        <stp/>
        <stp>BDH|16605139090333490490</stp>
        <tr r="V25" s="14"/>
      </tp>
      <tp t="e">
        <v>#N/A</v>
        <stp/>
        <stp>BDH|10575440929426973996</stp>
        <tr r="G13" s="25"/>
      </tp>
      <tp t="e">
        <v>#N/A</v>
        <stp/>
        <stp>BDH|13783982679062919679</stp>
        <tr r="J31" s="5"/>
      </tp>
      <tp t="e">
        <v>#N/A</v>
        <stp/>
        <stp>BDH|13945113899613106183</stp>
        <tr r="L62" s="12"/>
      </tp>
      <tp t="e">
        <v>#N/A</v>
        <stp/>
        <stp>BDH|14484681410032639828</stp>
        <tr r="G73" s="34"/>
      </tp>
      <tp t="e">
        <v>#N/A</v>
        <stp/>
        <stp>BDH|13999868873354687128</stp>
        <tr r="K7" s="34"/>
      </tp>
      <tp t="e">
        <v>#N/A</v>
        <stp/>
        <stp>BDH|10990989301513077383</stp>
        <tr r="V179" s="18"/>
      </tp>
      <tp t="e">
        <v>#N/A</v>
        <stp/>
        <stp>BDH|17970650850729518410</stp>
        <tr r="X54" s="12"/>
      </tp>
      <tp t="e">
        <v>#N/A</v>
        <stp/>
        <stp>BDH|11613182414288711050</stp>
        <tr r="I49" s="12"/>
      </tp>
      <tp t="e">
        <v>#N/A</v>
        <stp/>
        <stp>BDH|15214253130329989469</stp>
        <tr r="P65" s="21"/>
        <tr r="N23" s="7"/>
      </tp>
      <tp t="e">
        <v>#N/A</v>
        <stp/>
        <stp>BDH|12856731448649863134</stp>
        <tr r="S11" s="13"/>
      </tp>
      <tp t="e">
        <v>#N/A</v>
        <stp/>
        <stp>BDH|14851250140542560906</stp>
        <tr r="Z9" s="12"/>
      </tp>
      <tp t="e">
        <v>#N/A</v>
        <stp/>
        <stp>BDH|18280598543785224522</stp>
        <tr r="O16" s="21"/>
      </tp>
      <tp t="e">
        <v>#N/A</v>
        <stp/>
        <stp>BDH|16863623168618846720</stp>
        <tr r="E177" s="18"/>
      </tp>
      <tp t="e">
        <v>#N/A</v>
        <stp/>
        <stp>BDH|12317132159369604677</stp>
        <tr r="C28" s="24"/>
      </tp>
      <tp t="e">
        <v>#N/A</v>
        <stp/>
        <stp>BDH|13919915112542440063</stp>
        <tr r="U10" s="21"/>
      </tp>
      <tp t="e">
        <v>#N/A</v>
        <stp/>
        <stp>BDH|11532872539036051532</stp>
        <tr r="M7" s="9"/>
        <tr r="M7" s="5"/>
        <tr r="P14" s="3"/>
        <tr r="N7" s="2"/>
      </tp>
      <tp t="e">
        <v>#N/A</v>
        <stp/>
        <stp>BDH|15994152122056545939</stp>
        <tr r="T8" s="14"/>
      </tp>
      <tp t="e">
        <v>#N/A</v>
        <stp/>
        <stp>BDH|10743911137944198780</stp>
        <tr r="N14" s="23"/>
      </tp>
      <tp t="e">
        <v>#N/A</v>
        <stp/>
        <stp>BDH|16099845604180813709</stp>
        <tr r="Y58" s="17"/>
      </tp>
      <tp t="e">
        <v>#N/A</v>
        <stp/>
        <stp>BDH|10607479708464681970</stp>
        <tr r="Q197" s="18"/>
      </tp>
      <tp t="e">
        <v>#N/A</v>
        <stp/>
        <stp>BDH|11740233019993392863</stp>
        <tr r="Z14" s="27"/>
        <tr r="Z28" s="25"/>
      </tp>
      <tp t="e">
        <v>#N/A</v>
        <stp/>
        <stp>BDH|16486597399933415083</stp>
        <tr r="S102" s="12"/>
      </tp>
      <tp t="e">
        <v>#N/A</v>
        <stp/>
        <stp>BDH|13584233617589263083</stp>
        <tr r="R20" s="18"/>
      </tp>
      <tp t="e">
        <v>#N/A</v>
        <stp/>
        <stp>BDH|17905092319087230809</stp>
        <tr r="L18" s="28"/>
        <tr r="L15" s="17"/>
      </tp>
      <tp t="e">
        <v>#N/A</v>
        <stp/>
        <stp>BDH|10511173889970332037</stp>
        <tr r="F21" s="6"/>
      </tp>
      <tp t="e">
        <v>#N/A</v>
        <stp/>
        <stp>BDH|17604896714955519251</stp>
        <tr r="AA9" s="22"/>
      </tp>
      <tp t="e">
        <v>#N/A</v>
        <stp/>
        <stp>BDH|16604516668148083440</stp>
        <tr r="AA18" s="13"/>
      </tp>
      <tp t="e">
        <v>#N/A</v>
        <stp/>
        <stp>BDH|13048539406186703993</stp>
        <tr r="Y95" s="24"/>
      </tp>
      <tp t="e">
        <v>#N/A</v>
        <stp/>
        <stp>BDH|13596777607255773894</stp>
        <tr r="W23" s="17"/>
      </tp>
      <tp t="e">
        <v>#N/A</v>
        <stp/>
        <stp>BDH|14116891396998125445</stp>
        <tr r="U56" s="24"/>
      </tp>
      <tp t="e">
        <v>#N/A</v>
        <stp/>
        <stp>BDH|15954347385741428679</stp>
        <tr r="S33" s="24"/>
      </tp>
      <tp t="e">
        <v>#N/A</v>
        <stp/>
        <stp>BDH|16021198994105742211</stp>
        <tr r="N28" s="4"/>
      </tp>
      <tp t="e">
        <v>#N/A</v>
        <stp/>
        <stp>BDH|11698695960619111156</stp>
        <tr r="N43" s="29"/>
      </tp>
      <tp t="e">
        <v>#N/A</v>
        <stp/>
        <stp>BDH|13321389807459027071</stp>
        <tr r="AA9" s="34"/>
      </tp>
      <tp t="e">
        <v>#N/A</v>
        <stp/>
        <stp>BDH|16274919108846881082</stp>
        <tr r="N69" s="12"/>
      </tp>
      <tp t="e">
        <v>#N/A</v>
        <stp/>
        <stp>BDH|13121856665281972532</stp>
        <tr r="Y71" s="17"/>
        <tr r="V8" s="9"/>
        <tr r="V8" s="5"/>
      </tp>
      <tp t="e">
        <v>#N/A</v>
        <stp/>
        <stp>BDH|10044984177587234065</stp>
        <tr r="M63" s="24"/>
      </tp>
      <tp t="e">
        <v>#N/A</v>
        <stp/>
        <stp>BDH|12214340182329937962</stp>
        <tr r="Y9" s="18"/>
      </tp>
      <tp t="e">
        <v>#N/A</v>
        <stp/>
        <stp>BDH|15926125899735174185</stp>
        <tr r="M63" s="12"/>
      </tp>
      <tp t="e">
        <v>#N/A</v>
        <stp/>
        <stp>BDH|15765145748099063007</stp>
        <tr r="F103" s="18"/>
      </tp>
      <tp t="e">
        <v>#N/A</v>
        <stp/>
        <stp>BDH|13237624584552906660</stp>
        <tr r="O196" s="18"/>
      </tp>
      <tp t="e">
        <v>#N/A</v>
        <stp/>
        <stp>BDH|14550451320342844931</stp>
        <tr r="H64" s="17"/>
      </tp>
      <tp t="e">
        <v>#N/A</v>
        <stp/>
        <stp>BDH|11237981153357558375</stp>
        <tr r="M68" s="17"/>
      </tp>
      <tp t="e">
        <v>#N/A</v>
        <stp/>
        <stp>BDH|11196828181270922800</stp>
        <tr r="Y68" s="17"/>
      </tp>
      <tp t="e">
        <v>#N/A</v>
        <stp/>
        <stp>BDH|17798794097271784157</stp>
        <tr r="N34" s="17"/>
      </tp>
      <tp t="e">
        <v>#N/A</v>
        <stp/>
        <stp>BDH|14626982666561131326</stp>
        <tr r="Q11" s="20"/>
        <tr r="Q120" s="18"/>
      </tp>
      <tp t="e">
        <v>#N/A</v>
        <stp/>
        <stp>BDH|15930896018492524764</stp>
        <tr r="AA180" s="18"/>
      </tp>
      <tp t="e">
        <v>#N/A</v>
        <stp/>
        <stp>BDH|14846945951684129572</stp>
        <tr r="AA43" s="17"/>
      </tp>
      <tp t="e">
        <v>#N/A</v>
        <stp/>
        <stp>BDH|17521117499096715012</stp>
        <tr r="U51" s="13"/>
      </tp>
      <tp t="e">
        <v>#N/A</v>
        <stp/>
        <stp>BDH|15917951691688101470</stp>
        <tr r="E60" s="34"/>
      </tp>
      <tp t="e">
        <v>#N/A</v>
        <stp/>
        <stp>BDH|14099143481313889764</stp>
        <tr r="X17" s="6"/>
      </tp>
      <tp t="e">
        <v>#N/A</v>
        <stp/>
        <stp>BDH|17924359441318257148</stp>
        <tr r="L25" s="9"/>
      </tp>
      <tp t="e">
        <v>#N/A</v>
        <stp/>
        <stp>BDH|18375262379551752500</stp>
        <tr r="G22" s="4"/>
      </tp>
      <tp t="e">
        <v>#N/A</v>
        <stp/>
        <stp>BDH|16274082786396448136</stp>
        <tr r="X35" s="25"/>
      </tp>
      <tp t="e">
        <v>#N/A</v>
        <stp/>
        <stp>BDH|18300903429908481249</stp>
        <tr r="M84" s="24"/>
      </tp>
      <tp t="e">
        <v>#N/A</v>
        <stp/>
        <stp>BDH|12775775357849575086</stp>
        <tr r="V127" s="12"/>
      </tp>
      <tp t="e">
        <v>#N/A</v>
        <stp/>
        <stp>BDH|17380790780008016903</stp>
        <tr r="F8" s="20"/>
        <tr r="F118" s="18"/>
      </tp>
      <tp t="e">
        <v>#N/A</v>
        <stp/>
        <stp>BDH|13611998404555260633</stp>
        <tr r="P34" s="17"/>
      </tp>
      <tp t="e">
        <v>#N/A</v>
        <stp/>
        <stp>BDH|13167398525282561922</stp>
        <tr r="U136" s="18"/>
      </tp>
      <tp t="e">
        <v>#N/A</v>
        <stp/>
        <stp>BDH|12515309981664810467</stp>
        <tr r="L57" s="24"/>
      </tp>
      <tp t="e">
        <v>#N/A</v>
        <stp/>
        <stp>BDH|13625499161560320873</stp>
        <tr r="R7" s="8"/>
      </tp>
      <tp t="e">
        <v>#N/A</v>
        <stp/>
        <stp>BDH|15286806259744969581</stp>
        <tr r="C112" s="12"/>
      </tp>
      <tp t="e">
        <v>#N/A</v>
        <stp/>
        <stp>BDH|10561325818808568301</stp>
        <tr r="P33" s="17"/>
      </tp>
      <tp t="e">
        <v>#N/A</v>
        <stp/>
        <stp>BDH|16310698724219224265</stp>
        <tr r="P157" s="18"/>
      </tp>
      <tp t="e">
        <v>#N/A</v>
        <stp/>
        <stp>BDH|17352754791792970242</stp>
        <tr r="G13" s="22"/>
      </tp>
      <tp t="e">
        <v>#N/A</v>
        <stp/>
        <stp>BDH|14264087093150367405</stp>
        <tr r="M19" s="28"/>
        <tr r="M16" s="17"/>
      </tp>
      <tp t="e">
        <v>#N/A</v>
        <stp/>
        <stp>BDH|12151005573155831901</stp>
        <tr r="Y23" s="12"/>
      </tp>
      <tp t="e">
        <v>#N/A</v>
        <stp/>
        <stp>BDH|16152571223781822973</stp>
        <tr r="F80" s="24"/>
      </tp>
      <tp t="e">
        <v>#N/A</v>
        <stp/>
        <stp>BDH|12984724291954754172</stp>
        <tr r="J29" s="18"/>
      </tp>
      <tp t="e">
        <v>#N/A</v>
        <stp/>
        <stp>BDH|11578937524385074686</stp>
        <tr r="T129" s="18"/>
      </tp>
      <tp t="e">
        <v>#N/A</v>
        <stp/>
        <stp>BDH|15742819169884178640</stp>
        <tr r="E18" s="6"/>
      </tp>
      <tp t="e">
        <v>#N/A</v>
        <stp/>
        <stp>BDH|14610023175839896332</stp>
        <tr r="S165" s="18"/>
      </tp>
      <tp t="e">
        <v>#N/A</v>
        <stp/>
        <stp>BDH|17126780306428760121</stp>
        <tr r="R58" s="34"/>
      </tp>
      <tp t="e">
        <v>#N/A</v>
        <stp/>
        <stp>BDH|14334694536591259946</stp>
        <tr r="H84" s="24"/>
      </tp>
      <tp t="e">
        <v>#N/A</v>
        <stp/>
        <stp>BDH|13400753976618877252</stp>
        <tr r="E46" s="12"/>
      </tp>
      <tp t="e">
        <v>#N/A</v>
        <stp/>
        <stp>BDH|11799239087553816114</stp>
        <tr r="C32" s="17"/>
      </tp>
      <tp t="e">
        <v>#N/A</v>
        <stp/>
        <stp>BDH|16122613786490839146</stp>
        <tr r="I12" s="6"/>
      </tp>
      <tp t="e">
        <v>#N/A</v>
        <stp/>
        <stp>BDH|10342173967306855816</stp>
        <tr r="I10" s="34"/>
      </tp>
      <tp t="e">
        <v>#N/A</v>
        <stp/>
        <stp>BDH|17398631367389981744</stp>
        <tr r="D200" s="18"/>
      </tp>
      <tp t="e">
        <v>#N/A</v>
        <stp/>
        <stp>BDH|14759900658521510007</stp>
        <tr r="P20" s="28"/>
        <tr r="P17" s="17"/>
      </tp>
      <tp t="e">
        <v>#N/A</v>
        <stp/>
        <stp>BDH|17885098591033921434</stp>
        <tr r="Y26" s="29"/>
      </tp>
      <tp t="e">
        <v>#N/A</v>
        <stp/>
        <stp>BDH|10065851960070661794</stp>
        <tr r="Y14" s="21"/>
      </tp>
      <tp t="e">
        <v>#N/A</v>
        <stp/>
        <stp>BDH|17813122542922590976</stp>
        <tr r="S28" s="13"/>
      </tp>
      <tp t="e">
        <v>#N/A</v>
        <stp/>
        <stp>BDH|12148770929227071954</stp>
        <tr r="T114" s="12"/>
      </tp>
      <tp t="e">
        <v>#N/A</v>
        <stp/>
        <stp>BDH|14387278402516857944</stp>
        <tr r="H8" s="13"/>
      </tp>
      <tp t="e">
        <v>#N/A</v>
        <stp/>
        <stp>BDH|14860450367467512828</stp>
        <tr r="P118" s="12"/>
      </tp>
      <tp t="e">
        <v>#N/A</v>
        <stp/>
        <stp>BDH|16656182563181288925</stp>
        <tr r="G18" s="34"/>
      </tp>
      <tp t="e">
        <v>#N/A</v>
        <stp/>
        <stp>BDH|13454572603829457690</stp>
        <tr r="R22" s="22"/>
      </tp>
      <tp t="e">
        <v>#N/A</v>
        <stp/>
        <stp>BDH|17534476658527582822</stp>
        <tr r="J111" s="18"/>
      </tp>
      <tp t="e">
        <v>#N/A</v>
        <stp/>
        <stp>BDH|13215231999317631638</stp>
        <tr r="C34" s="34"/>
      </tp>
      <tp t="e">
        <v>#N/A</v>
        <stp/>
        <stp>BDH|11692537601038943502</stp>
        <tr r="X39" s="6"/>
      </tp>
      <tp t="e">
        <v>#N/A</v>
        <stp/>
        <stp>BDH|10646687178069291192</stp>
        <tr r="C34" s="12"/>
      </tp>
      <tp t="e">
        <v>#N/A</v>
        <stp/>
        <stp>BDH|15947417786451385101</stp>
        <tr r="M115" s="18"/>
      </tp>
      <tp t="e">
        <v>#N/A</v>
        <stp/>
        <stp>BDH|13232989202752368166</stp>
        <tr r="T41" s="21"/>
      </tp>
      <tp t="e">
        <v>#N/A</v>
        <stp/>
        <stp>BDH|11846040627923359955</stp>
        <tr r="X13" s="7"/>
      </tp>
      <tp t="e">
        <v>#N/A</v>
        <stp/>
        <stp>BDH|12160729609465165961</stp>
        <tr r="J98" s="18"/>
      </tp>
      <tp t="e">
        <v>#N/A</v>
        <stp/>
        <stp>BDH|13997288404829154190</stp>
        <tr r="K55" s="18"/>
      </tp>
      <tp t="e">
        <v>#N/A</v>
        <stp/>
        <stp>BDH|17227936499689744725</stp>
        <tr r="S11" s="28"/>
      </tp>
      <tp t="e">
        <v>#N/A</v>
        <stp/>
        <stp>BDH|11853647796416474132</stp>
        <tr r="J22" s="27"/>
      </tp>
      <tp t="e">
        <v>#N/A</v>
        <stp/>
        <stp>BDH|18003492956346039620</stp>
        <tr r="X30" s="34"/>
      </tp>
      <tp t="e">
        <v>#N/A</v>
        <stp/>
        <stp>BDH|15137383736458563470</stp>
        <tr r="V60" s="17"/>
      </tp>
      <tp t="e">
        <v>#N/A</v>
        <stp/>
        <stp>BDH|16240101688863688514</stp>
        <tr r="H23" s="30"/>
        <tr r="H25" s="23"/>
      </tp>
      <tp t="e">
        <v>#N/A</v>
        <stp/>
        <stp>BDH|11522127387668452997</stp>
        <tr r="J16" s="21"/>
      </tp>
      <tp t="e">
        <v>#N/A</v>
        <stp/>
        <stp>BDH|14770136691276800302</stp>
        <tr r="O30" s="21"/>
      </tp>
      <tp t="e">
        <v>#N/A</v>
        <stp/>
        <stp>BDH|16430318264218907259</stp>
        <tr r="R61" s="11"/>
        <tr r="R70" s="10"/>
        <tr r="R20" s="7"/>
      </tp>
      <tp t="e">
        <v>#N/A</v>
        <stp/>
        <stp>BDH|13248962230431059197</stp>
        <tr r="H42" s="17"/>
      </tp>
      <tp t="e">
        <v>#N/A</v>
        <stp/>
        <stp>BDH|14793828677991983367</stp>
        <tr r="N20" s="29"/>
      </tp>
      <tp t="e">
        <v>#N/A</v>
        <stp/>
        <stp>BDH|16552436290683937121</stp>
        <tr r="R16" s="11"/>
      </tp>
      <tp t="e">
        <v>#N/A</v>
        <stp/>
        <stp>BDH|17870544815588010240</stp>
        <tr r="F23" s="23"/>
      </tp>
      <tp t="e">
        <v>#N/A</v>
        <stp/>
        <stp>BDH|14229547557199559497</stp>
        <tr r="F9" s="14"/>
      </tp>
      <tp t="e">
        <v>#N/A</v>
        <stp/>
        <stp>BDH|15063892402676739217</stp>
        <tr r="F10" s="14"/>
      </tp>
      <tp t="e">
        <v>#N/A</v>
        <stp/>
        <stp>BDH|17141280660752066843</stp>
        <tr r="L56" s="18"/>
      </tp>
      <tp t="e">
        <v>#N/A</v>
        <stp/>
        <stp>BDH|12842013871458618434</stp>
        <tr r="S49" s="12"/>
      </tp>
      <tp t="e">
        <v>#N/A</v>
        <stp/>
        <stp>BDH|17373811318004180368</stp>
        <tr r="S52" s="18"/>
      </tp>
      <tp t="e">
        <v>#N/A</v>
        <stp/>
        <stp>BDH|10879315260709034542</stp>
        <tr r="S27" s="22"/>
      </tp>
      <tp t="e">
        <v>#N/A</v>
        <stp/>
        <stp>BDH|15637383233225868980</stp>
        <tr r="V68" s="12"/>
      </tp>
      <tp t="e">
        <v>#N/A</v>
        <stp/>
        <stp>BDH|10252817209293410235</stp>
        <tr r="M47" s="6"/>
      </tp>
      <tp t="e">
        <v>#N/A</v>
        <stp/>
        <stp>BDH|14656684741417474879</stp>
        <tr r="I16" s="14"/>
      </tp>
      <tp t="e">
        <v>#N/A</v>
        <stp/>
        <stp>BDH|15400072759820231942</stp>
        <tr r="F208" s="18"/>
      </tp>
      <tp t="e">
        <v>#N/A</v>
        <stp/>
        <stp>BDH|10835993221035983753</stp>
        <tr r="Y33" s="13"/>
        <tr r="W26" s="10"/>
      </tp>
      <tp t="e">
        <v>#N/A</v>
        <stp/>
        <stp>BDH|18181219446091890622</stp>
        <tr r="J19" s="18"/>
      </tp>
      <tp t="e">
        <v>#N/A</v>
        <stp/>
        <stp>BDH|16149836163543544289</stp>
        <tr r="S16" s="25"/>
      </tp>
      <tp t="e">
        <v>#N/A</v>
        <stp/>
        <stp>BDH|13498730818888702448</stp>
        <tr r="O211" s="18"/>
      </tp>
      <tp t="e">
        <v>#N/A</v>
        <stp/>
        <stp>BDH|16131209696370223492</stp>
        <tr r="T19" s="20"/>
      </tp>
      <tp t="e">
        <v>#N/A</v>
        <stp/>
        <stp>BDH|13425887940840149617</stp>
        <tr r="Q8" s="34"/>
      </tp>
      <tp t="e">
        <v>#N/A</v>
        <stp/>
        <stp>BDH|12815594187705966339</stp>
        <tr r="V14" s="24"/>
      </tp>
      <tp t="e">
        <v>#N/A</v>
        <stp/>
        <stp>BDH|11870718974179552147</stp>
        <tr r="Q209" s="18"/>
      </tp>
      <tp t="e">
        <v>#N/A</v>
        <stp/>
        <stp>BDH|17313997414586091026</stp>
        <tr r="Q78" s="24"/>
      </tp>
      <tp t="e">
        <v>#N/A</v>
        <stp/>
        <stp>BDH|14511427810881850937</stp>
        <tr r="H7" s="34"/>
      </tp>
      <tp t="e">
        <v>#N/A</v>
        <stp/>
        <stp>BDH|11691888492758844181</stp>
        <tr r="W10" s="21"/>
      </tp>
      <tp t="e">
        <v>#N/A</v>
        <stp/>
        <stp>BDH|10455227536648842043</stp>
        <tr r="C34" s="17"/>
      </tp>
      <tp t="e">
        <v>#N/A</v>
        <stp/>
        <stp>BDH|17955146750352037810</stp>
        <tr r="I33" s="13"/>
        <tr r="G26" s="10"/>
      </tp>
      <tp t="e">
        <v>#N/A</v>
        <stp/>
        <stp>BDH|16903808870002692233</stp>
        <tr r="D12" s="11"/>
      </tp>
      <tp t="e">
        <v>#N/A</v>
        <stp/>
        <stp>BDH|15676946468210690308</stp>
        <tr r="D16" s="24"/>
      </tp>
      <tp t="e">
        <v>#N/A</v>
        <stp/>
        <stp>BDH|13243051984823656199</stp>
        <tr r="J11" s="30"/>
      </tp>
      <tp t="e">
        <v>#N/A</v>
        <stp/>
        <stp>BDH|10657643641472972964</stp>
        <tr r="U17" s="6"/>
      </tp>
      <tp t="e">
        <v>#N/A</v>
        <stp/>
        <stp>BDH|15253461054559817441</stp>
        <tr r="O13" s="24"/>
      </tp>
      <tp t="e">
        <v>#N/A</v>
        <stp/>
        <stp>BDH|16407943096707237886</stp>
        <tr r="T13" s="23"/>
        <tr r="R57" s="11"/>
        <tr r="R38" s="4"/>
      </tp>
      <tp t="e">
        <v>#N/A</v>
        <stp/>
        <stp>BDH|13816220687282425251</stp>
        <tr r="H19" s="25"/>
      </tp>
      <tp t="e">
        <v>#N/A</v>
        <stp/>
        <stp>BDH|11575398924100580916</stp>
        <tr r="L88" s="24"/>
      </tp>
      <tp t="e">
        <v>#N/A</v>
        <stp/>
        <stp>BDH|15090740098154391631</stp>
        <tr r="H186" s="18"/>
      </tp>
      <tp t="e">
        <v>#N/A</v>
        <stp/>
        <stp>BDH|17263921134822877608</stp>
        <tr r="I87" s="17"/>
      </tp>
      <tp t="e">
        <v>#N/A</v>
        <stp/>
        <stp>BDH|13007822733637411695</stp>
        <tr r="AA8" s="20"/>
        <tr r="AA118" s="18"/>
      </tp>
      <tp t="e">
        <v>#N/A</v>
        <stp/>
        <stp>BDH|12477847344026858102</stp>
        <tr r="S69" s="24"/>
      </tp>
      <tp t="e">
        <v>#N/A</v>
        <stp/>
        <stp>BDH|15571599624198386370</stp>
        <tr r="Y23" s="18"/>
      </tp>
      <tp t="e">
        <v>#N/A</v>
        <stp/>
        <stp>BDH|14666114040310363881</stp>
        <tr r="L28" s="34"/>
      </tp>
      <tp t="e">
        <v>#N/A</v>
        <stp/>
        <stp>BDH|14240407043894987946</stp>
        <tr r="M17" s="14"/>
      </tp>
      <tp t="e">
        <v>#N/A</v>
        <stp/>
        <stp>BDH|13400191384492041154</stp>
        <tr r="Q68" s="13"/>
      </tp>
      <tp t="e">
        <v>#N/A</v>
        <stp/>
        <stp>BDH|14677899700262283711</stp>
        <tr r="S7" s="17"/>
      </tp>
      <tp t="e">
        <v>#N/A</v>
        <stp/>
        <stp>BDH|16384686364768053739</stp>
        <tr r="F13" s="25"/>
      </tp>
      <tp t="e">
        <v>#N/A</v>
        <stp/>
        <stp>BDH|13942835292369464200</stp>
        <tr r="T22" s="4"/>
      </tp>
      <tp t="e">
        <v>#N/A</v>
        <stp/>
        <stp>BDH|14087552208829190130</stp>
        <tr r="S66" s="12"/>
      </tp>
      <tp t="e">
        <v>#N/A</v>
        <stp/>
        <stp>BDH|17995042383173150504</stp>
        <tr r="U46" s="12"/>
      </tp>
      <tp t="e">
        <v>#N/A</v>
        <stp/>
        <stp>BDH|15526194423847845881</stp>
        <tr r="I30" s="11"/>
        <tr r="I39" s="10"/>
      </tp>
      <tp t="e">
        <v>#N/A</v>
        <stp/>
        <stp>BDH|12277885321249596813</stp>
        <tr r="AA141" s="18"/>
      </tp>
      <tp t="e">
        <v>#N/A</v>
        <stp/>
        <stp>BDH|13093004294012938127</stp>
        <tr r="S174" s="18"/>
      </tp>
      <tp t="e">
        <v>#N/A</v>
        <stp/>
        <stp>BDH|13018350327033918849</stp>
        <tr r="H44" s="22"/>
      </tp>
      <tp t="e">
        <v>#N/A</v>
        <stp/>
        <stp>BDH|16087508011142983970</stp>
        <tr r="I20" s="17"/>
      </tp>
      <tp t="e">
        <v>#N/A</v>
        <stp/>
        <stp>BDH|10715458529006194958</stp>
        <tr r="C29" s="18"/>
      </tp>
      <tp t="e">
        <v>#N/A</v>
        <stp/>
        <stp>BDH|17295347348648885198</stp>
        <tr r="M83" s="18"/>
      </tp>
      <tp t="e">
        <v>#N/A</v>
        <stp/>
        <stp>BDH|10357442628469646669</stp>
        <tr r="P130" s="18"/>
      </tp>
      <tp t="e">
        <v>#N/A</v>
        <stp/>
        <stp>BDH|12257426651548607288</stp>
        <tr r="C96" s="12"/>
      </tp>
      <tp t="e">
        <v>#N/A</v>
        <stp/>
        <stp>BDH|11568856335645982633</stp>
        <tr r="M62" s="24"/>
      </tp>
      <tp t="e">
        <v>#N/A</v>
        <stp/>
        <stp>BDH|14825163544150181845</stp>
        <tr r="E54" s="12"/>
      </tp>
      <tp t="e">
        <v>#N/A</v>
        <stp/>
        <stp>BDH|16095578639610036919</stp>
        <tr r="P19" s="6"/>
      </tp>
      <tp t="e">
        <v>#N/A</v>
        <stp/>
        <stp>BDH|17822717518949935172</stp>
        <tr r="R28" s="26"/>
      </tp>
      <tp t="e">
        <v>#N/A</v>
        <stp/>
        <stp>BDH|11076900618597637712</stp>
        <tr r="E75" s="12"/>
      </tp>
      <tp t="e">
        <v>#N/A</v>
        <stp/>
        <stp>BDH|15936134421878090745</stp>
        <tr r="S34" s="9"/>
      </tp>
      <tp t="e">
        <v>#N/A</v>
        <stp/>
        <stp>BDH|17865003388045872371</stp>
        <tr r="K50" s="17"/>
      </tp>
      <tp t="e">
        <v>#N/A</v>
        <stp/>
        <stp>BDH|10242165153569034485</stp>
        <tr r="Q138" s="18"/>
      </tp>
      <tp t="e">
        <v>#N/A</v>
        <stp/>
        <stp>BDH|12759026856589409784</stp>
        <tr r="U124" s="12"/>
      </tp>
      <tp t="e">
        <v>#N/A</v>
        <stp/>
        <stp>BDH|12895656454598708018</stp>
        <tr r="G189" s="18"/>
      </tp>
      <tp t="e">
        <v>#N/A</v>
        <stp/>
        <stp>BDH|17106747781489804832</stp>
        <tr r="Z73" s="18"/>
      </tp>
      <tp t="e">
        <v>#N/A</v>
        <stp/>
        <stp>BDH|16243615545324800913</stp>
        <tr r="C69" s="24"/>
      </tp>
      <tp t="e">
        <v>#N/A</v>
        <stp/>
        <stp>BDH|18176392970567576227</stp>
        <tr r="S33" s="34"/>
      </tp>
      <tp t="e">
        <v>#N/A</v>
        <stp/>
        <stp>BDH|18063353023470900001</stp>
        <tr r="G33" s="13"/>
        <tr r="E26" s="10"/>
      </tp>
      <tp t="e">
        <v>#N/A</v>
        <stp/>
        <stp>BDH|13632552737274339887</stp>
        <tr r="D159" s="18"/>
      </tp>
      <tp t="e">
        <v>#N/A</v>
        <stp/>
        <stp>BDH|17422285715375246847</stp>
        <tr r="E197" s="18"/>
      </tp>
      <tp t="e">
        <v>#N/A</v>
        <stp/>
        <stp>BDH|13364733973289565396</stp>
        <tr r="O69" s="13"/>
      </tp>
      <tp t="e">
        <v>#N/A</v>
        <stp/>
        <stp>BDH|14918340466541524910</stp>
        <tr r="J86" s="17"/>
      </tp>
      <tp t="e">
        <v>#N/A</v>
        <stp/>
        <stp>BDH|15320777880641963223</stp>
        <tr r="V38" s="25"/>
      </tp>
      <tp t="e">
        <v>#N/A</v>
        <stp/>
        <stp>BDH|14212862217573439783</stp>
        <tr r="S42" s="11"/>
        <tr r="S51" s="10"/>
        <tr r="S14" s="7"/>
        <tr r="U9" s="3"/>
      </tp>
      <tp t="e">
        <v>#N/A</v>
        <stp/>
        <stp>BDH|18071956546789842544</stp>
        <tr r="D205" s="18"/>
      </tp>
      <tp t="e">
        <v>#N/A</v>
        <stp/>
        <stp>BDH|13449363994702039295</stp>
        <tr r="H93" s="12"/>
      </tp>
      <tp t="e">
        <v>#N/A</v>
        <stp/>
        <stp>BDH|15104362039299507546</stp>
        <tr r="J74" s="17"/>
      </tp>
      <tp t="e">
        <v>#N/A</v>
        <stp/>
        <stp>BDH|11157197185355107434</stp>
        <tr r="X24" s="5"/>
      </tp>
      <tp t="e">
        <v>#N/A</v>
        <stp/>
        <stp>BDH|12188875758917523142</stp>
        <tr r="AA28" s="34"/>
      </tp>
      <tp t="e">
        <v>#N/A</v>
        <stp/>
        <stp>BDH|16997864455194015659</stp>
        <tr r="N15" s="34"/>
      </tp>
      <tp t="e">
        <v>#N/A</v>
        <stp/>
        <stp>BDH|10549726535349489482</stp>
        <tr r="M136" s="18"/>
      </tp>
      <tp t="e">
        <v>#N/A</v>
        <stp/>
        <stp>BDH|15405368733658917464</stp>
        <tr r="M26" s="11"/>
        <tr r="M35" s="10"/>
      </tp>
      <tp t="e">
        <v>#N/A</v>
        <stp/>
        <stp>BDH|15952212765770290812</stp>
        <tr r="X17" s="9"/>
      </tp>
      <tp t="e">
        <v>#N/A</v>
        <stp/>
        <stp>BDH|17862401272525280860</stp>
        <tr r="C82" s="24"/>
      </tp>
      <tp t="e">
        <v>#N/A</v>
        <stp/>
        <stp>BDH|14452719791114925736</stp>
        <tr r="I37" s="26"/>
      </tp>
      <tp t="e">
        <v>#N/A</v>
        <stp/>
        <stp>BDH|18247204470273997752</stp>
        <tr r="K55" s="12"/>
      </tp>
      <tp t="e">
        <v>#N/A</v>
        <stp/>
        <stp>BDH|11991639487964405271</stp>
        <tr r="K24" s="27"/>
      </tp>
      <tp t="e">
        <v>#N/A</v>
        <stp/>
        <stp>BDH|17578069028504121846</stp>
        <tr r="O54" s="13"/>
      </tp>
      <tp t="e">
        <v>#N/A</v>
        <stp/>
        <stp>BDH|18388720509056663001</stp>
        <tr r="Z21" s="20"/>
      </tp>
      <tp t="e">
        <v>#N/A</v>
        <stp/>
        <stp>BDH|16110027298764476219</stp>
        <tr r="F95" s="24"/>
      </tp>
      <tp t="e">
        <v>#N/A</v>
        <stp/>
        <stp>BDH|12377818768593220666</stp>
        <tr r="R60" s="18"/>
      </tp>
      <tp t="e">
        <v>#N/A</v>
        <stp/>
        <stp>BDH|13093353786565466497</stp>
        <tr r="Y13" s="12"/>
      </tp>
      <tp t="e">
        <v>#N/A</v>
        <stp/>
        <stp>BDH|10629877404944962527</stp>
        <tr r="K140" s="18"/>
      </tp>
      <tp t="e">
        <v>#N/A</v>
        <stp/>
        <stp>BDH|16374959419626402155</stp>
        <tr r="Z44" s="13"/>
        <tr r="X28" s="11"/>
        <tr r="X37" s="10"/>
      </tp>
      <tp t="e">
        <v>#N/A</v>
        <stp/>
        <stp>BDH|12196897965963432678</stp>
        <tr r="I21" s="17"/>
      </tp>
      <tp t="e">
        <v>#N/A</v>
        <stp/>
        <stp>BDH|11438778148078474310</stp>
        <tr r="T155" s="18"/>
      </tp>
      <tp t="e">
        <v>#N/A</v>
        <stp/>
        <stp>BDH|18119713851382974165</stp>
        <tr r="M9" s="17"/>
      </tp>
      <tp t="e">
        <v>#N/A</v>
        <stp/>
        <stp>BDH|17544921549696381538</stp>
        <tr r="G14" s="10"/>
      </tp>
      <tp t="e">
        <v>#N/A</v>
        <stp/>
        <stp>BDH|14828552157228453506</stp>
        <tr r="O161" s="18"/>
      </tp>
      <tp t="e">
        <v>#N/A</v>
        <stp/>
        <stp>BDH|18208857529239027207</stp>
        <tr r="K114" s="18"/>
      </tp>
      <tp t="e">
        <v>#N/A</v>
        <stp/>
        <stp>BDH|15482819271612327195</stp>
        <tr r="K64" s="12"/>
      </tp>
      <tp t="e">
        <v>#N/A</v>
        <stp/>
        <stp>BDH|14572095862788341331</stp>
        <tr r="Y80" s="34"/>
      </tp>
      <tp t="e">
        <v>#N/A</v>
        <stp/>
        <stp>BDH|11668884182359133135</stp>
        <tr r="AA16" s="12"/>
      </tp>
      <tp t="e">
        <v>#N/A</v>
        <stp/>
        <stp>BDH|15097335413779881764</stp>
        <tr r="Y136" s="18"/>
      </tp>
      <tp t="e">
        <v>#N/A</v>
        <stp/>
        <stp>BDH|17825978327350488527</stp>
        <tr r="N196" s="18"/>
      </tp>
      <tp t="e">
        <v>#N/A</v>
        <stp/>
        <stp>BDH|12228029018708780211</stp>
        <tr r="K8" s="20"/>
        <tr r="K118" s="18"/>
      </tp>
      <tp t="e">
        <v>#N/A</v>
        <stp/>
        <stp>BDH|12371852113353843137</stp>
        <tr r="T41" s="34"/>
      </tp>
      <tp t="e">
        <v>#N/A</v>
        <stp/>
        <stp>BDH|12533512233509103481</stp>
        <tr r="U14" s="18"/>
      </tp>
      <tp t="e">
        <v>#N/A</v>
        <stp/>
        <stp>BDH|10998705686710961689</stp>
        <tr r="E48" s="12"/>
      </tp>
      <tp t="e">
        <v>#N/A</v>
        <stp/>
        <stp>BDH|13199792773704353993</stp>
        <tr r="C89" s="18"/>
      </tp>
      <tp t="e">
        <v>#N/A</v>
        <stp/>
        <stp>BDH|10269578328058463182</stp>
        <tr r="W128" s="18"/>
      </tp>
      <tp t="e">
        <v>#N/A</v>
        <stp/>
        <stp>BDH|17358079217059133135</stp>
        <tr r="O86" s="24"/>
      </tp>
      <tp t="e">
        <v>#N/A</v>
        <stp/>
        <stp>BDH|12209693278965454865</stp>
        <tr r="L14" s="12"/>
      </tp>
      <tp t="e">
        <v>#N/A</v>
        <stp/>
        <stp>BDH|15160324884053121379</stp>
        <tr r="D102" s="18"/>
      </tp>
      <tp t="e">
        <v>#N/A</v>
        <stp/>
        <stp>BDH|12197993559739078903</stp>
        <tr r="Y147" s="18"/>
      </tp>
      <tp t="e">
        <v>#N/A</v>
        <stp/>
        <stp>BDH|12678861456436628719</stp>
        <tr r="M53" s="24"/>
      </tp>
      <tp t="e">
        <v>#N/A</v>
        <stp/>
        <stp>BDH|16773535957380592871</stp>
        <tr r="K7" s="17"/>
      </tp>
      <tp t="e">
        <v>#N/A</v>
        <stp/>
        <stp>BDH|14201826909126070488</stp>
        <tr r="C6" s="20"/>
        <tr r="C116" s="18"/>
      </tp>
      <tp t="e">
        <v>#N/A</v>
        <stp/>
        <stp>BDH|15558004196093196130</stp>
        <tr r="J82" s="24"/>
      </tp>
      <tp t="e">
        <v>#N/A</v>
        <stp/>
        <stp>BDH|14500058076349376444</stp>
        <tr r="Y56" s="11"/>
        <tr r="Y24" s="4"/>
      </tp>
      <tp t="e">
        <v>#N/A</v>
        <stp/>
        <stp>BDH|11391201082077800287</stp>
        <tr r="I194" s="18"/>
      </tp>
      <tp t="e">
        <v>#N/A</v>
        <stp/>
        <stp>BDH|16324148980755479425</stp>
        <tr r="N13" s="10"/>
      </tp>
      <tp t="e">
        <v>#N/A</v>
        <stp/>
        <stp>BDH|14041161737290694860</stp>
        <tr r="W9" s="17"/>
      </tp>
      <tp t="e">
        <v>#N/A</v>
        <stp/>
        <stp>BDH|12597820621120345642</stp>
        <tr r="O135" s="18"/>
      </tp>
      <tp t="e">
        <v>#N/A</v>
        <stp/>
        <stp>BDH|14229504087766653128</stp>
        <tr r="H16" s="11"/>
      </tp>
      <tp t="e">
        <v>#N/A</v>
        <stp/>
        <stp>BDH|15172702061489854398</stp>
        <tr r="I102" s="18"/>
      </tp>
      <tp t="e">
        <v>#N/A</v>
        <stp/>
        <stp>BDH|11697814667634636574</stp>
        <tr r="O146" s="18"/>
      </tp>
      <tp t="e">
        <v>#N/A</v>
        <stp/>
        <stp>BDH|12685813246326555651</stp>
        <tr r="E88" s="17"/>
      </tp>
      <tp t="e">
        <v>#N/A</v>
        <stp/>
        <stp>BDH|18151582372472985637</stp>
        <tr r="X61" s="12"/>
      </tp>
      <tp t="e">
        <v>#N/A</v>
        <stp/>
        <stp>BDH|18265313849179214896</stp>
        <tr r="T64" s="18"/>
      </tp>
      <tp t="e">
        <v>#N/A</v>
        <stp/>
        <stp>BDH|18191437953306480146</stp>
        <tr r="O62" s="18"/>
      </tp>
      <tp t="e">
        <v>#N/A</v>
        <stp/>
        <stp>BDH|17635608870831219951</stp>
        <tr r="H202" s="18"/>
      </tp>
      <tp t="e">
        <v>#N/A</v>
        <stp/>
        <stp>BDH|15708968793179129228</stp>
        <tr r="R11" s="28"/>
      </tp>
      <tp t="e">
        <v>#N/A</v>
        <stp/>
        <stp>BDH|10664051432454929993</stp>
        <tr r="C130" s="18"/>
      </tp>
      <tp t="e">
        <v>#N/A</v>
        <stp/>
        <stp>BDH|13641254299005917323</stp>
        <tr r="G125" s="12"/>
      </tp>
      <tp t="e">
        <v>#N/A</v>
        <stp/>
        <stp>BDH|16708948052100086401</stp>
        <tr r="K45" s="12"/>
      </tp>
      <tp t="e">
        <v>#N/A</v>
        <stp/>
        <stp>BDH|11908695882391269010</stp>
        <tr r="H76" s="12"/>
      </tp>
      <tp t="e">
        <v>#N/A</v>
        <stp/>
        <stp>BDH|15632740708909296593</stp>
        <tr r="R12" s="25"/>
      </tp>
      <tp t="e">
        <v>#N/A</v>
        <stp/>
        <stp>BDH|18264148390778002679</stp>
        <tr r="C21" s="4"/>
      </tp>
      <tp t="e">
        <v>#N/A</v>
        <stp/>
        <stp>BDH|11828580863698747457</stp>
        <tr r="Y9" s="28"/>
      </tp>
      <tp t="e">
        <v>#N/A</v>
        <stp/>
        <stp>BDH|16771360722599341011</stp>
        <tr r="H65" s="10"/>
        <tr r="H25" s="4"/>
      </tp>
      <tp t="e">
        <v>#N/A</v>
        <stp/>
        <stp>BDH|12419920811530428421</stp>
        <tr r="U28" s="21"/>
      </tp>
      <tp t="e">
        <v>#N/A</v>
        <stp/>
        <stp>BDH|10899686489112809209</stp>
        <tr r="O39" s="11"/>
        <tr r="O27" s="11"/>
        <tr r="O48" s="10"/>
        <tr r="O36" s="10"/>
      </tp>
      <tp t="e">
        <v>#N/A</v>
        <stp/>
        <stp>BDH|10003452792190349350</stp>
        <tr r="L100" s="12"/>
      </tp>
      <tp t="e">
        <v>#N/A</v>
        <stp/>
        <stp>BDH|14513147897373370144</stp>
        <tr r="N33" s="17"/>
      </tp>
      <tp t="e">
        <v>#N/A</v>
        <stp/>
        <stp>BDH|17780431075543128918</stp>
        <tr r="Z8" s="20"/>
        <tr r="Z118" s="18"/>
      </tp>
      <tp t="e">
        <v>#N/A</v>
        <stp/>
        <stp>BDH|11079397588437231321</stp>
        <tr r="Q49" s="21"/>
      </tp>
      <tp t="e">
        <v>#N/A</v>
        <stp/>
        <stp>BDH|12352957907647269227</stp>
        <tr r="P52" s="17"/>
      </tp>
      <tp t="e">
        <v>#N/A</v>
        <stp/>
        <stp>BDH|18160512280458005315</stp>
        <tr r="O104" s="12"/>
      </tp>
      <tp t="e">
        <v>#N/A</v>
        <stp/>
        <stp>BDH|17174672287283035400</stp>
        <tr r="R24" s="20"/>
      </tp>
      <tp t="e">
        <v>#N/A</v>
        <stp/>
        <stp>BDH|14044589689651171618</stp>
        <tr r="M93" s="18"/>
      </tp>
      <tp t="e">
        <v>#N/A</v>
        <stp/>
        <stp>BDH|10487916431862505602</stp>
        <tr r="R41" s="22"/>
      </tp>
      <tp t="e">
        <v>#N/A</v>
        <stp/>
        <stp>BDH|11409970394428665719</stp>
        <tr r="V12" s="18"/>
      </tp>
      <tp t="e">
        <v>#N/A</v>
        <stp/>
        <stp>BDH|15250870307486133539</stp>
        <tr r="I106" s="12"/>
      </tp>
      <tp t="e">
        <v>#N/A</v>
        <stp/>
        <stp>BDH|15315645990540122468</stp>
        <tr r="O31" s="9"/>
      </tp>
      <tp t="e">
        <v>#N/A</v>
        <stp/>
        <stp>BDH|14988915629890493157</stp>
        <tr r="V95" s="24"/>
      </tp>
      <tp t="e">
        <v>#N/A</v>
        <stp/>
        <stp>BDH|18010550029831521090</stp>
        <tr r="D27" s="26"/>
      </tp>
      <tp t="e">
        <v>#N/A</v>
        <stp/>
        <stp>BDH|15268669382454723110</stp>
        <tr r="Q89" s="17"/>
      </tp>
      <tp t="e">
        <v>#N/A</v>
        <stp/>
        <stp>BDH|17208312810183194823</stp>
        <tr r="Q108" s="12"/>
      </tp>
      <tp t="e">
        <v>#N/A</v>
        <stp/>
        <stp>BDH|11491805137187348301</stp>
        <tr r="C46" s="18"/>
      </tp>
      <tp t="e">
        <v>#N/A</v>
        <stp/>
        <stp>BDH|16271223963605194924</stp>
        <tr r="R187" s="18"/>
      </tp>
      <tp t="e">
        <v>#N/A</v>
        <stp/>
        <stp>BDH|14362001036571581805</stp>
        <tr r="H102" s="18"/>
      </tp>
      <tp t="e">
        <v>#N/A</v>
        <stp/>
        <stp>BDH|13631455656845162947</stp>
        <tr r="C15" s="21"/>
      </tp>
      <tp t="e">
        <v>#N/A</v>
        <stp/>
        <stp>BDH|10720627085708880885</stp>
        <tr r="K185" s="18"/>
      </tp>
      <tp t="e">
        <v>#N/A</v>
        <stp/>
        <stp>BDH|12074636795911661201</stp>
        <tr r="I9" s="34"/>
      </tp>
      <tp t="e">
        <v>#N/A</v>
        <stp/>
        <stp>BDH|11303759584526308612</stp>
        <tr r="V72" s="12"/>
      </tp>
      <tp t="e">
        <v>#N/A</v>
        <stp/>
        <stp>BDH|10265901045893443035</stp>
        <tr r="X23" s="25"/>
        <tr r="V20" s="11"/>
      </tp>
      <tp t="e">
        <v>#N/A</v>
        <stp/>
        <stp>BDH|14882815829744220426</stp>
        <tr r="Y41" s="21"/>
      </tp>
      <tp t="e">
        <v>#N/A</v>
        <stp/>
        <stp>BDH|13750249811357475966</stp>
        <tr r="F19" s="28"/>
        <tr r="F16" s="17"/>
      </tp>
      <tp t="e">
        <v>#N/A</v>
        <stp/>
        <stp>BDH|11445835605836332114</stp>
        <tr r="I37" s="21"/>
      </tp>
      <tp t="e">
        <v>#N/A</v>
        <stp/>
        <stp>BDH|13399002752001206936</stp>
        <tr r="Q31" s="26"/>
        <tr r="N14" s="9"/>
      </tp>
      <tp t="e">
        <v>#N/A</v>
        <stp/>
        <stp>BDH|16298606103238858695</stp>
        <tr r="W95" s="24"/>
      </tp>
      <tp t="e">
        <v>#N/A</v>
        <stp/>
        <stp>BDH|16897210994541546284</stp>
        <tr r="D13" s="13"/>
      </tp>
      <tp t="e">
        <v>#N/A</v>
        <stp/>
        <stp>BDH|10092107885966023159</stp>
        <tr r="R16" s="25"/>
      </tp>
      <tp t="e">
        <v>#N/A</v>
        <stp/>
        <stp>BDH|13840854339320278668</stp>
        <tr r="Z94" s="24"/>
      </tp>
      <tp t="e">
        <v>#N/A</v>
        <stp/>
        <stp>BDH|13445195370222875958</stp>
        <tr r="C16" s="14"/>
      </tp>
      <tp t="e">
        <v>#N/A</v>
        <stp/>
        <stp>BDH|10294479181941372372</stp>
        <tr r="Q24" s="21"/>
      </tp>
      <tp t="e">
        <v>#N/A</v>
        <stp/>
        <stp>BDH|10454457184182382068</stp>
        <tr r="AA191" s="18"/>
      </tp>
      <tp t="e">
        <v>#N/A</v>
        <stp/>
        <stp>BDH|15437084781085540680</stp>
        <tr r="O176" s="18"/>
      </tp>
      <tp t="e">
        <v>#N/A</v>
        <stp/>
        <stp>BDH|16736973280689236026</stp>
        <tr r="V66" s="12"/>
      </tp>
      <tp t="e">
        <v>#N/A</v>
        <stp/>
        <stp>BDH|16813437611735957837</stp>
        <tr r="J150" s="18"/>
      </tp>
      <tp t="e">
        <v>#N/A</v>
        <stp/>
        <stp>BDH|18306459702550395277</stp>
        <tr r="F13" s="8"/>
      </tp>
      <tp t="e">
        <v>#N/A</v>
        <stp/>
        <stp>BDH|16079720643949173208</stp>
        <tr r="D147" s="18"/>
      </tp>
      <tp t="e">
        <v>#N/A</v>
        <stp/>
        <stp>BDH|12770305837555827984</stp>
        <tr r="E61" s="21"/>
      </tp>
      <tp t="e">
        <v>#N/A</v>
        <stp/>
        <stp>BDH|13713573803000751846</stp>
        <tr r="F75" s="17"/>
      </tp>
      <tp t="e">
        <v>#N/A</v>
        <stp/>
        <stp>BDH|15222999175005992073</stp>
        <tr r="R16" s="6"/>
      </tp>
      <tp t="e">
        <v>#N/A</v>
        <stp/>
        <stp>BDH|15458043410259908395</stp>
        <tr r="T9" s="30"/>
      </tp>
      <tp t="e">
        <v>#N/A</v>
        <stp/>
        <stp>BDH|14384255720722582833</stp>
        <tr r="F23" s="11"/>
      </tp>
      <tp t="e">
        <v>#N/A</v>
        <stp/>
        <stp>BDH|14329221570218970781</stp>
        <tr r="Y10" s="23"/>
      </tp>
      <tp t="e">
        <v>#N/A</v>
        <stp/>
        <stp>BDH|10228931032837155329</stp>
        <tr r="O35" s="13"/>
        <tr r="M28" s="10"/>
      </tp>
      <tp t="e">
        <v>#N/A</v>
        <stp/>
        <stp>BDH|18161777936105003707</stp>
        <tr r="M191" s="18"/>
      </tp>
      <tp t="e">
        <v>#N/A</v>
        <stp/>
        <stp>BDH|11601071505698748734</stp>
        <tr r="V191" s="18"/>
      </tp>
      <tp t="e">
        <v>#N/A</v>
        <stp/>
        <stp>BDH|18165051147053300100</stp>
        <tr r="F81" s="12"/>
      </tp>
      <tp t="e">
        <v>#N/A</v>
        <stp/>
        <stp>BDH|11375989863054184490</stp>
        <tr r="Q44" s="21"/>
      </tp>
      <tp t="e">
        <v>#N/A</v>
        <stp/>
        <stp>BDH|10681069937669206451</stp>
        <tr r="Z187" s="18"/>
      </tp>
      <tp t="e">
        <v>#N/A</v>
        <stp/>
        <stp>BDH|17582579777513145846</stp>
        <tr r="E59" s="24"/>
      </tp>
      <tp t="e">
        <v>#N/A</v>
        <stp/>
        <stp>BDH|11514340083587053324</stp>
        <tr r="M49" s="6"/>
      </tp>
      <tp t="e">
        <v>#N/A</v>
        <stp/>
        <stp>BDH|15510920122146470612</stp>
        <tr r="T125" s="12"/>
      </tp>
      <tp t="e">
        <v>#N/A</v>
        <stp/>
        <stp>BDH|13927146242640762881</stp>
        <tr r="P68" s="18"/>
      </tp>
      <tp t="e">
        <v>#N/A</v>
        <stp/>
        <stp>BDH|16102657984511369731</stp>
        <tr r="S21" s="18"/>
      </tp>
      <tp t="e">
        <v>#N/A</v>
        <stp/>
        <stp>BDH|12317040321426354855</stp>
        <tr r="H47" s="13"/>
      </tp>
      <tp t="e">
        <v>#N/A</v>
        <stp/>
        <stp>BDH|15714582453218577392</stp>
        <tr r="D9" s="30"/>
      </tp>
      <tp t="e">
        <v>#N/A</v>
        <stp/>
        <stp>BDH|15085988022119188982</stp>
        <tr r="J11" s="21"/>
      </tp>
      <tp t="e">
        <v>#N/A</v>
        <stp/>
        <stp>BDH|12034007644981311947</stp>
        <tr r="L163" s="18"/>
      </tp>
      <tp t="e">
        <v>#N/A</v>
        <stp/>
        <stp>BDH|12726872220910755647</stp>
        <tr r="X50" s="18"/>
      </tp>
      <tp t="e">
        <v>#N/A</v>
        <stp/>
        <stp>BDH|18291345312004162061</stp>
        <tr r="L79" s="17"/>
        <tr r="I9" s="9"/>
        <tr r="I9" s="5"/>
      </tp>
      <tp t="e">
        <v>#N/A</v>
        <stp/>
        <stp>BDH|13590550892575827494</stp>
        <tr r="T11" s="21"/>
      </tp>
      <tp t="e">
        <v>#N/A</v>
        <stp/>
        <stp>BDH|12320821853590845198</stp>
        <tr r="X34" s="24"/>
      </tp>
      <tp t="e">
        <v>#N/A</v>
        <stp/>
        <stp>BDH|14538228280798447801</stp>
        <tr r="Q13" s="9"/>
      </tp>
      <tp t="e">
        <v>#N/A</v>
        <stp/>
        <stp>BDH|15455961684403100949</stp>
        <tr r="S33" s="11"/>
        <tr r="S42" s="10"/>
      </tp>
      <tp t="e">
        <v>#N/A</v>
        <stp/>
        <stp>BDH|14219829955161279646</stp>
        <tr r="Y37" s="18"/>
      </tp>
      <tp t="e">
        <v>#N/A</v>
        <stp/>
        <stp>BDH|13728521993946050757</stp>
        <tr r="S64" s="34"/>
      </tp>
      <tp t="e">
        <v>#N/A</v>
        <stp/>
        <stp>BDH|16587714505776660945</stp>
        <tr r="X33" s="34"/>
      </tp>
      <tp t="e">
        <v>#N/A</v>
        <stp/>
        <stp>BDH|14313469378848797191</stp>
        <tr r="Z77" s="18"/>
      </tp>
      <tp t="e">
        <v>#N/A</v>
        <stp/>
        <stp>BDH|18163351545872690349</stp>
        <tr r="C60" s="13"/>
      </tp>
      <tp t="e">
        <v>#N/A</v>
        <stp/>
        <stp>BDH|16377260321830679815</stp>
        <tr r="R181" s="18"/>
      </tp>
      <tp t="e">
        <v>#N/A</v>
        <stp/>
        <stp>BDH|16982424773173989828</stp>
        <tr r="J9" s="26"/>
      </tp>
      <tp t="e">
        <v>#N/A</v>
        <stp/>
        <stp>BDH|12991694216203564805</stp>
        <tr r="X167" s="18"/>
      </tp>
      <tp t="e">
        <v>#N/A</v>
        <stp/>
        <stp>BDH|13875931631486173186</stp>
        <tr r="X110" s="12"/>
      </tp>
      <tp t="e">
        <v>#N/A</v>
        <stp/>
        <stp>BDH|15472888855336283087</stp>
        <tr r="I60" s="11"/>
      </tp>
      <tp t="e">
        <v>#N/A</v>
        <stp/>
        <stp>BDH|17402209597661894385</stp>
        <tr r="C7" s="21"/>
      </tp>
      <tp t="e">
        <v>#N/A</v>
        <stp/>
        <stp>BDH|11200049483143581433</stp>
        <tr r="D43" s="11"/>
        <tr r="D52" s="10"/>
        <tr r="D15" s="7"/>
      </tp>
      <tp t="e">
        <v>#N/A</v>
        <stp/>
        <stp>BDH|13771140760203605966</stp>
        <tr r="P35" s="12"/>
      </tp>
      <tp t="e">
        <v>#N/A</v>
        <stp/>
        <stp>BDH|11433421786501648251</stp>
        <tr r="N164" s="18"/>
      </tp>
      <tp t="e">
        <v>#N/A</v>
        <stp/>
        <stp>BDH|11979208035917821976</stp>
        <tr r="F14" s="10"/>
      </tp>
      <tp t="e">
        <v>#N/A</v>
        <stp/>
        <stp>BDH|12897298161260171826</stp>
        <tr r="J22" s="6"/>
      </tp>
      <tp t="e">
        <v>#N/A</v>
        <stp/>
        <stp>BDH|13817986528403823533</stp>
        <tr r="D152" s="18"/>
      </tp>
      <tp t="e">
        <v>#N/A</v>
        <stp/>
        <stp>BDH|12403073174583529816</stp>
        <tr r="F41" s="21"/>
      </tp>
      <tp t="e">
        <v>#N/A</v>
        <stp/>
        <stp>BDH|14130319286575269478</stp>
        <tr r="N14" s="27"/>
        <tr r="N28" s="25"/>
      </tp>
      <tp t="e">
        <v>#N/A</v>
        <stp/>
        <stp>BDH|16251853952177271241</stp>
        <tr r="U197" s="18"/>
      </tp>
      <tp t="e">
        <v>#N/A</v>
        <stp/>
        <stp>BDH|17830854460385834266</stp>
        <tr r="U23" s="9"/>
        <tr r="U23" s="5"/>
      </tp>
      <tp t="e">
        <v>#N/A</v>
        <stp/>
        <stp>BDH|14646355744384422901</stp>
        <tr r="F20" s="26"/>
      </tp>
      <tp t="e">
        <v>#N/A</v>
        <stp/>
        <stp>BDH|14146145770005394959</stp>
        <tr r="H49" s="13"/>
      </tp>
      <tp t="e">
        <v>#N/A</v>
        <stp/>
        <stp>BDH|18165748251884373041</stp>
        <tr r="Y64" s="12"/>
      </tp>
      <tp t="e">
        <v>#N/A</v>
        <stp/>
        <stp>BDH|13158092205285658880</stp>
        <tr r="D21" s="20"/>
      </tp>
      <tp t="e">
        <v>#N/A</v>
        <stp/>
        <stp>BDH|15844386510041232811</stp>
        <tr r="F109" s="18"/>
      </tp>
      <tp t="e">
        <v>#N/A</v>
        <stp/>
        <stp>BDH|10166243167739121307</stp>
        <tr r="O7" s="30"/>
      </tp>
      <tp t="e">
        <v>#N/A</v>
        <stp/>
        <stp>BDH|13512205827724609974</stp>
        <tr r="T25" s="34"/>
      </tp>
      <tp t="e">
        <v>#N/A</v>
        <stp/>
        <stp>BDH|18100972028505520882</stp>
        <tr r="C23" s="12"/>
      </tp>
      <tp t="e">
        <v>#N/A</v>
        <stp/>
        <stp>BDH|12367330102378413753</stp>
        <tr r="Z48" s="21"/>
      </tp>
      <tp t="e">
        <v>#N/A</v>
        <stp/>
        <stp>BDH|15690917774384427149</stp>
        <tr r="Z15" s="23"/>
        <tr r="X58" s="11"/>
      </tp>
      <tp t="e">
        <v>#N/A</v>
        <stp/>
        <stp>BDH|13853833379151925383</stp>
        <tr r="F8" s="10"/>
      </tp>
      <tp t="e">
        <v>#N/A</v>
        <stp/>
        <stp>BDH|14315931440581396609</stp>
        <tr r="O9" s="21"/>
      </tp>
      <tp t="e">
        <v>#N/A</v>
        <stp/>
        <stp>BDH|14766862401725519767</stp>
        <tr r="L67" s="12"/>
      </tp>
      <tp t="e">
        <v>#N/A</v>
        <stp/>
        <stp>BDH|18317234144660509026</stp>
        <tr r="W202" s="18"/>
      </tp>
      <tp t="e">
        <v>#N/A</v>
        <stp/>
        <stp>BDH|17887918724041822367</stp>
        <tr r="Z74" s="34"/>
      </tp>
      <tp t="e">
        <v>#N/A</v>
        <stp/>
        <stp>BDH|17835280090070716246</stp>
        <tr r="K12" s="11"/>
      </tp>
      <tp t="e">
        <v>#N/A</v>
        <stp/>
        <stp>BDH|15088985228086185621</stp>
        <tr r="W110" s="18"/>
      </tp>
      <tp t="e">
        <v>#N/A</v>
        <stp/>
        <stp>BDH|13026637675238410412</stp>
        <tr r="D9" s="18"/>
      </tp>
      <tp t="e">
        <v>#N/A</v>
        <stp/>
        <stp>BDH|14974984700064400778</stp>
        <tr r="Z45" s="18"/>
      </tp>
      <tp t="e">
        <v>#N/A</v>
        <stp/>
        <stp>BDH|11410639491190373077</stp>
        <tr r="D48" s="13"/>
      </tp>
      <tp t="e">
        <v>#N/A</v>
        <stp/>
        <stp>BDH|10055811764567191761</stp>
        <tr r="AA118" s="12"/>
      </tp>
      <tp t="e">
        <v>#N/A</v>
        <stp/>
        <stp>BDH|15002217696694401419</stp>
        <tr r="C27" s="13"/>
      </tp>
      <tp t="e">
        <v>#N/A</v>
        <stp/>
        <stp>BDH|10468856338274323188</stp>
        <tr r="T89" s="12"/>
      </tp>
      <tp t="e">
        <v>#N/A</v>
        <stp/>
        <stp>BDH|13398901766812380040</stp>
        <tr r="J43" s="6"/>
      </tp>
      <tp t="e">
        <v>#N/A</v>
        <stp/>
        <stp>BDH|14440113027661382831</stp>
        <tr r="T60" s="17"/>
      </tp>
      <tp t="e">
        <v>#N/A</v>
        <stp/>
        <stp>BDH|16097682691532324584</stp>
        <tr r="L69" s="18"/>
      </tp>
      <tp t="e">
        <v>#N/A</v>
        <stp/>
        <stp>BDH|17999262358588430615</stp>
        <tr r="W57" s="6"/>
      </tp>
      <tp t="e">
        <v>#N/A</v>
        <stp/>
        <stp>BDH|17263928364295150376</stp>
        <tr r="AA56" s="18"/>
      </tp>
      <tp t="e">
        <v>#N/A</v>
        <stp/>
        <stp>BDH|10285245891204584109</stp>
        <tr r="U38" s="22"/>
      </tp>
      <tp t="e">
        <v>#N/A</v>
        <stp/>
        <stp>BDH|15995527677189643085</stp>
        <tr r="Q51" s="18"/>
      </tp>
      <tp t="e">
        <v>#N/A</v>
        <stp/>
        <stp>BDH|13722239701568364746</stp>
        <tr r="U13" s="20"/>
        <tr r="U122" s="18"/>
      </tp>
      <tp t="e">
        <v>#N/A</v>
        <stp/>
        <stp>BDH|18316035007125289370</stp>
        <tr r="O30" s="14"/>
      </tp>
      <tp t="e">
        <v>#N/A</v>
        <stp/>
        <stp>BDH|15900377924858843206</stp>
        <tr r="W27" s="12"/>
      </tp>
      <tp t="e">
        <v>#N/A</v>
        <stp/>
        <stp>BDH|11221121965851273951</stp>
        <tr r="P12" s="18"/>
      </tp>
      <tp t="e">
        <v>#N/A</v>
        <stp/>
        <stp>BDH|15169863496632480876</stp>
        <tr r="C47" s="17"/>
      </tp>
      <tp t="e">
        <v>#N/A</v>
        <stp/>
        <stp>BDH|13638608517058361200</stp>
        <tr r="L40" s="29"/>
        <tr r="L17" s="29"/>
      </tp>
      <tp t="e">
        <v>#N/A</v>
        <stp/>
        <stp>BDH|17298834261663608446</stp>
        <tr r="O41" s="34"/>
      </tp>
      <tp t="e">
        <v>#N/A</v>
        <stp/>
        <stp>BDH|12509975330280534659</stp>
        <tr r="X7" s="9"/>
        <tr r="X7" s="5"/>
        <tr r="AA14" s="3"/>
        <tr r="Y7" s="2"/>
      </tp>
      <tp t="e">
        <v>#N/A</v>
        <stp/>
        <stp>BDH|13698930420955498334</stp>
        <tr r="Q53" s="17"/>
      </tp>
      <tp t="e">
        <v>#N/A</v>
        <stp/>
        <stp>BDH|17347850421970415311</stp>
        <tr r="AA139" s="18"/>
      </tp>
      <tp t="e">
        <v>#N/A</v>
        <stp/>
        <stp>BDH|12846054224569381780</stp>
        <tr r="V11" s="13"/>
      </tp>
      <tp t="e">
        <v>#N/A</v>
        <stp/>
        <stp>BDH|14990911112567088589</stp>
        <tr r="G39" s="24"/>
      </tp>
      <tp t="e">
        <v>#N/A</v>
        <stp/>
        <stp>BDH|16295406486207659304</stp>
        <tr r="S34" s="22"/>
      </tp>
      <tp t="e">
        <v>#N/A</v>
        <stp/>
        <stp>BDH|13935137699431851499</stp>
        <tr r="E29" s="17"/>
      </tp>
      <tp t="e">
        <v>#N/A</v>
        <stp/>
        <stp>BDH|15748803651644607222</stp>
        <tr r="D30" s="17"/>
      </tp>
      <tp t="e">
        <v>#N/A</v>
        <stp/>
        <stp>BDH|12873442859554231950</stp>
        <tr r="J20" s="17"/>
      </tp>
      <tp t="e">
        <v>#N/A</v>
        <stp/>
        <stp>BDH|10328865005201313717</stp>
        <tr r="N13" s="11"/>
      </tp>
      <tp t="e">
        <v>#N/A</v>
        <stp/>
        <stp>BDH|14780347791849737976</stp>
        <tr r="X80" s="17"/>
        <tr r="X19" s="3"/>
      </tp>
      <tp t="e">
        <v>#N/A</v>
        <stp/>
        <stp>BDH|15783569407316657825</stp>
        <tr r="W31" s="24"/>
      </tp>
      <tp t="e">
        <v>#N/A</v>
        <stp/>
        <stp>BDH|10358810939444929103</stp>
        <tr r="X26" s="11"/>
        <tr r="X35" s="10"/>
      </tp>
      <tp t="e">
        <v>#N/A</v>
        <stp/>
        <stp>BDH|13343571779128669792</stp>
        <tr r="K111" s="12"/>
      </tp>
      <tp t="e">
        <v>#N/A</v>
        <stp/>
        <stp>BDH|10888989293636451852</stp>
        <tr r="K18" s="22"/>
      </tp>
      <tp t="e">
        <v>#N/A</v>
        <stp/>
        <stp>BDH|17390754493271678618</stp>
        <tr r="Q19" s="12"/>
      </tp>
      <tp t="e">
        <v>#N/A</v>
        <stp/>
        <stp>BDH|11614687566287323896</stp>
        <tr r="T61" s="18"/>
      </tp>
      <tp t="e">
        <v>#N/A</v>
        <stp/>
        <stp>BDH|13457466085305397469</stp>
        <tr r="Z10" s="23"/>
      </tp>
      <tp t="e">
        <v>#N/A</v>
        <stp/>
        <stp>BDH|18356751925374694779</stp>
        <tr r="L28" s="17"/>
      </tp>
      <tp t="e">
        <v>#N/A</v>
        <stp/>
        <stp>BDH|13943591077128608733</stp>
        <tr r="F87" s="24"/>
      </tp>
      <tp t="e">
        <v>#N/A</v>
        <stp/>
        <stp>BDH|11242961454453763050</stp>
        <tr r="W93" s="18"/>
      </tp>
      <tp t="e">
        <v>#N/A</v>
        <stp/>
        <stp>BDH|10203623788068971833</stp>
        <tr r="V35" s="24"/>
      </tp>
      <tp t="e">
        <v>#N/A</v>
        <stp/>
        <stp>BDH|14108934601657353421</stp>
        <tr r="G45" s="12"/>
      </tp>
      <tp t="e">
        <v>#N/A</v>
        <stp/>
        <stp>BDH|11072449057567951988</stp>
        <tr r="G47" s="17"/>
      </tp>
      <tp t="e">
        <v>#N/A</v>
        <stp/>
        <stp>BDH|13334655892650716214</stp>
        <tr r="O15" s="25"/>
      </tp>
      <tp t="e">
        <v>#N/A</v>
        <stp/>
        <stp>BDH|15786486826814921921</stp>
        <tr r="F22" s="4"/>
      </tp>
      <tp t="e">
        <v>#N/A</v>
        <stp/>
        <stp>BDH|14883132368209088415</stp>
        <tr r="C37" s="26"/>
      </tp>
      <tp t="e">
        <v>#N/A</v>
        <stp/>
        <stp>BDH|18421832597364204306</stp>
        <tr r="K63" s="21"/>
      </tp>
      <tp t="e">
        <v>#N/A</v>
        <stp/>
        <stp>BDH|10244171918387940966</stp>
        <tr r="C21" s="5"/>
      </tp>
      <tp t="e">
        <v>#N/A</v>
        <stp/>
        <stp>BDH|10408271846009365143</stp>
        <tr r="Z96" s="12"/>
      </tp>
      <tp t="e">
        <v>#N/A</v>
        <stp/>
        <stp>BDH|14606791084453805611</stp>
        <tr r="I17" s="23"/>
      </tp>
      <tp t="e">
        <v>#N/A</v>
        <stp/>
        <stp>BDH|10148266500679018551</stp>
        <tr r="J36" s="29"/>
        <tr r="J22" s="29"/>
        <tr r="J13" s="29"/>
      </tp>
      <tp t="e">
        <v>#N/A</v>
        <stp/>
        <stp>BDH|16097811589539865150</stp>
        <tr r="O62" s="12"/>
      </tp>
      <tp t="e">
        <v>#N/A</v>
        <stp/>
        <stp>BDH|14756376986984350504</stp>
        <tr r="F62" s="13"/>
      </tp>
      <tp t="e">
        <v>#N/A</v>
        <stp/>
        <stp>BDH|10447928869850299186</stp>
        <tr r="L13" s="26"/>
      </tp>
      <tp t="e">
        <v>#N/A</v>
        <stp/>
        <stp>BDH|17477628813299459742</stp>
        <tr r="D21" s="27"/>
      </tp>
      <tp t="e">
        <v>#N/A</v>
        <stp/>
        <stp>BDH|12384908835263586563</stp>
        <tr r="Z13" s="34"/>
      </tp>
      <tp t="e">
        <v>#N/A</v>
        <stp/>
        <stp>BDH|11339494877098069488</stp>
        <tr r="J23" s="13"/>
      </tp>
      <tp t="e">
        <v>#N/A</v>
        <stp/>
        <stp>BDH|16828702121389430489</stp>
        <tr r="L83" s="12"/>
      </tp>
      <tp t="e">
        <v>#N/A</v>
        <stp/>
        <stp>BDH|14392512560639504024</stp>
        <tr r="J77" s="17"/>
      </tp>
      <tp t="e">
        <v>#N/A</v>
        <stp/>
        <stp>BDH|12682177571889692336</stp>
        <tr r="H66" s="17"/>
      </tp>
      <tp t="e">
        <v>#N/A</v>
        <stp/>
        <stp>BDH|13731089099000479475</stp>
        <tr r="H46" s="12"/>
      </tp>
      <tp t="e">
        <v>#N/A</v>
        <stp/>
        <stp>BDH|13072753184201567318</stp>
        <tr r="N27" s="18"/>
      </tp>
      <tp t="e">
        <v>#N/A</v>
        <stp/>
        <stp>BDH|14643918662282819787</stp>
        <tr r="C33" s="5"/>
      </tp>
      <tp t="e">
        <v>#N/A</v>
        <stp/>
        <stp>BDH|10088231538408802763</stp>
        <tr r="W63" s="18"/>
      </tp>
      <tp t="e">
        <v>#N/A</v>
        <stp/>
        <stp>BDH|16212859110019067820</stp>
        <tr r="E77" s="24"/>
      </tp>
      <tp t="e">
        <v>#N/A</v>
        <stp/>
        <stp>BDH|15541893062921342487</stp>
        <tr r="V77" s="17"/>
      </tp>
      <tp t="e">
        <v>#N/A</v>
        <stp/>
        <stp>BDH|12833810078901713236</stp>
        <tr r="W36" s="18"/>
      </tp>
      <tp t="e">
        <v>#N/A</v>
        <stp/>
        <stp>BDH|15464812444821572616</stp>
        <tr r="G171" s="18"/>
      </tp>
      <tp t="e">
        <v>#N/A</v>
        <stp/>
        <stp>BDH|18167245752874369511</stp>
        <tr r="L26" s="6"/>
      </tp>
      <tp t="e">
        <v>#N/A</v>
        <stp/>
        <stp>BDH|10637319690713749755</stp>
        <tr r="V110" s="12"/>
      </tp>
      <tp t="e">
        <v>#N/A</v>
        <stp/>
        <stp>BDH|15025845935064781433</stp>
        <tr r="C18" s="23"/>
      </tp>
      <tp t="e">
        <v>#N/A</v>
        <stp/>
        <stp>BDH|11015146389283894500</stp>
        <tr r="W35" s="34"/>
      </tp>
      <tp t="e">
        <v>#N/A</v>
        <stp/>
        <stp>BDH|13315827462800475325</stp>
        <tr r="U53" s="24"/>
      </tp>
      <tp t="e">
        <v>#N/A</v>
        <stp/>
        <stp>BDH|13480438780964265503</stp>
        <tr r="V83" s="18"/>
      </tp>
      <tp t="e">
        <v>#N/A</v>
        <stp/>
        <stp>BDH|14289395389274081574</stp>
        <tr r="Y122" s="12"/>
      </tp>
      <tp t="e">
        <v>#N/A</v>
        <stp/>
        <stp>BDH|15109455604578074754</stp>
        <tr r="H19" s="34"/>
      </tp>
      <tp t="e">
        <v>#N/A</v>
        <stp/>
        <stp>BDH|17222062611721109914</stp>
        <tr r="O28" s="34"/>
      </tp>
      <tp t="e">
        <v>#N/A</v>
        <stp/>
        <stp>BDH|14718637020537766967</stp>
        <tr r="Y7" s="14"/>
      </tp>
      <tp t="e">
        <v>#N/A</v>
        <stp/>
        <stp>BDH|11738631092350575064</stp>
        <tr r="U190" s="18"/>
      </tp>
      <tp t="e">
        <v>#N/A</v>
        <stp/>
        <stp>BDH|14385948772320655464</stp>
        <tr r="G40" s="17"/>
      </tp>
      <tp t="e">
        <v>#N/A</v>
        <stp/>
        <stp>BDH|15174767486664410005</stp>
        <tr r="J44" s="21"/>
      </tp>
      <tp t="e">
        <v>#N/A</v>
        <stp/>
        <stp>BDH|17358540100724637840</stp>
        <tr r="X8" s="22"/>
      </tp>
      <tp t="e">
        <v>#N/A</v>
        <stp/>
        <stp>BDH|11563961668699605980</stp>
        <tr r="T142" s="18"/>
      </tp>
      <tp t="e">
        <v>#N/A</v>
        <stp/>
        <stp>BDH|14019361271156629842</stp>
        <tr r="T8" s="4"/>
      </tp>
      <tp t="e">
        <v>#N/A</v>
        <stp/>
        <stp>BDH|17312940361290569664</stp>
        <tr r="X52" s="24"/>
      </tp>
      <tp t="e">
        <v>#N/A</v>
        <stp/>
        <stp>BDH|12228002695404421166</stp>
        <tr r="U162" s="18"/>
      </tp>
      <tp t="e">
        <v>#N/A</v>
        <stp/>
        <stp>BDH|12588155717018691444</stp>
        <tr r="I46" s="6"/>
        <tr r="I19" s="5"/>
      </tp>
      <tp t="e">
        <v>#N/A</v>
        <stp/>
        <stp>BDH|10222047894112405534</stp>
        <tr r="Y19" s="34"/>
      </tp>
      <tp t="e">
        <v>#N/A</v>
        <stp/>
        <stp>BDH|10268251599701824432</stp>
        <tr r="C83" s="18"/>
      </tp>
      <tp t="e">
        <v>#N/A</v>
        <stp/>
        <stp>BDH|14775261294161954092</stp>
        <tr r="T11" s="28"/>
      </tp>
      <tp t="e">
        <v>#N/A</v>
        <stp/>
        <stp>BDH|14489248800211167944</stp>
        <tr r="Q83" s="12"/>
      </tp>
      <tp t="e">
        <v>#N/A</v>
        <stp/>
        <stp>BDH|15351594451438911374</stp>
        <tr r="C49" s="18"/>
      </tp>
      <tp t="e">
        <v>#N/A</v>
        <stp/>
        <stp>BDH|13752723784930570218</stp>
        <tr r="N103" s="12"/>
      </tp>
      <tp t="e">
        <v>#N/A</v>
        <stp/>
        <stp>BDH|11503608605818356165</stp>
        <tr r="F21" s="12"/>
      </tp>
      <tp t="e">
        <v>#N/A</v>
        <stp/>
        <stp>BDH|17009376315929784200</stp>
        <tr r="Q25" s="14"/>
      </tp>
      <tp t="e">
        <v>#N/A</v>
        <stp/>
        <stp>BDH|16563326026598741136</stp>
        <tr r="M80" s="34"/>
      </tp>
      <tp t="e">
        <v>#N/A</v>
        <stp/>
        <stp>BDH|14501579776139461159</stp>
        <tr r="L88" s="12"/>
      </tp>
      <tp t="e">
        <v>#N/A</v>
        <stp/>
        <stp>BDH|12807542290332956203</stp>
        <tr r="N49" s="21"/>
      </tp>
      <tp t="e">
        <v>#N/A</v>
        <stp/>
        <stp>BDH|18285599888978679308</stp>
        <tr r="M11" s="7"/>
      </tp>
      <tp t="e">
        <v>#N/A</v>
        <stp/>
        <stp>BDH|11220243024669119660</stp>
        <tr r="W52" s="24"/>
      </tp>
      <tp t="e">
        <v>#N/A</v>
        <stp/>
        <stp>BDH|10244622989791872140</stp>
        <tr r="N18" s="9"/>
      </tp>
      <tp t="e">
        <v>#N/A</v>
        <stp/>
        <stp>BDH|12440873793538745520</stp>
        <tr r="T7" s="30"/>
      </tp>
      <tp t="e">
        <v>#N/A</v>
        <stp/>
        <stp>BDH|13054645389066940512</stp>
        <tr r="Q44" s="11"/>
        <tr r="Q53" s="10"/>
        <tr r="Q16" s="7"/>
      </tp>
      <tp t="e">
        <v>#N/A</v>
        <stp/>
        <stp>BDH|13524369116436016908</stp>
        <tr r="G163" s="18"/>
      </tp>
      <tp t="e">
        <v>#N/A</v>
        <stp/>
        <stp>BDH|10709740998963785397</stp>
        <tr r="D18" s="12"/>
      </tp>
      <tp t="e">
        <v>#N/A</v>
        <stp/>
        <stp>BDH|16008177962029253626</stp>
        <tr r="J66" s="17"/>
      </tp>
      <tp t="e">
        <v>#N/A</v>
        <stp/>
        <stp>BDH|13418017806839223457</stp>
        <tr r="O88" s="18"/>
      </tp>
      <tp t="e">
        <v>#N/A</v>
        <stp/>
        <stp>BDH|14161924630748383846</stp>
        <tr r="D38" s="34"/>
      </tp>
      <tp t="e">
        <v>#N/A</v>
        <stp/>
        <stp>BDH|14340893826321167198</stp>
        <tr r="T13" s="13"/>
      </tp>
      <tp t="e">
        <v>#N/A</v>
        <stp/>
        <stp>BDH|12756170182283547639</stp>
        <tr r="I78" s="34"/>
      </tp>
      <tp t="e">
        <v>#N/A</v>
        <stp/>
        <stp>BDH|15522037584991028264</stp>
        <tr r="Z105" s="18"/>
      </tp>
      <tp t="e">
        <v>#N/A</v>
        <stp/>
        <stp>BDH|13746623005829426207</stp>
        <tr r="O45" s="24"/>
      </tp>
      <tp t="e">
        <v>#N/A</v>
        <stp/>
        <stp>BDH|17838046481818020996</stp>
        <tr r="K8" s="34"/>
      </tp>
      <tp t="e">
        <v>#N/A</v>
        <stp/>
        <stp>BDH|13676969691884273978</stp>
        <tr r="L170" s="18"/>
      </tp>
      <tp t="e">
        <v>#N/A</v>
        <stp/>
        <stp>BDH|10529578801459667211</stp>
        <tr r="S19" s="6"/>
      </tp>
      <tp t="e">
        <v>#N/A</v>
        <stp/>
        <stp>BDH|12846153189593025608</stp>
        <tr r="V203" s="18"/>
      </tp>
      <tp t="e">
        <v>#N/A</v>
        <stp/>
        <stp>BDH|17218341369604279899</stp>
        <tr r="L17" s="20"/>
      </tp>
      <tp t="e">
        <v>#N/A</v>
        <stp/>
        <stp>BDH|12840744948209655668</stp>
        <tr r="J13" s="24"/>
      </tp>
      <tp t="e">
        <v>#N/A</v>
        <stp/>
        <stp>BDH|14585931768741203481</stp>
        <tr r="O101" s="12"/>
      </tp>
      <tp t="e">
        <v>#N/A</v>
        <stp/>
        <stp>BDH|14670358280071760006</stp>
        <tr r="Q86" s="18"/>
      </tp>
      <tp t="e">
        <v>#N/A</v>
        <stp/>
        <stp>BDH|17357085444158383587</stp>
        <tr r="N20" s="26"/>
      </tp>
      <tp t="e">
        <v>#N/A</v>
        <stp/>
        <stp>BDH|12731153701995650811</stp>
        <tr r="V86" s="12"/>
      </tp>
      <tp t="e">
        <v>#N/A</v>
        <stp/>
        <stp>BDH|12700458486781326130</stp>
        <tr r="Z22" s="12"/>
      </tp>
      <tp t="e">
        <v>#N/A</v>
        <stp/>
        <stp>BDH|17932838891470767884</stp>
        <tr r="R19" s="18"/>
      </tp>
      <tp t="e">
        <v>#N/A</v>
        <stp/>
        <stp>BDH|18184555644074072347</stp>
        <tr r="L98" s="17"/>
      </tp>
      <tp t="e">
        <v>#N/A</v>
        <stp/>
        <stp>BDH|17518097981646101783</stp>
        <tr r="N17" s="20"/>
      </tp>
      <tp t="e">
        <v>#N/A</v>
        <stp/>
        <stp>BDH|15140230575167311907</stp>
        <tr r="U26" s="22"/>
      </tp>
      <tp t="e">
        <v>#N/A</v>
        <stp/>
        <stp>BDH|17493012354034214878</stp>
        <tr r="I12" s="26"/>
      </tp>
      <tp t="e">
        <v>#N/A</v>
        <stp/>
        <stp>BDH|11272654447705070841</stp>
        <tr r="V160" s="18"/>
      </tp>
      <tp t="e">
        <v>#N/A</v>
        <stp/>
        <stp>BDH|15041418772519281153</stp>
        <tr r="Z34" s="24"/>
      </tp>
      <tp t="e">
        <v>#N/A</v>
        <stp/>
        <stp>BDH|16939912660594425384</stp>
        <tr r="Q204" s="18"/>
      </tp>
      <tp t="e">
        <v>#N/A</v>
        <stp/>
        <stp>BDH|12855916742576769781</stp>
        <tr r="D27" s="17"/>
      </tp>
      <tp t="e">
        <v>#N/A</v>
        <stp/>
        <stp>BDH|12487040271283732828</stp>
        <tr r="P13" s="20"/>
        <tr r="P122" s="18"/>
      </tp>
      <tp t="e">
        <v>#N/A</v>
        <stp/>
        <stp>BDH|18036651617776079763</stp>
        <tr r="F32" s="11"/>
        <tr r="F41" s="10"/>
      </tp>
      <tp t="e">
        <v>#N/A</v>
        <stp/>
        <stp>BDH|14613238975536480905</stp>
        <tr r="D12" s="25"/>
      </tp>
      <tp t="e">
        <v>#N/A</v>
        <stp/>
        <stp>BDH|15836556689397651162</stp>
        <tr r="H26" s="27"/>
      </tp>
      <tp t="e">
        <v>#N/A</v>
        <stp/>
        <stp>BDH|11354867065397768636</stp>
        <tr r="H79" s="24"/>
      </tp>
      <tp t="e">
        <v>#N/A</v>
        <stp/>
        <stp>BDH|14828361069288096739</stp>
        <tr r="Y27" s="26"/>
      </tp>
      <tp t="e">
        <v>#N/A</v>
        <stp/>
        <stp>BDH|16103928760456752108</stp>
        <tr r="G12" s="27"/>
        <tr r="G26" s="25"/>
      </tp>
      <tp t="e">
        <v>#N/A</v>
        <stp/>
        <stp>BDH|12027757923441161837</stp>
        <tr r="T29" s="6"/>
      </tp>
      <tp t="e">
        <v>#N/A</v>
        <stp/>
        <stp>BDH|11891652222143880832</stp>
        <tr r="S104" s="12"/>
      </tp>
      <tp t="e">
        <v>#N/A</v>
        <stp/>
        <stp>BDH|12984547116879805177</stp>
        <tr r="C49" s="12"/>
      </tp>
      <tp t="e">
        <v>#N/A</v>
        <stp/>
        <stp>BDH|13816017382654737183</stp>
        <tr r="Z137" s="18"/>
      </tp>
      <tp t="e">
        <v>#N/A</v>
        <stp/>
        <stp>BDH|10374337119045847954</stp>
        <tr r="W64" s="11"/>
        <tr r="W73" s="10"/>
      </tp>
      <tp t="e">
        <v>#N/A</v>
        <stp/>
        <stp>BDH|13792254897544963289</stp>
        <tr r="H17" s="30"/>
      </tp>
      <tp t="e">
        <v>#N/A</v>
        <stp/>
        <stp>BDH|14123799253859709185</stp>
        <tr r="P19" s="34"/>
      </tp>
      <tp t="e">
        <v>#N/A</v>
        <stp/>
        <stp>BDH|11221923432911090467</stp>
        <tr r="V52" s="18"/>
      </tp>
      <tp t="e">
        <v>#N/A</v>
        <stp/>
        <stp>BDH|17731152563067673930</stp>
        <tr r="J9" s="6"/>
      </tp>
      <tp t="e">
        <v>#N/A</v>
        <stp/>
        <stp>BDH|10667887053176954500</stp>
        <tr r="Y48" s="12"/>
      </tp>
      <tp t="e">
        <v>#N/A</v>
        <stp/>
        <stp>BDH|14330167520338941186</stp>
        <tr r="I18" s="27"/>
        <tr r="I32" s="25"/>
      </tp>
      <tp t="e">
        <v>#N/A</v>
        <stp/>
        <stp>BDH|17760192005421731986</stp>
        <tr r="C14" s="20"/>
        <tr r="C123" s="18"/>
      </tp>
      <tp t="e">
        <v>#N/A</v>
        <stp/>
        <stp>BDH|10515219618498838534</stp>
        <tr r="V50" s="13"/>
      </tp>
      <tp t="e">
        <v>#N/A</v>
        <stp/>
        <stp>BDH|12944549427532401993</stp>
        <tr r="W41" s="17"/>
      </tp>
      <tp t="e">
        <v>#N/A</v>
        <stp/>
        <stp>BDH|16294974129123973021</stp>
        <tr r="G205" s="18"/>
      </tp>
      <tp t="e">
        <v>#N/A</v>
        <stp/>
        <stp>BDH|15903214537322898806</stp>
        <tr r="H97" s="12"/>
      </tp>
      <tp t="e">
        <v>#N/A</v>
        <stp/>
        <stp>BDH|13080743601479344313</stp>
        <tr r="F41" s="34"/>
      </tp>
      <tp t="e">
        <v>#N/A</v>
        <stp/>
        <stp>BDH|16208641689615815309</stp>
        <tr r="D30" s="22"/>
      </tp>
      <tp t="e">
        <v>#N/A</v>
        <stp/>
        <stp>BDH|12871092455710092937</stp>
        <tr r="E34" s="13"/>
        <tr r="C27" s="10"/>
      </tp>
      <tp t="e">
        <v>#N/A</v>
        <stp/>
        <stp>BDH|16206913660396460105</stp>
        <tr r="M9" s="22"/>
      </tp>
      <tp t="e">
        <v>#N/A</v>
        <stp/>
        <stp>BDH|17842414194677203385</stp>
        <tr r="Y13" s="11"/>
      </tp>
      <tp t="e">
        <v>#N/A</v>
        <stp/>
        <stp>BDH|11089447282885017614</stp>
        <tr r="K21" s="11"/>
      </tp>
      <tp t="e">
        <v>#N/A</v>
        <stp/>
        <stp>BDH|14639417880870962698</stp>
        <tr r="V202" s="18"/>
      </tp>
      <tp t="e">
        <v>#N/A</v>
        <stp/>
        <stp>BDH|16734664681731665714</stp>
        <tr r="C15" s="23"/>
      </tp>
      <tp t="e">
        <v>#N/A</v>
        <stp/>
        <stp>BDH|16511535893386276202</stp>
        <tr r="G65" s="24"/>
      </tp>
      <tp t="e">
        <v>#N/A</v>
        <stp/>
        <stp>BDH|10831877988787936991</stp>
        <tr r="K119" s="12"/>
      </tp>
      <tp t="e">
        <v>#N/A</v>
        <stp/>
        <stp>BDH|16012301512829403319</stp>
        <tr r="R30" s="22"/>
      </tp>
      <tp t="e">
        <v>#N/A</v>
        <stp/>
        <stp>BDH|11730265977302711864</stp>
        <tr r="M7" s="21"/>
      </tp>
      <tp t="e">
        <v>#N/A</v>
        <stp/>
        <stp>BDH|14747355706949393001</stp>
        <tr r="Z17" s="13"/>
      </tp>
      <tp t="e">
        <v>#N/A</v>
        <stp/>
        <stp>BDH|10881598802899312279</stp>
        <tr r="F52" s="12"/>
      </tp>
      <tp t="e">
        <v>#N/A</v>
        <stp/>
        <stp>BDH|13670052152008363053</stp>
        <tr r="X29" s="13"/>
        <tr r="X16" s="13"/>
        <tr r="V17" s="10"/>
      </tp>
      <tp t="e">
        <v>#N/A</v>
        <stp/>
        <stp>BDH|17820173580086131695</stp>
        <tr r="L62" s="24"/>
      </tp>
      <tp t="e">
        <v>#N/A</v>
        <stp/>
        <stp>BDH|16580432885864371072</stp>
        <tr r="R68" s="13"/>
      </tp>
      <tp t="e">
        <v>#N/A</v>
        <stp/>
        <stp>BDH|17973380117503628877</stp>
        <tr r="AA72" s="12"/>
      </tp>
      <tp t="e">
        <v>#N/A</v>
        <stp/>
        <stp>BDH|14790964274022684642</stp>
        <tr r="AA8" s="12"/>
      </tp>
      <tp t="e">
        <v>#N/A</v>
        <stp/>
        <stp>BDH|16265068193280025108</stp>
        <tr r="C15" s="26"/>
      </tp>
      <tp t="e">
        <v>#N/A</v>
        <stp/>
        <stp>BDH|17930598183115154159</stp>
        <tr r="N101" s="12"/>
      </tp>
      <tp t="e">
        <v>#N/A</v>
        <stp/>
        <stp>BDH|11717774952348609530</stp>
        <tr r="O8" s="11"/>
      </tp>
      <tp t="e">
        <v>#N/A</v>
        <stp/>
        <stp>BDH|15827353289128475871</stp>
        <tr r="X34" s="13"/>
        <tr r="V27" s="10"/>
      </tp>
      <tp t="e">
        <v>#N/A</v>
        <stp/>
        <stp>BDH|18141849674300198972</stp>
        <tr r="K11" s="7"/>
      </tp>
      <tp t="e">
        <v>#N/A</v>
        <stp/>
        <stp>BDH|17286943300747415758</stp>
        <tr r="C13" s="27"/>
        <tr r="C27" s="25"/>
      </tp>
      <tp t="e">
        <v>#N/A</v>
        <stp/>
        <stp>BDH|11096067757602183875</stp>
        <tr r="U24" s="5"/>
      </tp>
      <tp t="e">
        <v>#N/A</v>
        <stp/>
        <stp>BDH|12561541041335737803</stp>
        <tr r="J70" s="17"/>
        <tr r="J18" s="3"/>
      </tp>
      <tp t="e">
        <v>#N/A</v>
        <stp/>
        <stp>BDH|16201177532669341331</stp>
        <tr r="P7" s="27"/>
        <tr r="P95" s="17"/>
      </tp>
      <tp t="e">
        <v>#N/A</v>
        <stp/>
        <stp>BDH|16724061891168416928</stp>
        <tr r="H68" s="13"/>
      </tp>
      <tp t="e">
        <v>#N/A</v>
        <stp/>
        <stp>BDH|17533586176939548283</stp>
        <tr r="T26" s="26"/>
      </tp>
      <tp t="e">
        <v>#N/A</v>
        <stp/>
        <stp>BDH|11036647760498526778</stp>
        <tr r="J163" s="18"/>
      </tp>
      <tp t="e">
        <v>#N/A</v>
        <stp/>
        <stp>BDH|15221192537829828020</stp>
        <tr r="V32" s="22"/>
      </tp>
      <tp t="e">
        <v>#N/A</v>
        <stp/>
        <stp>BDH|10398100592072541427</stp>
        <tr r="G164" s="18"/>
      </tp>
      <tp t="e">
        <v>#N/A</v>
        <stp/>
        <stp>BDH|16210990731950435281</stp>
        <tr r="J11" s="9"/>
      </tp>
      <tp t="e">
        <v>#N/A</v>
        <stp/>
        <stp>BDH|14790771160368434322</stp>
        <tr r="AA174" s="18"/>
      </tp>
      <tp t="e">
        <v>#N/A</v>
        <stp/>
        <stp>BDH|13794616722668227101</stp>
        <tr r="W16" s="20"/>
      </tp>
      <tp t="e">
        <v>#N/A</v>
        <stp/>
        <stp>BDH|12404605401779692352</stp>
        <tr r="N20" s="24"/>
      </tp>
      <tp t="e">
        <v>#N/A</v>
        <stp/>
        <stp>BDH|14071909803381018254</stp>
        <tr r="J8" s="22"/>
      </tp>
      <tp t="e">
        <v>#N/A</v>
        <stp/>
        <stp>BDH|16799427907478767434</stp>
        <tr r="H12" s="14"/>
      </tp>
      <tp t="e">
        <v>#N/A</v>
        <stp/>
        <stp>BDH|14654636727876679823</stp>
        <tr r="S16" s="12"/>
      </tp>
      <tp t="e">
        <v>#N/A</v>
        <stp/>
        <stp>BDH|16187165045295224862</stp>
        <tr r="O9" s="28"/>
      </tp>
      <tp t="e">
        <v>#N/A</v>
        <stp/>
        <stp>BDH|10107825344391208338</stp>
        <tr r="Y23" s="11"/>
      </tp>
      <tp t="e">
        <v>#N/A</v>
        <stp/>
        <stp>BDH|15905187511803017860</stp>
        <tr r="V46" s="22"/>
      </tp>
      <tp t="e">
        <v>#N/A</v>
        <stp/>
        <stp>BDH|16573779489683554480</stp>
        <tr r="M47" s="12"/>
      </tp>
      <tp t="e">
        <v>#N/A</v>
        <stp/>
        <stp>BDH|17498092275626742895</stp>
        <tr r="X77" s="34"/>
      </tp>
      <tp t="e">
        <v>#N/A</v>
        <stp/>
        <stp>BDH|17695543270429123250</stp>
        <tr r="S83" s="24"/>
      </tp>
      <tp t="e">
        <v>#N/A</v>
        <stp/>
        <stp>BDH|17889086376087744976</stp>
        <tr r="M67" s="18"/>
      </tp>
      <tp t="e">
        <v>#N/A</v>
        <stp/>
        <stp>BDH|15742745882724732006</stp>
        <tr r="E55" s="21"/>
      </tp>
      <tp t="e">
        <v>#N/A</v>
        <stp/>
        <stp>BDH|18208138974844018433</stp>
        <tr r="F23" s="20"/>
      </tp>
      <tp t="e">
        <v>#N/A</v>
        <stp/>
        <stp>BDH|11844525709589052353</stp>
        <tr r="G10" s="23"/>
      </tp>
      <tp t="e">
        <v>#N/A</v>
        <stp/>
        <stp>BDH|10709749695310394031</stp>
        <tr r="Q22" s="17"/>
        <tr r="Q15" s="3"/>
      </tp>
      <tp t="e">
        <v>#N/A</v>
        <stp/>
        <stp>BDH|11538895028790532570</stp>
        <tr r="N50" s="13"/>
      </tp>
      <tp t="e">
        <v>#N/A</v>
        <stp/>
        <stp>BDH|12298644336881401827</stp>
        <tr r="J24" s="2"/>
      </tp>
      <tp t="e">
        <v>#N/A</v>
        <stp/>
        <stp>BDH|14512561643682677900</stp>
        <tr r="S58" s="18"/>
      </tp>
      <tp t="e">
        <v>#N/A</v>
        <stp/>
        <stp>BDH|11408823150731776373</stp>
        <tr r="D113" s="12"/>
      </tp>
      <tp t="e">
        <v>#N/A</v>
        <stp/>
        <stp>BDH|11205314650708326161</stp>
        <tr r="V37" s="21"/>
      </tp>
      <tp t="e">
        <v>#N/A</v>
        <stp/>
        <stp>BDH|15835334198514354567</stp>
        <tr r="AA31" s="12"/>
      </tp>
      <tp t="e">
        <v>#N/A</v>
        <stp/>
        <stp>BDH|13472907916703749633</stp>
        <tr r="AA65" s="21"/>
        <tr r="Y23" s="7"/>
      </tp>
      <tp t="e">
        <v>#N/A</v>
        <stp/>
        <stp>BDH|14968553286777966053</stp>
        <tr r="S149" s="18"/>
      </tp>
      <tp t="e">
        <v>#N/A</v>
        <stp/>
        <stp>BDH|10542448286551690377</stp>
        <tr r="V90" s="24"/>
      </tp>
      <tp t="e">
        <v>#N/A</v>
        <stp/>
        <stp>BDH|14759555997895577369</stp>
        <tr r="F19" s="12"/>
      </tp>
      <tp t="e">
        <v>#N/A</v>
        <stp/>
        <stp>BDH|10566997962716186798</stp>
        <tr r="K68" s="34"/>
      </tp>
      <tp t="e">
        <v>#N/A</v>
        <stp/>
        <stp>BDH|17784178872549730630</stp>
        <tr r="J17" s="9"/>
      </tp>
      <tp t="e">
        <v>#N/A</v>
        <stp/>
        <stp>BDH|12478585389162146321</stp>
        <tr r="G52" s="12"/>
      </tp>
      <tp t="e">
        <v>#N/A</v>
        <stp/>
        <stp>BDH|12609920161385117624</stp>
        <tr r="AA38" s="13"/>
        <tr r="Y31" s="10"/>
      </tp>
      <tp t="e">
        <v>#N/A</v>
        <stp/>
        <stp>BDH|18125051640875295704</stp>
        <tr r="U19" s="26"/>
      </tp>
      <tp t="e">
        <v>#N/A</v>
        <stp/>
        <stp>BDH|17030270710159521346</stp>
        <tr r="J35" s="18"/>
      </tp>
      <tp t="e">
        <v>#N/A</v>
        <stp/>
        <stp>BDH|12108419046264297827</stp>
        <tr r="Y32" s="29"/>
        <tr r="W34" s="5"/>
      </tp>
      <tp t="e">
        <v>#N/A</v>
        <stp/>
        <stp>BDH|14543368083821728013</stp>
        <tr r="Y23" s="17"/>
      </tp>
      <tp t="e">
        <v>#N/A</v>
        <stp/>
        <stp>BDH|17400125475526345961</stp>
        <tr r="N28" s="26"/>
      </tp>
      <tp t="e">
        <v>#N/A</v>
        <stp/>
        <stp>BDH|17470866292548195078</stp>
        <tr r="Z25" s="3"/>
      </tp>
      <tp t="e">
        <v>#N/A</v>
        <stp/>
        <stp>BDH|16779056844164727889</stp>
        <tr r="X11" s="29"/>
      </tp>
      <tp t="e">
        <v>#N/A</v>
        <stp/>
        <stp>BDH|12226316489381794644</stp>
        <tr r="V47" s="18"/>
      </tp>
      <tp t="e">
        <v>#N/A</v>
        <stp/>
        <stp>BDH|18099037139660454577</stp>
        <tr r="U111" s="12"/>
      </tp>
      <tp t="e">
        <v>#N/A</v>
        <stp/>
        <stp>BDH|11130183082776547079</stp>
        <tr r="W11" s="20"/>
        <tr r="W120" s="18"/>
      </tp>
      <tp t="e">
        <v>#N/A</v>
        <stp/>
        <stp>BDH|17967732236605722829</stp>
        <tr r="P74" s="17"/>
      </tp>
      <tp t="e">
        <v>#N/A</v>
        <stp/>
        <stp>BDH|14965469296540950796</stp>
        <tr r="Q78" s="12"/>
      </tp>
      <tp t="e">
        <v>#N/A</v>
        <stp/>
        <stp>BDH|15974770066139974389</stp>
        <tr r="Y63" s="12"/>
      </tp>
      <tp t="e">
        <v>#N/A</v>
        <stp/>
        <stp>BDH|12434949768056759561</stp>
        <tr r="G93" s="18"/>
      </tp>
      <tp t="e">
        <v>#N/A</v>
        <stp/>
        <stp>BDH|10820295212155391891</stp>
        <tr r="Y69" s="18"/>
      </tp>
      <tp t="e">
        <v>#N/A</v>
        <stp/>
        <stp>BDH|18335802447833853952</stp>
        <tr r="I72" s="12"/>
      </tp>
      <tp t="e">
        <v>#N/A</v>
        <stp/>
        <stp>BDH|10237709089040750151</stp>
        <tr r="E102" s="18"/>
      </tp>
      <tp t="e">
        <v>#N/A</v>
        <stp/>
        <stp>BDH|13283184982253717762</stp>
        <tr r="J104" s="12"/>
      </tp>
      <tp t="e">
        <v>#N/A</v>
        <stp/>
        <stp>BDH|18186577139257734713</stp>
        <tr r="R27" s="18"/>
      </tp>
      <tp t="e">
        <v>#N/A</v>
        <stp/>
        <stp>BDH|17188880011119140901</stp>
        <tr r="L32" s="17"/>
      </tp>
      <tp t="e">
        <v>#N/A</v>
        <stp/>
        <stp>BDH|11661888280218785708</stp>
        <tr r="C13" s="8"/>
      </tp>
      <tp t="e">
        <v>#N/A</v>
        <stp/>
        <stp>BDH|15118194459977999816</stp>
        <tr r="K48" s="17"/>
      </tp>
      <tp t="e">
        <v>#N/A</v>
        <stp/>
        <stp>BDH|13752058127518538799</stp>
        <tr r="R59" s="34"/>
      </tp>
      <tp t="e">
        <v>#N/A</v>
        <stp/>
        <stp>BDH|18025672437450971301</stp>
        <tr r="E69" s="34"/>
      </tp>
      <tp t="e">
        <v>#N/A</v>
        <stp/>
        <stp>BDH|12989766391635292750</stp>
        <tr r="O38" s="24"/>
      </tp>
      <tp t="e">
        <v>#N/A</v>
        <stp/>
        <stp>BDH|12754418825343966938</stp>
        <tr r="Y18" s="26"/>
      </tp>
      <tp t="e">
        <v>#N/A</v>
        <stp/>
        <stp>BDH|14705762269199135207</stp>
        <tr r="X46" s="18"/>
      </tp>
      <tp t="e">
        <v>#N/A</v>
        <stp/>
        <stp>BDH|15672335761797804953</stp>
        <tr r="J16" s="27"/>
        <tr r="J30" s="25"/>
      </tp>
      <tp t="e">
        <v>#N/A</v>
        <stp/>
        <stp>BDH|11101057248252625931</stp>
        <tr r="W6" s="8"/>
        <tr r="U51" s="6"/>
      </tp>
      <tp t="e">
        <v>#N/A</v>
        <stp/>
        <stp>BDH|15645865647831851669</stp>
        <tr r="Y43" s="21"/>
      </tp>
      <tp t="e">
        <v>#N/A</v>
        <stp/>
        <stp>BDH|12648350952199119390</stp>
        <tr r="C21" s="34"/>
      </tp>
      <tp t="e">
        <v>#N/A</v>
        <stp/>
        <stp>BDH|11936246157109394116</stp>
        <tr r="V56" s="11"/>
        <tr r="V24" s="4"/>
      </tp>
      <tp t="e">
        <v>#N/A</v>
        <stp/>
        <stp>BDH|10803858365405009506</stp>
        <tr r="W148" s="18"/>
      </tp>
      <tp t="e">
        <v>#N/A</v>
        <stp/>
        <stp>BDH|16967173097912055213</stp>
        <tr r="K49" s="12"/>
      </tp>
      <tp t="e">
        <v>#N/A</v>
        <stp/>
        <stp>BDH|11383428014593846958</stp>
        <tr r="M109" s="12"/>
      </tp>
      <tp t="e">
        <v>#N/A</v>
        <stp/>
        <stp>BDH|13044819338557458154</stp>
        <tr r="I99" s="18"/>
      </tp>
      <tp t="e">
        <v>#N/A</v>
        <stp/>
        <stp>BDH|11753275789306286332</stp>
        <tr r="C19" s="18"/>
      </tp>
      <tp t="e">
        <v>#N/A</v>
        <stp/>
        <stp>BDH|18140938905937846879</stp>
        <tr r="L51" s="13"/>
      </tp>
      <tp t="e">
        <v>#N/A</v>
        <stp/>
        <stp>BDH|12330846574137249498</stp>
        <tr r="X11" s="22"/>
      </tp>
      <tp t="e">
        <v>#N/A</v>
        <stp/>
        <stp>BDH|10961943972933775303</stp>
        <tr r="R18" s="13"/>
      </tp>
      <tp t="e">
        <v>#N/A</v>
        <stp/>
        <stp>BDH|13703544399891712052</stp>
        <tr r="U97" s="12"/>
      </tp>
      <tp t="e">
        <v>#N/A</v>
        <stp/>
        <stp>BDH|14576540406619868679</stp>
        <tr r="X23" s="21"/>
      </tp>
      <tp t="e">
        <v>#N/A</v>
        <stp/>
        <stp>BDH|16599928481999851063</stp>
        <tr r="J134" s="18"/>
      </tp>
      <tp t="e">
        <v>#N/A</v>
        <stp/>
        <stp>BDH|14124363136218157288</stp>
        <tr r="U12" s="27"/>
        <tr r="U26" s="25"/>
      </tp>
      <tp t="e">
        <v>#N/A</v>
        <stp/>
        <stp>BDH|10229420958206572959</stp>
        <tr r="N18" s="20"/>
      </tp>
      <tp t="e">
        <v>#N/A</v>
        <stp/>
        <stp>BDH|12001811741646938619</stp>
        <tr r="N165" s="18"/>
      </tp>
      <tp t="e">
        <v>#N/A</v>
        <stp/>
        <stp>BDH|13382217882386985119</stp>
        <tr r="W36" s="12"/>
      </tp>
      <tp t="e">
        <v>#N/A</v>
        <stp/>
        <stp>BDH|12150779353149826752</stp>
        <tr r="Y7" s="4"/>
      </tp>
      <tp t="e">
        <v>#N/A</v>
        <stp/>
        <stp>BDH|12616572955454831848</stp>
        <tr r="N56" s="18"/>
      </tp>
      <tp t="e">
        <v>#N/A</v>
        <stp/>
        <stp>BDH|14867413997521186674</stp>
        <tr r="O102" s="12"/>
      </tp>
      <tp t="e">
        <v>#N/A</v>
        <stp/>
        <stp>BDH|12384190432609027700</stp>
        <tr r="S37" s="21"/>
      </tp>
      <tp t="e">
        <v>#N/A</v>
        <stp/>
        <stp>BDH|15898825294899193371</stp>
        <tr r="F68" s="34"/>
      </tp>
      <tp t="e">
        <v>#N/A</v>
        <stp/>
        <stp>BDH|17358234587056716583</stp>
        <tr r="E25" s="11"/>
        <tr r="E34" s="10"/>
      </tp>
      <tp t="e">
        <v>#N/A</v>
        <stp/>
        <stp>BDH|12166395982386172135</stp>
        <tr r="N43" s="13"/>
        <tr r="L35" s="11"/>
        <tr r="L44" s="10"/>
        <tr r="L52" s="4"/>
        <tr r="N8" s="3"/>
      </tp>
      <tp t="e">
        <v>#N/A</v>
        <stp/>
        <stp>BDH|10804156181832640528</stp>
        <tr r="W73" s="17"/>
      </tp>
      <tp t="e">
        <v>#N/A</v>
        <stp/>
        <stp>BDH|12815272491184057366</stp>
        <tr r="AA24" s="21"/>
      </tp>
      <tp t="e">
        <v>#N/A</v>
        <stp/>
        <stp>BDH|14467902294272847802</stp>
        <tr r="J13" s="11"/>
      </tp>
      <tp t="e">
        <v>#N/A</v>
        <stp/>
        <stp>BDH|15214514596303819450</stp>
        <tr r="T25" s="10"/>
      </tp>
      <tp t="e">
        <v>#N/A</v>
        <stp/>
        <stp>BDH|17445082752159083569</stp>
        <tr r="C55" s="18"/>
      </tp>
      <tp t="e">
        <v>#N/A</v>
        <stp/>
        <stp>BDH|16742106231888848268</stp>
        <tr r="L45" s="13"/>
        <tr r="J29" s="11"/>
        <tr r="J38" s="10"/>
      </tp>
      <tp t="e">
        <v>#N/A</v>
        <stp/>
        <stp>BDH|12422554289477522655</stp>
        <tr r="S39" s="22"/>
      </tp>
      <tp t="e">
        <v>#N/A</v>
        <stp/>
        <stp>BDH|13200518100959952121</stp>
        <tr r="T71" s="17"/>
        <tr r="Q8" s="9"/>
        <tr r="Q8" s="5"/>
      </tp>
      <tp t="e">
        <v>#N/A</v>
        <stp/>
        <stp>BDH|13760822148652366361</stp>
        <tr r="G41" s="29"/>
        <tr r="G18" s="29"/>
      </tp>
      <tp t="e">
        <v>#N/A</v>
        <stp/>
        <stp>BDH|16449090313051102870</stp>
        <tr r="W91" s="24"/>
      </tp>
      <tp t="e">
        <v>#N/A</v>
        <stp/>
        <stp>BDH|17979144380753313361</stp>
        <tr r="T50" s="4"/>
      </tp>
      <tp t="e">
        <v>#N/A</v>
        <stp/>
        <stp>BDH|18404138987227966818</stp>
        <tr r="X67" s="10"/>
      </tp>
      <tp t="e">
        <v>#N/A</v>
        <stp/>
        <stp>BDH|16311797210258343614</stp>
        <tr r="I8" s="12"/>
      </tp>
      <tp t="e">
        <v>#N/A</v>
        <stp/>
        <stp>BDH|16481874428150596260</stp>
        <tr r="K43" s="12"/>
      </tp>
      <tp t="e">
        <v>#N/A</v>
        <stp/>
        <stp>BDH|14918127045399087656</stp>
        <tr r="J93" s="24"/>
      </tp>
      <tp t="e">
        <v>#N/A</v>
        <stp/>
        <stp>BDH|10844698817650884958</stp>
        <tr r="U80" s="17"/>
        <tr r="U19" s="3"/>
      </tp>
      <tp t="e">
        <v>#N/A</v>
        <stp/>
        <stp>BDH|15842468070188145043</stp>
        <tr r="N6" s="19"/>
        <tr r="N37" s="17"/>
        <tr r="N16" s="3"/>
      </tp>
      <tp t="e">
        <v>#N/A</v>
        <stp/>
        <stp>BDH|10485176699134748261</stp>
        <tr r="P45" s="22"/>
      </tp>
      <tp t="e">
        <v>#N/A</v>
        <stp/>
        <stp>BDH|13348597355158799531</stp>
        <tr r="M31" s="5"/>
      </tp>
      <tp t="e">
        <v>#N/A</v>
        <stp/>
        <stp>BDH|13205023725296897961</stp>
        <tr r="P47" s="12"/>
      </tp>
      <tp t="e">
        <v>#N/A</v>
        <stp/>
        <stp>BDH|13581900136880187790</stp>
        <tr r="E39" s="25"/>
        <tr r="E22" s="13"/>
        <tr r="E7" s="13"/>
        <tr r="C17" s="11"/>
        <tr r="E7" s="3"/>
      </tp>
      <tp t="e">
        <v>#N/A</v>
        <stp/>
        <stp>BDH|18082989180821349605</stp>
        <tr r="Z64" s="17"/>
      </tp>
      <tp t="e">
        <v>#N/A</v>
        <stp/>
        <stp>BDH|16678677638985593878</stp>
        <tr r="N21" s="4"/>
      </tp>
      <tp t="e">
        <v>#N/A</v>
        <stp/>
        <stp>BDH|17230157739882366965</stp>
        <tr r="O18" s="21"/>
      </tp>
      <tp t="e">
        <v>#N/A</v>
        <stp/>
        <stp>BDH|15707922997923964802</stp>
        <tr r="U16" s="22"/>
      </tp>
      <tp t="e">
        <v>#N/A</v>
        <stp/>
        <stp>BDH|10966762495853632370</stp>
        <tr r="L49" s="18"/>
      </tp>
      <tp t="e">
        <v>#N/A</v>
        <stp/>
        <stp>BDH|18218321774580692292</stp>
        <tr r="N7" s="27"/>
        <tr r="N95" s="17"/>
      </tp>
      <tp t="e">
        <v>#N/A</v>
        <stp/>
        <stp>BDH|13939755897254898780</stp>
        <tr r="N11" s="14"/>
      </tp>
      <tp t="e">
        <v>#N/A</v>
        <stp/>
        <stp>BDH|10372116774549992140</stp>
        <tr r="S16" s="21"/>
      </tp>
      <tp t="e">
        <v>#N/A</v>
        <stp/>
        <stp>BDH|14911626690597002201</stp>
        <tr r="Q44" s="18"/>
      </tp>
      <tp t="e">
        <v>#N/A</v>
        <stp/>
        <stp>BDH|14430828968872157644</stp>
        <tr r="W18" s="28"/>
        <tr r="W15" s="17"/>
      </tp>
      <tp t="e">
        <v>#N/A</v>
        <stp/>
        <stp>BDH|10953964703884788303</stp>
        <tr r="S26" s="27"/>
      </tp>
      <tp t="e">
        <v>#N/A</v>
        <stp/>
        <stp>BDH|14003893719676344583</stp>
        <tr r="U58" s="34"/>
      </tp>
      <tp t="e">
        <v>#N/A</v>
        <stp/>
        <stp>BDH|17036496525739577627</stp>
        <tr r="N6" s="28"/>
      </tp>
      <tp t="e">
        <v>#N/A</v>
        <stp/>
        <stp>BDH|12470822334521032691</stp>
        <tr r="R40" s="13"/>
        <tr r="P24" s="10"/>
        <tr r="P46" s="4"/>
      </tp>
      <tp t="e">
        <v>#N/A</v>
        <stp/>
        <stp>BDH|10651873392286836906</stp>
        <tr r="I80" s="18"/>
      </tp>
      <tp t="e">
        <v>#N/A</v>
        <stp/>
        <stp>BDH|16619519748018301179</stp>
        <tr r="Y19" s="10"/>
      </tp>
      <tp t="e">
        <v>#N/A</v>
        <stp/>
        <stp>BDH|12239630249466311806</stp>
        <tr r="K16" s="12"/>
      </tp>
      <tp t="e">
        <v>#N/A</v>
        <stp/>
        <stp>BDH|18228963769421546831</stp>
        <tr r="I75" s="12"/>
      </tp>
      <tp t="e">
        <v>#N/A</v>
        <stp/>
        <stp>BDH|12251946266156937521</stp>
        <tr r="K18" s="13"/>
      </tp>
      <tp t="e">
        <v>#N/A</v>
        <stp/>
        <stp>BDH|17299728793346025187</stp>
        <tr r="E91" s="18"/>
      </tp>
      <tp t="e">
        <v>#N/A</v>
        <stp/>
        <stp>BDH|13008834214883526799</stp>
        <tr r="W91" s="17"/>
      </tp>
      <tp t="e">
        <v>#N/A</v>
        <stp/>
        <stp>BDH|11720467180963828028</stp>
        <tr r="F24" s="20"/>
      </tp>
      <tp t="e">
        <v>#N/A</v>
        <stp/>
        <stp>BDH|15348995218377069490</stp>
        <tr r="Z91" s="18"/>
      </tp>
      <tp t="e">
        <v>#N/A</v>
        <stp/>
        <stp>BDH|14392660293565419086</stp>
        <tr r="R33" s="34"/>
      </tp>
      <tp t="e">
        <v>#N/A</v>
        <stp/>
        <stp>BDH|14135542757958107293</stp>
        <tr r="X63" s="17"/>
      </tp>
      <tp t="e">
        <v>#N/A</v>
        <stp/>
        <stp>BDH|10549559488545562674</stp>
        <tr r="W13" s="18"/>
      </tp>
      <tp t="e">
        <v>#N/A</v>
        <stp/>
        <stp>BDH|16079981127583332069</stp>
        <tr r="O39" s="24"/>
      </tp>
      <tp t="e">
        <v>#N/A</v>
        <stp/>
        <stp>BDH|18034754065525834228</stp>
        <tr r="D38" s="25"/>
      </tp>
      <tp t="e">
        <v>#N/A</v>
        <stp/>
        <stp>BDH|16158493175499425238</stp>
        <tr r="AA92" s="17"/>
      </tp>
      <tp t="e">
        <v>#N/A</v>
        <stp/>
        <stp>BDH|11050485844586590934</stp>
        <tr r="L80" s="12"/>
      </tp>
      <tp t="e">
        <v>#N/A</v>
        <stp/>
        <stp>BDH|15193344270237661896</stp>
        <tr r="D29" s="6"/>
      </tp>
      <tp t="e">
        <v>#N/A</v>
        <stp/>
        <stp>BDH|10779460239409654048</stp>
        <tr r="O52" s="18"/>
      </tp>
      <tp t="e">
        <v>#N/A</v>
        <stp/>
        <stp>BDH|11031559164459311581</stp>
        <tr r="K200" s="18"/>
      </tp>
      <tp t="e">
        <v>#N/A</v>
        <stp/>
        <stp>BDH|10254056150272963949</stp>
        <tr r="C86" s="17"/>
      </tp>
      <tp t="e">
        <v>#N/A</v>
        <stp/>
        <stp>BDH|11097492258307308985</stp>
        <tr r="E23" s="30"/>
        <tr r="E25" s="23"/>
      </tp>
      <tp t="e">
        <v>#N/A</v>
        <stp/>
        <stp>BDH|13202406246379843462</stp>
        <tr r="O96" s="18"/>
      </tp>
      <tp t="e">
        <v>#N/A</v>
        <stp/>
        <stp>BDH|14942130362234572972</stp>
        <tr r="W17" s="13"/>
      </tp>
      <tp t="e">
        <v>#N/A</v>
        <stp/>
        <stp>BDH|17957474162489375250</stp>
        <tr r="F111" s="18"/>
      </tp>
      <tp t="e">
        <v>#N/A</v>
        <stp/>
        <stp>BDH|14975790294451796598</stp>
        <tr r="M11" s="24"/>
      </tp>
      <tp t="e">
        <v>#N/A</v>
        <stp/>
        <stp>BDH|16997848324030767245</stp>
        <tr r="X13" s="18"/>
      </tp>
      <tp t="e">
        <v>#N/A</v>
        <stp/>
        <stp>BDH|16202990557212374657</stp>
        <tr r="M54" s="17"/>
        <tr r="M17" s="3"/>
      </tp>
      <tp t="e">
        <v>#N/A</v>
        <stp/>
        <stp>BDH|18135031810523925414</stp>
        <tr r="T9" s="6"/>
      </tp>
      <tp t="e">
        <v>#N/A</v>
        <stp/>
        <stp>BDH|15604293436302394808</stp>
        <tr r="U8" s="20"/>
        <tr r="U118" s="18"/>
      </tp>
      <tp t="e">
        <v>#N/A</v>
        <stp/>
        <stp>BDH|10335293984037730333</stp>
        <tr r="K30" s="24"/>
      </tp>
      <tp t="e">
        <v>#N/A</v>
        <stp/>
        <stp>BDH|15674673664529704281</stp>
        <tr r="O49" s="13"/>
      </tp>
      <tp t="e">
        <v>#N/A</v>
        <stp/>
        <stp>BDH|16872637675400245967</stp>
        <tr r="U21" s="4"/>
      </tp>
      <tp t="e">
        <v>#N/A</v>
        <stp/>
        <stp>BDH|14755026596745164685</stp>
        <tr r="N39" s="26"/>
      </tp>
      <tp t="e">
        <v>#N/A</v>
        <stp/>
        <stp>BDH|17683590992873558623</stp>
        <tr r="N53" s="18"/>
      </tp>
      <tp t="e">
        <v>#N/A</v>
        <stp/>
        <stp>BDH|15837855656631930785</stp>
        <tr r="D68" s="34"/>
      </tp>
      <tp t="e">
        <v>#N/A</v>
        <stp/>
        <stp>BDH|15975548370008504129</stp>
        <tr r="R38" s="13"/>
        <tr r="P31" s="10"/>
      </tp>
      <tp t="e">
        <v>#N/A</v>
        <stp/>
        <stp>BDH|14742231285175351584</stp>
        <tr r="G34" s="12"/>
      </tp>
      <tp t="e">
        <v>#N/A</v>
        <stp/>
        <stp>BDH|11364708497357685680</stp>
        <tr r="W42" s="24"/>
      </tp>
      <tp t="e">
        <v>#N/A</v>
        <stp/>
        <stp>BDH|15184896316331097341</stp>
        <tr r="H63" s="17"/>
      </tp>
      <tp t="e">
        <v>#N/A</v>
        <stp/>
        <stp>BDH|14020986670353741757</stp>
        <tr r="C35" s="12"/>
      </tp>
      <tp t="e">
        <v>#N/A</v>
        <stp/>
        <stp>BDH|16039789674320338821</stp>
        <tr r="W63" s="13"/>
      </tp>
      <tp t="e">
        <v>#N/A</v>
        <stp/>
        <stp>BDH|11483248143849767095</stp>
        <tr r="F16" s="22"/>
      </tp>
      <tp t="e">
        <v>#N/A</v>
        <stp/>
        <stp>BDH|17415917648840307435</stp>
        <tr r="L86" s="12"/>
      </tp>
      <tp t="e">
        <v>#N/A</v>
        <stp/>
        <stp>BDH|16179974152254982003</stp>
        <tr r="I42" s="34"/>
      </tp>
      <tp t="e">
        <v>#N/A</v>
        <stp/>
        <stp>BDH|18294759055246808278</stp>
        <tr r="AA26" s="22"/>
      </tp>
      <tp t="e">
        <v>#N/A</v>
        <stp/>
        <stp>BDH|17217391818513798894</stp>
        <tr r="K22" s="7"/>
      </tp>
      <tp t="e">
        <v>#N/A</v>
        <stp/>
        <stp>BDH|10029115584476844108</stp>
        <tr r="S16" s="24"/>
      </tp>
      <tp t="e">
        <v>#N/A</v>
        <stp/>
        <stp>BDH|14525009457756912962</stp>
        <tr r="P46" s="11"/>
        <tr r="P55" s="10"/>
        <tr r="P7" s="7"/>
        <tr r="R12" s="3"/>
      </tp>
      <tp t="e">
        <v>#N/A</v>
        <stp/>
        <stp>BDH|18176499424158375826</stp>
        <tr r="D34" s="14"/>
      </tp>
      <tp t="e">
        <v>#N/A</v>
        <stp/>
        <stp>BDH|15572108697275968666</stp>
        <tr r="I55" s="12"/>
      </tp>
      <tp t="e">
        <v>#N/A</v>
        <stp/>
        <stp>BDH|14794827879145808092</stp>
        <tr r="W33" s="34"/>
      </tp>
      <tp t="e">
        <v>#N/A</v>
        <stp/>
        <stp>BDH|14819740935376281866</stp>
        <tr r="G19" s="13"/>
        <tr r="E62" s="10"/>
        <tr r="E32" s="4"/>
        <tr r="E16" s="2"/>
      </tp>
      <tp t="e">
        <v>#N/A</v>
        <stp/>
        <stp>BDH|17879477119209969528</stp>
        <tr r="Q9" s="13"/>
      </tp>
      <tp t="e">
        <v>#N/A</v>
        <stp/>
        <stp>BDH|10942444745436418816</stp>
        <tr r="S9" s="14"/>
      </tp>
      <tp t="e">
        <v>#N/A</v>
        <stp/>
        <stp>BDH|17395285932719295161</stp>
        <tr r="L47" s="21"/>
      </tp>
      <tp t="e">
        <v>#N/A</v>
        <stp/>
        <stp>BDH|14465989054864208274</stp>
        <tr r="Z24" s="18"/>
      </tp>
      <tp t="e">
        <v>#N/A</v>
        <stp/>
        <stp>BDH|11802251443920791942</stp>
        <tr r="L198" s="18"/>
      </tp>
      <tp t="e">
        <v>#N/A</v>
        <stp/>
        <stp>BDH|17916135635669388218</stp>
        <tr r="H30" s="24"/>
      </tp>
      <tp t="e">
        <v>#N/A</v>
        <stp/>
        <stp>BDH|15638848510912762084</stp>
        <tr r="G6" s="20"/>
        <tr r="G116" s="18"/>
      </tp>
      <tp t="e">
        <v>#N/A</v>
        <stp/>
        <stp>BDH|17941232979658617481</stp>
        <tr r="AA53" s="17"/>
      </tp>
      <tp t="e">
        <v>#N/A</v>
        <stp/>
        <stp>BDH|14453985102351641250</stp>
        <tr r="O54" s="12"/>
      </tp>
      <tp t="e">
        <v>#N/A</v>
        <stp/>
        <stp>BDH|15614734816748807564</stp>
        <tr r="X37" s="34"/>
      </tp>
      <tp t="e">
        <v>#N/A</v>
        <stp/>
        <stp>BDH|15430988932783489272</stp>
        <tr r="R41" s="18"/>
      </tp>
      <tp t="e">
        <v>#N/A</v>
        <stp/>
        <stp>BDH|13011979662951806307</stp>
        <tr r="AA41" s="22"/>
      </tp>
      <tp t="e">
        <v>#N/A</v>
        <stp/>
        <stp>BDH|16706685956543569810</stp>
        <tr r="W12" s="11"/>
      </tp>
      <tp t="e">
        <v>#N/A</v>
        <stp/>
        <stp>BDH|17007670346128402384</stp>
        <tr r="F173" s="18"/>
      </tp>
      <tp t="e">
        <v>#N/A</v>
        <stp/>
        <stp>BDH|13571180594773613624</stp>
        <tr r="W21" s="10"/>
      </tp>
      <tp t="e">
        <v>#N/A</v>
        <stp/>
        <stp>BDH|15948859136244786403</stp>
        <tr r="I103" s="12"/>
      </tp>
      <tp t="e">
        <v>#N/A</v>
        <stp/>
        <stp>BDH|12825939006320968585</stp>
        <tr r="Z127" s="12"/>
      </tp>
      <tp t="e">
        <v>#N/A</v>
        <stp/>
        <stp>BDH|12558531594337890765</stp>
        <tr r="M33" s="34"/>
      </tp>
      <tp t="e">
        <v>#N/A</v>
        <stp/>
        <stp>BDH|10295253303598068483</stp>
        <tr r="D74" s="24"/>
      </tp>
      <tp t="e">
        <v>#N/A</v>
        <stp/>
        <stp>BDH|11569819479752965286</stp>
        <tr r="X35" s="34"/>
      </tp>
      <tp t="e">
        <v>#N/A</v>
        <stp/>
        <stp>BDH|17797434958001367933</stp>
        <tr r="T105" s="12"/>
      </tp>
      <tp t="e">
        <v>#N/A</v>
        <stp/>
        <stp>BDH|13891600055077133902</stp>
        <tr r="G23" s="13"/>
      </tp>
      <tp t="e">
        <v>#N/A</v>
        <stp/>
        <stp>BDH|15803296491119997951</stp>
        <tr r="E27" s="7"/>
      </tp>
      <tp t="e">
        <v>#N/A</v>
        <stp/>
        <stp>BDH|14837067846067696923</stp>
        <tr r="C28" s="21"/>
      </tp>
      <tp t="e">
        <v>#N/A</v>
        <stp/>
        <stp>BDH|16593321842218812716</stp>
        <tr r="G64" s="21"/>
      </tp>
      <tp t="e">
        <v>#N/A</v>
        <stp/>
        <stp>BDH|11755166098440691732</stp>
        <tr r="P23" s="6"/>
      </tp>
      <tp t="e">
        <v>#N/A</v>
        <stp/>
        <stp>BDH|10303866740767980505</stp>
        <tr r="O82" s="12"/>
      </tp>
      <tp t="e">
        <v>#N/A</v>
        <stp/>
        <stp>BDH|10537091883615070330</stp>
        <tr r="O67" s="21"/>
      </tp>
      <tp t="e">
        <v>#N/A</v>
        <stp/>
        <stp>BDH|14615100163455173881</stp>
        <tr r="X96" s="12"/>
      </tp>
      <tp t="e">
        <v>#N/A</v>
        <stp/>
        <stp>BDH|16758993442604239121</stp>
        <tr r="F22" s="22"/>
      </tp>
      <tp t="e">
        <v>#N/A</v>
        <stp/>
        <stp>BDH|15701802064015860076</stp>
        <tr r="L47" s="12"/>
      </tp>
      <tp t="e">
        <v>#N/A</v>
        <stp/>
        <stp>BDH|12626954829081057663</stp>
        <tr r="O32" s="6"/>
      </tp>
      <tp t="e">
        <v>#N/A</v>
        <stp/>
        <stp>BDH|10558804555745469680</stp>
        <tr r="L62" s="17"/>
      </tp>
      <tp t="e">
        <v>#N/A</v>
        <stp/>
        <stp>BDH|16013640604148941654</stp>
        <tr r="T78" s="24"/>
      </tp>
      <tp t="e">
        <v>#N/A</v>
        <stp/>
        <stp>BDH|14276075528939748168</stp>
        <tr r="Q175" s="18"/>
      </tp>
      <tp t="e">
        <v>#N/A</v>
        <stp/>
        <stp>BDH|11620237957900639888</stp>
        <tr r="D17" s="14"/>
      </tp>
      <tp t="e">
        <v>#N/A</v>
        <stp/>
        <stp>BDH|14627880100464082629</stp>
        <tr r="F46" s="11"/>
        <tr r="F55" s="10"/>
        <tr r="F7" s="7"/>
        <tr r="H12" s="3"/>
      </tp>
      <tp t="e">
        <v>#N/A</v>
        <stp/>
        <stp>BDH|17410608308377080806</stp>
        <tr r="S18" s="12"/>
      </tp>
      <tp t="e">
        <v>#N/A</v>
        <stp/>
        <stp>BDH|18404692162895768348</stp>
        <tr r="E15" s="10"/>
      </tp>
      <tp t="e">
        <v>#N/A</v>
        <stp/>
        <stp>BDH|18137713271250907646</stp>
        <tr r="X44" s="11"/>
        <tr r="X53" s="10"/>
        <tr r="X16" s="7"/>
      </tp>
      <tp t="e">
        <v>#N/A</v>
        <stp/>
        <stp>BDH|16258405295844921111</stp>
        <tr r="F53" s="24"/>
      </tp>
      <tp t="e">
        <v>#N/A</v>
        <stp/>
        <stp>BDH|14664311614138558098</stp>
        <tr r="AA165" s="18"/>
      </tp>
      <tp t="e">
        <v>#N/A</v>
        <stp/>
        <stp>BDH|18077787876874252236</stp>
        <tr r="N13" s="24"/>
      </tp>
      <tp t="e">
        <v>#N/A</v>
        <stp/>
        <stp>BDH|11986224350191058943</stp>
        <tr r="K6" s="19"/>
        <tr r="K37" s="17"/>
        <tr r="K16" s="3"/>
      </tp>
      <tp t="e">
        <v>#N/A</v>
        <stp/>
        <stp>BDH|14011239270378423783</stp>
        <tr r="C191" s="18"/>
      </tp>
      <tp t="e">
        <v>#N/A</v>
        <stp/>
        <stp>BDH|12224688490862297171</stp>
        <tr r="S146" s="18"/>
      </tp>
      <tp t="e">
        <v>#N/A</v>
        <stp/>
        <stp>BDH|11022980672171303069</stp>
        <tr r="I44" s="11"/>
        <tr r="I53" s="10"/>
        <tr r="I16" s="7"/>
      </tp>
      <tp t="e">
        <v>#N/A</v>
        <stp/>
        <stp>BDH|16443795337844474814</stp>
        <tr r="C194" s="18"/>
      </tp>
      <tp t="e">
        <v>#N/A</v>
        <stp/>
        <stp>BDH|13497262020049859457</stp>
        <tr r="Q40" s="13"/>
        <tr r="O24" s="10"/>
        <tr r="O46" s="4"/>
      </tp>
      <tp t="e">
        <v>#N/A</v>
        <stp/>
        <stp>BDH|14600133348156486963</stp>
        <tr r="T11" s="6"/>
      </tp>
      <tp t="e">
        <v>#N/A</v>
        <stp/>
        <stp>BDH|16706981526703468028</stp>
        <tr r="U51" s="12"/>
      </tp>
      <tp t="e">
        <v>#N/A</v>
        <stp/>
        <stp>BDH|18387905395474145282</stp>
        <tr r="I13" s="27"/>
        <tr r="I27" s="25"/>
      </tp>
      <tp t="e">
        <v>#N/A</v>
        <stp/>
        <stp>BDH|14877843603961623361</stp>
        <tr r="Z8" s="13"/>
      </tp>
      <tp t="e">
        <v>#N/A</v>
        <stp/>
        <stp>BDH|16294487789157561397</stp>
        <tr r="H32" s="29"/>
        <tr r="F34" s="5"/>
      </tp>
      <tp t="e">
        <v>#N/A</v>
        <stp/>
        <stp>BDH|15130692563882106954</stp>
        <tr r="T86" s="24"/>
      </tp>
      <tp t="e">
        <v>#N/A</v>
        <stp/>
        <stp>BDH|11520164217959228691</stp>
        <tr r="N17" s="22"/>
      </tp>
      <tp t="e">
        <v>#N/A</v>
        <stp/>
        <stp>BDH|11048726805361903912</stp>
        <tr r="N19" s="20"/>
      </tp>
      <tp t="e">
        <v>#N/A</v>
        <stp/>
        <stp>BDH|12487388324768102564</stp>
        <tr r="U37" s="22"/>
      </tp>
      <tp t="e">
        <v>#N/A</v>
        <stp/>
        <stp>BDH|13717167221527797989</stp>
        <tr r="S7" s="21"/>
      </tp>
      <tp t="e">
        <v>#N/A</v>
        <stp/>
        <stp>BDH|12551954246948095992</stp>
        <tr r="Y46" s="21"/>
      </tp>
      <tp t="e">
        <v>#N/A</v>
        <stp/>
        <stp>BDH|13757373725349232584</stp>
        <tr r="G45" s="18"/>
      </tp>
      <tp t="e">
        <v>#N/A</v>
        <stp/>
        <stp>BDH|14021745657190535894</stp>
        <tr r="Y7" s="27"/>
        <tr r="Y95" s="17"/>
      </tp>
      <tp t="e">
        <v>#N/A</v>
        <stp/>
        <stp>BDH|14263484274350284938</stp>
        <tr r="K177" s="18"/>
      </tp>
      <tp t="e">
        <v>#N/A</v>
        <stp/>
        <stp>BDH|11119421141177438892</stp>
        <tr r="Y104" s="12"/>
      </tp>
      <tp t="e">
        <v>#N/A</v>
        <stp/>
        <stp>BDH|14512873887009268384</stp>
        <tr r="G14" s="23"/>
      </tp>
      <tp t="e">
        <v>#N/A</v>
        <stp/>
        <stp>BDH|12353861716151908452</stp>
        <tr r="O30" s="34"/>
      </tp>
      <tp t="e">
        <v>#N/A</v>
        <stp/>
        <stp>BDH|13394693974905436957</stp>
        <tr r="Z27" s="12"/>
      </tp>
      <tp t="e">
        <v>#N/A</v>
        <stp/>
        <stp>BDH|13706772899733325051</stp>
        <tr r="N27" s="22"/>
      </tp>
      <tp t="e">
        <v>#N/A</v>
        <stp/>
        <stp>BDH|15819947872037927282</stp>
        <tr r="W16" s="11"/>
      </tp>
      <tp t="e">
        <v>#N/A</v>
        <stp/>
        <stp>BDH|10893704931763787917</stp>
        <tr r="E11" s="28"/>
      </tp>
      <tp t="e">
        <v>#N/A</v>
        <stp/>
        <stp>BDH|16667063473796541993</stp>
        <tr r="AA72" s="17"/>
      </tp>
      <tp t="e">
        <v>#N/A</v>
        <stp/>
        <stp>BDH|14933010633068304176</stp>
        <tr r="U43" s="13"/>
        <tr r="S35" s="11"/>
        <tr r="S44" s="10"/>
        <tr r="S52" s="4"/>
        <tr r="U8" s="3"/>
      </tp>
      <tp t="e">
        <v>#N/A</v>
        <stp/>
        <stp>BDH|17415959039754021778</stp>
        <tr r="T32" s="13"/>
        <tr r="R24" s="11"/>
        <tr r="R33" s="10"/>
        <tr r="R45" s="4"/>
      </tp>
      <tp t="e">
        <v>#N/A</v>
        <stp/>
        <stp>BDH|10913448854876370952</stp>
        <tr r="H25" s="3"/>
      </tp>
      <tp t="e">
        <v>#N/A</v>
        <stp/>
        <stp>BDH|12414591814301649903</stp>
        <tr r="D69" s="13"/>
      </tp>
      <tp t="e">
        <v>#N/A</v>
        <stp/>
        <stp>BDH|17014732626344822826</stp>
        <tr r="I21" s="22"/>
      </tp>
      <tp t="e">
        <v>#N/A</v>
        <stp/>
        <stp>BDH|10637752078549650725</stp>
        <tr r="C49" s="17"/>
      </tp>
      <tp t="e">
        <v>#N/A</v>
        <stp/>
        <stp>BDH|10091654885132774290</stp>
        <tr r="C210" s="18"/>
      </tp>
      <tp t="e">
        <v>#N/A</v>
        <stp/>
        <stp>BDH|13174438973256731885</stp>
        <tr r="L42" s="17"/>
      </tp>
      <tp t="e">
        <v>#N/A</v>
        <stp/>
        <stp>BDH|10788588072179035539</stp>
        <tr r="E48" s="24"/>
      </tp>
      <tp t="e">
        <v>#N/A</v>
        <stp/>
        <stp>BDH|13663128896134942150</stp>
        <tr r="P59" s="17"/>
      </tp>
      <tp t="e">
        <v>#N/A</v>
        <stp/>
        <stp>BDH|13875628685737320420</stp>
        <tr r="R83" s="12"/>
      </tp>
      <tp t="e">
        <v>#N/A</v>
        <stp/>
        <stp>BDH|15694933550281814630</stp>
        <tr r="N20" s="10"/>
      </tp>
      <tp t="e">
        <v>#N/A</v>
        <stp/>
        <stp>BDH|16991312816359792378</stp>
        <tr r="Q65" s="18"/>
      </tp>
      <tp t="e">
        <v>#N/A</v>
        <stp/>
        <stp>BDH|18313081025890232422</stp>
        <tr r="O28" s="18"/>
      </tp>
      <tp t="e">
        <v>#N/A</v>
        <stp/>
        <stp>BDH|16351177732408188296</stp>
        <tr r="F9" s="8"/>
        <tr r="D52" s="6"/>
      </tp>
      <tp t="e">
        <v>#N/A</v>
        <stp/>
        <stp>BDH|11589603683593962210</stp>
        <tr r="T23" s="10"/>
      </tp>
      <tp t="e">
        <v>#N/A</v>
        <stp/>
        <stp>BDH|10611076607966007886</stp>
        <tr r="D27" s="34"/>
      </tp>
      <tp t="e">
        <v>#N/A</v>
        <stp/>
        <stp>BDH|10957050447798543209</stp>
        <tr r="N19" s="23"/>
        <tr r="L59" s="11"/>
      </tp>
      <tp t="e">
        <v>#N/A</v>
        <stp/>
        <stp>BDH|15665845611701929349</stp>
        <tr r="C107" s="12"/>
      </tp>
      <tp t="e">
        <v>#N/A</v>
        <stp/>
        <stp>BDH|13841000377433848998</stp>
        <tr r="G21" s="27"/>
      </tp>
      <tp t="e">
        <v>#N/A</v>
        <stp/>
        <stp>BDH|16810304435308458070</stp>
        <tr r="W60" s="21"/>
        <tr r="U54" s="11"/>
      </tp>
      <tp t="e">
        <v>#N/A</v>
        <stp/>
        <stp>BDH|14878301382156379773</stp>
        <tr r="Q26" s="26"/>
      </tp>
      <tp t="e">
        <v>#N/A</v>
        <stp/>
        <stp>BDH|13625446669159700626</stp>
        <tr r="E17" s="12"/>
      </tp>
      <tp t="e">
        <v>#N/A</v>
        <stp/>
        <stp>BDH|16320289815173289821</stp>
        <tr r="Y102" s="12"/>
      </tp>
      <tp t="e">
        <v>#N/A</v>
        <stp/>
        <stp>BDH|10812824872312737317</stp>
        <tr r="K16" s="22"/>
      </tp>
      <tp t="e">
        <v>#N/A</v>
        <stp/>
        <stp>BDH|15755982387738409221</stp>
        <tr r="U105" s="12"/>
      </tp>
      <tp t="e">
        <v>#N/A</v>
        <stp/>
        <stp>BDH|12116077988064013006</stp>
        <tr r="S57" s="18"/>
      </tp>
      <tp t="e">
        <v>#N/A</v>
        <stp/>
        <stp>BDH|10593878278992195351</stp>
        <tr r="D22" s="4"/>
      </tp>
      <tp t="e">
        <v>#N/A</v>
        <stp/>
        <stp>BDH|10658371488604312143</stp>
        <tr r="Q23" s="23"/>
      </tp>
      <tp t="e">
        <v>#N/A</v>
        <stp/>
        <stp>BDH|17824042868559957630</stp>
        <tr r="U39" s="11"/>
        <tr r="U27" s="11"/>
        <tr r="U48" s="10"/>
        <tr r="U36" s="10"/>
      </tp>
      <tp t="e">
        <v>#N/A</v>
        <stp/>
        <stp>BDH|17405957732087923445</stp>
        <tr r="J15" s="26"/>
      </tp>
      <tp t="e">
        <v>#N/A</v>
        <stp/>
        <stp>BDH|14468370297321312194</stp>
        <tr r="G15" s="10"/>
      </tp>
      <tp t="e">
        <v>#N/A</v>
        <stp/>
        <stp>BDH|15667690320116260931</stp>
        <tr r="H101" s="12"/>
      </tp>
      <tp t="e">
        <v>#N/A</v>
        <stp/>
        <stp>BDH|15334253998566778675</stp>
        <tr r="E58" s="24"/>
      </tp>
      <tp t="e">
        <v>#N/A</v>
        <stp/>
        <stp>BDH|12158844576132933146</stp>
        <tr r="S50" s="18"/>
      </tp>
      <tp t="e">
        <v>#N/A</v>
        <stp/>
        <stp>BDH|17927476044381156857</stp>
        <tr r="X42" s="6"/>
      </tp>
      <tp t="e">
        <v>#N/A</v>
        <stp/>
        <stp>BDH|18177198227065480052</stp>
        <tr r="X118" s="12"/>
      </tp>
      <tp t="e">
        <v>#N/A</v>
        <stp/>
        <stp>BDH|15288177250806373984</stp>
        <tr r="V43" s="22"/>
      </tp>
      <tp t="e">
        <v>#N/A</v>
        <stp/>
        <stp>BDH|18328094804412344432</stp>
        <tr r="V10" s="26"/>
      </tp>
      <tp t="e">
        <v>#N/A</v>
        <stp/>
        <stp>BDH|11103005288220274754</stp>
        <tr r="E87" s="24"/>
      </tp>
      <tp t="e">
        <v>#N/A</v>
        <stp/>
        <stp>BDH|15669906030759380944</stp>
        <tr r="F12" s="11"/>
      </tp>
      <tp t="e">
        <v>#N/A</v>
        <stp/>
        <stp>BDH|18145463684418789350</stp>
        <tr r="Q70" s="18"/>
      </tp>
      <tp t="e">
        <v>#N/A</v>
        <stp/>
        <stp>BDH|11093626992356476752</stp>
        <tr r="T70" s="24"/>
      </tp>
      <tp t="e">
        <v>#N/A</v>
        <stp/>
        <stp>BDH|11155958893426186878</stp>
        <tr r="E41" s="17"/>
      </tp>
      <tp t="e">
        <v>#N/A</v>
        <stp/>
        <stp>BDH|12155523792328199915</stp>
        <tr r="L33" s="11"/>
        <tr r="L42" s="10"/>
      </tp>
      <tp t="e">
        <v>#N/A</v>
        <stp/>
        <stp>BDH|17622803415879344815</stp>
        <tr r="W42" s="6"/>
      </tp>
      <tp t="e">
        <v>#N/A</v>
        <stp/>
        <stp>BDH|12953120299941421476</stp>
        <tr r="X72" s="18"/>
      </tp>
      <tp t="e">
        <v>#N/A</v>
        <stp/>
        <stp>BDH|12596200060798117150</stp>
        <tr r="Q79" s="12"/>
      </tp>
      <tp t="e">
        <v>#N/A</v>
        <stp/>
        <stp>BDH|14477253720998218323</stp>
        <tr r="Y7" s="21"/>
      </tp>
      <tp t="e">
        <v>#N/A</v>
        <stp/>
        <stp>BDH|11714250222897152902</stp>
        <tr r="I58" s="6"/>
      </tp>
      <tp t="e">
        <v>#N/A</v>
        <stp/>
        <stp>BDH|15839843158175384267</stp>
        <tr r="G59" s="34"/>
      </tp>
      <tp t="e">
        <v>#N/A</v>
        <stp/>
        <stp>BDH|12923190101254594854</stp>
        <tr r="H208" s="18"/>
      </tp>
      <tp t="e">
        <v>#N/A</v>
        <stp/>
        <stp>BDH|14748387449554528828</stp>
        <tr r="S17" s="6"/>
      </tp>
      <tp t="e">
        <v>#N/A</v>
        <stp/>
        <stp>BDH|15849620190990876539</stp>
        <tr r="AA42" s="24"/>
      </tp>
      <tp t="e">
        <v>#N/A</v>
        <stp/>
        <stp>BDH|16673104420282516821</stp>
        <tr r="O48" s="6"/>
      </tp>
      <tp t="e">
        <v>#N/A</v>
        <stp/>
        <stp>BDH|11763898106843802516</stp>
        <tr r="C63" s="12"/>
      </tp>
      <tp t="e">
        <v>#N/A</v>
        <stp/>
        <stp>BDH|11752011953382114956</stp>
        <tr r="H13" s="22"/>
      </tp>
      <tp t="e">
        <v>#N/A</v>
        <stp/>
        <stp>BDH|12060328582543397522</stp>
        <tr r="H37" s="29"/>
        <tr r="H23" s="29"/>
        <tr r="H14" s="29"/>
      </tp>
      <tp t="e">
        <v>#N/A</v>
        <stp/>
        <stp>BDH|15542454767119682109</stp>
        <tr r="T37" s="25"/>
        <tr r="T59" s="21"/>
        <tr r="R53" s="11"/>
        <tr r="R31" s="4"/>
      </tp>
      <tp t="e">
        <v>#N/A</v>
        <stp/>
        <stp>BDH|12462916842499219943</stp>
        <tr r="R170" s="18"/>
      </tp>
      <tp t="e">
        <v>#N/A</v>
        <stp/>
        <stp>BDH|16494714606628680645</stp>
        <tr r="L20" s="23"/>
      </tp>
      <tp t="e">
        <v>#N/A</v>
        <stp/>
        <stp>BDH|10575847033922264619</stp>
        <tr r="H184" s="18"/>
      </tp>
      <tp t="e">
        <v>#N/A</v>
        <stp/>
        <stp>BDH|17400096744025942916</stp>
        <tr r="C42" s="24"/>
      </tp>
      <tp t="e">
        <v>#N/A</v>
        <stp/>
        <stp>BDH|14225558132269543418</stp>
        <tr r="S26" s="13"/>
      </tp>
      <tp t="e">
        <v>#N/A</v>
        <stp/>
        <stp>BDH|13488970672726311425</stp>
        <tr r="L135" s="18"/>
      </tp>
      <tp t="e">
        <v>#N/A</v>
        <stp/>
        <stp>BDH|15788458342899566355</stp>
        <tr r="X38" s="12"/>
      </tp>
      <tp t="e">
        <v>#N/A</v>
        <stp/>
        <stp>BDH|11638930966181194022</stp>
        <tr r="R19" s="21"/>
        <tr r="R23" s="3"/>
        <tr r="P23" s="2"/>
      </tp>
      <tp t="e">
        <v>#N/A</v>
        <stp/>
        <stp>BDH|11501880043943733193</stp>
        <tr r="Y173" s="18"/>
      </tp>
      <tp t="e">
        <v>#N/A</v>
        <stp/>
        <stp>BDH|10241140435535001839</stp>
        <tr r="T14" s="18"/>
      </tp>
      <tp t="e">
        <v>#N/A</v>
        <stp/>
        <stp>BDH|14681612253791014943</stp>
        <tr r="P25" s="7"/>
      </tp>
      <tp t="e">
        <v>#N/A</v>
        <stp/>
        <stp>BDH|13889296879338978115</stp>
        <tr r="R10" s="24"/>
      </tp>
      <tp t="e">
        <v>#N/A</v>
        <stp/>
        <stp>BDH|11292418787927561511</stp>
        <tr r="S25" s="10"/>
      </tp>
      <tp t="e">
        <v>#N/A</v>
        <stp/>
        <stp>BDH|14707033674504280821</stp>
        <tr r="AA17" s="21"/>
      </tp>
      <tp t="e">
        <v>#N/A</v>
        <stp/>
        <stp>BDH|14461951501880959294</stp>
        <tr r="V8" s="12"/>
      </tp>
      <tp t="e">
        <v>#N/A</v>
        <stp/>
        <stp>BDH|18363157339967715287</stp>
        <tr r="V36" s="21"/>
      </tp>
      <tp t="e">
        <v>#N/A</v>
        <stp/>
        <stp>BDH|15221273539689531299</stp>
        <tr r="E18" s="27"/>
        <tr r="E32" s="25"/>
      </tp>
      <tp t="e">
        <v>#N/A</v>
        <stp/>
        <stp>BDH|14696332898490530181</stp>
        <tr r="R94" s="24"/>
      </tp>
      <tp t="e">
        <v>#N/A</v>
        <stp/>
        <stp>BDH|17140028314590522927</stp>
        <tr r="I22" s="21"/>
      </tp>
      <tp t="e">
        <v>#N/A</v>
        <stp/>
        <stp>BDH|10414336930667163864</stp>
        <tr r="T18" s="6"/>
      </tp>
      <tp t="e">
        <v>#N/A</v>
        <stp/>
        <stp>BDH|11182524495273549139</stp>
        <tr r="M19" s="11"/>
      </tp>
      <tp t="e">
        <v>#N/A</v>
        <stp/>
        <stp>BDH|16423940913180759145</stp>
        <tr r="S50" s="21"/>
      </tp>
      <tp t="e">
        <v>#N/A</v>
        <stp/>
        <stp>BDH|10141259792065595137</stp>
        <tr r="S39" s="25"/>
        <tr r="S22" s="13"/>
        <tr r="S7" s="13"/>
        <tr r="Q17" s="11"/>
        <tr r="S7" s="3"/>
      </tp>
      <tp t="e">
        <v>#N/A</v>
        <stp/>
        <stp>BDH|10010834740632184128</stp>
        <tr r="I87" s="12"/>
      </tp>
      <tp t="e">
        <v>#N/A</v>
        <stp/>
        <stp>BDH|13740470296372747310</stp>
        <tr r="P8" s="6"/>
      </tp>
      <tp t="e">
        <v>#N/A</v>
        <stp/>
        <stp>BDH|14676841922744175514</stp>
        <tr r="Y12" s="26"/>
      </tp>
      <tp t="e">
        <v>#N/A</v>
        <stp/>
        <stp>BDH|13906090843641133927</stp>
        <tr r="L26" s="18"/>
      </tp>
      <tp t="e">
        <v>#N/A</v>
        <stp/>
        <stp>BDH|10998690893183793343</stp>
        <tr r="K36" s="4"/>
      </tp>
      <tp t="e">
        <v>#N/A</v>
        <stp/>
        <stp>BDH|12674874112672332604</stp>
        <tr r="O93" s="12"/>
      </tp>
      <tp t="e">
        <v>#N/A</v>
        <stp/>
        <stp>BDH|16868715259043716873</stp>
        <tr r="F19" s="24"/>
      </tp>
      <tp t="e">
        <v>#N/A</v>
        <stp/>
        <stp>BDH|11273988325207696295</stp>
        <tr r="S113" s="12"/>
      </tp>
      <tp t="e">
        <v>#N/A</v>
        <stp/>
        <stp>BDH|13437418145835616963</stp>
        <tr r="S32" s="9"/>
      </tp>
      <tp t="e">
        <v>#N/A</v>
        <stp/>
        <stp>BDH|16433410702039534421</stp>
        <tr r="M34" s="18"/>
      </tp>
      <tp t="e">
        <v>#N/A</v>
        <stp/>
        <stp>BDH|12952890367607653417</stp>
        <tr r="V12" s="22"/>
      </tp>
      <tp t="e">
        <v>#N/A</v>
        <stp/>
        <stp>BDH|13708853958308868926</stp>
        <tr r="F47" s="18"/>
      </tp>
      <tp t="e">
        <v>#N/A</v>
        <stp/>
        <stp>BDH|10289914928693339789</stp>
        <tr r="H165" s="18"/>
      </tp>
      <tp t="e">
        <v>#N/A</v>
        <stp/>
        <stp>BDH|18204904762008400044</stp>
        <tr r="F37" s="22"/>
      </tp>
      <tp t="e">
        <v>#N/A</v>
        <stp/>
        <stp>BDH|17371833701492637274</stp>
        <tr r="L39" s="11"/>
        <tr r="L27" s="11"/>
        <tr r="L48" s="10"/>
        <tr r="L36" s="10"/>
      </tp>
      <tp t="e">
        <v>#N/A</v>
        <stp/>
        <stp>BDH|17490509084462333731</stp>
        <tr r="F52" s="18"/>
      </tp>
      <tp t="e">
        <v>#N/A</v>
        <stp/>
        <stp>BDH|16055892323012874126</stp>
        <tr r="I91" s="24"/>
      </tp>
      <tp t="e">
        <v>#N/A</v>
        <stp/>
        <stp>BDH|12822301933485834831</stp>
        <tr r="L178" s="18"/>
      </tp>
      <tp t="e">
        <v>#N/A</v>
        <stp/>
        <stp>BDH|15986006770959943406</stp>
        <tr r="T93" s="12"/>
      </tp>
      <tp t="e">
        <v>#N/A</v>
        <stp/>
        <stp>BDH|16669413024368263714</stp>
        <tr r="T56" s="34"/>
      </tp>
      <tp t="e">
        <v>#N/A</v>
        <stp/>
        <stp>BDH|17242031775047145855</stp>
        <tr r="X55" s="34"/>
      </tp>
      <tp t="e">
        <v>#N/A</v>
        <stp/>
        <stp>BDH|18278683414444819465</stp>
        <tr r="Y15" s="10"/>
      </tp>
      <tp t="e">
        <v>#N/A</v>
        <stp/>
        <stp>BDH|14007037786923475022</stp>
        <tr r="E97" s="17"/>
      </tp>
      <tp t="e">
        <v>#N/A</v>
        <stp/>
        <stp>BDH|17171741144309094226</stp>
        <tr r="O52" s="12"/>
      </tp>
      <tp t="e">
        <v>#N/A</v>
        <stp/>
        <stp>BDH|14392773983741359572</stp>
        <tr r="O140" s="18"/>
      </tp>
      <tp t="e">
        <v>#N/A</v>
        <stp/>
        <stp>BDH|14156011222849847091</stp>
        <tr r="G106" s="18"/>
      </tp>
      <tp t="e">
        <v>#N/A</v>
        <stp/>
        <stp>BDH|11588044948829350398</stp>
        <tr r="M138" s="18"/>
      </tp>
      <tp t="e">
        <v>#N/A</v>
        <stp/>
        <stp>BDH|11284882988627052911</stp>
        <tr r="N48" s="34"/>
      </tp>
      <tp t="e">
        <v>#N/A</v>
        <stp/>
        <stp>BDH|16480852461186121121</stp>
        <tr r="Y16" s="25"/>
      </tp>
      <tp t="e">
        <v>#N/A</v>
        <stp/>
        <stp>BDH|14519414290053699514</stp>
        <tr r="V38" s="6"/>
      </tp>
      <tp t="e">
        <v>#N/A</v>
        <stp/>
        <stp>BDH|15068162425838435140</stp>
        <tr r="I66" s="12"/>
      </tp>
      <tp t="e">
        <v>#N/A</v>
        <stp/>
        <stp>BDH|15419976652885590379</stp>
        <tr r="O191" s="18"/>
      </tp>
      <tp t="e">
        <v>#N/A</v>
        <stp/>
        <stp>BDH|11992310615095860962</stp>
        <tr r="O21" s="2"/>
      </tp>
      <tp t="e">
        <v>#N/A</v>
        <stp/>
        <stp>BDH|15601095987947829533</stp>
        <tr r="I58" s="24"/>
      </tp>
      <tp t="e">
        <v>#N/A</v>
        <stp/>
        <stp>BDH|12539506219928906160</stp>
        <tr r="K19" s="10"/>
      </tp>
      <tp t="e">
        <v>#N/A</v>
        <stp/>
        <stp>BDH|10722078586176428115</stp>
        <tr r="W97" s="17"/>
      </tp>
      <tp t="e">
        <v>#N/A</v>
        <stp/>
        <stp>BDH|15552961266685641005</stp>
        <tr r="C43" s="34"/>
      </tp>
      <tp t="e">
        <v>#N/A</v>
        <stp/>
        <stp>BDH|10503027339168877452</stp>
        <tr r="D206" s="18"/>
      </tp>
      <tp t="e">
        <v>#N/A</v>
        <stp/>
        <stp>BDH|14986398913750729976</stp>
        <tr r="S22" s="21"/>
      </tp>
      <tp t="e">
        <v>#N/A</v>
        <stp/>
        <stp>BDH|17303615134359045451</stp>
        <tr r="Q91" s="17"/>
      </tp>
      <tp t="e">
        <v>#N/A</v>
        <stp/>
        <stp>BDH|11536997473035544592</stp>
        <tr r="W88" s="18"/>
      </tp>
      <tp t="e">
        <v>#N/A</v>
        <stp/>
        <stp>BDH|17271467781554377053</stp>
        <tr r="C187" s="18"/>
      </tp>
      <tp t="e">
        <v>#N/A</v>
        <stp/>
        <stp>BDH|11531857426497492319</stp>
        <tr r="W45" s="12"/>
      </tp>
      <tp t="e">
        <v>#N/A</v>
        <stp/>
        <stp>BDH|11001635587340474031</stp>
        <tr r="D63" s="34"/>
      </tp>
      <tp t="e">
        <v>#N/A</v>
        <stp/>
        <stp>BDH|14605306811048358173</stp>
        <tr r="Z24" s="22"/>
      </tp>
      <tp t="e">
        <v>#N/A</v>
        <stp/>
        <stp>BDH|14272173099795603694</stp>
        <tr r="T164" s="18"/>
      </tp>
      <tp t="e">
        <v>#N/A</v>
        <stp/>
        <stp>BDH|18113257306177457255</stp>
        <tr r="T24" s="24"/>
      </tp>
      <tp t="e">
        <v>#N/A</v>
        <stp/>
        <stp>BDH|16529973450603511640</stp>
        <tr r="D51" s="17"/>
      </tp>
      <tp t="e">
        <v>#N/A</v>
        <stp/>
        <stp>BDH|16389191968007695976</stp>
        <tr r="D66" s="10"/>
        <tr r="D39" s="4"/>
      </tp>
      <tp t="e">
        <v>#N/A</v>
        <stp/>
        <stp>BDH|11231686383312363296</stp>
        <tr r="R135" s="18"/>
      </tp>
      <tp t="e">
        <v>#N/A</v>
        <stp/>
        <stp>BDH|11163985175389761983</stp>
        <tr r="G24" s="12"/>
      </tp>
      <tp t="e">
        <v>#N/A</v>
        <stp/>
        <stp>BDH|15114982831448253897</stp>
        <tr r="I57" s="34"/>
      </tp>
      <tp t="e">
        <v>#N/A</v>
        <stp/>
        <stp>BDH|17509753145203204845</stp>
        <tr r="G7" s="14"/>
      </tp>
      <tp t="e">
        <v>#N/A</v>
        <stp/>
        <stp>BDH|17273835485630532823</stp>
        <tr r="O132" s="18"/>
      </tp>
      <tp t="e">
        <v>#N/A</v>
        <stp/>
        <stp>BDH|17416848492481661860</stp>
        <tr r="V65" s="12"/>
      </tp>
      <tp t="e">
        <v>#N/A</v>
        <stp/>
        <stp>BDH|14423718237977393831</stp>
        <tr r="P192" s="18"/>
      </tp>
      <tp t="e">
        <v>#N/A</v>
        <stp/>
        <stp>BDH|17650345086675440629</stp>
        <tr r="Q43" s="11"/>
        <tr r="Q52" s="10"/>
        <tr r="Q15" s="7"/>
      </tp>
      <tp t="e">
        <v>#N/A</v>
        <stp/>
        <stp>BDH|10258616984305334469</stp>
        <tr r="K21" s="4"/>
      </tp>
      <tp t="e">
        <v>#N/A</v>
        <stp/>
        <stp>BDH|16794755495301604635</stp>
        <tr r="K29" s="17"/>
      </tp>
      <tp t="e">
        <v>#N/A</v>
        <stp/>
        <stp>BDH|11078884063348011898</stp>
        <tr r="L11" s="24"/>
      </tp>
      <tp t="e">
        <v>#N/A</v>
        <stp/>
        <stp>BDH|14746177169188930428</stp>
        <tr r="S46" s="21"/>
      </tp>
      <tp t="e">
        <v>#N/A</v>
        <stp/>
        <stp>BDH|16470585448699347159</stp>
        <tr r="F46" s="21"/>
      </tp>
      <tp t="e">
        <v>#N/A</v>
        <stp/>
        <stp>BDH|16548173185774792421</stp>
        <tr r="T6" s="28"/>
      </tp>
      <tp t="e">
        <v>#N/A</v>
        <stp/>
        <stp>BDH|16802680283712762569</stp>
        <tr r="T9" s="11"/>
      </tp>
      <tp t="e">
        <v>#N/A</v>
        <stp/>
        <stp>BDH|11601706085885762467</stp>
        <tr r="N35" s="4"/>
      </tp>
      <tp t="e">
        <v>#N/A</v>
        <stp/>
        <stp>BDH|13283224334525029864</stp>
        <tr r="V48" s="34"/>
      </tp>
      <tp t="e">
        <v>#N/A</v>
        <stp/>
        <stp>BDH|16504938041606356264</stp>
        <tr r="Z170" s="18"/>
      </tp>
      <tp t="e">
        <v>#N/A</v>
        <stp/>
        <stp>BDH|16889626686762735597</stp>
        <tr r="L100" s="18"/>
      </tp>
      <tp t="e">
        <v>#N/A</v>
        <stp/>
        <stp>BDH|11234124422969873484</stp>
        <tr r="Z67" s="17"/>
      </tp>
      <tp t="e">
        <v>#N/A</v>
        <stp/>
        <stp>BDH|10133833430204173018</stp>
        <tr r="C9" s="14"/>
      </tp>
      <tp t="e">
        <v>#N/A</v>
        <stp/>
        <stp>BDH|11513102481921472621</stp>
        <tr r="O60" s="11"/>
      </tp>
      <tp t="e">
        <v>#N/A</v>
        <stp/>
        <stp>BDH|17308023890775091431</stp>
        <tr r="G40" s="24"/>
      </tp>
      <tp t="e">
        <v>#N/A</v>
        <stp/>
        <stp>BDH|16406018494964057438</stp>
        <tr r="D33" s="13"/>
      </tp>
      <tp t="e">
        <v>#N/A</v>
        <stp/>
        <stp>BDH|15652903962880031561</stp>
        <tr r="G24" s="5"/>
      </tp>
      <tp t="e">
        <v>#N/A</v>
        <stp/>
        <stp>BDH|18050229931317854199</stp>
        <tr r="K19" s="28"/>
        <tr r="K16" s="17"/>
      </tp>
      <tp t="e">
        <v>#N/A</v>
        <stp/>
        <stp>BDH|11847234716198946566</stp>
        <tr r="R18" s="14"/>
      </tp>
      <tp t="e">
        <v>#N/A</v>
        <stp/>
        <stp>BDH|18107667600350673130</stp>
        <tr r="Y113" s="12"/>
      </tp>
      <tp t="e">
        <v>#N/A</v>
        <stp/>
        <stp>BDH|17710081082328963866</stp>
        <tr r="G30" s="12"/>
      </tp>
      <tp t="e">
        <v>#N/A</v>
        <stp/>
        <stp>BDH|13373924543476753771</stp>
        <tr r="X196" s="18"/>
      </tp>
      <tp t="e">
        <v>#N/A</v>
        <stp/>
        <stp>BDH|10941900846990595286</stp>
        <tr r="D14" s="4"/>
      </tp>
      <tp t="e">
        <v>#N/A</v>
        <stp/>
        <stp>BDH|12673882397139862530</stp>
        <tr r="M68" s="10"/>
      </tp>
      <tp t="e">
        <v>#N/A</v>
        <stp/>
        <stp>BDH|12051636642139733640</stp>
        <tr r="Q26" s="24"/>
      </tp>
      <tp t="e">
        <v>#N/A</v>
        <stp/>
        <stp>BDH|16111139398943084289</stp>
        <tr r="I28" s="26"/>
      </tp>
      <tp t="e">
        <v>#N/A</v>
        <stp/>
        <stp>BDH|18211626561264205312</stp>
        <tr r="Q13" s="10"/>
      </tp>
      <tp t="e">
        <v>#N/A</v>
        <stp/>
        <stp>BDH|12404630567198173530</stp>
        <tr r="J23" s="18"/>
      </tp>
      <tp t="e">
        <v>#N/A</v>
        <stp/>
        <stp>BDH|11674825172130362173</stp>
        <tr r="K46" s="12"/>
      </tp>
      <tp t="e">
        <v>#N/A</v>
        <stp/>
        <stp>BDH|16930399270789703426</stp>
        <tr r="P75" s="12"/>
      </tp>
      <tp t="e">
        <v>#N/A</v>
        <stp/>
        <stp>BDH|14883860169340789559</stp>
        <tr r="P67" s="12"/>
      </tp>
      <tp t="e">
        <v>#N/A</v>
        <stp/>
        <stp>BDH|13760388996400811641</stp>
        <tr r="G8" s="13"/>
      </tp>
      <tp t="e">
        <v>#N/A</v>
        <stp/>
        <stp>BDH|16664701388967869132</stp>
        <tr r="L19" s="18"/>
      </tp>
      <tp t="e">
        <v>#N/A</v>
        <stp/>
        <stp>BDH|16928977701541994130</stp>
        <tr r="P29" s="29"/>
        <tr r="P7" s="29"/>
      </tp>
      <tp t="e">
        <v>#N/A</v>
        <stp/>
        <stp>BDH|16193844320086441540</stp>
        <tr r="J56" s="24"/>
      </tp>
      <tp t="e">
        <v>#N/A</v>
        <stp/>
        <stp>BDH|16949690287905353211</stp>
        <tr r="I7" s="21"/>
      </tp>
      <tp t="e">
        <v>#N/A</v>
        <stp/>
        <stp>BDH|18218568523652462260</stp>
        <tr r="P29" s="18"/>
      </tp>
      <tp t="e">
        <v>#N/A</v>
        <stp/>
        <stp>BDH|17751751760609395042</stp>
        <tr r="X19" s="18"/>
      </tp>
      <tp t="e">
        <v>#N/A</v>
        <stp/>
        <stp>BDH|13263370687556032179</stp>
        <tr r="X35" s="13"/>
        <tr r="V28" s="10"/>
      </tp>
      <tp t="e">
        <v>#N/A</v>
        <stp/>
        <stp>BDH|18298125145137946591</stp>
        <tr r="H12" s="26"/>
      </tp>
      <tp t="e">
        <v>#N/A</v>
        <stp/>
        <stp>BDH|11867192636805214905</stp>
        <tr r="H25" s="34"/>
      </tp>
      <tp t="e">
        <v>#N/A</v>
        <stp/>
        <stp>BDH|15486570359653917967</stp>
        <tr r="S42" s="18"/>
      </tp>
      <tp t="e">
        <v>#N/A</v>
        <stp/>
        <stp>BDH|17865134602478592197</stp>
        <tr r="T10" s="34"/>
      </tp>
      <tp t="e">
        <v>#N/A</v>
        <stp/>
        <stp>BDH|12904994870910337361</stp>
        <tr r="C39" s="22"/>
      </tp>
      <tp t="e">
        <v>#N/A</v>
        <stp/>
        <stp>BDH|18156114721837177351</stp>
        <tr r="X84" s="12"/>
      </tp>
      <tp t="e">
        <v>#N/A</v>
        <stp/>
        <stp>BDH|13317781228229158079</stp>
        <tr r="C19" s="6"/>
      </tp>
      <tp t="e">
        <v>#N/A</v>
        <stp/>
        <stp>BDH|16994866034613640183</stp>
        <tr r="R14" s="28"/>
      </tp>
      <tp t="e">
        <v>#N/A</v>
        <stp/>
        <stp>BDH|13353611796695565649</stp>
        <tr r="O24" s="5"/>
      </tp>
      <tp t="e">
        <v>#N/A</v>
        <stp/>
        <stp>BDH|18280323060524128641</stp>
        <tr r="T100" s="18"/>
      </tp>
      <tp t="e">
        <v>#N/A</v>
        <stp/>
        <stp>BDH|12190426193378047855</stp>
        <tr r="G12" s="18"/>
      </tp>
      <tp t="e">
        <v>#N/A</v>
        <stp/>
        <stp>BDH|13539367691110481631</stp>
        <tr r="V109" s="18"/>
      </tp>
      <tp t="e">
        <v>#N/A</v>
        <stp/>
        <stp>BDH|11495500580225337624</stp>
        <tr r="H66" s="10"/>
        <tr r="H39" s="4"/>
      </tp>
      <tp t="e">
        <v>#N/A</v>
        <stp/>
        <stp>BDH|11311108265151722849</stp>
        <tr r="O63" s="24"/>
      </tp>
      <tp t="e">
        <v>#N/A</v>
        <stp/>
        <stp>BDH|14258324283676169672</stp>
        <tr r="U22" s="4"/>
      </tp>
      <tp t="e">
        <v>#N/A</v>
        <stp/>
        <stp>BDH|13060626283940697223</stp>
        <tr r="D149" s="18"/>
      </tp>
      <tp t="e">
        <v>#N/A</v>
        <stp/>
        <stp>BDH|17137058437563347859</stp>
        <tr r="V127" s="18"/>
      </tp>
      <tp t="e">
        <v>#N/A</v>
        <stp/>
        <stp>BDH|16647259580862159172</stp>
        <tr r="C172" s="18"/>
      </tp>
      <tp t="e">
        <v>#N/A</v>
        <stp/>
        <stp>BDH|15520316462087602856</stp>
        <tr r="H13" s="8"/>
      </tp>
      <tp t="e">
        <v>#N/A</v>
        <stp/>
        <stp>BDH|14678152961754694819</stp>
        <tr r="R14" s="6"/>
      </tp>
      <tp t="e">
        <v>#N/A</v>
        <stp/>
        <stp>BDH|16299146967287087944</stp>
        <tr r="J51" s="12"/>
      </tp>
      <tp t="e">
        <v>#N/A</v>
        <stp/>
        <stp>BDH|15682321065858263766</stp>
        <tr r="C28" s="17"/>
      </tp>
      <tp t="e">
        <v>#N/A</v>
        <stp/>
        <stp>BDH|15735894246690469696</stp>
        <tr r="R25" s="3"/>
      </tp>
      <tp t="e">
        <v>#N/A</v>
        <stp/>
        <stp>BDH|17794318327160296968</stp>
        <tr r="O17" s="21"/>
      </tp>
      <tp t="e">
        <v>#N/A</v>
        <stp/>
        <stp>BDH|18405481600627176481</stp>
        <tr r="I10" s="25"/>
        <tr r="I55" s="17"/>
      </tp>
      <tp t="e">
        <v>#N/A</v>
        <stp/>
        <stp>BDH|12219049609338892522</stp>
        <tr r="P56" s="6"/>
      </tp>
      <tp t="e">
        <v>#N/A</v>
        <stp/>
        <stp>BDH|16938046904430592998</stp>
        <tr r="Z177" s="18"/>
      </tp>
      <tp t="e">
        <v>#N/A</v>
        <stp/>
        <stp>BDH|11878692907189427171</stp>
        <tr r="U13" s="7"/>
      </tp>
      <tp t="e">
        <v>#N/A</v>
        <stp/>
        <stp>BDH|16715815842471153402</stp>
        <tr r="C40" s="17"/>
      </tp>
      <tp t="e">
        <v>#N/A</v>
        <stp/>
        <stp>BDH|14384335180171523109</stp>
        <tr r="E13" s="26"/>
      </tp>
      <tp t="e">
        <v>#N/A</v>
        <stp/>
        <stp>BDH|17001546767799353251</stp>
        <tr r="X9" s="30"/>
      </tp>
      <tp t="e">
        <v>#N/A</v>
        <stp/>
        <stp>BDH|17572279601299683301</stp>
        <tr r="T63" s="34"/>
      </tp>
      <tp t="e">
        <v>#N/A</v>
        <stp/>
        <stp>BDH|15594281357679926469</stp>
        <tr r="M26" s="21"/>
      </tp>
      <tp t="e">
        <v>#N/A</v>
        <stp/>
        <stp>BDH|10118003048209433287</stp>
        <tr r="X15" s="34"/>
      </tp>
      <tp t="e">
        <v>#N/A</v>
        <stp/>
        <stp>BDH|11875549638800064814</stp>
        <tr r="M10" s="12"/>
      </tp>
      <tp t="e">
        <v>#N/A</v>
        <stp/>
        <stp>BDH|14002808077497442373</stp>
        <tr r="J56" s="12"/>
      </tp>
      <tp t="e">
        <v>#N/A</v>
        <stp/>
        <stp>BDH|13601221725625250979</stp>
        <tr r="D119" s="12"/>
      </tp>
      <tp t="e">
        <v>#N/A</v>
        <stp/>
        <stp>BDH|14168868120189353801</stp>
        <tr r="U34" s="29"/>
      </tp>
      <tp t="e">
        <v>#N/A</v>
        <stp/>
        <stp>BDH|18274663830097968598</stp>
        <tr r="I202" s="18"/>
      </tp>
      <tp t="e">
        <v>#N/A</v>
        <stp/>
        <stp>BDH|11847601209840679830</stp>
        <tr r="S44" s="11"/>
        <tr r="S53" s="10"/>
        <tr r="S16" s="7"/>
      </tp>
      <tp t="e">
        <v>#N/A</v>
        <stp/>
        <stp>BDH|12561034162918006301</stp>
        <tr r="F21" s="24"/>
      </tp>
      <tp t="e">
        <v>#N/A</v>
        <stp/>
        <stp>BDH|15019097406433909928</stp>
        <tr r="S13" s="12"/>
      </tp>
      <tp t="e">
        <v>#N/A</v>
        <stp/>
        <stp>BDH|10014675002158267139</stp>
        <tr r="I26" s="29"/>
      </tp>
      <tp t="e">
        <v>#N/A</v>
        <stp/>
        <stp>BDH|12944279859082718845</stp>
        <tr r="Y79" s="24"/>
      </tp>
      <tp t="e">
        <v>#N/A</v>
        <stp/>
        <stp>BDH|16427309044659676723</stp>
        <tr r="R29" s="34"/>
      </tp>
      <tp t="e">
        <v>#N/A</v>
        <stp/>
        <stp>BDH|15137538104749725657</stp>
        <tr r="E29" s="6"/>
      </tp>
      <tp t="e">
        <v>#N/A</v>
        <stp/>
        <stp>BDH|10472900767072281256</stp>
        <tr r="Z69" s="24"/>
      </tp>
      <tp t="e">
        <v>#N/A</v>
        <stp/>
        <stp>BDH|16005966131857142423</stp>
        <tr r="P14" s="24"/>
      </tp>
      <tp t="e">
        <v>#N/A</v>
        <stp/>
        <stp>BDH|10500826469157293680</stp>
        <tr r="R53" s="17"/>
      </tp>
      <tp t="e">
        <v>#N/A</v>
        <stp/>
        <stp>BDH|11236648688045321595</stp>
        <tr r="D42" s="6"/>
      </tp>
      <tp t="e">
        <v>#N/A</v>
        <stp/>
        <stp>BDH|14766081689932102132</stp>
        <tr r="S186" s="18"/>
      </tp>
      <tp t="e">
        <v>#N/A</v>
        <stp/>
        <stp>BDH|11581796071238167689</stp>
        <tr r="K63" s="13"/>
      </tp>
      <tp t="e">
        <v>#N/A</v>
        <stp/>
        <stp>BDH|12552087708489138406</stp>
        <tr r="T65" s="13"/>
      </tp>
      <tp t="e">
        <v>#N/A</v>
        <stp/>
        <stp>BDH|18103055044154637724</stp>
        <tr r="X74" s="17"/>
      </tp>
      <tp t="e">
        <v>#N/A</v>
        <stp/>
        <stp>BDH|15251121184743889089</stp>
        <tr r="H21" s="6"/>
      </tp>
      <tp t="e">
        <v>#N/A</v>
        <stp/>
        <stp>BDH|13254017437009525652</stp>
        <tr r="P34" s="6"/>
      </tp>
      <tp t="e">
        <v>#N/A</v>
        <stp/>
        <stp>BDH|13708931426494106377</stp>
        <tr r="P22" s="4"/>
      </tp>
      <tp t="e">
        <v>#N/A</v>
        <stp/>
        <stp>BDH|13512806579474932712</stp>
        <tr r="O24" s="13"/>
      </tp>
      <tp t="e">
        <v>#N/A</v>
        <stp/>
        <stp>BDH|11448258763823654901</stp>
        <tr r="Z11" s="28"/>
      </tp>
      <tp t="e">
        <v>#N/A</v>
        <stp/>
        <stp>BDH|10376140173740293929</stp>
        <tr r="S34" s="17"/>
      </tp>
      <tp t="e">
        <v>#N/A</v>
        <stp/>
        <stp>BDH|10868742180777912715</stp>
        <tr r="O103" s="12"/>
      </tp>
      <tp t="e">
        <v>#N/A</v>
        <stp/>
        <stp>BDH|11418070759938677388</stp>
        <tr r="U55" s="24"/>
      </tp>
      <tp t="e">
        <v>#N/A</v>
        <stp/>
        <stp>BDH|17646261207489422376</stp>
        <tr r="F39" s="22"/>
      </tp>
      <tp t="e">
        <v>#N/A</v>
        <stp/>
        <stp>BDH|17309224613519264242</stp>
        <tr r="H14" s="18"/>
      </tp>
      <tp t="e">
        <v>#N/A</v>
        <stp/>
        <stp>BDH|15557162791937427529</stp>
        <tr r="G8" s="10"/>
      </tp>
      <tp t="e">
        <v>#N/A</v>
        <stp/>
        <stp>BDH|16006665114057214941</stp>
        <tr r="L33" s="21"/>
      </tp>
      <tp t="e">
        <v>#N/A</v>
        <stp/>
        <stp>BDH|11166455414703433802</stp>
        <tr r="L189" s="18"/>
      </tp>
      <tp t="e">
        <v>#N/A</v>
        <stp/>
        <stp>BDH|18392688349210060560</stp>
        <tr r="U9" s="27"/>
      </tp>
      <tp t="e">
        <v>#N/A</v>
        <stp/>
        <stp>BDH|12774923886645170961</stp>
        <tr r="M69" s="10"/>
      </tp>
      <tp t="e">
        <v>#N/A</v>
        <stp/>
        <stp>BDH|14340614755109550160</stp>
        <tr r="AA103" s="12"/>
      </tp>
      <tp t="e">
        <v>#N/A</v>
        <stp/>
        <stp>BDH|16076644354183311948</stp>
        <tr r="G46" s="18"/>
      </tp>
      <tp t="e">
        <v>#N/A</v>
        <stp/>
        <stp>BDH|14991153592791072290</stp>
        <tr r="N25" s="7"/>
      </tp>
      <tp t="e">
        <v>#N/A</v>
        <stp/>
        <stp>BDH|12037452871098393602</stp>
        <tr r="M141" s="18"/>
      </tp>
      <tp t="e">
        <v>#N/A</v>
        <stp/>
        <stp>BDH|12590376165268600067</stp>
        <tr r="D66" s="17"/>
      </tp>
      <tp t="e">
        <v>#N/A</v>
        <stp/>
        <stp>BDH|16540810198930964821</stp>
        <tr r="L30" s="22"/>
      </tp>
      <tp t="e">
        <v>#N/A</v>
        <stp/>
        <stp>BDH|14327941990269829289</stp>
        <tr r="Y26" s="11"/>
        <tr r="Y35" s="10"/>
      </tp>
      <tp t="e">
        <v>#N/A</v>
        <stp/>
        <stp>BDH|13606394042953971830</stp>
        <tr r="Y25" s="14"/>
      </tp>
      <tp t="e">
        <v>#N/A</v>
        <stp/>
        <stp>BDH|15383968024867198678</stp>
        <tr r="J24" s="24"/>
      </tp>
      <tp t="e">
        <v>#N/A</v>
        <stp/>
        <stp>BDH|16916952911546894727</stp>
        <tr r="G25" s="10"/>
      </tp>
      <tp t="e">
        <v>#N/A</v>
        <stp/>
        <stp>BDH|15248819711390676331</stp>
        <tr r="P9" s="27"/>
      </tp>
      <tp t="e">
        <v>#N/A</v>
        <stp/>
        <stp>BDH|16389765020734058827</stp>
        <tr r="M23" s="21"/>
      </tp>
      <tp t="e">
        <v>#N/A</v>
        <stp/>
        <stp>BDH|14229225783859235862</stp>
        <tr r="Y18" s="24"/>
      </tp>
      <tp t="e">
        <v>#N/A</v>
        <stp/>
        <stp>BDH|16083074508329101091</stp>
        <tr r="K60" s="11"/>
      </tp>
      <tp t="e">
        <v>#N/A</v>
        <stp/>
        <stp>BDH|16787660180512032560</stp>
        <tr r="P17" s="12"/>
      </tp>
      <tp t="e">
        <v>#N/A</v>
        <stp/>
        <stp>BDH|16688934302541559152</stp>
        <tr r="O17" s="27"/>
        <tr r="O31" s="25"/>
        <tr r="L14" s="5"/>
      </tp>
      <tp t="e">
        <v>#N/A</v>
        <stp/>
        <stp>BDH|15600500700976923987</stp>
        <tr r="V16" s="14"/>
      </tp>
      <tp t="e">
        <v>#N/A</v>
        <stp/>
        <stp>BDH|17500434683743319711</stp>
        <tr r="X8" s="12"/>
      </tp>
      <tp t="e">
        <v>#N/A</v>
        <stp/>
        <stp>BDH|12888349287743854540</stp>
        <tr r="K202" s="18"/>
      </tp>
      <tp t="e">
        <v>#N/A</v>
        <stp/>
        <stp>BDH|16174209864995623846</stp>
        <tr r="J49" s="34"/>
      </tp>
      <tp t="e">
        <v>#N/A</v>
        <stp/>
        <stp>BDH|14385650479803920910</stp>
        <tr r="S10" s="23"/>
      </tp>
      <tp t="e">
        <v>#N/A</v>
        <stp/>
        <stp>BDH|10737958624122239638</stp>
        <tr r="O79" s="17"/>
        <tr r="L9" s="9"/>
        <tr r="L9" s="5"/>
      </tp>
      <tp t="e">
        <v>#N/A</v>
        <stp/>
        <stp>BDH|18354708256960614544</stp>
        <tr r="G176" s="18"/>
      </tp>
      <tp t="e">
        <v>#N/A</v>
        <stp/>
        <stp>BDH|18057562123430372015</stp>
        <tr r="Y35" s="21"/>
      </tp>
      <tp t="e">
        <v>#N/A</v>
        <stp/>
        <stp>BDH|13038767480792254137</stp>
        <tr r="G7" s="34"/>
      </tp>
      <tp t="e">
        <v>#N/A</v>
        <stp/>
        <stp>BDH|10124654123908879388</stp>
        <tr r="D67" s="13"/>
      </tp>
      <tp t="e">
        <v>#N/A</v>
        <stp/>
        <stp>BDH|10462094883425957203</stp>
        <tr r="X120" s="12"/>
      </tp>
      <tp t="e">
        <v>#N/A</v>
        <stp/>
        <stp>BDH|17238844371530606762</stp>
        <tr r="P34" s="12"/>
      </tp>
      <tp t="e">
        <v>#N/A</v>
        <stp/>
        <stp>BDH|10137175600696312821</stp>
        <tr r="V27" s="12"/>
      </tp>
      <tp t="e">
        <v>#N/A</v>
        <stp/>
        <stp>BDH|18057567936006125766</stp>
        <tr r="E21" s="6"/>
      </tp>
      <tp t="e">
        <v>#N/A</v>
        <stp/>
        <stp>BDH|18372808317646796846</stp>
        <tr r="L21" s="27"/>
      </tp>
      <tp t="e">
        <v>#N/A</v>
        <stp/>
        <stp>BDH|14187429175831477958</stp>
        <tr r="P54" s="12"/>
      </tp>
      <tp t="e">
        <v>#N/A</v>
        <stp/>
        <stp>BDH|11264477793923699074</stp>
        <tr r="O16" s="27"/>
        <tr r="O30" s="25"/>
      </tp>
      <tp t="e">
        <v>#N/A</v>
        <stp/>
        <stp>BDH|14511378989287468789</stp>
        <tr r="C11" s="11"/>
      </tp>
      <tp t="e">
        <v>#N/A</v>
        <stp/>
        <stp>BDH|11863002168608453033</stp>
        <tr r="H19" s="21"/>
        <tr r="H23" s="3"/>
        <tr r="F23" s="2"/>
      </tp>
      <tp t="e">
        <v>#N/A</v>
        <stp/>
        <stp>BDH|16755430824908711716</stp>
        <tr r="Y27" s="22"/>
      </tp>
      <tp t="e">
        <v>#N/A</v>
        <stp/>
        <stp>BDH|11981520401738459381</stp>
        <tr r="T73" s="18"/>
      </tp>
      <tp t="e">
        <v>#N/A</v>
        <stp/>
        <stp>BDH|11376972906034366378</stp>
        <tr r="M29" s="17"/>
      </tp>
      <tp t="e">
        <v>#N/A</v>
        <stp/>
        <stp>BDH|12985845938197742143</stp>
        <tr r="L38" s="11"/>
        <tr r="L47" s="10"/>
      </tp>
      <tp t="e">
        <v>#N/A</v>
        <stp/>
        <stp>BDH|17506544494773794741</stp>
        <tr r="X69" s="34"/>
      </tp>
      <tp t="e">
        <v>#N/A</v>
        <stp/>
        <stp>BDH|11857304595163938729</stp>
        <tr r="Q53" s="24"/>
      </tp>
      <tp t="e">
        <v>#N/A</v>
        <stp/>
        <stp>BDH|10301382885340126499</stp>
        <tr r="W32" s="29"/>
        <tr r="U34" s="5"/>
      </tp>
      <tp t="e">
        <v>#N/A</v>
        <stp/>
        <stp>BDH|15266616897241510479</stp>
        <tr r="X16" s="27"/>
        <tr r="X30" s="25"/>
      </tp>
      <tp t="e">
        <v>#N/A</v>
        <stp/>
        <stp>BDH|11585764617500046827</stp>
        <tr r="M52" s="12"/>
      </tp>
      <tp t="e">
        <v>#N/A</v>
        <stp/>
        <stp>BDH|10585257447420212930</stp>
        <tr r="I89" s="12"/>
      </tp>
      <tp t="e">
        <v>#N/A</v>
        <stp/>
        <stp>BDH|11097322952248547034</stp>
        <tr r="S69" s="13"/>
      </tp>
      <tp t="e">
        <v>#N/A</v>
        <stp/>
        <stp>BDH|15829911103207997451</stp>
        <tr r="V37" s="29"/>
        <tr r="V23" s="29"/>
        <tr r="V14" s="29"/>
      </tp>
      <tp t="e">
        <v>#N/A</v>
        <stp/>
        <stp>BDH|11600739994348614812</stp>
        <tr r="E62" s="11"/>
        <tr r="E71" s="10"/>
      </tp>
      <tp t="e">
        <v>#N/A</v>
        <stp/>
        <stp>BDH|17614934049330381597</stp>
        <tr r="E27" s="24"/>
      </tp>
      <tp t="e">
        <v>#N/A</v>
        <stp/>
        <stp>BDH|11206845668728091882</stp>
        <tr r="P27" s="13"/>
      </tp>
      <tp t="e">
        <v>#N/A</v>
        <stp/>
        <stp>BDH|17035125485452686373</stp>
        <tr r="X97" s="18"/>
      </tp>
      <tp t="e">
        <v>#N/A</v>
        <stp/>
        <stp>BDH|12687148600888424402</stp>
        <tr r="J14" s="18"/>
      </tp>
      <tp t="e">
        <v>#N/A</v>
        <stp/>
        <stp>BDH|12644612675484124858</stp>
        <tr r="C8" s="24"/>
      </tp>
      <tp t="e">
        <v>#N/A</v>
        <stp/>
        <stp>BDH|16603568127298420657</stp>
        <tr r="R26" s="18"/>
      </tp>
      <tp t="e">
        <v>#N/A</v>
        <stp/>
        <stp>BDH|16221438949199931077</stp>
        <tr r="D67" s="34"/>
      </tp>
      <tp t="e">
        <v>#N/A</v>
        <stp/>
        <stp>BDH|10702028684961576628</stp>
        <tr r="AA53" s="18"/>
      </tp>
      <tp t="e">
        <v>#N/A</v>
        <stp/>
        <stp>BDH|18397834811569359743</stp>
        <tr r="T60" s="13"/>
      </tp>
      <tp t="e">
        <v>#N/A</v>
        <stp/>
        <stp>BDH|10646524926990555812</stp>
        <tr r="C50" s="13"/>
      </tp>
      <tp t="e">
        <v>#N/A</v>
        <stp/>
        <stp>BDH|10672627885316581726</stp>
        <tr r="R23" s="23"/>
      </tp>
      <tp t="e">
        <v>#N/A</v>
        <stp/>
        <stp>BDH|10187031056203279900</stp>
        <tr r="P10" s="21"/>
      </tp>
      <tp t="e">
        <v>#N/A</v>
        <stp/>
        <stp>BDH|12502530035183440819</stp>
        <tr r="C97" s="17"/>
      </tp>
      <tp t="e">
        <v>#N/A</v>
        <stp/>
        <stp>BDH|15794816182538347212</stp>
        <tr r="C35" s="14"/>
      </tp>
      <tp t="e">
        <v>#N/A</v>
        <stp/>
        <stp>BDH|10826398500955269956</stp>
        <tr r="Y68" s="24"/>
      </tp>
      <tp t="e">
        <v>#N/A</v>
        <stp/>
        <stp>BDH|13159991660626765597</stp>
        <tr r="S36" s="6"/>
        <tr r="S17" s="5"/>
      </tp>
      <tp t="e">
        <v>#N/A</v>
        <stp/>
        <stp>BDH|16476799660638895032</stp>
        <tr r="T38" s="29"/>
        <tr r="T15" s="29"/>
      </tp>
      <tp t="e">
        <v>#N/A</v>
        <stp/>
        <stp>BDH|12680860645207383600</stp>
        <tr r="E52" s="12"/>
      </tp>
      <tp t="e">
        <v>#N/A</v>
        <stp/>
        <stp>BDH|13663758251007497905</stp>
        <tr r="U28" s="34"/>
      </tp>
      <tp t="e">
        <v>#N/A</v>
        <stp/>
        <stp>BDH|13671762380501651207</stp>
        <tr r="H60" s="11"/>
      </tp>
      <tp t="e">
        <v>#N/A</v>
        <stp/>
        <stp>BDH|12544746649298965677</stp>
        <tr r="S14" s="20"/>
        <tr r="S123" s="18"/>
      </tp>
      <tp t="e">
        <v>#N/A</v>
        <stp/>
        <stp>BDH|10300840460789105806</stp>
        <tr r="O34" s="26"/>
      </tp>
      <tp t="e">
        <v>#N/A</v>
        <stp/>
        <stp>BDH|18231904314038059703</stp>
        <tr r="G31" s="29"/>
      </tp>
      <tp t="e">
        <v>#N/A</v>
        <stp/>
        <stp>BDH|11625250299355567096</stp>
        <tr r="H28" s="18"/>
      </tp>
      <tp t="e">
        <v>#N/A</v>
        <stp/>
        <stp>BDH|11450492038438257117</stp>
        <tr r="W51" s="18"/>
      </tp>
      <tp t="e">
        <v>#N/A</v>
        <stp/>
        <stp>BDH|11215494299623353077</stp>
        <tr r="C18" s="10"/>
      </tp>
      <tp t="e">
        <v>#N/A</v>
        <stp/>
        <stp>BDH|14002598510907926862</stp>
        <tr r="U21" s="6"/>
      </tp>
      <tp t="e">
        <v>#N/A</v>
        <stp/>
        <stp>BDH|13222932516672220635</stp>
        <tr r="F35" s="34"/>
      </tp>
      <tp t="e">
        <v>#N/A</v>
        <stp/>
        <stp>BDH|15860674243059267185</stp>
        <tr r="T23" s="12"/>
      </tp>
      <tp t="e">
        <v>#N/A</v>
        <stp/>
        <stp>BDH|15400554056729112302</stp>
        <tr r="E74" s="12"/>
      </tp>
      <tp t="e">
        <v>#N/A</v>
        <stp/>
        <stp>BDH|11778762494297588769</stp>
        <tr r="H18" s="14"/>
      </tp>
      <tp t="e">
        <v>#N/A</v>
        <stp/>
        <stp>BDH|13025844344011112171</stp>
        <tr r="K16" s="25"/>
      </tp>
      <tp t="e">
        <v>#N/A</v>
        <stp/>
        <stp>BDH|12171170720308661664</stp>
        <tr r="W49" s="6"/>
      </tp>
      <tp t="e">
        <v>#N/A</v>
        <stp/>
        <stp>BDH|10531750566747240926</stp>
        <tr r="N11" s="30"/>
      </tp>
      <tp t="e">
        <v>#N/A</v>
        <stp/>
        <stp>BDH|11155854045426164466</stp>
        <tr r="V66" s="18"/>
      </tp>
      <tp t="e">
        <v>#N/A</v>
        <stp/>
        <stp>BDH|18390474507585043658</stp>
        <tr r="G62" s="34"/>
      </tp>
      <tp t="e">
        <v>#N/A</v>
        <stp/>
        <stp>BDH|13938095299461768480</stp>
        <tr r="I18" s="21"/>
      </tp>
      <tp t="e">
        <v>#N/A</v>
        <stp/>
        <stp>BDH|10815757593241673018</stp>
        <tr r="O44" s="34"/>
      </tp>
      <tp t="e">
        <v>#N/A</v>
        <stp/>
        <stp>BDH|15455579385567762084</stp>
        <tr r="P7" s="6"/>
      </tp>
      <tp t="e">
        <v>#N/A</v>
        <stp/>
        <stp>BDH|17874808345081131556</stp>
        <tr r="W53" s="12"/>
      </tp>
      <tp t="e">
        <v>#N/A</v>
        <stp/>
        <stp>BDH|11410660526439896356</stp>
        <tr r="E83" s="12"/>
      </tp>
      <tp t="e">
        <v>#N/A</v>
        <stp/>
        <stp>BDH|15983217387160365052</stp>
        <tr r="N35" s="34"/>
      </tp>
      <tp t="e">
        <v>#N/A</v>
        <stp/>
        <stp>BDH|13124915662116862539</stp>
        <tr r="J19" s="20"/>
      </tp>
      <tp t="e">
        <v>#N/A</v>
        <stp/>
        <stp>BDH|16858848507757753657</stp>
        <tr r="O12" s="22"/>
      </tp>
      <tp t="e">
        <v>#N/A</v>
        <stp/>
        <stp>BDH|13650327909117098842</stp>
        <tr r="J20" s="29"/>
      </tp>
      <tp t="e">
        <v>#N/A</v>
        <stp/>
        <stp>BDH|14884488800989950603</stp>
        <tr r="G15" s="21"/>
      </tp>
      <tp t="e">
        <v>#N/A</v>
        <stp/>
        <stp>BDH|16839152355359390426</stp>
        <tr r="T58" s="6"/>
      </tp>
      <tp t="e">
        <v>#N/A</v>
        <stp/>
        <stp>BDH|10109131124979863572</stp>
        <tr r="K27" s="24"/>
      </tp>
      <tp t="e">
        <v>#N/A</v>
        <stp/>
        <stp>BDH|15632951411291244398</stp>
        <tr r="C68" s="17"/>
      </tp>
      <tp t="e">
        <v>#N/A</v>
        <stp/>
        <stp>BDH|13498115028779638624</stp>
        <tr r="AA61" s="12"/>
      </tp>
      <tp t="e">
        <v>#N/A</v>
        <stp/>
        <stp>BDH|14958933376932652738</stp>
        <tr r="Q11" s="14"/>
      </tp>
      <tp t="e">
        <v>#N/A</v>
        <stp/>
        <stp>BDH|12716921652523619285</stp>
        <tr r="Q157" s="18"/>
      </tp>
      <tp t="e">
        <v>#N/A</v>
        <stp/>
        <stp>BDH|18119041963834706589</stp>
        <tr r="M36" s="4"/>
      </tp>
      <tp t="e">
        <v>#N/A</v>
        <stp/>
        <stp>BDH|14803180454109911641</stp>
        <tr r="K33" s="24"/>
      </tp>
      <tp t="e">
        <v>#N/A</v>
        <stp/>
        <stp>BDH|11521892250166214571</stp>
        <tr r="L174" s="18"/>
      </tp>
      <tp t="e">
        <v>#N/A</v>
        <stp/>
        <stp>BDH|12002349448778070258</stp>
        <tr r="J43" s="34"/>
      </tp>
      <tp t="e">
        <v>#N/A</v>
        <stp/>
        <stp>BDH|12816714969678839411</stp>
        <tr r="C38" s="34"/>
      </tp>
      <tp t="e">
        <v>#N/A</v>
        <stp/>
        <stp>BDH|16021024289640105131</stp>
        <tr r="C60" s="21"/>
      </tp>
      <tp t="e">
        <v>#N/A</v>
        <stp/>
        <stp>BDH|14550880819170579283</stp>
        <tr r="L33" s="14"/>
      </tp>
      <tp t="e">
        <v>#N/A</v>
        <stp/>
        <stp>BDH|10900427156666667827</stp>
        <tr r="P32" s="26"/>
      </tp>
      <tp t="e">
        <v>#N/A</v>
        <stp/>
        <stp>BDH|13821060227169316732</stp>
        <tr r="T13" s="11"/>
      </tp>
      <tp t="e">
        <v>#N/A</v>
        <stp/>
        <stp>BDH|17566185213260680819</stp>
        <tr r="K49" s="21"/>
      </tp>
      <tp t="e">
        <v>#N/A</v>
        <stp/>
        <stp>BDH|13091117628857038802</stp>
        <tr r="G13" s="5"/>
      </tp>
      <tp t="e">
        <v>#N/A</v>
        <stp/>
        <stp>BDH|13022641455798827700</stp>
        <tr r="N16" s="34"/>
      </tp>
      <tp t="e">
        <v>#N/A</v>
        <stp/>
        <stp>BDH|12619693487125914684</stp>
        <tr r="P193" s="18"/>
      </tp>
      <tp t="e">
        <v>#N/A</v>
        <stp/>
        <stp>BDH|16401656448083356835</stp>
        <tr r="D41" s="22"/>
      </tp>
      <tp t="e">
        <v>#N/A</v>
        <stp/>
        <stp>BDH|16184623389080686756</stp>
        <tr r="D48" s="12"/>
      </tp>
      <tp t="e">
        <v>#N/A</v>
        <stp/>
        <stp>BDH|18432704605220952015</stp>
        <tr r="L16" s="10"/>
      </tp>
      <tp t="e">
        <v>#N/A</v>
        <stp/>
        <stp>BDH|13993444071529735631</stp>
        <tr r="Y36" s="14"/>
      </tp>
      <tp t="e">
        <v>#N/A</v>
        <stp/>
        <stp>BDH|15609983583862508901</stp>
        <tr r="D12" s="6"/>
      </tp>
      <tp t="e">
        <v>#N/A</v>
        <stp/>
        <stp>BDH|16633447659318498077</stp>
        <tr r="O85" s="24"/>
      </tp>
      <tp t="e">
        <v>#N/A</v>
        <stp/>
        <stp>BDH|17529545311678101498</stp>
        <tr r="L35" s="21"/>
      </tp>
      <tp t="e">
        <v>#N/A</v>
        <stp/>
        <stp>BDH|17937522814315021978</stp>
        <tr r="K43" s="18"/>
      </tp>
      <tp t="e">
        <v>#N/A</v>
        <stp/>
        <stp>BDH|12719105082093593785</stp>
        <tr r="K23" s="20"/>
      </tp>
      <tp t="e">
        <v>#N/A</v>
        <stp/>
        <stp>BDH|18145584836039180867</stp>
        <tr r="Y95" s="18"/>
      </tp>
      <tp t="e">
        <v>#N/A</v>
        <stp/>
        <stp>BDH|15833809664443639722</stp>
        <tr r="X34" s="26"/>
      </tp>
      <tp t="e">
        <v>#N/A</v>
        <stp/>
        <stp>BDH|10892553472568124562</stp>
        <tr r="Y50" s="34"/>
      </tp>
      <tp t="e">
        <v>#N/A</v>
        <stp/>
        <stp>BDH|11414841879701419058</stp>
        <tr r="O25" s="21"/>
      </tp>
      <tp t="e">
        <v>#N/A</v>
        <stp/>
        <stp>BDH|18081650534347150580</stp>
        <tr r="J30" s="24"/>
      </tp>
      <tp t="e">
        <v>#N/A</v>
        <stp/>
        <stp>BDH|10257366298867360273</stp>
        <tr r="AA78" s="17"/>
      </tp>
      <tp t="e">
        <v>#N/A</v>
        <stp/>
        <stp>BDH|11869403061955923983</stp>
        <tr r="S22" s="12"/>
      </tp>
      <tp t="e">
        <v>#N/A</v>
        <stp/>
        <stp>BDH|11041616688467781762</stp>
        <tr r="X85" s="17"/>
        <tr r="V6" s="7"/>
        <tr r="X20" s="3"/>
      </tp>
      <tp t="e">
        <v>#N/A</v>
        <stp/>
        <stp>BDH|14618737277263359892</stp>
        <tr r="W86" s="12"/>
      </tp>
      <tp t="e">
        <v>#N/A</v>
        <stp/>
        <stp>BDH|12364446482175575485</stp>
        <tr r="O46" s="18"/>
      </tp>
      <tp t="e">
        <v>#N/A</v>
        <stp/>
        <stp>BDH|17782616500826816865</stp>
        <tr r="G88" s="12"/>
      </tp>
      <tp t="e">
        <v>#N/A</v>
        <stp/>
        <stp>BDH|13590785158827961940</stp>
        <tr r="D11" s="10"/>
        <tr r="D14" s="2"/>
      </tp>
      <tp t="e">
        <v>#N/A</v>
        <stp/>
        <stp>BDH|17765876019784563540</stp>
        <tr r="Q45" s="18"/>
      </tp>
      <tp t="e">
        <v>#N/A</v>
        <stp/>
        <stp>BDH|12218530146484863872</stp>
        <tr r="E6" s="15"/>
        <tr r="E6" s="10"/>
        <tr r="E11" s="4"/>
        <tr r="E12" s="2"/>
      </tp>
      <tp t="e">
        <v>#N/A</v>
        <stp/>
        <stp>BDH|13641916856162112282</stp>
        <tr r="M26" s="27"/>
      </tp>
      <tp t="e">
        <v>#N/A</v>
        <stp/>
        <stp>BDH|15376784510935196924</stp>
        <tr r="V35" s="21"/>
      </tp>
      <tp t="e">
        <v>#N/A</v>
        <stp/>
        <stp>BDH|18260122842683316194</stp>
        <tr r="E9" s="6"/>
      </tp>
      <tp t="e">
        <v>#N/A</v>
        <stp/>
        <stp>BDH|11686459584585739780</stp>
        <tr r="AA142" s="18"/>
      </tp>
      <tp t="e">
        <v>#N/A</v>
        <stp/>
        <stp>BDH|16268773082063749584</stp>
        <tr r="H39" s="24"/>
      </tp>
      <tp t="e">
        <v>#N/A</v>
        <stp/>
        <stp>BDH|13400935095375326991</stp>
        <tr r="P15" s="30"/>
      </tp>
      <tp t="e">
        <v>#N/A</v>
        <stp/>
        <stp>BDH|12516553345889613581</stp>
        <tr r="I73" s="24"/>
      </tp>
      <tp t="e">
        <v>#N/A</v>
        <stp/>
        <stp>BDH|14914704297296195344</stp>
        <tr r="K44" s="21"/>
      </tp>
      <tp t="e">
        <v>#N/A</v>
        <stp/>
        <stp>BDH|10868119149512879837</stp>
        <tr r="V10" s="11"/>
      </tp>
      <tp t="e">
        <v>#N/A</v>
        <stp/>
        <stp>BDH|13194641748578346653</stp>
        <tr r="U191" s="18"/>
      </tp>
      <tp t="e">
        <v>#N/A</v>
        <stp/>
        <stp>BDH|17456139314060049881</stp>
        <tr r="M8" s="17"/>
      </tp>
      <tp t="e">
        <v>#N/A</v>
        <stp/>
        <stp>BDH|17209445288923451711</stp>
        <tr r="C53" s="13"/>
      </tp>
      <tp t="e">
        <v>#N/A</v>
        <stp/>
        <stp>BDH|10315964085199886734</stp>
        <tr r="U32" s="13"/>
        <tr r="S24" s="11"/>
        <tr r="S33" s="10"/>
        <tr r="S45" s="4"/>
      </tp>
      <tp t="e">
        <v>#N/A</v>
        <stp/>
        <stp>BDH|10297357858520248967</stp>
        <tr r="Y36" s="17"/>
      </tp>
      <tp t="e">
        <v>#N/A</v>
        <stp/>
        <stp>BDH|14412596385807154122</stp>
        <tr r="T33" s="24"/>
      </tp>
      <tp t="e">
        <v>#N/A</v>
        <stp/>
        <stp>BDH|11824718415238578020</stp>
        <tr r="M44" s="18"/>
      </tp>
      <tp t="e">
        <v>#N/A</v>
        <stp/>
        <stp>BDH|10930414311123484961</stp>
        <tr r="E11" s="24"/>
      </tp>
      <tp t="e">
        <v>#N/A</v>
        <stp/>
        <stp>BDH|17704519062792764985</stp>
        <tr r="P40" s="18"/>
      </tp>
      <tp t="e">
        <v>#N/A</v>
        <stp/>
        <stp>BDH|10657948372317838631</stp>
        <tr r="M39" s="22"/>
      </tp>
      <tp t="e">
        <v>#N/A</v>
        <stp/>
        <stp>BDH|10404700130682983962</stp>
        <tr r="C17" s="14"/>
      </tp>
      <tp t="e">
        <v>#N/A</v>
        <stp/>
        <stp>BDH|17837930741321858496</stp>
        <tr r="M132" s="18"/>
      </tp>
      <tp t="e">
        <v>#N/A</v>
        <stp/>
        <stp>BDH|11607431598347181478</stp>
        <tr r="F42" s="29"/>
        <tr r="F33" s="29"/>
        <tr r="D55" s="6"/>
        <tr r="D11" s="5"/>
        <tr r="E10" s="2"/>
      </tp>
      <tp t="e">
        <v>#N/A</v>
        <stp/>
        <stp>BDH|16592108181493823377</stp>
        <tr r="I22" s="18"/>
      </tp>
      <tp t="e">
        <v>#N/A</v>
        <stp/>
        <stp>BDH|12073083653159130116</stp>
        <tr r="F43" s="18"/>
      </tp>
      <tp t="e">
        <v>#N/A</v>
        <stp/>
        <stp>BDH|11051539687791752289</stp>
        <tr r="X51" s="21"/>
      </tp>
      <tp t="e">
        <v>#N/A</v>
        <stp/>
        <stp>BDH|11770081841543717925</stp>
        <tr r="K13" s="5"/>
      </tp>
      <tp t="e">
        <v>#N/A</v>
        <stp/>
        <stp>BDH|14533270119791348937</stp>
        <tr r="Y99" s="18"/>
      </tp>
      <tp t="e">
        <v>#N/A</v>
        <stp/>
        <stp>BDH|11915835200705905384</stp>
        <tr r="E19" s="13"/>
        <tr r="C62" s="10"/>
        <tr r="C32" s="4"/>
        <tr r="C16" s="2"/>
      </tp>
      <tp t="e">
        <v>#N/A</v>
        <stp/>
        <stp>BDH|15992921924066685726</stp>
        <tr r="L18" s="6"/>
      </tp>
      <tp t="e">
        <v>#N/A</v>
        <stp/>
        <stp>BDH|12769363998334292309</stp>
        <tr r="L23" s="22"/>
      </tp>
      <tp t="e">
        <v>#N/A</v>
        <stp/>
        <stp>BDH|16196599363822686866</stp>
        <tr r="L70" s="18"/>
      </tp>
      <tp t="e">
        <v>#N/A</v>
        <stp/>
        <stp>BDH|15060318283462994305</stp>
        <tr r="C200" s="18"/>
      </tp>
      <tp t="e">
        <v>#N/A</v>
        <stp/>
        <stp>BDH|13287378195597327182</stp>
        <tr r="T184" s="18"/>
      </tp>
      <tp t="e">
        <v>#N/A</v>
        <stp/>
        <stp>BDH|10769971929842032629</stp>
        <tr r="F63" s="34"/>
      </tp>
      <tp t="e">
        <v>#N/A</v>
        <stp/>
        <stp>BDH|16118691336115678933</stp>
        <tr r="Z110" s="12"/>
      </tp>
      <tp t="e">
        <v>#N/A</v>
        <stp/>
        <stp>BDH|12449803606335131083</stp>
        <tr r="G87" s="24"/>
      </tp>
      <tp t="e">
        <v>#N/A</v>
        <stp/>
        <stp>BDH|16399245545039984600</stp>
        <tr r="U24" s="21"/>
      </tp>
      <tp t="e">
        <v>#N/A</v>
        <stp/>
        <stp>BDH|16004923980829889117</stp>
        <tr r="G98" s="18"/>
      </tp>
      <tp t="e">
        <v>#N/A</v>
        <stp/>
        <stp>BDH|13499664294665500690</stp>
        <tr r="Q21" s="12"/>
      </tp>
      <tp t="e">
        <v>#N/A</v>
        <stp/>
        <stp>BDH|13826904393564718869</stp>
        <tr r="U114" s="12"/>
      </tp>
      <tp t="e">
        <v>#N/A</v>
        <stp/>
        <stp>BDH|14325073858518286647</stp>
        <tr r="M21" s="4"/>
      </tp>
      <tp t="e">
        <v>#N/A</v>
        <stp/>
        <stp>BDH|17199346119072575832</stp>
        <tr r="D85" s="17"/>
        <tr r="D20" s="3"/>
      </tp>
      <tp t="e">
        <v>#N/A</v>
        <stp/>
        <stp>BDH|16139995630682219108</stp>
        <tr r="P106" s="18"/>
      </tp>
      <tp t="e">
        <v>#N/A</v>
        <stp/>
        <stp>BDH|14297340885586065693</stp>
        <tr r="M101" s="12"/>
      </tp>
      <tp t="e">
        <v>#N/A</v>
        <stp/>
        <stp>BDH|15658581194405095301</stp>
        <tr r="H24" s="9"/>
      </tp>
      <tp t="e">
        <v>#N/A</v>
        <stp/>
        <stp>BDH|13142188410779020531</stp>
        <tr r="V77" s="18"/>
      </tp>
      <tp t="e">
        <v>#N/A</v>
        <stp/>
        <stp>BDH|12707804661096491582</stp>
        <tr r="Y66" s="10"/>
        <tr r="Y39" s="4"/>
      </tp>
      <tp t="e">
        <v>#N/A</v>
        <stp/>
        <stp>BDH|13927888822181012795</stp>
        <tr r="X80" s="12"/>
      </tp>
      <tp t="e">
        <v>#N/A</v>
        <stp/>
        <stp>BDH|17208208215369945241</stp>
        <tr r="I113" s="12"/>
      </tp>
      <tp t="e">
        <v>#N/A</v>
        <stp/>
        <stp>BDH|16958825269397886005</stp>
        <tr r="AA63" s="13"/>
      </tp>
      <tp t="e">
        <v>#N/A</v>
        <stp/>
        <stp>BDH|11358576090976807467</stp>
        <tr r="J16" s="14"/>
      </tp>
      <tp t="e">
        <v>#N/A</v>
        <stp/>
        <stp>BDH|17709295170778192557</stp>
        <tr r="X23" s="20"/>
      </tp>
      <tp t="e">
        <v>#N/A</v>
        <stp/>
        <stp>BDH|16838347980186087461</stp>
        <tr r="S23" s="17"/>
      </tp>
      <tp t="e">
        <v>#N/A</v>
        <stp/>
        <stp>BDH|12320943913941620489</stp>
        <tr r="K18" s="27"/>
        <tr r="K32" s="25"/>
      </tp>
      <tp t="e">
        <v>#N/A</v>
        <stp/>
        <stp>BDH|15721901150145991348</stp>
        <tr r="O8" s="12"/>
      </tp>
      <tp t="e">
        <v>#N/A</v>
        <stp/>
        <stp>BDH|16183031183938257996</stp>
        <tr r="Z30" s="34"/>
      </tp>
      <tp t="e">
        <v>#N/A</v>
        <stp/>
        <stp>BDH|14606069689957328400</stp>
        <tr r="O32" s="13"/>
        <tr r="M24" s="11"/>
        <tr r="M33" s="10"/>
        <tr r="M45" s="4"/>
      </tp>
      <tp t="e">
        <v>#N/A</v>
        <stp/>
        <stp>BDH|13272933086388430596</stp>
        <tr r="Y27" s="17"/>
      </tp>
      <tp t="e">
        <v>#N/A</v>
        <stp/>
        <stp>BDH|14984006252849566741</stp>
        <tr r="P204" s="18"/>
      </tp>
      <tp t="e">
        <v>#N/A</v>
        <stp/>
        <stp>BDH|13949721744387647833</stp>
        <tr r="W41" s="22"/>
      </tp>
      <tp t="e">
        <v>#N/A</v>
        <stp/>
        <stp>BDH|18424423724804012589</stp>
        <tr r="P85" s="24"/>
      </tp>
      <tp t="e">
        <v>#N/A</v>
        <stp/>
        <stp>BDH|10841447649307717880</stp>
        <tr r="Q8" s="25"/>
        <tr r="N10" s="5"/>
        <tr r="O9" s="2"/>
      </tp>
      <tp t="e">
        <v>#N/A</v>
        <stp/>
        <stp>BDH|18400254975567979576</stp>
        <tr r="O186" s="18"/>
      </tp>
      <tp t="e">
        <v>#N/A</v>
        <stp/>
        <stp>BDH|11034382074568552231</stp>
        <tr r="N167" s="18"/>
      </tp>
      <tp t="e">
        <v>#N/A</v>
        <stp/>
        <stp>BDH|17584475741581818919</stp>
        <tr r="M29" s="29"/>
        <tr r="M7" s="29"/>
      </tp>
      <tp t="e">
        <v>#N/A</v>
        <stp/>
        <stp>BDH|13420327098370254664</stp>
        <tr r="R14" s="10"/>
      </tp>
      <tp t="e">
        <v>#N/A</v>
        <stp/>
        <stp>BDH|14513715183464476090</stp>
        <tr r="U50" s="21"/>
      </tp>
      <tp t="e">
        <v>#N/A</v>
        <stp/>
        <stp>BDH|10999763912928665113</stp>
        <tr r="P29" s="21"/>
      </tp>
      <tp t="e">
        <v>#N/A</v>
        <stp/>
        <stp>BDH|18317401173125315196</stp>
        <tr r="N6" s="20"/>
        <tr r="N116" s="18"/>
      </tp>
      <tp t="e">
        <v>#N/A</v>
        <stp/>
        <stp>BDH|13157831749181034113</stp>
        <tr r="D95" s="12"/>
      </tp>
      <tp t="e">
        <v>#N/A</v>
        <stp/>
        <stp>BDH|11285535899325420769</stp>
        <tr r="U77" s="12"/>
      </tp>
      <tp t="e">
        <v>#N/A</v>
        <stp/>
        <stp>BDH|12003773792627970467</stp>
        <tr r="L59" s="12"/>
      </tp>
      <tp t="e">
        <v>#N/A</v>
        <stp/>
        <stp>BDH|15115822578892382727</stp>
        <tr r="U17" s="13"/>
      </tp>
      <tp t="e">
        <v>#N/A</v>
        <stp/>
        <stp>BDH|17656199576757335973</stp>
        <tr r="S117" s="12"/>
      </tp>
      <tp t="e">
        <v>#N/A</v>
        <stp/>
        <stp>BDH|18131493504212616179</stp>
        <tr r="W14" s="13"/>
      </tp>
      <tp t="e">
        <v>#N/A</v>
        <stp/>
        <stp>BDH|11463713382315269489</stp>
        <tr r="W101" s="12"/>
      </tp>
      <tp t="e">
        <v>#N/A</v>
        <stp/>
        <stp>BDH|17778899192438872194</stp>
        <tr r="Y182" s="18"/>
      </tp>
      <tp t="e">
        <v>#N/A</v>
        <stp/>
        <stp>BDH|15523098916823432838</stp>
        <tr r="K94" s="24"/>
      </tp>
      <tp t="e">
        <v>#N/A</v>
        <stp/>
        <stp>BDH|11931239896230241534</stp>
        <tr r="X44" s="24"/>
      </tp>
      <tp t="e">
        <v>#N/A</v>
        <stp/>
        <stp>BDH|13017474311499816038</stp>
        <tr r="G79" s="18"/>
      </tp>
      <tp t="e">
        <v>#N/A</v>
        <stp/>
        <stp>BDH|13419479195190956124</stp>
        <tr r="C57" s="12"/>
      </tp>
      <tp t="e">
        <v>#N/A</v>
        <stp/>
        <stp>BDH|15399491052633597808</stp>
        <tr r="F8" s="11"/>
      </tp>
      <tp t="e">
        <v>#N/A</v>
        <stp/>
        <stp>BDH|11222608228043177962</stp>
        <tr r="F22" s="24"/>
      </tp>
      <tp t="e">
        <v>#N/A</v>
        <stp/>
        <stp>BDH|17033819832561776296</stp>
        <tr r="P52" s="12"/>
      </tp>
      <tp t="e">
        <v>#N/A</v>
        <stp/>
        <stp>BDH|14141034305299249288</stp>
        <tr r="S63" s="18"/>
      </tp>
      <tp t="e">
        <v>#N/A</v>
        <stp/>
        <stp>BDH|18288981816719105603</stp>
        <tr r="P92" s="17"/>
      </tp>
      <tp t="e">
        <v>#N/A</v>
        <stp/>
        <stp>BDH|17741913209336018729</stp>
        <tr r="M26" s="22"/>
      </tp>
      <tp t="e">
        <v>#N/A</v>
        <stp/>
        <stp>BDH|13954050443831350914</stp>
        <tr r="U11" s="17"/>
      </tp>
      <tp t="e">
        <v>#N/A</v>
        <stp/>
        <stp>BDH|16780580831948764744</stp>
        <tr r="G53" s="13"/>
      </tp>
      <tp t="e">
        <v>#N/A</v>
        <stp/>
        <stp>BDH|15924562283964684372</stp>
        <tr r="D78" s="24"/>
      </tp>
      <tp t="e">
        <v>#N/A</v>
        <stp/>
        <stp>BDH|10755524409519141303</stp>
        <tr r="AA47" s="18"/>
      </tp>
      <tp t="e">
        <v>#N/A</v>
        <stp/>
        <stp>BDH|15898802005943903190</stp>
        <tr r="V9" s="28"/>
      </tp>
      <tp t="e">
        <v>#N/A</v>
        <stp/>
        <stp>BDH|12756809902297155299</stp>
        <tr r="I84" s="24"/>
      </tp>
      <tp t="e">
        <v>#N/A</v>
        <stp/>
        <stp>BDH|11971976632217338321</stp>
        <tr r="W71" s="34"/>
      </tp>
      <tp t="e">
        <v>#N/A</v>
        <stp/>
        <stp>BDH|12249901732526864157</stp>
        <tr r="J66" s="12"/>
      </tp>
      <tp t="e">
        <v>#N/A</v>
        <stp/>
        <stp>BDH|15512387019079162181</stp>
        <tr r="D17" s="24"/>
      </tp>
      <tp t="e">
        <v>#N/A</v>
        <stp/>
        <stp>BDH|10978201607144654952</stp>
        <tr r="V62" s="11"/>
        <tr r="V71" s="10"/>
      </tp>
      <tp t="e">
        <v>#N/A</v>
        <stp/>
        <stp>BDH|13112910928497046051</stp>
        <tr r="D77" s="24"/>
      </tp>
      <tp t="e">
        <v>#N/A</v>
        <stp/>
        <stp>BDH|10854929551900472322</stp>
        <tr r="K43" s="24"/>
      </tp>
      <tp t="e">
        <v>#N/A</v>
        <stp/>
        <stp>BDH|10962946374603390278</stp>
        <tr r="AA70" s="17"/>
        <tr r="AA18" s="3"/>
      </tp>
      <tp t="e">
        <v>#N/A</v>
        <stp/>
        <stp>BDH|12954826661701251256</stp>
        <tr r="W6" s="27"/>
      </tp>
      <tp t="e">
        <v>#N/A</v>
        <stp/>
        <stp>BDH|13976273289033954536</stp>
        <tr r="Q19" s="6"/>
      </tp>
      <tp t="e">
        <v>#N/A</v>
        <stp/>
        <stp>BDH|16277417982337843241</stp>
        <tr r="K29" s="12"/>
      </tp>
      <tp t="e">
        <v>#N/A</v>
        <stp/>
        <stp>BDH|17674937058283544750</stp>
        <tr r="J22" s="4"/>
      </tp>
      <tp t="e">
        <v>#N/A</v>
        <stp/>
        <stp>BDH|14090842748851566640</stp>
        <tr r="P9" s="30"/>
      </tp>
      <tp t="e">
        <v>#N/A</v>
        <stp/>
        <stp>BDH|13471509256449986567</stp>
        <tr r="O12" s="26"/>
      </tp>
      <tp t="e">
        <v>#N/A</v>
        <stp/>
        <stp>BDH|10052402499173371174</stp>
        <tr r="S9" s="10"/>
      </tp>
      <tp t="e">
        <v>#N/A</v>
        <stp/>
        <stp>BDH|14527592081521279726</stp>
        <tr r="I26" s="14"/>
      </tp>
      <tp t="e">
        <v>#N/A</v>
        <stp/>
        <stp>BDH|16503744836019281488</stp>
        <tr r="C9" s="11"/>
      </tp>
      <tp t="e">
        <v>#N/A</v>
        <stp/>
        <stp>BDH|16860734996640728772</stp>
        <tr r="E88" s="18"/>
      </tp>
      <tp t="e">
        <v>#N/A</v>
        <stp/>
        <stp>BDH|14600796392817028217</stp>
        <tr r="Y85" s="12"/>
      </tp>
      <tp t="e">
        <v>#N/A</v>
        <stp/>
        <stp>BDH|10594917457566891579</stp>
        <tr r="H51" s="13"/>
      </tp>
      <tp t="e">
        <v>#N/A</v>
        <stp/>
        <stp>BDH|16044725529298283452</stp>
        <tr r="E18" s="24"/>
      </tp>
      <tp t="e">
        <v>#N/A</v>
        <stp/>
        <stp>BDH|15996818414103905099</stp>
        <tr r="S211" s="18"/>
      </tp>
      <tp t="e">
        <v>#N/A</v>
        <stp/>
        <stp>BDH|16007024313720531889</stp>
        <tr r="F33" s="18"/>
      </tp>
      <tp t="e">
        <v>#N/A</v>
        <stp/>
        <stp>BDH|16408999051687526254</stp>
        <tr r="S33" s="13"/>
        <tr r="Q26" s="10"/>
      </tp>
      <tp t="e">
        <v>#N/A</v>
        <stp/>
        <stp>BDH|14414815733863957330</stp>
        <tr r="C86" s="18"/>
      </tp>
      <tp t="e">
        <v>#N/A</v>
        <stp/>
        <stp>BDH|17276699885083670541</stp>
        <tr r="G48" s="18"/>
      </tp>
      <tp t="e">
        <v>#N/A</v>
        <stp/>
        <stp>BDH|14599486031385910995</stp>
        <tr r="D8" s="18"/>
      </tp>
      <tp t="e">
        <v>#N/A</v>
        <stp/>
        <stp>BDH|10351097897852820497</stp>
        <tr r="J26" s="17"/>
      </tp>
      <tp t="e">
        <v>#N/A</v>
        <stp/>
        <stp>BDH|13076582880939531812</stp>
        <tr r="X34" s="18"/>
      </tp>
      <tp t="e">
        <v>#N/A</v>
        <stp/>
        <stp>BDH|13289111911178868462</stp>
        <tr r="W13" s="2"/>
      </tp>
      <tp t="e">
        <v>#N/A</v>
        <stp/>
        <stp>BDH|15911612147509552160</stp>
        <tr r="F9" s="26"/>
      </tp>
      <tp t="e">
        <v>#N/A</v>
        <stp/>
        <stp>BDH|14882232920942710900</stp>
        <tr r="AA6" s="27"/>
      </tp>
      <tp t="e">
        <v>#N/A</v>
        <stp/>
        <stp>BDH|11145471490605925633</stp>
        <tr r="D98" s="12"/>
      </tp>
      <tp t="e">
        <v>#N/A</v>
        <stp/>
        <stp>BDH|10717859279324285451</stp>
        <tr r="D38" s="13"/>
      </tp>
      <tp t="e">
        <v>#N/A</v>
        <stp/>
        <stp>BDH|17436011389174450444</stp>
        <tr r="J40" s="18"/>
      </tp>
      <tp t="e">
        <v>#N/A</v>
        <stp/>
        <stp>BDH|14665480111186300806</stp>
        <tr r="L58" s="18"/>
      </tp>
      <tp t="e">
        <v>#N/A</v>
        <stp/>
        <stp>BDH|15073291682636603611</stp>
        <tr r="D26" s="7"/>
      </tp>
      <tp t="e">
        <v>#N/A</v>
        <stp/>
        <stp>BDH|17917647650478343327</stp>
        <tr r="V92" s="18"/>
      </tp>
      <tp t="e">
        <v>#N/A</v>
        <stp/>
        <stp>BDH|11707566543448750796</stp>
        <tr r="W76" s="17"/>
      </tp>
      <tp t="e">
        <v>#N/A</v>
        <stp/>
        <stp>BDH|16768890823080801391</stp>
        <tr r="C26" s="29"/>
      </tp>
      <tp t="e">
        <v>#N/A</v>
        <stp/>
        <stp>BDH|10973243303135428860</stp>
        <tr r="AA204" s="18"/>
      </tp>
      <tp t="e">
        <v>#N/A</v>
        <stp/>
        <stp>BDH|16050250261818922519</stp>
        <tr r="Y125" s="18"/>
      </tp>
      <tp t="e">
        <v>#N/A</v>
        <stp/>
        <stp>BDH|10610011122209871413</stp>
        <tr r="D20" s="18"/>
      </tp>
      <tp t="e">
        <v>#N/A</v>
        <stp/>
        <stp>BDH|12449091301315163815</stp>
        <tr r="V55" s="12"/>
      </tp>
      <tp t="e">
        <v>#N/A</v>
        <stp/>
        <stp>BDH|10381030802149696685</stp>
        <tr r="O51" s="18"/>
      </tp>
      <tp t="e">
        <v>#N/A</v>
        <stp/>
        <stp>BDH|13732520817469827160</stp>
        <tr r="J34" s="14"/>
      </tp>
      <tp t="e">
        <v>#N/A</v>
        <stp/>
        <stp>BDH|12353928158036581700</stp>
        <tr r="Z26" s="26"/>
      </tp>
      <tp t="e">
        <v>#N/A</v>
        <stp/>
        <stp>BDH|12649944839265438235</stp>
        <tr r="D99" s="12"/>
      </tp>
      <tp t="e">
        <v>#N/A</v>
        <stp/>
        <stp>BDH|12987354862558052028</stp>
        <tr r="K73" s="17"/>
      </tp>
      <tp t="e">
        <v>#N/A</v>
        <stp/>
        <stp>BDH|16965460786986047360</stp>
        <tr r="P34" s="14"/>
      </tp>
      <tp t="e">
        <v>#N/A</v>
        <stp/>
        <stp>BDH|10000915779751117069</stp>
        <tr r="I42" s="21"/>
      </tp>
      <tp t="e">
        <v>#N/A</v>
        <stp/>
        <stp>BDH|12659214769398637178</stp>
        <tr r="N36" s="17"/>
      </tp>
      <tp t="e">
        <v>#N/A</v>
        <stp/>
        <stp>BDH|15837879711262724162</stp>
        <tr r="P28" s="18"/>
      </tp>
      <tp t="e">
        <v>#N/A</v>
        <stp/>
        <stp>BDH|16481952854200264581</stp>
        <tr r="D86" s="24"/>
      </tp>
      <tp t="e">
        <v>#N/A</v>
        <stp/>
        <stp>BDH|18384430649577275045</stp>
        <tr r="V14" s="18"/>
      </tp>
      <tp t="e">
        <v>#N/A</v>
        <stp/>
        <stp>BDH|10919798489427213742</stp>
        <tr r="E76" s="18"/>
      </tp>
      <tp t="e">
        <v>#N/A</v>
        <stp/>
        <stp>BDH|13143842583954145885</stp>
        <tr r="E8" s="21"/>
      </tp>
      <tp t="e">
        <v>#N/A</v>
        <stp/>
        <stp>BDH|13970446593826831794</stp>
        <tr r="L22" s="17"/>
        <tr r="L15" s="3"/>
      </tp>
      <tp t="e">
        <v>#N/A</v>
        <stp/>
        <stp>BDH|17939404426747154918</stp>
        <tr r="V125" s="18"/>
      </tp>
      <tp t="e">
        <v>#N/A</v>
        <stp/>
        <stp>BDH|16975052996910256074</stp>
        <tr r="R45" s="12"/>
      </tp>
      <tp t="e">
        <v>#N/A</v>
        <stp/>
        <stp>BDH|13838239825298309425</stp>
        <tr r="Y71" s="12"/>
      </tp>
      <tp t="e">
        <v>#N/A</v>
        <stp/>
        <stp>BDH|10931663071386366826</stp>
        <tr r="O94" s="18"/>
      </tp>
      <tp t="e">
        <v>#N/A</v>
        <stp/>
        <stp>BDH|16799066468367460828</stp>
        <tr r="H81" s="17"/>
      </tp>
      <tp t="e">
        <v>#N/A</v>
        <stp/>
        <stp>BDH|14271471810186866823</stp>
        <tr r="P35" s="18"/>
      </tp>
      <tp t="e">
        <v>#N/A</v>
        <stp/>
        <stp>BDH|13111688890790750319</stp>
        <tr r="Q81" s="18"/>
      </tp>
      <tp t="e">
        <v>#N/A</v>
        <stp/>
        <stp>BDH|18365786184778350030</stp>
        <tr r="M100" s="12"/>
      </tp>
      <tp t="e">
        <v>#N/A</v>
        <stp/>
        <stp>BDH|15934674945349514114</stp>
        <tr r="T68" s="18"/>
      </tp>
      <tp t="e">
        <v>#N/A</v>
        <stp/>
        <stp>BDH|10471494890022020020</stp>
        <tr r="E65" s="13"/>
      </tp>
      <tp t="e">
        <v>#N/A</v>
        <stp/>
        <stp>BDH|17833807553567675227</stp>
        <tr r="F43" s="6"/>
      </tp>
      <tp t="e">
        <v>#N/A</v>
        <stp/>
        <stp>BDH|11027526198211403317</stp>
        <tr r="G99" s="12"/>
      </tp>
      <tp t="e">
        <v>#N/A</v>
        <stp/>
        <stp>BDH|12285988773627547433</stp>
        <tr r="J202" s="18"/>
      </tp>
      <tp t="e">
        <v>#N/A</v>
        <stp/>
        <stp>BDH|13799153780062986742</stp>
        <tr r="O34" s="11"/>
        <tr r="O43" s="10"/>
      </tp>
      <tp t="e">
        <v>#N/A</v>
        <stp/>
        <stp>BDH|14539236135153836947</stp>
        <tr r="M28" s="18"/>
      </tp>
      <tp t="e">
        <v>#N/A</v>
        <stp/>
        <stp>BDH|15068965725031836040</stp>
        <tr r="V19" s="25"/>
      </tp>
      <tp t="e">
        <v>#N/A</v>
        <stp/>
        <stp>BDH|11840330595522840693</stp>
        <tr r="K97" s="18"/>
      </tp>
      <tp t="e">
        <v>#N/A</v>
        <stp/>
        <stp>BDH|13185002680531801569</stp>
        <tr r="T146" s="18"/>
      </tp>
      <tp t="e">
        <v>#N/A</v>
        <stp/>
        <stp>BDH|13281574597116525689</stp>
        <tr r="H18" s="27"/>
        <tr r="H32" s="25"/>
      </tp>
      <tp t="e">
        <v>#N/A</v>
        <stp/>
        <stp>BDH|13619327489256681149</stp>
        <tr r="V99" s="18"/>
      </tp>
      <tp t="e">
        <v>#N/A</v>
        <stp/>
        <stp>BDH|17141820439855613638</stp>
        <tr r="G10" s="21"/>
      </tp>
      <tp t="e">
        <v>#N/A</v>
        <stp/>
        <stp>BDH|14883175674768091546</stp>
        <tr r="K15" s="11"/>
      </tp>
      <tp t="e">
        <v>#N/A</v>
        <stp/>
        <stp>BDH|11757001231008141584</stp>
        <tr r="S85" s="12"/>
      </tp>
      <tp t="e">
        <v>#N/A</v>
        <stp/>
        <stp>BDH|15198277469816143809</stp>
        <tr r="I13" s="21"/>
      </tp>
      <tp t="e">
        <v>#N/A</v>
        <stp/>
        <stp>BDH|12063823544334982515</stp>
        <tr r="G85" s="18"/>
      </tp>
      <tp t="e">
        <v>#N/A</v>
        <stp/>
        <stp>BDH|14850884235433276399</stp>
        <tr r="Q73" s="17"/>
      </tp>
      <tp t="e">
        <v>#N/A</v>
        <stp/>
        <stp>BDH|16190481196097974385</stp>
        <tr r="G19" s="23"/>
        <tr r="E59" s="11"/>
      </tp>
      <tp t="e">
        <v>#N/A</v>
        <stp/>
        <stp>BDH|13465702791173296196</stp>
        <tr r="V20" s="5"/>
      </tp>
      <tp t="e">
        <v>#N/A</v>
        <stp/>
        <stp>BDH|16761708796231772682</stp>
        <tr r="O11" s="10"/>
        <tr r="O14" s="2"/>
      </tp>
      <tp t="e">
        <v>#N/A</v>
        <stp/>
        <stp>BDH|16734954016529882822</stp>
        <tr r="V60" s="21"/>
        <tr r="T54" s="11"/>
      </tp>
      <tp t="e">
        <v>#N/A</v>
        <stp/>
        <stp>BDH|17225870567076823048</stp>
        <tr r="V28" s="12"/>
      </tp>
      <tp t="e">
        <v>#N/A</v>
        <stp/>
        <stp>BDH|16034100404891869925</stp>
        <tr r="E155" s="18"/>
      </tp>
      <tp t="e">
        <v>#N/A</v>
        <stp/>
        <stp>BDH|12009438109020251962</stp>
        <tr r="J63" s="10"/>
      </tp>
      <tp t="e">
        <v>#N/A</v>
        <stp/>
        <stp>BDH|11925013575819406076</stp>
        <tr r="D158" s="18"/>
      </tp>
      <tp t="e">
        <v>#N/A</v>
        <stp/>
        <stp>BDH|14346698193950093473</stp>
        <tr r="P74" s="24"/>
      </tp>
      <tp t="e">
        <v>#N/A</v>
        <stp/>
        <stp>BDH|15176885434516635758</stp>
        <tr r="U45" s="21"/>
      </tp>
      <tp t="e">
        <v>#N/A</v>
        <stp/>
        <stp>BDH|17255259548779266731</stp>
        <tr r="U18" s="11"/>
      </tp>
      <tp t="e">
        <v>#N/A</v>
        <stp/>
        <stp>BDH|17850955367950615724</stp>
        <tr r="U82" s="12"/>
      </tp>
      <tp t="e">
        <v>#N/A</v>
        <stp/>
        <stp>BDH|12542143680091747580</stp>
        <tr r="S52" s="24"/>
      </tp>
      <tp t="e">
        <v>#N/A</v>
        <stp/>
        <stp>BDH|15107251491455241492</stp>
        <tr r="W17" s="12"/>
      </tp>
      <tp t="e">
        <v>#N/A</v>
        <stp/>
        <stp>BDH|13111014608198535435</stp>
        <tr r="Z113" s="12"/>
      </tp>
      <tp t="e">
        <v>#N/A</v>
        <stp/>
        <stp>BDH|12794401528643183804</stp>
        <tr r="X16" s="20"/>
      </tp>
      <tp t="e">
        <v>#N/A</v>
        <stp/>
        <stp>BDH|16521382616279256275</stp>
        <tr r="E6" s="28"/>
      </tp>
      <tp t="e">
        <v>#N/A</v>
        <stp/>
        <stp>BDH|11818415394575240614</stp>
        <tr r="O21" s="5"/>
      </tp>
      <tp t="e">
        <v>#N/A</v>
        <stp/>
        <stp>BDH|13533088164342398840</stp>
        <tr r="C37" s="22"/>
      </tp>
      <tp t="e">
        <v>#N/A</v>
        <stp/>
        <stp>BDH|15018979233335381592</stp>
        <tr r="Y9" s="30"/>
      </tp>
      <tp t="e">
        <v>#N/A</v>
        <stp/>
        <stp>BDH|17128834362226652080</stp>
        <tr r="S44" s="21"/>
      </tp>
      <tp t="e">
        <v>#N/A</v>
        <stp/>
        <stp>BDH|12204737078089176461</stp>
        <tr r="C25" s="17"/>
      </tp>
      <tp t="e">
        <v>#N/A</v>
        <stp/>
        <stp>BDH|14642303198087169610</stp>
        <tr r="E115" s="18"/>
      </tp>
      <tp t="e">
        <v>#N/A</v>
        <stp/>
        <stp>BDH|15752841336049227897</stp>
        <tr r="H34" s="13"/>
        <tr r="F27" s="10"/>
      </tp>
      <tp t="e">
        <v>#N/A</v>
        <stp/>
        <stp>BDH|11712523054746663893</stp>
        <tr r="V15" s="4"/>
      </tp>
      <tp t="e">
        <v>#N/A</v>
        <stp/>
        <stp>BDH|12278221935274812835</stp>
        <tr r="P178" s="18"/>
      </tp>
      <tp t="e">
        <v>#N/A</v>
        <stp/>
        <stp>BDH|13890139067432455961</stp>
        <tr r="G32" s="5"/>
      </tp>
      <tp t="e">
        <v>#N/A</v>
        <stp/>
        <stp>BDH|18108694717380868096</stp>
        <tr r="AA32" s="12"/>
      </tp>
      <tp t="e">
        <v>#N/A</v>
        <stp/>
        <stp>BDH|14913472997565146365</stp>
        <tr r="E11" s="18"/>
      </tp>
      <tp t="e">
        <v>#N/A</v>
        <stp/>
        <stp>BDH|14167086841359145671</stp>
        <tr r="M22" s="6"/>
      </tp>
      <tp t="e">
        <v>#N/A</v>
        <stp/>
        <stp>BDH|14447581375268039172</stp>
        <tr r="X33" s="18"/>
      </tp>
      <tp t="e">
        <v>#N/A</v>
        <stp/>
        <stp>BDH|17008475589045181118</stp>
        <tr r="C23" s="30"/>
        <tr r="C25" s="23"/>
      </tp>
      <tp t="e">
        <v>#N/A</v>
        <stp/>
        <stp>BDH|14764532999834504369</stp>
        <tr r="X79" s="34"/>
      </tp>
      <tp t="e">
        <v>#N/A</v>
        <stp/>
        <stp>BDH|11221737407680950912</stp>
        <tr r="W61" s="21"/>
      </tp>
      <tp t="e">
        <v>#N/A</v>
        <stp/>
        <stp>BDH|16786576951712050807</stp>
        <tr r="R49" s="21"/>
      </tp>
      <tp t="e">
        <v>#N/A</v>
        <stp/>
        <stp>BDH|17440983108212385066</stp>
        <tr r="I105" s="12"/>
      </tp>
      <tp t="e">
        <v>#N/A</v>
        <stp/>
        <stp>BDH|14501619535878333539</stp>
        <tr r="I41" s="11"/>
        <tr r="I50" s="10"/>
        <tr r="I8" s="7"/>
        <tr r="K11" s="3"/>
      </tp>
      <tp t="e">
        <v>#N/A</v>
        <stp/>
        <stp>BDH|11617113784666365219</stp>
        <tr r="T8" s="21"/>
      </tp>
      <tp t="e">
        <v>#N/A</v>
        <stp/>
        <stp>BDH|16054029761208071422</stp>
        <tr r="F164" s="18"/>
      </tp>
      <tp t="e">
        <v>#N/A</v>
        <stp/>
        <stp>BDH|11198605462919763459</stp>
        <tr r="O44" s="13"/>
        <tr r="M28" s="11"/>
        <tr r="M37" s="10"/>
      </tp>
      <tp t="e">
        <v>#N/A</v>
        <stp/>
        <stp>BDH|17752795588144389043</stp>
        <tr r="I13" s="25"/>
      </tp>
      <tp t="e">
        <v>#N/A</v>
        <stp/>
        <stp>BDH|17887683815434038846</stp>
        <tr r="G10" s="10"/>
      </tp>
      <tp t="e">
        <v>#N/A</v>
        <stp/>
        <stp>BDH|13196383919749035417</stp>
        <tr r="Q16" s="20"/>
      </tp>
      <tp t="e">
        <v>#N/A</v>
        <stp/>
        <stp>BDH|17396727038959976619</stp>
        <tr r="Y9" s="29"/>
      </tp>
      <tp t="e">
        <v>#N/A</v>
        <stp/>
        <stp>BDH|14622466990855800093</stp>
        <tr r="I34" s="25"/>
        <tr r="I93" s="17"/>
      </tp>
      <tp t="e">
        <v>#N/A</v>
        <stp/>
        <stp>BDH|14242411934447487826</stp>
        <tr r="C19" s="17"/>
      </tp>
      <tp t="e">
        <v>#N/A</v>
        <stp/>
        <stp>BDH|11865350586833991538</stp>
        <tr r="O66" s="18"/>
      </tp>
      <tp t="e">
        <v>#N/A</v>
        <stp/>
        <stp>BDH|13080927865087582738</stp>
        <tr r="I79" s="34"/>
      </tp>
      <tp t="e">
        <v>#N/A</v>
        <stp/>
        <stp>BDH|15778339674534454950</stp>
        <tr r="Y69" s="10"/>
      </tp>
      <tp t="e">
        <v>#N/A</v>
        <stp/>
        <stp>BDH|11194970773251443201</stp>
        <tr r="C32" s="11"/>
        <tr r="C41" s="10"/>
      </tp>
      <tp t="e">
        <v>#N/A</v>
        <stp/>
        <stp>BDH|12998280653188041132</stp>
        <tr r="N40" s="22"/>
      </tp>
      <tp t="e">
        <v>#N/A</v>
        <stp/>
        <stp>BDH|12172834632765490053</stp>
        <tr r="R14" s="4"/>
      </tp>
      <tp t="e">
        <v>#N/A</v>
        <stp/>
        <stp>BDH|14541788889384248376</stp>
        <tr r="AA40" s="13"/>
        <tr r="Y24" s="10"/>
        <tr r="Y46" s="4"/>
      </tp>
      <tp t="e">
        <v>#N/A</v>
        <stp/>
        <stp>BDH|13158280468963821883</stp>
        <tr r="L22" s="34"/>
      </tp>
      <tp t="e">
        <v>#N/A</v>
        <stp/>
        <stp>BDH|16390580490664239281</stp>
        <tr r="R61" s="17"/>
      </tp>
      <tp t="e">
        <v>#N/A</v>
        <stp/>
        <stp>BDH|17158348644469143510</stp>
        <tr r="M130" s="18"/>
      </tp>
      <tp t="e">
        <v>#N/A</v>
        <stp/>
        <stp>BDH|15700357964838570425</stp>
        <tr r="L27" s="14"/>
      </tp>
      <tp t="e">
        <v>#N/A</v>
        <stp/>
        <stp>BDH|12576817426277781347</stp>
        <tr r="X26" s="13"/>
      </tp>
      <tp t="e">
        <v>#N/A</v>
        <stp/>
        <stp>BDH|15165153801888631023</stp>
        <tr r="F128" s="18"/>
      </tp>
      <tp t="e">
        <v>#N/A</v>
        <stp/>
        <stp>BDH|12932765681937975665</stp>
        <tr r="G56" s="24"/>
      </tp>
      <tp t="e">
        <v>#N/A</v>
        <stp/>
        <stp>BDH|12874312066848638382</stp>
        <tr r="R20" s="26"/>
      </tp>
      <tp t="e">
        <v>#N/A</v>
        <stp/>
        <stp>BDH|14991092249034883800</stp>
        <tr r="T59" s="18"/>
      </tp>
      <tp t="e">
        <v>#N/A</v>
        <stp/>
        <stp>BDH|11407755059428178784</stp>
        <tr r="N44" s="13"/>
        <tr r="L28" s="11"/>
        <tr r="L37" s="10"/>
      </tp>
      <tp t="e">
        <v>#N/A</v>
        <stp/>
        <stp>BDH|10209165890411504503</stp>
        <tr r="Q111" s="12"/>
      </tp>
      <tp t="e">
        <v>#N/A</v>
        <stp/>
        <stp>BDH|10446512019001440990</stp>
        <tr r="O8" s="25"/>
        <tr r="L10" s="5"/>
        <tr r="M9" s="2"/>
      </tp>
      <tp t="e">
        <v>#N/A</v>
        <stp/>
        <stp>BDH|10455783564415883818</stp>
        <tr r="R34" s="12"/>
      </tp>
      <tp t="e">
        <v>#N/A</v>
        <stp/>
        <stp>BDH|15269684695173664585</stp>
        <tr r="S45" s="18"/>
      </tp>
      <tp t="e">
        <v>#N/A</v>
        <stp/>
        <stp>BDH|16399467725114485857</stp>
        <tr r="X191" s="18"/>
      </tp>
      <tp t="e">
        <v>#N/A</v>
        <stp/>
        <stp>BDH|16191182129899347020</stp>
        <tr r="R76" s="12"/>
      </tp>
      <tp t="e">
        <v>#N/A</v>
        <stp/>
        <stp>BDH|14035642194314152300</stp>
        <tr r="Y9" s="14"/>
      </tp>
      <tp t="e">
        <v>#N/A</v>
        <stp/>
        <stp>BDH|17074347281145743532</stp>
        <tr r="P81" s="17"/>
      </tp>
      <tp t="e">
        <v>#N/A</v>
        <stp/>
        <stp>BDH|18161892361288179296</stp>
        <tr r="C20" s="10"/>
      </tp>
      <tp t="e">
        <v>#N/A</v>
        <stp/>
        <stp>BDH|14184797190915966307</stp>
        <tr r="J81" s="34"/>
      </tp>
      <tp t="e">
        <v>#N/A</v>
        <stp/>
        <stp>BDH|13188875073176281662</stp>
        <tr r="G58" s="12"/>
      </tp>
      <tp t="e">
        <v>#N/A</v>
        <stp/>
        <stp>BDH|11650954552295575452</stp>
        <tr r="E124" s="18"/>
      </tp>
      <tp t="e">
        <v>#N/A</v>
        <stp/>
        <stp>BDH|15547989312271785091</stp>
        <tr r="S93" s="12"/>
      </tp>
      <tp t="e">
        <v>#N/A</v>
        <stp/>
        <stp>BDH|12661826063701677105</stp>
        <tr r="P146" s="18"/>
      </tp>
      <tp t="e">
        <v>#N/A</v>
        <stp/>
        <stp>BDH|10831235982670877603</stp>
        <tr r="M214" s="18"/>
      </tp>
      <tp t="e">
        <v>#N/A</v>
        <stp/>
        <stp>BDH|18287966072429580326</stp>
        <tr r="T53" s="21"/>
      </tp>
      <tp t="e">
        <v>#N/A</v>
        <stp/>
        <stp>BDH|10728902971220051273</stp>
        <tr r="Z22" s="17"/>
        <tr r="Z15" s="3"/>
      </tp>
      <tp t="e">
        <v>#N/A</v>
        <stp/>
        <stp>BDH|12349205287100632428</stp>
        <tr r="H25" s="17"/>
      </tp>
      <tp t="e">
        <v>#N/A</v>
        <stp/>
        <stp>BDH|14077830564297062178</stp>
        <tr r="J212" s="18"/>
      </tp>
      <tp t="e">
        <v>#N/A</v>
        <stp/>
        <stp>BDH|16443037217482080904</stp>
        <tr r="M94" s="12"/>
      </tp>
      <tp t="e">
        <v>#N/A</v>
        <stp/>
        <stp>BDH|14080632393733945492</stp>
        <tr r="S45" s="17"/>
      </tp>
      <tp t="e">
        <v>#N/A</v>
        <stp/>
        <stp>BDH|17291834235672164256</stp>
        <tr r="G79" s="17"/>
        <tr r="D9" s="9"/>
        <tr r="D9" s="5"/>
      </tp>
      <tp t="e">
        <v>#N/A</v>
        <stp/>
        <stp>BDH|17528860503150892380</stp>
        <tr r="G63" s="21"/>
      </tp>
      <tp t="e">
        <v>#N/A</v>
        <stp/>
        <stp>BDH|10402933607113080600</stp>
        <tr r="N127" s="12"/>
      </tp>
      <tp t="e">
        <v>#N/A</v>
        <stp/>
        <stp>BDH|13504639155545614954</stp>
        <tr r="C183" s="18"/>
      </tp>
      <tp t="e">
        <v>#N/A</v>
        <stp/>
        <stp>BDH|14558460692805363023</stp>
        <tr r="L13" s="23"/>
        <tr r="J57" s="11"/>
        <tr r="J38" s="4"/>
      </tp>
      <tp t="e">
        <v>#N/A</v>
        <stp/>
        <stp>BDH|11145411395988141840</stp>
        <tr r="L43" s="13"/>
        <tr r="J35" s="11"/>
        <tr r="J44" s="10"/>
        <tr r="J52" s="4"/>
        <tr r="L8" s="3"/>
      </tp>
      <tp t="e">
        <v>#N/A</v>
        <stp/>
        <stp>BDH|17243934029146803609</stp>
        <tr r="P10" s="12"/>
      </tp>
      <tp t="e">
        <v>#N/A</v>
        <stp/>
        <stp>BDH|12513112219647995944</stp>
        <tr r="H8" s="26"/>
        <tr r="E10" s="9"/>
      </tp>
      <tp t="e">
        <v>#N/A</v>
        <stp/>
        <stp>BDH|17517423556643529949</stp>
        <tr r="F95" s="18"/>
      </tp>
      <tp t="e">
        <v>#N/A</v>
        <stp/>
        <stp>BDH|17729024495917992599</stp>
        <tr r="V37" s="26"/>
      </tp>
      <tp t="e">
        <v>#N/A</v>
        <stp/>
        <stp>BDH|15947159438138518312</stp>
        <tr r="L27" s="6"/>
      </tp>
      <tp t="e">
        <v>#N/A</v>
        <stp/>
        <stp>BDH|16494775068648832336</stp>
        <tr r="L55" s="34"/>
      </tp>
      <tp t="e">
        <v>#N/A</v>
        <stp/>
        <stp>BDH|14938408587094949071</stp>
        <tr r="S143" s="18"/>
      </tp>
      <tp t="e">
        <v>#N/A</v>
        <stp/>
        <stp>BDH|12631310186866349321</stp>
        <tr r="I22" s="22"/>
      </tp>
      <tp t="e">
        <v>#N/A</v>
        <stp/>
        <stp>BDH|12192383217629945574</stp>
        <tr r="E63" s="10"/>
      </tp>
      <tp t="e">
        <v>#N/A</v>
        <stp/>
        <stp>BDH|16843140995937859514</stp>
        <tr r="F18" s="24"/>
      </tp>
      <tp t="e">
        <v>#N/A</v>
        <stp/>
        <stp>BDH|10095057187077240306</stp>
        <tr r="V22" s="10"/>
      </tp>
      <tp t="e">
        <v>#N/A</v>
        <stp/>
        <stp>BDH|17744661693020339415</stp>
        <tr r="R40" s="17"/>
      </tp>
      <tp t="e">
        <v>#N/A</v>
        <stp/>
        <stp>BDH|15642325193707668413</stp>
        <tr r="D84" s="12"/>
      </tp>
      <tp t="e">
        <v>#N/A</v>
        <stp/>
        <stp>BDH|10376385278751650953</stp>
        <tr r="U176" s="18"/>
      </tp>
      <tp t="e">
        <v>#N/A</v>
        <stp/>
        <stp>BDH|14280428943619518164</stp>
        <tr r="D21" s="17"/>
      </tp>
      <tp t="e">
        <v>#N/A</v>
        <stp/>
        <stp>BDH|17354840816343223136</stp>
        <tr r="J29" s="13"/>
        <tr r="J16" s="13"/>
        <tr r="H17" s="10"/>
      </tp>
      <tp t="e">
        <v>#N/A</v>
        <stp/>
        <stp>BDH|16442571373151551953</stp>
        <tr r="U7" s="28"/>
      </tp>
      <tp t="e">
        <v>#N/A</v>
        <stp/>
        <stp>BDH|16128003497115607601</stp>
        <tr r="R18" s="18"/>
      </tp>
      <tp t="e">
        <v>#N/A</v>
        <stp/>
        <stp>BDH|15963185527299452324</stp>
        <tr r="T32" s="5"/>
      </tp>
      <tp t="e">
        <v>#N/A</v>
        <stp/>
        <stp>BDH|11112432242135039801</stp>
        <tr r="V52" s="12"/>
      </tp>
      <tp t="e">
        <v>#N/A</v>
        <stp/>
        <stp>BDH|18097260423873541705</stp>
        <tr r="Y65" s="21"/>
        <tr r="W23" s="7"/>
      </tp>
      <tp t="e">
        <v>#N/A</v>
        <stp/>
        <stp>BDH|13055656171236581819</stp>
        <tr r="Z74" s="18"/>
      </tp>
      <tp t="e">
        <v>#N/A</v>
        <stp/>
        <stp>BDH|14574682593237678087</stp>
        <tr r="V9" s="14"/>
      </tp>
      <tp t="e">
        <v>#N/A</v>
        <stp/>
        <stp>BDH|11364553454639724456</stp>
        <tr r="M57" s="6"/>
      </tp>
      <tp t="e">
        <v>#N/A</v>
        <stp/>
        <stp>BDH|17171979582879785339</stp>
        <tr r="Q125" s="18"/>
      </tp>
      <tp t="e">
        <v>#N/A</v>
        <stp/>
        <stp>BDH|17241004857986268879</stp>
        <tr r="AA16" s="34"/>
      </tp>
      <tp t="e">
        <v>#N/A</v>
        <stp/>
        <stp>BDH|10044800184205555915</stp>
        <tr r="J15" s="5"/>
      </tp>
      <tp t="e">
        <v>#N/A</v>
        <stp/>
        <stp>BDH|10292858210577447236</stp>
        <tr r="Q98" s="18"/>
      </tp>
      <tp t="e">
        <v>#N/A</v>
        <stp/>
        <stp>BDH|18326150719721740587</stp>
        <tr r="Z60" s="17"/>
      </tp>
      <tp t="e">
        <v>#N/A</v>
        <stp/>
        <stp>BDH|11009025852469515156</stp>
        <tr r="P158" s="18"/>
      </tp>
      <tp t="e">
        <v>#N/A</v>
        <stp/>
        <stp>BDH|15109116947469278550</stp>
        <tr r="I23" s="30"/>
        <tr r="I25" s="23"/>
      </tp>
      <tp t="e">
        <v>#N/A</v>
        <stp/>
        <stp>BDH|13397446896803644176</stp>
        <tr r="V38" s="24"/>
      </tp>
      <tp t="e">
        <v>#N/A</v>
        <stp/>
        <stp>BDH|10149742090115274774</stp>
        <tr r="X17" s="23"/>
      </tp>
      <tp t="e">
        <v>#N/A</v>
        <stp/>
        <stp>BDH|17658394115489252084</stp>
        <tr r="H138" s="18"/>
      </tp>
      <tp t="e">
        <v>#N/A</v>
        <stp/>
        <stp>BDH|10333879804574774043</stp>
        <tr r="Z60" s="18"/>
      </tp>
      <tp t="e">
        <v>#N/A</v>
        <stp/>
        <stp>BDH|14040356130981192979</stp>
        <tr r="L25" s="10"/>
      </tp>
      <tp t="e">
        <v>#N/A</v>
        <stp/>
        <stp>BDH|15119470294843068714</stp>
        <tr r="G132" s="18"/>
      </tp>
      <tp t="e">
        <v>#N/A</v>
        <stp/>
        <stp>BDH|17738958118300869315</stp>
        <tr r="Q101" s="12"/>
      </tp>
      <tp t="e">
        <v>#N/A</v>
        <stp/>
        <stp>BDH|10359500010138771079</stp>
        <tr r="V44" s="21"/>
      </tp>
      <tp t="e">
        <v>#N/A</v>
        <stp/>
        <stp>BDH|15360666540019631209</stp>
        <tr r="L26" s="27"/>
      </tp>
      <tp t="e">
        <v>#N/A</v>
        <stp/>
        <stp>BDH|18362521762360398734</stp>
        <tr r="H17" s="27"/>
        <tr r="H31" s="25"/>
        <tr r="E14" s="5"/>
      </tp>
      <tp t="e">
        <v>#N/A</v>
        <stp/>
        <stp>BDH|18302396237415826169</stp>
        <tr r="F159" s="18"/>
      </tp>
      <tp t="e">
        <v>#N/A</v>
        <stp/>
        <stp>BDH|17433806108673984062</stp>
        <tr r="C87" s="18"/>
      </tp>
      <tp t="e">
        <v>#N/A</v>
        <stp/>
        <stp>BDH|18017376853782786001</stp>
        <tr r="Q43" s="22"/>
      </tp>
      <tp t="e">
        <v>#N/A</v>
        <stp/>
        <stp>BDH|14643070812579468048</stp>
        <tr r="C22" s="30"/>
        <tr r="C24" s="23"/>
      </tp>
      <tp t="e">
        <v>#N/A</v>
        <stp/>
        <stp>BDH|14077340067109094403</stp>
        <tr r="L6" s="19"/>
        <tr r="L37" s="17"/>
        <tr r="L16" s="3"/>
      </tp>
      <tp t="e">
        <v>#N/A</v>
        <stp/>
        <stp>BDH|16739635605289618546</stp>
        <tr r="K106" s="12"/>
      </tp>
      <tp t="e">
        <v>#N/A</v>
        <stp/>
        <stp>BDH|12720811607002052425</stp>
        <tr r="T64" s="13"/>
      </tp>
      <tp t="e">
        <v>#N/A</v>
        <stp/>
        <stp>BDH|11941339769560127819</stp>
        <tr r="W20" s="23"/>
      </tp>
      <tp t="e">
        <v>#N/A</v>
        <stp/>
        <stp>BDH|12420672777799058671</stp>
        <tr r="U88" s="24"/>
      </tp>
      <tp t="e">
        <v>#N/A</v>
        <stp/>
        <stp>BDH|10511544782272830387</stp>
        <tr r="N36" s="6"/>
        <tr r="N17" s="5"/>
      </tp>
      <tp t="e">
        <v>#N/A</v>
        <stp/>
        <stp>BDH|11671811531671250776</stp>
        <tr r="K7" s="28"/>
      </tp>
      <tp t="e">
        <v>#N/A</v>
        <stp/>
        <stp>BDH|14098468385374276027</stp>
        <tr r="H16" s="10"/>
      </tp>
      <tp t="e">
        <v>#N/A</v>
        <stp/>
        <stp>BDH|12296997410325196396</stp>
        <tr r="K92" s="24"/>
      </tp>
      <tp t="e">
        <v>#N/A</v>
        <stp/>
        <stp>BDH|13788196850912930945</stp>
        <tr r="G87" s="17"/>
      </tp>
      <tp t="e">
        <v>#N/A</v>
        <stp/>
        <stp>BDH|12786651487378187873</stp>
        <tr r="D6" s="16"/>
        <tr r="E6" s="11"/>
        <tr r="E10" s="4"/>
        <tr r="G6" s="3"/>
      </tp>
      <tp t="e">
        <v>#N/A</v>
        <stp/>
        <stp>BDH|18338170629071724691</stp>
        <tr r="C152" s="18"/>
      </tp>
      <tp t="e">
        <v>#N/A</v>
        <stp/>
        <stp>BDH|14399459234978886791</stp>
        <tr r="H49" s="4"/>
      </tp>
      <tp t="e">
        <v>#N/A</v>
        <stp/>
        <stp>BDH|13393682411310997806</stp>
        <tr r="E210" s="18"/>
      </tp>
      <tp t="e">
        <v>#N/A</v>
        <stp/>
        <stp>BDH|17136965237732324304</stp>
        <tr r="U19" s="10"/>
      </tp>
      <tp t="e">
        <v>#N/A</v>
        <stp/>
        <stp>BDH|13025156743469119347</stp>
        <tr r="V10" s="22"/>
      </tp>
      <tp t="e">
        <v>#N/A</v>
        <stp/>
        <stp>BDH|10887659196015177690</stp>
        <tr r="P87" s="24"/>
      </tp>
      <tp t="e">
        <v>#N/A</v>
        <stp/>
        <stp>BDH|15177690689490568773</stp>
        <tr r="T78" s="17"/>
      </tp>
      <tp t="e">
        <v>#N/A</v>
        <stp/>
        <stp>BDH|10512786817442112887</stp>
        <tr r="Q134" s="18"/>
      </tp>
      <tp t="e">
        <v>#N/A</v>
        <stp/>
        <stp>BDH|13207830084756548936</stp>
        <tr r="I43" s="12"/>
      </tp>
      <tp t="e">
        <v>#N/A</v>
        <stp/>
        <stp>BDH|15149930955837485201</stp>
        <tr r="S36" s="29"/>
        <tr r="S22" s="29"/>
        <tr r="S13" s="29"/>
      </tp>
      <tp t="e">
        <v>#N/A</v>
        <stp/>
        <stp>BDH|16595914617362725079</stp>
        <tr r="G34" s="29"/>
      </tp>
      <tp t="e">
        <v>#N/A</v>
        <stp/>
        <stp>BDH|11559636773995194976</stp>
        <tr r="P49" s="17"/>
      </tp>
      <tp t="e">
        <v>#N/A</v>
        <stp/>
        <stp>BDH|17386955495652453955</stp>
        <tr r="M44" s="24"/>
      </tp>
      <tp t="e">
        <v>#N/A</v>
        <stp/>
        <stp>BDH|14516527887546019329</stp>
        <tr r="N32" s="11"/>
        <tr r="N41" s="10"/>
      </tp>
      <tp t="e">
        <v>#N/A</v>
        <stp/>
        <stp>BDH|10399768874878342407</stp>
        <tr r="E21" s="14"/>
      </tp>
      <tp t="e">
        <v>#N/A</v>
        <stp/>
        <stp>BDH|13043044605469267618</stp>
        <tr r="G9" s="6"/>
      </tp>
      <tp t="e">
        <v>#N/A</v>
        <stp/>
        <stp>BDH|14389807477580524732</stp>
        <tr r="J47" s="12"/>
      </tp>
      <tp t="e">
        <v>#N/A</v>
        <stp/>
        <stp>BDH|15001206054387051969</stp>
        <tr r="O43" s="34"/>
      </tp>
      <tp t="e">
        <v>#N/A</v>
        <stp/>
        <stp>BDH|16902139715813891950</stp>
        <tr r="J14" s="10"/>
      </tp>
      <tp t="e">
        <v>#N/A</v>
        <stp/>
        <stp>BDH|18297299145547543599</stp>
        <tr r="H135" s="18"/>
      </tp>
      <tp t="e">
        <v>#N/A</v>
        <stp/>
        <stp>BDH|10387779894824779651</stp>
        <tr r="M180" s="18"/>
      </tp>
      <tp t="e">
        <v>#N/A</v>
        <stp/>
        <stp>BDH|10676176692842209637</stp>
        <tr r="K35" s="12"/>
      </tp>
      <tp t="e">
        <v>#N/A</v>
        <stp/>
        <stp>BDH|11082467375489734766</stp>
        <tr r="K24" s="22"/>
      </tp>
      <tp t="e">
        <v>#N/A</v>
        <stp/>
        <stp>BDH|15186922101020072003</stp>
        <tr r="AA27" s="26"/>
      </tp>
      <tp t="e">
        <v>#N/A</v>
        <stp/>
        <stp>BDH|17374316937872619916</stp>
        <tr r="X15" s="30"/>
      </tp>
      <tp t="e">
        <v>#N/A</v>
        <stp/>
        <stp>BDH|15319911310985735477</stp>
        <tr r="J69" s="24"/>
      </tp>
      <tp t="e">
        <v>#N/A</v>
        <stp/>
        <stp>BDH|15782495489152134742</stp>
        <tr r="G212" s="18"/>
      </tp>
      <tp t="e">
        <v>#N/A</v>
        <stp/>
        <stp>BDH|16695243555215336866</stp>
        <tr r="J28" s="6"/>
      </tp>
      <tp t="e">
        <v>#N/A</v>
        <stp/>
        <stp>BDH|17496654496175322163</stp>
        <tr r="R52" s="13"/>
      </tp>
      <tp t="e">
        <v>#N/A</v>
        <stp/>
        <stp>BDH|18332420709697211788</stp>
        <tr r="U183" s="18"/>
      </tp>
      <tp t="e">
        <v>#N/A</v>
        <stp/>
        <stp>BDH|10756404794956673773</stp>
        <tr r="N13" s="13"/>
      </tp>
      <tp t="e">
        <v>#N/A</v>
        <stp/>
        <stp>BDH|13312856792256620804</stp>
        <tr r="X85" s="24"/>
      </tp>
      <tp t="e">
        <v>#N/A</v>
        <stp/>
        <stp>BDH|12340972478180841061</stp>
        <tr r="AA29" s="12"/>
      </tp>
      <tp t="e">
        <v>#N/A</v>
        <stp/>
        <stp>BDH|14319995778700081609</stp>
        <tr r="F36" s="21"/>
      </tp>
      <tp t="e">
        <v>#N/A</v>
        <stp/>
        <stp>BDH|11348341901088338674</stp>
        <tr r="J37" s="22"/>
      </tp>
      <tp t="e">
        <v>#N/A</v>
        <stp/>
        <stp>BDH|12997959701164947367</stp>
        <tr r="R15" s="10"/>
      </tp>
      <tp t="e">
        <v>#N/A</v>
        <stp/>
        <stp>BDH|17710214527728468375</stp>
        <tr r="W34" s="12"/>
      </tp>
      <tp t="e">
        <v>#N/A</v>
        <stp/>
        <stp>BDH|12118234171693438851</stp>
        <tr r="G32" s="24"/>
      </tp>
      <tp t="e">
        <v>#N/A</v>
        <stp/>
        <stp>BDH|18074675782218554224</stp>
        <tr r="R45" s="24"/>
      </tp>
      <tp t="e">
        <v>#N/A</v>
        <stp/>
        <stp>BDH|17891445735184952828</stp>
        <tr r="C164" s="18"/>
      </tp>
      <tp t="e">
        <v>#N/A</v>
        <stp/>
        <stp>BDH|17618874814223730104</stp>
        <tr r="F36" s="17"/>
      </tp>
      <tp t="e">
        <v>#N/A</v>
        <stp/>
        <stp>BDH|10044522773738031635</stp>
        <tr r="J57" s="34"/>
      </tp>
      <tp t="e">
        <v>#N/A</v>
        <stp/>
        <stp>BDH|15632424913689523504</stp>
        <tr r="I51" s="18"/>
      </tp>
      <tp t="e">
        <v>#N/A</v>
        <stp/>
        <stp>BDH|15681291488412082153</stp>
        <tr r="AA86" s="12"/>
      </tp>
      <tp t="e">
        <v>#N/A</v>
        <stp/>
        <stp>BDH|17250883739426448653</stp>
        <tr r="Y42" s="4"/>
      </tp>
      <tp t="e">
        <v>#N/A</v>
        <stp/>
        <stp>BDH|18215234033693921694</stp>
        <tr r="R24" s="12"/>
      </tp>
      <tp t="e">
        <v>#N/A</v>
        <stp/>
        <stp>BDH|12593302741481534839</stp>
        <tr r="R37" s="34"/>
      </tp>
      <tp t="e">
        <v>#N/A</v>
        <stp/>
        <stp>BDH|10748935121522761507</stp>
        <tr r="S88" s="17"/>
      </tp>
      <tp t="e">
        <v>#N/A</v>
        <stp/>
        <stp>BDH|16467495088803189567</stp>
        <tr r="AA109" s="12"/>
      </tp>
      <tp t="e">
        <v>#N/A</v>
        <stp/>
        <stp>BDH|10266593899603977390</stp>
        <tr r="Q57" s="17"/>
      </tp>
      <tp t="e">
        <v>#N/A</v>
        <stp/>
        <stp>BDH|17983827758941061714</stp>
        <tr r="J7" s="24"/>
      </tp>
      <tp t="e">
        <v>#N/A</v>
        <stp/>
        <stp>BDH|18095078893769018463</stp>
        <tr r="X98" s="12"/>
      </tp>
      <tp t="e">
        <v>#N/A</v>
        <stp/>
        <stp>BDH|11024066594951906599</stp>
        <tr r="O44" s="22"/>
      </tp>
      <tp t="e">
        <v>#N/A</v>
        <stp/>
        <stp>BDH|15935897262990203756</stp>
        <tr r="Q160" s="18"/>
      </tp>
      <tp t="e">
        <v>#N/A</v>
        <stp/>
        <stp>BDH|12931613738799443218</stp>
        <tr r="O20" s="5"/>
      </tp>
      <tp t="e">
        <v>#N/A</v>
        <stp/>
        <stp>BDH|13664766797944069524</stp>
        <tr r="W50" s="21"/>
      </tp>
      <tp t="e">
        <v>#N/A</v>
        <stp/>
        <stp>BDH|15064952138891824205</stp>
        <tr r="J18" s="28"/>
        <tr r="J15" s="17"/>
      </tp>
      <tp t="e">
        <v>#N/A</v>
        <stp/>
        <stp>BDH|18257810534406292903</stp>
        <tr r="E9" s="13"/>
      </tp>
      <tp t="e">
        <v>#N/A</v>
        <stp/>
        <stp>BDH|13099774528269857320</stp>
        <tr r="U102" s="18"/>
      </tp>
      <tp t="e">
        <v>#N/A</v>
        <stp/>
        <stp>BDH|10220195877973130987</stp>
        <tr r="X30" s="21"/>
      </tp>
      <tp t="e">
        <v>#N/A</v>
        <stp/>
        <stp>BDH|13672598279745729843</stp>
        <tr r="X21" s="4"/>
      </tp>
      <tp t="e">
        <v>#N/A</v>
        <stp/>
        <stp>BDH|16273819632705456405</stp>
        <tr r="H130" s="18"/>
      </tp>
      <tp t="e">
        <v>#N/A</v>
        <stp/>
        <stp>BDH|11461429176256761824</stp>
        <tr r="H28" s="21"/>
      </tp>
      <tp t="e">
        <v>#N/A</v>
        <stp/>
        <stp>BDH|10719078180292001654</stp>
        <tr r="Z35" s="17"/>
      </tp>
      <tp t="e">
        <v>#N/A</v>
        <stp/>
        <stp>BDH|17153265444595691802</stp>
        <tr r="F22" s="6"/>
      </tp>
      <tp t="e">
        <v>#N/A</v>
        <stp/>
        <stp>BDH|15052836070927403124</stp>
        <tr r="W131" s="18"/>
      </tp>
      <tp t="e">
        <v>#N/A</v>
        <stp/>
        <stp>BDH|18224131434773694560</stp>
        <tr r="Y72" s="17"/>
      </tp>
      <tp t="e">
        <v>#N/A</v>
        <stp/>
        <stp>BDH|14698888447493498780</stp>
        <tr r="C7" s="23"/>
      </tp>
      <tp t="e">
        <v>#N/A</v>
        <stp/>
        <stp>BDH|18302281313927508084</stp>
        <tr r="H10" s="28"/>
      </tp>
      <tp t="e">
        <v>#N/A</v>
        <stp/>
        <stp>BDH|15208933403098170868</stp>
        <tr r="I133" s="18"/>
      </tp>
      <tp t="e">
        <v>#N/A</v>
        <stp/>
        <stp>BDH|15768139857474261941</stp>
        <tr r="P16" s="20"/>
      </tp>
      <tp t="e">
        <v>#N/A</v>
        <stp/>
        <stp>BDH|16793828766555282140</stp>
        <tr r="S13" s="10"/>
      </tp>
      <tp t="e">
        <v>#N/A</v>
        <stp/>
        <stp>BDH|12964363353019104186</stp>
        <tr r="O73" s="24"/>
      </tp>
      <tp t="e">
        <v>#N/A</v>
        <stp/>
        <stp>BDH|15887098890373665327</stp>
        <tr r="J17" s="18"/>
      </tp>
      <tp t="e">
        <v>#N/A</v>
        <stp/>
        <stp>BDH|10833997874731184319</stp>
        <tr r="F60" s="11"/>
      </tp>
      <tp t="e">
        <v>#N/A</v>
        <stp/>
        <stp>BDH|12483175047688404359</stp>
        <tr r="R14" s="27"/>
        <tr r="R28" s="25"/>
      </tp>
      <tp t="e">
        <v>#N/A</v>
        <stp/>
        <stp>BDH|11306915703075700134</stp>
        <tr r="I22" s="6"/>
      </tp>
      <tp t="e">
        <v>#N/A</v>
        <stp/>
        <stp>BDH|15726850905368510970</stp>
        <tr r="G43" s="29"/>
      </tp>
      <tp t="e">
        <v>#N/A</v>
        <stp/>
        <stp>BDH|14835550965958821358</stp>
        <tr r="L26" s="11"/>
        <tr r="L35" s="10"/>
      </tp>
      <tp t="e">
        <v>#N/A</v>
        <stp/>
        <stp>BDH|12383835570797795623</stp>
        <tr r="O197" s="18"/>
      </tp>
      <tp t="e">
        <v>#N/A</v>
        <stp/>
        <stp>BDH|12745367385124652177</stp>
        <tr r="V33" s="18"/>
      </tp>
      <tp t="e">
        <v>#N/A</v>
        <stp/>
        <stp>BDH|13031883879179641922</stp>
        <tr r="L70" s="17"/>
        <tr r="L18" s="3"/>
      </tp>
      <tp t="e">
        <v>#N/A</v>
        <stp/>
        <stp>BDH|12354827582566439823</stp>
        <tr r="AA30" s="12"/>
      </tp>
      <tp t="e">
        <v>#N/A</v>
        <stp/>
        <stp>BDH|17232885778716710207</stp>
        <tr r="U13" s="28"/>
        <tr r="U96" s="17"/>
      </tp>
      <tp t="e">
        <v>#N/A</v>
        <stp/>
        <stp>BDH|12390791948808763500</stp>
        <tr r="E87" s="17"/>
      </tp>
      <tp t="e">
        <v>#N/A</v>
        <stp/>
        <stp>BDH|13332260185613448617</stp>
        <tr r="G11" s="11"/>
      </tp>
      <tp t="e">
        <v>#N/A</v>
        <stp/>
        <stp>BDH|16834479368769636148</stp>
        <tr r="E75" s="34"/>
      </tp>
      <tp t="e">
        <v>#N/A</v>
        <stp/>
        <stp>BDH|14493564014018721449</stp>
        <tr r="G35" s="24"/>
      </tp>
      <tp t="e">
        <v>#N/A</v>
        <stp/>
        <stp>BDH|11607798087851430395</stp>
        <tr r="M37" s="34"/>
      </tp>
      <tp t="e">
        <v>#N/A</v>
        <stp/>
        <stp>BDH|10582787976654797895</stp>
        <tr r="Q29" s="21"/>
      </tp>
      <tp t="e">
        <v>#N/A</v>
        <stp/>
        <stp>BDH|17255907328457677794</stp>
        <tr r="J142" s="18"/>
      </tp>
      <tp t="e">
        <v>#N/A</v>
        <stp/>
        <stp>BDH|12277857526906785234</stp>
        <tr r="R25" s="14"/>
      </tp>
      <tp t="e">
        <v>#N/A</v>
        <stp/>
        <stp>BDH|10842596950615797939</stp>
        <tr r="AA43" s="34"/>
      </tp>
      <tp t="e">
        <v>#N/A</v>
        <stp/>
        <stp>BDH|11129214877330638842</stp>
        <tr r="D94" s="18"/>
      </tp>
      <tp t="e">
        <v>#N/A</v>
        <stp/>
        <stp>BDH|10331667707949107369</stp>
        <tr r="Z61" s="34"/>
      </tp>
      <tp t="e">
        <v>#N/A</v>
        <stp/>
        <stp>BDH|14132572781522100730</stp>
        <tr r="S33" s="5"/>
      </tp>
      <tp t="e">
        <v>#N/A</v>
        <stp/>
        <stp>BDH|17064372574237555828</stp>
        <tr r="L18" s="27"/>
        <tr r="L32" s="25"/>
      </tp>
      <tp t="e">
        <v>#N/A</v>
        <stp/>
        <stp>BDH|17217216081394789517</stp>
        <tr r="N75" s="18"/>
      </tp>
      <tp t="e">
        <v>#N/A</v>
        <stp/>
        <stp>BDH|13765107793991701672</stp>
        <tr r="I21" s="2"/>
      </tp>
      <tp t="e">
        <v>#N/A</v>
        <stp/>
        <stp>BDH|16413057035978607165</stp>
        <tr r="K62" s="11"/>
        <tr r="K71" s="10"/>
      </tp>
      <tp t="e">
        <v>#N/A</v>
        <stp/>
        <stp>BDH|11826835445477983632</stp>
        <tr r="Z76" s="34"/>
      </tp>
      <tp t="e">
        <v>#N/A</v>
        <stp/>
        <stp>BDH|16256935637162587271</stp>
        <tr r="X149" s="18"/>
      </tp>
      <tp t="e">
        <v>#N/A</v>
        <stp/>
        <stp>BDH|11628819077122679025</stp>
        <tr r="H145" s="18"/>
      </tp>
      <tp t="e">
        <v>#N/A</v>
        <stp/>
        <stp>BDH|13191303613918495522</stp>
        <tr r="O70" s="18"/>
      </tp>
      <tp t="e">
        <v>#N/A</v>
        <stp/>
        <stp>BDH|14818736448552083975</stp>
        <tr r="Q71" s="12"/>
      </tp>
      <tp t="e">
        <v>#N/A</v>
        <stp/>
        <stp>BDH|12301506923930051944</stp>
        <tr r="S37" s="18"/>
      </tp>
      <tp t="e">
        <v>#N/A</v>
        <stp/>
        <stp>BDH|17831989168617925350</stp>
        <tr r="W30" s="18"/>
      </tp>
      <tp t="e">
        <v>#N/A</v>
        <stp/>
        <stp>BDH|11352573580919147915</stp>
        <tr r="U137" s="18"/>
      </tp>
      <tp t="e">
        <v>#N/A</v>
        <stp/>
        <stp>BDH|14897586647859032039</stp>
        <tr r="X33" s="11"/>
        <tr r="X42" s="10"/>
      </tp>
      <tp t="e">
        <v>#N/A</v>
        <stp/>
        <stp>BDH|17272022932880773817</stp>
        <tr r="U99" s="12"/>
      </tp>
      <tp t="e">
        <v>#N/A</v>
        <stp/>
        <stp>BDH|15623425943490481976</stp>
        <tr r="T51" s="21"/>
      </tp>
      <tp t="e">
        <v>#N/A</v>
        <stp/>
        <stp>BDH|15691267005293895899</stp>
        <tr r="Q86" s="24"/>
      </tp>
      <tp t="e">
        <v>#N/A</v>
        <stp/>
        <stp>BDH|13358503472744756927</stp>
        <tr r="AA71" s="17"/>
        <tr r="X8" s="9"/>
        <tr r="X8" s="5"/>
      </tp>
      <tp t="e">
        <v>#N/A</v>
        <stp/>
        <stp>BDH|10371451667286564801</stp>
        <tr r="R87" s="24"/>
      </tp>
      <tp t="e">
        <v>#N/A</v>
        <stp/>
        <stp>BDH|14135051197968495931</stp>
        <tr r="W42" s="29"/>
        <tr r="W33" s="29"/>
        <tr r="U55" s="6"/>
        <tr r="U11" s="5"/>
        <tr r="V10" s="2"/>
      </tp>
      <tp t="e">
        <v>#N/A</v>
        <stp/>
        <stp>BDH|17313778307638758408</stp>
        <tr r="M9" s="25"/>
        <tr r="M44" s="17"/>
      </tp>
      <tp t="e">
        <v>#N/A</v>
        <stp/>
        <stp>BDH|18315617215047452471</stp>
        <tr r="O66" s="12"/>
      </tp>
      <tp t="e">
        <v>#N/A</v>
        <stp/>
        <stp>BDH|16736633087161598529</stp>
        <tr r="N84" s="12"/>
      </tp>
      <tp t="e">
        <v>#N/A</v>
        <stp/>
        <stp>BDH|12252629180939206964</stp>
        <tr r="Z47" s="17"/>
      </tp>
      <tp t="e">
        <v>#N/A</v>
        <stp/>
        <stp>BDH|14570908645552325779</stp>
        <tr r="J213" s="18"/>
      </tp>
      <tp t="e">
        <v>#N/A</v>
        <stp/>
        <stp>BDH|17760139434961213866</stp>
        <tr r="W10" s="10"/>
      </tp>
      <tp t="e">
        <v>#N/A</v>
        <stp/>
        <stp>BDH|10426889308891613562</stp>
        <tr r="Y92" s="24"/>
      </tp>
      <tp t="e">
        <v>#N/A</v>
        <stp/>
        <stp>BDH|18403851555028471146</stp>
        <tr r="C45" s="22"/>
      </tp>
      <tp t="e">
        <v>#N/A</v>
        <stp/>
        <stp>BDH|11535910523586438075</stp>
        <tr r="V32" s="29"/>
        <tr r="T34" s="5"/>
      </tp>
      <tp t="e">
        <v>#N/A</v>
        <stp/>
        <stp>BDH|11524912740045473540</stp>
        <tr r="H125" s="12"/>
      </tp>
      <tp t="e">
        <v>#N/A</v>
        <stp/>
        <stp>BDH|13441859064901942087</stp>
        <tr r="C9" s="22"/>
      </tp>
      <tp t="e">
        <v>#N/A</v>
        <stp/>
        <stp>BDH|13483391188991513547</stp>
        <tr r="J11" s="7"/>
      </tp>
      <tp t="e">
        <v>#N/A</v>
        <stp/>
        <stp>BDH|12902936027060890519</stp>
        <tr r="F127" s="12"/>
      </tp>
      <tp t="e">
        <v>#N/A</v>
        <stp/>
        <stp>BDH|10403934078753816134</stp>
        <tr r="O198" s="18"/>
      </tp>
      <tp t="e">
        <v>#N/A</v>
        <stp/>
        <stp>BDH|17842717798221143441</stp>
        <tr r="K18" s="28"/>
        <tr r="K15" s="17"/>
      </tp>
      <tp t="e">
        <v>#N/A</v>
        <stp/>
        <stp>BDH|14437464066672413844</stp>
        <tr r="T49" s="13"/>
      </tp>
      <tp t="e">
        <v>#N/A</v>
        <stp/>
        <stp>BDH|15629514364729782332</stp>
        <tr r="P19" s="30"/>
      </tp>
      <tp t="e">
        <v>#N/A</v>
        <stp/>
        <stp>BDH|13205278694275510130</stp>
        <tr r="M34" s="17"/>
      </tp>
      <tp t="e">
        <v>#N/A</v>
        <stp/>
        <stp>BDH|14769937805833740216</stp>
        <tr r="W18" s="18"/>
      </tp>
      <tp t="e">
        <v>#N/A</v>
        <stp/>
        <stp>BDH|18179433714447725668</stp>
        <tr r="I35" s="14"/>
      </tp>
      <tp t="e">
        <v>#N/A</v>
        <stp/>
        <stp>BDH|18035723827881410060</stp>
        <tr r="AA36" s="21"/>
      </tp>
      <tp t="e">
        <v>#N/A</v>
        <stp/>
        <stp>BDH|15074026499852832243</stp>
        <tr r="G34" s="6"/>
      </tp>
      <tp t="e">
        <v>#N/A</v>
        <stp/>
        <stp>BDH|10750502589896082799</stp>
        <tr r="H14" s="34"/>
      </tp>
      <tp t="e">
        <v>#N/A</v>
        <stp/>
        <stp>BDH|10034085883376523299</stp>
        <tr r="Q22" s="14"/>
      </tp>
      <tp t="e">
        <v>#N/A</v>
        <stp/>
        <stp>BDH|13710829185937669819</stp>
        <tr r="F23" s="9"/>
        <tr r="F23" s="5"/>
      </tp>
      <tp t="e">
        <v>#N/A</v>
        <stp/>
        <stp>BDH|11678496469996039916</stp>
        <tr r="M19" s="24"/>
      </tp>
      <tp t="e">
        <v>#N/A</v>
        <stp/>
        <stp>BDH|15384937950112032770</stp>
        <tr r="E11" s="14"/>
      </tp>
      <tp t="e">
        <v>#N/A</v>
        <stp/>
        <stp>BDH|15645025158958206495</stp>
        <tr r="T151" s="18"/>
      </tp>
      <tp t="e">
        <v>#N/A</v>
        <stp/>
        <stp>BDH|14191878145567607329</stp>
        <tr r="X7" s="21"/>
      </tp>
      <tp t="e">
        <v>#N/A</v>
        <stp/>
        <stp>BDH|11998642683720867316</stp>
        <tr r="H50" s="34"/>
      </tp>
      <tp t="e">
        <v>#N/A</v>
        <stp/>
        <stp>BDH|16827965702692853138</stp>
        <tr r="T10" s="26"/>
      </tp>
      <tp t="e">
        <v>#N/A</v>
        <stp/>
        <stp>BDH|15633837263262132509</stp>
        <tr r="K9" s="12"/>
      </tp>
      <tp t="e">
        <v>#N/A</v>
        <stp/>
        <stp>BDH|15432999308661311111</stp>
        <tr r="R56" s="18"/>
      </tp>
      <tp t="e">
        <v>#N/A</v>
        <stp/>
        <stp>BDH|17362856374946114244</stp>
        <tr r="O30" s="29"/>
        <tr r="O8" s="29"/>
      </tp>
      <tp t="e">
        <v>#N/A</v>
        <stp/>
        <stp>BDH|15679852439156541483</stp>
        <tr r="Q40" s="24"/>
      </tp>
      <tp t="e">
        <v>#N/A</v>
        <stp/>
        <stp>BDH|14340286082261722391</stp>
        <tr r="W64" s="21"/>
      </tp>
      <tp t="e">
        <v>#N/A</v>
        <stp/>
        <stp>BDH|10163246126669404505</stp>
        <tr r="F30" s="34"/>
      </tp>
      <tp t="e">
        <v>#N/A</v>
        <stp/>
        <stp>BDH|16671350122618602302</stp>
        <tr r="X22" s="18"/>
      </tp>
      <tp t="e">
        <v>#N/A</v>
        <stp/>
        <stp>BDH|15563306244597136974</stp>
        <tr r="M66" s="10"/>
        <tr r="M39" s="4"/>
      </tp>
      <tp t="e">
        <v>#N/A</v>
        <stp/>
        <stp>BDH|14527577596230112424</stp>
        <tr r="J107" s="18"/>
      </tp>
      <tp t="e">
        <v>#N/A</v>
        <stp/>
        <stp>BDH|12122211974783021834</stp>
        <tr r="D171" s="18"/>
      </tp>
      <tp t="e">
        <v>#N/A</v>
        <stp/>
        <stp>BDH|16412558195804477277</stp>
        <tr r="C14" s="13"/>
      </tp>
      <tp t="e">
        <v>#N/A</v>
        <stp/>
        <stp>BDH|14634043395976208729</stp>
        <tr r="U81" s="12"/>
      </tp>
      <tp t="e">
        <v>#N/A</v>
        <stp/>
        <stp>BDH|17091907026114775468</stp>
        <tr r="U80" s="12"/>
      </tp>
      <tp t="e">
        <v>#N/A</v>
        <stp/>
        <stp>BDH|17719893032334322484</stp>
        <tr r="M29" s="13"/>
        <tr r="M16" s="13"/>
        <tr r="K17" s="10"/>
      </tp>
      <tp t="e">
        <v>#N/A</v>
        <stp/>
        <stp>BDH|18236251811303325424</stp>
        <tr r="K42" s="18"/>
      </tp>
      <tp t="e">
        <v>#N/A</v>
        <stp/>
        <stp>BDH|17320631181716072364</stp>
        <tr r="Y9" s="20"/>
        <tr r="Y119" s="18"/>
      </tp>
      <tp t="e">
        <v>#N/A</v>
        <stp/>
        <stp>BDH|10014548684379053879</stp>
        <tr r="S76" s="18"/>
      </tp>
      <tp t="e">
        <v>#N/A</v>
        <stp/>
        <stp>BDH|14357480239286260974</stp>
        <tr r="N181" s="18"/>
      </tp>
      <tp t="e">
        <v>#N/A</v>
        <stp/>
        <stp>BDH|14367130882462677330</stp>
        <tr r="L9" s="6"/>
      </tp>
      <tp t="e">
        <v>#N/A</v>
        <stp/>
        <stp>BDH|12423046693467375072</stp>
        <tr r="Q214" s="18"/>
      </tp>
      <tp t="e">
        <v>#N/A</v>
        <stp/>
        <stp>BDH|14455726122964483977</stp>
        <tr r="L32" s="24"/>
      </tp>
      <tp t="e">
        <v>#N/A</v>
        <stp/>
        <stp>BDH|12085185383671962659</stp>
        <tr r="O9" s="10"/>
      </tp>
      <tp t="e">
        <v>#N/A</v>
        <stp/>
        <stp>BDH|13373069946643317862</stp>
        <tr r="G51" s="24"/>
      </tp>
      <tp t="e">
        <v>#N/A</v>
        <stp/>
        <stp>BDH|16283268395114185562</stp>
        <tr r="W30" s="26"/>
      </tp>
      <tp t="e">
        <v>#N/A</v>
        <stp/>
        <stp>BDH|11623901173882589168</stp>
        <tr r="L16" s="26"/>
      </tp>
      <tp t="e">
        <v>#N/A</v>
        <stp/>
        <stp>BDH|12687871434181064437</stp>
        <tr r="Q10" s="12"/>
      </tp>
      <tp t="e">
        <v>#N/A</v>
        <stp/>
        <stp>BDH|15594179117690669959</stp>
        <tr r="J173" s="18"/>
      </tp>
      <tp t="e">
        <v>#N/A</v>
        <stp/>
        <stp>BDH|15117062505631346878</stp>
        <tr r="G14" s="13"/>
      </tp>
      <tp t="e">
        <v>#N/A</v>
        <stp/>
        <stp>BDH|10674747705902652974</stp>
        <tr r="U32" s="11"/>
        <tr r="U41" s="10"/>
      </tp>
      <tp t="e">
        <v>#N/A</v>
        <stp/>
        <stp>BDH|18158737173263485737</stp>
        <tr r="H69" s="18"/>
      </tp>
      <tp t="e">
        <v>#N/A</v>
        <stp/>
        <stp>BDH|11305908826520319603</stp>
        <tr r="T15" s="4"/>
      </tp>
      <tp t="e">
        <v>#N/A</v>
        <stp/>
        <stp>BDH|11237878812400743465</stp>
        <tr r="H42" s="11"/>
        <tr r="H51" s="10"/>
        <tr r="H14" s="7"/>
        <tr r="J9" s="3"/>
      </tp>
      <tp t="e">
        <v>#N/A</v>
        <stp/>
        <stp>BDH|15704437550171202908</stp>
        <tr r="Q118" s="12"/>
      </tp>
      <tp t="e">
        <v>#N/A</v>
        <stp/>
        <stp>BDH|16611379161157122875</stp>
        <tr r="V45" s="21"/>
      </tp>
      <tp t="e">
        <v>#N/A</v>
        <stp/>
        <stp>BDH|15780065854369602553</stp>
        <tr r="X213" s="18"/>
      </tp>
      <tp t="e">
        <v>#N/A</v>
        <stp/>
        <stp>BDH|11092895558389507922</stp>
        <tr r="AA69" s="12"/>
      </tp>
      <tp t="e">
        <v>#N/A</v>
        <stp/>
        <stp>BDH|13075857012240784667</stp>
        <tr r="U81" s="18"/>
      </tp>
      <tp t="e">
        <v>#N/A</v>
        <stp/>
        <stp>BDH|10546912064143226048</stp>
        <tr r="C6" s="16"/>
        <tr r="D6" s="11"/>
        <tr r="D10" s="4"/>
        <tr r="F6" s="3"/>
      </tp>
      <tp t="e">
        <v>#N/A</v>
        <stp/>
        <stp>BDH|15276563841989226112</stp>
        <tr r="D22" s="20"/>
      </tp>
      <tp t="e">
        <v>#N/A</v>
        <stp/>
        <stp>BDH|14995314040219918672</stp>
        <tr r="AA20" s="34"/>
      </tp>
      <tp t="e">
        <v>#N/A</v>
        <stp/>
        <stp>BDH|12418802352253496044</stp>
        <tr r="L127" s="12"/>
      </tp>
      <tp t="e">
        <v>#N/A</v>
        <stp/>
        <stp>BDH|17299930252195044250</stp>
        <tr r="W8" s="18"/>
      </tp>
      <tp t="e">
        <v>#N/A</v>
        <stp/>
        <stp>BDH|16778978845433302408</stp>
        <tr r="Q64" s="24"/>
      </tp>
      <tp t="e">
        <v>#N/A</v>
        <stp/>
        <stp>BDH|14257255563704364813</stp>
        <tr r="AA62" s="21"/>
        <tr r="Y25" s="2"/>
      </tp>
      <tp t="e">
        <v>#N/A</v>
        <stp/>
        <stp>BDH|16032932611621557310</stp>
        <tr r="E28" s="4"/>
      </tp>
      <tp t="e">
        <v>#N/A</v>
        <stp/>
        <stp>BDH|11443967620977100158</stp>
        <tr r="P27" s="21"/>
      </tp>
      <tp t="e">
        <v>#N/A</v>
        <stp/>
        <stp>BDH|13713573589981692393</stp>
        <tr r="F28" s="18"/>
      </tp>
      <tp t="e">
        <v>#N/A</v>
        <stp/>
        <stp>BDH|16343750971952551849</stp>
        <tr r="G30" s="34"/>
      </tp>
      <tp t="e">
        <v>#N/A</v>
        <stp/>
        <stp>BDH|15817897837761113311</stp>
        <tr r="P42" s="21"/>
      </tp>
      <tp t="e">
        <v>#N/A</v>
        <stp/>
        <stp>BDH|15825264486021852262</stp>
        <tr r="D17" s="12"/>
      </tp>
      <tp t="e">
        <v>#N/A</v>
        <stp/>
        <stp>BDH|13272278053830541852</stp>
        <tr r="AA212" s="18"/>
      </tp>
      <tp t="e">
        <v>#N/A</v>
        <stp/>
        <stp>BDH|14552053591779473837</stp>
        <tr r="W18" s="34"/>
      </tp>
      <tp t="e">
        <v>#N/A</v>
        <stp/>
        <stp>BDH|10496253625829370514</stp>
        <tr r="U91" s="24"/>
      </tp>
      <tp t="e">
        <v>#N/A</v>
        <stp/>
        <stp>BDH|11997030754851917911</stp>
        <tr r="I36" s="17"/>
      </tp>
      <tp t="e">
        <v>#N/A</v>
        <stp/>
        <stp>BDH|14905610859393373843</stp>
        <tr r="H58" s="6"/>
      </tp>
      <tp t="e">
        <v>#N/A</v>
        <stp/>
        <stp>BDH|15734059541234391966</stp>
        <tr r="D61" s="13"/>
      </tp>
      <tp t="e">
        <v>#N/A</v>
        <stp/>
        <stp>BDH|16463710007595730836</stp>
        <tr r="AA31" s="26"/>
        <tr r="X14" s="9"/>
      </tp>
      <tp t="e">
        <v>#N/A</v>
        <stp/>
        <stp>BDH|11538601227480265966</stp>
        <tr r="G19" s="18"/>
      </tp>
      <tp t="e">
        <v>#N/A</v>
        <stp/>
        <stp>BDH|13839131870698538181</stp>
        <tr r="F63" s="10"/>
      </tp>
      <tp t="e">
        <v>#N/A</v>
        <stp/>
        <stp>BDH|16436900440001730656</stp>
        <tr r="O14" s="4"/>
      </tp>
      <tp t="e">
        <v>#N/A</v>
        <stp/>
        <stp>BDH|17939846057157482189</stp>
        <tr r="Z12" s="22"/>
      </tp>
      <tp t="e">
        <v>#N/A</v>
        <stp/>
        <stp>BDH|14506841642293452713</stp>
        <tr r="E75" s="24"/>
      </tp>
      <tp t="e">
        <v>#N/A</v>
        <stp/>
        <stp>BDH|15019969759092952708</stp>
        <tr r="V11" s="7"/>
      </tp>
      <tp t="e">
        <v>#N/A</v>
        <stp/>
        <stp>BDH|15381600317829339717</stp>
        <tr r="X190" s="18"/>
      </tp>
      <tp t="e">
        <v>#N/A</v>
        <stp/>
        <stp>BDH|11522049251880400827</stp>
        <tr r="V87" s="17"/>
      </tp>
      <tp t="e">
        <v>#N/A</v>
        <stp/>
        <stp>BDH|11552892495244853874</stp>
        <tr r="U63" s="10"/>
      </tp>
      <tp t="e">
        <v>#N/A</v>
        <stp/>
        <stp>BDH|12232009244449596353</stp>
        <tr r="D79" s="34"/>
      </tp>
      <tp t="e">
        <v>#N/A</v>
        <stp/>
        <stp>BDH|14093983523656515576</stp>
        <tr r="L27" s="22"/>
      </tp>
      <tp t="e">
        <v>#N/A</v>
        <stp/>
        <stp>BDH|13782930185276834802</stp>
        <tr r="K60" s="21"/>
        <tr r="I54" s="11"/>
      </tp>
      <tp t="e">
        <v>#N/A</v>
        <stp/>
        <stp>BDH|10874850673741709208</stp>
        <tr r="X66" s="10"/>
        <tr r="X39" s="4"/>
      </tp>
      <tp t="e">
        <v>#N/A</v>
        <stp/>
        <stp>BDH|15526985402859748913</stp>
        <tr r="J196" s="18"/>
      </tp>
      <tp t="e">
        <v>#N/A</v>
        <stp/>
        <stp>BDH|11789887704337355211</stp>
        <tr r="V44" s="34"/>
      </tp>
      <tp t="e">
        <v>#N/A</v>
        <stp/>
        <stp>BDH|17602994774922036721</stp>
        <tr r="G16" s="24"/>
      </tp>
      <tp t="e">
        <v>#N/A</v>
        <stp/>
        <stp>BDH|10832851202973064762</stp>
        <tr r="N21" s="9"/>
      </tp>
      <tp t="e">
        <v>#N/A</v>
        <stp/>
        <stp>BDH|14780188163089374669</stp>
        <tr r="L22" s="12"/>
      </tp>
      <tp t="e">
        <v>#N/A</v>
        <stp/>
        <stp>BDH|12446754241194874918</stp>
        <tr r="H23" s="23"/>
      </tp>
      <tp t="e">
        <v>#N/A</v>
        <stp/>
        <stp>BDH|10709429199018527907</stp>
        <tr r="R88" s="24"/>
      </tp>
      <tp t="e">
        <v>#N/A</v>
        <stp/>
        <stp>BDH|11762934727816233085</stp>
        <tr r="P69" s="18"/>
      </tp>
      <tp t="e">
        <v>#N/A</v>
        <stp/>
        <stp>BDH|12278376183384666198</stp>
        <tr r="O16" s="23"/>
      </tp>
      <tp t="e">
        <v>#N/A</v>
        <stp/>
        <stp>BDH|14931755623924277944</stp>
        <tr r="J84" s="24"/>
      </tp>
      <tp t="e">
        <v>#N/A</v>
        <stp/>
        <stp>BDH|12048580280015256632</stp>
        <tr r="R29" s="21"/>
      </tp>
      <tp t="e">
        <v>#N/A</v>
        <stp/>
        <stp>BDH|14448396888230967355</stp>
        <tr r="I31" s="22"/>
      </tp>
      <tp t="e">
        <v>#N/A</v>
        <stp/>
        <stp>BDH|11321955799589248445</stp>
        <tr r="C14" s="28"/>
      </tp>
      <tp t="e">
        <v>#N/A</v>
        <stp/>
        <stp>BDH|11908933938502330586</stp>
        <tr r="P83" s="12"/>
      </tp>
      <tp t="e">
        <v>#N/A</v>
        <stp/>
        <stp>BDH|12417955548281764272</stp>
        <tr r="E57" s="12"/>
      </tp>
      <tp t="e">
        <v>#N/A</v>
        <stp/>
        <stp>BDH|10125435426068453290</stp>
        <tr r="C96" s="18"/>
      </tp>
      <tp t="e">
        <v>#N/A</v>
        <stp/>
        <stp>BDH|17221878773243626798</stp>
        <tr r="R50" s="17"/>
      </tp>
      <tp t="e">
        <v>#N/A</v>
        <stp/>
        <stp>BDH|18150912130087975901</stp>
        <tr r="Q170" s="18"/>
      </tp>
      <tp t="e">
        <v>#N/A</v>
        <stp/>
        <stp>BDH|17302848258252184473</stp>
        <tr r="I23" s="6"/>
      </tp>
      <tp t="e">
        <v>#N/A</v>
        <stp/>
        <stp>BDH|17979499189015488247</stp>
        <tr r="L42" s="12"/>
      </tp>
      <tp t="e">
        <v>#N/A</v>
        <stp/>
        <stp>BDH|15850032376617186959</stp>
        <tr r="W71" s="17"/>
        <tr r="T8" s="9"/>
        <tr r="T8" s="5"/>
      </tp>
      <tp t="e">
        <v>#N/A</v>
        <stp/>
        <stp>BDH|15426943078122297539</stp>
        <tr r="X14" s="27"/>
        <tr r="X28" s="25"/>
      </tp>
      <tp t="e">
        <v>#N/A</v>
        <stp/>
        <stp>BDH|16827111892193433167</stp>
        <tr r="Q15" s="25"/>
      </tp>
      <tp t="e">
        <v>#N/A</v>
        <stp/>
        <stp>BDH|12161049640009400389</stp>
        <tr r="F31" s="24"/>
      </tp>
      <tp t="e">
        <v>#N/A</v>
        <stp/>
        <stp>BDH|10351844944690282089</stp>
        <tr r="AA60" s="34"/>
      </tp>
      <tp t="e">
        <v>#N/A</v>
        <stp/>
        <stp>BDH|12279820129216196219</stp>
        <tr r="F17" s="6"/>
      </tp>
      <tp t="e">
        <v>#N/A</v>
        <stp/>
        <stp>BDH|11084348595941892605</stp>
        <tr r="R41" s="21"/>
      </tp>
      <tp t="e">
        <v>#N/A</v>
        <stp/>
        <stp>BDH|14276330493221947324</stp>
        <tr r="N7" s="34"/>
      </tp>
      <tp t="e">
        <v>#N/A</v>
        <stp/>
        <stp>BDH|16601016525109259196</stp>
        <tr r="AA18" s="28"/>
        <tr r="AA15" s="17"/>
      </tp>
      <tp t="e">
        <v>#N/A</v>
        <stp/>
        <stp>BDH|14862554451650318861</stp>
        <tr r="C19" s="21"/>
        <tr r="C23" s="3"/>
      </tp>
      <tp t="e">
        <v>#N/A</v>
        <stp/>
        <stp>BDH|17125901720893191396</stp>
        <tr r="X97" s="17"/>
      </tp>
      <tp t="e">
        <v>#N/A</v>
        <stp/>
        <stp>BDH|17269392497103199257</stp>
        <tr r="E34" s="34"/>
      </tp>
      <tp t="e">
        <v>#N/A</v>
        <stp/>
        <stp>BDH|16645891145381055729</stp>
        <tr r="D14" s="21"/>
      </tp>
      <tp t="e">
        <v>#N/A</v>
        <stp/>
        <stp>BDH|17792425419738609622</stp>
        <tr r="D23" s="6"/>
      </tp>
      <tp t="e">
        <v>#N/A</v>
        <stp/>
        <stp>BDH|10948963241751017068</stp>
        <tr r="L62" s="21"/>
        <tr r="J25" s="2"/>
      </tp>
      <tp t="e">
        <v>#N/A</v>
        <stp/>
        <stp>BDH|12425831436994909103</stp>
        <tr r="K11" s="29"/>
      </tp>
      <tp t="e">
        <v>#N/A</v>
        <stp/>
        <stp>BDH|11533080280037636238</stp>
        <tr r="R43" s="11"/>
        <tr r="R52" s="10"/>
        <tr r="R15" s="7"/>
      </tp>
      <tp t="e">
        <v>#N/A</v>
        <stp/>
        <stp>BDH|12625731300329417099</stp>
        <tr r="Y25" s="3"/>
      </tp>
      <tp t="e">
        <v>#N/A</v>
        <stp/>
        <stp>BDH|14225808698258479160</stp>
        <tr r="T37" s="21"/>
      </tp>
      <tp t="e">
        <v>#N/A</v>
        <stp/>
        <stp>BDH|12709811729872323644</stp>
        <tr r="U97" s="17"/>
      </tp>
      <tp t="e">
        <v>#N/A</v>
        <stp/>
        <stp>BDH|14028074781085688580</stp>
        <tr r="C17" s="27"/>
        <tr r="C31" s="25"/>
      </tp>
      <tp t="e">
        <v>#N/A</v>
        <stp/>
        <stp>BDH|10027471327849060380</stp>
        <tr r="N38" s="13"/>
        <tr r="L31" s="10"/>
      </tp>
      <tp t="e">
        <v>#N/A</v>
        <stp/>
        <stp>BDH|15117309196301675291</stp>
        <tr r="F56" s="34"/>
      </tp>
      <tp t="e">
        <v>#N/A</v>
        <stp/>
        <stp>BDH|12564440284093587182</stp>
        <tr r="V12" s="11"/>
      </tp>
      <tp t="e">
        <v>#N/A</v>
        <stp/>
        <stp>BDH|13706788304270163820</stp>
        <tr r="O24" s="9"/>
      </tp>
      <tp t="e">
        <v>#N/A</v>
        <stp/>
        <stp>BDH|16392871654703995415</stp>
        <tr r="C8" s="21"/>
      </tp>
      <tp t="e">
        <v>#N/A</v>
        <stp/>
        <stp>BDH|13141646596112328280</stp>
        <tr r="AA27" s="17"/>
      </tp>
      <tp t="e">
        <v>#N/A</v>
        <stp/>
        <stp>BDH|11025797842739553767</stp>
        <tr r="T35" s="14"/>
      </tp>
      <tp t="e">
        <v>#N/A</v>
        <stp/>
        <stp>BDH|14875187538249449346</stp>
        <tr r="C10" s="11"/>
      </tp>
      <tp t="e">
        <v>#N/A</v>
        <stp/>
        <stp>BDH|16962924273745660163</stp>
        <tr r="G53" s="18"/>
      </tp>
      <tp t="e">
        <v>#N/A</v>
        <stp/>
        <stp>BDH|18433546555456585289</stp>
        <tr r="X42" s="17"/>
      </tp>
      <tp t="e">
        <v>#N/A</v>
        <stp/>
        <stp>BDH|10302630849519606772</stp>
        <tr r="L65" s="13"/>
      </tp>
      <tp t="e">
        <v>#N/A</v>
        <stp/>
        <stp>BDH|11391347756959142284</stp>
        <tr r="P71" s="18"/>
      </tp>
      <tp t="e">
        <v>#N/A</v>
        <stp/>
        <stp>BDH|11009597095667625625</stp>
        <tr r="R93" s="24"/>
      </tp>
      <tp t="e">
        <v>#N/A</v>
        <stp/>
        <stp>BDH|15398314856208887742</stp>
        <tr r="E134" s="18"/>
      </tp>
      <tp t="e">
        <v>#N/A</v>
        <stp/>
        <stp>BDH|17437780256750688948</stp>
        <tr r="G166" s="18"/>
      </tp>
      <tp t="e">
        <v>#N/A</v>
        <stp/>
        <stp>BDH|14533198003718129154</stp>
        <tr r="Z22" s="18"/>
      </tp>
      <tp t="e">
        <v>#N/A</v>
        <stp/>
        <stp>BDH|15858718995992479539</stp>
        <tr r="F17" s="9"/>
      </tp>
      <tp t="e">
        <v>#N/A</v>
        <stp/>
        <stp>BDH|17406696237889041713</stp>
        <tr r="G74" s="18"/>
      </tp>
      <tp t="e">
        <v>#N/A</v>
        <stp/>
        <stp>BDH|10439541528943435870</stp>
        <tr r="T24" s="17"/>
      </tp>
      <tp t="e">
        <v>#N/A</v>
        <stp/>
        <stp>BDH|10590091847249424140</stp>
        <tr r="K46" s="21"/>
      </tp>
      <tp t="e">
        <v>#N/A</v>
        <stp/>
        <stp>BDH|11270824739722152439</stp>
        <tr r="O19" s="11"/>
      </tp>
      <tp t="e">
        <v>#N/A</v>
        <stp/>
        <stp>BDH|16666974623293089290</stp>
        <tr r="I12" s="12"/>
      </tp>
      <tp t="e">
        <v>#N/A</v>
        <stp/>
        <stp>BDH|17651826449845724216</stp>
        <tr r="R189" s="18"/>
      </tp>
      <tp t="e">
        <v>#N/A</v>
        <stp/>
        <stp>BDH|18360501140674893107</stp>
        <tr r="O7" s="28"/>
      </tp>
      <tp t="e">
        <v>#N/A</v>
        <stp/>
        <stp>BDH|15365511396600990567</stp>
        <tr r="J21" s="24"/>
      </tp>
      <tp t="e">
        <v>#N/A</v>
        <stp/>
        <stp>BDH|13205310214349482484</stp>
        <tr r="D23" s="11"/>
      </tp>
      <tp t="e">
        <v>#N/A</v>
        <stp/>
        <stp>BDH|18308092820197342129</stp>
        <tr r="O17" s="24"/>
      </tp>
      <tp t="e">
        <v>#N/A</v>
        <stp/>
        <stp>BDH|12274561658869611711</stp>
        <tr r="E17" s="14"/>
      </tp>
      <tp t="e">
        <v>#N/A</v>
        <stp/>
        <stp>BDH|17609917604832873005</stp>
        <tr r="T23" s="25"/>
        <tr r="R20" s="11"/>
      </tp>
      <tp t="e">
        <v>#N/A</v>
        <stp/>
        <stp>BDH|14604756305068894752</stp>
        <tr r="U9" s="22"/>
      </tp>
      <tp t="e">
        <v>#N/A</v>
        <stp/>
        <stp>BDH|16682716905359019491</stp>
        <tr r="N21" s="12"/>
      </tp>
      <tp t="e">
        <v>#N/A</v>
        <stp/>
        <stp>BDH|10214294461870127803</stp>
        <tr r="G15" s="30"/>
      </tp>
      <tp t="e">
        <v>#N/A</v>
        <stp/>
        <stp>BDH|11931033070388515241</stp>
        <tr r="I27" s="12"/>
      </tp>
      <tp t="e">
        <v>#N/A</v>
        <stp/>
        <stp>BDH|14875537935559745722</stp>
        <tr r="O22" s="14"/>
      </tp>
      <tp t="e">
        <v>#N/A</v>
        <stp/>
        <stp>BDH|17112683570662164831</stp>
        <tr r="U45" s="13"/>
        <tr r="S29" s="11"/>
        <tr r="S38" s="10"/>
      </tp>
      <tp t="e">
        <v>#N/A</v>
        <stp/>
        <stp>BDH|10905188731507275999</stp>
        <tr r="H63" s="11"/>
        <tr r="H72" s="10"/>
      </tp>
      <tp t="e">
        <v>#N/A</v>
        <stp/>
        <stp>BDH|10614343988194056315</stp>
        <tr r="Q18" s="25"/>
      </tp>
      <tp t="e">
        <v>#N/A</v>
        <stp/>
        <stp>BDH|17855143282692209072</stp>
        <tr r="M10" s="18"/>
      </tp>
      <tp t="e">
        <v>#N/A</v>
        <stp/>
        <stp>BDH|18372095559905991410</stp>
        <tr r="U42" s="34"/>
      </tp>
      <tp t="e">
        <v>#N/A</v>
        <stp/>
        <stp>BDH|16171810143841889706</stp>
        <tr r="Y51" s="12"/>
      </tp>
      <tp t="e">
        <v>#N/A</v>
        <stp/>
        <stp>BDH|18060587302513819294</stp>
        <tr r="N17" s="28"/>
        <tr r="N14" s="17"/>
      </tp>
      <tp t="e">
        <v>#N/A</v>
        <stp/>
        <stp>BDH|12768482548137963954</stp>
        <tr r="E84" s="12"/>
      </tp>
      <tp t="e">
        <v>#N/A</v>
        <stp/>
        <stp>BDH|14831041368409729783</stp>
        <tr r="T90" s="18"/>
      </tp>
      <tp t="e">
        <v>#N/A</v>
        <stp/>
        <stp>BDH|10407290760948398056</stp>
        <tr r="X62" s="21"/>
        <tr r="V25" s="2"/>
      </tp>
      <tp t="e">
        <v>#N/A</v>
        <stp/>
        <stp>BDH|17327397814568663130</stp>
        <tr r="J66" s="13"/>
      </tp>
      <tp t="e">
        <v>#N/A</v>
        <stp/>
        <stp>BDH|13825326421697053902</stp>
        <tr r="O179" s="18"/>
      </tp>
      <tp t="e">
        <v>#N/A</v>
        <stp/>
        <stp>BDH|13965268291961645536</stp>
        <tr r="I45" s="34"/>
      </tp>
      <tp t="e">
        <v>#N/A</v>
        <stp/>
        <stp>BDH|14430732562749661085</stp>
        <tr r="J27" s="26"/>
      </tp>
      <tp t="e">
        <v>#N/A</v>
        <stp/>
        <stp>BDH|12591668254924999955</stp>
        <tr r="H89" s="12"/>
      </tp>
      <tp t="e">
        <v>#N/A</v>
        <stp/>
        <stp>BDH|16131211838789681259</stp>
        <tr r="J20" s="28"/>
        <tr r="J17" s="17"/>
      </tp>
      <tp t="e">
        <v>#N/A</v>
        <stp/>
        <stp>BDH|11969628884371668230</stp>
        <tr r="C91" s="18"/>
      </tp>
      <tp t="e">
        <v>#N/A</v>
        <stp/>
        <stp>BDH|11956647566224481953</stp>
        <tr r="O32" s="11"/>
        <tr r="O41" s="10"/>
      </tp>
      <tp t="e">
        <v>#N/A</v>
        <stp/>
        <stp>BDH|12032659677118955715</stp>
        <tr r="E97" s="12"/>
      </tp>
      <tp t="e">
        <v>#N/A</v>
        <stp/>
        <stp>BDH|10991782379458002425</stp>
        <tr r="X200" s="18"/>
      </tp>
      <tp t="e">
        <v>#N/A</v>
        <stp/>
        <stp>BDH|17895475585427116013</stp>
        <tr r="K209" s="18"/>
      </tp>
      <tp t="e">
        <v>#N/A</v>
        <stp/>
        <stp>BDH|16494474174130512984</stp>
        <tr r="Y88" s="24"/>
      </tp>
      <tp t="e">
        <v>#N/A</v>
        <stp/>
        <stp>BDH|11982399856342452988</stp>
        <tr r="R81" s="17"/>
      </tp>
      <tp t="e">
        <v>#N/A</v>
        <stp/>
        <stp>BDH|11230270126905918805</stp>
        <tr r="C39" s="6"/>
      </tp>
      <tp t="e">
        <v>#N/A</v>
        <stp/>
        <stp>BDH|11619600568064298964</stp>
        <tr r="M96" s="12"/>
      </tp>
      <tp t="e">
        <v>#N/A</v>
        <stp/>
        <stp>BDH|11283700920949853107</stp>
        <tr r="X26" s="7"/>
      </tp>
      <tp t="e">
        <v>#N/A</v>
        <stp/>
        <stp>BDH|16549914837746959601</stp>
        <tr r="Q7" s="9"/>
        <tr r="Q7" s="5"/>
        <tr r="T14" s="3"/>
        <tr r="R7" s="2"/>
      </tp>
      <tp t="e">
        <v>#N/A</v>
        <stp/>
        <stp>BDH|14983430062043038928</stp>
        <tr r="M18" s="17"/>
      </tp>
      <tp t="e">
        <v>#N/A</v>
        <stp/>
        <stp>BDH|18051567272190864666</stp>
        <tr r="S14" s="13"/>
      </tp>
      <tp t="e">
        <v>#N/A</v>
        <stp/>
        <stp>BDH|10097485611909072031</stp>
        <tr r="V16" s="24"/>
      </tp>
      <tp t="e">
        <v>#N/A</v>
        <stp/>
        <stp>BDH|17002943765415336187</stp>
        <tr r="D63" s="13"/>
      </tp>
      <tp t="e">
        <v>#N/A</v>
        <stp/>
        <stp>BDH|11647297097747540172</stp>
        <tr r="W214" s="18"/>
      </tp>
      <tp t="e">
        <v>#N/A</v>
        <stp/>
        <stp>BDH|15670594489142933653</stp>
        <tr r="O97" s="12"/>
      </tp>
      <tp t="e">
        <v>#N/A</v>
        <stp/>
        <stp>BDH|10274295011549762673</stp>
        <tr r="G31" s="11"/>
        <tr r="G40" s="10"/>
      </tp>
      <tp t="e">
        <v>#N/A</v>
        <stp/>
        <stp>BDH|11302348157589251289</stp>
        <tr r="K30" s="9"/>
        <tr r="K30" s="5"/>
      </tp>
      <tp t="e">
        <v>#N/A</v>
        <stp/>
        <stp>BDH|10974730941388466753</stp>
        <tr r="W52" s="18"/>
      </tp>
      <tp t="e">
        <v>#N/A</v>
        <stp/>
        <stp>BDH|16904451390201728611</stp>
        <tr r="V193" s="18"/>
      </tp>
      <tp t="e">
        <v>#N/A</v>
        <stp/>
        <stp>BDH|17990965057037388013</stp>
        <tr r="K44" s="24"/>
      </tp>
      <tp t="e">
        <v>#N/A</v>
        <stp/>
        <stp>BDH|13575012276841194993</stp>
        <tr r="I56" s="17"/>
      </tp>
      <tp t="e">
        <v>#N/A</v>
        <stp/>
        <stp>BDH|13876844141417130463</stp>
        <tr r="O29" s="6"/>
      </tp>
      <tp t="e">
        <v>#N/A</v>
        <stp/>
        <stp>BDH|18216246301246874054</stp>
        <tr r="T24" s="6"/>
      </tp>
      <tp t="e">
        <v>#N/A</v>
        <stp/>
        <stp>BDH|10245404170769832602</stp>
        <tr r="P36" s="13"/>
        <tr r="N29" s="10"/>
      </tp>
      <tp t="e">
        <v>#N/A</v>
        <stp/>
        <stp>BDH|18411303179453445334</stp>
        <tr r="E74" s="24"/>
      </tp>
      <tp t="e">
        <v>#N/A</v>
        <stp/>
        <stp>BDH|16821930650340569642</stp>
        <tr r="F79" s="17"/>
        <tr r="C9" s="9"/>
        <tr r="C9" s="5"/>
      </tp>
      <tp t="e">
        <v>#N/A</v>
        <stp/>
        <stp>BDH|15412851129073075023</stp>
        <tr r="H43" s="13"/>
        <tr r="F35" s="11"/>
        <tr r="F44" s="10"/>
        <tr r="F52" s="4"/>
        <tr r="H8" s="3"/>
      </tp>
      <tp t="e">
        <v>#N/A</v>
        <stp/>
        <stp>BDH|12426560430230925869</stp>
        <tr r="T43" s="18"/>
      </tp>
      <tp t="e">
        <v>#N/A</v>
        <stp/>
        <stp>BDH|13410988210847180002</stp>
        <tr r="Y21" s="18"/>
      </tp>
      <tp t="e">
        <v>#N/A</v>
        <stp/>
        <stp>BDH|15138889607100428172</stp>
        <tr r="I68" s="12"/>
      </tp>
      <tp t="e">
        <v>#N/A</v>
        <stp/>
        <stp>BDH|11076969732591044696</stp>
        <tr r="U43" s="21"/>
      </tp>
      <tp t="e">
        <v>#N/A</v>
        <stp/>
        <stp>BDH|14768242787345974709</stp>
        <tr r="S10" s="28"/>
      </tp>
      <tp t="e">
        <v>#N/A</v>
        <stp/>
        <stp>BDH|12605148294873900529</stp>
        <tr r="X62" s="13"/>
      </tp>
      <tp t="e">
        <v>#N/A</v>
        <stp/>
        <stp>BDH|15131005195710998000</stp>
        <tr r="M9" s="10"/>
      </tp>
      <tp t="e">
        <v>#N/A</v>
        <stp/>
        <stp>BDH|13116227931476822878</stp>
        <tr r="K43" s="13"/>
        <tr r="I35" s="11"/>
        <tr r="I44" s="10"/>
        <tr r="I52" s="4"/>
        <tr r="K8" s="3"/>
      </tp>
      <tp t="e">
        <v>#N/A</v>
        <stp/>
        <stp>BDH|13976911134063684676</stp>
        <tr r="K24" s="24"/>
      </tp>
      <tp t="e">
        <v>#N/A</v>
        <stp/>
        <stp>BDH|10468765028959679015</stp>
        <tr r="AA197" s="18"/>
      </tp>
      <tp t="e">
        <v>#N/A</v>
        <stp/>
        <stp>BDH|16527067063158841458</stp>
        <tr r="R109" s="18"/>
      </tp>
      <tp t="e">
        <v>#N/A</v>
        <stp/>
        <stp>BDH|11252192154501359818</stp>
        <tr r="X35" s="4"/>
      </tp>
      <tp t="e">
        <v>#N/A</v>
        <stp/>
        <stp>BDH|18132737939974599439</stp>
        <tr r="O97" s="18"/>
      </tp>
      <tp t="e">
        <v>#N/A</v>
        <stp/>
        <stp>BDH|14264485199694788190</stp>
        <tr r="C44" s="22"/>
      </tp>
      <tp t="e">
        <v>#N/A</v>
        <stp/>
        <stp>BDH|14866963570942161427</stp>
        <tr r="R15" s="26"/>
      </tp>
      <tp t="e">
        <v>#N/A</v>
        <stp/>
        <stp>BDH|16496400123284352892</stp>
        <tr r="I50" s="17"/>
      </tp>
      <tp t="e">
        <v>#N/A</v>
        <stp/>
        <stp>BDH|12440783925838113352</stp>
        <tr r="M64" s="21"/>
      </tp>
      <tp t="e">
        <v>#N/A</v>
        <stp/>
        <stp>BDH|12108319307768918533</stp>
        <tr r="Q48" s="21"/>
      </tp>
      <tp t="e">
        <v>#N/A</v>
        <stp/>
        <stp>BDH|18408513856271796594</stp>
        <tr r="E53" s="13"/>
      </tp>
      <tp t="e">
        <v>#N/A</v>
        <stp/>
        <stp>BDH|10272376539858370422</stp>
        <tr r="K34" s="11"/>
        <tr r="K43" s="10"/>
      </tp>
      <tp t="e">
        <v>#N/A</v>
        <stp/>
        <stp>BDH|16794497735394572939</stp>
        <tr r="AA9" s="12"/>
      </tp>
      <tp t="e">
        <v>#N/A</v>
        <stp/>
        <stp>BDH|12595940936582864629</stp>
        <tr r="W36" s="34"/>
      </tp>
      <tp t="e">
        <v>#N/A</v>
        <stp/>
        <stp>BDH|16540494666480120864</stp>
        <tr r="AA13" s="21"/>
      </tp>
      <tp t="e">
        <v>#N/A</v>
        <stp/>
        <stp>BDH|13507904632094300196</stp>
        <tr r="Y12" s="13"/>
      </tp>
      <tp t="e">
        <v>#N/A</v>
        <stp/>
        <stp>BDH|17328113358566077971</stp>
        <tr r="Q77" s="24"/>
      </tp>
      <tp t="e">
        <v>#N/A</v>
        <stp/>
        <stp>BDH|16036883594262522942</stp>
        <tr r="V13" s="12"/>
      </tp>
      <tp t="e">
        <v>#N/A</v>
        <stp/>
        <stp>BDH|17589645102954736996</stp>
        <tr r="Y63" s="21"/>
      </tp>
      <tp t="e">
        <v>#N/A</v>
        <stp/>
        <stp>BDH|17637842869057359255</stp>
        <tr r="I31" s="9"/>
      </tp>
      <tp t="e">
        <v>#N/A</v>
        <stp/>
        <stp>BDH|16775590347658644325</stp>
        <tr r="K162" s="18"/>
      </tp>
      <tp t="e">
        <v>#N/A</v>
        <stp/>
        <stp>BDH|17643211094514780498</stp>
        <tr r="Q34" s="14"/>
      </tp>
      <tp t="e">
        <v>#N/A</v>
        <stp/>
        <stp>BDH|12782523188996165513</stp>
        <tr r="E55" s="34"/>
      </tp>
      <tp t="e">
        <v>#N/A</v>
        <stp/>
        <stp>BDH|10075434172948948759</stp>
        <tr r="D9" s="17"/>
      </tp>
      <tp t="e">
        <v>#N/A</v>
        <stp/>
        <stp>BDH|14895138986606156714</stp>
        <tr r="S137" s="18"/>
      </tp>
      <tp t="e">
        <v>#N/A</v>
        <stp/>
        <stp>BDH|10523902270667102590</stp>
        <tr r="P22" s="11"/>
      </tp>
      <tp t="e">
        <v>#N/A</v>
        <stp/>
        <stp>BDH|13650294032437814981</stp>
        <tr r="G24" s="21"/>
      </tp>
      <tp t="e">
        <v>#N/A</v>
        <stp/>
        <stp>BDH|16977138301908718313</stp>
        <tr r="Q12" s="17"/>
      </tp>
      <tp t="e">
        <v>#N/A</v>
        <stp/>
        <stp>BDH|10084812555776896710</stp>
        <tr r="S107" s="18"/>
      </tp>
      <tp t="e">
        <v>#N/A</v>
        <stp/>
        <stp>BDH|18284706342133994442</stp>
        <tr r="S18" s="20"/>
      </tp>
      <tp t="e">
        <v>#N/A</v>
        <stp/>
        <stp>BDH|15626785752793920899</stp>
        <tr r="E37" s="34"/>
      </tp>
      <tp t="e">
        <v>#N/A</v>
        <stp/>
        <stp>BDH|10862604512999515230</stp>
        <tr r="J85" s="17"/>
        <tr r="H6" s="7"/>
        <tr r="J20" s="3"/>
      </tp>
      <tp t="e">
        <v>#N/A</v>
        <stp/>
        <stp>BDH|11312669952799278792</stp>
        <tr r="U47" s="13"/>
      </tp>
      <tp t="e">
        <v>#N/A</v>
        <stp/>
        <stp>BDH|17515106686277895576</stp>
        <tr r="G28" s="26"/>
      </tp>
      <tp t="e">
        <v>#N/A</v>
        <stp/>
        <stp>BDH|14072387016163718959</stp>
        <tr r="J15" s="34"/>
      </tp>
      <tp t="e">
        <v>#N/A</v>
        <stp/>
        <stp>BDH|10450311490685827319</stp>
        <tr r="F14" s="34"/>
      </tp>
      <tp t="e">
        <v>#N/A</v>
        <stp/>
        <stp>BDH|10682811569283775155</stp>
        <tr r="I53" s="24"/>
      </tp>
      <tp t="e">
        <v>#N/A</v>
        <stp/>
        <stp>BDH|10556864014347935229</stp>
        <tr r="I169" s="18"/>
      </tp>
      <tp t="e">
        <v>#N/A</v>
        <stp/>
        <stp>BDH|10813090798245347068</stp>
        <tr r="X30" s="14"/>
      </tp>
      <tp t="e">
        <v>#N/A</v>
        <stp/>
        <stp>BDH|12644491387953205163</stp>
        <tr r="Y14" s="24"/>
      </tp>
      <tp t="e">
        <v>#N/A</v>
        <stp/>
        <stp>BDH|17974822424871536061</stp>
        <tr r="J62" s="34"/>
      </tp>
      <tp t="e">
        <v>#N/A</v>
        <stp/>
        <stp>BDH|11838435634512743849</stp>
        <tr r="L11" s="22"/>
      </tp>
      <tp t="e">
        <v>#N/A</v>
        <stp/>
        <stp>BDH|11507208989677876087</stp>
        <tr r="Z9" s="17"/>
      </tp>
      <tp t="e">
        <v>#N/A</v>
        <stp/>
        <stp>BDH|10760278163418708084</stp>
        <tr r="S20" s="9"/>
      </tp>
      <tp t="e">
        <v>#N/A</v>
        <stp/>
        <stp>BDH|14393967508588569943</stp>
        <tr r="Y12" s="24"/>
      </tp>
      <tp t="e">
        <v>#N/A</v>
        <stp/>
        <stp>BDH|18142673973891800411</stp>
        <tr r="X129" s="18"/>
      </tp>
      <tp t="e">
        <v>#N/A</v>
        <stp/>
        <stp>BDH|15732224237880933871</stp>
        <tr r="R75" s="34"/>
      </tp>
      <tp t="e">
        <v>#N/A</v>
        <stp/>
        <stp>BDH|10897855838525079293</stp>
        <tr r="U61" s="24"/>
      </tp>
      <tp t="e">
        <v>#N/A</v>
        <stp/>
        <stp>BDH|11596241642512626993</stp>
        <tr r="J35" s="17"/>
      </tp>
      <tp t="e">
        <v>#N/A</v>
        <stp/>
        <stp>BDH|12950976775181722103</stp>
        <tr r="E18" s="26"/>
      </tp>
      <tp t="e">
        <v>#N/A</v>
        <stp/>
        <stp>BDH|16616290050329598468</stp>
        <tr r="F63" s="18"/>
      </tp>
      <tp t="e">
        <v>#N/A</v>
        <stp/>
        <stp>BDH|12761434928171754975</stp>
        <tr r="G52" s="18"/>
      </tp>
      <tp t="e">
        <v>#N/A</v>
        <stp/>
        <stp>BDH|16290997975633531778</stp>
        <tr r="D194" s="18"/>
      </tp>
      <tp t="e">
        <v>#N/A</v>
        <stp/>
        <stp>BDH|17928557735344226976</stp>
        <tr r="Y21" s="4"/>
      </tp>
      <tp t="e">
        <v>#N/A</v>
        <stp/>
        <stp>BDH|11826912991574450902</stp>
        <tr r="G29" s="34"/>
      </tp>
      <tp t="e">
        <v>#N/A</v>
        <stp/>
        <stp>BDH|10733298933774696977</stp>
        <tr r="X38" s="26"/>
      </tp>
      <tp t="e">
        <v>#N/A</v>
        <stp/>
        <stp>BDH|17778964363163739793</stp>
        <tr r="Q22" s="20"/>
      </tp>
      <tp t="e">
        <v>#N/A</v>
        <stp/>
        <stp>BDH|12683359238537664910</stp>
        <tr r="Z73" s="34"/>
      </tp>
      <tp t="e">
        <v>#N/A</v>
        <stp/>
        <stp>BDH|17289513298042027578</stp>
        <tr r="AA48" s="34"/>
      </tp>
      <tp t="e">
        <v>#N/A</v>
        <stp/>
        <stp>BDH|14276957770742870430</stp>
        <tr r="C63" s="34"/>
      </tp>
      <tp t="e">
        <v>#N/A</v>
        <stp/>
        <stp>BDH|10023134106658131584</stp>
        <tr r="H13" s="21"/>
      </tp>
      <tp t="e">
        <v>#N/A</v>
        <stp/>
        <stp>BDH|11256870279613549151</stp>
        <tr r="K61" s="18"/>
      </tp>
      <tp t="e">
        <v>#N/A</v>
        <stp/>
        <stp>BDH|12945255651160754963</stp>
        <tr r="E13" s="22"/>
      </tp>
      <tp t="e">
        <v>#N/A</v>
        <stp/>
        <stp>BDH|13183175356148418388</stp>
        <tr r="G61" s="13"/>
        <tr r="E48" s="11"/>
        <tr r="E57" s="10"/>
        <tr r="E18" s="7"/>
      </tp>
      <tp t="e">
        <v>#N/A</v>
        <stp/>
        <stp>BDH|12054556960395861813</stp>
        <tr r="E60" s="11"/>
      </tp>
      <tp t="e">
        <v>#N/A</v>
        <stp/>
        <stp>BDH|13111436273508861451</stp>
        <tr r="V8" s="14"/>
      </tp>
      <tp t="e">
        <v>#N/A</v>
        <stp/>
        <stp>BDH|14770559267543255885</stp>
        <tr r="K163" s="18"/>
      </tp>
      <tp t="e">
        <v>#N/A</v>
        <stp/>
        <stp>BDH|15432764892036645199</stp>
        <tr r="P65" s="10"/>
        <tr r="P25" s="4"/>
      </tp>
      <tp t="e">
        <v>#N/A</v>
        <stp/>
        <stp>BDH|16335792693791186574</stp>
        <tr r="S80" s="18"/>
      </tp>
      <tp t="e">
        <v>#N/A</v>
        <stp/>
        <stp>BDH|11948973326603390542</stp>
        <tr r="W55" s="18"/>
      </tp>
      <tp t="e">
        <v>#N/A</v>
        <stp/>
        <stp>BDH|12269496161218492411</stp>
        <tr r="AA78" s="18"/>
      </tp>
      <tp t="e">
        <v>#N/A</v>
        <stp/>
        <stp>BDH|10787789244878371774</stp>
        <tr r="Z23" s="23"/>
      </tp>
      <tp t="e">
        <v>#N/A</v>
        <stp/>
        <stp>BDH|14363466478148116339</stp>
        <tr r="Y9" s="24"/>
      </tp>
      <tp t="e">
        <v>#N/A</v>
        <stp/>
        <stp>BDH|17111653768498164328</stp>
        <tr r="C103" s="18"/>
      </tp>
      <tp t="e">
        <v>#N/A</v>
        <stp/>
        <stp>BDH|15024783697892126514</stp>
        <tr r="C56" s="24"/>
      </tp>
      <tp t="e">
        <v>#N/A</v>
        <stp/>
        <stp>BDH|18158430120931538380</stp>
        <tr r="X10" s="14"/>
      </tp>
      <tp t="e">
        <v>#N/A</v>
        <stp/>
        <stp>BDH|15023081084367470679</stp>
        <tr r="L47" s="6"/>
      </tp>
      <tp t="e">
        <v>#N/A</v>
        <stp/>
        <stp>BDH|17847250676679651729</stp>
        <tr r="N51" s="24"/>
      </tp>
      <tp t="e">
        <v>#N/A</v>
        <stp/>
        <stp>BDH|13328196481833480509</stp>
        <tr r="Q76" s="34"/>
      </tp>
      <tp t="e">
        <v>#N/A</v>
        <stp/>
        <stp>BDH|10844368757069099369</stp>
        <tr r="L176" s="18"/>
      </tp>
      <tp t="e">
        <v>#N/A</v>
        <stp/>
        <stp>BDH|14576583627976126943</stp>
        <tr r="AA91" s="17"/>
      </tp>
      <tp t="e">
        <v>#N/A</v>
        <stp/>
        <stp>BDH|17851324797021155038</stp>
        <tr r="L26" s="13"/>
      </tp>
      <tp t="e">
        <v>#N/A</v>
        <stp/>
        <stp>BDH|13883679798525949513</stp>
        <tr r="M25" s="10"/>
      </tp>
      <tp t="e">
        <v>#N/A</v>
        <stp/>
        <stp>BDH|11699798273654516965</stp>
        <tr r="W9" s="11"/>
      </tp>
      <tp t="e">
        <v>#N/A</v>
        <stp/>
        <stp>BDH|14181088717580828994</stp>
        <tr r="I91" s="17"/>
      </tp>
      <tp t="e">
        <v>#N/A</v>
        <stp/>
        <stp>BDH|15351347618372542956</stp>
        <tr r="C7" s="24"/>
      </tp>
      <tp t="e">
        <v>#N/A</v>
        <stp/>
        <stp>BDH|12574436088434324625</stp>
        <tr r="V21" s="6"/>
      </tp>
      <tp t="e">
        <v>#N/A</v>
        <stp/>
        <stp>BDH|18346550371480826603</stp>
        <tr r="Q23" s="10"/>
      </tp>
      <tp t="e">
        <v>#N/A</v>
        <stp/>
        <stp>BDH|13102985937653837697</stp>
        <tr r="Z85" s="18"/>
      </tp>
      <tp t="e">
        <v>#N/A</v>
        <stp/>
        <stp>BDH|18031296163209707920</stp>
        <tr r="L9" s="25"/>
        <tr r="L44" s="17"/>
      </tp>
      <tp t="e">
        <v>#N/A</v>
        <stp/>
        <stp>BDH|11225024770688935265</stp>
        <tr r="V13" s="34"/>
      </tp>
      <tp t="e">
        <v>#N/A</v>
        <stp/>
        <stp>BDH|15263846661423022483</stp>
        <tr r="U33" s="11"/>
        <tr r="U42" s="10"/>
      </tp>
      <tp t="e">
        <v>#N/A</v>
        <stp/>
        <stp>BDH|11925725106679164332</stp>
        <tr r="R97" s="17"/>
      </tp>
      <tp t="e">
        <v>#N/A</v>
        <stp/>
        <stp>BDH|14364034084931266198</stp>
        <tr r="C18" s="24"/>
      </tp>
      <tp t="e">
        <v>#N/A</v>
        <stp/>
        <stp>BDH|12662606724448463297</stp>
        <tr r="T183" s="18"/>
      </tp>
      <tp t="e">
        <v>#N/A</v>
        <stp/>
        <stp>BDH|16532724388255098008</stp>
        <tr r="O26" s="26"/>
      </tp>
      <tp t="e">
        <v>#N/A</v>
        <stp/>
        <stp>BDH|15268609443452784989</stp>
        <tr r="G20" s="34"/>
      </tp>
      <tp t="e">
        <v>#N/A</v>
        <stp/>
        <stp>BDH|17686959227801911132</stp>
        <tr r="C14" s="21"/>
      </tp>
      <tp t="e">
        <v>#N/A</v>
        <stp/>
        <stp>BDH|13909655393248395827</stp>
        <tr r="N94" s="17"/>
      </tp>
      <tp t="e">
        <v>#N/A</v>
        <stp/>
        <stp>BDH|16852351302981072813</stp>
        <tr r="Q153" s="18"/>
      </tp>
      <tp t="e">
        <v>#N/A</v>
        <stp/>
        <stp>BDH|17861509789697614191</stp>
        <tr r="J7" s="11"/>
      </tp>
      <tp t="e">
        <v>#N/A</v>
        <stp/>
        <stp>BDH|13991117899762918560</stp>
        <tr r="Y63" s="17"/>
      </tp>
      <tp t="e">
        <v>#N/A</v>
        <stp/>
        <stp>BDH|16706099880763246125</stp>
        <tr r="D55" s="18"/>
      </tp>
      <tp t="e">
        <v>#N/A</v>
        <stp/>
        <stp>BDH|10256393814948573647</stp>
        <tr r="D52" s="18"/>
      </tp>
      <tp t="e">
        <v>#N/A</v>
        <stp/>
        <stp>BDH|12068223120917412982</stp>
        <tr r="Q45" s="12"/>
      </tp>
      <tp t="e">
        <v>#N/A</v>
        <stp/>
        <stp>BDH|13487019811768813628</stp>
        <tr r="R158" s="18"/>
      </tp>
      <tp t="e">
        <v>#N/A</v>
        <stp/>
        <stp>BDH|16836617043611455908</stp>
        <tr r="F63" s="12"/>
      </tp>
      <tp t="e">
        <v>#N/A</v>
        <stp/>
        <stp>BDH|11748856940961943051</stp>
        <tr r="J45" s="24"/>
      </tp>
      <tp t="e">
        <v>#N/A</v>
        <stp/>
        <stp>BDH|13036485390050101278</stp>
        <tr r="E35" s="22"/>
      </tp>
      <tp t="e">
        <v>#N/A</v>
        <stp/>
        <stp>BDH|18051599917783341333</stp>
        <tr r="F138" s="18"/>
      </tp>
      <tp t="e">
        <v>#N/A</v>
        <stp/>
        <stp>BDH|15158527779382479905</stp>
        <tr r="T39" s="24"/>
      </tp>
      <tp t="e">
        <v>#N/A</v>
        <stp/>
        <stp>BDH|17808933001367128551</stp>
        <tr r="G36" s="21"/>
      </tp>
      <tp t="e">
        <v>#N/A</v>
        <stp/>
        <stp>BDH|14075557563008912313</stp>
        <tr r="K68" s="24"/>
      </tp>
      <tp t="e">
        <v>#N/A</v>
        <stp/>
        <stp>BDH|10212719662048612598</stp>
        <tr r="F10" s="22"/>
      </tp>
      <tp t="e">
        <v>#N/A</v>
        <stp/>
        <stp>BDH|13766582486754079674</stp>
        <tr r="U18" s="17"/>
      </tp>
      <tp t="e">
        <v>#N/A</v>
        <stp/>
        <stp>BDH|10748772101219772283</stp>
        <tr r="R200" s="18"/>
      </tp>
      <tp t="e">
        <v>#N/A</v>
        <stp/>
        <stp>BDH|13015872602255300281</stp>
        <tr r="L30" s="24"/>
      </tp>
      <tp t="e">
        <v>#N/A</v>
        <stp/>
        <stp>BDH|11374297697474610252</stp>
        <tr r="N8" s="24"/>
      </tp>
      <tp t="e">
        <v>#N/A</v>
        <stp/>
        <stp>BDH|16513992934152433227</stp>
        <tr r="L48" s="6"/>
      </tp>
      <tp t="e">
        <v>#N/A</v>
        <stp/>
        <stp>BDH|11358642521229964015</stp>
        <tr r="D23" s="26"/>
      </tp>
      <tp t="e">
        <v>#N/A</v>
        <stp/>
        <stp>BDH|16206420466630131893</stp>
        <tr r="C22" s="27"/>
      </tp>
      <tp t="e">
        <v>#N/A</v>
        <stp/>
        <stp>BDH|16601942151447558186</stp>
        <tr r="U9" s="29"/>
      </tp>
      <tp t="e">
        <v>#N/A</v>
        <stp/>
        <stp>BDH|15621832407889584895</stp>
        <tr r="F40" s="29"/>
        <tr r="F17" s="29"/>
      </tp>
      <tp t="e">
        <v>#N/A</v>
        <stp/>
        <stp>BDH|15696074076059190781</stp>
        <tr r="Z15" s="26"/>
      </tp>
      <tp t="e">
        <v>#N/A</v>
        <stp/>
        <stp>BDH|12128083712226038954</stp>
        <tr r="K70" s="13"/>
        <tr r="I49" s="11"/>
        <tr r="I58" s="10"/>
        <tr r="I19" s="7"/>
        <tr r="I18" s="4"/>
        <tr r="I20" s="2"/>
      </tp>
      <tp t="e">
        <v>#N/A</v>
        <stp/>
        <stp>BDH|17657994175074204165</stp>
        <tr r="X10" s="27"/>
        <tr r="X25" s="25"/>
      </tp>
      <tp t="e">
        <v>#N/A</v>
        <stp/>
        <stp>BDH|11214357896381857674</stp>
        <tr r="G32" s="29"/>
        <tr r="E34" s="5"/>
      </tp>
      <tp t="e">
        <v>#N/A</v>
        <stp/>
        <stp>BDH|15409043697997463627</stp>
        <tr r="R71" s="12"/>
      </tp>
      <tp t="e">
        <v>#N/A</v>
        <stp/>
        <stp>BDH|12920281462813345814</stp>
        <tr r="P24" s="6"/>
      </tp>
      <tp t="e">
        <v>#N/A</v>
        <stp/>
        <stp>BDH|16220328809620067880</stp>
        <tr r="P94" s="17"/>
      </tp>
      <tp t="e">
        <v>#N/A</v>
        <stp/>
        <stp>BDH|14148119358245008895</stp>
        <tr r="E58" s="6"/>
      </tp>
      <tp t="e">
        <v>#N/A</v>
        <stp/>
        <stp>BDH|15247966978754469299</stp>
        <tr r="P86" s="17"/>
      </tp>
      <tp t="e">
        <v>#N/A</v>
        <stp/>
        <stp>BDH|12485572964219747515</stp>
        <tr r="Z34" s="18"/>
      </tp>
      <tp t="e">
        <v>#N/A</v>
        <stp/>
        <stp>BDH|16354802554951002767</stp>
        <tr r="D41" s="6"/>
        <tr r="D18" s="5"/>
      </tp>
      <tp t="e">
        <v>#N/A</v>
        <stp/>
        <stp>BDH|14859803160915021295</stp>
        <tr r="S163" s="18"/>
      </tp>
      <tp t="e">
        <v>#N/A</v>
        <stp/>
        <stp>BDH|12765738635632933994</stp>
        <tr r="X157" s="18"/>
      </tp>
      <tp t="e">
        <v>#N/A</v>
        <stp/>
        <stp>BDH|14318503451610032934</stp>
        <tr r="AA86" s="18"/>
      </tp>
      <tp t="e">
        <v>#N/A</v>
        <stp/>
        <stp>BDH|13754725098412951252</stp>
        <tr r="D9" s="27"/>
      </tp>
      <tp t="e">
        <v>#N/A</v>
        <stp/>
        <stp>BDH|18277886465563778891</stp>
        <tr r="W42" s="4"/>
      </tp>
      <tp t="e">
        <v>#N/A</v>
        <stp/>
        <stp>BDH|18243258072472788232</stp>
        <tr r="T18" s="22"/>
      </tp>
      <tp t="e">
        <v>#N/A</v>
        <stp/>
        <stp>BDH|10468446935388290268</stp>
        <tr r="W19" s="20"/>
      </tp>
      <tp t="e">
        <v>#N/A</v>
        <stp/>
        <stp>BDH|11751200091386040170</stp>
        <tr r="X44" s="13"/>
        <tr r="V28" s="11"/>
        <tr r="V37" s="10"/>
      </tp>
      <tp t="e">
        <v>#N/A</v>
        <stp/>
        <stp>BDH|13720297901138763490</stp>
        <tr r="D203" s="18"/>
      </tp>
      <tp t="e">
        <v>#N/A</v>
        <stp/>
        <stp>BDH|12453066655043329953</stp>
        <tr r="F29" s="29"/>
        <tr r="F7" s="29"/>
      </tp>
      <tp t="e">
        <v>#N/A</v>
        <stp/>
        <stp>BDH|12763403493230505205</stp>
        <tr r="H129" s="18"/>
      </tp>
      <tp t="e">
        <v>#N/A</v>
        <stp/>
        <stp>BDH|17675431537444084938</stp>
        <tr r="P9" s="34"/>
      </tp>
      <tp t="e">
        <v>#N/A</v>
        <stp/>
        <stp>BDH|15049924076690563602</stp>
        <tr r="W62" s="21"/>
        <tr r="U25" s="2"/>
      </tp>
      <tp t="e">
        <v>#N/A</v>
        <stp/>
        <stp>BDH|12281896368415191431</stp>
        <tr r="AA18" s="17"/>
      </tp>
      <tp t="e">
        <v>#N/A</v>
        <stp/>
        <stp>BDH|12127067184883290405</stp>
        <tr r="R132" s="18"/>
      </tp>
      <tp t="e">
        <v>#N/A</v>
        <stp/>
        <stp>BDH|11502875893669979495</stp>
        <tr r="M6" s="6"/>
      </tp>
      <tp t="e">
        <v>#N/A</v>
        <stp/>
        <stp>BDH|18322955866613154904</stp>
        <tr r="R167" s="18"/>
      </tp>
      <tp t="e">
        <v>#N/A</v>
        <stp/>
        <stp>BDH|15614853231516420575</stp>
        <tr r="AA29" s="34"/>
      </tp>
      <tp t="e">
        <v>#N/A</v>
        <stp/>
        <stp>BDH|10459465101378010124</stp>
        <tr r="J21" s="3"/>
      </tp>
      <tp t="e">
        <v>#N/A</v>
        <stp/>
        <stp>BDH|10146815808254853110</stp>
        <tr r="Y66" s="21"/>
        <tr r="V31" s="6"/>
      </tp>
      <tp t="e">
        <v>#N/A</v>
        <stp/>
        <stp>BDH|11445531178436965871</stp>
        <tr r="F22" s="10"/>
      </tp>
      <tp t="e">
        <v>#N/A</v>
        <stp/>
        <stp>BDH|11348953242150316162</stp>
        <tr r="N28" s="13"/>
      </tp>
      <tp t="e">
        <v>#N/A</v>
        <stp/>
        <stp>BDH|14355853388308953165</stp>
        <tr r="R26" s="22"/>
      </tp>
      <tp t="e">
        <v>#N/A</v>
        <stp/>
        <stp>BDH|12934170191373662483</stp>
        <tr r="Z90" s="24"/>
      </tp>
      <tp t="e">
        <v>#N/A</v>
        <stp/>
        <stp>BDH|11245846462185313766</stp>
        <tr r="G18" s="17"/>
      </tp>
      <tp t="e">
        <v>#N/A</v>
        <stp/>
        <stp>BDH|11927744032720600885</stp>
        <tr r="T57" s="12"/>
      </tp>
      <tp t="e">
        <v>#N/A</v>
        <stp/>
        <stp>BDH|14856752553228830372</stp>
        <tr r="V91" s="24"/>
      </tp>
      <tp t="e">
        <v>#N/A</v>
        <stp/>
        <stp>BDH|18291763507647258512</stp>
        <tr r="P63" s="34"/>
      </tp>
      <tp t="e">
        <v>#N/A</v>
        <stp/>
        <stp>BDH|10407525883080792026</stp>
        <tr r="S154" s="18"/>
      </tp>
      <tp t="e">
        <v>#N/A</v>
        <stp/>
        <stp>BDH|10250150639807731897</stp>
        <tr r="P31" s="12"/>
      </tp>
      <tp t="e">
        <v>#N/A</v>
        <stp/>
        <stp>BDH|14089244635198805094</stp>
        <tr r="F72" s="34"/>
      </tp>
      <tp t="e">
        <v>#N/A</v>
        <stp/>
        <stp>BDH|16661122681085290775</stp>
        <tr r="M11" s="9"/>
      </tp>
      <tp t="e">
        <v>#N/A</v>
        <stp/>
        <stp>BDH|13618048195640270756</stp>
        <tr r="L106" s="12"/>
      </tp>
      <tp t="e">
        <v>#N/A</v>
        <stp/>
        <stp>BDH|15311891870304844329</stp>
        <tr r="O167" s="18"/>
      </tp>
      <tp t="e">
        <v>#N/A</v>
        <stp/>
        <stp>BDH|10582211490595751337</stp>
        <tr r="H45" s="21"/>
      </tp>
      <tp t="e">
        <v>#N/A</v>
        <stp/>
        <stp>BDH|11438914886934367906</stp>
        <tr r="U20" s="25"/>
      </tp>
      <tp t="e">
        <v>#N/A</v>
        <stp/>
        <stp>BDH|14878879437195902711</stp>
        <tr r="V116" s="12"/>
      </tp>
      <tp t="e">
        <v>#N/A</v>
        <stp/>
        <stp>BDH|16341950760873788719</stp>
        <tr r="T35" s="12"/>
      </tp>
      <tp t="e">
        <v>#N/A</v>
        <stp/>
        <stp>BDH|14300303405383494924</stp>
        <tr r="D65" s="12"/>
      </tp>
      <tp t="e">
        <v>#N/A</v>
        <stp/>
        <stp>BDH|14753445088580310589</stp>
        <tr r="I53" s="18"/>
      </tp>
      <tp t="e">
        <v>#N/A</v>
        <stp/>
        <stp>BDH|11529224695047087022</stp>
        <tr r="Y41" s="29"/>
        <tr r="Y18" s="29"/>
      </tp>
      <tp t="e">
        <v>#N/A</v>
        <stp/>
        <stp>BDH|11677251382986565045</stp>
        <tr r="Z13" s="23"/>
        <tr r="X57" s="11"/>
        <tr r="X38" s="4"/>
      </tp>
      <tp t="e">
        <v>#N/A</v>
        <stp/>
        <stp>BDH|12541912876909379814</stp>
        <tr r="T88" s="18"/>
      </tp>
      <tp t="e">
        <v>#N/A</v>
        <stp/>
        <stp>BDH|11324141885844612149</stp>
        <tr r="L43" s="22"/>
      </tp>
      <tp t="e">
        <v>#N/A</v>
        <stp/>
        <stp>BDH|13791846231886231307</stp>
        <tr r="F22" s="17"/>
        <tr r="F15" s="3"/>
      </tp>
      <tp t="e">
        <v>#N/A</v>
        <stp/>
        <stp>BDH|12915092091004690279</stp>
        <tr r="P64" s="13"/>
      </tp>
      <tp t="e">
        <v>#N/A</v>
        <stp/>
        <stp>BDH|14479401390793731731</stp>
        <tr r="J8" s="25"/>
        <tr r="G10" s="5"/>
        <tr r="H9" s="2"/>
      </tp>
      <tp t="e">
        <v>#N/A</v>
        <stp/>
        <stp>BDH|14369743777809771078</stp>
        <tr r="Z43" s="17"/>
      </tp>
      <tp t="e">
        <v>#N/A</v>
        <stp/>
        <stp>BDH|17076973717762542055</stp>
        <tr r="S20" s="18"/>
      </tp>
      <tp t="e">
        <v>#N/A</v>
        <stp/>
        <stp>BDH|16160075982537676420</stp>
        <tr r="P13" s="26"/>
      </tp>
      <tp t="e">
        <v>#N/A</v>
        <stp/>
        <stp>BDH|12593770402870608860</stp>
        <tr r="F69" s="10"/>
      </tp>
      <tp t="e">
        <v>#N/A</v>
        <stp/>
        <stp>BDH|16872704361573903907</stp>
        <tr r="I91" s="12"/>
      </tp>
      <tp t="e">
        <v>#N/A</v>
        <stp/>
        <stp>BDH|16309158616352385933</stp>
        <tr r="Q172" s="18"/>
      </tp>
      <tp t="e">
        <v>#N/A</v>
        <stp/>
        <stp>BDH|15723822927424146630</stp>
        <tr r="G64" s="12"/>
      </tp>
      <tp t="e">
        <v>#N/A</v>
        <stp/>
        <stp>BDH|13782316469949669291</stp>
        <tr r="J32" s="24"/>
      </tp>
      <tp t="e">
        <v>#N/A</v>
        <stp/>
        <stp>BDH|10904003747301615881</stp>
        <tr r="M52" s="13"/>
      </tp>
      <tp t="e">
        <v>#N/A</v>
        <stp/>
        <stp>BDH|15176902765073739431</stp>
        <tr r="W79" s="18"/>
      </tp>
      <tp t="e">
        <v>#N/A</v>
        <stp/>
        <stp>BDH|12878315486397676391</stp>
        <tr r="U37" s="6"/>
      </tp>
      <tp t="e">
        <v>#N/A</v>
        <stp/>
        <stp>BDH|16695996621478648889</stp>
        <tr r="R98" s="12"/>
      </tp>
      <tp t="e">
        <v>#N/A</v>
        <stp/>
        <stp>BDH|12808761508639267147</stp>
        <tr r="L45" s="18"/>
      </tp>
      <tp t="e">
        <v>#N/A</v>
        <stp/>
        <stp>BDH|17373645202404639833</stp>
        <tr r="M12" s="6"/>
      </tp>
      <tp t="e">
        <v>#N/A</v>
        <stp/>
        <stp>BDH|10973009095172484681</stp>
        <tr r="R78" s="12"/>
      </tp>
      <tp t="e">
        <v>#N/A</v>
        <stp/>
        <stp>BDH|14532292439230319867</stp>
        <tr r="S62" s="17"/>
      </tp>
      <tp t="e">
        <v>#N/A</v>
        <stp/>
        <stp>BDH|13249544595564003630</stp>
        <tr r="Y20" s="14"/>
      </tp>
      <tp t="e">
        <v>#N/A</v>
        <stp/>
        <stp>BDH|10457323907206005811</stp>
        <tr r="G108" s="12"/>
      </tp>
      <tp t="e">
        <v>#N/A</v>
        <stp/>
        <stp>BDH|13969186082657148027</stp>
        <tr r="T42" s="17"/>
      </tp>
      <tp t="e">
        <v>#N/A</v>
        <stp/>
        <stp>BDH|17634983175800291494</stp>
        <tr r="W9" s="24"/>
      </tp>
      <tp t="e">
        <v>#N/A</v>
        <stp/>
        <stp>BDH|11107258607488317636</stp>
        <tr r="V64" s="18"/>
      </tp>
      <tp t="e">
        <v>#N/A</v>
        <stp/>
        <stp>BDH|14306441614848907492</stp>
        <tr r="K79" s="24"/>
      </tp>
      <tp t="e">
        <v>#N/A</v>
        <stp/>
        <stp>BDH|18404468813153769355</stp>
        <tr r="L6" s="6"/>
      </tp>
      <tp t="e">
        <v>#N/A</v>
        <stp/>
        <stp>BDH|18041951885167347309</stp>
        <tr r="W164" s="18"/>
      </tp>
      <tp t="e">
        <v>#N/A</v>
        <stp/>
        <stp>BDH|16173102283740480252</stp>
        <tr r="F184" s="18"/>
      </tp>
      <tp t="e">
        <v>#N/A</v>
        <stp/>
        <stp>BDH|14045652235429784542</stp>
        <tr r="R20" s="34"/>
      </tp>
      <tp t="e">
        <v>#N/A</v>
        <stp/>
        <stp>BDH|12345698791377945713</stp>
        <tr r="I29" s="22"/>
      </tp>
      <tp t="e">
        <v>#N/A</v>
        <stp/>
        <stp>BDH|13256560507423583851</stp>
        <tr r="I142" s="18"/>
      </tp>
      <tp t="e">
        <v>#N/A</v>
        <stp/>
        <stp>BDH|16182937222756338604</stp>
        <tr r="H75" s="34"/>
      </tp>
      <tp t="e">
        <v>#N/A</v>
        <stp/>
        <stp>BDH|15428622030445038858</stp>
        <tr r="S42" s="17"/>
      </tp>
      <tp t="e">
        <v>#N/A</v>
        <stp/>
        <stp>BDH|15484332590076565413</stp>
        <tr r="U11" s="7"/>
      </tp>
      <tp t="e">
        <v>#N/A</v>
        <stp/>
        <stp>BDH|14075053920068588333</stp>
        <tr r="E69" s="24"/>
      </tp>
      <tp t="e">
        <v>#N/A</v>
        <stp/>
        <stp>BDH|14832792397473295472</stp>
        <tr r="G40" s="13"/>
        <tr r="E24" s="10"/>
        <tr r="E46" s="4"/>
      </tp>
      <tp t="e">
        <v>#N/A</v>
        <stp/>
        <stp>BDH|12396756866318591668</stp>
        <tr r="D37" s="18"/>
      </tp>
      <tp t="e">
        <v>#N/A</v>
        <stp/>
        <stp>BDH|13561184194874951232</stp>
        <tr r="X81" s="24"/>
      </tp>
      <tp t="e">
        <v>#N/A</v>
        <stp/>
        <stp>BDH|13158277382104295056</stp>
        <tr r="Z16" s="26"/>
      </tp>
      <tp t="e">
        <v>#N/A</v>
        <stp/>
        <stp>BDH|13189960557873285114</stp>
        <tr r="R10" s="26"/>
      </tp>
      <tp t="e">
        <v>#N/A</v>
        <stp/>
        <stp>BDH|11503627337679351007</stp>
        <tr r="J33" s="34"/>
      </tp>
      <tp t="e">
        <v>#N/A</v>
        <stp/>
        <stp>BDH|11236967963472729131</stp>
        <tr r="I29" s="29"/>
        <tr r="I7" s="29"/>
      </tp>
      <tp t="e">
        <v>#N/A</v>
        <stp/>
        <stp>BDH|11046894318321633442</stp>
        <tr r="R36" s="18"/>
      </tp>
      <tp t="e">
        <v>#N/A</v>
        <stp/>
        <stp>BDH|14404951440453005727</stp>
        <tr r="I45" s="17"/>
      </tp>
      <tp t="e">
        <v>#N/A</v>
        <stp/>
        <stp>BDH|17840186391922083021</stp>
        <tr r="U71" s="18"/>
      </tp>
      <tp t="e">
        <v>#N/A</v>
        <stp/>
        <stp>BDH|10476414504229235003</stp>
        <tr r="S12" s="11"/>
      </tp>
      <tp t="e">
        <v>#N/A</v>
        <stp/>
        <stp>BDH|13031015795741394649</stp>
        <tr r="I41" s="22"/>
      </tp>
      <tp t="e">
        <v>#N/A</v>
        <stp/>
        <stp>BDH|10430275343558217313</stp>
        <tr r="F21" s="17"/>
      </tp>
      <tp t="e">
        <v>#N/A</v>
        <stp/>
        <stp>BDH|16378880142102921534</stp>
        <tr r="F8" s="8"/>
      </tp>
      <tp t="e">
        <v>#N/A</v>
        <stp/>
        <stp>BDH|16668819353441627719</stp>
        <tr r="E23" s="10"/>
      </tp>
      <tp t="e">
        <v>#N/A</v>
        <stp/>
        <stp>BDH|17644829350724631319</stp>
        <tr r="C37" s="34"/>
      </tp>
      <tp t="e">
        <v>#N/A</v>
        <stp/>
        <stp>BDH|16724407864561337834</stp>
        <tr r="G23" s="20"/>
      </tp>
      <tp t="e">
        <v>#N/A</v>
        <stp/>
        <stp>BDH|11210747781365437601</stp>
        <tr r="Q9" s="34"/>
      </tp>
      <tp t="e">
        <v>#N/A</v>
        <stp/>
        <stp>BDH|13844650958458325554</stp>
        <tr r="U60" s="13"/>
      </tp>
      <tp t="e">
        <v>#N/A</v>
        <stp/>
        <stp>BDH|15509052139743835820</stp>
        <tr r="Q13" s="7"/>
      </tp>
      <tp t="e">
        <v>#N/A</v>
        <stp/>
        <stp>BDH|15034181685704766596</stp>
        <tr r="R16" s="23"/>
      </tp>
      <tp t="e">
        <v>#N/A</v>
        <stp/>
        <stp>BDH|11666029851831118872</stp>
        <tr r="M19" s="20"/>
      </tp>
      <tp t="e">
        <v>#N/A</v>
        <stp/>
        <stp>BDH|12549820420464586103</stp>
        <tr r="P169" s="18"/>
      </tp>
      <tp t="e">
        <v>#N/A</v>
        <stp/>
        <stp>BDH|13558115093300304668</stp>
        <tr r="N15" s="30"/>
      </tp>
      <tp t="e">
        <v>#N/A</v>
        <stp/>
        <stp>BDH|16007699012624173883</stp>
        <tr r="V21" s="5"/>
      </tp>
      <tp t="e">
        <v>#N/A</v>
        <stp/>
        <stp>BDH|12819317243731187993</stp>
        <tr r="L160" s="18"/>
      </tp>
      <tp t="e">
        <v>#N/A</v>
        <stp/>
        <stp>BDH|13590435181412503002</stp>
        <tr r="T10" s="14"/>
      </tp>
      <tp t="e">
        <v>#N/A</v>
        <stp/>
        <stp>BDH|12212522997397489411</stp>
        <tr r="P88" s="12"/>
      </tp>
      <tp t="e">
        <v>#N/A</v>
        <stp/>
        <stp>BDH|15880690539068309591</stp>
        <tr r="U16" s="6"/>
      </tp>
      <tp t="e">
        <v>#N/A</v>
        <stp/>
        <stp>BDH|15549221206169090335</stp>
        <tr r="D15" s="14"/>
      </tp>
      <tp t="e">
        <v>#N/A</v>
        <stp/>
        <stp>BDH|14800672093726956078</stp>
        <tr r="I35" s="26"/>
      </tp>
      <tp t="e">
        <v>#N/A</v>
        <stp/>
        <stp>BDH|15498141996257360774</stp>
        <tr r="V34" s="24"/>
      </tp>
      <tp t="e">
        <v>#N/A</v>
        <stp/>
        <stp>BDH|13431626055848408552</stp>
        <tr r="C18" s="28"/>
        <tr r="C15" s="17"/>
      </tp>
      <tp t="e">
        <v>#N/A</v>
        <stp/>
        <stp>BDH|14785251291867479559</stp>
        <tr r="T17" s="24"/>
      </tp>
      <tp t="e">
        <v>#N/A</v>
        <stp/>
        <stp>BDH|15455538694912533648</stp>
        <tr r="AA11" s="30"/>
      </tp>
      <tp t="e">
        <v>#N/A</v>
        <stp/>
        <stp>BDH|12546919091387033873</stp>
        <tr r="U66" s="10"/>
        <tr r="U39" s="4"/>
      </tp>
      <tp t="e">
        <v>#N/A</v>
        <stp/>
        <stp>BDH|14695415353309311150</stp>
        <tr r="U57" s="34"/>
      </tp>
      <tp t="e">
        <v>#N/A</v>
        <stp/>
        <stp>BDH|17379918730688665861</stp>
        <tr r="F21" s="10"/>
      </tp>
      <tp t="e">
        <v>#N/A</v>
        <stp/>
        <stp>BDH|18298872794313732746</stp>
        <tr r="Y78" s="12"/>
      </tp>
      <tp t="e">
        <v>#N/A</v>
        <stp/>
        <stp>BDH|17329267249714691886</stp>
        <tr r="E33" s="24"/>
      </tp>
      <tp t="e">
        <v>#N/A</v>
        <stp/>
        <stp>BDH|17360306052515015939</stp>
        <tr r="AA161" s="18"/>
      </tp>
      <tp t="e">
        <v>#N/A</v>
        <stp/>
        <stp>BDH|15919814776583841449</stp>
        <tr r="Q81" s="17"/>
      </tp>
      <tp t="e">
        <v>#N/A</v>
        <stp/>
        <stp>BDH|15401325514813363936</stp>
        <tr r="L64" s="11"/>
        <tr r="L73" s="10"/>
      </tp>
      <tp t="e">
        <v>#N/A</v>
        <stp/>
        <stp>BDH|17589320323633627800</stp>
        <tr r="D28" s="6"/>
      </tp>
      <tp t="e">
        <v>#N/A</v>
        <stp/>
        <stp>BDH|11188775914358211223</stp>
        <tr r="Z126" s="12"/>
      </tp>
      <tp t="e">
        <v>#N/A</v>
        <stp/>
        <stp>BDH|12688953856775476637</stp>
        <tr r="I157" s="18"/>
      </tp>
      <tp t="e">
        <v>#N/A</v>
        <stp/>
        <stp>BDH|11269087930059140696</stp>
        <tr r="N10" s="23"/>
      </tp>
      <tp t="e">
        <v>#N/A</v>
        <stp/>
        <stp>BDH|14905412345591645891</stp>
        <tr r="O13" s="34"/>
      </tp>
      <tp t="e">
        <v>#N/A</v>
        <stp/>
        <stp>BDH|13242013012367469873</stp>
        <tr r="V29" s="34"/>
      </tp>
      <tp t="e">
        <v>#N/A</v>
        <stp/>
        <stp>BDH|13500720987170121132</stp>
        <tr r="Q16" s="34"/>
      </tp>
      <tp t="e">
        <v>#N/A</v>
        <stp/>
        <stp>BDH|13081015060881365903</stp>
        <tr r="G47" s="12"/>
      </tp>
      <tp t="e">
        <v>#N/A</v>
        <stp/>
        <stp>BDH|15334207547267568930</stp>
        <tr r="P11" s="11"/>
      </tp>
      <tp t="e">
        <v>#N/A</v>
        <stp/>
        <stp>BDH|16872050716293113984</stp>
        <tr r="R38" s="34"/>
      </tp>
      <tp t="e">
        <v>#N/A</v>
        <stp/>
        <stp>BDH|18039630945436778130</stp>
        <tr r="F48" s="17"/>
      </tp>
      <tp t="e">
        <v>#N/A</v>
        <stp/>
        <stp>BDH|11814385590355750352</stp>
        <tr r="R77" s="12"/>
      </tp>
      <tp t="e">
        <v>#N/A</v>
        <stp/>
        <stp>BDH|10319924042353755364</stp>
        <tr r="C16" s="21"/>
      </tp>
      <tp t="e">
        <v>#N/A</v>
        <stp/>
        <stp>BDH|17102861717064619747</stp>
        <tr r="P61" s="18"/>
      </tp>
      <tp t="e">
        <v>#N/A</v>
        <stp/>
        <stp>BDH|14826292095636575436</stp>
        <tr r="O175" s="18"/>
      </tp>
      <tp t="e">
        <v>#N/A</v>
        <stp/>
        <stp>BDH|13549793180569822866</stp>
        <tr r="S187" s="18"/>
      </tp>
      <tp t="e">
        <v>#N/A</v>
        <stp/>
        <stp>BDH|10478298821839996478</stp>
        <tr r="L34" s="6"/>
      </tp>
      <tp t="e">
        <v>#N/A</v>
        <stp/>
        <stp>BDH|12911983445147638505</stp>
        <tr r="E54" s="17"/>
        <tr r="E17" s="3"/>
      </tp>
      <tp t="e">
        <v>#N/A</v>
        <stp/>
        <stp>BDH|11533030583682495639</stp>
        <tr r="J23" s="9"/>
        <tr r="J23" s="5"/>
      </tp>
      <tp t="e">
        <v>#N/A</v>
        <stp/>
        <stp>BDH|16640866753952581446</stp>
        <tr r="Q30" s="29"/>
        <tr r="Q8" s="29"/>
      </tp>
      <tp t="e">
        <v>#N/A</v>
        <stp/>
        <stp>BDH|11496601370469799411</stp>
        <tr r="K78" s="34"/>
      </tp>
      <tp t="e">
        <v>#N/A</v>
        <stp/>
        <stp>BDH|13233049838394888945</stp>
        <tr r="Y37" s="21"/>
      </tp>
      <tp t="e">
        <v>#N/A</v>
        <stp/>
        <stp>BDH|11665093811755479881</stp>
        <tr r="P162" s="18"/>
      </tp>
      <tp t="e">
        <v>#N/A</v>
        <stp/>
        <stp>BDH|18120658836036424633</stp>
        <tr r="P17" s="13"/>
      </tp>
      <tp t="e">
        <v>#N/A</v>
        <stp/>
        <stp>BDH|15544347231858338062</stp>
        <tr r="R33" s="9"/>
      </tp>
      <tp t="e">
        <v>#N/A</v>
        <stp/>
        <stp>BDH|14844798967310309805</stp>
        <tr r="X58" s="18"/>
      </tp>
      <tp t="e">
        <v>#N/A</v>
        <stp/>
        <stp>BDH|13929042017128691791</stp>
        <tr r="S87" s="17"/>
      </tp>
      <tp t="e">
        <v>#N/A</v>
        <stp/>
        <stp>BDH|14672508501119032524</stp>
        <tr r="T199" s="18"/>
      </tp>
      <tp t="e">
        <v>#N/A</v>
        <stp/>
        <stp>BDH|18082514407265724545</stp>
        <tr r="S12" s="26"/>
      </tp>
      <tp t="e">
        <v>#N/A</v>
        <stp/>
        <stp>BDH|17804724378719091373</stp>
        <tr r="K28" s="18"/>
      </tp>
      <tp t="e">
        <v>#N/A</v>
        <stp/>
        <stp>BDH|13584169887541349629</stp>
        <tr r="H179" s="18"/>
      </tp>
      <tp t="e">
        <v>#N/A</v>
        <stp/>
        <stp>BDH|13859722321008875368</stp>
        <tr r="Z28" s="24"/>
      </tp>
      <tp t="e">
        <v>#N/A</v>
        <stp/>
        <stp>BDH|18186641723485167423</stp>
        <tr r="E23" s="18"/>
      </tp>
      <tp t="e">
        <v>#N/A</v>
        <stp/>
        <stp>BDH|15767726948872043984</stp>
        <tr r="O10" s="18"/>
      </tp>
      <tp t="e">
        <v>#N/A</v>
        <stp/>
        <stp>BDH|14133329765125002933</stp>
        <tr r="W68" s="34"/>
      </tp>
      <tp t="e">
        <v>#N/A</v>
        <stp/>
        <stp>BDH|16426278986666745777</stp>
        <tr r="C11" s="22"/>
      </tp>
      <tp t="e">
        <v>#N/A</v>
        <stp/>
        <stp>BDH|16627349197508229923</stp>
        <tr r="F7" s="8"/>
      </tp>
      <tp t="e">
        <v>#N/A</v>
        <stp/>
        <stp>BDH|12545925010897622044</stp>
        <tr r="Y9" s="26"/>
      </tp>
      <tp t="e">
        <v>#N/A</v>
        <stp/>
        <stp>BDH|10569890019800686468</stp>
        <tr r="S197" s="18"/>
      </tp>
      <tp t="e">
        <v>#N/A</v>
        <stp/>
        <stp>BDH|13855113881573493494</stp>
        <tr r="F65" s="24"/>
      </tp>
      <tp t="e">
        <v>#N/A</v>
        <stp/>
        <stp>BDH|16372732791585364078</stp>
        <tr r="M12" s="20"/>
        <tr r="M121" s="18"/>
      </tp>
      <tp t="e">
        <v>#N/A</v>
        <stp/>
        <stp>BDH|14115500460383352979</stp>
        <tr r="V28" s="21"/>
      </tp>
      <tp t="e">
        <v>#N/A</v>
        <stp/>
        <stp>BDH|15249216171934053973</stp>
        <tr r="O15" s="18"/>
      </tp>
      <tp t="e">
        <v>#N/A</v>
        <stp/>
        <stp>BDH|14262482208335684812</stp>
        <tr r="D6" s="8"/>
      </tp>
      <tp t="e">
        <v>#N/A</v>
        <stp/>
        <stp>BDH|18105772802824849693</stp>
        <tr r="Q14" s="4"/>
      </tp>
      <tp t="e">
        <v>#N/A</v>
        <stp/>
        <stp>BDH|16677805920722412378</stp>
        <tr r="K36" s="29"/>
        <tr r="K22" s="29"/>
        <tr r="K13" s="29"/>
      </tp>
      <tp t="e">
        <v>#N/A</v>
        <stp/>
        <stp>BDH|10711916976230012358</stp>
        <tr r="E69" s="18"/>
      </tp>
      <tp t="e">
        <v>#N/A</v>
        <stp/>
        <stp>BDH|12261847803951225626</stp>
        <tr r="Q7" s="10"/>
      </tp>
      <tp t="e">
        <v>#N/A</v>
        <stp/>
        <stp>BDH|15000218754998795774</stp>
        <tr r="H34" s="22"/>
      </tp>
      <tp t="e">
        <v>#N/A</v>
        <stp/>
        <stp>BDH|16103402799086877059</stp>
        <tr r="J6" s="27"/>
      </tp>
      <tp t="e">
        <v>#N/A</v>
        <stp/>
        <stp>BDH|10967720115878824330</stp>
        <tr r="G174" s="18"/>
      </tp>
      <tp t="e">
        <v>#N/A</v>
        <stp/>
        <stp>BDH|13275744624818447333</stp>
        <tr r="K98" s="17"/>
      </tp>
      <tp t="e">
        <v>#N/A</v>
        <stp/>
        <stp>BDH|11480122703835273829</stp>
        <tr r="Y35" s="24"/>
      </tp>
      <tp t="e">
        <v>#N/A</v>
        <stp/>
        <stp>BDH|10390201362489188058</stp>
        <tr r="C76" s="17"/>
      </tp>
      <tp t="e">
        <v>#N/A</v>
        <stp/>
        <stp>BDH|12547349084790813488</stp>
        <tr r="H14" s="4"/>
      </tp>
      <tp t="e">
        <v>#N/A</v>
        <stp/>
        <stp>BDH|14772031382037308605</stp>
        <tr r="H47" s="17"/>
      </tp>
      <tp t="e">
        <v>#N/A</v>
        <stp/>
        <stp>BDH|13431059693561751609</stp>
        <tr r="Y27" s="7"/>
      </tp>
      <tp t="e">
        <v>#N/A</v>
        <stp/>
        <stp>BDH|14067975814298135971</stp>
        <tr r="AA136" s="18"/>
      </tp>
      <tp t="e">
        <v>#N/A</v>
        <stp/>
        <stp>BDH|18351219152481780322</stp>
        <tr r="P43" s="34"/>
      </tp>
      <tp t="e">
        <v>#N/A</v>
        <stp/>
        <stp>BDH|13859096999135905240</stp>
        <tr r="T13" s="26"/>
      </tp>
      <tp t="e">
        <v>#N/A</v>
        <stp/>
        <stp>BDH|12751928129747892312</stp>
        <tr r="L145" s="18"/>
      </tp>
      <tp t="e">
        <v>#N/A</v>
        <stp/>
        <stp>BDH|10791302125038693413</stp>
        <tr r="Y64" s="13"/>
      </tp>
      <tp t="e">
        <v>#N/A</v>
        <stp/>
        <stp>BDH|10856943209390450440</stp>
        <tr r="E10" s="8"/>
        <tr r="C53" s="6"/>
      </tp>
      <tp t="e">
        <v>#N/A</v>
        <stp/>
        <stp>BDH|11918755170339035593</stp>
        <tr r="K32" s="18"/>
      </tp>
      <tp t="e">
        <v>#N/A</v>
        <stp/>
        <stp>BDH|17037049825321178958</stp>
        <tr r="K61" s="34"/>
      </tp>
      <tp t="e">
        <v>#N/A</v>
        <stp/>
        <stp>BDH|12839844248992291131</stp>
        <tr r="C41" s="22"/>
      </tp>
      <tp t="e">
        <v>#N/A</v>
        <stp/>
        <stp>BDH|13474015677469446034</stp>
        <tr r="K14" s="23"/>
      </tp>
      <tp t="e">
        <v>#N/A</v>
        <stp/>
        <stp>BDH|13048973605263484438</stp>
        <tr r="H36" s="6"/>
        <tr r="H17" s="5"/>
      </tp>
      <tp t="e">
        <v>#N/A</v>
        <stp/>
        <stp>BDH|11838141584444951146</stp>
        <tr r="Z67" s="34"/>
      </tp>
      <tp t="e">
        <v>#N/A</v>
        <stp/>
        <stp>BDH|14241237499871867359</stp>
        <tr r="S22" s="11"/>
      </tp>
      <tp t="e">
        <v>#N/A</v>
        <stp/>
        <stp>BDH|12911701342145789982</stp>
        <tr r="I162" s="18"/>
      </tp>
      <tp t="e">
        <v>#N/A</v>
        <stp/>
        <stp>BDH|14310873715925367566</stp>
        <tr r="N17" s="21"/>
      </tp>
      <tp t="e">
        <v>#N/A</v>
        <stp/>
        <stp>BDH|15694537293631129530</stp>
        <tr r="E17" s="9"/>
      </tp>
      <tp t="e">
        <v>#N/A</v>
        <stp/>
        <stp>BDH|14008448140129271024</stp>
        <tr r="E16" s="11"/>
      </tp>
      <tp t="e">
        <v>#N/A</v>
        <stp/>
        <stp>BDH|17544607560968807290</stp>
        <tr r="G104" s="18"/>
      </tp>
      <tp t="e">
        <v>#N/A</v>
        <stp/>
        <stp>BDH|12716128621189885589</stp>
        <tr r="K88" s="24"/>
      </tp>
      <tp t="e">
        <v>#N/A</v>
        <stp/>
        <stp>BDH|10585111994270356576</stp>
        <tr r="Z76" s="18"/>
      </tp>
      <tp t="e">
        <v>#N/A</v>
        <stp/>
        <stp>BDH|11583755376289654542</stp>
        <tr r="K143" s="18"/>
      </tp>
      <tp t="e">
        <v>#N/A</v>
        <stp/>
        <stp>BDH|14972809019509155956</stp>
        <tr r="AA18" s="21"/>
      </tp>
      <tp t="e">
        <v>#N/A</v>
        <stp/>
        <stp>BDH|10203900112243186652</stp>
        <tr r="F11" s="14"/>
      </tp>
      <tp t="e">
        <v>#N/A</v>
        <stp/>
        <stp>BDH|15115354615193390962</stp>
        <tr r="L31" s="9"/>
      </tp>
      <tp t="e">
        <v>#N/A</v>
        <stp/>
        <stp>BDH|17953796862082389954</stp>
        <tr r="X180" s="18"/>
      </tp>
      <tp t="e">
        <v>#N/A</v>
        <stp/>
        <stp>BDH|13913195205736243938</stp>
        <tr r="R168" s="18"/>
      </tp>
      <tp t="e">
        <v>#N/A</v>
        <stp/>
        <stp>BDH|10498522018791951836</stp>
        <tr r="O42" s="24"/>
      </tp>
      <tp t="e">
        <v>#N/A</v>
        <stp/>
        <stp>BDH|14183299816818278281</stp>
        <tr r="Y35" s="22"/>
      </tp>
      <tp t="e">
        <v>#N/A</v>
        <stp/>
        <stp>BDH|15420633581807659142</stp>
        <tr r="H32" s="22"/>
      </tp>
      <tp t="e">
        <v>#N/A</v>
        <stp/>
        <stp>BDH|10552990836791949678</stp>
        <tr r="Y176" s="18"/>
      </tp>
      <tp t="e">
        <v>#N/A</v>
        <stp/>
        <stp>BDH|13062448474444101954</stp>
        <tr r="N8" s="18"/>
      </tp>
      <tp t="e">
        <v>#N/A</v>
        <stp/>
        <stp>BDH|11487565497133663377</stp>
        <tr r="I39" s="6"/>
      </tp>
      <tp t="e">
        <v>#N/A</v>
        <stp/>
        <stp>BDH|15754274794030550357</stp>
        <tr r="N16" s="20"/>
      </tp>
      <tp t="e">
        <v>#N/A</v>
        <stp/>
        <stp>BDH|12695950889998865664</stp>
        <tr r="X25" s="13"/>
      </tp>
      <tp t="e">
        <v>#N/A</v>
        <stp/>
        <stp>BDH|18425717274804648138</stp>
        <tr r="Y12" s="18"/>
      </tp>
      <tp t="e">
        <v>#N/A</v>
        <stp/>
        <stp>BDH|11675919265140174379</stp>
        <tr r="Q14" s="24"/>
      </tp>
      <tp t="e">
        <v>#N/A</v>
        <stp/>
        <stp>BDH|17561311161219756661</stp>
        <tr r="X26" s="26"/>
      </tp>
      <tp t="e">
        <v>#N/A</v>
        <stp/>
        <stp>BDH|11253904256199355932</stp>
        <tr r="Q46" s="12"/>
      </tp>
      <tp t="e">
        <v>#N/A</v>
        <stp/>
        <stp>BDH|14928753008387119914</stp>
        <tr r="U70" s="12"/>
      </tp>
      <tp t="e">
        <v>#N/A</v>
        <stp/>
        <stp>BDH|10227132431767126852</stp>
        <tr r="G22" s="21"/>
      </tp>
      <tp t="e">
        <v>#N/A</v>
        <stp/>
        <stp>BDH|16796902910167752449</stp>
        <tr r="F44" s="24"/>
      </tp>
      <tp t="e">
        <v>#N/A</v>
        <stp/>
        <stp>BDH|13337270557631177867</stp>
        <tr r="X10" s="28"/>
      </tp>
      <tp t="e">
        <v>#N/A</v>
        <stp/>
        <stp>BDH|13352855273512713361</stp>
        <tr r="E151" s="18"/>
      </tp>
      <tp t="e">
        <v>#N/A</v>
        <stp/>
        <stp>BDH|15498197455225413989</stp>
        <tr r="X40" s="24"/>
      </tp>
      <tp t="e">
        <v>#N/A</v>
        <stp/>
        <stp>BDH|15896564791235399182</stp>
        <tr r="L129" s="18"/>
      </tp>
      <tp t="e">
        <v>#N/A</v>
        <stp/>
        <stp>BDH|17004835467152741674</stp>
        <tr r="J21" s="18"/>
      </tp>
      <tp t="e">
        <v>#N/A</v>
        <stp/>
        <stp>BDH|14315085281425996442</stp>
        <tr r="R46" s="13"/>
      </tp>
      <tp t="e">
        <v>#N/A</v>
        <stp/>
        <stp>BDH|11651167953111114958</stp>
        <tr r="L71" s="17"/>
        <tr r="I8" s="9"/>
        <tr r="I8" s="5"/>
      </tp>
      <tp t="e">
        <v>#N/A</v>
        <stp/>
        <stp>BDH|16529369055949590441</stp>
        <tr r="Q18" s="24"/>
      </tp>
      <tp t="e">
        <v>#N/A</v>
        <stp/>
        <stp>BDH|12829459340376913933</stp>
        <tr r="Y82" s="12"/>
      </tp>
      <tp t="e">
        <v>#N/A</v>
        <stp/>
        <stp>BDH|13207449090597577441</stp>
        <tr r="P61" s="24"/>
      </tp>
      <tp t="e">
        <v>#N/A</v>
        <stp/>
        <stp>BDH|12569257850710194866</stp>
        <tr r="P93" s="12"/>
      </tp>
      <tp t="e">
        <v>#N/A</v>
        <stp/>
        <stp>BDH|11598451004009097139</stp>
        <tr r="S24" s="20"/>
      </tp>
      <tp t="e">
        <v>#N/A</v>
        <stp/>
        <stp>BDH|15235154774119379779</stp>
        <tr r="P10" s="10"/>
      </tp>
      <tp t="e">
        <v>#N/A</v>
        <stp/>
        <stp>BDH|10455595228699300319</stp>
        <tr r="F201" s="18"/>
      </tp>
      <tp t="e">
        <v>#N/A</v>
        <stp/>
        <stp>BDH|18308326422812066647</stp>
        <tr r="H30" s="29"/>
        <tr r="H8" s="29"/>
      </tp>
      <tp t="e">
        <v>#N/A</v>
        <stp/>
        <stp>BDH|10183370494625520203</stp>
        <tr r="D65" s="24"/>
      </tp>
      <tp t="e">
        <v>#N/A</v>
        <stp/>
        <stp>BDH|14834705388930021672</stp>
        <tr r="Y184" s="18"/>
      </tp>
      <tp t="e">
        <v>#N/A</v>
        <stp/>
        <stp>BDH|15295177343915310829</stp>
        <tr r="H43" s="6"/>
      </tp>
      <tp t="e">
        <v>#N/A</v>
        <stp/>
        <stp>BDH|17355820262955121151</stp>
        <tr r="T111" s="12"/>
      </tp>
      <tp t="e">
        <v>#N/A</v>
        <stp/>
        <stp>BDH|16457767258980845951</stp>
        <tr r="I129" s="18"/>
      </tp>
      <tp t="e">
        <v>#N/A</v>
        <stp/>
        <stp>BDH|17736061509779800378</stp>
        <tr r="Q10" s="21"/>
      </tp>
      <tp t="e">
        <v>#N/A</v>
        <stp/>
        <stp>BDH|12726172175969752051</stp>
        <tr r="Y45" s="13"/>
        <tr r="W29" s="11"/>
        <tr r="W38" s="10"/>
      </tp>
      <tp t="e">
        <v>#N/A</v>
        <stp/>
        <stp>BDH|12067678191227227732</stp>
        <tr r="J16" s="10"/>
      </tp>
      <tp t="e">
        <v>#N/A</v>
        <stp/>
        <stp>BDH|18289542056863500621</stp>
        <tr r="X12" s="22"/>
      </tp>
      <tp t="e">
        <v>#N/A</v>
        <stp/>
        <stp>BDH|10874879465916944540</stp>
        <tr r="Z41" s="24"/>
      </tp>
      <tp t="e">
        <v>#N/A</v>
        <stp/>
        <stp>BDH|18157600671903369748</stp>
        <tr r="I112" s="18"/>
      </tp>
      <tp t="e">
        <v>#N/A</v>
        <stp/>
        <stp>BDH|12458166184764004216</stp>
        <tr r="E26" s="18"/>
      </tp>
      <tp t="e">
        <v>#N/A</v>
        <stp/>
        <stp>BDH|10738165806544700871</stp>
        <tr r="C33" s="9"/>
      </tp>
      <tp t="e">
        <v>#N/A</v>
        <stp/>
        <stp>BDH|11056062652921578868</stp>
        <tr r="C70" s="34"/>
      </tp>
      <tp t="e">
        <v>#N/A</v>
        <stp/>
        <stp>BDH|12542171437379556472</stp>
        <tr r="W54" s="24"/>
      </tp>
      <tp t="e">
        <v>#N/A</v>
        <stp/>
        <stp>BDH|12772731095675262447</stp>
        <tr r="R13" s="9"/>
      </tp>
      <tp t="e">
        <v>#N/A</v>
        <stp/>
        <stp>BDH|16783961632851600020</stp>
        <tr r="H55" s="12"/>
      </tp>
      <tp t="e">
        <v>#N/A</v>
        <stp/>
        <stp>BDH|18234065167575212663</stp>
        <tr r="O6" s="8"/>
        <tr r="M51" s="6"/>
      </tp>
      <tp t="e">
        <v>#N/A</v>
        <stp/>
        <stp>BDH|18157544020010175237</stp>
        <tr r="M24" s="27"/>
      </tp>
      <tp t="e">
        <v>#N/A</v>
        <stp/>
        <stp>BDH|13118907940781465227</stp>
        <tr r="P46" s="12"/>
      </tp>
      <tp t="e">
        <v>#N/A</v>
        <stp/>
        <stp>BDH|13800893149783876173</stp>
        <tr r="I88" s="17"/>
      </tp>
      <tp t="e">
        <v>#N/A</v>
        <stp/>
        <stp>BDH|15123336983521577236</stp>
        <tr r="K34" s="13"/>
        <tr r="I27" s="10"/>
      </tp>
      <tp t="e">
        <v>#N/A</v>
        <stp/>
        <stp>BDH|15321351190314029615</stp>
        <tr r="U205" s="18"/>
      </tp>
      <tp t="e">
        <v>#N/A</v>
        <stp/>
        <stp>BDH|14504225574425309976</stp>
        <tr r="E65" s="24"/>
      </tp>
      <tp t="e">
        <v>#N/A</v>
        <stp/>
        <stp>BDH|12001419682695086641</stp>
        <tr r="V32" s="26"/>
      </tp>
      <tp t="e">
        <v>#N/A</v>
        <stp/>
        <stp>BDH|12305234292982625639</stp>
        <tr r="S32" s="29"/>
        <tr r="Q34" s="5"/>
      </tp>
      <tp t="e">
        <v>#N/A</v>
        <stp/>
        <stp>BDH|16950903500962780091</stp>
        <tr r="L40" s="13"/>
        <tr r="J24" s="10"/>
        <tr r="J46" s="4"/>
      </tp>
      <tp t="e">
        <v>#N/A</v>
        <stp/>
        <stp>BDH|14503958157643029609</stp>
        <tr r="Z49" s="17"/>
      </tp>
      <tp t="e">
        <v>#N/A</v>
        <stp/>
        <stp>BDH|14239687358833280971</stp>
        <tr r="W22" s="27"/>
      </tp>
      <tp t="e">
        <v>#N/A</v>
        <stp/>
        <stp>BDH|10633434694384327453</stp>
        <tr r="Q63" s="10"/>
      </tp>
      <tp t="e">
        <v>#N/A</v>
        <stp/>
        <stp>BDH|17734803936012561332</stp>
        <tr r="L186" s="18"/>
      </tp>
      <tp t="e">
        <v>#N/A</v>
        <stp/>
        <stp>BDH|10980183935477232818</stp>
        <tr r="X17" s="20"/>
      </tp>
      <tp t="e">
        <v>#N/A</v>
        <stp/>
        <stp>BDH|17959431798216614133</stp>
        <tr r="AA60" s="21"/>
        <tr r="Y54" s="11"/>
      </tp>
      <tp t="e">
        <v>#N/A</v>
        <stp/>
        <stp>BDH|10225509376168165728</stp>
        <tr r="D60" s="18"/>
      </tp>
      <tp t="e">
        <v>#N/A</v>
        <stp/>
        <stp>BDH|15293905819152873251</stp>
        <tr r="Y10" s="21"/>
      </tp>
      <tp t="e">
        <v>#N/A</v>
        <stp/>
        <stp>BDH|12252351966308594225</stp>
        <tr r="X28" s="6"/>
      </tp>
      <tp t="e">
        <v>#N/A</v>
        <stp/>
        <stp>BDH|11445935519192194693</stp>
        <tr r="F18" s="22"/>
      </tp>
      <tp t="e">
        <v>#N/A</v>
        <stp/>
        <stp>BDH|11291913804485855091</stp>
        <tr r="Y27" s="21"/>
      </tp>
      <tp t="e">
        <v>#N/A</v>
        <stp/>
        <stp>BDH|14775856610991115150</stp>
        <tr r="F131" s="18"/>
      </tp>
      <tp t="e">
        <v>#N/A</v>
        <stp/>
        <stp>BDH|11059842135952640512</stp>
        <tr r="T36" s="4"/>
      </tp>
      <tp t="e">
        <v>#N/A</v>
        <stp/>
        <stp>BDH|18366638646397943091</stp>
        <tr r="O52" s="13"/>
      </tp>
      <tp t="e">
        <v>#N/A</v>
        <stp/>
        <stp>BDH|12297732033872027949</stp>
        <tr r="C80" s="17"/>
        <tr r="C19" s="3"/>
      </tp>
      <tp t="e">
        <v>#N/A</v>
        <stp/>
        <stp>BDH|16717108459167954815</stp>
        <tr r="N10" s="22"/>
      </tp>
      <tp t="e">
        <v>#N/A</v>
        <stp/>
        <stp>BDH|17714927157862319470</stp>
        <tr r="I67" s="10"/>
      </tp>
      <tp t="e">
        <v>#N/A</v>
        <stp/>
        <stp>BDH|17452108295727454530</stp>
        <tr r="X8" s="18"/>
      </tp>
      <tp t="e">
        <v>#N/A</v>
        <stp/>
        <stp>BDH|11204920809872867770</stp>
        <tr r="S19" s="13"/>
        <tr r="Q62" s="10"/>
        <tr r="Q32" s="4"/>
        <tr r="Q16" s="2"/>
      </tp>
      <tp t="e">
        <v>#N/A</v>
        <stp/>
        <stp>BDH|12075194841849657380</stp>
        <tr r="O24" s="6"/>
      </tp>
      <tp t="e">
        <v>#N/A</v>
        <stp/>
        <stp>BDH|14159118721888798202</stp>
        <tr r="O33" s="6"/>
      </tp>
      <tp t="e">
        <v>#N/A</v>
        <stp/>
        <stp>BDH|15987338856918341691</stp>
        <tr r="G12" s="10"/>
      </tp>
      <tp t="e">
        <v>#N/A</v>
        <stp/>
        <stp>BDH|14742157093953509226</stp>
        <tr r="W34" s="14"/>
      </tp>
      <tp t="e">
        <v>#N/A</v>
        <stp/>
        <stp>BDH|16978697850188640009</stp>
        <tr r="Z45" s="21"/>
      </tp>
      <tp t="e">
        <v>#N/A</v>
        <stp/>
        <stp>BDH|11362100484662296735</stp>
        <tr r="P10" s="26"/>
      </tp>
      <tp t="e">
        <v>#N/A</v>
        <stp/>
        <stp>BDH|12808420714382067889</stp>
        <tr r="M81" s="18"/>
      </tp>
      <tp t="e">
        <v>#N/A</v>
        <stp/>
        <stp>BDH|15927289340417366945</stp>
        <tr r="V26" s="6"/>
      </tp>
      <tp t="e">
        <v>#N/A</v>
        <stp/>
        <stp>BDH|17870128869894033958</stp>
        <tr r="C53" s="12"/>
      </tp>
      <tp t="e">
        <v>#N/A</v>
        <stp/>
        <stp>BDH|10628874024626384109</stp>
        <tr r="F148" s="18"/>
      </tp>
      <tp t="e">
        <v>#N/A</v>
        <stp/>
        <stp>BDH|11160507653594756830</stp>
        <tr r="E14" s="23"/>
      </tp>
      <tp t="e">
        <v>#N/A</v>
        <stp/>
        <stp>BDH|13812455888616340407</stp>
        <tr r="AA53" s="21"/>
      </tp>
      <tp t="e">
        <v>#N/A</v>
        <stp/>
        <stp>BDH|18274766704205758717</stp>
        <tr r="H48" s="12"/>
      </tp>
      <tp t="e">
        <v>#N/A</v>
        <stp/>
        <stp>BDH|11465119093942417646</stp>
        <tr r="C17" s="30"/>
      </tp>
      <tp t="e">
        <v>#N/A</v>
        <stp/>
        <stp>BDH|16175677242731705856</stp>
        <tr r="C102" s="18"/>
      </tp>
      <tp t="e">
        <v>#N/A</v>
        <stp/>
        <stp>BDH|16207826496219366332</stp>
        <tr r="F162" s="18"/>
      </tp>
      <tp t="e">
        <v>#N/A</v>
        <stp/>
        <stp>BDH|14115418054611608948</stp>
        <tr r="K7" s="27"/>
        <tr r="K95" s="17"/>
      </tp>
      <tp t="e">
        <v>#N/A</v>
        <stp/>
        <stp>BDH|12230294426586231997</stp>
        <tr r="I113" s="18"/>
      </tp>
      <tp t="e">
        <v>#N/A</v>
        <stp/>
        <stp>BDH|17340478128068289482</stp>
        <tr r="G173" s="18"/>
      </tp>
      <tp t="e">
        <v>#N/A</v>
        <stp/>
        <stp>BDH|12599377427598668658</stp>
        <tr r="AA59" s="34"/>
      </tp>
      <tp t="e">
        <v>#N/A</v>
        <stp/>
        <stp>BDH|17589343897592824289</stp>
        <tr r="M12" s="24"/>
      </tp>
      <tp t="e">
        <v>#N/A</v>
        <stp/>
        <stp>BDH|15490711590652281413</stp>
        <tr r="AA189" s="18"/>
      </tp>
      <tp t="e">
        <v>#N/A</v>
        <stp/>
        <stp>BDH|10980583373269086644</stp>
        <tr r="K17" s="27"/>
        <tr r="K31" s="25"/>
        <tr r="H14" s="5"/>
      </tp>
      <tp t="e">
        <v>#N/A</v>
        <stp/>
        <stp>BDH|14409262199400875255</stp>
        <tr r="AA44" s="13"/>
        <tr r="Y28" s="11"/>
        <tr r="Y37" s="10"/>
      </tp>
      <tp t="e">
        <v>#N/A</v>
        <stp/>
        <stp>BDH|14220130529193973970</stp>
        <tr r="U11" s="20"/>
        <tr r="U120" s="18"/>
      </tp>
      <tp t="e">
        <v>#N/A</v>
        <stp/>
        <stp>BDH|10337044487645569033</stp>
        <tr r="J18" s="13"/>
      </tp>
      <tp t="e">
        <v>#N/A</v>
        <stp/>
        <stp>BDH|11741853790828221569</stp>
        <tr r="V140" s="18"/>
      </tp>
      <tp t="e">
        <v>#N/A</v>
        <stp/>
        <stp>BDH|18243057020516404152</stp>
        <tr r="Q26" s="6"/>
      </tp>
      <tp t="e">
        <v>#N/A</v>
        <stp/>
        <stp>BDH|11319935862693318077</stp>
        <tr r="M90" s="18"/>
      </tp>
      <tp t="e">
        <v>#N/A</v>
        <stp/>
        <stp>BDH|17191907436152092212</stp>
        <tr r="J104" s="18"/>
      </tp>
      <tp t="e">
        <v>#N/A</v>
        <stp/>
        <stp>BDH|17056306319999707171</stp>
        <tr r="O67" s="12"/>
      </tp>
      <tp t="e">
        <v>#N/A</v>
        <stp/>
        <stp>BDH|10189899311274108018</stp>
        <tr r="M10" s="8"/>
        <tr r="K53" s="6"/>
      </tp>
      <tp t="e">
        <v>#N/A</v>
        <stp/>
        <stp>BDH|17887137442407362836</stp>
        <tr r="U6" s="20"/>
        <tr r="U116" s="18"/>
      </tp>
      <tp t="e">
        <v>#N/A</v>
        <stp/>
        <stp>BDH|10565685955868789668</stp>
        <tr r="O12" s="24"/>
      </tp>
      <tp t="e">
        <v>#N/A</v>
        <stp/>
        <stp>BDH|14300436802298379589</stp>
        <tr r="W45" s="24"/>
      </tp>
      <tp t="e">
        <v>#N/A</v>
        <stp/>
        <stp>BDH|13812230793914306122</stp>
        <tr r="F16" s="21"/>
      </tp>
      <tp t="e">
        <v>#N/A</v>
        <stp/>
        <stp>BDH|16392286395219062971</stp>
        <tr r="R36" s="17"/>
      </tp>
      <tp t="e">
        <v>#N/A</v>
        <stp/>
        <stp>BDH|10569001599014581006</stp>
        <tr r="H93" s="24"/>
      </tp>
      <tp t="e">
        <v>#N/A</v>
        <stp/>
        <stp>BDH|11258414021739393386</stp>
        <tr r="K27" s="21"/>
      </tp>
      <tp t="e">
        <v>#N/A</v>
        <stp/>
        <stp>BDH|16844778061519519320</stp>
        <tr r="F36" s="4"/>
      </tp>
      <tp t="e">
        <v>#N/A</v>
        <stp/>
        <stp>BDH|17384498221719588577</stp>
        <tr r="E22" s="11"/>
      </tp>
      <tp t="e">
        <v>#N/A</v>
        <stp/>
        <stp>BDH|10867069854451660955</stp>
        <tr r="C8" s="14"/>
      </tp>
      <tp t="e">
        <v>#N/A</v>
        <stp/>
        <stp>BDH|12915651896051785147</stp>
        <tr r="G94" s="24"/>
      </tp>
      <tp t="e">
        <v>#N/A</v>
        <stp/>
        <stp>BDH|16984477977219240126</stp>
        <tr r="O47" s="18"/>
      </tp>
      <tp t="e">
        <v>#N/A</v>
        <stp/>
        <stp>BDH|13350636318271193807</stp>
        <tr r="L19" s="22"/>
      </tp>
      <tp t="e">
        <v>#N/A</v>
        <stp/>
        <stp>BDH|11266189696556203275</stp>
        <tr r="I88" s="12"/>
      </tp>
      <tp t="e">
        <v>#N/A</v>
        <stp/>
        <stp>BDH|12314733322809323386</stp>
        <tr r="E30" s="12"/>
      </tp>
      <tp t="e">
        <v>#N/A</v>
        <stp/>
        <stp>BDH|17560201970416849949</stp>
        <tr r="AA56" s="12"/>
      </tp>
      <tp t="e">
        <v>#N/A</v>
        <stp/>
        <stp>BDH|13484239998015445028</stp>
        <tr r="Q8" s="27"/>
      </tp>
      <tp t="e">
        <v>#N/A</v>
        <stp/>
        <stp>BDH|14802165480109410938</stp>
        <tr r="C12" s="11"/>
      </tp>
      <tp t="e">
        <v>#N/A</v>
        <stp/>
        <stp>BDH|11712358691891244789</stp>
        <tr r="Z78" s="34"/>
      </tp>
      <tp t="e">
        <v>#N/A</v>
        <stp/>
        <stp>BDH|17924458029369528597</stp>
        <tr r="U60" s="17"/>
      </tp>
      <tp t="e">
        <v>#N/A</v>
        <stp/>
        <stp>BDH|16622608523669466686</stp>
        <tr r="R24" s="21"/>
      </tp>
      <tp t="e">
        <v>#N/A</v>
        <stp/>
        <stp>BDH|13980727595076511622</stp>
        <tr r="H73" s="17"/>
      </tp>
      <tp t="e">
        <v>#N/A</v>
        <stp/>
        <stp>BDH|16259299390618468860</stp>
        <tr r="Z26" s="18"/>
      </tp>
      <tp t="e">
        <v>#N/A</v>
        <stp/>
        <stp>BDH|13146296341038665067</stp>
        <tr r="M20" s="28"/>
        <tr r="M17" s="17"/>
      </tp>
      <tp t="e">
        <v>#N/A</v>
        <stp/>
        <stp>BDH|14554306880530564292</stp>
        <tr r="S8" s="12"/>
      </tp>
      <tp t="e">
        <v>#N/A</v>
        <stp/>
        <stp>BDH|17116716608219614475</stp>
        <tr r="N42" s="29"/>
        <tr r="N33" s="29"/>
        <tr r="L55" s="6"/>
        <tr r="L11" s="5"/>
        <tr r="M10" s="2"/>
      </tp>
      <tp t="e">
        <v>#N/A</v>
        <stp/>
        <stp>BDH|10411482388340484199</stp>
        <tr r="L33" s="18"/>
      </tp>
      <tp t="e">
        <v>#N/A</v>
        <stp/>
        <stp>BDH|14202147380697713780</stp>
        <tr r="Z33" s="12"/>
      </tp>
      <tp t="e">
        <v>#N/A</v>
        <stp/>
        <stp>BDH|10326923477387929460</stp>
        <tr r="U24" s="20"/>
      </tp>
      <tp t="e">
        <v>#N/A</v>
        <stp/>
        <stp>BDH|16256236339478321225</stp>
        <tr r="Z41" s="22"/>
      </tp>
      <tp t="e">
        <v>#N/A</v>
        <stp/>
        <stp>BDH|14212999616907333675</stp>
        <tr r="I15" s="5"/>
      </tp>
      <tp t="e">
        <v>#N/A</v>
        <stp/>
        <stp>BDH|14308790833718372536</stp>
        <tr r="N49" s="34"/>
      </tp>
      <tp t="e">
        <v>#N/A</v>
        <stp/>
        <stp>BDH|15933223399316849532</stp>
        <tr r="I66" s="21"/>
        <tr r="F31" s="6"/>
      </tp>
      <tp t="e">
        <v>#N/A</v>
        <stp/>
        <stp>BDH|13788414863004815848</stp>
        <tr r="K12" s="22"/>
      </tp>
      <tp t="e">
        <v>#N/A</v>
        <stp/>
        <stp>BDH|14488345843576997834</stp>
        <tr r="J8" s="17"/>
      </tp>
      <tp t="e">
        <v>#N/A</v>
        <stp/>
        <stp>BDH|13900203194546428300</stp>
        <tr r="S43" s="11"/>
        <tr r="S52" s="10"/>
        <tr r="S15" s="7"/>
      </tp>
      <tp t="e">
        <v>#N/A</v>
        <stp/>
        <stp>BDH|17952231431292220900</stp>
        <tr r="S7" s="4"/>
      </tp>
      <tp t="e">
        <v>#N/A</v>
        <stp/>
        <stp>BDH|14976900810052633360</stp>
        <tr r="F41" s="18"/>
      </tp>
      <tp t="e">
        <v>#N/A</v>
        <stp/>
        <stp>BDH|12414694485426366723</stp>
        <tr r="T25" s="26"/>
      </tp>
      <tp t="e">
        <v>#N/A</v>
        <stp/>
        <stp>BDH|10024390397492229550</stp>
        <tr r="C7" s="14"/>
      </tp>
      <tp t="e">
        <v>#N/A</v>
        <stp/>
        <stp>BDH|11102199682362360708</stp>
        <tr r="X23" s="22"/>
      </tp>
      <tp t="e">
        <v>#N/A</v>
        <stp/>
        <stp>BDH|16163155962095911966</stp>
        <tr r="U74" s="24"/>
      </tp>
      <tp t="e">
        <v>#N/A</v>
        <stp/>
        <stp>BDH|17124834420564312499</stp>
        <tr r="E16" s="34"/>
      </tp>
      <tp t="e">
        <v>#N/A</v>
        <stp/>
        <stp>BDH|17590961552006021091</stp>
        <tr r="J127" s="12"/>
      </tp>
      <tp t="e">
        <v>#N/A</v>
        <stp/>
        <stp>BDH|16881474637358541450</stp>
        <tr r="X99" s="12"/>
      </tp>
      <tp t="e">
        <v>#N/A</v>
        <stp/>
        <stp>BDH|13281054821034606886</stp>
        <tr r="F14" s="22"/>
      </tp>
      <tp t="e">
        <v>#N/A</v>
        <stp/>
        <stp>BDH|11794041060449205396</stp>
        <tr r="AA70" s="34"/>
      </tp>
      <tp t="e">
        <v>#N/A</v>
        <stp/>
        <stp>BDH|16226092092940734260</stp>
        <tr r="K97" s="12"/>
      </tp>
      <tp t="e">
        <v>#N/A</v>
        <stp/>
        <stp>BDH|14265998385159319157</stp>
        <tr r="D9" s="11"/>
      </tp>
      <tp t="e">
        <v>#N/A</v>
        <stp/>
        <stp>BDH|15282493717545104857</stp>
        <tr r="J15" s="10"/>
      </tp>
      <tp t="e">
        <v>#N/A</v>
        <stp/>
        <stp>BDH|13311328425769857642</stp>
        <tr r="L11" s="11"/>
      </tp>
      <tp t="e">
        <v>#N/A</v>
        <stp/>
        <stp>BDH|10387911317012515781</stp>
        <tr r="P71" s="24"/>
      </tp>
      <tp t="e">
        <v>#N/A</v>
        <stp/>
        <stp>BDH|10803903957909519822</stp>
        <tr r="Q15" s="5"/>
      </tp>
      <tp t="e">
        <v>#N/A</v>
        <stp/>
        <stp>BDH|10767440081811814026</stp>
        <tr r="Q24" s="29"/>
      </tp>
      <tp t="e">
        <v>#N/A</v>
        <stp/>
        <stp>BDH|17383352196254979417</stp>
        <tr r="K50" s="12"/>
      </tp>
      <tp t="e">
        <v>#N/A</v>
        <stp/>
        <stp>BDH|12754159466880988854</stp>
        <tr r="D35" s="4"/>
      </tp>
      <tp t="e">
        <v>#N/A</v>
        <stp/>
        <stp>BDH|12382560128270116843</stp>
        <tr r="D8" s="13"/>
      </tp>
      <tp t="e">
        <v>#N/A</v>
        <stp/>
        <stp>BDH|16855488118358459644</stp>
        <tr r="C10" s="13"/>
      </tp>
      <tp t="e">
        <v>#N/A</v>
        <stp/>
        <stp>BDH|12199410899046141402</stp>
        <tr r="Q28" s="34"/>
      </tp>
      <tp t="e">
        <v>#N/A</v>
        <stp/>
        <stp>BDH|17146819638215043404</stp>
        <tr r="L73" s="12"/>
      </tp>
      <tp t="e">
        <v>#N/A</v>
        <stp/>
        <stp>BDH|12611793005909462163</stp>
        <tr r="D22" s="7"/>
      </tp>
      <tp t="e">
        <v>#N/A</v>
        <stp/>
        <stp>BDH|14348935619741118009</stp>
        <tr r="Y28" s="14"/>
      </tp>
      <tp t="e">
        <v>#N/A</v>
        <stp/>
        <stp>BDH|10979324283564593252</stp>
        <tr r="Z87" s="18"/>
      </tp>
      <tp t="e">
        <v>#N/A</v>
        <stp/>
        <stp>BDH|17131056799494251779</stp>
        <tr r="W13" s="20"/>
        <tr r="W122" s="18"/>
      </tp>
      <tp t="e">
        <v>#N/A</v>
        <stp/>
        <stp>BDH|16406086104399285220</stp>
        <tr r="E14" s="24"/>
      </tp>
      <tp t="e">
        <v>#N/A</v>
        <stp/>
        <stp>BDH|12475115258518289373</stp>
        <tr r="W29" s="34"/>
      </tp>
      <tp t="e">
        <v>#N/A</v>
        <stp/>
        <stp>BDH|16792922795183153893</stp>
        <tr r="AA17" s="23"/>
      </tp>
      <tp t="e">
        <v>#N/A</v>
        <stp/>
        <stp>BDH|10995981299904992994</stp>
        <tr r="S18" s="11"/>
      </tp>
      <tp t="e">
        <v>#N/A</v>
        <stp/>
        <stp>BDH|12958262891370483420</stp>
        <tr r="V173" s="18"/>
      </tp>
      <tp t="e">
        <v>#N/A</v>
        <stp/>
        <stp>BDH|10697007050319766197</stp>
        <tr r="K31" s="22"/>
      </tp>
      <tp t="e">
        <v>#N/A</v>
        <stp/>
        <stp>BDH|17733934655801116782</stp>
        <tr r="S53" s="21"/>
      </tp>
      <tp t="e">
        <v>#N/A</v>
        <stp/>
        <stp>BDH|10869545224123474946</stp>
        <tr r="I16" s="26"/>
      </tp>
      <tp t="e">
        <v>#N/A</v>
        <stp/>
        <stp>BDH|10317210400228389798</stp>
        <tr r="K21" s="5"/>
      </tp>
      <tp t="e">
        <v>#N/A</v>
        <stp/>
        <stp>BDH|14877950515524675567</stp>
        <tr r="K25" s="9"/>
      </tp>
      <tp t="e">
        <v>#N/A</v>
        <stp/>
        <stp>BDH|18056252532313947762</stp>
        <tr r="E94" s="17"/>
      </tp>
      <tp t="e">
        <v>#N/A</v>
        <stp/>
        <stp>BDH|16155306184336421690</stp>
        <tr r="Q63" s="17"/>
      </tp>
      <tp t="e">
        <v>#N/A</v>
        <stp/>
        <stp>BDH|14746622596240875631</stp>
        <tr r="R66" s="13"/>
      </tp>
      <tp t="e">
        <v>#N/A</v>
        <stp/>
        <stp>BDH|10179971392608997558</stp>
        <tr r="V65" s="21"/>
        <tr r="T23" s="7"/>
      </tp>
      <tp t="e">
        <v>#N/A</v>
        <stp/>
        <stp>BDH|13689600492955547494</stp>
        <tr r="Z13" s="25"/>
      </tp>
      <tp t="e">
        <v>#N/A</v>
        <stp/>
        <stp>BDH|16397920838503390224</stp>
        <tr r="C39" s="18"/>
      </tp>
      <tp t="e">
        <v>#N/A</v>
        <stp/>
        <stp>BDH|15444359493635386792</stp>
        <tr r="R47" s="6"/>
      </tp>
      <tp t="e">
        <v>#N/A</v>
        <stp/>
        <stp>BDH|14433711488990022659</stp>
        <tr r="P95" s="24"/>
      </tp>
      <tp t="e">
        <v>#N/A</v>
        <stp/>
        <stp>BDH|13249138341833843800</stp>
        <tr r="N65" s="17"/>
      </tp>
      <tp t="e">
        <v>#N/A</v>
        <stp/>
        <stp>BDH|11299841946572155298</stp>
        <tr r="V50" s="24"/>
      </tp>
      <tp t="e">
        <v>#N/A</v>
        <stp/>
        <stp>BDH|17742022896273930020</stp>
        <tr r="S80" s="12"/>
      </tp>
      <tp t="e">
        <v>#N/A</v>
        <stp/>
        <stp>BDH|11486063816954404985</stp>
        <tr r="P42" s="4"/>
      </tp>
      <tp t="e">
        <v>#N/A</v>
        <stp/>
        <stp>BDH|12144419582914360795</stp>
        <tr r="E15" s="11"/>
      </tp>
      <tp t="e">
        <v>#N/A</v>
        <stp/>
        <stp>BDH|18301077610671449583</stp>
        <tr r="X16" s="10"/>
      </tp>
      <tp t="e">
        <v>#N/A</v>
        <stp/>
        <stp>BDH|14885760943469795321</stp>
        <tr r="L67" s="13"/>
      </tp>
      <tp t="e">
        <v>#N/A</v>
        <stp/>
        <stp>BDH|12505297426109269604</stp>
        <tr r="N39" s="6"/>
      </tp>
      <tp t="e">
        <v>#N/A</v>
        <stp/>
        <stp>BDH|16821239022923234835</stp>
        <tr r="E20" s="26"/>
      </tp>
      <tp t="e">
        <v>#N/A</v>
        <stp/>
        <stp>BDH|13345807219977695078</stp>
        <tr r="AA95" s="18"/>
      </tp>
      <tp t="e">
        <v>#N/A</v>
        <stp/>
        <stp>BDH|16429984697628791373</stp>
        <tr r="Q68" s="18"/>
      </tp>
      <tp t="e">
        <v>#N/A</v>
        <stp/>
        <stp>BDH|14497752885290878674</stp>
        <tr r="O51" s="21"/>
      </tp>
      <tp t="e">
        <v>#N/A</v>
        <stp/>
        <stp>BDH|10349829258577765754</stp>
        <tr r="K20" s="28"/>
        <tr r="K17" s="17"/>
      </tp>
      <tp t="e">
        <v>#N/A</v>
        <stp/>
        <stp>BDH|12821736564959254762</stp>
        <tr r="P9" s="24"/>
      </tp>
      <tp t="e">
        <v>#N/A</v>
        <stp/>
        <stp>BDH|16675807133387718798</stp>
        <tr r="O81" s="34"/>
      </tp>
      <tp t="e">
        <v>#N/A</v>
        <stp/>
        <stp>BDH|16971162047977327904</stp>
        <tr r="F33" s="14"/>
      </tp>
      <tp t="e">
        <v>#N/A</v>
        <stp/>
        <stp>BDH|12540184960030707819</stp>
        <tr r="D19" s="6"/>
      </tp>
      <tp t="e">
        <v>#N/A</v>
        <stp/>
        <stp>BDH|10540794985855033722</stp>
        <tr r="R144" s="18"/>
      </tp>
      <tp t="e">
        <v>#N/A</v>
        <stp/>
        <stp>BDH|15360112697891641181</stp>
        <tr r="W44" s="13"/>
        <tr r="U28" s="11"/>
        <tr r="U37" s="10"/>
      </tp>
      <tp t="e">
        <v>#N/A</v>
        <stp/>
        <stp>BDH|16018438999181283739</stp>
        <tr r="K46" s="13"/>
      </tp>
      <tp t="e">
        <v>#N/A</v>
        <stp/>
        <stp>BDH|11153660079955543801</stp>
        <tr r="J15" s="25"/>
      </tp>
      <tp t="e">
        <v>#N/A</v>
        <stp/>
        <stp>BDH|11326523699918536862</stp>
        <tr r="Y17" s="30"/>
      </tp>
      <tp t="e">
        <v>#N/A</v>
        <stp/>
        <stp>BDH|15075158059779244555</stp>
        <tr r="W58" s="17"/>
      </tp>
      <tp t="e">
        <v>#N/A</v>
        <stp/>
        <stp>BDH|13542185390902590438</stp>
        <tr r="N98" s="18"/>
      </tp>
      <tp t="e">
        <v>#N/A</v>
        <stp/>
        <stp>BDH|12984767100739124153</stp>
        <tr r="Z36" s="17"/>
      </tp>
      <tp t="e">
        <v>#N/A</v>
        <stp/>
        <stp>BDH|10540862746234832568</stp>
        <tr r="I67" s="34"/>
      </tp>
      <tp t="e">
        <v>#N/A</v>
        <stp/>
        <stp>BDH|15065373880985513692</stp>
        <tr r="D7" s="30"/>
      </tp>
      <tp t="e">
        <v>#N/A</v>
        <stp/>
        <stp>BDH|13782216489255040147</stp>
        <tr r="K31" s="29"/>
      </tp>
      <tp t="e">
        <v>#N/A</v>
        <stp/>
        <stp>BDH|12264871539813754704</stp>
        <tr r="N41" s="34"/>
      </tp>
      <tp t="e">
        <v>#N/A</v>
        <stp/>
        <stp>BDH|12330470506429029298</stp>
        <tr r="C68" s="24"/>
      </tp>
      <tp t="e">
        <v>#N/A</v>
        <stp/>
        <stp>BDH|15696903523316839567</stp>
        <tr r="T128" s="18"/>
      </tp>
      <tp t="e">
        <v>#N/A</v>
        <stp/>
        <stp>BDH|10067186848778992023</stp>
        <tr r="K31" s="12"/>
      </tp>
      <tp t="e">
        <v>#N/A</v>
        <stp/>
        <stp>BDH|10833912781544587860</stp>
        <tr r="N13" s="7"/>
      </tp>
      <tp t="e">
        <v>#N/A</v>
        <stp/>
        <stp>BDH|12492015529518135566</stp>
        <tr r="Q40" s="22"/>
      </tp>
      <tp t="e">
        <v>#N/A</v>
        <stp/>
        <stp>BDH|18343475518779526927</stp>
        <tr r="I17" s="22"/>
      </tp>
      <tp t="e">
        <v>#N/A</v>
        <stp/>
        <stp>BDH|15511577179913349939</stp>
        <tr r="V18" s="28"/>
        <tr r="V15" s="17"/>
      </tp>
      <tp t="e">
        <v>#N/A</v>
        <stp/>
        <stp>BDH|13816646901240275842</stp>
        <tr r="N16" s="10"/>
      </tp>
      <tp t="e">
        <v>#N/A</v>
        <stp/>
        <stp>BDH|14698042067859705693</stp>
        <tr r="Z18" s="25"/>
      </tp>
      <tp t="e">
        <v>#N/A</v>
        <stp/>
        <stp>BDH|11518484031378178361</stp>
        <tr r="K10" s="25"/>
        <tr r="K55" s="17"/>
      </tp>
      <tp t="e">
        <v>#N/A</v>
        <stp/>
        <stp>BDH|10857166482341487538</stp>
        <tr r="J57" s="18"/>
      </tp>
      <tp t="e">
        <v>#N/A</v>
        <stp/>
        <stp>BDH|12856688416518400098</stp>
        <tr r="J65" s="13"/>
      </tp>
      <tp t="e">
        <v>#N/A</v>
        <stp/>
        <stp>BDH|12485109137515078884</stp>
        <tr r="AA23" s="21"/>
      </tp>
      <tp t="e">
        <v>#N/A</v>
        <stp/>
        <stp>BDH|13008322441528103190</stp>
        <tr r="T18" s="21"/>
      </tp>
      <tp t="e">
        <v>#N/A</v>
        <stp/>
        <stp>BDH|15119221814479538290</stp>
        <tr r="F26" s="24"/>
      </tp>
      <tp t="e">
        <v>#N/A</v>
        <stp/>
        <stp>BDH|10005299983593830498</stp>
        <tr r="X62" s="11"/>
        <tr r="X71" s="10"/>
      </tp>
      <tp t="e">
        <v>#N/A</v>
        <stp/>
        <stp>BDH|16843804185108054363</stp>
        <tr r="D41" s="29"/>
        <tr r="D18" s="29"/>
      </tp>
      <tp t="e">
        <v>#N/A</v>
        <stp/>
        <stp>BDH|11634142619028230425</stp>
        <tr r="C107" s="18"/>
      </tp>
      <tp t="e">
        <v>#N/A</v>
        <stp/>
        <stp>BDH|15860357992972367078</stp>
        <tr r="W40" s="24"/>
      </tp>
      <tp t="e">
        <v>#N/A</v>
        <stp/>
        <stp>BDH|16935121089285118787</stp>
        <tr r="W45" s="17"/>
      </tp>
      <tp t="e">
        <v>#N/A</v>
        <stp/>
        <stp>BDH|14082332480842132097</stp>
        <tr r="R71" s="34"/>
      </tp>
      <tp t="e">
        <v>#N/A</v>
        <stp/>
        <stp>BDH|12614191015356573942</stp>
        <tr r="H49" s="12"/>
      </tp>
      <tp t="e">
        <v>#N/A</v>
        <stp/>
        <stp>BDH|15677996731297710527</stp>
        <tr r="L120" s="12"/>
      </tp>
      <tp t="e">
        <v>#N/A</v>
        <stp/>
        <stp>BDH|15047117399664581468</stp>
        <tr r="Q150" s="18"/>
      </tp>
      <tp t="e">
        <v>#N/A</v>
        <stp/>
        <stp>BDH|13097818896038555790</stp>
        <tr r="C25" s="10"/>
      </tp>
      <tp t="e">
        <v>#N/A</v>
        <stp/>
        <stp>BDH|15105763848022338974</stp>
        <tr r="E10" s="34"/>
      </tp>
      <tp t="e">
        <v>#N/A</v>
        <stp/>
        <stp>BDH|15397103558178194416</stp>
        <tr r="L117" s="12"/>
      </tp>
      <tp t="e">
        <v>#N/A</v>
        <stp/>
        <stp>BDH|16098620817594827875</stp>
        <tr r="E11" s="6"/>
      </tp>
      <tp t="e">
        <v>#N/A</v>
        <stp/>
        <stp>BDH|10701101684565167188</stp>
        <tr r="N62" s="18"/>
      </tp>
      <tp t="e">
        <v>#N/A</v>
        <stp/>
        <stp>BDH|12727693033959547325</stp>
        <tr r="W31" s="26"/>
        <tr r="T14" s="9"/>
      </tp>
      <tp t="e">
        <v>#N/A</v>
        <stp/>
        <stp>BDH|12997525375088238566</stp>
        <tr r="J109" s="18"/>
      </tp>
      <tp t="e">
        <v>#N/A</v>
        <stp/>
        <stp>BDH|11838698029199470164</stp>
        <tr r="E125" s="12"/>
      </tp>
      <tp t="e">
        <v>#N/A</v>
        <stp/>
        <stp>BDH|16499487821548621511</stp>
        <tr r="C52" s="13"/>
      </tp>
      <tp t="e">
        <v>#N/A</v>
        <stp/>
        <stp>BDH|10496516586299876915</stp>
        <tr r="D37" s="29"/>
        <tr r="D23" s="29"/>
        <tr r="D14" s="29"/>
      </tp>
      <tp t="e">
        <v>#N/A</v>
        <stp/>
        <stp>BDH|13035882932127862289</stp>
        <tr r="P36" s="21"/>
      </tp>
      <tp t="e">
        <v>#N/A</v>
        <stp/>
        <stp>BDH|14461244295493806179</stp>
        <tr r="P98" s="17"/>
      </tp>
      <tp t="e">
        <v>#N/A</v>
        <stp/>
        <stp>BDH|12172885157006695424</stp>
        <tr r="R65" s="24"/>
      </tp>
      <tp t="e">
        <v>#N/A</v>
        <stp/>
        <stp>BDH|13067123147679950269</stp>
        <tr r="C43" s="4"/>
      </tp>
      <tp t="e">
        <v>#N/A</v>
        <stp/>
        <stp>BDH|13870605142989038506</stp>
        <tr r="D49" s="21"/>
      </tp>
      <tp t="e">
        <v>#N/A</v>
        <stp/>
        <stp>BDH|17803111192737983580</stp>
        <tr r="L41" s="12"/>
      </tp>
      <tp t="e">
        <v>#N/A</v>
        <stp/>
        <stp>BDH|16542964509325898786</stp>
        <tr r="W59" s="17"/>
      </tp>
      <tp t="e">
        <v>#N/A</v>
        <stp/>
        <stp>BDH|13488597805228392318</stp>
        <tr r="W16" s="27"/>
        <tr r="W30" s="25"/>
      </tp>
      <tp t="e">
        <v>#N/A</v>
        <stp/>
        <stp>BDH|17517827009181137357</stp>
        <tr r="F18" s="11"/>
      </tp>
      <tp t="e">
        <v>#N/A</v>
        <stp/>
        <stp>BDH|17932825920424883499</stp>
        <tr r="Y64" s="21"/>
      </tp>
      <tp t="e">
        <v>#N/A</v>
        <stp/>
        <stp>BDH|12829763265326919880</stp>
        <tr r="Z43" s="13"/>
        <tr r="X35" s="11"/>
        <tr r="X44" s="10"/>
        <tr r="X52" s="4"/>
        <tr r="Z8" s="3"/>
      </tp>
      <tp t="e">
        <v>#N/A</v>
        <stp/>
        <stp>BDH|13061975262343805273</stp>
        <tr r="H21" s="2"/>
      </tp>
      <tp t="e">
        <v>#N/A</v>
        <stp/>
        <stp>BDH|17417424006517933931</stp>
        <tr r="W25" s="14"/>
      </tp>
      <tp t="e">
        <v>#N/A</v>
        <stp/>
        <stp>BDH|10438874334591826752</stp>
        <tr r="S60" s="13"/>
      </tp>
      <tp t="e">
        <v>#N/A</v>
        <stp/>
        <stp>BDH|15535258058889523670</stp>
        <tr r="W67" s="10"/>
      </tp>
      <tp t="e">
        <v>#N/A</v>
        <stp/>
        <stp>BDH|14011085152998743478</stp>
        <tr r="T27" s="22"/>
      </tp>
      <tp t="e">
        <v>#N/A</v>
        <stp/>
        <stp>BDH|13901361287050704550</stp>
        <tr r="H112" s="18"/>
      </tp>
      <tp t="e">
        <v>#N/A</v>
        <stp/>
        <stp>BDH|12064091081795257205</stp>
        <tr r="I20" s="9"/>
      </tp>
      <tp t="e">
        <v>#N/A</v>
        <stp/>
        <stp>BDH|12706807678783576300</stp>
        <tr r="W174" s="18"/>
      </tp>
      <tp t="e">
        <v>#N/A</v>
        <stp/>
        <stp>BDH|12331950834671124490</stp>
        <tr r="K74" s="17"/>
      </tp>
      <tp t="e">
        <v>#N/A</v>
        <stp/>
        <stp>BDH|17459517899455150374</stp>
        <tr r="O29" s="18"/>
      </tp>
      <tp t="e">
        <v>#N/A</v>
        <stp/>
        <stp>BDH|10020299352898867293</stp>
        <tr r="L15" s="11"/>
      </tp>
      <tp t="e">
        <v>#N/A</v>
        <stp/>
        <stp>BDH|12723553908023613966</stp>
        <tr r="R9" s="10"/>
      </tp>
      <tp t="e">
        <v>#N/A</v>
        <stp/>
        <stp>BDH|16210610665649489289</stp>
        <tr r="V25" s="26"/>
      </tp>
      <tp t="e">
        <v>#N/A</v>
        <stp/>
        <stp>BDH|13980255161268212258</stp>
        <tr r="Z79" s="12"/>
      </tp>
      <tp t="e">
        <v>#N/A</v>
        <stp/>
        <stp>BDH|15339544391096960257</stp>
        <tr r="C22" s="34"/>
      </tp>
      <tp t="e">
        <v>#N/A</v>
        <stp/>
        <stp>BDH|14940633797272541424</stp>
        <tr r="I10" s="10"/>
      </tp>
      <tp t="e">
        <v>#N/A</v>
        <stp/>
        <stp>BDH|13316990471730102003</stp>
        <tr r="I25" s="10"/>
      </tp>
      <tp t="e">
        <v>#N/A</v>
        <stp/>
        <stp>BDH|13564144468460248916</stp>
        <tr r="P8" s="13"/>
      </tp>
      <tp t="e">
        <v>#N/A</v>
        <stp/>
        <stp>BDH|13072515508453135821</stp>
        <tr r="Z11" s="17"/>
      </tp>
      <tp t="e">
        <v>#N/A</v>
        <stp/>
        <stp>BDH|15355941344724073190</stp>
        <tr r="U11" s="18"/>
      </tp>
      <tp t="e">
        <v>#N/A</v>
        <stp/>
        <stp>BDH|16528082567969088405</stp>
        <tr r="O21" s="24"/>
      </tp>
      <tp t="e">
        <v>#N/A</v>
        <stp/>
        <stp>BDH|15096968629362209109</stp>
        <tr r="E19" s="18"/>
      </tp>
      <tp t="e">
        <v>#N/A</v>
        <stp/>
        <stp>BDH|15155003567027359988</stp>
        <tr r="K47" s="13"/>
      </tp>
      <tp t="e">
        <v>#N/A</v>
        <stp/>
        <stp>BDH|17893341132252671856</stp>
        <tr r="X35" s="21"/>
      </tp>
      <tp t="e">
        <v>#N/A</v>
        <stp/>
        <stp>BDH|15560072153938953553</stp>
        <tr r="Z47" s="12"/>
      </tp>
      <tp t="e">
        <v>#N/A</v>
        <stp/>
        <stp>BDH|12138501196202227188</stp>
        <tr r="AA13" s="25"/>
      </tp>
      <tp t="e">
        <v>#N/A</v>
        <stp/>
        <stp>BDH|13079966305604884365</stp>
        <tr r="D51" s="18"/>
      </tp>
      <tp t="e">
        <v>#N/A</v>
        <stp/>
        <stp>BDH|14219645781222955539</stp>
        <tr r="D87" s="12"/>
      </tp>
      <tp t="e">
        <v>#N/A</v>
        <stp/>
        <stp>BDH|16640199596764666726</stp>
        <tr r="G19" s="28"/>
        <tr r="G16" s="17"/>
      </tp>
      <tp t="e">
        <v>#N/A</v>
        <stp/>
        <stp>BDH|10553989513872376709</stp>
        <tr r="F140" s="18"/>
      </tp>
      <tp t="e">
        <v>#N/A</v>
        <stp/>
        <stp>BDH|16097303550558440591</stp>
        <tr r="I28" s="12"/>
      </tp>
      <tp t="e">
        <v>#N/A</v>
        <stp/>
        <stp>BDH|12105291456329313109</stp>
        <tr r="C16" s="27"/>
        <tr r="C30" s="25"/>
      </tp>
      <tp t="e">
        <v>#N/A</v>
        <stp/>
        <stp>BDH|18365084940709487824</stp>
        <tr r="M74" s="34"/>
      </tp>
      <tp t="e">
        <v>#N/A</v>
        <stp/>
        <stp>BDH|16479351784957165791</stp>
        <tr r="K114" s="12"/>
      </tp>
      <tp t="e">
        <v>#N/A</v>
        <stp/>
        <stp>BDH|12846601445988332537</stp>
        <tr r="Q49" s="18"/>
      </tp>
      <tp t="e">
        <v>#N/A</v>
        <stp/>
        <stp>BDH|16743366008331581911</stp>
        <tr r="K63" s="10"/>
      </tp>
      <tp t="e">
        <v>#N/A</v>
        <stp/>
        <stp>BDH|13480952863932764388</stp>
        <tr r="H73" s="12"/>
      </tp>
      <tp t="e">
        <v>#N/A</v>
        <stp/>
        <stp>BDH|11785700548646402963</stp>
        <tr r="Z25" s="29"/>
        <tr r="Z19" s="29"/>
        <tr r="Z10" s="29"/>
        <tr r="X6" s="9"/>
        <tr r="Z12" s="8"/>
        <tr r="X6" s="5"/>
        <tr r="Y6" s="2"/>
      </tp>
      <tp t="e">
        <v>#N/A</v>
        <stp/>
        <stp>BDH|11683880540551222112</stp>
        <tr r="J9" s="28"/>
      </tp>
      <tp t="e">
        <v>#N/A</v>
        <stp/>
        <stp>BDH|15377987903656400715</stp>
        <tr r="D48" s="18"/>
      </tp>
      <tp t="e">
        <v>#N/A</v>
        <stp/>
        <stp>BDH|18062826829136658907</stp>
        <tr r="R11" s="30"/>
      </tp>
      <tp t="e">
        <v>#N/A</v>
        <stp/>
        <stp>BDH|12785848436343823703</stp>
        <tr r="P36" s="14"/>
      </tp>
      <tp t="e">
        <v>#N/A</v>
        <stp/>
        <stp>BDH|17008947211377962513</stp>
        <tr r="AA27" s="12"/>
      </tp>
      <tp t="e">
        <v>#N/A</v>
        <stp/>
        <stp>BDH|13260747369596429967</stp>
        <tr r="S26" s="18"/>
      </tp>
      <tp t="e">
        <v>#N/A</v>
        <stp/>
        <stp>BDH|15940946431864429658</stp>
        <tr r="P63" s="12"/>
      </tp>
      <tp t="e">
        <v>#N/A</v>
        <stp/>
        <stp>BDH|15907069896034006549</stp>
        <tr r="F6" s="8"/>
        <tr r="D51" s="6"/>
      </tp>
      <tp t="e">
        <v>#N/A</v>
        <stp/>
        <stp>BDH|14701883425377651415</stp>
        <tr r="H14" s="27"/>
        <tr r="H28" s="25"/>
      </tp>
      <tp t="e">
        <v>#N/A</v>
        <stp/>
        <stp>BDH|18255683077306327237</stp>
        <tr r="T30" s="29"/>
        <tr r="T8" s="29"/>
      </tp>
      <tp t="e">
        <v>#N/A</v>
        <stp/>
        <stp>BDH|16067858648841480649</stp>
        <tr r="X89" s="17"/>
      </tp>
      <tp t="e">
        <v>#N/A</v>
        <stp/>
        <stp>BDH|12882239544108501176</stp>
        <tr r="G41" s="34"/>
      </tp>
      <tp t="e">
        <v>#N/A</v>
        <stp/>
        <stp>BDH|12538680161759707661</stp>
        <tr r="V20" s="18"/>
      </tp>
      <tp t="e">
        <v>#N/A</v>
        <stp/>
        <stp>BDH|12977002483776756102</stp>
        <tr r="D37" s="6"/>
      </tp>
      <tp t="e">
        <v>#N/A</v>
        <stp/>
        <stp>BDH|11206456941439343582</stp>
        <tr r="I43" s="6"/>
      </tp>
      <tp t="e">
        <v>#N/A</v>
        <stp/>
        <stp>BDH|13679406703928042288</stp>
        <tr r="T69" s="24"/>
      </tp>
      <tp t="e">
        <v>#N/A</v>
        <stp/>
        <stp>BDH|17404126984242677197</stp>
        <tr r="F28" s="24"/>
      </tp>
      <tp t="e">
        <v>#N/A</v>
        <stp/>
        <stp>BDH|17261058228208189030</stp>
        <tr r="R130" s="18"/>
      </tp>
      <tp t="e">
        <v>#N/A</v>
        <stp/>
        <stp>BDH|15556962521164901762</stp>
        <tr r="W47" s="12"/>
      </tp>
      <tp t="e">
        <v>#N/A</v>
        <stp/>
        <stp>BDH|16238458594907669180</stp>
        <tr r="G30" s="26"/>
      </tp>
      <tp t="e">
        <v>#N/A</v>
        <stp/>
        <stp>BDH|18065478119788207802</stp>
        <tr r="U47" s="12"/>
      </tp>
      <tp t="e">
        <v>#N/A</v>
        <stp/>
        <stp>BDH|12636209908508459561</stp>
        <tr r="G19" s="34"/>
      </tp>
      <tp t="e">
        <v>#N/A</v>
        <stp/>
        <stp>BDH|12268607188718649909</stp>
        <tr r="R60" s="17"/>
      </tp>
      <tp t="e">
        <v>#N/A</v>
        <stp/>
        <stp>BDH|15093712983365750294</stp>
        <tr r="N112" s="18"/>
      </tp>
      <tp t="e">
        <v>#N/A</v>
        <stp/>
        <stp>BDH|10658384205739163769</stp>
        <tr r="Y28" s="13"/>
      </tp>
      <tp t="e">
        <v>#N/A</v>
        <stp/>
        <stp>BDH|12868506663089014578</stp>
        <tr r="W51" s="24"/>
      </tp>
      <tp t="e">
        <v>#N/A</v>
        <stp/>
        <stp>BDH|14910225075148049429</stp>
        <tr r="O48" s="21"/>
      </tp>
      <tp t="e">
        <v>#N/A</v>
        <stp/>
        <stp>BDH|12561026946979527283</stp>
        <tr r="C79" s="24"/>
      </tp>
      <tp t="e">
        <v>#N/A</v>
        <stp/>
        <stp>BDH|16202762647439793187</stp>
        <tr r="Z32" s="17"/>
      </tp>
      <tp t="e">
        <v>#N/A</v>
        <stp/>
        <stp>BDH|17365994807922034116</stp>
        <tr r="Q20" s="27"/>
      </tp>
      <tp t="e">
        <v>#N/A</v>
        <stp/>
        <stp>BDH|13496010891827088087</stp>
        <tr r="J60" s="13"/>
      </tp>
      <tp t="e">
        <v>#N/A</v>
        <stp/>
        <stp>BDH|15491473792547556284</stp>
        <tr r="M12" s="7"/>
      </tp>
      <tp t="e">
        <v>#N/A</v>
        <stp/>
        <stp>BDH|10861870576057584503</stp>
        <tr r="P17" s="27"/>
        <tr r="P31" s="25"/>
        <tr r="M14" s="5"/>
      </tp>
      <tp t="e">
        <v>#N/A</v>
        <stp/>
        <stp>BDH|10974837578854971672</stp>
        <tr r="E46" s="11"/>
        <tr r="E55" s="10"/>
        <tr r="E7" s="7"/>
        <tr r="G12" s="3"/>
      </tp>
      <tp t="e">
        <v>#N/A</v>
        <stp/>
        <stp>BDH|16235819877754185099</stp>
        <tr r="D21" s="24"/>
      </tp>
      <tp t="e">
        <v>#N/A</v>
        <stp/>
        <stp>BDH|17849426473761609839</stp>
        <tr r="R23" s="26"/>
      </tp>
      <tp t="e">
        <v>#N/A</v>
        <stp/>
        <stp>BDH|10519627804013838877</stp>
        <tr r="H152" s="18"/>
      </tp>
      <tp t="e">
        <v>#N/A</v>
        <stp/>
        <stp>BDH|17308924949472530511</stp>
        <tr r="L52" s="13"/>
      </tp>
      <tp t="e">
        <v>#N/A</v>
        <stp/>
        <stp>BDH|13876771253788906490</stp>
        <tr r="R43" s="34"/>
      </tp>
      <tp t="e">
        <v>#N/A</v>
        <stp/>
        <stp>BDH|15955079479319990627</stp>
        <tr r="I125" s="18"/>
      </tp>
      <tp t="e">
        <v>#N/A</v>
        <stp/>
        <stp>BDH|11862669293305053618</stp>
        <tr r="N200" s="18"/>
      </tp>
      <tp t="e">
        <v>#N/A</v>
        <stp/>
        <stp>BDH|13852521509549744285</stp>
        <tr r="M34" s="11"/>
        <tr r="M43" s="10"/>
      </tp>
      <tp t="e">
        <v>#N/A</v>
        <stp/>
        <stp>BDH|11614970674064911607</stp>
        <tr r="Q80" s="34"/>
      </tp>
      <tp t="e">
        <v>#N/A</v>
        <stp/>
        <stp>BDH|18135916837288991728</stp>
        <tr r="H33" s="18"/>
      </tp>
      <tp t="e">
        <v>#N/A</v>
        <stp/>
        <stp>BDH|11035594783579125876</stp>
        <tr r="X28" s="14"/>
      </tp>
      <tp t="e">
        <v>#N/A</v>
        <stp/>
        <stp>BDH|12167305285822988616</stp>
        <tr r="Z60" s="21"/>
        <tr r="X54" s="11"/>
      </tp>
      <tp t="e">
        <v>#N/A</v>
        <stp/>
        <stp>BDH|16677068699143532108</stp>
        <tr r="L43" s="34"/>
      </tp>
      <tp t="e">
        <v>#N/A</v>
        <stp/>
        <stp>BDH|17139539824974875921</stp>
        <tr r="S82" s="12"/>
      </tp>
      <tp t="e">
        <v>#N/A</v>
        <stp/>
        <stp>BDH|14574880432545618757</stp>
        <tr r="C13" s="9"/>
      </tp>
      <tp t="e">
        <v>#N/A</v>
        <stp/>
        <stp>BDH|16820909536053183237</stp>
        <tr r="F22" s="12"/>
      </tp>
      <tp t="e">
        <v>#N/A</v>
        <stp/>
        <stp>BDH|15745038878956095937</stp>
        <tr r="I13" s="12"/>
      </tp>
      <tp t="e">
        <v>#N/A</v>
        <stp/>
        <stp>BDH|17409698082656907294</stp>
        <tr r="V65" s="13"/>
      </tp>
      <tp t="e">
        <v>#N/A</v>
        <stp/>
        <stp>BDH|17369583520498390572</stp>
        <tr r="U67" s="12"/>
      </tp>
      <tp t="e">
        <v>#N/A</v>
        <stp/>
        <stp>BDH|13643759068177544812</stp>
        <tr r="Y64" s="34"/>
      </tp>
      <tp t="e">
        <v>#N/A</v>
        <stp/>
        <stp>BDH|17971844221619391906</stp>
        <tr r="C38" s="26"/>
      </tp>
      <tp t="e">
        <v>#N/A</v>
        <stp/>
        <stp>BDH|13364943728955162013</stp>
        <tr r="Z57" s="34"/>
      </tp>
      <tp t="e">
        <v>#N/A</v>
        <stp/>
        <stp>BDH|13013698185882781241</stp>
        <tr r="E75" s="18"/>
      </tp>
      <tp t="e">
        <v>#N/A</v>
        <stp/>
        <stp>BDH|17877412270379698007</stp>
        <tr r="T97" s="12"/>
      </tp>
      <tp t="e">
        <v>#N/A</v>
        <stp/>
        <stp>BDH|10871159387077088359</stp>
        <tr r="V192" s="18"/>
      </tp>
      <tp t="e">
        <v>#N/A</v>
        <stp/>
        <stp>BDH|14008638583122921564</stp>
        <tr r="F9" s="30"/>
      </tp>
      <tp t="e">
        <v>#N/A</v>
        <stp/>
        <stp>BDH|16830256277806416813</stp>
        <tr r="P25" s="27"/>
      </tp>
      <tp t="e">
        <v>#N/A</v>
        <stp/>
        <stp>BDH|13944098393517856043</stp>
        <tr r="AA67" s="17"/>
      </tp>
      <tp t="e">
        <v>#N/A</v>
        <stp/>
        <stp>BDH|14234845409954127512</stp>
        <tr r="I151" s="18"/>
      </tp>
      <tp t="e">
        <v>#N/A</v>
        <stp/>
        <stp>BDH|15485214847737950940</stp>
        <tr r="F13" s="21"/>
      </tp>
      <tp t="e">
        <v>#N/A</v>
        <stp/>
        <stp>BDH|12395099614006174809</stp>
        <tr r="S43" s="29"/>
      </tp>
      <tp t="e">
        <v>#N/A</v>
        <stp/>
        <stp>BDH|14753888317675765503</stp>
        <tr r="W32" s="17"/>
      </tp>
      <tp t="e">
        <v>#N/A</v>
        <stp/>
        <stp>BDH|16129177458398839798</stp>
        <tr r="X47" s="24"/>
      </tp>
      <tp t="e">
        <v>#N/A</v>
        <stp/>
        <stp>BDH|11549488154774644902</stp>
        <tr r="L78" s="34"/>
      </tp>
      <tp t="e">
        <v>#N/A</v>
        <stp/>
        <stp>BDH|12588079339908060443</stp>
        <tr r="V54" s="12"/>
      </tp>
      <tp t="e">
        <v>#N/A</v>
        <stp/>
        <stp>BDH|18226758573757372287</stp>
        <tr r="I8" s="34"/>
      </tp>
      <tp t="e">
        <v>#N/A</v>
        <stp/>
        <stp>BDH|14872622786415792245</stp>
        <tr r="K41" s="24"/>
      </tp>
      <tp t="e">
        <v>#N/A</v>
        <stp/>
        <stp>BDH|13389144389617145002</stp>
        <tr r="K23" s="23"/>
      </tp>
      <tp t="e">
        <v>#N/A</v>
        <stp/>
        <stp>BDH|17584910066654429190</stp>
        <tr r="W125" s="18"/>
      </tp>
      <tp t="e">
        <v>#N/A</v>
        <stp/>
        <stp>BDH|15700416894541806450</stp>
        <tr r="S202" s="18"/>
      </tp>
      <tp t="e">
        <v>#N/A</v>
        <stp/>
        <stp>BDH|13830180088033584428</stp>
        <tr r="D7" s="34"/>
      </tp>
      <tp t="e">
        <v>#N/A</v>
        <stp/>
        <stp>BDH|17971309067839114604</stp>
        <tr r="N37" s="6"/>
      </tp>
      <tp t="e">
        <v>#N/A</v>
        <stp/>
        <stp>BDH|10011164189474778074</stp>
        <tr r="Y30" s="29"/>
        <tr r="Y8" s="29"/>
      </tp>
      <tp t="e">
        <v>#N/A</v>
        <stp/>
        <stp>BDH|11704082277023243857</stp>
        <tr r="E18" s="28"/>
        <tr r="E15" s="17"/>
      </tp>
      <tp t="e">
        <v>#N/A</v>
        <stp/>
        <stp>BDH|15782068361506658890</stp>
        <tr r="K19" s="17"/>
      </tp>
      <tp t="e">
        <v>#N/A</v>
        <stp/>
        <stp>BDH|13373647026302770894</stp>
        <tr r="D193" s="18"/>
      </tp>
      <tp t="e">
        <v>#N/A</v>
        <stp/>
        <stp>BDH|16215852014643949156</stp>
        <tr r="G28" s="12"/>
      </tp>
      <tp t="e">
        <v>#N/A</v>
        <stp/>
        <stp>BDH|12479146209588164675</stp>
        <tr r="C48" s="13"/>
      </tp>
      <tp t="e">
        <v>#N/A</v>
        <stp/>
        <stp>BDH|13506077812199959665</stp>
        <tr r="V27" s="17"/>
      </tp>
      <tp t="e">
        <v>#N/A</v>
        <stp/>
        <stp>BDH|14352405485490104582</stp>
        <tr r="M55" s="13"/>
        <tr r="K37" s="11"/>
        <tr r="K46" s="10"/>
        <tr r="K53" s="4"/>
        <tr r="K18" s="2"/>
      </tp>
      <tp t="e">
        <v>#N/A</v>
        <stp/>
        <stp>BDH|13045502460829914469</stp>
        <tr r="R25" s="27"/>
      </tp>
      <tp t="e">
        <v>#N/A</v>
        <stp/>
        <stp>BDH|12215820611567824160</stp>
        <tr r="L24" s="24"/>
      </tp>
      <tp t="e">
        <v>#N/A</v>
        <stp/>
        <stp>BDH|15520544304149865427</stp>
        <tr r="K42" s="24"/>
      </tp>
      <tp t="e">
        <v>#N/A</v>
        <stp/>
        <stp>BDH|17436781142789773067</stp>
        <tr r="Q31" s="29"/>
      </tp>
      <tp t="e">
        <v>#N/A</v>
        <stp/>
        <stp>BDH|15623880754330018555</stp>
        <tr r="T163" s="18"/>
      </tp>
      <tp t="e">
        <v>#N/A</v>
        <stp/>
        <stp>BDH|15346698980836644035</stp>
        <tr r="Z46" s="18"/>
      </tp>
      <tp t="e">
        <v>#N/A</v>
        <stp/>
        <stp>BDH|11225550397116619696</stp>
        <tr r="O20" s="27"/>
      </tp>
      <tp t="e">
        <v>#N/A</v>
        <stp/>
        <stp>BDH|14299915305725875507</stp>
        <tr r="M51" s="13"/>
      </tp>
      <tp t="e">
        <v>#N/A</v>
        <stp/>
        <stp>BDH|12711328642399906101</stp>
        <tr r="H81" s="18"/>
      </tp>
      <tp t="e">
        <v>#N/A</v>
        <stp/>
        <stp>BDH|12267771451675381892</stp>
        <tr r="R58" s="13"/>
        <tr r="P47" s="11"/>
        <tr r="P56" s="10"/>
        <tr r="P17" s="7"/>
        <tr r="P17" s="4"/>
        <tr r="R10" s="3"/>
      </tp>
      <tp t="e">
        <v>#N/A</v>
        <stp/>
        <stp>BDH|12105919873234851554</stp>
        <tr r="C204" s="18"/>
      </tp>
      <tp t="e">
        <v>#N/A</v>
        <stp/>
        <stp>BDH|13228491983222394052</stp>
        <tr r="M15" s="9"/>
      </tp>
      <tp t="e">
        <v>#N/A</v>
        <stp/>
        <stp>BDH|13822064194374498305</stp>
        <tr r="N99" s="12"/>
      </tp>
      <tp t="e">
        <v>#N/A</v>
        <stp/>
        <stp>BDH|18341024536084087291</stp>
        <tr r="Z39" s="25"/>
        <tr r="Z22" s="13"/>
        <tr r="Z7" s="13"/>
        <tr r="X17" s="11"/>
        <tr r="Z7" s="3"/>
      </tp>
      <tp t="e">
        <v>#N/A</v>
        <stp/>
        <stp>BDH|16733043832631782987</stp>
        <tr r="V101" s="12"/>
      </tp>
      <tp t="e">
        <v>#N/A</v>
        <stp/>
        <stp>BDH|16937512674938307111</stp>
        <tr r="G65" s="18"/>
      </tp>
      <tp t="e">
        <v>#N/A</v>
        <stp/>
        <stp>BDH|13986124983175463223</stp>
        <tr r="C30" s="14"/>
      </tp>
      <tp t="e">
        <v>#N/A</v>
        <stp/>
        <stp>BDH|17451321439779789363</stp>
        <tr r="X151" s="18"/>
      </tp>
      <tp t="e">
        <v>#N/A</v>
        <stp/>
        <stp>BDH|13107492683265603738</stp>
        <tr r="L22" s="21"/>
      </tp>
      <tp t="e">
        <v>#N/A</v>
        <stp/>
        <stp>BDH|15586486588421940526</stp>
        <tr r="U127" s="18"/>
      </tp>
      <tp t="e">
        <v>#N/A</v>
        <stp/>
        <stp>BDH|13908328483011473420</stp>
        <tr r="S83" s="12"/>
      </tp>
      <tp t="e">
        <v>#N/A</v>
        <stp/>
        <stp>BDH|12453345944970865820</stp>
        <tr r="I11" s="28"/>
      </tp>
      <tp t="e">
        <v>#N/A</v>
        <stp/>
        <stp>BDH|14540418955138820070</stp>
        <tr r="F66" s="17"/>
      </tp>
      <tp t="e">
        <v>#N/A</v>
        <stp/>
        <stp>BDH|15544520635346515898</stp>
        <tr r="L36" s="29"/>
        <tr r="L22" s="29"/>
        <tr r="L13" s="29"/>
      </tp>
      <tp t="e">
        <v>#N/A</v>
        <stp/>
        <stp>BDH|15325946429921850285</stp>
        <tr r="C13" s="5"/>
      </tp>
      <tp t="e">
        <v>#N/A</v>
        <stp/>
        <stp>BDH|11825556860897106821</stp>
        <tr r="H18" s="23"/>
      </tp>
      <tp t="e">
        <v>#N/A</v>
        <stp/>
        <stp>BDH|14590426346479945063</stp>
        <tr r="C13" s="18"/>
      </tp>
      <tp t="e">
        <v>#N/A</v>
        <stp/>
        <stp>BDH|14145576958048685169</stp>
        <tr r="T77" s="24"/>
      </tp>
      <tp t="e">
        <v>#N/A</v>
        <stp/>
        <stp>BDH|10402148649218485031</stp>
        <tr r="K65" s="17"/>
      </tp>
      <tp t="e">
        <v>#N/A</v>
        <stp/>
        <stp>BDH|13831787759915079978</stp>
        <tr r="R67" s="13"/>
      </tp>
      <tp t="e">
        <v>#N/A</v>
        <stp/>
        <stp>BDH|15914146148819943429</stp>
        <tr r="R140" s="18"/>
      </tp>
      <tp t="e">
        <v>#N/A</v>
        <stp/>
        <stp>BDH|15993103283045585410</stp>
        <tr r="D50" s="34"/>
      </tp>
      <tp t="e">
        <v>#N/A</v>
        <stp/>
        <stp>BDH|14688564906869929517</stp>
        <tr r="D34" s="34"/>
      </tp>
      <tp t="e">
        <v>#N/A</v>
        <stp/>
        <stp>BDH|13171282895981492464</stp>
        <tr r="E8" s="34"/>
      </tp>
      <tp t="e">
        <v>#N/A</v>
        <stp/>
        <stp>BDH|16765659919309657539</stp>
        <tr r="U21" s="9"/>
      </tp>
      <tp t="e">
        <v>#N/A</v>
        <stp/>
        <stp>BDH|12571391337846287971</stp>
        <tr r="K67" s="10"/>
      </tp>
      <tp t="e">
        <v>#N/A</v>
        <stp/>
        <stp>BDH|14000309089024355649</stp>
        <tr r="S12" s="14"/>
      </tp>
      <tp t="e">
        <v>#N/A</v>
        <stp/>
        <stp>BDH|12284485464069686460</stp>
        <tr r="Z9" s="29"/>
      </tp>
      <tp t="e">
        <v>#N/A</v>
        <stp/>
        <stp>BDH|16159962888358524243</stp>
        <tr r="X41" s="18"/>
      </tp>
      <tp t="e">
        <v>#N/A</v>
        <stp/>
        <stp>BDH|11779119770423181996</stp>
        <tr r="G18" s="21"/>
      </tp>
      <tp t="e">
        <v>#N/A</v>
        <stp/>
        <stp>BDH|11941772197113170164</stp>
        <tr r="R90" s="24"/>
      </tp>
      <tp t="e">
        <v>#N/A</v>
        <stp/>
        <stp>BDH|14870094810823012401</stp>
        <tr r="O10" s="23"/>
      </tp>
      <tp t="e">
        <v>#N/A</v>
        <stp/>
        <stp>BDH|11334240270754172278</stp>
        <tr r="M11" s="11"/>
      </tp>
      <tp t="e">
        <v>#N/A</v>
        <stp/>
        <stp>BDH|15627027448507892452</stp>
        <tr r="T26" s="6"/>
      </tp>
      <tp t="e">
        <v>#N/A</v>
        <stp/>
        <stp>BDH|13319355416290956388</stp>
        <tr r="C141" s="18"/>
      </tp>
      <tp t="e">
        <v>#N/A</v>
        <stp/>
        <stp>BDH|11499806386411256214</stp>
        <tr r="U19" s="9"/>
      </tp>
      <tp t="e">
        <v>#N/A</v>
        <stp/>
        <stp>BDH|10722727519237490394</stp>
        <tr r="K15" s="5"/>
      </tp>
      <tp t="e">
        <v>#N/A</v>
        <stp/>
        <stp>BDH|13295721204627303164</stp>
        <tr r="L28" s="26"/>
      </tp>
      <tp t="e">
        <v>#N/A</v>
        <stp/>
        <stp>BDH|10511063178594385196</stp>
        <tr r="Y68" s="18"/>
      </tp>
      <tp t="e">
        <v>#N/A</v>
        <stp/>
        <stp>BDH|15274348650588636910</stp>
        <tr r="V212" s="18"/>
      </tp>
      <tp t="e">
        <v>#N/A</v>
        <stp/>
        <stp>BDH|13992446910772888649</stp>
        <tr r="I12" s="27"/>
        <tr r="I26" s="25"/>
      </tp>
      <tp t="e">
        <v>#N/A</v>
        <stp/>
        <stp>BDH|14590653351242310730</stp>
        <tr r="R41" s="12"/>
      </tp>
      <tp t="e">
        <v>#N/A</v>
        <stp/>
        <stp>BDH|10161015268410968409</stp>
        <tr r="D6" s="28"/>
      </tp>
      <tp t="e">
        <v>#N/A</v>
        <stp/>
        <stp>BDH|10517438774577127626</stp>
        <tr r="O20" s="9"/>
      </tp>
      <tp t="e">
        <v>#N/A</v>
        <stp/>
        <stp>BDH|14456323377381424348</stp>
        <tr r="N87" s="24"/>
      </tp>
      <tp t="e">
        <v>#N/A</v>
        <stp/>
        <stp>BDH|16102936921358494763</stp>
        <tr r="H28" s="6"/>
      </tp>
      <tp t="e">
        <v>#N/A</v>
        <stp/>
        <stp>BDH|17423569040504591068</stp>
        <tr r="V154" s="18"/>
      </tp>
      <tp t="e">
        <v>#N/A</v>
        <stp/>
        <stp>BDH|16539802186244350018</stp>
        <tr r="S10" s="27"/>
        <tr r="S25" s="25"/>
      </tp>
      <tp t="e">
        <v>#N/A</v>
        <stp/>
        <stp>BDH|15972939980345312381</stp>
        <tr r="S40" s="22"/>
      </tp>
      <tp t="e">
        <v>#N/A</v>
        <stp/>
        <stp>BDH|11012759701536656235</stp>
        <tr r="L68" s="10"/>
      </tp>
      <tp t="e">
        <v>#N/A</v>
        <stp/>
        <stp>BDH|10766369019246893618</stp>
        <tr r="S103" s="18"/>
      </tp>
      <tp t="e">
        <v>#N/A</v>
        <stp/>
        <stp>BDH|11340832878404833812</stp>
        <tr r="E57" s="34"/>
      </tp>
      <tp t="e">
        <v>#N/A</v>
        <stp/>
        <stp>BDH|14717879528814812812</stp>
        <tr r="L7" s="14"/>
      </tp>
      <tp t="e">
        <v>#N/A</v>
        <stp/>
        <stp>BDH|14217422183618105236</stp>
        <tr r="R101" s="12"/>
      </tp>
      <tp t="e">
        <v>#N/A</v>
        <stp/>
        <stp>BDH|11691175912470724358</stp>
        <tr r="H13" s="23"/>
        <tr r="F57" s="11"/>
        <tr r="F38" s="4"/>
      </tp>
      <tp t="e">
        <v>#N/A</v>
        <stp/>
        <stp>BDH|13534052294108238072</stp>
        <tr r="T161" s="18"/>
      </tp>
      <tp t="e">
        <v>#N/A</v>
        <stp/>
        <stp>BDH|11003681328186100101</stp>
        <tr r="AA59" s="13"/>
      </tp>
      <tp t="e">
        <v>#N/A</v>
        <stp/>
        <stp>BDH|17102978051939799019</stp>
        <tr r="W64" s="13"/>
      </tp>
      <tp t="e">
        <v>#N/A</v>
        <stp/>
        <stp>BDH|16552524697921601979</stp>
        <tr r="V54" s="17"/>
        <tr r="V17" s="3"/>
      </tp>
      <tp t="e">
        <v>#N/A</v>
        <stp/>
        <stp>BDH|17356336032162417772</stp>
        <tr r="U23" s="11"/>
      </tp>
      <tp t="e">
        <v>#N/A</v>
        <stp/>
        <stp>BDH|10358932990437601572</stp>
        <tr r="S104" s="18"/>
      </tp>
      <tp t="e">
        <v>#N/A</v>
        <stp/>
        <stp>BDH|12365821487936061679</stp>
        <tr r="E38" s="24"/>
      </tp>
      <tp t="e">
        <v>#N/A</v>
        <stp/>
        <stp>BDH|15066302290209959483</stp>
        <tr r="N61" s="34"/>
      </tp>
      <tp t="e">
        <v>#N/A</v>
        <stp/>
        <stp>BDH|11014082534350938043</stp>
        <tr r="C24" s="12"/>
      </tp>
      <tp t="e">
        <v>#N/A</v>
        <stp/>
        <stp>BDH|16152121556067318775</stp>
        <tr r="R180" s="18"/>
      </tp>
      <tp t="e">
        <v>#N/A</v>
        <stp/>
        <stp>BDH|12350602814391769612</stp>
        <tr r="R42" s="29"/>
        <tr r="R33" s="29"/>
        <tr r="P55" s="6"/>
        <tr r="P11" s="5"/>
        <tr r="Q10" s="2"/>
      </tp>
      <tp t="e">
        <v>#N/A</v>
        <stp/>
        <stp>BDH|13839196310342049302</stp>
        <tr r="O99" s="18"/>
      </tp>
      <tp t="e">
        <v>#N/A</v>
        <stp/>
        <stp>BDH|10744390716793859316</stp>
        <tr r="J43" s="22"/>
      </tp>
      <tp t="e">
        <v>#N/A</v>
        <stp/>
        <stp>BDH|14910224774703749091</stp>
        <tr r="H47" s="12"/>
      </tp>
      <tp t="e">
        <v>#N/A</v>
        <stp/>
        <stp>BDH|17431804196501736546</stp>
        <tr r="T10" s="10"/>
      </tp>
      <tp t="e">
        <v>#N/A</v>
        <stp/>
        <stp>BDH|18300983353061903704</stp>
        <tr r="Y20" s="28"/>
        <tr r="Y17" s="17"/>
      </tp>
      <tp t="e">
        <v>#N/A</v>
        <stp/>
        <stp>BDH|16997173359972030267</stp>
        <tr r="Z168" s="18"/>
      </tp>
      <tp t="e">
        <v>#N/A</v>
        <stp/>
        <stp>BDH|15287611514604719418</stp>
        <tr r="F15" s="13"/>
      </tp>
      <tp t="e">
        <v>#N/A</v>
        <stp/>
        <stp>BDH|13266796869231317105</stp>
        <tr r="Q146" s="18"/>
      </tp>
      <tp t="e">
        <v>#N/A</v>
        <stp/>
        <stp>BDH|16172606013607787449</stp>
        <tr r="N31" s="22"/>
      </tp>
      <tp t="e">
        <v>#N/A</v>
        <stp/>
        <stp>BDH|17347892111455944930</stp>
        <tr r="V62" s="24"/>
      </tp>
      <tp t="e">
        <v>#N/A</v>
        <stp/>
        <stp>BDH|15253691010610262082</stp>
        <tr r="U9" s="28"/>
      </tp>
      <tp t="e">
        <v>#N/A</v>
        <stp/>
        <stp>BDH|13469765502900070618</stp>
        <tr r="U65" s="13"/>
      </tp>
      <tp t="e">
        <v>#N/A</v>
        <stp/>
        <stp>BDH|16871253114005989219</stp>
        <tr r="W8" s="25"/>
        <tr r="T10" s="5"/>
        <tr r="U9" s="2"/>
      </tp>
      <tp t="e">
        <v>#N/A</v>
        <stp/>
        <stp>BDH|10290002565072289646</stp>
        <tr r="Q9" s="23"/>
      </tp>
      <tp t="e">
        <v>#N/A</v>
        <stp/>
        <stp>BDH|17825017428202303532</stp>
        <tr r="V51" s="18"/>
      </tp>
      <tp t="e">
        <v>#N/A</v>
        <stp/>
        <stp>BDH|11824988975464095943</stp>
        <tr r="U25" s="5"/>
      </tp>
      <tp t="e">
        <v>#N/A</v>
        <stp/>
        <stp>BDH|10162106535293427314</stp>
        <tr r="W59" s="24"/>
      </tp>
      <tp t="e">
        <v>#N/A</v>
        <stp/>
        <stp>BDH|14222785220021355286</stp>
        <tr r="L195" s="18"/>
      </tp>
      <tp t="e">
        <v>#N/A</v>
        <stp/>
        <stp>BDH|16117453764776845095</stp>
        <tr r="V21" s="30"/>
      </tp>
      <tp t="e">
        <v>#N/A</v>
        <stp/>
        <stp>BDH|16160758988999902243</stp>
        <tr r="V41" s="22"/>
      </tp>
      <tp t="e">
        <v>#N/A</v>
        <stp/>
        <stp>BDH|11187357932632577135</stp>
        <tr r="S64" s="24"/>
      </tp>
      <tp t="e">
        <v>#N/A</v>
        <stp/>
        <stp>BDH|13258026730990306231</stp>
        <tr r="I44" s="13"/>
        <tr r="G28" s="11"/>
        <tr r="G37" s="10"/>
      </tp>
      <tp t="e">
        <v>#N/A</v>
        <stp/>
        <stp>BDH|12219700021835456076</stp>
        <tr r="O77" s="34"/>
      </tp>
      <tp t="e">
        <v>#N/A</v>
        <stp/>
        <stp>BDH|15176215866105605609</stp>
        <tr r="G41" s="18"/>
      </tp>
      <tp t="e">
        <v>#N/A</v>
        <stp/>
        <stp>BDH|10627207684641290900</stp>
        <tr r="I55" s="24"/>
      </tp>
      <tp t="e">
        <v>#N/A</v>
        <stp/>
        <stp>BDH|16056223747863320166</stp>
        <tr r="AA15" s="18"/>
      </tp>
      <tp t="e">
        <v>#N/A</v>
        <stp/>
        <stp>BDH|11290575462297630714</stp>
        <tr r="V64" s="12"/>
      </tp>
      <tp t="e">
        <v>#N/A</v>
        <stp/>
        <stp>BDH|10064077660472089674</stp>
        <tr r="I35" s="17"/>
      </tp>
      <tp t="e">
        <v>#N/A</v>
        <stp/>
        <stp>BDH|17441956095902304772</stp>
        <tr r="I39" s="18"/>
      </tp>
      <tp t="e">
        <v>#N/A</v>
        <stp/>
        <stp>BDH|14616696103415482582</stp>
        <tr r="L30" s="9"/>
        <tr r="L30" s="5"/>
      </tp>
      <tp t="e">
        <v>#N/A</v>
        <stp/>
        <stp>BDH|15263436378166802218</stp>
        <tr r="W90" s="12"/>
      </tp>
      <tp t="e">
        <v>#N/A</v>
        <stp/>
        <stp>BDH|10224511247101625228</stp>
        <tr r="K39" s="22"/>
      </tp>
      <tp t="e">
        <v>#N/A</v>
        <stp/>
        <stp>BDH|13298098574763796580</stp>
        <tr r="K51" s="13"/>
      </tp>
      <tp t="e">
        <v>#N/A</v>
        <stp/>
        <stp>BDH|15320168776584502561</stp>
        <tr r="Z115" s="12"/>
      </tp>
      <tp t="e">
        <v>#N/A</v>
        <stp/>
        <stp>BDH|11874582122354585070</stp>
        <tr r="L51" s="21"/>
      </tp>
      <tp t="e">
        <v>#N/A</v>
        <stp/>
        <stp>BDH|12721579474482558014</stp>
        <tr r="AA58" s="18"/>
      </tp>
      <tp t="e">
        <v>#N/A</v>
        <stp/>
        <stp>BDH|16194068717594817188</stp>
        <tr r="N27" s="26"/>
      </tp>
      <tp t="e">
        <v>#N/A</v>
        <stp/>
        <stp>BDH|14606925523639099477</stp>
        <tr r="O65" s="10"/>
        <tr r="O25" s="4"/>
      </tp>
      <tp t="e">
        <v>#N/A</v>
        <stp/>
        <stp>BDH|13492264660932092720</stp>
        <tr r="S7" s="20"/>
        <tr r="S117" s="18"/>
      </tp>
      <tp t="e">
        <v>#N/A</v>
        <stp/>
        <stp>BDH|11749666648800042192</stp>
        <tr r="F37" s="26"/>
      </tp>
      <tp t="e">
        <v>#N/A</v>
        <stp/>
        <stp>BDH|15012568816403514050</stp>
        <tr r="D184" s="18"/>
      </tp>
      <tp t="e">
        <v>#N/A</v>
        <stp/>
        <stp>BDH|15701913319226685995</stp>
        <tr r="M9" s="23"/>
      </tp>
      <tp t="e">
        <v>#N/A</v>
        <stp/>
        <stp>BDH|18125157494853102111</stp>
        <tr r="Z107" s="12"/>
      </tp>
      <tp t="e">
        <v>#N/A</v>
        <stp/>
        <stp>BDH|10123487228517280334</stp>
        <tr r="V23" s="21"/>
      </tp>
      <tp t="e">
        <v>#N/A</v>
        <stp/>
        <stp>BDH|17042664774251608541</stp>
        <tr r="T99" s="12"/>
      </tp>
      <tp t="e">
        <v>#N/A</v>
        <stp/>
        <stp>BDH|10181539872379209921</stp>
        <tr r="L92" s="18"/>
      </tp>
      <tp t="e">
        <v>#N/A</v>
        <stp/>
        <stp>BDH|12310265449237521197</stp>
        <tr r="H153" s="18"/>
      </tp>
      <tp t="e">
        <v>#N/A</v>
        <stp/>
        <stp>BDH|16822641790512566993</stp>
        <tr r="X113" s="12"/>
      </tp>
      <tp t="e">
        <v>#N/A</v>
        <stp/>
        <stp>BDH|11511272617781231175</stp>
        <tr r="X76" s="18"/>
      </tp>
      <tp t="e">
        <v>#N/A</v>
        <stp/>
        <stp>BDH|12769820083378426825</stp>
        <tr r="H25" s="14"/>
      </tp>
      <tp t="e">
        <v>#N/A</v>
        <stp/>
        <stp>BDH|18014892552694853332</stp>
        <tr r="P66" s="21"/>
        <tr r="M31" s="6"/>
      </tp>
      <tp t="e">
        <v>#N/A</v>
        <stp/>
        <stp>BDH|11237436911305774370</stp>
        <tr r="J85" s="18"/>
      </tp>
      <tp t="e">
        <v>#N/A</v>
        <stp/>
        <stp>BDH|14988086834636119348</stp>
        <tr r="N115" s="18"/>
      </tp>
      <tp t="e">
        <v>#N/A</v>
        <stp/>
        <stp>BDH|11412777085739421522</stp>
        <tr r="E92" s="24"/>
      </tp>
      <tp t="e">
        <v>#N/A</v>
        <stp/>
        <stp>BDH|10974106109103586059</stp>
        <tr r="F9" s="29"/>
      </tp>
      <tp t="e">
        <v>#N/A</v>
        <stp/>
        <stp>BDH|12643466224585616326</stp>
        <tr r="L64" s="18"/>
      </tp>
      <tp t="e">
        <v>#N/A</v>
        <stp/>
        <stp>BDH|16522145924762152545</stp>
        <tr r="V13" s="2"/>
      </tp>
      <tp t="e">
        <v>#N/A</v>
        <stp/>
        <stp>BDH|17733366700582703460</stp>
        <tr r="R212" s="18"/>
      </tp>
      <tp t="e">
        <v>#N/A</v>
        <stp/>
        <stp>BDH|14232885035159919466</stp>
        <tr r="P33" s="21"/>
      </tp>
      <tp t="e">
        <v>#N/A</v>
        <stp/>
        <stp>BDH|16443118411313360779</stp>
        <tr r="U117" s="12"/>
      </tp>
      <tp t="e">
        <v>#N/A</v>
        <stp/>
        <stp>BDH|18250327218898081085</stp>
        <tr r="D79" s="24"/>
      </tp>
      <tp t="e">
        <v>#N/A</v>
        <stp/>
        <stp>BDH|10874907840217160892</stp>
        <tr r="M24" s="13"/>
      </tp>
      <tp t="e">
        <v>#N/A</v>
        <stp/>
        <stp>BDH|16858692470097299238</stp>
        <tr r="W43" s="34"/>
      </tp>
      <tp t="e">
        <v>#N/A</v>
        <stp/>
        <stp>BDH|10673835701233028947</stp>
        <tr r="Y63" s="24"/>
      </tp>
      <tp t="e">
        <v>#N/A</v>
        <stp/>
        <stp>BDH|12422575042667450651</stp>
        <tr r="K55" s="11"/>
      </tp>
      <tp t="e">
        <v>#N/A</v>
        <stp/>
        <stp>BDH|11542872490423367111</stp>
        <tr r="H12" s="12"/>
      </tp>
      <tp t="e">
        <v>#N/A</v>
        <stp/>
        <stp>BDH|10664099735630349199</stp>
        <tr r="S73" s="34"/>
      </tp>
      <tp t="e">
        <v>#N/A</v>
        <stp/>
        <stp>BDH|16402105496975080920</stp>
        <tr r="Y57" s="12"/>
      </tp>
      <tp t="e">
        <v>#N/A</v>
        <stp/>
        <stp>BDH|12057966509750907960</stp>
        <tr r="U22" s="11"/>
      </tp>
      <tp t="e">
        <v>#N/A</v>
        <stp/>
        <stp>BDH|17393244227224159121</stp>
        <tr r="I17" s="13"/>
      </tp>
      <tp t="e">
        <v>#N/A</v>
        <stp/>
        <stp>BDH|10184499535946711392</stp>
        <tr r="F78" s="17"/>
      </tp>
      <tp t="e">
        <v>#N/A</v>
        <stp/>
        <stp>BDH|15102758964616316005</stp>
        <tr r="X64" s="10"/>
      </tp>
      <tp t="e">
        <v>#N/A</v>
        <stp/>
        <stp>BDH|17768350357252592137</stp>
        <tr r="L118" s="12"/>
      </tp>
      <tp t="e">
        <v>#N/A</v>
        <stp/>
        <stp>BDH|17067353912973548412</stp>
        <tr r="U57" s="18"/>
      </tp>
      <tp t="e">
        <v>#N/A</v>
        <stp/>
        <stp>BDH|12245567885665779858</stp>
        <tr r="K149" s="18"/>
      </tp>
      <tp t="e">
        <v>#N/A</v>
        <stp/>
        <stp>BDH|17084809193103527758</stp>
        <tr r="H20" s="17"/>
      </tp>
      <tp t="e">
        <v>#N/A</v>
        <stp/>
        <stp>BDH|13631135698988943172</stp>
        <tr r="P23" s="26"/>
      </tp>
      <tp t="e">
        <v>#N/A</v>
        <stp/>
        <stp>BDH|16941783518021969338</stp>
        <tr r="T69" s="13"/>
      </tp>
      <tp t="e">
        <v>#N/A</v>
        <stp/>
        <stp>BDH|12784400722080653604</stp>
        <tr r="Y21" s="22"/>
      </tp>
      <tp t="e">
        <v>#N/A</v>
        <stp/>
        <stp>BDH|15870499515201221357</stp>
        <tr r="S37" s="25"/>
        <tr r="S59" s="21"/>
        <tr r="Q53" s="11"/>
        <tr r="Q31" s="4"/>
      </tp>
      <tp t="e">
        <v>#N/A</v>
        <stp/>
        <stp>BDH|11529227893809016175</stp>
        <tr r="J8" s="34"/>
      </tp>
      <tp t="e">
        <v>#N/A</v>
        <stp/>
        <stp>BDH|14023041526982137601</stp>
        <tr r="H106" s="18"/>
      </tp>
      <tp t="e">
        <v>#N/A</v>
        <stp/>
        <stp>BDH|10752562373827503747</stp>
        <tr r="M21" s="34"/>
      </tp>
      <tp t="e">
        <v>#N/A</v>
        <stp/>
        <stp>BDH|14622976245942647916</stp>
        <tr r="R9" s="23"/>
      </tp>
      <tp t="e">
        <v>#N/A</v>
        <stp/>
        <stp>BDH|11228828483572597158</stp>
        <tr r="Q65" s="13"/>
      </tp>
      <tp t="e">
        <v>#N/A</v>
        <stp/>
        <stp>BDH|12524616047952669065</stp>
        <tr r="J80" s="18"/>
      </tp>
      <tp t="e">
        <v>#N/A</v>
        <stp/>
        <stp>BDH|17962020641997978606</stp>
        <tr r="F36" s="12"/>
      </tp>
      <tp t="e">
        <v>#N/A</v>
        <stp/>
        <stp>BDH|10487316487039177007</stp>
        <tr r="O37" s="22"/>
      </tp>
      <tp t="e">
        <v>#N/A</v>
        <stp/>
        <stp>BDH|14434615150873755615</stp>
        <tr r="E30" s="9"/>
        <tr r="E30" s="5"/>
      </tp>
      <tp t="e">
        <v>#N/A</v>
        <stp/>
        <stp>BDH|11425339441601025553</stp>
        <tr r="R42" s="21"/>
      </tp>
      <tp t="e">
        <v>#N/A</v>
        <stp/>
        <stp>BDH|17912191735533202449</stp>
        <tr r="I42" s="29"/>
        <tr r="I33" s="29"/>
        <tr r="G55" s="6"/>
        <tr r="G11" s="5"/>
        <tr r="H10" s="2"/>
      </tp>
      <tp t="e">
        <v>#N/A</v>
        <stp/>
        <stp>BDH|18081255784052614240</stp>
        <tr r="N25" s="34"/>
      </tp>
      <tp t="e">
        <v>#N/A</v>
        <stp/>
        <stp>BDH|13737247312831485368</stp>
        <tr r="V69" s="34"/>
      </tp>
      <tp t="e">
        <v>#N/A</v>
        <stp/>
        <stp>BDH|16103819647899060144</stp>
        <tr r="I99" s="12"/>
      </tp>
      <tp t="e">
        <v>#N/A</v>
        <stp/>
        <stp>BDH|15394510437105725419</stp>
        <tr r="V46" s="13"/>
      </tp>
      <tp t="e">
        <v>#N/A</v>
        <stp/>
        <stp>BDH|10470433106227401164</stp>
        <tr r="U69" s="18"/>
      </tp>
      <tp t="e">
        <v>#N/A</v>
        <stp/>
        <stp>BDH|11620817415583577946</stp>
        <tr r="D14" s="6"/>
      </tp>
      <tp t="e">
        <v>#N/A</v>
        <stp/>
        <stp>BDH|16153719634820250050</stp>
        <tr r="Y40" s="29"/>
        <tr r="Y17" s="29"/>
      </tp>
      <tp t="e">
        <v>#N/A</v>
        <stp/>
        <stp>BDH|12855490320311677740</stp>
        <tr r="C58" s="6"/>
      </tp>
      <tp t="e">
        <v>#N/A</v>
        <stp/>
        <stp>BDH|15089161902992226452</stp>
        <tr r="K8" s="14"/>
      </tp>
      <tp t="e">
        <v>#N/A</v>
        <stp/>
        <stp>BDH|14714230106332912683</stp>
        <tr r="W17" s="6"/>
      </tp>
      <tp t="e">
        <v>#N/A</v>
        <stp/>
        <stp>BDH|15846005976136971641</stp>
        <tr r="F65" s="17"/>
      </tp>
      <tp t="e">
        <v>#N/A</v>
        <stp/>
        <stp>BDH|12029171912262749213</stp>
        <tr r="M61" s="13"/>
        <tr r="K48" s="11"/>
        <tr r="K57" s="10"/>
        <tr r="K18" s="7"/>
      </tp>
      <tp t="e">
        <v>#N/A</v>
        <stp/>
        <stp>BDH|12169007805988071879</stp>
        <tr r="Z46" s="12"/>
      </tp>
      <tp t="e">
        <v>#N/A</v>
        <stp/>
        <stp>BDH|11291322056404414118</stp>
        <tr r="X16" s="23"/>
      </tp>
      <tp t="e">
        <v>#N/A</v>
        <stp/>
        <stp>BDH|14962988808936948935</stp>
        <tr r="P18" s="22"/>
      </tp>
      <tp t="e">
        <v>#N/A</v>
        <stp/>
        <stp>BDH|16623633365936672259</stp>
        <tr r="S11" s="24"/>
      </tp>
      <tp t="e">
        <v>#N/A</v>
        <stp/>
        <stp>BDH|14312265691554075973</stp>
        <tr r="D34" s="12"/>
      </tp>
      <tp t="e">
        <v>#N/A</v>
        <stp/>
        <stp>BDH|13553158070990756745</stp>
        <tr r="J27" s="22"/>
      </tp>
      <tp t="e">
        <v>#N/A</v>
        <stp/>
        <stp>BDH|10454034436980346118</stp>
        <tr r="G78" s="17"/>
      </tp>
      <tp t="e">
        <v>#N/A</v>
        <stp/>
        <stp>BDH|18336518911038575658</stp>
        <tr r="E36" s="18"/>
      </tp>
      <tp t="e">
        <v>#N/A</v>
        <stp/>
        <stp>BDH|12523757166271650036</stp>
        <tr r="C81" s="24"/>
      </tp>
      <tp t="e">
        <v>#N/A</v>
        <stp/>
        <stp>BDH|16748619659496952158</stp>
        <tr r="Q7" s="28"/>
      </tp>
      <tp t="e">
        <v>#N/A</v>
        <stp/>
        <stp>BDH|16091404365803025563</stp>
        <tr r="U35" s="21"/>
      </tp>
      <tp t="e">
        <v>#N/A</v>
        <stp/>
        <stp>BDH|16032625274823094653</stp>
        <tr r="V210" s="18"/>
      </tp>
      <tp t="e">
        <v>#N/A</v>
        <stp/>
        <stp>BDH|15533321305111121505</stp>
        <tr r="Q42" s="17"/>
      </tp>
      <tp t="e">
        <v>#N/A</v>
        <stp/>
        <stp>BDH|12940779531742440695</stp>
        <tr r="P34" s="18"/>
      </tp>
      <tp t="e">
        <v>#N/A</v>
        <stp/>
        <stp>BDH|16876057159637658609</stp>
        <tr r="T86" s="17"/>
      </tp>
      <tp t="e">
        <v>#N/A</v>
        <stp/>
        <stp>BDH|15429119060700023074</stp>
        <tr r="J91" s="17"/>
      </tp>
      <tp t="e">
        <v>#N/A</v>
        <stp/>
        <stp>BDH|11228863804602084925</stp>
        <tr r="R17" s="23"/>
      </tp>
      <tp t="e">
        <v>#N/A</v>
        <stp/>
        <stp>BDH|12130025341655182112</stp>
        <tr r="K23" s="6"/>
      </tp>
      <tp t="e">
        <v>#N/A</v>
        <stp/>
        <stp>BDH|11490194882499557386</stp>
        <tr r="U11" s="11"/>
      </tp>
      <tp t="e">
        <v>#N/A</v>
        <stp/>
        <stp>BDH|12492755753412052007</stp>
        <tr r="Z10" s="24"/>
      </tp>
      <tp t="e">
        <v>#N/A</v>
        <stp/>
        <stp>BDH|15202433518986366485</stp>
        <tr r="G21" s="9"/>
      </tp>
      <tp t="e">
        <v>#N/A</v>
        <stp/>
        <stp>BDH|14185034340487389539</stp>
        <tr r="O75" s="34"/>
      </tp>
      <tp t="e">
        <v>#N/A</v>
        <stp/>
        <stp>BDH|11275422655901025377</stp>
        <tr r="G113" s="12"/>
      </tp>
      <tp t="e">
        <v>#N/A</v>
        <stp/>
        <stp>BDH|12097171687020314911</stp>
        <tr r="V7" s="4"/>
      </tp>
      <tp t="e">
        <v>#N/A</v>
        <stp/>
        <stp>BDH|17085762233587611611</stp>
        <tr r="L205" s="18"/>
      </tp>
      <tp t="e">
        <v>#N/A</v>
        <stp/>
        <stp>BDH|10597239572603213448</stp>
        <tr r="I27" s="18"/>
      </tp>
      <tp t="e">
        <v>#N/A</v>
        <stp/>
        <stp>BDH|14054930093710346619</stp>
        <tr r="C36" s="22"/>
      </tp>
      <tp t="e">
        <v>#N/A</v>
        <stp/>
        <stp>BDH|15751741011158423949</stp>
        <tr r="Q88" s="24"/>
      </tp>
      <tp t="e">
        <v>#N/A</v>
        <stp/>
        <stp>BDH|15362968095744360311</stp>
        <tr r="D30" s="21"/>
      </tp>
      <tp t="e">
        <v>#N/A</v>
        <stp/>
        <stp>BDH|14530584215193998131</stp>
        <tr r="N86" s="18"/>
      </tp>
      <tp t="e">
        <v>#N/A</v>
        <stp/>
        <stp>BDH|10281099778226346329</stp>
        <tr r="Q93" s="24"/>
      </tp>
      <tp t="e">
        <v>#N/A</v>
        <stp/>
        <stp>BDH|11643449150183776176</stp>
        <tr r="Z94" s="18"/>
      </tp>
      <tp t="e">
        <v>#N/A</v>
        <stp/>
        <stp>BDH|17351267323703005648</stp>
        <tr r="L15" s="30"/>
      </tp>
      <tp t="e">
        <v>#N/A</v>
        <stp/>
        <stp>BDH|16972243975757885627</stp>
        <tr r="D46" s="11"/>
        <tr r="D55" s="10"/>
        <tr r="D7" s="7"/>
        <tr r="F12" s="3"/>
      </tp>
      <tp t="e">
        <v>#N/A</v>
        <stp/>
        <stp>BDH|10309608236315728205</stp>
        <tr r="P34" s="11"/>
        <tr r="P43" s="10"/>
      </tp>
      <tp t="e">
        <v>#N/A</v>
        <stp/>
        <stp>BDH|11735208136655713740</stp>
        <tr r="N14" s="24"/>
      </tp>
      <tp t="e">
        <v>#N/A</v>
        <stp/>
        <stp>BDH|17500567721581132312</stp>
        <tr r="T11" s="9"/>
      </tp>
      <tp t="e">
        <v>#N/A</v>
        <stp/>
        <stp>BDH|15188523360224821098</stp>
        <tr r="Z60" s="12"/>
      </tp>
      <tp t="e">
        <v>#N/A</v>
        <stp/>
        <stp>BDH|13148112298370227984</stp>
        <tr r="S69" s="12"/>
      </tp>
      <tp t="e">
        <v>#N/A</v>
        <stp/>
        <stp>BDH|13538393939705545420</stp>
        <tr r="N25" s="10"/>
      </tp>
      <tp t="e">
        <v>#N/A</v>
        <stp/>
        <stp>BDH|16665221228551935572</stp>
        <tr r="L41" s="24"/>
      </tp>
      <tp t="e">
        <v>#N/A</v>
        <stp/>
        <stp>BDH|16452868848731894901</stp>
        <tr r="C36" s="14"/>
      </tp>
      <tp t="e">
        <v>#N/A</v>
        <stp/>
        <stp>BDH|14908575939583431311</stp>
        <tr r="K9" s="29"/>
      </tp>
      <tp t="e">
        <v>#N/A</v>
        <stp/>
        <stp>BDH|16750625338527605697</stp>
        <tr r="T7" s="20"/>
        <tr r="T117" s="18"/>
      </tp>
      <tp t="e">
        <v>#N/A</v>
        <stp/>
        <stp>BDH|14861415948515439377</stp>
        <tr r="G11" s="9"/>
      </tp>
      <tp t="e">
        <v>#N/A</v>
        <stp/>
        <stp>BDH|16683422302638698824</stp>
        <tr r="I65" s="18"/>
      </tp>
      <tp t="e">
        <v>#N/A</v>
        <stp/>
        <stp>BDH|17549477331916831498</stp>
        <tr r="W13" s="26"/>
      </tp>
      <tp t="e">
        <v>#N/A</v>
        <stp/>
        <stp>BDH|12078721943356751541</stp>
        <tr r="U49" s="17"/>
      </tp>
      <tp t="e">
        <v>#N/A</v>
        <stp/>
        <stp>BDH|13854593465944384656</stp>
        <tr r="K15" s="13"/>
      </tp>
      <tp t="e">
        <v>#N/A</v>
        <stp/>
        <stp>BDH|17067029710973307737</stp>
        <tr r="S49" s="17"/>
      </tp>
      <tp t="e">
        <v>#N/A</v>
        <stp/>
        <stp>BDH|14543500536355011517</stp>
        <tr r="W38" s="13"/>
        <tr r="U31" s="10"/>
      </tp>
      <tp t="e">
        <v>#N/A</v>
        <stp/>
        <stp>BDH|15207088464808428982</stp>
        <tr r="Z45" s="17"/>
      </tp>
      <tp t="e">
        <v>#N/A</v>
        <stp/>
        <stp>BDH|16620732956177923184</stp>
        <tr r="G11" s="22"/>
      </tp>
      <tp t="e">
        <v>#N/A</v>
        <stp/>
        <stp>BDH|11778189350867906041</stp>
        <tr r="N160" s="18"/>
      </tp>
      <tp t="e">
        <v>#N/A</v>
        <stp/>
        <stp>BDH|12097099513385908414</stp>
        <tr r="AA28" s="26"/>
      </tp>
      <tp t="e">
        <v>#N/A</v>
        <stp/>
        <stp>BDH|15071421605555040650</stp>
        <tr r="H60" s="17"/>
      </tp>
      <tp t="e">
        <v>#N/A</v>
        <stp/>
        <stp>BDH|17744080547371243085</stp>
        <tr r="Q69" s="13"/>
      </tp>
      <tp t="e">
        <v>#N/A</v>
        <stp/>
        <stp>BDH|15713270341102657353</stp>
        <tr r="W19" s="17"/>
      </tp>
      <tp t="e">
        <v>#N/A</v>
        <stp/>
        <stp>BDH|15452618416634483455</stp>
        <tr r="P126" s="18"/>
      </tp>
      <tp t="e">
        <v>#N/A</v>
        <stp/>
        <stp>BDH|16412065142173377314</stp>
        <tr r="G43" s="13"/>
        <tr r="E35" s="11"/>
        <tr r="E44" s="10"/>
        <tr r="E52" s="4"/>
        <tr r="G8" s="3"/>
      </tp>
      <tp t="e">
        <v>#N/A</v>
        <stp/>
        <stp>BDH|13398959014270672960</stp>
        <tr r="L46" s="18"/>
      </tp>
      <tp t="e">
        <v>#N/A</v>
        <stp/>
        <stp>BDH|13028301521351477172</stp>
        <tr r="O64" s="24"/>
      </tp>
      <tp t="e">
        <v>#N/A</v>
        <stp/>
        <stp>BDH|17465694779076720215</stp>
        <tr r="X91" s="18"/>
      </tp>
      <tp t="e">
        <v>#N/A</v>
        <stp/>
        <stp>BDH|10265144213632013070</stp>
        <tr r="L23" s="26"/>
      </tp>
      <tp t="e">
        <v>#N/A</v>
        <stp/>
        <stp>BDH|15022585140565953332</stp>
        <tr r="G11" s="24"/>
      </tp>
      <tp t="e">
        <v>#N/A</v>
        <stp/>
        <stp>BDH|17333931294391535436</stp>
        <tr r="T39" s="29"/>
        <tr r="T16" s="29"/>
      </tp>
      <tp t="e">
        <v>#N/A</v>
        <stp/>
        <stp>BDH|14327020529105205187</stp>
        <tr r="Z59" s="24"/>
      </tp>
      <tp t="e">
        <v>#N/A</v>
        <stp/>
        <stp>BDH|11625475444521008208</stp>
        <tr r="R74" s="18"/>
      </tp>
      <tp t="e">
        <v>#N/A</v>
        <stp/>
        <stp>BDH|18072573531569784543</stp>
        <tr r="T14" s="13"/>
      </tp>
      <tp t="e">
        <v>#N/A</v>
        <stp/>
        <stp>BDH|17436217448330951318</stp>
        <tr r="Y16" s="10"/>
      </tp>
      <tp t="e">
        <v>#N/A</v>
        <stp/>
        <stp>BDH|15653745056795388025</stp>
        <tr r="W72" s="12"/>
      </tp>
      <tp t="e">
        <v>#N/A</v>
        <stp/>
        <stp>BDH|11025798943605910564</stp>
        <tr r="Y167" s="18"/>
      </tp>
      <tp t="e">
        <v>#N/A</v>
        <stp/>
        <stp>BDH|14264359993618067416</stp>
        <tr r="AA94" s="12"/>
      </tp>
      <tp t="e">
        <v>#N/A</v>
        <stp/>
        <stp>BDH|17991507539421223271</stp>
        <tr r="X44" s="21"/>
      </tp>
      <tp t="e">
        <v>#N/A</v>
        <stp/>
        <stp>BDH|12072463430023059439</stp>
        <tr r="P16" s="27"/>
        <tr r="P30" s="25"/>
      </tp>
      <tp t="e">
        <v>#N/A</v>
        <stp/>
        <stp>BDH|17400895218344668868</stp>
        <tr r="P68" s="10"/>
      </tp>
      <tp t="e">
        <v>#N/A</v>
        <stp/>
        <stp>BDH|12817350302602981137</stp>
        <tr r="P125" s="12"/>
      </tp>
      <tp t="e">
        <v>#N/A</v>
        <stp/>
        <stp>BDH|17008359616866678109</stp>
        <tr r="O14" s="34"/>
      </tp>
      <tp t="e">
        <v>#N/A</v>
        <stp/>
        <stp>BDH|15671529118047906401</stp>
        <tr r="J50" s="12"/>
      </tp>
      <tp t="e">
        <v>#N/A</v>
        <stp/>
        <stp>BDH|11015707085898823482</stp>
        <tr r="W56" s="18"/>
      </tp>
      <tp t="e">
        <v>#N/A</v>
        <stp/>
        <stp>BDH|15822051969880616174</stp>
        <tr r="R30" s="26"/>
      </tp>
      <tp t="e">
        <v>#N/A</v>
        <stp/>
        <stp>BDH|16925456875887401081</stp>
        <tr r="D32" s="26"/>
      </tp>
      <tp t="e">
        <v>#N/A</v>
        <stp/>
        <stp>BDH|18352716096854413057</stp>
        <tr r="C14" s="23"/>
      </tp>
      <tp t="e">
        <v>#N/A</v>
        <stp/>
        <stp>BDH|10478116112284481666</stp>
        <tr r="V19" s="17"/>
      </tp>
      <tp t="e">
        <v>#N/A</v>
        <stp/>
        <stp>BDH|10597460000426067066</stp>
        <tr r="G143" s="18"/>
      </tp>
      <tp t="e">
        <v>#N/A</v>
        <stp/>
        <stp>BDH|11552837085793489020</stp>
        <tr r="U35" s="13"/>
        <tr r="S28" s="10"/>
      </tp>
      <tp t="e">
        <v>#N/A</v>
        <stp/>
        <stp>BDH|15703228317942248659</stp>
        <tr r="X76" s="17"/>
      </tp>
      <tp t="e">
        <v>#N/A</v>
        <stp/>
        <stp>BDH|12402824456194001959</stp>
        <tr r="O97" s="17"/>
      </tp>
      <tp t="e">
        <v>#N/A</v>
        <stp/>
        <stp>BDH|18288010827329909187</stp>
        <tr r="J46" s="22"/>
      </tp>
      <tp t="e">
        <v>#N/A</v>
        <stp/>
        <stp>BDH|11016815691357339567</stp>
        <tr r="S9" s="12"/>
      </tp>
      <tp t="e">
        <v>#N/A</v>
        <stp/>
        <stp>BDH|10426702250930229038</stp>
        <tr r="C80" s="12"/>
      </tp>
      <tp t="e">
        <v>#N/A</v>
        <stp/>
        <stp>BDH|15882650575886864055</stp>
        <tr r="U9" s="8"/>
        <tr r="S52" s="6"/>
      </tp>
      <tp t="e">
        <v>#N/A</v>
        <stp/>
        <stp>BDH|16780259234280428572</stp>
        <tr r="G84" s="12"/>
      </tp>
      <tp t="e">
        <v>#N/A</v>
        <stp/>
        <stp>BDH|11454623464447110461</stp>
        <tr r="T81" s="17"/>
      </tp>
      <tp t="e">
        <v>#N/A</v>
        <stp/>
        <stp>BDH|12215960715700535817</stp>
        <tr r="Y33" s="34"/>
      </tp>
      <tp t="e">
        <v>#N/A</v>
        <stp/>
        <stp>BDH|14605059097916178906</stp>
        <tr r="C83" s="12"/>
      </tp>
      <tp t="e">
        <v>#N/A</v>
        <stp/>
        <stp>BDH|17950396766230791049</stp>
        <tr r="Y10" s="24"/>
      </tp>
      <tp t="e">
        <v>#N/A</v>
        <stp/>
        <stp>BDH|16105451527796318456</stp>
        <tr r="N28" s="12"/>
      </tp>
      <tp t="e">
        <v>#N/A</v>
        <stp/>
        <stp>BDH|12835900587706935737</stp>
        <tr r="T36" s="21"/>
      </tp>
      <tp t="e">
        <v>#N/A</v>
        <stp/>
        <stp>BDH|18157375027438311375</stp>
        <tr r="U22" s="24"/>
      </tp>
      <tp t="e">
        <v>#N/A</v>
        <stp/>
        <stp>BDH|16393337263660304158</stp>
        <tr r="R78" s="17"/>
      </tp>
      <tp t="e">
        <v>#N/A</v>
        <stp/>
        <stp>BDH|17635066452428270856</stp>
        <tr r="P81" s="18"/>
      </tp>
      <tp t="e">
        <v>#N/A</v>
        <stp/>
        <stp>BDH|14449591635566460691</stp>
        <tr r="F45" s="24"/>
      </tp>
      <tp t="e">
        <v>#N/A</v>
        <stp/>
        <stp>BDH|10916624117672930707</stp>
        <tr r="G9" s="27"/>
      </tp>
      <tp t="e">
        <v>#N/A</v>
        <stp/>
        <stp>BDH|18164757697424433021</stp>
        <tr r="R99" s="12"/>
      </tp>
      <tp t="e">
        <v>#N/A</v>
        <stp/>
        <stp>BDH|10632061366995644159</stp>
        <tr r="G98" s="12"/>
      </tp>
      <tp t="e">
        <v>#N/A</v>
        <stp/>
        <stp>BDH|13124312172742447735</stp>
        <tr r="H59" s="24"/>
      </tp>
      <tp t="e">
        <v>#N/A</v>
        <stp/>
        <stp>BDH|16910029598954470920</stp>
        <tr r="W18" s="25"/>
      </tp>
      <tp t="e">
        <v>#N/A</v>
        <stp/>
        <stp>BDH|13347177166022166463</stp>
        <tr r="S45" s="12"/>
      </tp>
      <tp t="e">
        <v>#N/A</v>
        <stp/>
        <stp>BDH|10452537090788716651</stp>
        <tr r="P108" s="12"/>
      </tp>
      <tp t="e">
        <v>#N/A</v>
        <stp/>
        <stp>BDH|12730651191339520636</stp>
        <tr r="R69" s="24"/>
      </tp>
      <tp t="e">
        <v>#N/A</v>
        <stp/>
        <stp>BDH|12460121043813528659</stp>
        <tr r="E85" s="24"/>
      </tp>
      <tp t="e">
        <v>#N/A</v>
        <stp/>
        <stp>BDH|10500291509761246126</stp>
        <tr r="L103" s="18"/>
      </tp>
      <tp t="e">
        <v>#N/A</v>
        <stp/>
        <stp>BDH|15718825968349050086</stp>
        <tr r="I25" s="24"/>
      </tp>
      <tp t="e">
        <v>#N/A</v>
        <stp/>
        <stp>BDH|10297604474151207218</stp>
        <tr r="D64" s="34"/>
      </tp>
      <tp t="e">
        <v>#N/A</v>
        <stp/>
        <stp>BDH|16662325235566677225</stp>
        <tr r="J66" s="18"/>
      </tp>
      <tp t="e">
        <v>#N/A</v>
        <stp/>
        <stp>BDH|11708433152445450769</stp>
        <tr r="H26" s="34"/>
      </tp>
      <tp t="e">
        <v>#N/A</v>
        <stp/>
        <stp>BDH|10139527373932565210</stp>
        <tr r="P60" s="13"/>
      </tp>
      <tp t="e">
        <v>#N/A</v>
        <stp/>
        <stp>BDH|10280835131478668124</stp>
        <tr r="K13" s="34"/>
      </tp>
      <tp t="e">
        <v>#N/A</v>
        <stp/>
        <stp>BDH|15480526667286177240</stp>
        <tr r="S12" s="24"/>
      </tp>
      <tp t="e">
        <v>#N/A</v>
        <stp/>
        <stp>BDH|13410345311681512209</stp>
        <tr r="AA57" s="17"/>
      </tp>
      <tp t="e">
        <v>#N/A</v>
        <stp/>
        <stp>BDH|16085218772922557326</stp>
        <tr r="X45" s="24"/>
      </tp>
      <tp t="e">
        <v>#N/A</v>
        <stp/>
        <stp>BDH|17493912234826193940</stp>
        <tr r="W41" s="29"/>
        <tr r="W18" s="29"/>
      </tp>
      <tp t="e">
        <v>#N/A</v>
        <stp/>
        <stp>BDH|13253603040001690205</stp>
        <tr r="O199" s="18"/>
      </tp>
      <tp t="e">
        <v>#N/A</v>
        <stp/>
        <stp>BDH|10593630122486448043</stp>
        <tr r="V45" s="34"/>
      </tp>
      <tp t="e">
        <v>#N/A</v>
        <stp/>
        <stp>BDH|18311995249985059272</stp>
        <tr r="J45" s="13"/>
        <tr r="H29" s="11"/>
        <tr r="H38" s="10"/>
      </tp>
      <tp t="e">
        <v>#N/A</v>
        <stp/>
        <stp>BDH|10590719966526343558</stp>
        <tr r="G16" s="27"/>
        <tr r="G30" s="25"/>
      </tp>
      <tp t="e">
        <v>#N/A</v>
        <stp/>
        <stp>BDH|11925299160627403004</stp>
        <tr r="Z8" s="14"/>
      </tp>
      <tp t="e">
        <v>#N/A</v>
        <stp/>
        <stp>BDH|11548908486380610217</stp>
        <tr r="H35" s="13"/>
        <tr r="F28" s="10"/>
      </tp>
      <tp t="e">
        <v>#N/A</v>
        <stp/>
        <stp>BDH|15255211002667285273</stp>
        <tr r="P34" s="21"/>
      </tp>
      <tp t="e">
        <v>#N/A</v>
        <stp/>
        <stp>BDH|15726902296331696633</stp>
        <tr r="T92" s="17"/>
      </tp>
      <tp t="e">
        <v>#N/A</v>
        <stp/>
        <stp>BDH|17709212855532292057</stp>
        <tr r="L18" s="13"/>
      </tp>
      <tp t="e">
        <v>#N/A</v>
        <stp/>
        <stp>BDH|10775569868119532884</stp>
        <tr r="G12" s="21"/>
      </tp>
      <tp t="e">
        <v>#N/A</v>
        <stp/>
        <stp>BDH|12659861797889238817</stp>
        <tr r="I32" s="5"/>
      </tp>
      <tp t="e">
        <v>#N/A</v>
        <stp/>
        <stp>BDH|18401138061648560570</stp>
        <tr r="V11" s="6"/>
      </tp>
      <tp t="e">
        <v>#N/A</v>
        <stp/>
        <stp>BDH|11039587253672798183</stp>
        <tr r="Q24" s="9"/>
      </tp>
      <tp t="e">
        <v>#N/A</v>
        <stp/>
        <stp>BDH|12897790572613137364</stp>
        <tr r="C23" s="21"/>
      </tp>
      <tp t="e">
        <v>#N/A</v>
        <stp/>
        <stp>BDH|10019682955953009294</stp>
        <tr r="AA14" s="22"/>
      </tp>
      <tp t="e">
        <v>#N/A</v>
        <stp/>
        <stp>BDH|11507132926901332176</stp>
        <tr r="G71" s="18"/>
      </tp>
      <tp t="e">
        <v>#N/A</v>
        <stp/>
        <stp>BDH|15618306375450451338</stp>
        <tr r="P10" s="13"/>
      </tp>
      <tp t="e">
        <v>#N/A</v>
        <stp/>
        <stp>BDH|11055248923504072731</stp>
        <tr r="X49" s="17"/>
      </tp>
      <tp t="e">
        <v>#N/A</v>
        <stp/>
        <stp>BDH|11084237027197335433</stp>
        <tr r="J9" s="12"/>
      </tp>
      <tp t="e">
        <v>#N/A</v>
        <stp/>
        <stp>BDH|18217250441949243502</stp>
        <tr r="E8" s="18"/>
      </tp>
      <tp t="e">
        <v>#N/A</v>
        <stp/>
        <stp>BDH|17830283775079362928</stp>
        <tr r="V81" s="24"/>
      </tp>
      <tp t="e">
        <v>#N/A</v>
        <stp/>
        <stp>BDH|17157509543602554632</stp>
        <tr r="Z30" s="24"/>
      </tp>
      <tp t="e">
        <v>#N/A</v>
        <stp/>
        <stp>BDH|10229755785134080962</stp>
        <tr r="E59" s="17"/>
      </tp>
      <tp t="e">
        <v>#N/A</v>
        <stp/>
        <stp>BDH|11147361422896431452</stp>
        <tr r="S22" s="18"/>
      </tp>
      <tp t="e">
        <v>#N/A</v>
        <stp/>
        <stp>BDH|10931218112337924676</stp>
        <tr r="AA12" s="17"/>
      </tp>
      <tp t="e">
        <v>#N/A</v>
        <stp/>
        <stp>BDH|15141070264519394854</stp>
        <tr r="G112" s="12"/>
      </tp>
      <tp t="e">
        <v>#N/A</v>
        <stp/>
        <stp>BDH|13301522141977534714</stp>
        <tr r="U212" s="18"/>
      </tp>
      <tp t="e">
        <v>#N/A</v>
        <stp/>
        <stp>BDH|12374503203125209066</stp>
        <tr r="K26" s="18"/>
      </tp>
      <tp t="e">
        <v>#N/A</v>
        <stp/>
        <stp>BDH|11223774541983297325</stp>
        <tr r="V22" s="18"/>
      </tp>
      <tp t="e">
        <v>#N/A</v>
        <stp/>
        <stp>BDH|15194590873507694297</stp>
        <tr r="K82" s="12"/>
      </tp>
      <tp t="e">
        <v>#N/A</v>
        <stp/>
        <stp>BDH|12575689463763822329</stp>
        <tr r="D13" s="34"/>
      </tp>
      <tp t="e">
        <v>#N/A</v>
        <stp/>
        <stp>BDH|13194147408142151288</stp>
        <tr r="D19" s="10"/>
      </tp>
      <tp t="e">
        <v>#N/A</v>
        <stp/>
        <stp>BDH|10202770413160113432</stp>
        <tr r="AA25" s="26"/>
      </tp>
      <tp t="e">
        <v>#N/A</v>
        <stp/>
        <stp>BDH|16350127329202460584</stp>
        <tr r="V49" s="12"/>
      </tp>
      <tp t="e">
        <v>#N/A</v>
        <stp/>
        <stp>BDH|12314208706563348129</stp>
        <tr r="X86" s="12"/>
      </tp>
      <tp t="e">
        <v>#N/A</v>
        <stp/>
        <stp>BDH|11949290492748503032</stp>
        <tr r="U200" s="18"/>
      </tp>
      <tp t="e">
        <v>#N/A</v>
        <stp/>
        <stp>BDH|15447495969267618263</stp>
        <tr r="M12" s="17"/>
      </tp>
      <tp t="e">
        <v>#N/A</v>
        <stp/>
        <stp>BDH|17217228750860054245</stp>
        <tr r="Z17" s="30"/>
      </tp>
      <tp t="e">
        <v>#N/A</v>
        <stp/>
        <stp>BDH|17500216938100014486</stp>
        <tr r="K18" s="18"/>
      </tp>
      <tp t="e">
        <v>#N/A</v>
        <stp/>
        <stp>BDH|12420918182167199622</stp>
        <tr r="M79" s="12"/>
      </tp>
      <tp t="e">
        <v>#N/A</v>
        <stp/>
        <stp>BDH|14247043727654758023</stp>
        <tr r="G9" s="30"/>
      </tp>
      <tp t="e">
        <v>#N/A</v>
        <stp/>
        <stp>BDH|11407188157990610797</stp>
        <tr r="S28" s="21"/>
      </tp>
      <tp t="e">
        <v>#N/A</v>
        <stp/>
        <stp>BDH|14543103375292222260</stp>
        <tr r="I185" s="18"/>
      </tp>
      <tp t="e">
        <v>#N/A</v>
        <stp/>
        <stp>BDH|14374386443773401281</stp>
        <tr r="C20" s="22"/>
      </tp>
      <tp t="e">
        <v>#N/A</v>
        <stp/>
        <stp>BDH|13373247435678791818</stp>
        <tr r="U73" s="17"/>
      </tp>
      <tp t="e">
        <v>#N/A</v>
        <stp/>
        <stp>BDH|16785707451904150234</stp>
        <tr r="W26" s="22"/>
      </tp>
      <tp t="e">
        <v>#N/A</v>
        <stp/>
        <stp>BDH|10793246405479582974</stp>
        <tr r="AA13" s="34"/>
      </tp>
      <tp t="e">
        <v>#N/A</v>
        <stp/>
        <stp>BDH|16432573879322823467</stp>
        <tr r="K70" s="18"/>
      </tp>
      <tp t="e">
        <v>#N/A</v>
        <stp/>
        <stp>BDH|11530225354103516720</stp>
        <tr r="J55" s="13"/>
        <tr r="H37" s="11"/>
        <tr r="H46" s="10"/>
        <tr r="H53" s="4"/>
        <tr r="H18" s="2"/>
      </tp>
      <tp t="e">
        <v>#N/A</v>
        <stp/>
        <stp>BDH|15549921767329433100</stp>
        <tr r="H204" s="18"/>
      </tp>
      <tp t="e">
        <v>#N/A</v>
        <stp/>
        <stp>BDH|10980278610482254384</stp>
        <tr r="G14" s="27"/>
        <tr r="G28" s="25"/>
      </tp>
      <tp t="e">
        <v>#N/A</v>
        <stp/>
        <stp>BDH|13067364487309139347</stp>
        <tr r="N33" s="34"/>
      </tp>
      <tp t="e">
        <v>#N/A</v>
        <stp/>
        <stp>BDH|14696738124330251372</stp>
        <tr r="C95" s="24"/>
      </tp>
      <tp t="e">
        <v>#N/A</v>
        <stp/>
        <stp>BDH|14205241641718440877</stp>
        <tr r="F37" s="13"/>
        <tr r="D30" s="10"/>
      </tp>
      <tp t="e">
        <v>#N/A</v>
        <stp/>
        <stp>BDH|11456210008971809018</stp>
        <tr r="M40" s="17"/>
      </tp>
      <tp t="e">
        <v>#N/A</v>
        <stp/>
        <stp>BDH|14075754606706675717</stp>
        <tr r="F55" s="11"/>
      </tp>
      <tp t="e">
        <v>#N/A</v>
        <stp/>
        <stp>BDH|13851193213150124171</stp>
        <tr r="F25" s="14"/>
      </tp>
      <tp t="e">
        <v>#N/A</v>
        <stp/>
        <stp>BDH|15963111064401295191</stp>
        <tr r="N24" s="22"/>
      </tp>
      <tp t="e">
        <v>#N/A</v>
        <stp/>
        <stp>BDH|10281726119473753795</stp>
        <tr r="U32" s="12"/>
      </tp>
      <tp t="e">
        <v>#N/A</v>
        <stp/>
        <stp>BDH|12699486229485740375</stp>
        <tr r="AA87" s="24"/>
      </tp>
      <tp t="e">
        <v>#N/A</v>
        <stp/>
        <stp>BDH|10809211947951083599</stp>
        <tr r="V9" s="18"/>
      </tp>
      <tp t="e">
        <v>#N/A</v>
        <stp/>
        <stp>BDH|17350483430965424784</stp>
        <tr r="Z201" s="18"/>
      </tp>
      <tp t="e">
        <v>#N/A</v>
        <stp/>
        <stp>BDH|10268217407362299212</stp>
        <tr r="V19" s="9"/>
      </tp>
      <tp t="e">
        <v>#N/A</v>
        <stp/>
        <stp>BDH|13423147037686628568</stp>
        <tr r="P14" s="8"/>
      </tp>
      <tp t="e">
        <v>#N/A</v>
        <stp/>
        <stp>BDH|16175951501588529579</stp>
        <tr r="G53" s="24"/>
      </tp>
      <tp t="e">
        <v>#N/A</v>
        <stp/>
        <stp>BDH|10745758463791175273</stp>
        <tr r="N68" s="18"/>
      </tp>
      <tp t="e">
        <v>#N/A</v>
        <stp/>
        <stp>BDH|12001428827510567674</stp>
        <tr r="M9" s="13"/>
      </tp>
      <tp t="e">
        <v>#N/A</v>
        <stp/>
        <stp>BDH|12224323222500595103</stp>
        <tr r="Q32" s="13"/>
        <tr r="O24" s="11"/>
        <tr r="O33" s="10"/>
        <tr r="O45" s="4"/>
      </tp>
      <tp t="e">
        <v>#N/A</v>
        <stp/>
        <stp>BDH|12545366631511134149</stp>
        <tr r="K25" s="5"/>
      </tp>
      <tp t="e">
        <v>#N/A</v>
        <stp/>
        <stp>BDH|12072138184809732079</stp>
        <tr r="M58" s="17"/>
      </tp>
      <tp t="e">
        <v>#N/A</v>
        <stp/>
        <stp>BDH|16118038995315168810</stp>
        <tr r="M17" s="18"/>
      </tp>
      <tp t="e">
        <v>#N/A</v>
        <stp/>
        <stp>BDH|11778300515926304762</stp>
        <tr r="F95" s="12"/>
      </tp>
      <tp t="e">
        <v>#N/A</v>
        <stp/>
        <stp>BDH|11840138809346353469</stp>
        <tr r="C109" s="18"/>
      </tp>
      <tp t="e">
        <v>#N/A</v>
        <stp/>
        <stp>BDH|11956702979516267557</stp>
        <tr r="Z43" s="12"/>
      </tp>
      <tp t="e">
        <v>#N/A</v>
        <stp/>
        <stp>BDH|17352707535475767463</stp>
        <tr r="L8" s="11"/>
      </tp>
      <tp t="e">
        <v>#N/A</v>
        <stp/>
        <stp>BDH|16621603375171745437</stp>
        <tr r="T44" s="13"/>
        <tr r="R28" s="11"/>
        <tr r="R37" s="10"/>
      </tp>
      <tp t="e">
        <v>#N/A</v>
        <stp/>
        <stp>BDH|15406191300484878220</stp>
        <tr r="F92" s="12"/>
      </tp>
      <tp t="e">
        <v>#N/A</v>
        <stp/>
        <stp>BDH|15721833422949491453</stp>
        <tr r="X59" s="12"/>
      </tp>
      <tp t="e">
        <v>#N/A</v>
        <stp/>
        <stp>BDH|10711431723210314431</stp>
        <tr r="F8" s="13"/>
      </tp>
      <tp t="e">
        <v>#N/A</v>
        <stp/>
        <stp>BDH|10723428506144533219</stp>
        <tr r="H27" s="22"/>
      </tp>
      <tp t="e">
        <v>#N/A</v>
        <stp/>
        <stp>BDH|14868296651661759002</stp>
        <tr r="W36" s="22"/>
      </tp>
      <tp t="e">
        <v>#N/A</v>
        <stp/>
        <stp>BDH|14046648274866772102</stp>
        <tr r="R34" s="13"/>
        <tr r="P27" s="10"/>
      </tp>
      <tp t="e">
        <v>#N/A</v>
        <stp/>
        <stp>BDH|17743569712969208864</stp>
        <tr r="S73" s="17"/>
      </tp>
      <tp t="e">
        <v>#N/A</v>
        <stp/>
        <stp>BDH|16123400320320114270</stp>
        <tr r="V34" s="13"/>
        <tr r="T27" s="10"/>
      </tp>
      <tp t="e">
        <v>#N/A</v>
        <stp/>
        <stp>BDH|18403356550344753810</stp>
        <tr r="X48" s="6"/>
      </tp>
      <tp t="e">
        <v>#N/A</v>
        <stp/>
        <stp>BDH|14137061356441689209</stp>
        <tr r="W18" s="14"/>
      </tp>
      <tp t="e">
        <v>#N/A</v>
        <stp/>
        <stp>BDH|10454295419398452971</stp>
        <tr r="K36" s="17"/>
      </tp>
      <tp t="e">
        <v>#N/A</v>
        <stp/>
        <stp>BDH|14044058068680247089</stp>
        <tr r="M21" s="10"/>
      </tp>
      <tp t="e">
        <v>#N/A</v>
        <stp/>
        <stp>BDH|11105289546726013388</stp>
        <tr r="E163" s="18"/>
      </tp>
      <tp t="e">
        <v>#N/A</v>
        <stp/>
        <stp>BDH|14460916474339717115</stp>
        <tr r="N22" s="4"/>
      </tp>
      <tp t="e">
        <v>#N/A</v>
        <stp/>
        <stp>BDH|13489683265716687782</stp>
        <tr r="W15" s="30"/>
      </tp>
      <tp t="e">
        <v>#N/A</v>
        <stp/>
        <stp>BDH|12002086598640279951</stp>
        <tr r="M45" s="13"/>
        <tr r="K29" s="11"/>
        <tr r="K38" s="10"/>
      </tp>
      <tp t="e">
        <v>#N/A</v>
        <stp/>
        <stp>BDH|16579797381992369999</stp>
        <tr r="E82" s="12"/>
      </tp>
      <tp t="e">
        <v>#N/A</v>
        <stp/>
        <stp>BDH|13325563280359136537</stp>
        <tr r="J18" s="10"/>
      </tp>
      <tp t="e">
        <v>#N/A</v>
        <stp/>
        <stp>BDH|18204390114258014085</stp>
        <tr r="R21" s="12"/>
      </tp>
      <tp t="e">
        <v>#N/A</v>
        <stp/>
        <stp>BDH|12638375496628608266</stp>
        <tr r="E61" s="24"/>
      </tp>
      <tp t="e">
        <v>#N/A</v>
        <stp/>
        <stp>BDH|12082070210661738078</stp>
        <tr r="L48" s="13"/>
      </tp>
      <tp t="e">
        <v>#N/A</v>
        <stp/>
        <stp>BDH|14511527503574228714</stp>
        <tr r="E28" s="12"/>
      </tp>
      <tp t="e">
        <v>#N/A</v>
        <stp/>
        <stp>BDH|10160095059055350253</stp>
        <tr r="U61" s="18"/>
      </tp>
      <tp t="e">
        <v>#N/A</v>
        <stp/>
        <stp>BDH|13253170026640370271</stp>
        <tr r="I24" s="18"/>
      </tp>
      <tp t="e">
        <v>#N/A</v>
        <stp/>
        <stp>BDH|16770428280060193833</stp>
        <tr r="G38" s="34"/>
      </tp>
      <tp t="e">
        <v>#N/A</v>
        <stp/>
        <stp>BDH|11558713560373008130</stp>
        <tr r="O62" s="21"/>
        <tr r="M25" s="2"/>
      </tp>
      <tp t="e">
        <v>#N/A</v>
        <stp/>
        <stp>BDH|10184549867430452114</stp>
        <tr r="S17" s="18"/>
      </tp>
      <tp t="e">
        <v>#N/A</v>
        <stp/>
        <stp>BDH|15004480648571249655</stp>
        <tr r="Y62" s="11"/>
        <tr r="Y71" s="10"/>
      </tp>
      <tp t="e">
        <v>#N/A</v>
        <stp/>
        <stp>BDH|17510716861063512772</stp>
        <tr r="G31" s="17"/>
      </tp>
      <tp t="e">
        <v>#N/A</v>
        <stp/>
        <stp>BDH|15628048017401397713</stp>
        <tr r="L54" s="12"/>
      </tp>
      <tp t="e">
        <v>#N/A</v>
        <stp/>
        <stp>BDH|10756564440285422625</stp>
        <tr r="V64" s="17"/>
      </tp>
      <tp t="e">
        <v>#N/A</v>
        <stp/>
        <stp>BDH|13120668965624013559</stp>
        <tr r="G30" s="18"/>
      </tp>
      <tp t="e">
        <v>#N/A</v>
        <stp/>
        <stp>BDH|10529565776649022938</stp>
        <tr r="W62" s="24"/>
      </tp>
      <tp t="e">
        <v>#N/A</v>
        <stp/>
        <stp>BDH|16972597800928652907</stp>
        <tr r="AA29" s="18"/>
      </tp>
      <tp t="e">
        <v>#N/A</v>
        <stp/>
        <stp>BDH|13216978511011606842</stp>
        <tr r="C132" s="18"/>
      </tp>
      <tp t="e">
        <v>#N/A</v>
        <stp/>
        <stp>BDH|12795717403147153021</stp>
        <tr r="K109" s="18"/>
      </tp>
      <tp t="e">
        <v>#N/A</v>
        <stp/>
        <stp>BDH|13076041112378671869</stp>
        <tr r="Z63" s="13"/>
      </tp>
      <tp t="e">
        <v>#N/A</v>
        <stp/>
        <stp>BDH|15190314137282415554</stp>
        <tr r="E77" s="34"/>
      </tp>
      <tp t="e">
        <v>#N/A</v>
        <stp/>
        <stp>BDH|13623705670729380832</stp>
        <tr r="X73" s="18"/>
      </tp>
      <tp t="e">
        <v>#N/A</v>
        <stp/>
        <stp>BDH|11275550737226471328</stp>
        <tr r="I94" s="12"/>
      </tp>
      <tp t="e">
        <v>#N/A</v>
        <stp/>
        <stp>BDH|12155300333815572513</stp>
        <tr r="L128" s="18"/>
      </tp>
      <tp t="e">
        <v>#N/A</v>
        <stp/>
        <stp>BDH|16472126484045784830</stp>
        <tr r="E55" s="12"/>
      </tp>
      <tp t="e">
        <v>#N/A</v>
        <stp/>
        <stp>BDH|10382736992504157856</stp>
        <tr r="K12" s="13"/>
      </tp>
      <tp t="e">
        <v>#N/A</v>
        <stp/>
        <stp>BDH|12776268986609511340</stp>
        <tr r="X12" s="27"/>
        <tr r="X26" s="25"/>
      </tp>
      <tp t="e">
        <v>#N/A</v>
        <stp/>
        <stp>BDH|15391701724042184008</stp>
        <tr r="Z69" s="18"/>
      </tp>
      <tp t="e">
        <v>#N/A</v>
        <stp/>
        <stp>BDH|17513656059932801476</stp>
        <tr r="T9" s="23"/>
      </tp>
      <tp t="e">
        <v>#N/A</v>
        <stp/>
        <stp>BDH|15584790738026112531</stp>
        <tr r="AA188" s="18"/>
      </tp>
      <tp t="e">
        <v>#N/A</v>
        <stp/>
        <stp>BDH|13375159284459328177</stp>
        <tr r="U48" s="13"/>
      </tp>
      <tp t="e">
        <v>#N/A</v>
        <stp/>
        <stp>BDH|13397604572344238453</stp>
        <tr r="D11" s="21"/>
      </tp>
      <tp t="e">
        <v>#N/A</v>
        <stp/>
        <stp>BDH|10246613062161284350</stp>
        <tr r="V15" s="11"/>
      </tp>
      <tp t="e">
        <v>#N/A</v>
        <stp/>
        <stp>BDH|12994143136654464694</stp>
        <tr r="M63" s="17"/>
      </tp>
      <tp t="e">
        <v>#N/A</v>
        <stp/>
        <stp>BDH|13923837319538574009</stp>
        <tr r="F24" s="22"/>
      </tp>
      <tp t="e">
        <v>#N/A</v>
        <stp/>
        <stp>BDH|15584704307421713137</stp>
        <tr r="K17" s="20"/>
      </tp>
      <tp t="e">
        <v>#N/A</v>
        <stp/>
        <stp>BDH|13336316111926345566</stp>
        <tr r="W43" s="18"/>
      </tp>
      <tp t="e">
        <v>#N/A</v>
        <stp/>
        <stp>BDH|14651531177806302272</stp>
        <tr r="G16" s="22"/>
      </tp>
      <tp t="e">
        <v>#N/A</v>
        <stp/>
        <stp>BDH|11490872987716038522</stp>
        <tr r="V34" s="6"/>
      </tp>
      <tp t="e">
        <v>#N/A</v>
        <stp/>
        <stp>BDH|15694671846251639474</stp>
        <tr r="S38" s="6"/>
      </tp>
      <tp t="e">
        <v>#N/A</v>
        <stp/>
        <stp>BDH|16076268654001120250</stp>
        <tr r="P138" s="18"/>
      </tp>
      <tp t="e">
        <v>#N/A</v>
        <stp/>
        <stp>BDH|15763901890615098215</stp>
        <tr r="K9" s="23"/>
      </tp>
      <tp t="e">
        <v>#N/A</v>
        <stp/>
        <stp>BDH|17972794411273445039</stp>
        <tr r="X34" s="17"/>
      </tp>
      <tp t="e">
        <v>#N/A</v>
        <stp/>
        <stp>BDH|18160809204887738548</stp>
        <tr r="E42" s="6"/>
      </tp>
      <tp t="e">
        <v>#N/A</v>
        <stp/>
        <stp>BDH|13196800874818420670</stp>
        <tr r="U85" s="24"/>
      </tp>
      <tp t="e">
        <v>#N/A</v>
        <stp/>
        <stp>BDH|14919166920486180388</stp>
        <tr r="T41" s="18"/>
      </tp>
      <tp t="e">
        <v>#N/A</v>
        <stp/>
        <stp>BDH|11405513397167635822</stp>
        <tr r="S67" s="21"/>
      </tp>
      <tp t="e">
        <v>#N/A</v>
        <stp/>
        <stp>BDH|10515209639377808429</stp>
        <tr r="N31" s="21"/>
      </tp>
      <tp t="e">
        <v>#N/A</v>
        <stp/>
        <stp>BDH|13827028645380980503</stp>
        <tr r="D32" s="22"/>
      </tp>
      <tp t="e">
        <v>#N/A</v>
        <stp/>
        <stp>BDH|13104378817504581724</stp>
        <tr r="L40" s="24"/>
      </tp>
      <tp t="e">
        <v>#N/A</v>
        <stp/>
        <stp>BDH|16770607522188190829</stp>
        <tr r="X162" s="18"/>
      </tp>
      <tp t="e">
        <v>#N/A</v>
        <stp/>
        <stp>BDH|17128607401717601403</stp>
        <tr r="L18" s="17"/>
      </tp>
      <tp t="e">
        <v>#N/A</v>
        <stp/>
        <stp>BDH|10316847800683889999</stp>
        <tr r="I13" s="34"/>
      </tp>
      <tp t="e">
        <v>#N/A</v>
        <stp/>
        <stp>BDH|16409953911194407823</stp>
        <tr r="S114" s="18"/>
      </tp>
      <tp t="e">
        <v>#N/A</v>
        <stp/>
        <stp>BDH|16211598163546683185</stp>
        <tr r="Q41" s="22"/>
      </tp>
      <tp t="e">
        <v>#N/A</v>
        <stp/>
        <stp>BDH|17376052458442101290</stp>
        <tr r="K21" s="24"/>
      </tp>
      <tp t="e">
        <v>#N/A</v>
        <stp/>
        <stp>BDH|10929577425194447190</stp>
        <tr r="D36" s="17"/>
      </tp>
      <tp t="e">
        <v>#N/A</v>
        <stp/>
        <stp>BDH|17944343959814088720</stp>
        <tr r="P183" s="18"/>
      </tp>
      <tp t="e">
        <v>#N/A</v>
        <stp/>
        <stp>BDH|14140321398025916943</stp>
        <tr r="X8" s="6"/>
      </tp>
      <tp t="e">
        <v>#N/A</v>
        <stp/>
        <stp>BDH|16402789479981575561</stp>
        <tr r="E7" s="34"/>
      </tp>
      <tp t="e">
        <v>#N/A</v>
        <stp/>
        <stp>BDH|16071970206905586820</stp>
        <tr r="AA12" s="20"/>
        <tr r="AA121" s="18"/>
      </tp>
      <tp t="e">
        <v>#N/A</v>
        <stp/>
        <stp>BDH|11667515074821783025</stp>
        <tr r="V10" s="21"/>
      </tp>
      <tp t="e">
        <v>#N/A</v>
        <stp/>
        <stp>BDH|15778151024501778572</stp>
        <tr r="W35" s="4"/>
      </tp>
      <tp t="e">
        <v>#N/A</v>
        <stp/>
        <stp>BDH|14240547447593760405</stp>
        <tr r="Z30" s="12"/>
      </tp>
      <tp t="e">
        <v>#N/A</v>
        <stp/>
        <stp>BDH|11448042754415079320</stp>
        <tr r="S72" s="18"/>
      </tp>
      <tp t="e">
        <v>#N/A</v>
        <stp/>
        <stp>BDH|10536263415199302835</stp>
        <tr r="W175" s="18"/>
      </tp>
      <tp t="e">
        <v>#N/A</v>
        <stp/>
        <stp>BDH|16455403004349299948</stp>
        <tr r="Q23" s="13"/>
      </tp>
      <tp t="e">
        <v>#N/A</v>
        <stp/>
        <stp>BDH|13773674531610580429</stp>
        <tr r="Z62" s="12"/>
      </tp>
      <tp t="e">
        <v>#N/A</v>
        <stp/>
        <stp>BDH|12018885281325397535</stp>
        <tr r="I23" s="9"/>
        <tr r="I23" s="5"/>
      </tp>
      <tp t="e">
        <v>#N/A</v>
        <stp/>
        <stp>BDH|13551276499933028923</stp>
        <tr r="P49" s="24"/>
      </tp>
      <tp t="e">
        <v>#N/A</v>
        <stp/>
        <stp>BDH|14959827612848492748</stp>
        <tr r="U86" s="18"/>
      </tp>
      <tp t="e">
        <v>#N/A</v>
        <stp/>
        <stp>BDH|14888853390001730633</stp>
        <tr r="R74" s="17"/>
      </tp>
      <tp t="e">
        <v>#N/A</v>
        <stp/>
        <stp>BDH|11602148431306987738</stp>
        <tr r="W44" s="34"/>
      </tp>
      <tp t="e">
        <v>#N/A</v>
        <stp/>
        <stp>BDH|18069540718798720629</stp>
        <tr r="P33" s="5"/>
      </tp>
      <tp t="e">
        <v>#N/A</v>
        <stp/>
        <stp>BDH|10523259609631319135</stp>
        <tr r="M45" s="21"/>
      </tp>
      <tp t="e">
        <v>#N/A</v>
        <stp/>
        <stp>BDH|10777706561452845178</stp>
        <tr r="AA13" s="28"/>
        <tr r="AA96" s="17"/>
      </tp>
      <tp t="e">
        <v>#N/A</v>
        <stp/>
        <stp>BDH|11066198167316708205</stp>
        <tr r="C13" s="12"/>
      </tp>
      <tp t="e">
        <v>#N/A</v>
        <stp/>
        <stp>BDH|12593655999437161816</stp>
        <tr r="C55" s="11"/>
      </tp>
      <tp t="e">
        <v>#N/A</v>
        <stp/>
        <stp>BDH|15023270648902428326</stp>
        <tr r="Q13" s="26"/>
      </tp>
      <tp t="e">
        <v>#N/A</v>
        <stp/>
        <stp>BDH|17823703600593924189</stp>
        <tr r="AA7" s="17"/>
      </tp>
      <tp t="e">
        <v>#N/A</v>
        <stp/>
        <stp>BDH|10349775329690118759</stp>
        <tr r="N159" s="18"/>
      </tp>
      <tp t="e">
        <v>#N/A</v>
        <stp/>
        <stp>BDH|13313329340470050686</stp>
        <tr r="C8" s="18"/>
      </tp>
      <tp t="e">
        <v>#N/A</v>
        <stp/>
        <stp>BDH|17905286868139788870</stp>
        <tr r="R45" s="13"/>
        <tr r="P29" s="11"/>
        <tr r="P38" s="10"/>
      </tp>
      <tp t="e">
        <v>#N/A</v>
        <stp/>
        <stp>BDH|14086401360685850114</stp>
        <tr r="S14" s="23"/>
      </tp>
      <tp t="e">
        <v>#N/A</v>
        <stp/>
        <stp>BDH|17440684875707610368</stp>
        <tr r="O86" s="18"/>
      </tp>
      <tp t="e">
        <v>#N/A</v>
        <stp/>
        <stp>BDH|10816570171435524529</stp>
        <tr r="X51" s="12"/>
      </tp>
      <tp t="e">
        <v>#N/A</v>
        <stp/>
        <stp>BDH|13126558661824897646</stp>
        <tr r="C9" s="28"/>
      </tp>
      <tp t="e">
        <v>#N/A</v>
        <stp/>
        <stp>BDH|10289151933000442090</stp>
        <tr r="J23" s="20"/>
      </tp>
      <tp t="e">
        <v>#N/A</v>
        <stp/>
        <stp>BDH|16872552807544452579</stp>
        <tr r="F19" s="17"/>
      </tp>
      <tp t="e">
        <v>#N/A</v>
        <stp/>
        <stp>BDH|17318434509948396939</stp>
        <tr r="P6" s="16"/>
        <tr r="Q6" s="11"/>
        <tr r="Q10" s="4"/>
        <tr r="S6" s="3"/>
      </tp>
      <tp t="e">
        <v>#N/A</v>
        <stp/>
        <stp>BDH|14966223172834185719</stp>
        <tr r="F48" s="12"/>
      </tp>
      <tp t="e">
        <v>#N/A</v>
        <stp/>
        <stp>BDH|17608399734164478163</stp>
        <tr r="U8" s="11"/>
      </tp>
      <tp t="e">
        <v>#N/A</v>
        <stp/>
        <stp>BDH|12253700214957896179</stp>
        <tr r="L63" s="17"/>
      </tp>
      <tp t="e">
        <v>#N/A</v>
        <stp/>
        <stp>BDH|17018252948933206069</stp>
        <tr r="D10" s="34"/>
      </tp>
      <tp t="e">
        <v>#N/A</v>
        <stp/>
        <stp>BDH|13614066269333523455</stp>
        <tr r="S65" s="13"/>
      </tp>
      <tp t="e">
        <v>#N/A</v>
        <stp/>
        <stp>BDH|17605959711968317582</stp>
        <tr r="K20" s="22"/>
      </tp>
      <tp t="e">
        <v>#N/A</v>
        <stp/>
        <stp>BDH|16627878159399782063</stp>
        <tr r="J22" s="34"/>
      </tp>
      <tp t="e">
        <v>#N/A</v>
        <stp/>
        <stp>BDH|10577404707660917626</stp>
        <tr r="X37" s="18"/>
      </tp>
      <tp t="e">
        <v>#N/A</v>
        <stp/>
        <stp>BDH|17052486522703025034</stp>
        <tr r="U98" s="17"/>
      </tp>
      <tp t="e">
        <v>#N/A</v>
        <stp/>
        <stp>BDH|18233896861153301705</stp>
        <tr r="N102" s="18"/>
      </tp>
      <tp t="e">
        <v>#N/A</v>
        <stp/>
        <stp>BDH|14159167217282956404</stp>
        <tr r="M41" s="12"/>
      </tp>
      <tp t="e">
        <v>#N/A</v>
        <stp/>
        <stp>BDH|15570604573470870671</stp>
        <tr r="E35" s="34"/>
      </tp>
      <tp t="e">
        <v>#N/A</v>
        <stp/>
        <stp>BDH|11099309406558814874</stp>
        <tr r="AA137" s="18"/>
      </tp>
      <tp t="e">
        <v>#N/A</v>
        <stp/>
        <stp>BDH|16037691399259108280</stp>
        <tr r="D11" s="11"/>
      </tp>
      <tp t="e">
        <v>#N/A</v>
        <stp/>
        <stp>BDH|11719194447291311736</stp>
        <tr r="Z80" s="24"/>
      </tp>
      <tp t="e">
        <v>#N/A</v>
        <stp/>
        <stp>BDH|13044104776143933462</stp>
        <tr r="E22" s="6"/>
      </tp>
      <tp t="e">
        <v>#N/A</v>
        <stp/>
        <stp>BDH|16487978362643143892</stp>
        <tr r="AA14" s="24"/>
      </tp>
      <tp t="e">
        <v>#N/A</v>
        <stp/>
        <stp>BDH|17611364988349151705</stp>
        <tr r="I41" s="34"/>
      </tp>
      <tp t="e">
        <v>#N/A</v>
        <stp/>
        <stp>BDH|14067965360419809072</stp>
        <tr r="Z73" s="24"/>
      </tp>
      <tp t="e">
        <v>#N/A</v>
        <stp/>
        <stp>BDH|12169417090124022997</stp>
        <tr r="N89" s="17"/>
      </tp>
      <tp t="e">
        <v>#N/A</v>
        <stp/>
        <stp>BDH|11946141466657171331</stp>
        <tr r="K14" s="34"/>
      </tp>
      <tp t="e">
        <v>#N/A</v>
        <stp/>
        <stp>BDH|13403540222190328686</stp>
        <tr r="G140" s="18"/>
      </tp>
      <tp t="e">
        <v>#N/A</v>
        <stp/>
        <stp>BDH|10367392233513408145</stp>
        <tr r="W18" s="21"/>
      </tp>
      <tp t="e">
        <v>#N/A</v>
        <stp/>
        <stp>BDH|17753154997445470886</stp>
        <tr r="T55" s="18"/>
      </tp>
      <tp t="e">
        <v>#N/A</v>
        <stp/>
        <stp>BDH|14193102645700997341</stp>
        <tr r="T49" s="4"/>
      </tp>
      <tp t="e">
        <v>#N/A</v>
        <stp/>
        <stp>BDH|13984341328426537685</stp>
        <tr r="Z179" s="18"/>
      </tp>
      <tp t="e">
        <v>#N/A</v>
        <stp/>
        <stp>BDH|15281491742332539540</stp>
        <tr r="J92" s="12"/>
      </tp>
      <tp t="e">
        <v>#N/A</v>
        <stp/>
        <stp>BDH|17729833335937090998</stp>
        <tr r="P90" s="12"/>
      </tp>
      <tp t="e">
        <v>#N/A</v>
        <stp/>
        <stp>BDH|12046740565968845910</stp>
        <tr r="AA47" s="13"/>
      </tp>
      <tp t="e">
        <v>#N/A</v>
        <stp/>
        <stp>BDH|13998363468660628497</stp>
        <tr r="D62" s="24"/>
      </tp>
      <tp t="e">
        <v>#N/A</v>
        <stp/>
        <stp>BDH|12218066576230850728</stp>
        <tr r="J91" s="24"/>
      </tp>
      <tp t="e">
        <v>#N/A</v>
        <stp/>
        <stp>BDH|17138642938498550808</stp>
        <tr r="O77" s="12"/>
      </tp>
      <tp t="e">
        <v>#N/A</v>
        <stp/>
        <stp>BDH|10979500313775589370</stp>
        <tr r="Z134" s="18"/>
      </tp>
      <tp t="e">
        <v>#N/A</v>
        <stp/>
        <stp>BDH|18410186404312791975</stp>
        <tr r="R44" s="22"/>
      </tp>
      <tp t="e">
        <v>#N/A</v>
        <stp/>
        <stp>BDH|10794507276860161088</stp>
        <tr r="L9" s="26"/>
      </tp>
      <tp t="e">
        <v>#N/A</v>
        <stp/>
        <stp>BDH|11048156767797895324</stp>
        <tr r="Z38" s="24"/>
      </tp>
      <tp t="e">
        <v>#N/A</v>
        <stp/>
        <stp>BDH|16966815543158389005</stp>
        <tr r="N53" s="21"/>
      </tp>
      <tp t="e">
        <v>#N/A</v>
        <stp/>
        <stp>BDH|14350710249977637250</stp>
        <tr r="G7" s="27"/>
        <tr r="G95" s="17"/>
      </tp>
      <tp t="e">
        <v>#N/A</v>
        <stp/>
        <stp>BDH|12599870338233107835</stp>
        <tr r="Y48" s="17"/>
      </tp>
      <tp t="e">
        <v>#N/A</v>
        <stp/>
        <stp>BDH|11050211873870324690</stp>
        <tr r="N54" s="24"/>
      </tp>
      <tp t="e">
        <v>#N/A</v>
        <stp/>
        <stp>BDH|17529582025532730078</stp>
        <tr r="D89" s="17"/>
      </tp>
      <tp t="e">
        <v>#N/A</v>
        <stp/>
        <stp>BDH|15345819233878924409</stp>
        <tr r="K211" s="18"/>
      </tp>
      <tp t="e">
        <v>#N/A</v>
        <stp/>
        <stp>BDH|14442603010538856949</stp>
        <tr r="I18" s="6"/>
      </tp>
      <tp t="e">
        <v>#N/A</v>
        <stp/>
        <stp>BDH|14197938569761481873</stp>
        <tr r="G51" s="12"/>
      </tp>
      <tp t="e">
        <v>#N/A</v>
        <stp/>
        <stp>BDH|14991350453442681218</stp>
        <tr r="E114" s="12"/>
      </tp>
      <tp t="e">
        <v>#N/A</v>
        <stp/>
        <stp>BDH|11764513662936582699</stp>
        <tr r="E43" s="22"/>
      </tp>
      <tp t="e">
        <v>#N/A</v>
        <stp/>
        <stp>BDH|13523199835906407551</stp>
        <tr r="L12" s="25"/>
      </tp>
      <tp t="e">
        <v>#N/A</v>
        <stp/>
        <stp>BDH|15513214700676494389</stp>
        <tr r="Y30" s="26"/>
      </tp>
      <tp t="e">
        <v>#N/A</v>
        <stp/>
        <stp>BDH|12103868520598789286</stp>
        <tr r="L16" s="21"/>
      </tp>
      <tp t="e">
        <v>#N/A</v>
        <stp/>
        <stp>BDH|17476780804603816182</stp>
        <tr r="R178" s="18"/>
      </tp>
      <tp t="e">
        <v>#N/A</v>
        <stp/>
        <stp>BDH|12716856979166110926</stp>
        <tr r="R42" s="11"/>
        <tr r="R51" s="10"/>
        <tr r="R14" s="7"/>
        <tr r="T9" s="3"/>
      </tp>
      <tp t="e">
        <v>#N/A</v>
        <stp/>
        <stp>BDH|10023464872843894246</stp>
        <tr r="C13" s="24"/>
      </tp>
      <tp t="e">
        <v>#N/A</v>
        <stp/>
        <stp>BDH|15954715254263517612</stp>
        <tr r="R22" s="21"/>
      </tp>
      <tp t="e">
        <v>#N/A</v>
        <stp/>
        <stp>BDH|17710837219874769828</stp>
        <tr r="R105" s="12"/>
      </tp>
      <tp t="e">
        <v>#N/A</v>
        <stp/>
        <stp>BDH|11408636439374501235</stp>
        <tr r="Y44" s="12"/>
      </tp>
      <tp t="e">
        <v>#N/A</v>
        <stp/>
        <stp>BDH|10855331921621617244</stp>
        <tr r="F12" s="25"/>
      </tp>
      <tp t="e">
        <v>#N/A</v>
        <stp/>
        <stp>BDH|13610690317286820086</stp>
        <tr r="F48" s="24"/>
      </tp>
      <tp t="e">
        <v>#N/A</v>
        <stp/>
        <stp>BDH|11726904565148860427</stp>
        <tr r="I80" s="24"/>
      </tp>
      <tp t="e">
        <v>#N/A</v>
        <stp/>
        <stp>BDH|13212698900343371408</stp>
        <tr r="K52" s="17"/>
      </tp>
      <tp t="e">
        <v>#N/A</v>
        <stp/>
        <stp>BDH|11532366020972911028</stp>
        <tr r="U28" s="26"/>
      </tp>
      <tp t="e">
        <v>#N/A</v>
        <stp/>
        <stp>BDH|16714557549055613052</stp>
        <tr r="P39" s="18"/>
      </tp>
      <tp t="e">
        <v>#N/A</v>
        <stp/>
        <stp>BDH|17362677619772111042</stp>
        <tr r="D16" s="27"/>
        <tr r="D30" s="25"/>
      </tp>
      <tp t="e">
        <v>#N/A</v>
        <stp/>
        <stp>BDH|11454029058807545134</stp>
        <tr r="C29" s="34"/>
      </tp>
      <tp t="e">
        <v>#N/A</v>
        <stp/>
        <stp>BDH|16954523443663627666</stp>
        <tr r="J35" s="13"/>
        <tr r="H28" s="10"/>
      </tp>
      <tp t="e">
        <v>#N/A</v>
        <stp/>
        <stp>BDH|16535706635102388287</stp>
        <tr r="I48" s="12"/>
      </tp>
      <tp t="e">
        <v>#N/A</v>
        <stp/>
        <stp>BDH|15391497635567601721</stp>
        <tr r="U67" s="17"/>
      </tp>
      <tp t="e">
        <v>#N/A</v>
        <stp/>
        <stp>BDH|10000717959432283212</stp>
        <tr r="C11" s="28"/>
      </tp>
      <tp t="e">
        <v>#N/A</v>
        <stp/>
        <stp>BDH|13160051871662787490</stp>
        <tr r="I28" s="4"/>
      </tp>
      <tp t="e">
        <v>#N/A</v>
        <stp/>
        <stp>BDH|12848536564833655027</stp>
        <tr r="E8" s="8"/>
      </tp>
      <tp t="e">
        <v>#N/A</v>
        <stp/>
        <stp>BDH|14607692117964625551</stp>
        <tr r="C26" s="11"/>
        <tr r="C35" s="10"/>
      </tp>
      <tp t="e">
        <v>#N/A</v>
        <stp/>
        <stp>BDH|17082337269219044911</stp>
        <tr r="W18" s="17"/>
      </tp>
      <tp t="e">
        <v>#N/A</v>
        <stp/>
        <stp>BDH|15090681223654460740</stp>
        <tr r="R43" s="4"/>
      </tp>
      <tp t="e">
        <v>#N/A</v>
        <stp/>
        <stp>BDH|18340302716141791991</stp>
        <tr r="P91" s="12"/>
      </tp>
      <tp t="e">
        <v>#N/A</v>
        <stp/>
        <stp>BDH|12210098707898683817</stp>
        <tr r="X58" s="17"/>
      </tp>
      <tp t="e">
        <v>#N/A</v>
        <stp/>
        <stp>BDH|15364298625204021340</stp>
        <tr r="G32" s="21"/>
      </tp>
      <tp t="e">
        <v>#N/A</v>
        <stp/>
        <stp>BDH|14048090318812337592</stp>
        <tr r="F160" s="18"/>
      </tp>
      <tp t="e">
        <v>#N/A</v>
        <stp/>
        <stp>BDH|11923011958705205399</stp>
        <tr r="C60" s="12"/>
      </tp>
      <tp t="e">
        <v>#N/A</v>
        <stp/>
        <stp>BDH|18228833230065395495</stp>
        <tr r="Z33" s="18"/>
      </tp>
      <tp t="e">
        <v>#N/A</v>
        <stp/>
        <stp>BDH|15956128734001365476</stp>
        <tr r="Y37" s="29"/>
        <tr r="Y23" s="29"/>
        <tr r="Y14" s="29"/>
      </tp>
      <tp t="e">
        <v>#N/A</v>
        <stp/>
        <stp>BDH|16604281163782192273</stp>
        <tr r="T15" s="9"/>
      </tp>
      <tp t="e">
        <v>#N/A</v>
        <stp/>
        <stp>BDH|12276465930802707586</stp>
        <tr r="F54" s="17"/>
        <tr r="F17" s="3"/>
      </tp>
      <tp t="e">
        <v>#N/A</v>
        <stp/>
        <stp>BDH|13672745901165024382</stp>
        <tr r="W37" s="22"/>
      </tp>
      <tp t="e">
        <v>#N/A</v>
        <stp/>
        <stp>BDH|12930105507217413616</stp>
        <tr r="Y48" s="13"/>
      </tp>
      <tp t="e">
        <v>#N/A</v>
        <stp/>
        <stp>BDH|17817061500335703020</stp>
        <tr r="D34" s="29"/>
      </tp>
      <tp t="e">
        <v>#N/A</v>
        <stp/>
        <stp>BDH|13751647654306822441</stp>
        <tr r="H78" s="24"/>
      </tp>
      <tp t="e">
        <v>#N/A</v>
        <stp/>
        <stp>BDH|14525333631865433388</stp>
        <tr r="D20" s="17"/>
      </tp>
      <tp t="e">
        <v>#N/A</v>
        <stp/>
        <stp>BDH|17580259174548649891</stp>
        <tr r="L67" s="34"/>
      </tp>
      <tp t="e">
        <v>#N/A</v>
        <stp/>
        <stp>BDH|16111090946456739627</stp>
        <tr r="Q15" s="10"/>
      </tp>
      <tp t="e">
        <v>#N/A</v>
        <stp/>
        <stp>BDH|15526401532381940154</stp>
        <tr r="P64" s="24"/>
      </tp>
      <tp t="e">
        <v>#N/A</v>
        <stp/>
        <stp>BDH|17990407828402839129</stp>
        <tr r="Y34" s="26"/>
      </tp>
      <tp t="e">
        <v>#N/A</v>
        <stp/>
        <stp>BDH|17820873983362158760</stp>
        <tr r="S41" s="17"/>
      </tp>
      <tp t="e">
        <v>#N/A</v>
        <stp/>
        <stp>BDH|17809697029759240812</stp>
        <tr r="L98" s="18"/>
      </tp>
      <tp t="e">
        <v>#N/A</v>
        <stp/>
        <stp>BDH|11301598959050995317</stp>
        <tr r="U11" s="14"/>
      </tp>
      <tp t="e">
        <v>#N/A</v>
        <stp/>
        <stp>BDH|12451969113178822029</stp>
        <tr r="G20" s="29"/>
      </tp>
      <tp t="e">
        <v>#N/A</v>
        <stp/>
        <stp>BDH|15129865709799753620</stp>
        <tr r="D20" s="5"/>
      </tp>
      <tp t="e">
        <v>#N/A</v>
        <stp/>
        <stp>BDH|13628344739174470544</stp>
        <tr r="T201" s="18"/>
      </tp>
      <tp t="e">
        <v>#N/A</v>
        <stp/>
        <stp>BDH|11998420811582564451</stp>
        <tr r="O28" s="24"/>
      </tp>
      <tp t="e">
        <v>#N/A</v>
        <stp/>
        <stp>BDH|14351072156835937617</stp>
        <tr r="AA11" s="28"/>
      </tp>
      <tp t="e">
        <v>#N/A</v>
        <stp/>
        <stp>BDH|12193777694736924810</stp>
        <tr r="Q84" s="18"/>
      </tp>
      <tp t="e">
        <v>#N/A</v>
        <stp/>
        <stp>BDH|12470595427953937492</stp>
        <tr r="P80" s="34"/>
      </tp>
      <tp t="e">
        <v>#N/A</v>
        <stp/>
        <stp>BDH|15682326174906291584</stp>
        <tr r="AA64" s="18"/>
      </tp>
      <tp t="e">
        <v>#N/A</v>
        <stp/>
        <stp>BDH|15142298782988655569</stp>
        <tr r="O75" s="18"/>
      </tp>
      <tp t="e">
        <v>#N/A</v>
        <stp/>
        <stp>BDH|10971644490125487833</stp>
        <tr r="Q21" s="30"/>
      </tp>
      <tp t="e">
        <v>#N/A</v>
        <stp/>
        <stp>BDH|13994784654746866575</stp>
        <tr r="Y70" s="12"/>
      </tp>
      <tp t="e">
        <v>#N/A</v>
        <stp/>
        <stp>BDH|13882303601373515161</stp>
        <tr r="G30" s="14"/>
      </tp>
      <tp t="e">
        <v>#N/A</v>
        <stp/>
        <stp>BDH|10276529722600090589</stp>
        <tr r="C12" s="21"/>
      </tp>
      <tp t="e">
        <v>#N/A</v>
        <stp/>
        <stp>BDH|12974602848790984222</stp>
        <tr r="X104" s="12"/>
      </tp>
      <tp t="e">
        <v>#N/A</v>
        <stp/>
        <stp>BDH|15582587276211847496</stp>
        <tr r="N9" s="17"/>
      </tp>
      <tp t="e">
        <v>#N/A</v>
        <stp/>
        <stp>BDH|14545650441561994527</stp>
        <tr r="I93" s="24"/>
      </tp>
      <tp t="e">
        <v>#N/A</v>
        <stp/>
        <stp>BDH|10230583924184089147</stp>
        <tr r="U11" s="24"/>
      </tp>
      <tp t="e">
        <v>#N/A</v>
        <stp/>
        <stp>BDH|14407979232114875831</stp>
        <tr r="V57" s="6"/>
      </tp>
      <tp t="e">
        <v>#N/A</v>
        <stp/>
        <stp>BDH|13695898689510920158</stp>
        <tr r="N59" s="13"/>
      </tp>
      <tp t="e">
        <v>#N/A</v>
        <stp/>
        <stp>BDH|14173378428417612027</stp>
        <tr r="H59" s="12"/>
      </tp>
      <tp t="e">
        <v>#N/A</v>
        <stp/>
        <stp>BDH|11957517737825333064</stp>
        <tr r="G75" s="18"/>
      </tp>
      <tp t="e">
        <v>#N/A</v>
        <stp/>
        <stp>BDH|10897693607360415485</stp>
        <tr r="Y151" s="18"/>
      </tp>
      <tp t="e">
        <v>#N/A</v>
        <stp/>
        <stp>BDH|15307790679657839019</stp>
        <tr r="P40" s="13"/>
        <tr r="N24" s="10"/>
        <tr r="N46" s="4"/>
      </tp>
      <tp t="e">
        <v>#N/A</v>
        <stp/>
        <stp>BDH|16879560865955476255</stp>
        <tr r="V23" s="12"/>
      </tp>
      <tp t="e">
        <v>#N/A</v>
        <stp/>
        <stp>BDH|17754205829825123059</stp>
        <tr r="E27" s="14"/>
      </tp>
      <tp t="e">
        <v>#N/A</v>
        <stp/>
        <stp>BDH|12582684663849530914</stp>
        <tr r="H62" s="17"/>
      </tp>
      <tp t="e">
        <v>#N/A</v>
        <stp/>
        <stp>BDH|15933251211575075173</stp>
        <tr r="I67" s="12"/>
      </tp>
      <tp t="e">
        <v>#N/A</v>
        <stp/>
        <stp>BDH|10218314477595805362</stp>
        <tr r="Q19" s="10"/>
      </tp>
      <tp t="e">
        <v>#N/A</v>
        <stp/>
        <stp>BDH|13989038382681312815</stp>
        <tr r="N21" s="24"/>
      </tp>
      <tp t="e">
        <v>#N/A</v>
        <stp/>
        <stp>BDH|10086182260824494169</stp>
        <tr r="L20" s="25"/>
      </tp>
      <tp t="e">
        <v>#N/A</v>
        <stp/>
        <stp>BDH|13109551405510800435</stp>
        <tr r="P23" s="13"/>
      </tp>
      <tp t="e">
        <v>#N/A</v>
        <stp/>
        <stp>BDH|10905656854700063126</stp>
        <tr r="K61" s="17"/>
      </tp>
      <tp t="e">
        <v>#N/A</v>
        <stp/>
        <stp>BDH|10903939735481586904</stp>
        <tr r="C28" s="12"/>
      </tp>
      <tp t="e">
        <v>#N/A</v>
        <stp/>
        <stp>BDH|14048190126834140149</stp>
        <tr r="H13" s="25"/>
      </tp>
      <tp t="e">
        <v>#N/A</v>
        <stp/>
        <stp>BDH|12605254679145663062</stp>
        <tr r="X79" s="24"/>
      </tp>
      <tp t="e">
        <v>#N/A</v>
        <stp/>
        <stp>BDH|17522137988785432900</stp>
        <tr r="F8" s="12"/>
      </tp>
      <tp t="e">
        <v>#N/A</v>
        <stp/>
        <stp>BDH|13022838909831238820</stp>
        <tr r="I6" s="27"/>
      </tp>
      <tp t="e">
        <v>#N/A</v>
        <stp/>
        <stp>BDH|12929658120934509032</stp>
        <tr r="Q33" s="18"/>
      </tp>
      <tp t="e">
        <v>#N/A</v>
        <stp/>
        <stp>BDH|17431501224192966035</stp>
        <tr r="AA159" s="18"/>
      </tp>
      <tp t="e">
        <v>#N/A</v>
        <stp/>
        <stp>BDH|15026452357016040084</stp>
        <tr r="J147" s="18"/>
      </tp>
      <tp t="e">
        <v>#N/A</v>
        <stp/>
        <stp>BDH|14777513828898546918</stp>
        <tr r="F126" s="12"/>
      </tp>
      <tp t="e">
        <v>#N/A</v>
        <stp/>
        <stp>BDH|14780663915841901074</stp>
        <tr r="G34" s="17"/>
      </tp>
      <tp t="e">
        <v>#N/A</v>
        <stp/>
        <stp>BDH|12951647915575070227</stp>
        <tr r="U22" s="34"/>
      </tp>
      <tp t="e">
        <v>#N/A</v>
        <stp/>
        <stp>BDH|11314269951951810567</stp>
        <tr r="N25" s="29"/>
        <tr r="N19" s="29"/>
        <tr r="N10" s="29"/>
        <tr r="L6" s="9"/>
        <tr r="N12" s="8"/>
        <tr r="L6" s="5"/>
        <tr r="M6" s="2"/>
      </tp>
      <tp t="e">
        <v>#N/A</v>
        <stp/>
        <stp>BDH|14746099126236380210</stp>
        <tr r="W7" s="23"/>
      </tp>
      <tp t="e">
        <v>#N/A</v>
        <stp/>
        <stp>BDH|14857722427584226756</stp>
        <tr r="T17" s="14"/>
      </tp>
      <tp t="e">
        <v>#N/A</v>
        <stp/>
        <stp>BDH|16522757327247986649</stp>
        <tr r="M59" s="34"/>
      </tp>
      <tp t="e">
        <v>#N/A</v>
        <stp/>
        <stp>BDH|10752360255544649081</stp>
        <tr r="W50" s="17"/>
      </tp>
      <tp t="e">
        <v>#N/A</v>
        <stp/>
        <stp>BDH|10063626609286643273</stp>
        <tr r="Y78" s="34"/>
      </tp>
      <tp t="e">
        <v>#N/A</v>
        <stp/>
        <stp>BDH|15784458978850791475</stp>
        <tr r="M195" s="18"/>
      </tp>
      <tp t="e">
        <v>#N/A</v>
        <stp/>
        <stp>BDH|14416781720501214240</stp>
        <tr r="AA23" s="12"/>
      </tp>
      <tp t="e">
        <v>#N/A</v>
        <stp/>
        <stp>BDH|14875485822196960611</stp>
        <tr r="H37" s="26"/>
      </tp>
      <tp t="e">
        <v>#N/A</v>
        <stp/>
        <stp>BDH|11234618245375887444</stp>
        <tr r="O15" s="26"/>
      </tp>
      <tp t="e">
        <v>#N/A</v>
        <stp/>
        <stp>BDH|16393407558872640776</stp>
        <tr r="T47" s="21"/>
      </tp>
      <tp t="e">
        <v>#N/A</v>
        <stp/>
        <stp>BDH|12431517154462437288</stp>
        <tr r="D60" s="34"/>
      </tp>
      <tp t="e">
        <v>#N/A</v>
        <stp/>
        <stp>BDH|14162892601676113859</stp>
        <tr r="P17" s="24"/>
      </tp>
      <tp t="e">
        <v>#N/A</v>
        <stp/>
        <stp>BDH|14051032712896470181</stp>
        <tr r="E25" s="14"/>
      </tp>
      <tp t="e">
        <v>#N/A</v>
        <stp/>
        <stp>BDH|16098712953194757286</stp>
        <tr r="F28" s="34"/>
      </tp>
      <tp t="e">
        <v>#N/A</v>
        <stp/>
        <stp>BDH|11601680673115316739</stp>
        <tr r="T33" s="6"/>
      </tp>
      <tp t="e">
        <v>#N/A</v>
        <stp/>
        <stp>BDH|10339585670932603207</stp>
        <tr r="C24" s="22"/>
      </tp>
      <tp t="e">
        <v>#N/A</v>
        <stp/>
        <stp>BDH|12845934614181394910</stp>
        <tr r="T69" s="18"/>
      </tp>
      <tp t="e">
        <v>#N/A</v>
        <stp/>
        <stp>BDH|12992700456710731255</stp>
        <tr r="X61" s="13"/>
        <tr r="V48" s="11"/>
        <tr r="V57" s="10"/>
        <tr r="V18" s="7"/>
      </tp>
      <tp t="e">
        <v>#N/A</v>
        <stp/>
        <stp>BDH|15695223952076844631</stp>
        <tr r="P9" s="20"/>
        <tr r="P119" s="18"/>
      </tp>
      <tp t="e">
        <v>#N/A</v>
        <stp/>
        <stp>BDH|16055740005093588093</stp>
        <tr r="W6" s="28"/>
      </tp>
      <tp t="e">
        <v>#N/A</v>
        <stp/>
        <stp>BDH|11417122879680720559</stp>
        <tr r="G59" s="24"/>
      </tp>
      <tp t="e">
        <v>#N/A</v>
        <stp/>
        <stp>BDH|10083348401363990214</stp>
        <tr r="Y52" s="12"/>
      </tp>
      <tp t="e">
        <v>#N/A</v>
        <stp/>
        <stp>BDH|17884913513744374945</stp>
        <tr r="Q49" s="24"/>
      </tp>
      <tp t="e">
        <v>#N/A</v>
        <stp/>
        <stp>BDH|12629595205882283759</stp>
        <tr r="E19" s="23"/>
        <tr r="C59" s="11"/>
      </tp>
      <tp t="e">
        <v>#N/A</v>
        <stp/>
        <stp>BDH|17763106816054552198</stp>
        <tr r="C32" s="26"/>
      </tp>
      <tp t="e">
        <v>#N/A</v>
        <stp/>
        <stp>BDH|10803349075134569213</stp>
        <tr r="M58" s="18"/>
      </tp>
      <tp t="e">
        <v>#N/A</v>
        <stp/>
        <stp>BDH|14454809293591956631</stp>
        <tr r="O18" s="24"/>
      </tp>
      <tp t="e">
        <v>#N/A</v>
        <stp/>
        <stp>BDH|16194780652377408126</stp>
        <tr r="M18" s="14"/>
      </tp>
      <tp t="e">
        <v>#N/A</v>
        <stp/>
        <stp>BDH|17221048484598607593</stp>
        <tr r="M56" s="12"/>
      </tp>
      <tp t="e">
        <v>#N/A</v>
        <stp/>
        <stp>BDH|16459374009764523327</stp>
        <tr r="D22" s="6"/>
      </tp>
      <tp t="e">
        <v>#N/A</v>
        <stp/>
        <stp>BDH|16758527207428957960</stp>
        <tr r="C39" s="24"/>
      </tp>
      <tp t="e">
        <v>#N/A</v>
        <stp/>
        <stp>BDH|16398127968037183455</stp>
        <tr r="Y18" s="23"/>
      </tp>
      <tp t="e">
        <v>#N/A</v>
        <stp/>
        <stp>BDH|16843628324226281615</stp>
        <tr r="E17" s="34"/>
      </tp>
      <tp t="e">
        <v>#N/A</v>
        <stp/>
        <stp>BDH|17407588612311385001</stp>
        <tr r="I9" s="28"/>
      </tp>
      <tp t="e">
        <v>#N/A</v>
        <stp/>
        <stp>BDH|18020660876659808256</stp>
        <tr r="W20" s="29"/>
      </tp>
      <tp t="e">
        <v>#N/A</v>
        <stp/>
        <stp>BDH|17586921288135309119</stp>
        <tr r="Q122" s="12"/>
      </tp>
      <tp t="e">
        <v>#N/A</v>
        <stp/>
        <stp>BDH|14991115170328497817</stp>
        <tr r="V112" s="18"/>
      </tp>
      <tp t="e">
        <v>#N/A</v>
        <stp/>
        <stp>BDH|16022681958814586383</stp>
        <tr r="E19" s="22"/>
      </tp>
      <tp t="e">
        <v>#N/A</v>
        <stp/>
        <stp>BDH|18081626758090771909</stp>
        <tr r="R17" s="13"/>
      </tp>
      <tp t="e">
        <v>#N/A</v>
        <stp/>
        <stp>BDH|12277360729515018403</stp>
        <tr r="W14" s="8"/>
      </tp>
      <tp t="e">
        <v>#N/A</v>
        <stp/>
        <stp>BDH|13444443619524676025</stp>
        <tr r="C14" s="22"/>
      </tp>
      <tp t="e">
        <v>#N/A</v>
        <stp/>
        <stp>BDH|13429473339193413531</stp>
        <tr r="H38" s="34"/>
      </tp>
      <tp t="e">
        <v>#N/A</v>
        <stp/>
        <stp>BDH|14311192715936599074</stp>
        <tr r="S30" s="11"/>
        <tr r="S39" s="10"/>
      </tp>
      <tp t="e">
        <v>#N/A</v>
        <stp/>
        <stp>BDH|15559986482097261102</stp>
        <tr r="O22" s="11"/>
      </tp>
      <tp t="e">
        <v>#N/A</v>
        <stp/>
        <stp>BDH|14536889696307570039</stp>
        <tr r="W8" s="6"/>
      </tp>
      <tp t="e">
        <v>#N/A</v>
        <stp/>
        <stp>BDH|12133766607857992043</stp>
        <tr r="O11" s="21"/>
      </tp>
      <tp t="e">
        <v>#N/A</v>
        <stp/>
        <stp>BDH|13179074743286014387</stp>
        <tr r="N46" s="22"/>
      </tp>
      <tp t="e">
        <v>#N/A</v>
        <stp/>
        <stp>BDH|14279213259586347743</stp>
        <tr r="E9" s="22"/>
      </tp>
      <tp t="e">
        <v>#N/A</v>
        <stp/>
        <stp>BDH|13501443501665955046</stp>
        <tr r="W10" s="34"/>
      </tp>
      <tp t="e">
        <v>#N/A</v>
        <stp/>
        <stp>BDH|15925744732171695248</stp>
        <tr r="C84" s="18"/>
      </tp>
      <tp t="e">
        <v>#N/A</v>
        <stp/>
        <stp>BDH|15423718572982212587</stp>
        <tr r="D11" s="17"/>
      </tp>
      <tp t="e">
        <v>#N/A</v>
        <stp/>
        <stp>BDH|17090275104160899761</stp>
        <tr r="Y10" s="25"/>
        <tr r="Y55" s="17"/>
      </tp>
      <tp t="e">
        <v>#N/A</v>
        <stp/>
        <stp>BDH|14436657111094565587</stp>
        <tr r="E12" s="22"/>
      </tp>
      <tp t="e">
        <v>#N/A</v>
        <stp/>
        <stp>BDH|15723624813790959021</stp>
        <tr r="G86" s="24"/>
      </tp>
      <tp t="e">
        <v>#N/A</v>
        <stp/>
        <stp>BDH|16830636935594370502</stp>
        <tr r="T37" s="26"/>
      </tp>
      <tp t="e">
        <v>#N/A</v>
        <stp/>
        <stp>BDH|15554247351108944842</stp>
        <tr r="S194" s="18"/>
      </tp>
      <tp t="e">
        <v>#N/A</v>
        <stp/>
        <stp>BDH|17367310769359749915</stp>
        <tr r="W31" s="12"/>
      </tp>
      <tp t="e">
        <v>#N/A</v>
        <stp/>
        <stp>BDH|12152908983690659184</stp>
        <tr r="F21" s="18"/>
      </tp>
      <tp t="e">
        <v>#N/A</v>
        <stp/>
        <stp>BDH|12490640203254754284</stp>
        <tr r="Y70" s="13"/>
        <tr r="W49" s="11"/>
        <tr r="W58" s="10"/>
        <tr r="W19" s="7"/>
        <tr r="W18" s="4"/>
        <tr r="W20" s="2"/>
      </tp>
      <tp t="e">
        <v>#N/A</v>
        <stp/>
        <stp>BDH|12685824219199571043</stp>
        <tr r="V43" s="11"/>
        <tr r="V52" s="10"/>
        <tr r="V15" s="7"/>
      </tp>
      <tp t="e">
        <v>#N/A</v>
        <stp/>
        <stp>BDH|15342367924041427798</stp>
        <tr r="W57" s="24"/>
      </tp>
      <tp t="e">
        <v>#N/A</v>
        <stp/>
        <stp>BDH|16075797907641062229</stp>
        <tr r="L74" s="34"/>
      </tp>
      <tp t="e">
        <v>#N/A</v>
        <stp/>
        <stp>BDH|13283935032329926265</stp>
        <tr r="R197" s="18"/>
      </tp>
      <tp t="e">
        <v>#N/A</v>
        <stp/>
        <stp>BDH|15643893564518094172</stp>
        <tr r="I109" s="12"/>
      </tp>
      <tp t="e">
        <v>#N/A</v>
        <stp/>
        <stp>BDH|16358807346359093190</stp>
        <tr r="Y66" s="18"/>
      </tp>
      <tp t="e">
        <v>#N/A</v>
        <stp/>
        <stp>BDH|17753690943367099017</stp>
        <tr r="F156" s="18"/>
      </tp>
      <tp t="e">
        <v>#N/A</v>
        <stp/>
        <stp>BDH|13260789374666005721</stp>
        <tr r="S128" s="18"/>
      </tp>
      <tp t="e">
        <v>#N/A</v>
        <stp/>
        <stp>BDH|15842092870030805059</stp>
        <tr r="Q50" s="17"/>
      </tp>
      <tp t="e">
        <v>#N/A</v>
        <stp/>
        <stp>BDH|15907515710870731331</stp>
        <tr r="N17" s="9"/>
      </tp>
      <tp t="e">
        <v>#N/A</v>
        <stp/>
        <stp>BDH|17543594923913447173</stp>
        <tr r="D71" s="17"/>
      </tp>
      <tp t="e">
        <v>#N/A</v>
        <stp/>
        <stp>BDH|12538843899901644023</stp>
        <tr r="M78" s="24"/>
      </tp>
      <tp t="e">
        <v>#N/A</v>
        <stp/>
        <stp>BDH|17390085716404449051</stp>
        <tr r="N20" s="14"/>
      </tp>
      <tp t="e">
        <v>#N/A</v>
        <stp/>
        <stp>BDH|16973335790786799811</stp>
        <tr r="U31" s="9"/>
      </tp>
      <tp t="e">
        <v>#N/A</v>
        <stp/>
        <stp>BDH|13387674558760902296</stp>
        <tr r="Z55" s="12"/>
      </tp>
      <tp t="e">
        <v>#N/A</v>
        <stp/>
        <stp>BDH|16995661765605622101</stp>
        <tr r="U11" s="22"/>
      </tp>
      <tp t="e">
        <v>#N/A</v>
        <stp/>
        <stp>BDH|10905932036238289024</stp>
        <tr r="W78" s="18"/>
      </tp>
      <tp t="e">
        <v>#N/A</v>
        <stp/>
        <stp>BDH|18241482390263003468</stp>
        <tr r="E15" s="18"/>
      </tp>
      <tp t="e">
        <v>#N/A</v>
        <stp/>
        <stp>BDH|10924779452052677260</stp>
        <tr r="P20" s="5"/>
      </tp>
      <tp t="e">
        <v>#N/A</v>
        <stp/>
        <stp>BDH|15479460606431933213</stp>
        <tr r="Y32" s="13"/>
        <tr r="W24" s="11"/>
        <tr r="W33" s="10"/>
        <tr r="W45" s="4"/>
      </tp>
      <tp t="e">
        <v>#N/A</v>
        <stp/>
        <stp>BDH|13090583041097007759</stp>
        <tr r="Y27" s="34"/>
      </tp>
      <tp t="e">
        <v>#N/A</v>
        <stp/>
        <stp>BDH|12449381770276527257</stp>
        <tr r="L101" s="18"/>
      </tp>
      <tp t="e">
        <v>#N/A</v>
        <stp/>
        <stp>BDH|12244089852823776630</stp>
        <tr r="L110" s="12"/>
      </tp>
      <tp t="e">
        <v>#N/A</v>
        <stp/>
        <stp>BDH|15208002283349964645</stp>
        <tr r="C25" s="13"/>
      </tp>
      <tp t="e">
        <v>#N/A</v>
        <stp/>
        <stp>BDH|12681683468068314898</stp>
        <tr r="O154" s="18"/>
      </tp>
      <tp t="e">
        <v>#N/A</v>
        <stp/>
        <stp>BDH|13909542859050082188</stp>
        <tr r="F49" s="13"/>
      </tp>
      <tp t="e">
        <v>#N/A</v>
        <stp/>
        <stp>BDH|15718161754215958605</stp>
        <tr r="R68" s="18"/>
      </tp>
      <tp t="e">
        <v>#N/A</v>
        <stp/>
        <stp>BDH|15303980352052500901</stp>
        <tr r="J22" s="22"/>
      </tp>
      <tp t="e">
        <v>#N/A</v>
        <stp/>
        <stp>BDH|11714177502232953070</stp>
        <tr r="P72" s="24"/>
      </tp>
      <tp t="e">
        <v>#N/A</v>
        <stp/>
        <stp>BDH|12019078272110111789</stp>
        <tr r="F101" s="18"/>
      </tp>
      <tp t="e">
        <v>#N/A</v>
        <stp/>
        <stp>BDH|15871732957742236726</stp>
        <tr r="P94" s="12"/>
      </tp>
      <tp t="e">
        <v>#N/A</v>
        <stp/>
        <stp>BDH|13746885389311850021</stp>
        <tr r="P19" s="10"/>
      </tp>
      <tp t="e">
        <v>#N/A</v>
        <stp/>
        <stp>BDH|13941722873780746133</stp>
        <tr r="K16" s="20"/>
      </tp>
      <tp t="e">
        <v>#N/A</v>
        <stp/>
        <stp>BDH|16051160844784706594</stp>
        <tr r="G9" s="11"/>
      </tp>
      <tp t="e">
        <v>#N/A</v>
        <stp/>
        <stp>BDH|16321693656674376336</stp>
        <tr r="C82" s="18"/>
      </tp>
      <tp t="e">
        <v>#N/A</v>
        <stp/>
        <stp>BDH|17249690681363709811</stp>
        <tr r="G9" s="14"/>
      </tp>
      <tp t="e">
        <v>#N/A</v>
        <stp/>
        <stp>BDH|13156534036192079582</stp>
        <tr r="M159" s="18"/>
      </tp>
      <tp t="e">
        <v>#N/A</v>
        <stp/>
        <stp>BDH|10284255439890799359</stp>
        <tr r="W19" s="34"/>
      </tp>
      <tp t="e">
        <v>#N/A</v>
        <stp/>
        <stp>BDH|17957327610691258654</stp>
        <tr r="P133" s="18"/>
      </tp>
      <tp t="e">
        <v>#N/A</v>
        <stp/>
        <stp>BDH|12890519337963657549</stp>
        <tr r="D25" s="24"/>
      </tp>
      <tp t="e">
        <v>#N/A</v>
        <stp/>
        <stp>BDH|17988737530206781711</stp>
        <tr r="W80" s="17"/>
        <tr r="W19" s="3"/>
      </tp>
      <tp t="e">
        <v>#N/A</v>
        <stp/>
        <stp>BDH|12873066721530559265</stp>
        <tr r="K187" s="18"/>
      </tp>
      <tp t="e">
        <v>#N/A</v>
        <stp/>
        <stp>BDH|12311487513280604520</stp>
        <tr r="L107" s="18"/>
      </tp>
      <tp t="e">
        <v>#N/A</v>
        <stp/>
        <stp>BDH|10174287046665178125</stp>
        <tr r="F13" s="27"/>
        <tr r="F27" s="25"/>
      </tp>
      <tp t="e">
        <v>#N/A</v>
        <stp/>
        <stp>BDH|12974530134867426169</stp>
        <tr r="R31" s="11"/>
        <tr r="R40" s="10"/>
      </tp>
      <tp t="e">
        <v>#N/A</v>
        <stp/>
        <stp>BDH|12245629138947523212</stp>
        <tr r="M165" s="18"/>
      </tp>
      <tp t="e">
        <v>#N/A</v>
        <stp/>
        <stp>BDH|17373786113627588424</stp>
        <tr r="D142" s="18"/>
      </tp>
      <tp t="e">
        <v>#N/A</v>
        <stp/>
        <stp>BDH|13314313652847701081</stp>
        <tr r="E11" s="7"/>
      </tp>
      <tp t="e">
        <v>#N/A</v>
        <stp/>
        <stp>BDH|13312385755862932584</stp>
        <tr r="H160" s="18"/>
      </tp>
      <tp t="e">
        <v>#N/A</v>
        <stp/>
        <stp>BDH|10336590023575653008</stp>
        <tr r="H82" s="18"/>
      </tp>
      <tp t="e">
        <v>#N/A</v>
        <stp/>
        <stp>BDH|13783504778067838485</stp>
        <tr r="H77" s="24"/>
      </tp>
      <tp t="e">
        <v>#N/A</v>
        <stp/>
        <stp>BDH|10456785622886878195</stp>
        <tr r="S31" s="9"/>
      </tp>
      <tp t="e">
        <v>#N/A</v>
        <stp/>
        <stp>BDH|12172782750035395756</stp>
        <tr r="C53" s="24"/>
      </tp>
      <tp t="e">
        <v>#N/A</v>
        <stp/>
        <stp>BDH|13253982776637025839</stp>
        <tr r="U23" s="24"/>
      </tp>
      <tp t="e">
        <v>#N/A</v>
        <stp/>
        <stp>BDH|12410484307695627128</stp>
        <tr r="AA126" s="12"/>
      </tp>
      <tp t="e">
        <v>#N/A</v>
        <stp/>
        <stp>BDH|14478003232932844710</stp>
        <tr r="W33" s="6"/>
      </tp>
      <tp t="e">
        <v>#N/A</v>
        <stp/>
        <stp>BDH|15265078667096533784</stp>
        <tr r="W60" s="17"/>
      </tp>
      <tp t="e">
        <v>#N/A</v>
        <stp/>
        <stp>BDH|15667314729230595640</stp>
        <tr r="E72" s="34"/>
      </tp>
      <tp t="e">
        <v>#N/A</v>
        <stp/>
        <stp>BDH|16648859659450721923</stp>
        <tr r="V39" s="25"/>
        <tr r="V22" s="13"/>
        <tr r="V7" s="13"/>
        <tr r="T17" s="11"/>
        <tr r="V7" s="3"/>
      </tp>
      <tp t="e">
        <v>#N/A</v>
        <stp/>
        <stp>BDH|11286154992993987835</stp>
        <tr r="I127" s="12"/>
      </tp>
      <tp t="e">
        <v>#N/A</v>
        <stp/>
        <stp>BDH|13945806290433183371</stp>
        <tr r="M171" s="18"/>
      </tp>
      <tp t="e">
        <v>#N/A</v>
        <stp/>
        <stp>BDH|15131250406243496697</stp>
        <tr r="T71" s="12"/>
      </tp>
      <tp t="e">
        <v>#N/A</v>
        <stp/>
        <stp>BDH|15717028911561329781</stp>
        <tr r="W97" s="12"/>
      </tp>
      <tp t="e">
        <v>#N/A</v>
        <stp/>
        <stp>BDH|10576137060935965000</stp>
        <tr r="L20" s="24"/>
      </tp>
      <tp t="e">
        <v>#N/A</v>
        <stp/>
        <stp>BDH|12869247138963879231</stp>
        <tr r="O83" s="18"/>
      </tp>
      <tp t="e">
        <v>#N/A</v>
        <stp/>
        <stp>BDH|16617046033356617188</stp>
        <tr r="F210" s="18"/>
      </tp>
      <tp t="e">
        <v>#N/A</v>
        <stp/>
        <stp>BDH|10288355037750904266</stp>
        <tr r="X179" s="18"/>
      </tp>
      <tp t="e">
        <v>#N/A</v>
        <stp/>
        <stp>BDH|10121981088924950773</stp>
        <tr r="T79" s="34"/>
      </tp>
      <tp t="e">
        <v>#N/A</v>
        <stp/>
        <stp>BDH|14168194308621667691</stp>
        <tr r="S76" s="17"/>
      </tp>
      <tp t="e">
        <v>#N/A</v>
        <stp/>
        <stp>BDH|15754278969745382651</stp>
        <tr r="S17" s="21"/>
      </tp>
      <tp t="e">
        <v>#N/A</v>
        <stp/>
        <stp>BDH|14379112765599157896</stp>
        <tr r="S58" s="34"/>
      </tp>
      <tp t="e">
        <v>#N/A</v>
        <stp/>
        <stp>BDH|16406057906700810403</stp>
        <tr r="N12" s="10"/>
      </tp>
      <tp t="e">
        <v>#N/A</v>
        <stp/>
        <stp>BDH|10501591965275134472</stp>
        <tr r="E24" s="29"/>
      </tp>
      <tp t="e">
        <v>#N/A</v>
        <stp/>
        <stp>BDH|15229724842793433793</stp>
        <tr r="O63" s="34"/>
      </tp>
      <tp t="e">
        <v>#N/A</v>
        <stp/>
        <stp>BDH|10145104013446956440</stp>
        <tr r="K127" s="12"/>
      </tp>
      <tp t="e">
        <v>#N/A</v>
        <stp/>
        <stp>BDH|10366401088997187956</stp>
        <tr r="AA42" s="34"/>
      </tp>
      <tp t="e">
        <v>#N/A</v>
        <stp/>
        <stp>BDH|16435288601632241409</stp>
        <tr r="E15" s="12"/>
      </tp>
      <tp t="e">
        <v>#N/A</v>
        <stp/>
        <stp>BDH|17352320648120725216</stp>
        <tr r="O23" s="12"/>
      </tp>
      <tp t="e">
        <v>#N/A</v>
        <stp/>
        <stp>BDH|10925237579541468681</stp>
        <tr r="I97" s="17"/>
      </tp>
      <tp t="e">
        <v>#N/A</v>
        <stp/>
        <stp>BDH|15699480929956075780</stp>
        <tr r="E81" s="18"/>
      </tp>
      <tp t="e">
        <v>#N/A</v>
        <stp/>
        <stp>BDH|11656041521452504397</stp>
        <tr r="P19" s="22"/>
      </tp>
      <tp t="e">
        <v>#N/A</v>
        <stp/>
        <stp>BDH|11630345332484624796</stp>
        <tr r="T7" s="9"/>
        <tr r="T7" s="5"/>
        <tr r="W14" s="3"/>
        <tr r="U7" s="2"/>
      </tp>
      <tp t="e">
        <v>#N/A</v>
        <stp/>
        <stp>BDH|10176798837920936693</stp>
        <tr r="L64" s="17"/>
      </tp>
      <tp t="e">
        <v>#N/A</v>
        <stp/>
        <stp>BDH|15734179229405028169</stp>
        <tr r="X126" s="12"/>
      </tp>
      <tp t="e">
        <v>#N/A</v>
        <stp/>
        <stp>BDH|10473002775923705699</stp>
        <tr r="H54" s="24"/>
      </tp>
      <tp t="e">
        <v>#N/A</v>
        <stp/>
        <stp>BDH|14305199484459409646</stp>
        <tr r="Y77" s="12"/>
      </tp>
      <tp t="e">
        <v>#N/A</v>
        <stp/>
        <stp>BDH|15821157900463492573</stp>
        <tr r="H34" s="34"/>
      </tp>
      <tp t="e">
        <v>#N/A</v>
        <stp/>
        <stp>BDH|14623035868934770442</stp>
        <tr r="Z62" s="18"/>
      </tp>
      <tp t="e">
        <v>#N/A</v>
        <stp/>
        <stp>BDH|15360902784760085690</stp>
        <tr r="K41" s="29"/>
        <tr r="K18" s="29"/>
      </tp>
      <tp t="e">
        <v>#N/A</v>
        <stp/>
        <stp>BDH|14343445129331582151</stp>
        <tr r="V32" s="13"/>
        <tr r="T24" s="11"/>
        <tr r="T33" s="10"/>
        <tr r="T45" s="4"/>
      </tp>
      <tp t="e">
        <v>#N/A</v>
        <stp/>
        <stp>BDH|11827309636502269122</stp>
        <tr r="AA87" s="17"/>
      </tp>
      <tp t="e">
        <v>#N/A</v>
        <stp/>
        <stp>BDH|12119535621841473691</stp>
        <tr r="K11" s="22"/>
      </tp>
      <tp t="e">
        <v>#N/A</v>
        <stp/>
        <stp>BDH|13191806317290820805</stp>
        <tr r="T63" s="10"/>
      </tp>
      <tp t="e">
        <v>#N/A</v>
        <stp/>
        <stp>BDH|13684647345402942105</stp>
        <tr r="Z129" s="18"/>
      </tp>
      <tp t="e">
        <v>#N/A</v>
        <stp/>
        <stp>BDH|16867441167207352169</stp>
        <tr r="C17" s="21"/>
      </tp>
      <tp t="e">
        <v>#N/A</v>
        <stp/>
        <stp>BDH|18086915703762566195</stp>
        <tr r="M38" s="29"/>
        <tr r="M15" s="29"/>
      </tp>
      <tp t="e">
        <v>#N/A</v>
        <stp/>
        <stp>BDH|16985001795489444461</stp>
        <tr r="F27" s="13"/>
      </tp>
      <tp t="e">
        <v>#N/A</v>
        <stp/>
        <stp>BDH|15954214841178281957</stp>
        <tr r="P18" s="25"/>
      </tp>
      <tp t="e">
        <v>#N/A</v>
        <stp/>
        <stp>BDH|10393574983479959603</stp>
        <tr r="G12" s="25"/>
      </tp>
      <tp t="e">
        <v>#N/A</v>
        <stp/>
        <stp>BDH|14888040216050350773</stp>
        <tr r="N58" s="12"/>
      </tp>
      <tp t="e">
        <v>#N/A</v>
        <stp/>
        <stp>BDH|18414998400440310301</stp>
        <tr r="F86" s="12"/>
      </tp>
      <tp t="e">
        <v>#N/A</v>
        <stp/>
        <stp>BDH|14996763134353202174</stp>
        <tr r="L17" s="24"/>
      </tp>
      <tp t="e">
        <v>#N/A</v>
        <stp/>
        <stp>BDH|17613781921914669472</stp>
        <tr r="U67" s="34"/>
      </tp>
      <tp t="e">
        <v>#N/A</v>
        <stp/>
        <stp>BDH|14655488337606606717</stp>
        <tr r="H25" s="5"/>
      </tp>
      <tp t="e">
        <v>#N/A</v>
        <stp/>
        <stp>BDH|15853625021022454116</stp>
        <tr r="K27" s="7"/>
      </tp>
      <tp t="e">
        <v>#N/A</v>
        <stp/>
        <stp>BDH|16812731628656466793</stp>
        <tr r="E86" s="18"/>
      </tp>
      <tp t="e">
        <v>#N/A</v>
        <stp/>
        <stp>BDH|14566558318540710219</stp>
        <tr r="AA22" s="12"/>
      </tp>
      <tp t="e">
        <v>#N/A</v>
        <stp/>
        <stp>BDH|13474346932710403184</stp>
        <tr r="Q99" s="12"/>
      </tp>
      <tp t="e">
        <v>#N/A</v>
        <stp/>
        <stp>BDH|14172598453802319464</stp>
        <tr r="L41" s="21"/>
      </tp>
      <tp t="e">
        <v>#N/A</v>
        <stp/>
        <stp>BDH|15613000174634929457</stp>
        <tr r="G42" s="24"/>
      </tp>
      <tp t="e">
        <v>#N/A</v>
        <stp/>
        <stp>BDH|10227132836336989609</stp>
        <tr r="G12" s="26"/>
      </tp>
      <tp t="e">
        <v>#N/A</v>
        <stp/>
        <stp>BDH|11935100474374311103</stp>
        <tr r="M15" s="23"/>
        <tr r="K58" s="11"/>
      </tp>
      <tp t="e">
        <v>#N/A</v>
        <stp/>
        <stp>BDH|11551349678217455039</stp>
        <tr r="D63" s="12"/>
      </tp>
      <tp t="e">
        <v>#N/A</v>
        <stp/>
        <stp>BDH|13840779938196893317</stp>
        <tr r="D12" s="14"/>
      </tp>
      <tp t="e">
        <v>#N/A</v>
        <stp/>
        <stp>BDH|10960230644067248323</stp>
        <tr r="Q52" s="24"/>
      </tp>
      <tp t="e">
        <v>#N/A</v>
        <stp/>
        <stp>BDH|14408280156795478401</stp>
        <tr r="V111" s="18"/>
      </tp>
      <tp t="e">
        <v>#N/A</v>
        <stp/>
        <stp>BDH|15080144312181951619</stp>
        <tr r="AA153" s="18"/>
      </tp>
      <tp t="e">
        <v>#N/A</v>
        <stp/>
        <stp>BDH|10589520371988957815</stp>
        <tr r="N30" s="12"/>
      </tp>
      <tp t="e">
        <v>#N/A</v>
        <stp/>
        <stp>BDH|12467163127937987425</stp>
        <tr r="U160" s="18"/>
      </tp>
      <tp t="e">
        <v>#N/A</v>
        <stp/>
        <stp>BDH|12038061959185345027</stp>
        <tr r="I13" s="26"/>
      </tp>
      <tp t="e">
        <v>#N/A</v>
        <stp/>
        <stp>BDH|12697639348684117627</stp>
        <tr r="Q64" s="12"/>
      </tp>
      <tp t="e">
        <v>#N/A</v>
        <stp/>
        <stp>BDH|17803544554163730616</stp>
        <tr r="AA7" s="28"/>
      </tp>
      <tp t="e">
        <v>#N/A</v>
        <stp/>
        <stp>BDH|15893115260473785300</stp>
        <tr r="Q9" s="6"/>
      </tp>
      <tp t="e">
        <v>#N/A</v>
        <stp/>
        <stp>BDH|12734330439775728541</stp>
        <tr r="L10" s="23"/>
      </tp>
      <tp t="e">
        <v>#N/A</v>
        <stp/>
        <stp>BDH|16134875187121631593</stp>
        <tr r="R186" s="18"/>
      </tp>
      <tp t="e">
        <v>#N/A</v>
        <stp/>
        <stp>BDH|10664964396707967514</stp>
        <tr r="Q9" s="18"/>
      </tp>
      <tp t="e">
        <v>#N/A</v>
        <stp/>
        <stp>BDH|15961237422740151774</stp>
        <tr r="U76" s="18"/>
      </tp>
      <tp t="e">
        <v>#N/A</v>
        <stp/>
        <stp>BDH|13849917291585680409</stp>
        <tr r="M65" s="12"/>
      </tp>
      <tp t="e">
        <v>#N/A</v>
        <stp/>
        <stp>BDH|13053402815174204090</stp>
        <tr r="P49" s="13"/>
      </tp>
      <tp t="e">
        <v>#N/A</v>
        <stp/>
        <stp>BDH|13299520666547090583</stp>
        <tr r="S12" s="22"/>
      </tp>
      <tp t="e">
        <v>#N/A</v>
        <stp/>
        <stp>BDH|13704993835692209970</stp>
        <tr r="E97" s="18"/>
      </tp>
      <tp t="e">
        <v>#N/A</v>
        <stp/>
        <stp>BDH|18432192559086936837</stp>
        <tr r="P126" s="12"/>
      </tp>
      <tp t="e">
        <v>#N/A</v>
        <stp/>
        <stp>BDH|15007691172706054056</stp>
        <tr r="Z118" s="12"/>
      </tp>
      <tp t="e">
        <v>#N/A</v>
        <stp/>
        <stp>BDH|14304586164684961182</stp>
        <tr r="J17" s="28"/>
        <tr r="J14" s="17"/>
      </tp>
      <tp t="e">
        <v>#N/A</v>
        <stp/>
        <stp>BDH|12698706754065993752</stp>
        <tr r="Y19" s="23"/>
        <tr r="W59" s="11"/>
      </tp>
      <tp t="e">
        <v>#N/A</v>
        <stp/>
        <stp>BDH|14739130340303524109</stp>
        <tr r="F70" s="18"/>
      </tp>
      <tp t="e">
        <v>#N/A</v>
        <stp/>
        <stp>BDH|14299756906354141413</stp>
        <tr r="E184" s="18"/>
      </tp>
      <tp t="e">
        <v>#N/A</v>
        <stp/>
        <stp>BDH|14455218655745591548</stp>
        <tr r="H41" s="34"/>
      </tp>
      <tp t="e">
        <v>#N/A</v>
        <stp/>
        <stp>BDH|13180237535728506933</stp>
        <tr r="AA72" s="18"/>
      </tp>
      <tp t="e">
        <v>#N/A</v>
        <stp/>
        <stp>BDH|10429387749215696124</stp>
        <tr r="E87" s="12"/>
      </tp>
      <tp t="e">
        <v>#N/A</v>
        <stp/>
        <stp>BDH|14347377554085110408</stp>
        <tr r="M41" s="17"/>
      </tp>
      <tp t="e">
        <v>#N/A</v>
        <stp/>
        <stp>BDH|10229625104831348461</stp>
        <tr r="H177" s="18"/>
      </tp>
      <tp t="e">
        <v>#N/A</v>
        <stp/>
        <stp>BDH|17282738447235638218</stp>
        <tr r="Q94" s="18"/>
      </tp>
      <tp t="e">
        <v>#N/A</v>
        <stp/>
        <stp>BDH|14564097874823891319</stp>
        <tr r="AA14" s="13"/>
      </tp>
      <tp t="e">
        <v>#N/A</v>
        <stp/>
        <stp>BDH|17188187551451973105</stp>
        <tr r="C34" s="18"/>
      </tp>
      <tp t="e">
        <v>#N/A</v>
        <stp/>
        <stp>BDH|16644168884538032452</stp>
        <tr r="L79" s="18"/>
      </tp>
      <tp t="e">
        <v>#N/A</v>
        <stp/>
        <stp>BDH|15938479827292967216</stp>
        <tr r="I14" s="4"/>
      </tp>
      <tp t="e">
        <v>#N/A</v>
        <stp/>
        <stp>BDH|14761165852651144239</stp>
        <tr r="L86" s="24"/>
      </tp>
      <tp t="e">
        <v>#N/A</v>
        <stp/>
        <stp>BDH|10568933784786486472</stp>
        <tr r="K50" s="4"/>
      </tp>
      <tp t="e">
        <v>#N/A</v>
        <stp/>
        <stp>BDH|17784485689849557128</stp>
        <tr r="U180" s="18"/>
      </tp>
      <tp t="e">
        <v>#N/A</v>
        <stp/>
        <stp>BDH|12663889480480767183</stp>
        <tr r="P155" s="18"/>
      </tp>
      <tp t="e">
        <v>#N/A</v>
        <stp/>
        <stp>BDH|18174879973850183450</stp>
        <tr r="G19" s="12"/>
      </tp>
      <tp t="e">
        <v>#N/A</v>
        <stp/>
        <stp>BDH|12581338785748108239</stp>
        <tr r="Y22" s="12"/>
      </tp>
      <tp t="e">
        <v>#N/A</v>
        <stp/>
        <stp>BDH|16529248554661600322</stp>
        <tr r="N74" s="34"/>
      </tp>
      <tp t="e">
        <v>#N/A</v>
        <stp/>
        <stp>BDH|17490495721717908546</stp>
        <tr r="V74" s="18"/>
      </tp>
      <tp t="e">
        <v>#N/A</v>
        <stp/>
        <stp>BDH|14279057224955535077</stp>
        <tr r="J26" s="6"/>
      </tp>
      <tp t="e">
        <v>#N/A</v>
        <stp/>
        <stp>BDH|17215630112875312615</stp>
        <tr r="L125" s="18"/>
      </tp>
      <tp t="e">
        <v>#N/A</v>
        <stp/>
        <stp>BDH|11211140376812022617</stp>
        <tr r="P208" s="18"/>
      </tp>
      <tp t="e">
        <v>#N/A</v>
        <stp/>
        <stp>BDH|17607047377234243762</stp>
        <tr r="W122" s="12"/>
      </tp>
      <tp t="e">
        <v>#N/A</v>
        <stp/>
        <stp>BDH|16655099348962752313</stp>
        <tr r="O52" s="24"/>
      </tp>
      <tp t="e">
        <v>#N/A</v>
        <stp/>
        <stp>BDH|16041234635995333148</stp>
        <tr r="Z24" s="20"/>
      </tp>
      <tp t="e">
        <v>#N/A</v>
        <stp/>
        <stp>BDH|11987060318690047368</stp>
        <tr r="G50" s="4"/>
      </tp>
      <tp t="e">
        <v>#N/A</v>
        <stp/>
        <stp>BDH|16716300937236296338</stp>
        <tr r="V64" s="10"/>
      </tp>
      <tp t="e">
        <v>#N/A</v>
        <stp/>
        <stp>BDH|14093485869845362033</stp>
        <tr r="J42" s="6"/>
      </tp>
      <tp t="e">
        <v>#N/A</v>
        <stp/>
        <stp>BDH|12607899829882729902</stp>
        <tr r="T107" s="12"/>
      </tp>
      <tp t="e">
        <v>#N/A</v>
        <stp/>
        <stp>BDH|10730241059185972125</stp>
        <tr r="X21" s="9"/>
      </tp>
      <tp t="e">
        <v>#N/A</v>
        <stp/>
        <stp>BDH|11839757823620775784</stp>
        <tr r="H38" s="25"/>
      </tp>
      <tp t="e">
        <v>#N/A</v>
        <stp/>
        <stp>BDH|15876093572644034520</stp>
        <tr r="H86" s="18"/>
      </tp>
      <tp t="e">
        <v>#N/A</v>
        <stp/>
        <stp>BDH|12964395771334480148</stp>
        <tr r="Z10" s="28"/>
      </tp>
      <tp t="e">
        <v>#N/A</v>
        <stp/>
        <stp>BDH|15603504631439275947</stp>
        <tr r="AA65" s="13"/>
      </tp>
      <tp t="e">
        <v>#N/A</v>
        <stp/>
        <stp>BDH|14293513266931470504</stp>
        <tr r="U18" s="25"/>
      </tp>
      <tp t="e">
        <v>#N/A</v>
        <stp/>
        <stp>BDH|10724424971507640730</stp>
        <tr r="L126" s="18"/>
      </tp>
      <tp t="e">
        <v>#N/A</v>
        <stp/>
        <stp>BDH|12789745322921311532</stp>
        <tr r="R50" s="13"/>
      </tp>
      <tp t="e">
        <v>#N/A</v>
        <stp/>
        <stp>BDH|10488418482789051665</stp>
        <tr r="C30" s="21"/>
      </tp>
      <tp t="e">
        <v>#N/A</v>
        <stp/>
        <stp>BDH|13279220904126696438</stp>
        <tr r="K52" s="18"/>
      </tp>
      <tp t="e">
        <v>#N/A</v>
        <stp/>
        <stp>BDH|17167840793180105561</stp>
        <tr r="X27" s="26"/>
      </tp>
      <tp t="e">
        <v>#N/A</v>
        <stp/>
        <stp>BDH|14403647966234067376</stp>
        <tr r="S166" s="18"/>
      </tp>
      <tp t="e">
        <v>#N/A</v>
        <stp/>
        <stp>BDH|16144365867806252639</stp>
        <tr r="U21" s="2"/>
      </tp>
      <tp t="e">
        <v>#N/A</v>
        <stp/>
        <stp>BDH|17645388702085804259</stp>
        <tr r="W173" s="18"/>
      </tp>
      <tp t="e">
        <v>#N/A</v>
        <stp/>
        <stp>BDH|12594256184398096350</stp>
        <tr r="M34" s="21"/>
      </tp>
      <tp t="e">
        <v>#N/A</v>
        <stp/>
        <stp>BDH|18118993200146159483</stp>
        <tr r="Y13" s="18"/>
      </tp>
      <tp t="e">
        <v>#N/A</v>
        <stp/>
        <stp>BDH|13926691705577644127</stp>
        <tr r="V98" s="18"/>
      </tp>
      <tp t="e">
        <v>#N/A</v>
        <stp/>
        <stp>BDH|12096800504729788022</stp>
        <tr r="H19" s="22"/>
      </tp>
      <tp t="e">
        <v>#N/A</v>
        <stp/>
        <stp>BDH|12225090069662696559</stp>
        <tr r="N45" s="22"/>
      </tp>
      <tp t="e">
        <v>#N/A</v>
        <stp/>
        <stp>BDH|10781969451447810890</stp>
        <tr r="Y8" s="12"/>
      </tp>
      <tp t="e">
        <v>#N/A</v>
        <stp/>
        <stp>BDH|13133654936472702758</stp>
        <tr r="E213" s="18"/>
      </tp>
      <tp t="e">
        <v>#N/A</v>
        <stp/>
        <stp>BDH|16275364167878478877</stp>
        <tr r="N97" s="18"/>
      </tp>
      <tp t="e">
        <v>#N/A</v>
        <stp/>
        <stp>BDH|17227641244475589374</stp>
        <tr r="J61" s="13"/>
        <tr r="H48" s="11"/>
        <tr r="H57" s="10"/>
        <tr r="H18" s="7"/>
      </tp>
      <tp t="e">
        <v>#N/A</v>
        <stp/>
        <stp>BDH|15897705177412676494</stp>
        <tr r="T16" s="12"/>
      </tp>
      <tp t="e">
        <v>#N/A</v>
        <stp/>
        <stp>BDH|16191435160956787156</stp>
        <tr r="Y68" s="34"/>
      </tp>
      <tp t="e">
        <v>#N/A</v>
        <stp/>
        <stp>BDH|16505148172753577062</stp>
        <tr r="AA75" s="24"/>
      </tp>
      <tp t="e">
        <v>#N/A</v>
        <stp/>
        <stp>BDH|15921769243850517598</stp>
        <tr r="G41" s="6"/>
        <tr r="G18" s="5"/>
      </tp>
      <tp t="e">
        <v>#N/A</v>
        <stp/>
        <stp>BDH|16634156719271296484</stp>
        <tr r="L27" s="18"/>
      </tp>
      <tp t="e">
        <v>#N/A</v>
        <stp/>
        <stp>BDH|10676191229117796717</stp>
        <tr r="X8" s="27"/>
      </tp>
      <tp t="e">
        <v>#N/A</v>
        <stp/>
        <stp>BDH|17719791875167899330</stp>
        <tr r="Q18" s="18"/>
      </tp>
      <tp t="e">
        <v>#N/A</v>
        <stp/>
        <stp>BDH|10461907625840195808</stp>
        <tr r="W142" s="18"/>
      </tp>
      <tp t="e">
        <v>#N/A</v>
        <stp/>
        <stp>BDH|12309569796179798449</stp>
        <tr r="T65" s="10"/>
        <tr r="T25" s="4"/>
      </tp>
      <tp t="e">
        <v>#N/A</v>
        <stp/>
        <stp>BDH|11580780863157771491</stp>
        <tr r="T45" s="22"/>
      </tp>
      <tp t="e">
        <v>#N/A</v>
        <stp/>
        <stp>BDH|14307083040282988126</stp>
        <tr r="T34" s="14"/>
      </tp>
      <tp t="e">
        <v>#N/A</v>
        <stp/>
        <stp>BDH|16606004011962601612</stp>
        <tr r="K141" s="18"/>
      </tp>
      <tp t="e">
        <v>#N/A</v>
        <stp/>
        <stp>BDH|11933128299742408862</stp>
        <tr r="AA32" s="17"/>
      </tp>
      <tp t="e">
        <v>#N/A</v>
        <stp/>
        <stp>BDH|12868418065465413685</stp>
        <tr r="U8" s="17"/>
      </tp>
      <tp t="e">
        <v>#N/A</v>
        <stp/>
        <stp>BDH|15441200162820017263</stp>
        <tr r="E50" s="4"/>
      </tp>
      <tp t="e">
        <v>#N/A</v>
        <stp/>
        <stp>BDH|12911088798629122183</stp>
        <tr r="T17" s="9"/>
      </tp>
      <tp t="e">
        <v>#N/A</v>
        <stp/>
        <stp>BDH|16101318441364225637</stp>
        <tr r="Y199" s="18"/>
      </tp>
      <tp t="e">
        <v>#N/A</v>
        <stp/>
        <stp>BDH|17489157354328326863</stp>
        <tr r="H49" s="17"/>
      </tp>
      <tp t="e">
        <v>#N/A</v>
        <stp/>
        <stp>BDH|11253579477056090628</stp>
        <tr r="C84" s="24"/>
      </tp>
      <tp t="e">
        <v>#N/A</v>
        <stp/>
        <stp>BDH|16323120738532825518</stp>
        <tr r="T74" s="24"/>
      </tp>
      <tp t="e">
        <v>#N/A</v>
        <stp/>
        <stp>BDH|15184115765468108945</stp>
        <tr r="X95" s="24"/>
      </tp>
      <tp t="e">
        <v>#N/A</v>
        <stp/>
        <stp>BDH|13139569881538366555</stp>
        <tr r="L42" s="21"/>
      </tp>
      <tp t="e">
        <v>#N/A</v>
        <stp/>
        <stp>BDH|11495538567286784778</stp>
        <tr r="W19" s="28"/>
        <tr r="W16" s="17"/>
      </tp>
      <tp t="e">
        <v>#N/A</v>
        <stp/>
        <stp>BDH|15484305943550226159</stp>
        <tr r="H21" s="17"/>
      </tp>
      <tp t="e">
        <v>#N/A</v>
        <stp/>
        <stp>BDH|12907844139029619327</stp>
        <tr r="J76" s="17"/>
      </tp>
      <tp t="e">
        <v>#N/A</v>
        <stp/>
        <stp>BDH|17049900252098156033</stp>
        <tr r="H35" s="22"/>
      </tp>
      <tp t="e">
        <v>#N/A</v>
        <stp/>
        <stp>BDH|17850309150444026688</stp>
        <tr r="H22" s="10"/>
      </tp>
      <tp t="e">
        <v>#N/A</v>
        <stp/>
        <stp>BDH|17179165877181047306</stp>
        <tr r="P17" s="30"/>
      </tp>
      <tp t="e">
        <v>#N/A</v>
        <stp/>
        <stp>BDH|13243283524306952670</stp>
        <tr r="M78" s="18"/>
      </tp>
      <tp t="e">
        <v>#N/A</v>
        <stp/>
        <stp>BDH|17307821970908512349</stp>
        <tr r="E7" s="23"/>
      </tp>
      <tp t="e">
        <v>#N/A</v>
        <stp/>
        <stp>BDH|17816783391442759863</stp>
        <tr r="AA41" s="18"/>
      </tp>
      <tp t="e">
        <v>#N/A</v>
        <stp/>
        <stp>BDH|17800303215345963346</stp>
        <tr r="N30" s="11"/>
        <tr r="N39" s="10"/>
      </tp>
      <tp t="e">
        <v>#N/A</v>
        <stp/>
        <stp>BDH|13236066004690578054</stp>
        <tr r="S6" s="15"/>
        <tr r="S6" s="10"/>
        <tr r="S11" s="4"/>
        <tr r="S12" s="2"/>
      </tp>
      <tp t="e">
        <v>#N/A</v>
        <stp/>
        <stp>BDH|11506033226237946795</stp>
        <tr r="O81" s="12"/>
      </tp>
      <tp t="e">
        <v>#N/A</v>
        <stp/>
        <stp>BDH|12750752743016977480</stp>
        <tr r="G13" s="34"/>
      </tp>
      <tp t="e">
        <v>#N/A</v>
        <stp/>
        <stp>BDH|12986001269321252628</stp>
        <tr r="G63" s="34"/>
      </tp>
      <tp t="e">
        <v>#N/A</v>
        <stp/>
        <stp>BDH|14748321516211138423</stp>
        <tr r="V34" s="29"/>
      </tp>
      <tp t="e">
        <v>#N/A</v>
        <stp/>
        <stp>BDH|15993456885108907208</stp>
        <tr r="U8" s="13"/>
      </tp>
      <tp t="e">
        <v>#N/A</v>
        <stp/>
        <stp>BDH|16529319174329695867</stp>
        <tr r="P38" s="26"/>
      </tp>
      <tp t="e">
        <v>#N/A</v>
        <stp/>
        <stp>BDH|15487825268881653986</stp>
        <tr r="N182" s="18"/>
      </tp>
      <tp t="e">
        <v>#N/A</v>
        <stp/>
        <stp>BDH|17029584440311941414</stp>
        <tr r="D13" s="6"/>
      </tp>
      <tp t="e">
        <v>#N/A</v>
        <stp/>
        <stp>BDH|15315391689749750447</stp>
        <tr r="P23" s="24"/>
      </tp>
      <tp t="e">
        <v>#N/A</v>
        <stp/>
        <stp>BDH|16827412829295510656</stp>
        <tr r="P30" s="9"/>
        <tr r="P30" s="5"/>
      </tp>
      <tp t="e">
        <v>#N/A</v>
        <stp/>
        <stp>BDH|16315383010590378784</stp>
        <tr r="Y7" s="10"/>
      </tp>
      <tp t="e">
        <v>#N/A</v>
        <stp/>
        <stp>BDH|16366200457366175456</stp>
        <tr r="T9" s="24"/>
      </tp>
      <tp t="e">
        <v>#N/A</v>
        <stp/>
        <stp>BDH|10325955997471303218</stp>
        <tr r="J62" s="13"/>
      </tp>
      <tp t="e">
        <v>#N/A</v>
        <stp/>
        <stp>BDH|15691329919815638180</stp>
        <tr r="N45" s="17"/>
      </tp>
      <tp t="e">
        <v>#N/A</v>
        <stp/>
        <stp>BDH|14115358292704347961</stp>
        <tr r="Q47" s="6"/>
      </tp>
      <tp t="e">
        <v>#N/A</v>
        <stp/>
        <stp>BDH|16962298338214967020</stp>
        <tr r="Q21" s="17"/>
      </tp>
      <tp t="e">
        <v>#N/A</v>
        <stp/>
        <stp>BDH|10612333507377589740</stp>
        <tr r="P30" s="18"/>
      </tp>
      <tp t="e">
        <v>#N/A</v>
        <stp/>
        <stp>BDH|14433976317857352841</stp>
        <tr r="J29" s="21"/>
      </tp>
      <tp t="e">
        <v>#N/A</v>
        <stp/>
        <stp>BDH|17591133554240287039</stp>
        <tr r="Y8" s="8"/>
      </tp>
      <tp t="e">
        <v>#N/A</v>
        <stp/>
        <stp>BDH|15429774204596734739</stp>
        <tr r="S6" s="19"/>
        <tr r="S37" s="17"/>
        <tr r="S16" s="3"/>
      </tp>
      <tp t="e">
        <v>#N/A</v>
        <stp/>
        <stp>BDH|12259772445994409676</stp>
        <tr r="Y13" s="20"/>
        <tr r="Y122" s="18"/>
      </tp>
      <tp t="e">
        <v>#N/A</v>
        <stp/>
        <stp>BDH|14487366629162961411</stp>
        <tr r="L13" s="6"/>
      </tp>
      <tp t="e">
        <v>#N/A</v>
        <stp/>
        <stp>BDH|14312504300280498246</stp>
        <tr r="P60" s="34"/>
      </tp>
      <tp t="e">
        <v>#N/A</v>
        <stp/>
        <stp>BDH|11225043061256730238</stp>
        <tr r="L39" s="29"/>
        <tr r="L16" s="29"/>
      </tp>
      <tp t="e">
        <v>#N/A</v>
        <stp/>
        <stp>BDH|16336570017679024808</stp>
        <tr r="O25" s="3"/>
      </tp>
      <tp t="e">
        <v>#N/A</v>
        <stp/>
        <stp>BDH|13702372427617590612</stp>
        <tr r="I33" s="34"/>
      </tp>
      <tp t="e">
        <v>#N/A</v>
        <stp/>
        <stp>BDH|15689678306885004547</stp>
        <tr r="O80" s="17"/>
        <tr r="O19" s="3"/>
      </tp>
      <tp t="e">
        <v>#N/A</v>
        <stp/>
        <stp>BDH|12731370173200068509</stp>
        <tr r="S38" s="12"/>
      </tp>
      <tp t="e">
        <v>#N/A</v>
        <stp/>
        <stp>BDH|15473618500768073861</stp>
        <tr r="Y86" s="18"/>
      </tp>
      <tp t="e">
        <v>#N/A</v>
        <stp/>
        <stp>BDH|11344477275532799352</stp>
        <tr r="S192" s="18"/>
      </tp>
      <tp t="e">
        <v>#N/A</v>
        <stp/>
        <stp>BDH|16252768329550829066</stp>
        <tr r="R35" s="21"/>
      </tp>
      <tp t="e">
        <v>#N/A</v>
        <stp/>
        <stp>BDH|18155222443955343806</stp>
        <tr r="D40" s="18"/>
      </tp>
      <tp t="e">
        <v>#N/A</v>
        <stp/>
        <stp>BDH|12958789615574528327</stp>
        <tr r="D70" s="24"/>
      </tp>
      <tp t="e">
        <v>#N/A</v>
        <stp/>
        <stp>BDH|11376564620107299248</stp>
        <tr r="R35" s="12"/>
      </tp>
      <tp t="e">
        <v>#N/A</v>
        <stp/>
        <stp>BDH|13004497292604842906</stp>
        <tr r="N28" s="34"/>
      </tp>
      <tp t="e">
        <v>#N/A</v>
        <stp/>
        <stp>BDH|14557082068267157673</stp>
        <tr r="F38" s="26"/>
      </tp>
      <tp t="e">
        <v>#N/A</v>
        <stp/>
        <stp>BDH|15579161608266909117</stp>
        <tr r="Q46" s="22"/>
      </tp>
      <tp t="e">
        <v>#N/A</v>
        <stp/>
        <stp>BDH|15266684502888307888</stp>
        <tr r="T97" s="17"/>
      </tp>
      <tp t="e">
        <v>#N/A</v>
        <stp/>
        <stp>BDH|17257734218831338398</stp>
        <tr r="V45" s="24"/>
      </tp>
      <tp t="e">
        <v>#N/A</v>
        <stp/>
        <stp>BDH|15289135278988919837</stp>
        <tr r="J15" s="13"/>
      </tp>
      <tp t="e">
        <v>#N/A</v>
        <stp/>
        <stp>BDH|17106630735024612520</stp>
        <tr r="X75" s="12"/>
      </tp>
      <tp t="e">
        <v>#N/A</v>
        <stp/>
        <stp>BDH|15404544677693566714</stp>
        <tr r="J203" s="18"/>
      </tp>
      <tp t="e">
        <v>#N/A</v>
        <stp/>
        <stp>BDH|15703520976563719774</stp>
        <tr r="N89" s="12"/>
      </tp>
      <tp t="e">
        <v>#N/A</v>
        <stp/>
        <stp>BDH|11505534020704321161</stp>
        <tr r="T195" s="18"/>
      </tp>
      <tp t="e">
        <v>#N/A</v>
        <stp/>
        <stp>BDH|12597764319994879313</stp>
        <tr r="J38" s="26"/>
      </tp>
      <tp t="e">
        <v>#N/A</v>
        <stp/>
        <stp>BDH|13410411543633051353</stp>
        <tr r="S34" s="11"/>
        <tr r="S43" s="10"/>
      </tp>
      <tp t="e">
        <v>#N/A</v>
        <stp/>
        <stp>BDH|10375443319225922344</stp>
        <tr r="E11" s="13"/>
      </tp>
      <tp t="e">
        <v>#N/A</v>
        <stp/>
        <stp>BDH|10401944982537168507</stp>
        <tr r="Q124" s="12"/>
      </tp>
      <tp t="e">
        <v>#N/A</v>
        <stp/>
        <stp>BDH|12492963707931705913</stp>
        <tr r="P30" s="29"/>
        <tr r="P8" s="29"/>
      </tp>
      <tp t="e">
        <v>#N/A</v>
        <stp/>
        <stp>BDH|17026246549235809761</stp>
        <tr r="M44" s="12"/>
      </tp>
      <tp t="e">
        <v>#N/A</v>
        <stp/>
        <stp>BDH|14096942334809464472</stp>
        <tr r="Y72" s="24"/>
      </tp>
      <tp t="e">
        <v>#N/A</v>
        <stp/>
        <stp>BDH|10371167337755589449</stp>
        <tr r="Q84" s="12"/>
      </tp>
      <tp t="e">
        <v>#N/A</v>
        <stp/>
        <stp>BDH|12205599338853128415</stp>
        <tr r="V15" s="34"/>
      </tp>
      <tp t="e">
        <v>#N/A</v>
        <stp/>
        <stp>BDH|10091202364154654319</stp>
        <tr r="W178" s="18"/>
      </tp>
      <tp t="e">
        <v>#N/A</v>
        <stp/>
        <stp>BDH|10617737741925111568</stp>
        <tr r="J7" s="30"/>
      </tp>
      <tp t="e">
        <v>#N/A</v>
        <stp/>
        <stp>BDH|12103524027943489530</stp>
        <tr r="N10" s="27"/>
        <tr r="N25" s="25"/>
      </tp>
      <tp t="e">
        <v>#N/A</v>
        <stp/>
        <stp>BDH|15858315505662870774</stp>
        <tr r="Q47" s="17"/>
      </tp>
      <tp t="e">
        <v>#N/A</v>
        <stp/>
        <stp>BDH|11462622633612420525</stp>
        <tr r="W37" s="25"/>
        <tr r="W59" s="21"/>
        <tr r="U53" s="11"/>
        <tr r="U31" s="4"/>
      </tp>
      <tp t="e">
        <v>#N/A</v>
        <stp/>
        <stp>BDH|12141003764672372553</stp>
        <tr r="K12" s="25"/>
      </tp>
      <tp t="e">
        <v>#N/A</v>
        <stp/>
        <stp>BDH|13397879661219063761</stp>
        <tr r="F11" s="11"/>
      </tp>
      <tp t="e">
        <v>#N/A</v>
        <stp/>
        <stp>BDH|12365610091109848787</stp>
        <tr r="F72" s="18"/>
      </tp>
      <tp t="e">
        <v>#N/A</v>
        <stp/>
        <stp>BDH|14963796454031538427</stp>
        <tr r="T8" s="23"/>
      </tp>
      <tp t="e">
        <v>#N/A</v>
        <stp/>
        <stp>BDH|16788157624541575709</stp>
        <tr r="N180" s="18"/>
      </tp>
      <tp t="e">
        <v>#N/A</v>
        <stp/>
        <stp>BDH|15938109165070898177</stp>
        <tr r="X24" s="13"/>
      </tp>
      <tp t="e">
        <v>#N/A</v>
        <stp/>
        <stp>BDH|15023293571476940525</stp>
        <tr r="X77" s="17"/>
      </tp>
      <tp t="e">
        <v>#N/A</v>
        <stp/>
        <stp>BDH|14794933228909674590</stp>
        <tr r="K45" s="22"/>
      </tp>
      <tp t="e">
        <v>#N/A</v>
        <stp/>
        <stp>BDH|17669332928091680497</stp>
        <tr r="I24" s="17"/>
      </tp>
      <tp t="e">
        <v>#N/A</v>
        <stp/>
        <stp>BDH|15456013272772392363</stp>
        <tr r="H15" s="5"/>
      </tp>
      <tp t="e">
        <v>#N/A</v>
        <stp/>
        <stp>BDH|14728166171448304919</stp>
        <tr r="AA85" s="12"/>
      </tp>
      <tp t="e">
        <v>#N/A</v>
        <stp/>
        <stp>BDH|15984622391188055187</stp>
        <tr r="P79" s="17"/>
        <tr r="M9" s="9"/>
        <tr r="M9" s="5"/>
      </tp>
      <tp t="e">
        <v>#N/A</v>
        <stp/>
        <stp>BDH|18415968342241058727</stp>
        <tr r="U21" s="24"/>
      </tp>
      <tp t="e">
        <v>#N/A</v>
        <stp/>
        <stp>BDH|14980350255553362282</stp>
        <tr r="Q9" s="8"/>
        <tr r="O52" s="6"/>
      </tp>
      <tp t="e">
        <v>#N/A</v>
        <stp/>
        <stp>BDH|13465223440457215169</stp>
        <tr r="M7" s="8"/>
      </tp>
      <tp t="e">
        <v>#N/A</v>
        <stp/>
        <stp>BDH|10138904992506321529</stp>
        <tr r="Y82" s="24"/>
      </tp>
      <tp t="e">
        <v>#N/A</v>
        <stp/>
        <stp>BDH|15462315874432169028</stp>
        <tr r="AA95" s="12"/>
      </tp>
      <tp t="e">
        <v>#N/A</v>
        <stp/>
        <stp>BDH|15786263173463168011</stp>
        <tr r="H75" s="17"/>
      </tp>
      <tp t="e">
        <v>#N/A</v>
        <stp/>
        <stp>BDH|17183732524860088142</stp>
        <tr r="D39" s="24"/>
      </tp>
      <tp t="e">
        <v>#N/A</v>
        <stp/>
        <stp>BDH|12581018576995736372</stp>
        <tr r="C86" s="12"/>
      </tp>
      <tp t="e">
        <v>#N/A</v>
        <stp/>
        <stp>BDH|17743760784052352949</stp>
        <tr r="S33" s="12"/>
      </tp>
      <tp t="e">
        <v>#N/A</v>
        <stp/>
        <stp>BDH|13197825254695444811</stp>
        <tr r="N13" s="26"/>
      </tp>
      <tp t="e">
        <v>#N/A</v>
        <stp/>
        <stp>BDH|16826101254176680784</stp>
        <tr r="F12" s="10"/>
      </tp>
      <tp t="e">
        <v>#N/A</v>
        <stp/>
        <stp>BDH|11359910602819175237</stp>
        <tr r="S91" s="24"/>
      </tp>
      <tp t="e">
        <v>#N/A</v>
        <stp/>
        <stp>BDH|11595986199280638203</stp>
        <tr r="R27" s="24"/>
      </tp>
      <tp t="e">
        <v>#N/A</v>
        <stp/>
        <stp>BDH|15039297589625793957</stp>
        <tr r="J21" s="34"/>
      </tp>
      <tp t="e">
        <v>#N/A</v>
        <stp/>
        <stp>BDH|14384322253005268420</stp>
        <tr r="G168" s="18"/>
      </tp>
      <tp t="e">
        <v>#N/A</v>
        <stp/>
        <stp>BDH|18089166705098079215</stp>
        <tr r="F33" s="9"/>
      </tp>
      <tp t="e">
        <v>#N/A</v>
        <stp/>
        <stp>BDH|15854799830164653654</stp>
        <tr r="T23" s="23"/>
      </tp>
      <tp t="e">
        <v>#N/A</v>
        <stp/>
        <stp>BDH|18250569173459722026</stp>
        <tr r="C199" s="18"/>
      </tp>
      <tp t="e">
        <v>#N/A</v>
        <stp/>
        <stp>BDH|10463007315522610059</stp>
        <tr r="P14" s="4"/>
      </tp>
      <tp t="e">
        <v>#N/A</v>
        <stp/>
        <stp>BDH|13233137305289527837</stp>
        <tr r="C6" s="11"/>
        <tr r="C10" s="4"/>
        <tr r="E6" s="3"/>
      </tp>
      <tp t="e">
        <v>#N/A</v>
        <stp/>
        <stp>BDH|10831500040096250485</stp>
        <tr r="W47" s="17"/>
      </tp>
      <tp t="e">
        <v>#N/A</v>
        <stp/>
        <stp>BDH|12000692989288741757</stp>
        <tr r="E63" s="24"/>
      </tp>
      <tp t="e">
        <v>#N/A</v>
        <stp/>
        <stp>BDH|16119728465227193350</stp>
        <tr r="T85" s="24"/>
      </tp>
      <tp t="e">
        <v>#N/A</v>
        <stp/>
        <stp>BDH|13761746935395787139</stp>
        <tr r="O64" s="13"/>
      </tp>
      <tp t="e">
        <v>#N/A</v>
        <stp/>
        <stp>BDH|10176667386894686951</stp>
        <tr r="S8" s="20"/>
        <tr r="S118" s="18"/>
      </tp>
      <tp t="e">
        <v>#N/A</v>
        <stp/>
        <stp>BDH|13258100243563596669</stp>
        <tr r="G76" s="18"/>
      </tp>
      <tp t="e">
        <v>#N/A</v>
        <stp/>
        <stp>BDH|17889704564696693383</stp>
        <tr r="K194" s="18"/>
      </tp>
      <tp t="e">
        <v>#N/A</v>
        <stp/>
        <stp>BDH|14952250375612832030</stp>
        <tr r="Y18" s="11"/>
      </tp>
      <tp t="e">
        <v>#N/A</v>
        <stp/>
        <stp>BDH|18248175581235523736</stp>
        <tr r="G37" s="18"/>
      </tp>
      <tp t="e">
        <v>#N/A</v>
        <stp/>
        <stp>BDH|15738180565421966016</stp>
        <tr r="N32" s="21"/>
      </tp>
      <tp t="e">
        <v>#N/A</v>
        <stp/>
        <stp>BDH|13210420211002106726</stp>
        <tr r="M51" s="21"/>
      </tp>
      <tp t="e">
        <v>#N/A</v>
        <stp/>
        <stp>BDH|17678666714384750710</stp>
        <tr r="S138" s="18"/>
      </tp>
      <tp t="e">
        <v>#N/A</v>
        <stp/>
        <stp>BDH|16422416044680546560</stp>
        <tr r="G109" s="12"/>
      </tp>
      <tp t="e">
        <v>#N/A</v>
        <stp/>
        <stp>BDH|12583040919030866028</stp>
        <tr r="M121" s="12"/>
      </tp>
      <tp t="e">
        <v>#N/A</v>
        <stp/>
        <stp>BDH|14446632704775902487</stp>
        <tr r="F56" s="6"/>
      </tp>
      <tp t="e">
        <v>#N/A</v>
        <stp/>
        <stp>BDH|10571705067643198118</stp>
        <tr r="G23" s="11"/>
      </tp>
      <tp t="e">
        <v>#N/A</v>
        <stp/>
        <stp>BDH|16428257801326209103</stp>
        <tr r="H25" s="26"/>
      </tp>
      <tp t="e">
        <v>#N/A</v>
        <stp/>
        <stp>BDH|15628129710696693001</stp>
        <tr r="AA81" s="17"/>
      </tp>
      <tp t="e">
        <v>#N/A</v>
        <stp/>
        <stp>BDH|10817571623733676785</stp>
        <tr r="R43" s="21"/>
      </tp>
      <tp t="e">
        <v>#N/A</v>
        <stp/>
        <stp>BDH|15003159565063054229</stp>
        <tr r="F21" s="27"/>
      </tp>
      <tp t="e">
        <v>#N/A</v>
        <stp/>
        <stp>BDH|11879781520565775250</stp>
        <tr r="T126" s="12"/>
      </tp>
      <tp t="e">
        <v>#N/A</v>
        <stp/>
        <stp>BDH|12908584147181688129</stp>
        <tr r="AA38" s="34"/>
      </tp>
      <tp t="e">
        <v>#N/A</v>
        <stp/>
        <stp>BDH|15615262823253323527</stp>
        <tr r="W50" s="4"/>
      </tp>
      <tp t="e">
        <v>#N/A</v>
        <stp/>
        <stp>BDH|12678176638072209195</stp>
        <tr r="Q19" s="9"/>
      </tp>
      <tp t="e">
        <v>#N/A</v>
        <stp/>
        <stp>BDH|16148306062412309222</stp>
        <tr r="U164" s="18"/>
      </tp>
      <tp t="e">
        <v>#N/A</v>
        <stp/>
        <stp>BDH|11199154043730743755</stp>
        <tr r="Q176" s="18"/>
      </tp>
      <tp t="e">
        <v>#N/A</v>
        <stp/>
        <stp>BDH|12597527223481277736</stp>
        <tr r="L114" s="12"/>
      </tp>
      <tp t="e">
        <v>#N/A</v>
        <stp/>
        <stp>BDH|14795322542096193639</stp>
        <tr r="L87" s="18"/>
      </tp>
      <tp t="e">
        <v>#N/A</v>
        <stp/>
        <stp>BDH|13974555308672587747</stp>
        <tr r="U43" s="4"/>
      </tp>
      <tp t="e">
        <v>#N/A</v>
        <stp/>
        <stp>BDH|12139956484251257178</stp>
        <tr r="W65" s="17"/>
      </tp>
      <tp t="e">
        <v>#N/A</v>
        <stp/>
        <stp>BDH|17803384164226445758</stp>
        <tr r="H77" s="18"/>
      </tp>
      <tp t="e">
        <v>#N/A</v>
        <stp/>
        <stp>BDH|14596684149581518443</stp>
        <tr r="X14" s="22"/>
      </tp>
      <tp t="e">
        <v>#N/A</v>
        <stp/>
        <stp>BDH|16391300455436213515</stp>
        <tr r="Y62" s="17"/>
      </tp>
      <tp t="e">
        <v>#N/A</v>
        <stp/>
        <stp>BDH|16784950292476175342</stp>
        <tr r="Y21" s="20"/>
      </tp>
      <tp t="e">
        <v>#N/A</v>
        <stp/>
        <stp>BDH|10759495961751873029</stp>
        <tr r="W19" s="26"/>
      </tp>
      <tp t="e">
        <v>#N/A</v>
        <stp/>
        <stp>BDH|13097262270732054730</stp>
        <tr r="N69" s="17"/>
      </tp>
      <tp t="e">
        <v>#N/A</v>
        <stp/>
        <stp>BDH|14272084729881240447</stp>
        <tr r="C12" s="26"/>
      </tp>
      <tp t="e">
        <v>#N/A</v>
        <stp/>
        <stp>BDH|13078649395639601620</stp>
        <tr r="T190" s="18"/>
      </tp>
      <tp t="e">
        <v>#N/A</v>
        <stp/>
        <stp>BDH|14030041402410594767</stp>
        <tr r="D26" s="11"/>
        <tr r="D35" s="10"/>
      </tp>
      <tp t="e">
        <v>#N/A</v>
        <stp/>
        <stp>BDH|17773646080563597935</stp>
        <tr r="X32" s="26"/>
      </tp>
      <tp t="e">
        <v>#N/A</v>
        <stp/>
        <stp>BDH|12388140263692497458</stp>
        <tr r="N10" s="28"/>
      </tp>
      <tp t="e">
        <v>#N/A</v>
        <stp/>
        <stp>BDH|13562390719872858085</stp>
        <tr r="Q28" s="17"/>
      </tp>
      <tp t="e">
        <v>#N/A</v>
        <stp/>
        <stp>BDH|10117007228410855149</stp>
        <tr r="X56" s="17"/>
      </tp>
      <tp t="e">
        <v>#N/A</v>
        <stp/>
        <stp>BDH|13272963296581088177</stp>
        <tr r="P49" s="18"/>
      </tp>
      <tp t="e">
        <v>#N/A</v>
        <stp/>
        <stp>BDH|13907218584699905303</stp>
        <tr r="G15" s="11"/>
      </tp>
      <tp t="e">
        <v>#N/A</v>
        <stp/>
        <stp>BDH|10093664362210878395</stp>
        <tr r="M25" s="24"/>
      </tp>
      <tp t="e">
        <v>#N/A</v>
        <stp/>
        <stp>BDH|15401907482584675358</stp>
        <tr r="W21" s="3"/>
      </tp>
      <tp t="e">
        <v>#N/A</v>
        <stp/>
        <stp>BDH|11445650537476551168</stp>
        <tr r="K64" s="13"/>
      </tp>
      <tp t="e">
        <v>#N/A</v>
        <stp/>
        <stp>BDH|15446338605862706709</stp>
        <tr r="S41" s="18"/>
      </tp>
      <tp t="e">
        <v>#N/A</v>
        <stp/>
        <stp>BDH|10550262100675557438</stp>
        <tr r="V80" s="24"/>
      </tp>
      <tp t="e">
        <v>#N/A</v>
        <stp/>
        <stp>BDH|11003036226930101013</stp>
        <tr r="O19" s="23"/>
        <tr r="M59" s="11"/>
      </tp>
      <tp t="e">
        <v>#N/A</v>
        <stp/>
        <stp>BDH|14338433795378626262</stp>
        <tr r="P211" s="18"/>
      </tp>
      <tp t="e">
        <v>#N/A</v>
        <stp/>
        <stp>BDH|14482159813260712701</stp>
        <tr r="H67" s="34"/>
      </tp>
      <tp t="e">
        <v>#N/A</v>
        <stp/>
        <stp>BDH|11176579756260465219</stp>
        <tr r="D24" s="5"/>
      </tp>
      <tp t="e">
        <v>#N/A</v>
        <stp/>
        <stp>BDH|15650316057493634336</stp>
        <tr r="F54" s="13"/>
      </tp>
      <tp t="e">
        <v>#N/A</v>
        <stp/>
        <stp>BDH|17211707033184757430</stp>
        <tr r="D14" s="22"/>
      </tp>
      <tp t="e">
        <v>#N/A</v>
        <stp/>
        <stp>BDH|16252904581580755413</stp>
        <tr r="O83" s="24"/>
      </tp>
      <tp t="e">
        <v>#N/A</v>
        <stp/>
        <stp>BDH|15755631739803866008</stp>
        <tr r="R60" s="34"/>
      </tp>
      <tp t="e">
        <v>#N/A</v>
        <stp/>
        <stp>BDH|17706033097568576533</stp>
        <tr r="O13" s="11"/>
      </tp>
      <tp t="e">
        <v>#N/A</v>
        <stp/>
        <stp>BDH|15358603277427156006</stp>
        <tr r="D27" s="21"/>
      </tp>
      <tp t="e">
        <v>#N/A</v>
        <stp/>
        <stp>BDH|15211227854748594949</stp>
        <tr r="J42" s="12"/>
      </tp>
      <tp t="e">
        <v>#N/A</v>
        <stp/>
        <stp>BDH|12722676353071312354</stp>
        <tr r="V30" s="18"/>
      </tp>
      <tp t="e">
        <v>#N/A</v>
        <stp/>
        <stp>BDH|10569505913701517664</stp>
        <tr r="C48" s="21"/>
      </tp>
      <tp t="e">
        <v>#N/A</v>
        <stp/>
        <stp>BDH|13404841895078320933</stp>
        <tr r="C101" s="18"/>
      </tp>
      <tp t="e">
        <v>#N/A</v>
        <stp/>
        <stp>BDH|17757516755182332651</stp>
        <tr r="V64" s="24"/>
      </tp>
      <tp t="e">
        <v>#N/A</v>
        <stp/>
        <stp>BDH|18427562687933095500</stp>
        <tr r="Z64" s="13"/>
      </tp>
      <tp t="e">
        <v>#N/A</v>
        <stp/>
        <stp>BDH|17836779758126635048</stp>
        <tr r="X15" s="4"/>
      </tp>
      <tp t="e">
        <v>#N/A</v>
        <stp/>
        <stp>BDH|14072107264316613672</stp>
        <tr r="Y38" s="24"/>
      </tp>
      <tp t="e">
        <v>#N/A</v>
        <stp/>
        <stp>BDH|11705682898119107434</stp>
        <tr r="AA26" s="26"/>
      </tp>
      <tp t="e">
        <v>#N/A</v>
        <stp/>
        <stp>BDH|15811035183617935946</stp>
        <tr r="Z31" s="21"/>
      </tp>
      <tp t="e">
        <v>#N/A</v>
        <stp/>
        <stp>BDH|12979722621302705683</stp>
        <tr r="G13" s="23"/>
        <tr r="E57" s="11"/>
        <tr r="E38" s="4"/>
      </tp>
      <tp t="e">
        <v>#N/A</v>
        <stp/>
        <stp>BDH|14015398087128282495</stp>
        <tr r="E32" s="26"/>
      </tp>
      <tp t="e">
        <v>#N/A</v>
        <stp/>
        <stp>BDH|12547662363709322866</stp>
        <tr r="D86" s="17"/>
      </tp>
      <tp t="e">
        <v>#N/A</v>
        <stp/>
        <stp>BDH|10011892155797899918</stp>
        <tr r="L91" s="12"/>
      </tp>
      <tp t="e">
        <v>#N/A</v>
        <stp/>
        <stp>BDH|14670824850662762867</stp>
        <tr r="Z47" s="24"/>
      </tp>
      <tp t="e">
        <v>#N/A</v>
        <stp/>
        <stp>BDH|16288160284544017858</stp>
        <tr r="X81" s="34"/>
      </tp>
      <tp t="e">
        <v>#N/A</v>
        <stp/>
        <stp>BDH|10151658504981396469</stp>
        <tr r="D15" s="25"/>
      </tp>
      <tp t="e">
        <v>#N/A</v>
        <stp/>
        <stp>BDH|11130119106263751049</stp>
        <tr r="E7" s="6"/>
      </tp>
      <tp t="e">
        <v>#N/A</v>
        <stp/>
        <stp>BDH|17089828142308469011</stp>
        <tr r="V8" s="8"/>
      </tp>
      <tp t="e">
        <v>#N/A</v>
        <stp/>
        <stp>BDH|16805564783520025898</stp>
        <tr r="P66" s="10"/>
        <tr r="P39" s="4"/>
      </tp>
      <tp t="e">
        <v>#N/A</v>
        <stp/>
        <stp>BDH|11779919170389244502</stp>
        <tr r="X24" s="6"/>
      </tp>
      <tp t="e">
        <v>#N/A</v>
        <stp/>
        <stp>BDH|14210065092098569679</stp>
        <tr r="L28" s="12"/>
      </tp>
      <tp t="e">
        <v>#N/A</v>
        <stp/>
        <stp>BDH|17933186174426991482</stp>
        <tr r="N49" s="18"/>
      </tp>
      <tp t="e">
        <v>#N/A</v>
        <stp/>
        <stp>BDH|16049757337800200142</stp>
        <tr r="O138" s="18"/>
      </tp>
      <tp t="e">
        <v>#N/A</v>
        <stp/>
        <stp>BDH|10773338334165632624</stp>
        <tr r="E33" s="13"/>
        <tr r="C26" s="10"/>
      </tp>
      <tp t="e">
        <v>#N/A</v>
        <stp/>
        <stp>BDH|13697420181755923985</stp>
        <tr r="I71" s="12"/>
      </tp>
      <tp t="e">
        <v>#N/A</v>
        <stp/>
        <stp>BDH|10508798936411978673</stp>
        <tr r="O111" s="18"/>
      </tp>
      <tp t="e">
        <v>#N/A</v>
        <stp/>
        <stp>BDH|16969657020861126094</stp>
        <tr r="K96" s="12"/>
      </tp>
      <tp t="e">
        <v>#N/A</v>
        <stp/>
        <stp>BDH|14790325800321641574</stp>
        <tr r="V180" s="18"/>
      </tp>
      <tp t="e">
        <v>#N/A</v>
        <stp/>
        <stp>BDH|15243540078044832028</stp>
        <tr r="G38" s="11"/>
        <tr r="G47" s="10"/>
      </tp>
      <tp t="e">
        <v>#N/A</v>
        <stp/>
        <stp>BDH|13159225957803405446</stp>
        <tr r="T22" s="11"/>
      </tp>
      <tp t="e">
        <v>#N/A</v>
        <stp/>
        <stp>BDH|16501392673126990724</stp>
        <tr r="Y10" s="34"/>
      </tp>
      <tp t="e">
        <v>#N/A</v>
        <stp/>
        <stp>BDH|14927294390034696821</stp>
        <tr r="K94" s="12"/>
      </tp>
      <tp t="e">
        <v>#N/A</v>
        <stp/>
        <stp>BDH|10463779975733179031</stp>
        <tr r="F214" s="18"/>
      </tp>
      <tp t="e">
        <v>#N/A</v>
        <stp/>
        <stp>BDH|14694710599040832927</stp>
        <tr r="R34" s="29"/>
      </tp>
      <tp t="e">
        <v>#N/A</v>
        <stp/>
        <stp>BDH|12647319623387746776</stp>
        <tr r="E69" s="13"/>
      </tp>
      <tp t="e">
        <v>#N/A</v>
        <stp/>
        <stp>BDH|16184359356295584637</stp>
        <tr r="I70" s="18"/>
      </tp>
      <tp t="e">
        <v>#N/A</v>
        <stp/>
        <stp>BDH|13556394364852555790</stp>
        <tr r="E21" s="5"/>
      </tp>
      <tp t="e">
        <v>#N/A</v>
        <stp/>
        <stp>BDH|15546284120104042299</stp>
        <tr r="F13" s="7"/>
      </tp>
      <tp t="e">
        <v>#N/A</v>
        <stp/>
        <stp>BDH|14155337460277697505</stp>
        <tr r="G81" s="12"/>
      </tp>
      <tp t="e">
        <v>#N/A</v>
        <stp/>
        <stp>BDH|12737797879037370600</stp>
        <tr r="U7" s="24"/>
      </tp>
      <tp t="e">
        <v>#N/A</v>
        <stp/>
        <stp>BDH|14241573617121710214</stp>
        <tr r="H11" s="28"/>
      </tp>
      <tp t="e">
        <v>#N/A</v>
        <stp/>
        <stp>BDH|11566819874955329877</stp>
        <tr r="R10" s="28"/>
      </tp>
      <tp t="e">
        <v>#N/A</v>
        <stp/>
        <stp>BDH|17046340245784572706</stp>
        <tr r="N63" s="18"/>
      </tp>
      <tp t="e">
        <v>#N/A</v>
        <stp/>
        <stp>BDH|15613134228012829715</stp>
        <tr r="P19" s="23"/>
        <tr r="N59" s="11"/>
      </tp>
      <tp t="e">
        <v>#N/A</v>
        <stp/>
        <stp>BDH|14042341946776427622</stp>
        <tr r="S86" s="24"/>
      </tp>
      <tp t="e">
        <v>#N/A</v>
        <stp/>
        <stp>BDH|15610299454895767484</stp>
        <tr r="F6" s="20"/>
        <tr r="F116" s="18"/>
      </tp>
      <tp t="e">
        <v>#N/A</v>
        <stp/>
        <stp>BDH|13318802985518371813</stp>
        <tr r="H9" s="23"/>
      </tp>
      <tp t="e">
        <v>#N/A</v>
        <stp/>
        <stp>BDH|17657949796555987193</stp>
        <tr r="N22" s="34"/>
      </tp>
      <tp t="e">
        <v>#N/A</v>
        <stp/>
        <stp>BDH|15743810203659048717</stp>
        <tr r="P9" s="28"/>
      </tp>
      <tp t="e">
        <v>#N/A</v>
        <stp/>
        <stp>BDH|16624651430000054077</stp>
        <tr r="F6" s="28"/>
      </tp>
      <tp t="e">
        <v>#N/A</v>
        <stp/>
        <stp>BDH|11046703464431533251</stp>
        <tr r="H9" s="30"/>
      </tp>
      <tp t="e">
        <v>#N/A</v>
        <stp/>
        <stp>BDH|14786316725900123664</stp>
        <tr r="N73" s="12"/>
      </tp>
      <tp t="e">
        <v>#N/A</v>
        <stp/>
        <stp>BDH|10195371245303690712</stp>
        <tr r="C15" s="14"/>
      </tp>
      <tp t="e">
        <v>#N/A</v>
        <stp/>
        <stp>BDH|14325352343201257137</stp>
        <tr r="Y28" s="26"/>
      </tp>
      <tp t="e">
        <v>#N/A</v>
        <stp/>
        <stp>BDH|17431872680727636315</stp>
        <tr r="P50" s="13"/>
      </tp>
      <tp t="e">
        <v>#N/A</v>
        <stp/>
        <stp>BDH|16189235533867125340</stp>
        <tr r="P42" s="29"/>
        <tr r="P33" s="29"/>
        <tr r="N55" s="6"/>
        <tr r="N11" s="5"/>
        <tr r="O10" s="2"/>
      </tp>
      <tp t="e">
        <v>#N/A</v>
        <stp/>
        <stp>BDH|10226120605334103606</stp>
        <tr r="T150" s="18"/>
      </tp>
      <tp t="e">
        <v>#N/A</v>
        <stp/>
        <stp>BDH|13410845842324642805</stp>
        <tr r="C17" s="22"/>
      </tp>
      <tp t="e">
        <v>#N/A</v>
        <stp/>
        <stp>BDH|16962310508093564516</stp>
        <tr r="H21" s="22"/>
      </tp>
      <tp t="e">
        <v>#N/A</v>
        <stp/>
        <stp>BDH|17017780439511263174</stp>
        <tr r="K99" s="18"/>
      </tp>
      <tp t="e">
        <v>#N/A</v>
        <stp/>
        <stp>BDH|10250950284367274557</stp>
        <tr r="Z26" s="14"/>
      </tp>
      <tp t="e">
        <v>#N/A</v>
        <stp/>
        <stp>BDH|15395610003817674730</stp>
        <tr r="N210" s="18"/>
      </tp>
      <tp t="e">
        <v>#N/A</v>
        <stp/>
        <stp>BDH|18332387189468113874</stp>
        <tr r="M6" s="27"/>
      </tp>
      <tp t="e">
        <v>#N/A</v>
        <stp/>
        <stp>BDH|10350054620299579870</stp>
        <tr r="W116" s="12"/>
      </tp>
      <tp t="e">
        <v>#N/A</v>
        <stp/>
        <stp>BDH|15988343629180976799</stp>
        <tr r="I89" s="17"/>
      </tp>
      <tp t="e">
        <v>#N/A</v>
        <stp/>
        <stp>BDH|16391916575283211827</stp>
        <tr r="H64" s="34"/>
      </tp>
      <tp t="e">
        <v>#N/A</v>
        <stp/>
        <stp>BDH|14915935104189174789</stp>
        <tr r="F107" s="18"/>
      </tp>
      <tp t="e">
        <v>#N/A</v>
        <stp/>
        <stp>BDH|11008069435087653627</stp>
        <tr r="X50" s="24"/>
      </tp>
      <tp t="e">
        <v>#N/A</v>
        <stp/>
        <stp>BDH|10936655515210683487</stp>
        <tr r="E23" s="17"/>
      </tp>
      <tp t="e">
        <v>#N/A</v>
        <stp/>
        <stp>BDH|13179888816759956016</stp>
        <tr r="M26" s="24"/>
      </tp>
      <tp t="e">
        <v>#N/A</v>
        <stp/>
        <stp>BDH|14079841803238680767</stp>
        <tr r="R17" s="27"/>
        <tr r="R31" s="25"/>
        <tr r="O14" s="5"/>
      </tp>
      <tp t="e">
        <v>#N/A</v>
        <stp/>
        <stp>BDH|15307700524591874288</stp>
        <tr r="S213" s="18"/>
      </tp>
      <tp t="e">
        <v>#N/A</v>
        <stp/>
        <stp>BDH|17908798366055359027</stp>
        <tr r="I41" s="21"/>
      </tp>
      <tp t="e">
        <v>#N/A</v>
        <stp/>
        <stp>BDH|15371630723466093440</stp>
        <tr r="R10" s="25"/>
        <tr r="R55" s="17"/>
      </tp>
      <tp t="e">
        <v>#N/A</v>
        <stp/>
        <stp>BDH|14097255854577491729</stp>
        <tr r="P110" s="12"/>
      </tp>
      <tp t="e">
        <v>#N/A</v>
        <stp/>
        <stp>BDH|12877963159585406848</stp>
        <tr r="J6" s="15"/>
        <tr r="J6" s="10"/>
        <tr r="J11" s="4"/>
        <tr r="J12" s="2"/>
      </tp>
      <tp t="e">
        <v>#N/A</v>
        <stp/>
        <stp>BDH|11466379763422208552</stp>
        <tr r="W18" s="22"/>
      </tp>
      <tp t="e">
        <v>#N/A</v>
        <stp/>
        <stp>BDH|11481777056633121332</stp>
        <tr r="X57" s="12"/>
      </tp>
      <tp t="e">
        <v>#N/A</v>
        <stp/>
        <stp>BDH|12113706900321356759</stp>
        <tr r="G88" s="18"/>
      </tp>
      <tp t="e">
        <v>#N/A</v>
        <stp/>
        <stp>BDH|14884516657717886019</stp>
        <tr r="N23" s="25"/>
        <tr r="L20" s="11"/>
      </tp>
      <tp t="e">
        <v>#N/A</v>
        <stp/>
        <stp>BDH|16516718326120547004</stp>
        <tr r="V73" s="17"/>
      </tp>
      <tp t="e">
        <v>#N/A</v>
        <stp/>
        <stp>BDH|15008167562426740748</stp>
        <tr r="N58" s="34"/>
      </tp>
      <tp t="e">
        <v>#N/A</v>
        <stp/>
        <stp>BDH|11299254255464656133</stp>
        <tr r="O26" s="22"/>
      </tp>
      <tp t="e">
        <v>#N/A</v>
        <stp/>
        <stp>BDH|15184951628075246892</stp>
        <tr r="C17" s="34"/>
      </tp>
      <tp t="e">
        <v>#N/A</v>
        <stp/>
        <stp>BDH|16415622280342191906</stp>
        <tr r="F60" s="18"/>
      </tp>
      <tp t="e">
        <v>#N/A</v>
        <stp/>
        <stp>BDH|13047389959616440021</stp>
        <tr r="H29" s="21"/>
      </tp>
      <tp t="e">
        <v>#N/A</v>
        <stp/>
        <stp>BDH|11857575762283952239</stp>
        <tr r="E41" s="18"/>
      </tp>
      <tp t="e">
        <v>#N/A</v>
        <stp/>
        <stp>BDH|11483153953716010051</stp>
        <tr r="R6" s="28"/>
      </tp>
      <tp t="e">
        <v>#N/A</v>
        <stp/>
        <stp>BDH|10703113125246739631</stp>
        <tr r="W23" s="9"/>
        <tr r="W23" s="5"/>
      </tp>
      <tp t="e">
        <v>#N/A</v>
        <stp/>
        <stp>BDH|13202627849581925373</stp>
        <tr r="J10" s="28"/>
      </tp>
      <tp t="e">
        <v>#N/A</v>
        <stp/>
        <stp>BDH|14773188168380399036</stp>
        <tr r="T83" s="18"/>
      </tp>
      <tp t="e">
        <v>#N/A</v>
        <stp/>
        <stp>BDH|15386479278617939226</stp>
        <tr r="Y59" s="13"/>
      </tp>
      <tp t="e">
        <v>#N/A</v>
        <stp/>
        <stp>BDH|13224914784434689568</stp>
        <tr r="D93" s="12"/>
      </tp>
      <tp t="e">
        <v>#N/A</v>
        <stp/>
        <stp>BDH|17495474676652007529</stp>
        <tr r="H196" s="18"/>
      </tp>
      <tp t="e">
        <v>#N/A</v>
        <stp/>
        <stp>BDH|15502108212155236328</stp>
        <tr r="D9" s="24"/>
      </tp>
      <tp t="e">
        <v>#N/A</v>
        <stp/>
        <stp>BDH|13932877440959161589</stp>
        <tr r="K35" s="4"/>
      </tp>
      <tp t="e">
        <v>#N/A</v>
        <stp/>
        <stp>BDH|13501148006691775078</stp>
        <tr r="X43" s="17"/>
      </tp>
      <tp t="e">
        <v>#N/A</v>
        <stp/>
        <stp>BDH|14993511537665066489</stp>
        <tr r="C15" s="18"/>
      </tp>
      <tp t="e">
        <v>#N/A</v>
        <stp/>
        <stp>BDH|16119617581912598936</stp>
        <tr r="R97" s="18"/>
      </tp>
      <tp t="e">
        <v>#N/A</v>
        <stp/>
        <stp>BDH|11345978080873516065</stp>
        <tr r="K14" s="12"/>
      </tp>
      <tp t="e">
        <v>#N/A</v>
        <stp/>
        <stp>BDH|14624524657017575011</stp>
        <tr r="U32" s="6"/>
      </tp>
      <tp t="e">
        <v>#N/A</v>
        <stp/>
        <stp>BDH|14542181849110249210</stp>
        <tr r="K113" s="12"/>
      </tp>
      <tp t="e">
        <v>#N/A</v>
        <stp/>
        <stp>BDH|13928696110343302440</stp>
        <tr r="O7" s="27"/>
        <tr r="O95" s="17"/>
      </tp>
      <tp t="e">
        <v>#N/A</v>
        <stp/>
        <stp>BDH|13302217135724713576</stp>
        <tr r="N24" s="18"/>
      </tp>
      <tp t="e">
        <v>#N/A</v>
        <stp/>
        <stp>BDH|13326245061631027514</stp>
        <tr r="P15" s="23"/>
        <tr r="N58" s="11"/>
      </tp>
      <tp t="e">
        <v>#N/A</v>
        <stp/>
        <stp>BDH|10561306618545816422</stp>
        <tr r="D62" s="13"/>
      </tp>
      <tp t="e">
        <v>#N/A</v>
        <stp/>
        <stp>BDH|17728040801745772124</stp>
        <tr r="X35" s="26"/>
      </tp>
      <tp t="e">
        <v>#N/A</v>
        <stp/>
        <stp>BDH|13229750976740357056</stp>
        <tr r="C15" s="11"/>
      </tp>
      <tp t="e">
        <v>#N/A</v>
        <stp/>
        <stp>BDH|18327331492787362667</stp>
        <tr r="M30" s="29"/>
        <tr r="M8" s="29"/>
      </tp>
      <tp t="e">
        <v>#N/A</v>
        <stp/>
        <stp>BDH|13008645757755731634</stp>
        <tr r="R19" s="25"/>
      </tp>
      <tp t="e">
        <v>#N/A</v>
        <stp/>
        <stp>BDH|16433367111536302174</stp>
        <tr r="Q81" s="34"/>
      </tp>
      <tp t="e">
        <v>#N/A</v>
        <stp/>
        <stp>BDH|17563205517341110644</stp>
        <tr r="W41" s="12"/>
      </tp>
      <tp t="e">
        <v>#N/A</v>
        <stp/>
        <stp>BDH|17628060042664425412</stp>
        <tr r="V85" s="24"/>
      </tp>
      <tp t="e">
        <v>#N/A</v>
        <stp/>
        <stp>BDH|15746631303124513451</stp>
        <tr r="X18" s="12"/>
      </tp>
      <tp t="e">
        <v>#N/A</v>
        <stp/>
        <stp>BDH|15853645089600704852</stp>
        <tr r="I19" s="34"/>
      </tp>
      <tp t="e">
        <v>#N/A</v>
        <stp/>
        <stp>BDH|10491847491230017269</stp>
        <tr r="J111" s="12"/>
      </tp>
      <tp t="e">
        <v>#N/A</v>
        <stp/>
        <stp>BDH|11716855191222464104</stp>
        <tr r="T14" s="12"/>
      </tp>
      <tp t="e">
        <v>#N/A</v>
        <stp/>
        <stp>BDH|10721236202596829797</stp>
        <tr r="P19" s="26"/>
      </tp>
      <tp t="e">
        <v>#N/A</v>
        <stp/>
        <stp>BDH|10092187668214145073</stp>
        <tr r="M63" s="21"/>
      </tp>
      <tp t="e">
        <v>#N/A</v>
        <stp/>
        <stp>BDH|10645062895539084331</stp>
        <tr r="M49" s="24"/>
      </tp>
      <tp t="e">
        <v>#N/A</v>
        <stp/>
        <stp>BDH|13771208729974886404</stp>
        <tr r="D19" s="18"/>
      </tp>
      <tp t="e">
        <v>#N/A</v>
        <stp/>
        <stp>BDH|15008734126202193126</stp>
        <tr r="W46" s="11"/>
        <tr r="W55" s="10"/>
        <tr r="W7" s="7"/>
        <tr r="Y12" s="3"/>
      </tp>
      <tp t="e">
        <v>#N/A</v>
        <stp/>
        <stp>BDH|11675357327190688340</stp>
        <tr r="N14" s="21"/>
      </tp>
      <tp t="e">
        <v>#N/A</v>
        <stp/>
        <stp>BDH|15725976497286688077</stp>
        <tr r="U85" s="18"/>
      </tp>
      <tp t="e">
        <v>#N/A</v>
        <stp/>
        <stp>BDH|17304751310055581750</stp>
        <tr r="F25" s="3"/>
      </tp>
      <tp t="e">
        <v>#N/A</v>
        <stp/>
        <stp>BDH|11396155506410680308</stp>
        <tr r="O121" s="12"/>
      </tp>
      <tp t="e">
        <v>#N/A</v>
        <stp/>
        <stp>BDH|14438168370431600020</stp>
        <tr r="Q8" s="22"/>
      </tp>
      <tp t="e">
        <v>#N/A</v>
        <stp/>
        <stp>BDH|15480590708841070238</stp>
        <tr r="Y75" s="18"/>
      </tp>
      <tp t="e">
        <v>#N/A</v>
        <stp/>
        <stp>BDH|12889846197264963444</stp>
        <tr r="J67" s="12"/>
      </tp>
      <tp t="e">
        <v>#N/A</v>
        <stp/>
        <stp>BDH|18378743194450376569</stp>
        <tr r="F93" s="24"/>
      </tp>
      <tp t="e">
        <v>#N/A</v>
        <stp/>
        <stp>BDH|14242773610289388803</stp>
        <tr r="J24" s="18"/>
      </tp>
      <tp t="e">
        <v>#N/A</v>
        <stp/>
        <stp>BDH|16752368090706242950</stp>
        <tr r="X45" s="18"/>
      </tp>
      <tp t="e">
        <v>#N/A</v>
        <stp/>
        <stp>BDH|16889106938795033267</stp>
        <tr r="I134" s="18"/>
      </tp>
      <tp t="e">
        <v>#N/A</v>
        <stp/>
        <stp>BDH|11297025482493224966</stp>
        <tr r="M205" s="18"/>
      </tp>
      <tp t="e">
        <v>#N/A</v>
        <stp/>
        <stp>BDH|11925677062146287480</stp>
        <tr r="H167" s="18"/>
      </tp>
      <tp t="e">
        <v>#N/A</v>
        <stp/>
        <stp>BDH|12937213748945765213</stp>
        <tr r="AA97" s="18"/>
      </tp>
      <tp t="e">
        <v>#N/A</v>
        <stp/>
        <stp>BDH|11187571417503133563</stp>
        <tr r="G63" s="10"/>
      </tp>
      <tp t="e">
        <v>#N/A</v>
        <stp/>
        <stp>BDH|16129009564453684054</stp>
        <tr r="D81" s="34"/>
      </tp>
      <tp t="e">
        <v>#N/A</v>
        <stp/>
        <stp>BDH|17459115963285826683</stp>
        <tr r="V30" s="12"/>
      </tp>
      <tp t="e">
        <v>#N/A</v>
        <stp/>
        <stp>BDH|17852018165356248489</stp>
        <tr r="R30" s="18"/>
      </tp>
      <tp t="e">
        <v>#N/A</v>
        <stp/>
        <stp>BDH|15716660814285597469</stp>
        <tr r="H143" s="18"/>
      </tp>
      <tp t="e">
        <v>#N/A</v>
        <stp/>
        <stp>BDH|11845529175124885417</stp>
        <tr r="I48" s="13"/>
      </tp>
      <tp t="e">
        <v>#N/A</v>
        <stp/>
        <stp>BDH|14079655901904488561</stp>
        <tr r="H24" s="24"/>
      </tp>
      <tp t="e">
        <v>#N/A</v>
        <stp/>
        <stp>BDH|12534076266105503276</stp>
        <tr r="E41" s="21"/>
      </tp>
      <tp t="e">
        <v>#N/A</v>
        <stp/>
        <stp>BDH|15120308056051382120</stp>
        <tr r="N52" s="18"/>
      </tp>
      <tp t="e">
        <v>#N/A</v>
        <stp/>
        <stp>BDH|14535139804754399276</stp>
        <tr r="U57" s="12"/>
      </tp>
      <tp t="e">
        <v>#N/A</v>
        <stp/>
        <stp>BDH|13771734082997395832</stp>
        <tr r="V33" s="24"/>
      </tp>
      <tp t="e">
        <v>#N/A</v>
        <stp/>
        <stp>BDH|14100641856932013658</stp>
        <tr r="K156" s="18"/>
      </tp>
      <tp t="e">
        <v>#N/A</v>
        <stp/>
        <stp>BDH|13878291205290245201</stp>
        <tr r="AA19" s="20"/>
      </tp>
      <tp t="e">
        <v>#N/A</v>
        <stp/>
        <stp>BDH|14726654758662801641</stp>
        <tr r="I85" s="18"/>
      </tp>
      <tp t="e">
        <v>#N/A</v>
        <stp/>
        <stp>BDH|17786508860974418359</stp>
        <tr r="J30" s="29"/>
        <tr r="J8" s="29"/>
      </tp>
      <tp t="e">
        <v>#N/A</v>
        <stp/>
        <stp>BDH|12690459186678574560</stp>
        <tr r="Y24" s="13"/>
      </tp>
      <tp t="e">
        <v>#N/A</v>
        <stp/>
        <stp>BDH|10229692271252555090</stp>
        <tr r="L26" s="29"/>
      </tp>
      <tp t="e">
        <v>#N/A</v>
        <stp/>
        <stp>BDH|12344560823245453344</stp>
        <tr r="O20" s="10"/>
      </tp>
      <tp t="e">
        <v>#N/A</v>
        <stp/>
        <stp>BDH|17919174596318837462</stp>
        <tr r="U31" s="12"/>
      </tp>
      <tp t="e">
        <v>#N/A</v>
        <stp/>
        <stp>BDH|15461102846643228067</stp>
        <tr r="R63" s="12"/>
      </tp>
      <tp t="e">
        <v>#N/A</v>
        <stp/>
        <stp>BDH|16212637746203651476</stp>
        <tr r="P7" s="17"/>
      </tp>
      <tp t="e">
        <v>#N/A</v>
        <stp/>
        <stp>BDH|17800433676737821031</stp>
        <tr r="R115" s="12"/>
      </tp>
      <tp t="e">
        <v>#N/A</v>
        <stp/>
        <stp>BDH|11104032169734867054</stp>
        <tr r="Y53" s="17"/>
      </tp>
      <tp t="e">
        <v>#N/A</v>
        <stp/>
        <stp>BDH|14941424014113140182</stp>
        <tr r="V7" s="24"/>
      </tp>
      <tp t="e">
        <v>#N/A</v>
        <stp/>
        <stp>BDH|18436662104045766871</stp>
        <tr r="C10" s="18"/>
      </tp>
      <tp t="e">
        <v>#N/A</v>
        <stp/>
        <stp>BDH|13740135247222304765</stp>
        <tr r="E22" s="7"/>
      </tp>
      <tp t="e">
        <v>#N/A</v>
        <stp/>
        <stp>BDH|15176683790669878070</stp>
        <tr r="Z17" s="34"/>
      </tp>
      <tp t="e">
        <v>#N/A</v>
        <stp/>
        <stp>BDH|16148649420802137323</stp>
        <tr r="O7" s="4"/>
      </tp>
      <tp t="e">
        <v>#N/A</v>
        <stp/>
        <stp>BDH|10624200603124527564</stp>
        <tr r="E170" s="18"/>
      </tp>
      <tp t="e">
        <v>#N/A</v>
        <stp/>
        <stp>BDH|15621472778037612294</stp>
        <tr r="J41" s="21"/>
      </tp>
      <tp t="e">
        <v>#N/A</v>
        <stp/>
        <stp>BDH|12725203968892140776</stp>
        <tr r="J96" s="12"/>
      </tp>
      <tp t="e">
        <v>#N/A</v>
        <stp/>
        <stp>BDH|11609308519687453720</stp>
        <tr r="G44" s="6"/>
      </tp>
      <tp t="e">
        <v>#N/A</v>
        <stp/>
        <stp>BDH|12192905837783864877</stp>
        <tr r="L90" s="18"/>
      </tp>
      <tp t="e">
        <v>#N/A</v>
        <stp/>
        <stp>BDH|16913762133417495614</stp>
        <tr r="K55" s="21"/>
      </tp>
      <tp t="e">
        <v>#N/A</v>
        <stp/>
        <stp>BDH|12564966261118908628</stp>
        <tr r="X29" s="12"/>
      </tp>
      <tp t="e">
        <v>#N/A</v>
        <stp/>
        <stp>BDH|15685325249187101655</stp>
        <tr r="R70" s="24"/>
      </tp>
      <tp t="e">
        <v>#N/A</v>
        <stp/>
        <stp>BDH|11159298723835442769</stp>
        <tr r="M62" s="11"/>
        <tr r="M71" s="10"/>
      </tp>
      <tp t="e">
        <v>#N/A</v>
        <stp/>
        <stp>BDH|15908613715633689225</stp>
        <tr r="U92" s="24"/>
      </tp>
      <tp t="e">
        <v>#N/A</v>
        <stp/>
        <stp>BDH|15994054675437726673</stp>
        <tr r="G30" s="22"/>
      </tp>
      <tp t="e">
        <v>#N/A</v>
        <stp/>
        <stp>BDH|11721132726611387086</stp>
        <tr r="L14" s="24"/>
      </tp>
      <tp t="e">
        <v>#N/A</v>
        <stp/>
        <stp>BDH|14634090353304599606</stp>
        <tr r="G24" s="24"/>
      </tp>
      <tp t="e">
        <v>#N/A</v>
        <stp/>
        <stp>BDH|13084866116798917107</stp>
        <tr r="S74" s="12"/>
      </tp>
      <tp t="e">
        <v>#N/A</v>
        <stp/>
        <stp>BDH|12979046119800879051</stp>
        <tr r="D7" s="11"/>
      </tp>
      <tp t="e">
        <v>#N/A</v>
        <stp/>
        <stp>BDH|14305639870373028595</stp>
        <tr r="W18" s="20"/>
      </tp>
      <tp t="e">
        <v>#N/A</v>
        <stp/>
        <stp>BDH|17517964706915439883</stp>
        <tr r="L17" s="27"/>
        <tr r="L31" s="25"/>
        <tr r="I14" s="5"/>
      </tp>
      <tp t="e">
        <v>#N/A</v>
        <stp/>
        <stp>BDH|15615434404067948512</stp>
        <tr r="V40" s="24"/>
      </tp>
      <tp t="e">
        <v>#N/A</v>
        <stp/>
        <stp>BDH|13468695780399538710</stp>
        <tr r="F11" s="29"/>
      </tp>
      <tp t="e">
        <v>#N/A</v>
        <stp/>
        <stp>BDH|13584058988960235839</stp>
        <tr r="P28" s="22"/>
      </tp>
      <tp t="e">
        <v>#N/A</v>
        <stp/>
        <stp>BDH|14096091734092092642</stp>
        <tr r="Y29" s="12"/>
      </tp>
      <tp t="e">
        <v>#N/A</v>
        <stp/>
        <stp>BDH|10137147947293817534</stp>
        <tr r="AA86" s="24"/>
      </tp>
      <tp t="e">
        <v>#N/A</v>
        <stp/>
        <stp>BDH|13658464329227663167</stp>
        <tr r="C93" s="24"/>
      </tp>
      <tp t="e">
        <v>#N/A</v>
        <stp/>
        <stp>BDH|14600171954212852144</stp>
        <tr r="X121" s="12"/>
      </tp>
      <tp t="e">
        <v>#N/A</v>
        <stp/>
        <stp>BDH|14414257150310130094</stp>
        <tr r="V58" s="17"/>
      </tp>
      <tp t="e">
        <v>#N/A</v>
        <stp/>
        <stp>BDH|14419077349707739440</stp>
        <tr r="W32" s="26"/>
      </tp>
      <tp t="e">
        <v>#N/A</v>
        <stp/>
        <stp>BDH|11970470382178426616</stp>
        <tr r="F18" s="17"/>
      </tp>
      <tp t="e">
        <v>#N/A</v>
        <stp/>
        <stp>BDH|17515397093436279844</stp>
        <tr r="L81" s="34"/>
      </tp>
      <tp t="e">
        <v>#N/A</v>
        <stp/>
        <stp>BDH|10925727761390638254</stp>
        <tr r="S10" s="34"/>
      </tp>
      <tp t="e">
        <v>#N/A</v>
        <stp/>
        <stp>BDH|16139746116017916434</stp>
        <tr r="N27" s="13"/>
      </tp>
      <tp t="e">
        <v>#N/A</v>
        <stp/>
        <stp>BDH|10611070864757918257</stp>
        <tr r="T32" s="24"/>
      </tp>
      <tp t="e">
        <v>#N/A</v>
        <stp/>
        <stp>BDH|11550037375356822323</stp>
        <tr r="K100" s="12"/>
      </tp>
      <tp t="e">
        <v>#N/A</v>
        <stp/>
        <stp>BDH|11342486222590729475</stp>
        <tr r="N88" s="24"/>
      </tp>
      <tp t="e">
        <v>#N/A</v>
        <stp/>
        <stp>BDH|17981381597458981665</stp>
        <tr r="W40" s="17"/>
      </tp>
      <tp t="e">
        <v>#N/A</v>
        <stp/>
        <stp>BDH|10262292854585537135</stp>
        <tr r="T101" s="12"/>
      </tp>
      <tp t="e">
        <v>#N/A</v>
        <stp/>
        <stp>BDH|11477171707467975442</stp>
        <tr r="M140" s="18"/>
      </tp>
      <tp t="e">
        <v>#N/A</v>
        <stp/>
        <stp>BDH|14061646811242435287</stp>
        <tr r="M56" s="18"/>
      </tp>
      <tp t="e">
        <v>#N/A</v>
        <stp/>
        <stp>BDH|14505385263205605711</stp>
        <tr r="C77" s="18"/>
      </tp>
      <tp t="e">
        <v>#N/A</v>
        <stp/>
        <stp>BDH|15962630054566056370</stp>
        <tr r="X23" s="26"/>
      </tp>
      <tp t="e">
        <v>#N/A</v>
        <stp/>
        <stp>BDH|11551130508080203350</stp>
        <tr r="V46" s="18"/>
      </tp>
      <tp t="e">
        <v>#N/A</v>
        <stp/>
        <stp>BDH|12867247747795433260</stp>
        <tr r="H47" s="24"/>
      </tp>
      <tp t="e">
        <v>#N/A</v>
        <stp/>
        <stp>BDH|18236925955181409683</stp>
        <tr r="P24" s="18"/>
      </tp>
      <tp t="e">
        <v>#N/A</v>
        <stp/>
        <stp>BDH|17801425742492767663</stp>
        <tr r="J19" s="28"/>
        <tr r="J16" s="17"/>
      </tp>
      <tp t="e">
        <v>#N/A</v>
        <stp/>
        <stp>BDH|12929830616730268877</stp>
        <tr r="C45" s="13"/>
      </tp>
      <tp t="e">
        <v>#N/A</v>
        <stp/>
        <stp>BDH|17125664438858475932</stp>
        <tr r="K105" s="18"/>
      </tp>
      <tp t="e">
        <v>#N/A</v>
        <stp/>
        <stp>BDH|10830393910054121588</stp>
        <tr r="N48" s="24"/>
      </tp>
      <tp t="e">
        <v>#N/A</v>
        <stp/>
        <stp>BDH|12884377322682654235</stp>
        <tr r="Z33" s="14"/>
      </tp>
      <tp t="e">
        <v>#N/A</v>
        <stp/>
        <stp>BDH|14990894486363777490</stp>
        <tr r="M48" s="24"/>
      </tp>
      <tp t="e">
        <v>#N/A</v>
        <stp/>
        <stp>BDH|15700201928392195462</stp>
        <tr r="P55" s="21"/>
      </tp>
      <tp t="e">
        <v>#N/A</v>
        <stp/>
        <stp>BDH|15014091109730976619</stp>
        <tr r="M21" s="22"/>
      </tp>
      <tp t="e">
        <v>#N/A</v>
        <stp/>
        <stp>BDH|11283074949561053744</stp>
        <tr r="G14" s="11"/>
      </tp>
      <tp t="e">
        <v>#N/A</v>
        <stp/>
        <stp>BDH|11994304049386035385</stp>
        <tr r="AA26" s="34"/>
      </tp>
      <tp t="e">
        <v>#N/A</v>
        <stp/>
        <stp>BDH|11613286235963151023</stp>
        <tr r="T38" s="6"/>
      </tp>
      <tp t="e">
        <v>#N/A</v>
        <stp/>
        <stp>BDH|13830689291287867811</stp>
        <tr r="R25" s="13"/>
      </tp>
      <tp t="e">
        <v>#N/A</v>
        <stp/>
        <stp>BDH|17676817987882138694</stp>
        <tr r="G12" s="20"/>
        <tr r="G121" s="18"/>
      </tp>
      <tp t="e">
        <v>#N/A</v>
        <stp/>
        <stp>BDH|17875328664100439122</stp>
        <tr r="Y42" s="29"/>
        <tr r="Y33" s="29"/>
        <tr r="W55" s="6"/>
        <tr r="W11" s="5"/>
        <tr r="X10" s="2"/>
      </tp>
      <tp t="e">
        <v>#N/A</v>
        <stp/>
        <stp>BDH|15655327658474001449</stp>
        <tr r="U21" s="5"/>
      </tp>
      <tp t="e">
        <v>#N/A</v>
        <stp/>
        <stp>BDH|12482296774522163602</stp>
        <tr r="J59" s="13"/>
      </tp>
      <tp t="e">
        <v>#N/A</v>
        <stp/>
        <stp>BDH|17114283578160181184</stp>
        <tr r="C67" s="17"/>
      </tp>
      <tp t="e">
        <v>#N/A</v>
        <stp/>
        <stp>BDH|10695999117262982994</stp>
        <tr r="I115" s="18"/>
      </tp>
      <tp t="e">
        <v>#N/A</v>
        <stp/>
        <stp>BDH|16057076365577983430</stp>
        <tr r="D17" s="18"/>
      </tp>
      <tp t="e">
        <v>#N/A</v>
        <stp/>
        <stp>BDH|10833219836242021077</stp>
        <tr r="W113" s="18"/>
      </tp>
      <tp t="e">
        <v>#N/A</v>
        <stp/>
        <stp>BDH|15371230769823040117</stp>
        <tr r="S85" s="18"/>
      </tp>
      <tp t="e">
        <v>#N/A</v>
        <stp/>
        <stp>BDH|14894785029686581441</stp>
        <tr r="R9" s="27"/>
      </tp>
      <tp t="e">
        <v>#N/A</v>
        <stp/>
        <stp>BDH|13789674680847050982</stp>
        <tr r="X32" s="11"/>
        <tr r="X41" s="10"/>
      </tp>
      <tp t="e">
        <v>#N/A</v>
        <stp/>
        <stp>BDH|13622884923373456913</stp>
        <tr r="V167" s="18"/>
      </tp>
      <tp t="e">
        <v>#N/A</v>
        <stp/>
        <stp>BDH|14671582047925687377</stp>
        <tr r="I34" s="12"/>
      </tp>
      <tp t="e">
        <v>#N/A</v>
        <stp/>
        <stp>BDH|11375026924297982748</stp>
        <tr r="P50" s="4"/>
      </tp>
      <tp t="e">
        <v>#N/A</v>
        <stp/>
        <stp>BDH|14106000449424176710</stp>
        <tr r="X13" s="6"/>
      </tp>
      <tp t="e">
        <v>#N/A</v>
        <stp/>
        <stp>BDH|12800083960012099589</stp>
        <tr r="M64" s="10"/>
      </tp>
      <tp t="e">
        <v>#N/A</v>
        <stp/>
        <stp>BDH|10400171845250844665</stp>
        <tr r="H66" s="21"/>
        <tr r="E31" s="6"/>
      </tp>
      <tp t="e">
        <v>#N/A</v>
        <stp/>
        <stp>BDH|10137810896594934677</stp>
        <tr r="Q147" s="18"/>
      </tp>
      <tp t="e">
        <v>#N/A</v>
        <stp/>
        <stp>BDH|12616801382162596399</stp>
        <tr r="W11" s="7"/>
      </tp>
      <tp t="e">
        <v>#N/A</v>
        <stp/>
        <stp>BDH|14849502209675948705</stp>
        <tr r="K17" s="14"/>
      </tp>
      <tp t="e">
        <v>#N/A</v>
        <stp/>
        <stp>BDH|12132045248777704220</stp>
        <tr r="J33" s="12"/>
      </tp>
      <tp t="e">
        <v>#N/A</v>
        <stp/>
        <stp>BDH|18373386542068412451</stp>
        <tr r="V42" s="34"/>
      </tp>
      <tp t="e">
        <v>#N/A</v>
        <stp/>
        <stp>BDH|17363533650653177794</stp>
        <tr r="Z67" s="21"/>
      </tp>
      <tp t="e">
        <v>#N/A</v>
        <stp/>
        <stp>BDH|11640764714071521592</stp>
        <tr r="U24" s="18"/>
      </tp>
      <tp t="e">
        <v>#N/A</v>
        <stp/>
        <stp>BDH|12123280409214957715</stp>
        <tr r="U10" s="34"/>
      </tp>
      <tp t="e">
        <v>#N/A</v>
        <stp/>
        <stp>BDH|11723979899837427556</stp>
        <tr r="O55" s="12"/>
      </tp>
      <tp t="e">
        <v>#N/A</v>
        <stp/>
        <stp>BDH|11875734912775531140</stp>
        <tr r="T58" s="34"/>
      </tp>
      <tp t="e">
        <v>#N/A</v>
        <stp/>
        <stp>BDH|12007560208881488527</stp>
        <tr r="Q27" s="13"/>
      </tp>
      <tp t="e">
        <v>#N/A</v>
        <stp/>
        <stp>BDH|13790743471217894726</stp>
        <tr r="D35" s="12"/>
      </tp>
      <tp t="e">
        <v>#N/A</v>
        <stp/>
        <stp>BDH|12283466358971248166</stp>
        <tr r="D23" s="23"/>
      </tp>
      <tp t="e">
        <v>#N/A</v>
        <stp/>
        <stp>BDH|13366033019287242637</stp>
        <tr r="F199" s="18"/>
      </tp>
      <tp t="e">
        <v>#N/A</v>
        <stp/>
        <stp>BDH|14937648761003240454</stp>
        <tr r="Q36" s="12"/>
      </tp>
      <tp t="e">
        <v>#N/A</v>
        <stp/>
        <stp>BDH|13126037154784802158</stp>
        <tr r="P61" s="34"/>
      </tp>
      <tp t="e">
        <v>#N/A</v>
        <stp/>
        <stp>BDH|16069517630917367494</stp>
        <tr r="P112" s="12"/>
      </tp>
      <tp t="e">
        <v>#N/A</v>
        <stp/>
        <stp>BDH|17738101898268394473</stp>
        <tr r="F74" s="24"/>
      </tp>
      <tp t="e">
        <v>#N/A</v>
        <stp/>
        <stp>BDH|16695703643223658584</stp>
        <tr r="F121" s="12"/>
      </tp>
      <tp t="e">
        <v>#N/A</v>
        <stp/>
        <stp>BDH|14175641798740402828</stp>
        <tr r="X111" s="18"/>
      </tp>
      <tp t="e">
        <v>#N/A</v>
        <stp/>
        <stp>BDH|12454789171035445421</stp>
        <tr r="W21" s="12"/>
      </tp>
      <tp t="e">
        <v>#N/A</v>
        <stp/>
        <stp>BDH|16188194234032054571</stp>
        <tr r="Q69" s="18"/>
      </tp>
      <tp t="e">
        <v>#N/A</v>
        <stp/>
        <stp>BDH|15317399703736638344</stp>
        <tr r="K47" s="18"/>
      </tp>
      <tp t="e">
        <v>#N/A</v>
        <stp/>
        <stp>BDH|17678739875937898336</stp>
        <tr r="Z11" s="22"/>
      </tp>
      <tp t="e">
        <v>#N/A</v>
        <stp/>
        <stp>BDH|10786240478074294229</stp>
        <tr r="J7" s="8"/>
      </tp>
      <tp t="e">
        <v>#N/A</v>
        <stp/>
        <stp>BDH|16163594059164398195</stp>
        <tr r="T33" s="9"/>
      </tp>
      <tp t="e">
        <v>#N/A</v>
        <stp/>
        <stp>BDH|14083913006768819642</stp>
        <tr r="J40" s="17"/>
      </tp>
      <tp t="e">
        <v>#N/A</v>
        <stp/>
        <stp>BDH|16978392942541079398</stp>
        <tr r="Z35" s="13"/>
        <tr r="X28" s="10"/>
      </tp>
      <tp t="e">
        <v>#N/A</v>
        <stp/>
        <stp>BDH|15636304337897385198</stp>
        <tr r="C48" s="18"/>
      </tp>
      <tp t="e">
        <v>#N/A</v>
        <stp/>
        <stp>BDH|14032919128718336411</stp>
        <tr r="C48" s="6"/>
      </tp>
      <tp t="e">
        <v>#N/A</v>
        <stp/>
        <stp>BDH|14752259889988525558</stp>
        <tr r="P71" s="17"/>
        <tr r="M8" s="9"/>
        <tr r="M8" s="5"/>
      </tp>
      <tp t="e">
        <v>#N/A</v>
        <stp/>
        <stp>BDH|11090511289177506866</stp>
        <tr r="J19" s="24"/>
      </tp>
      <tp t="e">
        <v>#N/A</v>
        <stp/>
        <stp>BDH|12427109058354022174</stp>
        <tr r="J14" s="34"/>
      </tp>
      <tp t="e">
        <v>#N/A</v>
        <stp/>
        <stp>BDH|10981762430145312274</stp>
        <tr r="R11" s="11"/>
      </tp>
      <tp t="e">
        <v>#N/A</v>
        <stp/>
        <stp>BDH|10712661158091756158</stp>
        <tr r="M22" s="24"/>
      </tp>
      <tp t="e">
        <v>#N/A</v>
        <stp/>
        <stp>BDH|13809153743726183341</stp>
        <tr r="O181" s="18"/>
      </tp>
      <tp t="e">
        <v>#N/A</v>
        <stp/>
        <stp>BDH|13671674708647205109</stp>
        <tr r="P173" s="18"/>
      </tp>
      <tp t="e">
        <v>#N/A</v>
        <stp/>
        <stp>BDH|14268161333577871246</stp>
        <tr r="K27" s="34"/>
      </tp>
      <tp t="e">
        <v>#N/A</v>
        <stp/>
        <stp>BDH|14737188871522190345</stp>
        <tr r="M42" s="24"/>
      </tp>
      <tp t="e">
        <v>#N/A</v>
        <stp/>
        <stp>BDH|13643898895937623675</stp>
        <tr r="F40" s="22"/>
      </tp>
      <tp t="e">
        <v>#N/A</v>
        <stp/>
        <stp>BDH|12207952674167873806</stp>
        <tr r="K28" s="21"/>
      </tp>
      <tp t="e">
        <v>#N/A</v>
        <stp/>
        <stp>BDH|15376267064244805620</stp>
        <tr r="V24" s="6"/>
      </tp>
      <tp t="e">
        <v>#N/A</v>
        <stp/>
        <stp>BDH|12227376446525853306</stp>
        <tr r="Z33" s="21"/>
      </tp>
      <tp t="e">
        <v>#N/A</v>
        <stp/>
        <stp>BDH|15286489211853823089</stp>
        <tr r="Z27" s="26"/>
      </tp>
      <tp t="e">
        <v>#N/A</v>
        <stp/>
        <stp>BDH|18202971344351279784</stp>
        <tr r="Q41" s="21"/>
      </tp>
      <tp t="e">
        <v>#N/A</v>
        <stp/>
        <stp>BDH|17314780494899593311</stp>
        <tr r="R12" s="6"/>
      </tp>
      <tp t="e">
        <v>#N/A</v>
        <stp/>
        <stp>BDH|10467138734522036389</stp>
        <tr r="M37" s="26"/>
      </tp>
      <tp t="e">
        <v>#N/A</v>
        <stp/>
        <stp>BDH|11368437159185611640</stp>
        <tr r="P40" s="24"/>
      </tp>
      <tp t="e">
        <v>#N/A</v>
        <stp/>
        <stp>BDH|16345687547376267157</stp>
        <tr r="G43" s="22"/>
      </tp>
      <tp t="e">
        <v>#N/A</v>
        <stp/>
        <stp>BDH|16957863308578463584</stp>
        <tr r="S30" s="29"/>
        <tr r="S8" s="29"/>
      </tp>
      <tp t="e">
        <v>#N/A</v>
        <stp/>
        <stp>BDH|14725761204529714997</stp>
        <tr r="Z7" s="24"/>
      </tp>
      <tp t="e">
        <v>#N/A</v>
        <stp/>
        <stp>BDH|14288192747836106465</stp>
        <tr r="M27" s="17"/>
      </tp>
      <tp t="e">
        <v>#N/A</v>
        <stp/>
        <stp>BDH|13152101939161378305</stp>
        <tr r="M19" s="6"/>
      </tp>
      <tp t="e">
        <v>#N/A</v>
        <stp/>
        <stp>BDH|15711762228117047421</stp>
        <tr r="Y56" s="12"/>
      </tp>
      <tp t="e">
        <v>#N/A</v>
        <stp/>
        <stp>BDH|10910935803292616840</stp>
        <tr r="L14" s="6"/>
      </tp>
      <tp t="e">
        <v>#N/A</v>
        <stp/>
        <stp>BDH|13717254146720866673</stp>
        <tr r="E90" s="18"/>
      </tp>
      <tp t="e">
        <v>#N/A</v>
        <stp/>
        <stp>BDH|16409894826088103712</stp>
        <tr r="Q11" s="21"/>
      </tp>
      <tp t="e">
        <v>#N/A</v>
        <stp/>
        <stp>BDH|18213867867376835303</stp>
        <tr r="C39" s="13"/>
      </tp>
      <tp t="e">
        <v>#N/A</v>
        <stp/>
        <stp>BDH|10522110249316569032</stp>
        <tr r="X41" s="17"/>
      </tp>
      <tp t="e">
        <v>#N/A</v>
        <stp/>
        <stp>BDH|14047387566791583309</stp>
        <tr r="T20" s="23"/>
      </tp>
      <tp t="e">
        <v>#N/A</v>
        <stp/>
        <stp>BDH|10308651349797365675</stp>
        <tr r="G55" s="34"/>
      </tp>
      <tp t="e">
        <v>#N/A</v>
        <stp/>
        <stp>BDH|17820723624004317565</stp>
        <tr r="I35" s="25"/>
      </tp>
      <tp t="e">
        <v>#N/A</v>
        <stp/>
        <stp>BDH|11357720044718811967</stp>
        <tr r="C64" s="17"/>
      </tp>
      <tp t="e">
        <v>#N/A</v>
        <stp/>
        <stp>BDH|18394661798686437236</stp>
        <tr r="Z155" s="18"/>
      </tp>
      <tp t="e">
        <v>#N/A</v>
        <stp/>
        <stp>BDH|10498710521404869260</stp>
        <tr r="F63" s="24"/>
      </tp>
      <tp t="e">
        <v>#N/A</v>
        <stp/>
        <stp>BDH|11055129438964568459</stp>
        <tr r="C22" s="17"/>
        <tr r="C15" s="3"/>
      </tp>
      <tp t="e">
        <v>#N/A</v>
        <stp/>
        <stp>BDH|17887690432309168884</stp>
        <tr r="P87" s="17"/>
      </tp>
      <tp t="e">
        <v>#N/A</v>
        <stp/>
        <stp>BDH|11745470177818444991</stp>
        <tr r="T19" s="23"/>
        <tr r="R59" s="11"/>
      </tp>
      <tp t="e">
        <v>#N/A</v>
        <stp/>
        <stp>BDH|12106535099859370423</stp>
        <tr r="D23" s="30"/>
        <tr r="D25" s="23"/>
      </tp>
      <tp t="e">
        <v>#N/A</v>
        <stp/>
        <stp>BDH|12002634144996548580</stp>
        <tr r="M75" s="18"/>
      </tp>
      <tp t="e">
        <v>#N/A</v>
        <stp/>
        <stp>BDH|10972147839979975876</stp>
        <tr r="M71" s="18"/>
      </tp>
      <tp t="e">
        <v>#N/A</v>
        <stp/>
        <stp>BDH|11438471349955973793</stp>
        <tr r="P194" s="18"/>
      </tp>
      <tp t="e">
        <v>#N/A</v>
        <stp/>
        <stp>BDH|14166077620166480387</stp>
        <tr r="U58" s="24"/>
      </tp>
      <tp t="e">
        <v>#N/A</v>
        <stp/>
        <stp>BDH|13767784032241470539</stp>
        <tr r="H37" s="34"/>
      </tp>
      <tp t="e">
        <v>#N/A</v>
        <stp/>
        <stp>BDH|14096507663680925407</stp>
        <tr r="J41" s="12"/>
      </tp>
      <tp t="e">
        <v>#N/A</v>
        <stp/>
        <stp>BDH|17423652068964473073</stp>
        <tr r="D25" s="21"/>
      </tp>
      <tp t="e">
        <v>#N/A</v>
        <stp/>
        <stp>BDH|10980081068691049436</stp>
        <tr r="R34" s="26"/>
      </tp>
      <tp t="e">
        <v>#N/A</v>
        <stp/>
        <stp>BDH|12561753228007293300</stp>
        <tr r="C28" s="22"/>
      </tp>
      <tp t="e">
        <v>#N/A</v>
        <stp/>
        <stp>BDH|17681058452586353783</stp>
        <tr r="F99" s="18"/>
      </tp>
      <tp t="e">
        <v>#N/A</v>
        <stp/>
        <stp>BDH|14814767604116938697</stp>
        <tr r="P14" s="20"/>
        <tr r="P123" s="18"/>
      </tp>
      <tp t="e">
        <v>#N/A</v>
        <stp/>
        <stp>BDH|15076153304103867430</stp>
        <tr r="S67" s="18"/>
      </tp>
      <tp t="e">
        <v>#N/A</v>
        <stp/>
        <stp>BDH|10481310777892113593</stp>
        <tr r="N17" s="27"/>
        <tr r="N31" s="25"/>
        <tr r="K14" s="5"/>
      </tp>
      <tp t="e">
        <v>#N/A</v>
        <stp/>
        <stp>BDH|12561348230302378388</stp>
        <tr r="R62" s="12"/>
      </tp>
      <tp t="e">
        <v>#N/A</v>
        <stp/>
        <stp>BDH|13856665346852586072</stp>
        <tr r="O98" s="17"/>
      </tp>
      <tp t="e">
        <v>#N/A</v>
        <stp/>
        <stp>BDH|17800864624238163612</stp>
        <tr r="L18" s="26"/>
      </tp>
      <tp t="e">
        <v>#N/A</v>
        <stp/>
        <stp>BDH|11344816761498076490</stp>
        <tr r="X93" s="24"/>
      </tp>
      <tp t="e">
        <v>#N/A</v>
        <stp/>
        <stp>BDH|14812981996323447486</stp>
        <tr r="T107" s="18"/>
      </tp>
      <tp t="e">
        <v>#N/A</v>
        <stp/>
        <stp>BDH|14373257855018120883</stp>
        <tr r="D23" s="18"/>
      </tp>
      <tp t="e">
        <v>#N/A</v>
        <stp/>
        <stp>BDH|10937366877684510373</stp>
        <tr r="F61" s="11"/>
        <tr r="F70" s="10"/>
        <tr r="F20" s="7"/>
      </tp>
      <tp t="e">
        <v>#N/A</v>
        <stp/>
        <stp>BDH|10484414028077492235</stp>
        <tr r="H189" s="18"/>
      </tp>
      <tp t="e">
        <v>#N/A</v>
        <stp/>
        <stp>BDH|16391799461415309123</stp>
        <tr r="O22" s="10"/>
      </tp>
      <tp t="e">
        <v>#N/A</v>
        <stp/>
        <stp>BDH|17429295713716657123</stp>
        <tr r="K91" s="12"/>
      </tp>
      <tp t="e">
        <v>#N/A</v>
        <stp/>
        <stp>BDH|18190812609666286513</stp>
        <tr r="J21" s="2"/>
      </tp>
      <tp t="e">
        <v>#N/A</v>
        <stp/>
        <stp>BDH|12820450536425227332</stp>
        <tr r="U29" s="34"/>
      </tp>
      <tp t="e">
        <v>#N/A</v>
        <stp/>
        <stp>BDH|17807241452770507310</stp>
        <tr r="M30" s="9"/>
        <tr r="M30" s="5"/>
      </tp>
      <tp t="e">
        <v>#N/A</v>
        <stp/>
        <stp>BDH|12277615718452224431</stp>
        <tr r="X26" s="29"/>
      </tp>
      <tp t="e">
        <v>#N/A</v>
        <stp/>
        <stp>BDH|16743443867330967776</stp>
        <tr r="W10" s="27"/>
        <tr r="W25" s="25"/>
      </tp>
      <tp t="e">
        <v>#N/A</v>
        <stp/>
        <stp>BDH|15265749136495462796</stp>
        <tr r="C175" s="18"/>
      </tp>
      <tp t="e">
        <v>#N/A</v>
        <stp/>
        <stp>BDH|13075687275259019808</stp>
        <tr r="X194" s="18"/>
      </tp>
      <tp t="e">
        <v>#N/A</v>
        <stp/>
        <stp>BDH|12624176165040077698</stp>
        <tr r="X37" s="26"/>
      </tp>
      <tp t="e">
        <v>#N/A</v>
        <stp/>
        <stp>BDH|14075320403893864743</stp>
        <tr r="W12" s="14"/>
      </tp>
      <tp t="e">
        <v>#N/A</v>
        <stp/>
        <stp>BDH|15977488123279948963</stp>
        <tr r="I20" s="26"/>
      </tp>
      <tp t="e">
        <v>#N/A</v>
        <stp/>
        <stp>BDH|12948004933290583220</stp>
        <tr r="X29" s="22"/>
      </tp>
      <tp t="e">
        <v>#N/A</v>
        <stp/>
        <stp>BDH|15485487436956392745</stp>
        <tr r="L20" s="22"/>
      </tp>
      <tp t="e">
        <v>#N/A</v>
        <stp/>
        <stp>BDH|13811153394761589914</stp>
        <tr r="J9" s="14"/>
      </tp>
      <tp t="e">
        <v>#N/A</v>
        <stp/>
        <stp>BDH|13372098671360749711</stp>
        <tr r="M37" s="18"/>
      </tp>
      <tp t="e">
        <v>#N/A</v>
        <stp/>
        <stp>BDH|10934799495818084582</stp>
        <tr r="F114" s="18"/>
      </tp>
      <tp t="e">
        <v>#N/A</v>
        <stp/>
        <stp>BDH|17526658379232149753</stp>
        <tr r="AA127" s="18"/>
      </tp>
      <tp t="e">
        <v>#N/A</v>
        <stp/>
        <stp>BDH|11954558116121569725</stp>
        <tr r="N53" s="12"/>
      </tp>
      <tp t="e">
        <v>#N/A</v>
        <stp/>
        <stp>BDH|17914394025795843009</stp>
        <tr r="W47" s="13"/>
      </tp>
      <tp t="e">
        <v>#N/A</v>
        <stp/>
        <stp>BDH|16827268535862051668</stp>
        <tr r="AA58" s="12"/>
      </tp>
      <tp t="e">
        <v>#N/A</v>
        <stp/>
        <stp>BDH|13684497446918091841</stp>
        <tr r="W50" s="34"/>
      </tp>
      <tp t="e">
        <v>#N/A</v>
        <stp/>
        <stp>BDH|12348344635074685595</stp>
        <tr r="M19" s="9"/>
      </tp>
      <tp t="e">
        <v>#N/A</v>
        <stp/>
        <stp>BDH|14095547999523327834</stp>
        <tr r="Q44" s="13"/>
        <tr r="O28" s="11"/>
        <tr r="O37" s="10"/>
      </tp>
      <tp t="e">
        <v>#N/A</v>
        <stp/>
        <stp>BDH|15003568458770619653</stp>
        <tr r="R8" s="28"/>
      </tp>
      <tp t="e">
        <v>#N/A</v>
        <stp/>
        <stp>BDH|11710660369677630539</stp>
        <tr r="AA16" s="26"/>
      </tp>
      <tp t="e">
        <v>#N/A</v>
        <stp/>
        <stp>BDH|13980355609386934511</stp>
        <tr r="X65" s="21"/>
        <tr r="V23" s="7"/>
      </tp>
      <tp t="e">
        <v>#N/A</v>
        <stp/>
        <stp>BDH|17469989761249889289</stp>
        <tr r="Y32" s="24"/>
      </tp>
      <tp t="e">
        <v>#N/A</v>
        <stp/>
        <stp>BDH|10718780274730015364</stp>
        <tr r="I183" s="18"/>
      </tp>
      <tp t="e">
        <v>#N/A</v>
        <stp/>
        <stp>BDH|16392211168668250958</stp>
        <tr r="AA19" s="22"/>
      </tp>
      <tp t="e">
        <v>#N/A</v>
        <stp/>
        <stp>BDH|10927785212514837162</stp>
        <tr r="D53" s="18"/>
      </tp>
      <tp t="e">
        <v>#N/A</v>
        <stp/>
        <stp>BDH|14143021937613872716</stp>
        <tr r="X13" s="22"/>
      </tp>
      <tp t="e">
        <v>#N/A</v>
        <stp/>
        <stp>BDH|15276976688367530053</stp>
        <tr r="J13" s="27"/>
        <tr r="J27" s="25"/>
      </tp>
      <tp t="e">
        <v>#N/A</v>
        <stp/>
        <stp>BDH|10096807218953363963</stp>
        <tr r="AA59" s="18"/>
      </tp>
      <tp t="e">
        <v>#N/A</v>
        <stp/>
        <stp>BDH|17421342699779719737</stp>
        <tr r="M213" s="18"/>
      </tp>
      <tp t="e">
        <v>#N/A</v>
        <stp/>
        <stp>BDH|15151516536006201692</stp>
        <tr r="N110" s="12"/>
      </tp>
      <tp t="e">
        <v>#N/A</v>
        <stp/>
        <stp>BDH|15112345306521875467</stp>
        <tr r="U55" s="11"/>
      </tp>
      <tp t="e">
        <v>#N/A</v>
        <stp/>
        <stp>BDH|17582610429616699667</stp>
        <tr r="AA26" s="14"/>
      </tp>
      <tp t="e">
        <v>#N/A</v>
        <stp/>
        <stp>BDH|12445664529736126375</stp>
        <tr r="L73" s="34"/>
      </tp>
      <tp t="e">
        <v>#N/A</v>
        <stp/>
        <stp>BDH|11257672561175818710</stp>
        <tr r="L35" s="13"/>
        <tr r="J28" s="10"/>
      </tp>
      <tp t="e">
        <v>#N/A</v>
        <stp/>
        <stp>BDH|17095495721094183643</stp>
        <tr r="E98" s="12"/>
      </tp>
      <tp t="e">
        <v>#N/A</v>
        <stp/>
        <stp>BDH|10047643318680063411</stp>
        <tr r="Q36" s="17"/>
      </tp>
      <tp t="e">
        <v>#N/A</v>
        <stp/>
        <stp>BDH|10846807870379577501</stp>
        <tr r="G42" s="29"/>
        <tr r="G33" s="29"/>
        <tr r="E55" s="6"/>
        <tr r="E11" s="5"/>
        <tr r="F10" s="2"/>
      </tp>
      <tp t="e">
        <v>#N/A</v>
        <stp/>
        <stp>BDH|13572012746757772383</stp>
        <tr r="Y13" s="26"/>
      </tp>
      <tp t="e">
        <v>#N/A</v>
        <stp/>
        <stp>BDH|15287339168493356075</stp>
        <tr r="X14" s="24"/>
      </tp>
      <tp t="e">
        <v>#N/A</v>
        <stp/>
        <stp>BDH|12966632477704779471</stp>
        <tr r="N59" s="34"/>
      </tp>
      <tp t="e">
        <v>#N/A</v>
        <stp/>
        <stp>BDH|10022114606667833526</stp>
        <tr r="L56" s="17"/>
      </tp>
      <tp t="e">
        <v>#N/A</v>
        <stp/>
        <stp>BDH|17432614170416810307</stp>
        <tr r="H210" s="18"/>
      </tp>
      <tp t="e">
        <v>#N/A</v>
        <stp/>
        <stp>BDH|14886669167591316671</stp>
        <tr r="Y61" s="24"/>
      </tp>
      <tp t="e">
        <v>#N/A</v>
        <stp/>
        <stp>BDH|12578504412655361088</stp>
        <tr r="M37" s="29"/>
        <tr r="M23" s="29"/>
        <tr r="M14" s="29"/>
      </tp>
      <tp t="e">
        <v>#N/A</v>
        <stp/>
        <stp>BDH|16669616645573770499</stp>
        <tr r="R52" s="24"/>
      </tp>
      <tp t="e">
        <v>#N/A</v>
        <stp/>
        <stp>BDH|18260254318151004938</stp>
        <tr r="F69" s="13"/>
      </tp>
      <tp t="e">
        <v>#N/A</v>
        <stp/>
        <stp>BDH|17004360655705750788</stp>
        <tr r="K52" s="24"/>
      </tp>
      <tp t="e">
        <v>#N/A</v>
        <stp/>
        <stp>BDH|16122659969255597049</stp>
        <tr r="J25" s="26"/>
      </tp>
      <tp t="e">
        <v>#N/A</v>
        <stp/>
        <stp>BDH|17922607925920301035</stp>
        <tr r="U89" s="18"/>
      </tp>
      <tp t="e">
        <v>#N/A</v>
        <stp/>
        <stp>BDH|16320657483078888314</stp>
        <tr r="I33" s="24"/>
      </tp>
      <tp t="e">
        <v>#N/A</v>
        <stp/>
        <stp>BDH|15427499870696115305</stp>
        <tr r="D15" s="23"/>
      </tp>
      <tp t="e">
        <v>#N/A</v>
        <stp/>
        <stp>BDH|16139428349602743711</stp>
        <tr r="U179" s="18"/>
      </tp>
      <tp t="e">
        <v>#N/A</v>
        <stp/>
        <stp>BDH|17358803471782785991</stp>
        <tr r="O64" s="12"/>
      </tp>
      <tp t="e">
        <v>#N/A</v>
        <stp/>
        <stp>BDH|13787142449165126071</stp>
        <tr r="N33" s="9"/>
      </tp>
      <tp t="e">
        <v>#N/A</v>
        <stp/>
        <stp>BDH|12272395762633329769</stp>
        <tr r="W73" s="12"/>
      </tp>
      <tp t="e">
        <v>#N/A</v>
        <stp/>
        <stp>BDH|11913820486106163409</stp>
        <tr r="W65" s="13"/>
      </tp>
      <tp t="e">
        <v>#N/A</v>
        <stp/>
        <stp>BDH|17785721258621635773</stp>
        <tr r="E28" s="13"/>
      </tp>
      <tp t="e">
        <v>#N/A</v>
        <stp/>
        <stp>BDH|11987357935477673532</stp>
        <tr r="C177" s="18"/>
      </tp>
      <tp t="e">
        <v>#N/A</v>
        <stp/>
        <stp>BDH|14031439542513817450</stp>
        <tr r="E19" s="28"/>
        <tr r="E16" s="17"/>
      </tp>
      <tp t="e">
        <v>#N/A</v>
        <stp/>
        <stp>BDH|14110795115910035113</stp>
        <tr r="Z36" s="29"/>
        <tr r="Z22" s="29"/>
        <tr r="Z13" s="29"/>
      </tp>
      <tp t="e">
        <v>#N/A</v>
        <stp/>
        <stp>BDH|16835126340932261247</stp>
        <tr r="O10" s="22"/>
      </tp>
      <tp t="e">
        <v>#N/A</v>
        <stp/>
        <stp>BDH|16185955534469464682</stp>
        <tr r="AA171" s="18"/>
      </tp>
      <tp t="e">
        <v>#N/A</v>
        <stp/>
        <stp>BDH|10974665164811778201</stp>
        <tr r="N24" s="17"/>
      </tp>
      <tp t="e">
        <v>#N/A</v>
        <stp/>
        <stp>BDH|13608268579757076254</stp>
        <tr r="G15" s="4"/>
      </tp>
      <tp t="e">
        <v>#N/A</v>
        <stp/>
        <stp>BDH|10163141199208614368</stp>
        <tr r="Z62" s="21"/>
        <tr r="X25" s="2"/>
      </tp>
      <tp t="e">
        <v>#N/A</v>
        <stp/>
        <stp>BDH|17082264079943747242</stp>
        <tr r="O13" s="21"/>
      </tp>
      <tp t="e">
        <v>#N/A</v>
        <stp/>
        <stp>BDH|13371332228282778333</stp>
        <tr r="Y55" s="13"/>
        <tr r="W37" s="11"/>
        <tr r="W46" s="10"/>
        <tr r="W53" s="4"/>
        <tr r="W18" s="2"/>
      </tp>
      <tp t="e">
        <v>#N/A</v>
        <stp/>
        <stp>BDH|14977481521330418186</stp>
        <tr r="M13" s="26"/>
      </tp>
      <tp t="e">
        <v>#N/A</v>
        <stp/>
        <stp>BDH|11277163695129418396</stp>
        <tr r="M43" s="21"/>
      </tp>
      <tp t="e">
        <v>#N/A</v>
        <stp/>
        <stp>BDH|11864577055660346251</stp>
        <tr r="U94" s="18"/>
      </tp>
      <tp t="e">
        <v>#N/A</v>
        <stp/>
        <stp>BDH|14907127071373462220</stp>
        <tr r="U21" s="17"/>
      </tp>
      <tp t="e">
        <v>#N/A</v>
        <stp/>
        <stp>BDH|11183377270756219088</stp>
        <tr r="C10" s="27"/>
        <tr r="C25" s="25"/>
      </tp>
      <tp t="e">
        <v>#N/A</v>
        <stp/>
        <stp>BDH|14952944844369733320</stp>
        <tr r="K36" s="22"/>
      </tp>
      <tp t="e">
        <v>#N/A</v>
        <stp/>
        <stp>BDH|10093694762291265258</stp>
        <tr r="Q19" s="23"/>
        <tr r="O59" s="11"/>
      </tp>
      <tp t="e">
        <v>#N/A</v>
        <stp/>
        <stp>BDH|16114197642371501134</stp>
        <tr r="Q59" s="13"/>
      </tp>
      <tp t="e">
        <v>#N/A</v>
        <stp/>
        <stp>BDH|11782369103522767393</stp>
        <tr r="T63" s="18"/>
      </tp>
      <tp t="e">
        <v>#N/A</v>
        <stp/>
        <stp>BDH|16054392320277671333</stp>
        <tr r="K7" s="6"/>
      </tp>
      <tp t="e">
        <v>#N/A</v>
        <stp/>
        <stp>BDH|13524401742148247897</stp>
        <tr r="M43" s="34"/>
      </tp>
      <tp t="e">
        <v>#N/A</v>
        <stp/>
        <stp>BDH|10610266946681398498</stp>
        <tr r="Y65" s="10"/>
        <tr r="Y25" s="4"/>
      </tp>
      <tp t="e">
        <v>#N/A</v>
        <stp/>
        <stp>BDH|12120506434972943509</stp>
        <tr r="I28" s="24"/>
      </tp>
      <tp t="e">
        <v>#N/A</v>
        <stp/>
        <stp>BDH|12875313292243638812</stp>
        <tr r="I24" s="5"/>
      </tp>
      <tp t="e">
        <v>#N/A</v>
        <stp/>
        <stp>BDH|15316042616860986744</stp>
        <tr r="D28" s="13"/>
      </tp>
      <tp t="e">
        <v>#N/A</v>
        <stp/>
        <stp>BDH|11047737317423034783</stp>
        <tr r="U7" s="17"/>
      </tp>
      <tp t="e">
        <v>#N/A</v>
        <stp/>
        <stp>BDH|16990222473575011548</stp>
        <tr r="S23" s="30"/>
        <tr r="S25" s="23"/>
      </tp>
      <tp t="e">
        <v>#N/A</v>
        <stp/>
        <stp>BDH|13606940421662648994</stp>
        <tr r="AA119" s="12"/>
      </tp>
      <tp t="e">
        <v>#N/A</v>
        <stp/>
        <stp>BDH|16595041846565820439</stp>
        <tr r="C68" s="13"/>
      </tp>
      <tp t="e">
        <v>#N/A</v>
        <stp/>
        <stp>BDH|18397557458452250909</stp>
        <tr r="O147" s="18"/>
      </tp>
      <tp t="e">
        <v>#N/A</v>
        <stp/>
        <stp>BDH|17382984587677568258</stp>
        <tr r="X82" s="24"/>
      </tp>
      <tp t="e">
        <v>#N/A</v>
        <stp/>
        <stp>BDH|12222241528002243303</stp>
        <tr r="T62" s="18"/>
      </tp>
      <tp t="e">
        <v>#N/A</v>
        <stp/>
        <stp>BDH|14622774679462705536</stp>
        <tr r="E11" s="20"/>
        <tr r="E120" s="18"/>
      </tp>
      <tp t="e">
        <v>#N/A</v>
        <stp/>
        <stp>BDH|17377002087909972520</stp>
        <tr r="G21" s="24"/>
      </tp>
      <tp t="e">
        <v>#N/A</v>
        <stp/>
        <stp>BDH|10268142928407827799</stp>
        <tr r="AA19" s="30"/>
      </tp>
      <tp t="e">
        <v>#N/A</v>
        <stp/>
        <stp>BDH|10810624335597122118</stp>
        <tr r="I51" s="21"/>
      </tp>
      <tp t="e">
        <v>#N/A</v>
        <stp/>
        <stp>BDH|12475101738422495172</stp>
        <tr r="N91" s="17"/>
      </tp>
      <tp t="e">
        <v>#N/A</v>
        <stp/>
        <stp>BDH|12182204738516343654</stp>
        <tr r="I34" s="26"/>
      </tp>
      <tp t="e">
        <v>#N/A</v>
        <stp/>
        <stp>BDH|13047662746314890675</stp>
        <tr r="H11" s="22"/>
      </tp>
      <tp t="e">
        <v>#N/A</v>
        <stp/>
        <stp>BDH|12707830872998036693</stp>
        <tr r="Y47" s="24"/>
      </tp>
      <tp t="e">
        <v>#N/A</v>
        <stp/>
        <stp>BDH|15621279214703833627</stp>
        <tr r="E194" s="18"/>
      </tp>
      <tp t="e">
        <v>#N/A</v>
        <stp/>
        <stp>BDH|16699550416107872620</stp>
        <tr r="J34" s="12"/>
      </tp>
      <tp t="e">
        <v>#N/A</v>
        <stp/>
        <stp>BDH|15548145314660287681</stp>
        <tr r="G161" s="18"/>
      </tp>
      <tp t="e">
        <v>#N/A</v>
        <stp/>
        <stp>BDH|13986067537951093271</stp>
        <tr r="U116" s="12"/>
      </tp>
      <tp t="e">
        <v>#N/A</v>
        <stp/>
        <stp>BDH|18040475668748695161</stp>
        <tr r="I107" s="18"/>
      </tp>
      <tp t="e">
        <v>#N/A</v>
        <stp/>
        <stp>BDH|11315735823833838442</stp>
        <tr r="F21" s="2"/>
      </tp>
      <tp t="e">
        <v>#N/A</v>
        <stp/>
        <stp>BDH|12911678422567301200</stp>
        <tr r="H42" s="29"/>
        <tr r="H33" s="29"/>
        <tr r="F55" s="6"/>
        <tr r="F11" s="5"/>
        <tr r="G10" s="2"/>
      </tp>
      <tp t="e">
        <v>#N/A</v>
        <stp/>
        <stp>BDH|16433845392293555782</stp>
        <tr r="M9" s="21"/>
      </tp>
      <tp t="e">
        <v>#N/A</v>
        <stp/>
        <stp>BDH|14801362191105269826</stp>
        <tr r="S108" s="12"/>
      </tp>
      <tp t="e">
        <v>#N/A</v>
        <stp/>
        <stp>BDH|12043181124237001534</stp>
        <tr r="L25" s="5"/>
      </tp>
      <tp t="e">
        <v>#N/A</v>
        <stp/>
        <stp>BDH|15867127476706740641</stp>
        <tr r="F13" s="10"/>
      </tp>
      <tp t="e">
        <v>#N/A</v>
        <stp/>
        <stp>BDH|16038291327033601670</stp>
        <tr r="O152" s="18"/>
      </tp>
      <tp t="e">
        <v>#N/A</v>
        <stp/>
        <stp>BDH|11065560733030939437</stp>
        <tr r="V102" s="18"/>
      </tp>
      <tp t="e">
        <v>#N/A</v>
        <stp/>
        <stp>BDH|11418661558455029454</stp>
        <tr r="D64" s="24"/>
      </tp>
      <tp t="e">
        <v>#N/A</v>
        <stp/>
        <stp>BDH|15272806449373192959</stp>
        <tr r="Q47" s="18"/>
      </tp>
      <tp t="e">
        <v>#N/A</v>
        <stp/>
        <stp>BDH|15721080256085008660</stp>
        <tr r="AA40" s="22"/>
      </tp>
      <tp t="e">
        <v>#N/A</v>
        <stp/>
        <stp>BDH|13577515652142077296</stp>
        <tr r="I36" s="18"/>
      </tp>
      <tp t="e">
        <v>#N/A</v>
        <stp/>
        <stp>BDH|16850461154291634534</stp>
        <tr r="P32" s="6"/>
      </tp>
      <tp t="e">
        <v>#N/A</v>
        <stp/>
        <stp>BDH|11611987660109278431</stp>
        <tr r="F80" s="34"/>
      </tp>
      <tp t="e">
        <v>#N/A</v>
        <stp/>
        <stp>BDH|17044187670231015371</stp>
        <tr r="C73" s="24"/>
      </tp>
      <tp t="e">
        <v>#N/A</v>
        <stp/>
        <stp>BDH|17929926996684157037</stp>
        <tr r="Q69" s="17"/>
      </tp>
      <tp t="e">
        <v>#N/A</v>
        <stp/>
        <stp>BDH|14166582112583685029</stp>
        <tr r="I49" s="18"/>
      </tp>
      <tp t="e">
        <v>#N/A</v>
        <stp/>
        <stp>BDH|17311810095203904613</stp>
        <tr r="O21" s="4"/>
      </tp>
      <tp t="e">
        <v>#N/A</v>
        <stp/>
        <stp>BDH|16805956512575450846</stp>
        <tr r="M49" s="21"/>
      </tp>
      <tp t="e">
        <v>#N/A</v>
        <stp/>
        <stp>BDH|12670495408762915713</stp>
        <tr r="I120" s="12"/>
      </tp>
      <tp t="e">
        <v>#N/A</v>
        <stp/>
        <stp>BDH|13312217736380203193</stp>
        <tr r="O31" s="5"/>
      </tp>
      <tp t="e">
        <v>#N/A</v>
        <stp/>
        <stp>BDH|16032130284399140592</stp>
        <tr r="O11" s="13"/>
      </tp>
      <tp t="e">
        <v>#N/A</v>
        <stp/>
        <stp>BDH|10772107979671988488</stp>
        <tr r="U46" s="21"/>
      </tp>
      <tp t="e">
        <v>#N/A</v>
        <stp/>
        <stp>BDH|12140290925260269106</stp>
        <tr r="Y47" s="18"/>
      </tp>
      <tp t="e">
        <v>#N/A</v>
        <stp/>
        <stp>BDH|12932740452172000104</stp>
        <tr r="X88" s="24"/>
      </tp>
      <tp t="e">
        <v>#N/A</v>
        <stp/>
        <stp>BDH|16386102302907966373</stp>
        <tr r="S21" s="2"/>
      </tp>
      <tp t="e">
        <v>#N/A</v>
        <stp/>
        <stp>BDH|16213847466389742284</stp>
        <tr r="C11" s="13"/>
      </tp>
      <tp t="e">
        <v>#N/A</v>
        <stp/>
        <stp>BDH|16079496771302275450</stp>
        <tr r="M113" s="12"/>
      </tp>
      <tp t="e">
        <v>#N/A</v>
        <stp/>
        <stp>BDH|16991233266415690452</stp>
        <tr r="AA116" s="12"/>
      </tp>
      <tp t="e">
        <v>#N/A</v>
        <stp/>
        <stp>BDH|10997679916730518422</stp>
        <tr r="D27" s="18"/>
      </tp>
      <tp t="e">
        <v>#N/A</v>
        <stp/>
        <stp>BDH|17188591910814266453</stp>
        <tr r="H61" s="13"/>
        <tr r="F48" s="11"/>
        <tr r="F57" s="10"/>
        <tr r="F18" s="7"/>
      </tp>
      <tp t="e">
        <v>#N/A</v>
        <stp/>
        <stp>BDH|17487625111694045795</stp>
        <tr r="Q24" s="12"/>
      </tp>
      <tp t="e">
        <v>#N/A</v>
        <stp/>
        <stp>BDH|11554587356212381062</stp>
        <tr r="D88" s="18"/>
      </tp>
      <tp t="e">
        <v>#N/A</v>
        <stp/>
        <stp>BDH|11085224812091625084</stp>
        <tr r="W147" s="18"/>
      </tp>
      <tp t="e">
        <v>#N/A</v>
        <stp/>
        <stp>BDH|13785522374407818576</stp>
        <tr r="J204" s="18"/>
      </tp>
      <tp t="e">
        <v>#N/A</v>
        <stp/>
        <stp>BDH|11903948962559666472</stp>
        <tr r="M18" s="11"/>
      </tp>
      <tp t="e">
        <v>#N/A</v>
        <stp/>
        <stp>BDH|15417193257955060744</stp>
        <tr r="F29" s="22"/>
      </tp>
      <tp t="e">
        <v>#N/A</v>
        <stp/>
        <stp>BDH|12779338063927177389</stp>
        <tr r="W11" s="14"/>
      </tp>
      <tp t="e">
        <v>#N/A</v>
        <stp/>
        <stp>BDH|12520539937763900464</stp>
        <tr r="Y20" s="26"/>
      </tp>
      <tp t="e">
        <v>#N/A</v>
        <stp/>
        <stp>BDH|13621833896739584886</stp>
        <tr r="K24" s="29"/>
      </tp>
      <tp t="e">
        <v>#N/A</v>
        <stp/>
        <stp>BDH|12512928663056969837</stp>
        <tr r="H35" s="14"/>
      </tp>
      <tp t="e">
        <v>#N/A</v>
        <stp/>
        <stp>BDH|15354241430510119788</stp>
        <tr r="D28" s="22"/>
      </tp>
      <tp t="e">
        <v>#N/A</v>
        <stp/>
        <stp>BDH|11399208945340982412</stp>
        <tr r="T15" s="22"/>
      </tp>
      <tp t="e">
        <v>#N/A</v>
        <stp/>
        <stp>BDH|12397156549205343121</stp>
        <tr r="E27" s="17"/>
      </tp>
      <tp t="e">
        <v>#N/A</v>
        <stp/>
        <stp>BDH|17095541337382501084</stp>
        <tr r="D24" s="29"/>
      </tp>
      <tp t="e">
        <v>#N/A</v>
        <stp/>
        <stp>BDH|17085189394844116837</stp>
        <tr r="X42" s="11"/>
        <tr r="X51" s="10"/>
        <tr r="X14" s="7"/>
        <tr r="Z9" s="3"/>
      </tp>
      <tp t="e">
        <v>#N/A</v>
        <stp/>
        <stp>BDH|17883563132111014324</stp>
        <tr r="H7" s="20"/>
        <tr r="H117" s="18"/>
      </tp>
      <tp t="e">
        <v>#N/A</v>
        <stp/>
        <stp>BDH|13383091575150420755</stp>
        <tr r="W20" s="17"/>
      </tp>
      <tp t="e">
        <v>#N/A</v>
        <stp/>
        <stp>BDH|10511016273851899518</stp>
        <tr r="W80" s="24"/>
      </tp>
      <tp t="e">
        <v>#N/A</v>
        <stp/>
        <stp>BDH|16879632571656540219</stp>
        <tr r="G40" s="22"/>
      </tp>
      <tp t="e">
        <v>#N/A</v>
        <stp/>
        <stp>BDH|17181891187637676376</stp>
        <tr r="I27" s="22"/>
      </tp>
      <tp t="e">
        <v>#N/A</v>
        <stp/>
        <stp>BDH|11718428227826490285</stp>
        <tr r="V42" s="11"/>
        <tr r="V51" s="10"/>
        <tr r="V14" s="7"/>
        <tr r="X9" s="3"/>
      </tp>
      <tp t="e">
        <v>#N/A</v>
        <stp/>
        <stp>BDH|15737020370868823934</stp>
        <tr r="D36" s="21"/>
      </tp>
      <tp t="e">
        <v>#N/A</v>
        <stp/>
        <stp>BDH|16145698737564807494</stp>
        <tr r="Z37" s="25"/>
        <tr r="Z59" s="21"/>
        <tr r="X53" s="11"/>
        <tr r="X31" s="4"/>
      </tp>
      <tp t="e">
        <v>#N/A</v>
        <stp/>
        <stp>BDH|13039842484373878368</stp>
        <tr r="Z36" s="18"/>
      </tp>
      <tp t="e">
        <v>#N/A</v>
        <stp/>
        <stp>BDH|17785012865896470499</stp>
        <tr r="J48" s="24"/>
      </tp>
      <tp t="e">
        <v>#N/A</v>
        <stp/>
        <stp>BDH|11176682770645113661</stp>
        <tr r="C46" s="11"/>
        <tr r="C55" s="10"/>
        <tr r="C7" s="7"/>
        <tr r="E12" s="3"/>
      </tp>
      <tp t="e">
        <v>#N/A</v>
        <stp/>
        <stp>BDH|15280277036810528787</stp>
        <tr r="Y13" s="7"/>
      </tp>
      <tp t="e">
        <v>#N/A</v>
        <stp/>
        <stp>BDH|12448931294270808155</stp>
        <tr r="N9" s="12"/>
      </tp>
      <tp t="e">
        <v>#N/A</v>
        <stp/>
        <stp>BDH|17066018342238887856</stp>
        <tr r="Q212" s="18"/>
      </tp>
      <tp t="e">
        <v>#N/A</v>
        <stp/>
        <stp>BDH|14823009701274596321</stp>
        <tr r="W35" s="25"/>
      </tp>
      <tp t="e">
        <v>#N/A</v>
        <stp/>
        <stp>BDH|18399274660679829628</stp>
        <tr r="S20" s="10"/>
      </tp>
      <tp t="e">
        <v>#N/A</v>
        <stp/>
        <stp>BDH|17946794269025036072</stp>
        <tr r="U10" s="22"/>
      </tp>
      <tp t="e">
        <v>#N/A</v>
        <stp/>
        <stp>BDH|13607446728365728337</stp>
        <tr r="M55" s="24"/>
      </tp>
      <tp t="e">
        <v>#N/A</v>
        <stp/>
        <stp>BDH|17172204710361663696</stp>
        <tr r="E27" s="6"/>
      </tp>
      <tp t="e">
        <v>#N/A</v>
        <stp/>
        <stp>BDH|12202620970001646183</stp>
        <tr r="R31" s="22"/>
      </tp>
      <tp t="e">
        <v>#N/A</v>
        <stp/>
        <stp>BDH|15953848919519887627</stp>
        <tr r="Z169" s="18"/>
      </tp>
      <tp t="e">
        <v>#N/A</v>
        <stp/>
        <stp>BDH|14870174076735630410</stp>
        <tr r="O10" s="10"/>
      </tp>
      <tp t="e">
        <v>#N/A</v>
        <stp/>
        <stp>BDH|16060571064170813651</stp>
        <tr r="M8" s="6"/>
      </tp>
      <tp t="e">
        <v>#N/A</v>
        <stp/>
        <stp>BDH|10861150742906900089</stp>
        <tr r="J19" s="11"/>
      </tp>
      <tp t="e">
        <v>#N/A</v>
        <stp/>
        <stp>BDH|10900542824453664715</stp>
        <tr r="G28" s="21"/>
      </tp>
      <tp t="e">
        <v>#N/A</v>
        <stp/>
        <stp>BDH|16064576344080507485</stp>
        <tr r="L68" s="17"/>
      </tp>
      <tp t="e">
        <v>#N/A</v>
        <stp/>
        <stp>BDH|13674605027592839671</stp>
        <tr r="R11" s="9"/>
      </tp>
      <tp t="e">
        <v>#N/A</v>
        <stp/>
        <stp>BDH|18394147399680058308</stp>
        <tr r="Z18" s="17"/>
      </tp>
      <tp t="e">
        <v>#N/A</v>
        <stp/>
        <stp>BDH|14925222913630451427</stp>
        <tr r="F50" s="18"/>
      </tp>
      <tp t="e">
        <v>#N/A</v>
        <stp/>
        <stp>BDH|15595590760247373218</stp>
        <tr r="L51" s="17"/>
      </tp>
      <tp t="e">
        <v>#N/A</v>
        <stp/>
        <stp>BDH|11749961772888369710</stp>
        <tr r="I47" s="13"/>
      </tp>
      <tp t="e">
        <v>#N/A</v>
        <stp/>
        <stp>BDH|12064369921324540733</stp>
        <tr r="N61" s="13"/>
        <tr r="L48" s="11"/>
        <tr r="L57" s="10"/>
        <tr r="L18" s="7"/>
      </tp>
      <tp t="e">
        <v>#N/A</v>
        <stp/>
        <stp>BDH|18046600470081794866</stp>
        <tr r="G11" s="17"/>
      </tp>
      <tp t="e">
        <v>#N/A</v>
        <stp/>
        <stp>BDH|12111356871652585412</stp>
        <tr r="L23" s="11"/>
      </tp>
      <tp t="e">
        <v>#N/A</v>
        <stp/>
        <stp>BDH|17724839361260649926</stp>
        <tr r="G28" s="34"/>
      </tp>
      <tp t="e">
        <v>#N/A</v>
        <stp/>
        <stp>BDH|14656120007154467168</stp>
        <tr r="T147" s="18"/>
      </tp>
      <tp t="e">
        <v>#N/A</v>
        <stp/>
        <stp>BDH|15566364125725465139</stp>
        <tr r="V53" s="21"/>
      </tp>
      <tp t="e">
        <v>#N/A</v>
        <stp/>
        <stp>BDH|17441194528704599017</stp>
        <tr r="X103" s="12"/>
      </tp>
      <tp t="e">
        <v>#N/A</v>
        <stp/>
        <stp>BDH|15620129650518738924</stp>
        <tr r="R39" s="13"/>
        <tr r="P32" s="10"/>
      </tp>
      <tp t="e">
        <v>#N/A</v>
        <stp/>
        <stp>BDH|13268803091097588574</stp>
        <tr r="Y23" s="21"/>
      </tp>
      <tp t="e">
        <v>#N/A</v>
        <stp/>
        <stp>BDH|15175380667399851978</stp>
        <tr r="C8" s="6"/>
      </tp>
      <tp t="e">
        <v>#N/A</v>
        <stp/>
        <stp>BDH|16809564212587488590</stp>
        <tr r="W22" s="34"/>
      </tp>
      <tp t="e">
        <v>#N/A</v>
        <stp/>
        <stp>BDH|10191136672252636477</stp>
        <tr r="M37" s="25"/>
        <tr r="M59" s="21"/>
        <tr r="K53" s="11"/>
        <tr r="K31" s="4"/>
      </tp>
      <tp t="e">
        <v>#N/A</v>
        <stp/>
        <stp>BDH|17302122055853445017</stp>
        <tr r="I13" s="9"/>
      </tp>
      <tp t="e">
        <v>#N/A</v>
        <stp/>
        <stp>BDH|13664604722724259378</stp>
        <tr r="H10" s="12"/>
      </tp>
      <tp t="e">
        <v>#N/A</v>
        <stp/>
        <stp>BDH|17552945562909663147</stp>
        <tr r="P201" s="18"/>
      </tp>
      <tp t="e">
        <v>#N/A</v>
        <stp/>
        <stp>BDH|14765224003927559121</stp>
        <tr r="O40" s="29"/>
        <tr r="O17" s="29"/>
      </tp>
      <tp t="e">
        <v>#N/A</v>
        <stp/>
        <stp>BDH|10674069162033779547</stp>
        <tr r="Y20" s="27"/>
      </tp>
      <tp t="e">
        <v>#N/A</v>
        <stp/>
        <stp>BDH|15589264570628376813</stp>
        <tr r="E58" s="18"/>
      </tp>
      <tp t="e">
        <v>#N/A</v>
        <stp/>
        <stp>BDH|17071641428981525283</stp>
        <tr r="Q7" s="30"/>
      </tp>
      <tp t="e">
        <v>#N/A</v>
        <stp/>
        <stp>BDH|10173015606796196662</stp>
        <tr r="I63" s="12"/>
      </tp>
      <tp t="e">
        <v>#N/A</v>
        <stp/>
        <stp>BDH|10575259010765173600</stp>
        <tr r="D50" s="21"/>
      </tp>
      <tp t="e">
        <v>#N/A</v>
        <stp/>
        <stp>BDH|13929026457307589182</stp>
        <tr r="K40" s="22"/>
      </tp>
      <tp t="e">
        <v>#N/A</v>
        <stp/>
        <stp>BDH|16655247658979200896</stp>
        <tr r="Q38" s="13"/>
        <tr r="O31" s="10"/>
      </tp>
      <tp t="e">
        <v>#N/A</v>
        <stp/>
        <stp>BDH|10421343929979849801</stp>
        <tr r="D189" s="18"/>
      </tp>
      <tp t="e">
        <v>#N/A</v>
        <stp/>
        <stp>BDH|11751265445821074652</stp>
        <tr r="N57" s="6"/>
      </tp>
      <tp t="e">
        <v>#N/A</v>
        <stp/>
        <stp>BDH|15661957947988613034</stp>
        <tr r="M31" s="17"/>
      </tp>
      <tp t="e">
        <v>#N/A</v>
        <stp/>
        <stp>BDH|16637516852580685625</stp>
        <tr r="F11" s="22"/>
      </tp>
      <tp t="e">
        <v>#N/A</v>
        <stp/>
        <stp>BDH|12693971152177418964</stp>
        <tr r="O34" s="29"/>
      </tp>
      <tp t="e">
        <v>#N/A</v>
        <stp/>
        <stp>BDH|10236677944981402341</stp>
        <tr r="L25" s="27"/>
      </tp>
      <tp t="e">
        <v>#N/A</v>
        <stp/>
        <stp>BDH|18320581673349092395</stp>
        <tr r="L20" s="28"/>
        <tr r="L17" s="17"/>
      </tp>
      <tp t="e">
        <v>#N/A</v>
        <stp/>
        <stp>BDH|15383230877758683804</stp>
        <tr r="O21" s="34"/>
      </tp>
      <tp t="e">
        <v>#N/A</v>
        <stp/>
        <stp>BDH|11905655149535369675</stp>
        <tr r="Q18" s="21"/>
      </tp>
      <tp t="e">
        <v>#N/A</v>
        <stp/>
        <stp>BDH|13427608616555392105</stp>
        <tr r="N41" s="24"/>
      </tp>
      <tp t="e">
        <v>#N/A</v>
        <stp/>
        <stp>BDH|16908335317587413382</stp>
        <tr r="Z8" s="24"/>
      </tp>
      <tp t="e">
        <v>#N/A</v>
        <stp/>
        <stp>BDH|14887557462256763199</stp>
        <tr r="S11" s="21"/>
      </tp>
      <tp t="e">
        <v>#N/A</v>
        <stp/>
        <stp>BDH|17892178715234339381</stp>
        <tr r="E6" s="20"/>
        <tr r="E116" s="18"/>
      </tp>
      <tp t="e">
        <v>#N/A</v>
        <stp/>
        <stp>BDH|14268004886298441415</stp>
        <tr r="X177" s="18"/>
      </tp>
      <tp t="e">
        <v>#N/A</v>
        <stp/>
        <stp>BDH|15322309671590197126</stp>
        <tr r="C113" s="12"/>
      </tp>
      <tp t="e">
        <v>#N/A</v>
        <stp/>
        <stp>BDH|14918211366523863373</stp>
        <tr r="T71" s="18"/>
      </tp>
      <tp t="e">
        <v>#N/A</v>
        <stp/>
        <stp>BDH|13103541163673541323</stp>
        <tr r="K24" s="18"/>
      </tp>
      <tp t="e">
        <v>#N/A</v>
        <stp/>
        <stp>BDH|17160402503273315007</stp>
        <tr r="X43" s="29"/>
      </tp>
      <tp t="e">
        <v>#N/A</v>
        <stp/>
        <stp>BDH|15546238213802054441</stp>
        <tr r="Q14" s="21"/>
      </tp>
      <tp t="e">
        <v>#N/A</v>
        <stp/>
        <stp>BDH|12079280138763200037</stp>
        <tr r="W85" s="12"/>
      </tp>
      <tp t="e">
        <v>#N/A</v>
        <stp/>
        <stp>BDH|11977742163000851077</stp>
        <tr r="L31" s="21"/>
      </tp>
      <tp t="e">
        <v>#N/A</v>
        <stp/>
        <stp>BDH|11540114834226429557</stp>
        <tr r="G50" s="21"/>
      </tp>
      <tp t="e">
        <v>#N/A</v>
        <stp/>
        <stp>BDH|13604782959088518935</stp>
        <tr r="C27" s="22"/>
      </tp>
      <tp t="e">
        <v>#N/A</v>
        <stp/>
        <stp>BDH|15679326665149044902</stp>
        <tr r="M10" s="34"/>
      </tp>
      <tp t="e">
        <v>#N/A</v>
        <stp/>
        <stp>BDH|17649775341785927182</stp>
        <tr r="Q27" s="24"/>
      </tp>
      <tp t="e">
        <v>#N/A</v>
        <stp/>
        <stp>BDH|16506013082546596829</stp>
        <tr r="P8" s="8"/>
      </tp>
      <tp t="e">
        <v>#N/A</v>
        <stp/>
        <stp>BDH|12488360809448919938</stp>
        <tr r="U20" s="17"/>
      </tp>
      <tp t="e">
        <v>#N/A</v>
        <stp/>
        <stp>BDH|13604208287481307839</stp>
        <tr r="Z16" s="27"/>
        <tr r="Z30" s="25"/>
      </tp>
      <tp t="e">
        <v>#N/A</v>
        <stp/>
        <stp>BDH|11692227256900550667</stp>
        <tr r="F153" s="18"/>
      </tp>
      <tp t="e">
        <v>#N/A</v>
        <stp/>
        <stp>BDH|12142534911533266507</stp>
        <tr r="V30" s="24"/>
      </tp>
      <tp t="e">
        <v>#N/A</v>
        <stp/>
        <stp>BDH|14967000576963930078</stp>
        <tr r="V34" s="21"/>
      </tp>
      <tp t="e">
        <v>#N/A</v>
        <stp/>
        <stp>BDH|15462216694017846980</stp>
        <tr r="Z78" s="24"/>
      </tp>
      <tp t="e">
        <v>#N/A</v>
        <stp/>
        <stp>BDH|16739448225711419139</stp>
        <tr r="O16" s="25"/>
      </tp>
      <tp t="e">
        <v>#N/A</v>
        <stp/>
        <stp>BDH|10094746375077615775</stp>
        <tr r="I8" s="23"/>
      </tp>
      <tp t="e">
        <v>#N/A</v>
        <stp/>
        <stp>BDH|13983655199759744525</stp>
        <tr r="I26" s="22"/>
      </tp>
      <tp t="e">
        <v>#N/A</v>
        <stp/>
        <stp>BDH|13958490045027176448</stp>
        <tr r="Y148" s="18"/>
      </tp>
      <tp t="e">
        <v>#N/A</v>
        <stp/>
        <stp>BDH|11419059776447473131</stp>
        <tr r="Z89" s="12"/>
      </tp>
      <tp t="e">
        <v>#N/A</v>
        <stp/>
        <stp>BDH|17850599014753515000</stp>
        <tr r="K46" s="17"/>
      </tp>
      <tp t="e">
        <v>#N/A</v>
        <stp/>
        <stp>BDH|12029728724150435720</stp>
        <tr r="O87" s="17"/>
      </tp>
      <tp t="e">
        <v>#N/A</v>
        <stp/>
        <stp>BDH|14629680239760787105</stp>
        <tr r="F44" s="22"/>
      </tp>
      <tp t="e">
        <v>#N/A</v>
        <stp/>
        <stp>BDH|14390452741947184362</stp>
        <tr r="O51" s="13"/>
      </tp>
      <tp t="e">
        <v>#N/A</v>
        <stp/>
        <stp>BDH|12269229730686296528</stp>
        <tr r="P174" s="18"/>
      </tp>
      <tp t="e">
        <v>#N/A</v>
        <stp/>
        <stp>BDH|13158054619017873559</stp>
        <tr r="U161" s="18"/>
      </tp>
      <tp t="e">
        <v>#N/A</v>
        <stp/>
        <stp>BDH|16272998963071040884</stp>
        <tr r="N16" s="22"/>
      </tp>
      <tp t="e">
        <v>#N/A</v>
        <stp/>
        <stp>BDH|18424042700808837084</stp>
        <tr r="L22" s="11"/>
      </tp>
      <tp t="e">
        <v>#N/A</v>
        <stp/>
        <stp>BDH|15955738078903787653</stp>
        <tr r="G22" s="12"/>
      </tp>
      <tp t="e">
        <v>#N/A</v>
        <stp/>
        <stp>BDH|10585312810577402501</stp>
        <tr r="D11" s="7"/>
      </tp>
      <tp t="e">
        <v>#N/A</v>
        <stp/>
        <stp>BDH|14144900434818748624</stp>
        <tr r="J40" s="24"/>
      </tp>
      <tp t="e">
        <v>#N/A</v>
        <stp/>
        <stp>BDH|18074834071867456062</stp>
        <tr r="N60" s="34"/>
      </tp>
      <tp t="e">
        <v>#N/A</v>
        <stp/>
        <stp>BDH|12196974873408269473</stp>
        <tr r="E13" s="2"/>
      </tp>
      <tp t="e">
        <v>#N/A</v>
        <stp/>
        <stp>BDH|15506015792919167576</stp>
        <tr r="V71" s="18"/>
      </tp>
      <tp t="e">
        <v>#N/A</v>
        <stp/>
        <stp>BDH|11834837509779660049</stp>
        <tr r="M80" s="17"/>
        <tr r="M19" s="3"/>
      </tp>
      <tp t="e">
        <v>#N/A</v>
        <stp/>
        <stp>BDH|11453448826303748416</stp>
        <tr r="I67" s="13"/>
      </tp>
      <tp t="e">
        <v>#N/A</v>
        <stp/>
        <stp>BDH|10819427638555498266</stp>
        <tr r="V27" s="18"/>
      </tp>
      <tp t="e">
        <v>#N/A</v>
        <stp/>
        <stp>BDH|10570737506127129010</stp>
        <tr r="Q77" s="12"/>
      </tp>
      <tp t="e">
        <v>#N/A</v>
        <stp/>
        <stp>BDH|15638017163850382377</stp>
        <tr r="F73" s="24"/>
      </tp>
      <tp t="e">
        <v>#N/A</v>
        <stp/>
        <stp>BDH|12911509282847875834</stp>
        <tr r="Z16" s="25"/>
      </tp>
      <tp t="e">
        <v>#N/A</v>
        <stp/>
        <stp>BDH|11275720713171468672</stp>
        <tr r="E41" s="34"/>
      </tp>
      <tp t="e">
        <v>#N/A</v>
        <stp/>
        <stp>BDH|13992794907220344449</stp>
        <tr r="N55" s="21"/>
      </tp>
      <tp t="e">
        <v>#N/A</v>
        <stp/>
        <stp>BDH|14806185747552713303</stp>
        <tr r="S72" s="24"/>
      </tp>
      <tp t="e">
        <v>#N/A</v>
        <stp/>
        <stp>BDH|16027209522464752258</stp>
        <tr r="O77" s="17"/>
      </tp>
      <tp t="e">
        <v>#N/A</v>
        <stp/>
        <stp>BDH|15207251843426325576</stp>
        <tr r="M6" s="8"/>
        <tr r="K51" s="6"/>
      </tp>
      <tp t="e">
        <v>#N/A</v>
        <stp/>
        <stp>BDH|17042518276001598425</stp>
        <tr r="E203" s="18"/>
      </tp>
      <tp t="e">
        <v>#N/A</v>
        <stp/>
        <stp>BDH|14132939390834349016</stp>
        <tr r="Z7" s="17"/>
      </tp>
      <tp t="e">
        <v>#N/A</v>
        <stp/>
        <stp>BDH|16072451724572804293</stp>
        <tr r="C53" s="18"/>
      </tp>
      <tp t="e">
        <v>#N/A</v>
        <stp/>
        <stp>BDH|17917145629714613022</stp>
        <tr r="P23" s="18"/>
      </tp>
      <tp t="e">
        <v>#N/A</v>
        <stp/>
        <stp>BDH|10073985228103039807</stp>
        <tr r="V58" s="24"/>
      </tp>
      <tp t="e">
        <v>#N/A</v>
        <stp/>
        <stp>BDH|12643070271632879782</stp>
        <tr r="Q20" s="26"/>
      </tp>
      <tp t="e">
        <v>#N/A</v>
        <stp/>
        <stp>BDH|14455151222656325107</stp>
        <tr r="C91" s="17"/>
      </tp>
      <tp t="e">
        <v>#N/A</v>
        <stp/>
        <stp>BDH|16665565685973254879</stp>
        <tr r="J19" s="12"/>
      </tp>
      <tp t="e">
        <v>#N/A</v>
        <stp/>
        <stp>BDH|11002591760995842719</stp>
        <tr r="AA68" s="34"/>
      </tp>
      <tp t="e">
        <v>#N/A</v>
        <stp/>
        <stp>BDH|17341062930570316467</stp>
        <tr r="O25" s="34"/>
      </tp>
      <tp t="e">
        <v>#N/A</v>
        <stp/>
        <stp>BDH|11095315477624679108</stp>
        <tr r="W34" s="34"/>
      </tp>
      <tp t="e">
        <v>#N/A</v>
        <stp/>
        <stp>BDH|13496955291864899789</stp>
        <tr r="M114" s="18"/>
      </tp>
      <tp t="e">
        <v>#N/A</v>
        <stp/>
        <stp>BDH|16081305807702682716</stp>
        <tr r="Y76" s="17"/>
      </tp>
      <tp t="e">
        <v>#N/A</v>
        <stp/>
        <stp>BDH|12182834995115180661</stp>
        <tr r="P21" s="6"/>
      </tp>
      <tp t="e">
        <v>#N/A</v>
        <stp/>
        <stp>BDH|14566233048433801165</stp>
        <tr r="M7" s="11"/>
      </tp>
      <tp t="e">
        <v>#N/A</v>
        <stp/>
        <stp>BDH|17884321079425611658</stp>
        <tr r="V13" s="18"/>
      </tp>
      <tp t="e">
        <v>#N/A</v>
        <stp/>
        <stp>BDH|11369541291725678803</stp>
        <tr r="S62" s="12"/>
      </tp>
      <tp t="e">
        <v>#N/A</v>
        <stp/>
        <stp>BDH|17681274420211325628</stp>
        <tr r="R63" s="21"/>
      </tp>
      <tp t="e">
        <v>#N/A</v>
        <stp/>
        <stp>BDH|18191323898046176496</stp>
        <tr r="L11" s="30"/>
      </tp>
      <tp t="e">
        <v>#N/A</v>
        <stp/>
        <stp>BDH|17593144039160303587</stp>
        <tr r="N26" s="17"/>
      </tp>
      <tp t="e">
        <v>#N/A</v>
        <stp/>
        <stp>BDH|15410669233450077020</stp>
        <tr r="Q54" s="13"/>
      </tp>
      <tp t="e">
        <v>#N/A</v>
        <stp/>
        <stp>BDH|11709121226314210629</stp>
        <tr r="Y18" s="22"/>
      </tp>
      <tp t="e">
        <v>#N/A</v>
        <stp/>
        <stp>BDH|16314928693035826391</stp>
        <tr r="K16" s="21"/>
      </tp>
      <tp t="e">
        <v>#N/A</v>
        <stp/>
        <stp>BDH|12180572135664444042</stp>
        <tr r="C144" s="18"/>
      </tp>
      <tp t="e">
        <v>#N/A</v>
        <stp/>
        <stp>BDH|12589053945392036462</stp>
        <tr r="M61" s="12"/>
      </tp>
      <tp t="e">
        <v>#N/A</v>
        <stp/>
        <stp>BDH|16423174100901777671</stp>
        <tr r="Z21" s="34"/>
      </tp>
      <tp t="e">
        <v>#N/A</v>
        <stp/>
        <stp>BDH|10082926411710391839</stp>
        <tr r="M29" s="34"/>
      </tp>
      <tp t="e">
        <v>#N/A</v>
        <stp/>
        <stp>BDH|16921499825356631604</stp>
        <tr r="S108" s="18"/>
      </tp>
      <tp t="e">
        <v>#N/A</v>
        <stp/>
        <stp>BDH|11045019931483108126</stp>
        <tr r="O16" s="22"/>
      </tp>
      <tp t="e">
        <v>#N/A</v>
        <stp/>
        <stp>BDH|13812346628897623512</stp>
        <tr r="X101" s="18"/>
      </tp>
      <tp t="e">
        <v>#N/A</v>
        <stp/>
        <stp>BDH|13914671222382743589</stp>
        <tr r="R107" s="18"/>
      </tp>
      <tp t="e">
        <v>#N/A</v>
        <stp/>
        <stp>BDH|17566050603381420649</stp>
        <tr r="Y62" s="13"/>
      </tp>
      <tp t="e">
        <v>#N/A</v>
        <stp/>
        <stp>BDH|10885480772466821590</stp>
        <tr r="X38" s="13"/>
        <tr r="V31" s="10"/>
      </tp>
      <tp t="e">
        <v>#N/A</v>
        <stp/>
        <stp>BDH|12450504157862951092</stp>
        <tr r="L10" s="14"/>
      </tp>
      <tp t="e">
        <v>#N/A</v>
        <stp/>
        <stp>BDH|15644458465362287579</stp>
        <tr r="M25" s="11"/>
        <tr r="M34" s="10"/>
      </tp>
      <tp t="e">
        <v>#N/A</v>
        <stp/>
        <stp>BDH|16300429224151605106</stp>
        <tr r="T51" s="13"/>
      </tp>
      <tp t="e">
        <v>#N/A</v>
        <stp/>
        <stp>BDH|12859710712266027288</stp>
        <tr r="D13" s="27"/>
        <tr r="D27" s="25"/>
      </tp>
      <tp t="e">
        <v>#N/A</v>
        <stp/>
        <stp>BDH|10814051973615835258</stp>
        <tr r="V9" s="11"/>
      </tp>
      <tp t="e">
        <v>#N/A</v>
        <stp/>
        <stp>BDH|13260226435915415725</stp>
        <tr r="U33" s="18"/>
      </tp>
      <tp t="e">
        <v>#N/A</v>
        <stp/>
        <stp>BDH|11768449430020275624</stp>
        <tr r="Z89" s="17"/>
      </tp>
      <tp t="e">
        <v>#N/A</v>
        <stp/>
        <stp>BDH|13046065338587971740</stp>
        <tr r="T24" s="27"/>
      </tp>
      <tp t="e">
        <v>#N/A</v>
        <stp/>
        <stp>BDH|17279362124117330104</stp>
        <tr r="Q19" s="25"/>
      </tp>
      <tp t="e">
        <v>#N/A</v>
        <stp/>
        <stp>BDH|12122062707156579464</stp>
        <tr r="P7" s="11"/>
      </tp>
      <tp t="e">
        <v>#N/A</v>
        <stp/>
        <stp>BDH|17434907344499681359</stp>
        <tr r="O6" s="28"/>
      </tp>
      <tp t="e">
        <v>#N/A</v>
        <stp/>
        <stp>BDH|12212180517390827261</stp>
        <tr r="J67" s="13"/>
      </tp>
      <tp t="e">
        <v>#N/A</v>
        <stp/>
        <stp>BDH|14567543107324142543</stp>
        <tr r="F8" s="4"/>
      </tp>
      <tp t="e">
        <v>#N/A</v>
        <stp/>
        <stp>BDH|13424796815120942521</stp>
        <tr r="Z10" s="17"/>
      </tp>
      <tp t="e">
        <v>#N/A</v>
        <stp/>
        <stp>BDH|16035342105432712754</stp>
        <tr r="Q26" s="18"/>
      </tp>
      <tp t="e">
        <v>#N/A</v>
        <stp/>
        <stp>BDH|10796029053974293170</stp>
        <tr r="W33" s="24"/>
      </tp>
      <tp t="e">
        <v>#N/A</v>
        <stp/>
        <stp>BDH|14926580457521462511</stp>
        <tr r="Z29" s="13"/>
        <tr r="Z16" s="13"/>
        <tr r="X17" s="10"/>
      </tp>
      <tp t="e">
        <v>#N/A</v>
        <stp/>
        <stp>BDH|10207417493179408471</stp>
        <tr r="C46" s="13"/>
      </tp>
      <tp t="e">
        <v>#N/A</v>
        <stp/>
        <stp>BDH|17217042507717434060</stp>
        <tr r="T154" s="18"/>
      </tp>
      <tp t="e">
        <v>#N/A</v>
        <stp/>
        <stp>BDH|15233562467747705171</stp>
        <tr r="G21" s="10"/>
      </tp>
      <tp t="e">
        <v>#N/A</v>
        <stp/>
        <stp>BDH|17941617062325013296</stp>
        <tr r="U12" s="7"/>
      </tp>
      <tp t="e">
        <v>#N/A</v>
        <stp/>
        <stp>BDH|17877078967658876938</stp>
        <tr r="AA96" s="18"/>
      </tp>
      <tp t="e">
        <v>#N/A</v>
        <stp/>
        <stp>BDH|16975327760206038587</stp>
        <tr r="W7" s="30"/>
      </tp>
      <tp t="e">
        <v>#N/A</v>
        <stp/>
        <stp>BDH|16060342941066478725</stp>
        <tr r="T34" s="29"/>
      </tp>
      <tp t="e">
        <v>#N/A</v>
        <stp/>
        <stp>BDH|13415665900742204736</stp>
        <tr r="AA34" s="34"/>
      </tp>
      <tp t="e">
        <v>#N/A</v>
        <stp/>
        <stp>BDH|14723606897879693250</stp>
        <tr r="K31" s="24"/>
      </tp>
      <tp t="e">
        <v>#N/A</v>
        <stp/>
        <stp>BDH|11636321633765353475</stp>
        <tr r="Z9" s="14"/>
      </tp>
      <tp t="e">
        <v>#N/A</v>
        <stp/>
        <stp>BDH|18018900483131925896</stp>
        <tr r="V14" s="23"/>
      </tp>
      <tp t="e">
        <v>#N/A</v>
        <stp/>
        <stp>BDH|18442244652246654973</stp>
        <tr r="U86" s="24"/>
      </tp>
      <tp t="e">
        <v>#N/A</v>
        <stp/>
        <stp>BDH|13283118483579357304</stp>
        <tr r="R77" s="17"/>
      </tp>
      <tp t="e">
        <v>#N/A</v>
        <stp/>
        <stp>BDH|11589733838974814157</stp>
        <tr r="D15" s="12"/>
      </tp>
      <tp t="e">
        <v>#N/A</v>
        <stp/>
        <stp>BDH|10215643825913441754</stp>
        <tr r="D125" s="12"/>
      </tp>
      <tp t="e">
        <v>#N/A</v>
        <stp/>
        <stp>BDH|18398514811819268538</stp>
        <tr r="P8" s="11"/>
      </tp>
      <tp t="e">
        <v>#N/A</v>
        <stp/>
        <stp>BDH|11805684688848852722</stp>
        <tr r="G13" s="28"/>
        <tr r="G96" s="17"/>
      </tp>
      <tp t="e">
        <v>#N/A</v>
        <stp/>
        <stp>BDH|16918335155547439799</stp>
        <tr r="D18" s="18"/>
      </tp>
      <tp t="e">
        <v>#N/A</v>
        <stp/>
        <stp>BDH|11714160157952727731</stp>
        <tr r="U16" s="14"/>
      </tp>
      <tp t="e">
        <v>#N/A</v>
        <stp/>
        <stp>BDH|17659677660801683658</stp>
        <tr r="P8" s="26"/>
        <tr r="M10" s="9"/>
      </tp>
      <tp t="e">
        <v>#N/A</v>
        <stp/>
        <stp>BDH|17085452611270700212</stp>
        <tr r="J39" s="11"/>
        <tr r="J27" s="11"/>
        <tr r="J48" s="10"/>
        <tr r="J36" s="10"/>
      </tp>
      <tp t="e">
        <v>#N/A</v>
        <stp/>
        <stp>BDH|16135301196268119448</stp>
        <tr r="V10" s="28"/>
      </tp>
      <tp t="e">
        <v>#N/A</v>
        <stp/>
        <stp>BDH|16253388998575326933</stp>
        <tr r="H109" s="18"/>
      </tp>
      <tp t="e">
        <v>#N/A</v>
        <stp/>
        <stp>BDH|12424850482336512449</stp>
        <tr r="X60" s="12"/>
      </tp>
      <tp t="e">
        <v>#N/A</v>
        <stp/>
        <stp>BDH|11278568867316474453</stp>
        <tr r="M20" s="24"/>
      </tp>
      <tp t="e">
        <v>#N/A</v>
        <stp/>
        <stp>BDH|10591143049496989339</stp>
        <tr r="D24" s="24"/>
      </tp>
      <tp t="e">
        <v>#N/A</v>
        <stp/>
        <stp>BDH|13255670705435171038</stp>
        <tr r="G76" s="34"/>
      </tp>
      <tp t="e">
        <v>#N/A</v>
        <stp/>
        <stp>BDH|13817406839781165528</stp>
        <tr r="U28" s="13"/>
      </tp>
      <tp t="e">
        <v>#N/A</v>
        <stp/>
        <stp>BDH|11477073877034612208</stp>
        <tr r="T10" s="25"/>
        <tr r="T55" s="17"/>
      </tp>
      <tp t="e">
        <v>#N/A</v>
        <stp/>
        <stp>BDH|14280503920025743672</stp>
        <tr r="M64" s="24"/>
      </tp>
      <tp t="e">
        <v>#N/A</v>
        <stp/>
        <stp>BDH|17964075225717800219</stp>
        <tr r="D199" s="18"/>
      </tp>
      <tp t="e">
        <v>#N/A</v>
        <stp/>
        <stp>BDH|13976918186603458180</stp>
        <tr r="U62" s="13"/>
      </tp>
      <tp t="e">
        <v>#N/A</v>
        <stp/>
        <stp>BDH|17326899335234859850</stp>
        <tr r="S18" s="6"/>
      </tp>
      <tp t="e">
        <v>#N/A</v>
        <stp/>
        <stp>BDH|18425977855263280763</stp>
        <tr r="Z58" s="34"/>
      </tp>
      <tp t="e">
        <v>#N/A</v>
        <stp/>
        <stp>BDH|15787634830027327752</stp>
        <tr r="P32" s="13"/>
        <tr r="N24" s="11"/>
        <tr r="N33" s="10"/>
        <tr r="N45" s="4"/>
      </tp>
      <tp t="e">
        <v>#N/A</v>
        <stp/>
        <stp>BDH|17229612511127936791</stp>
        <tr r="J39" s="29"/>
        <tr r="J16" s="29"/>
      </tp>
      <tp t="e">
        <v>#N/A</v>
        <stp/>
        <stp>BDH|12918423228220058416</stp>
        <tr r="C65" s="21"/>
      </tp>
      <tp t="e">
        <v>#N/A</v>
        <stp/>
        <stp>BDH|13227192834739830856</stp>
        <tr r="S21" s="34"/>
      </tp>
      <tp t="e">
        <v>#N/A</v>
        <stp/>
        <stp>BDH|12614764649698354984</stp>
        <tr r="O153" s="18"/>
      </tp>
      <tp t="e">
        <v>#N/A</v>
        <stp/>
        <stp>BDH|16937290459689212895</stp>
        <tr r="P54" s="17"/>
        <tr r="P17" s="3"/>
      </tp>
      <tp t="e">
        <v>#N/A</v>
        <stp/>
        <stp>BDH|14001493736786415594</stp>
        <tr r="O119" s="12"/>
      </tp>
      <tp t="e">
        <v>#N/A</v>
        <stp/>
        <stp>BDH|18246911833247100536</stp>
        <tr r="C13" s="10"/>
      </tp>
      <tp t="e">
        <v>#N/A</v>
        <stp/>
        <stp>BDH|10222462357929716869</stp>
        <tr r="K24" s="20"/>
      </tp>
      <tp t="e">
        <v>#N/A</v>
        <stp/>
        <stp>BDH|12745255115277712623</stp>
        <tr r="P7" s="10"/>
      </tp>
      <tp t="e">
        <v>#N/A</v>
        <stp/>
        <stp>BDH|16564064781827190912</stp>
        <tr r="U28" s="6"/>
      </tp>
      <tp t="e">
        <v>#N/A</v>
        <stp/>
        <stp>BDH|13388202806402479339</stp>
        <tr r="Y18" s="21"/>
      </tp>
      <tp t="e">
        <v>#N/A</v>
        <stp/>
        <stp>BDH|15003544695040758941</stp>
        <tr r="G56" s="11"/>
        <tr r="G24" s="4"/>
      </tp>
      <tp t="e">
        <v>#N/A</v>
        <stp/>
        <stp>BDH|14371448871982414507</stp>
        <tr r="L49" s="12"/>
      </tp>
      <tp t="e">
        <v>#N/A</v>
        <stp/>
        <stp>BDH|17431967466141454920</stp>
        <tr r="Q60" s="12"/>
      </tp>
      <tp t="e">
        <v>#N/A</v>
        <stp/>
        <stp>BDH|18124228355837722830</stp>
        <tr r="U26" s="18"/>
      </tp>
      <tp t="e">
        <v>#N/A</v>
        <stp/>
        <stp>BDH|13950743530356821177</stp>
        <tr r="C39" s="11"/>
        <tr r="C27" s="11"/>
        <tr r="C48" s="10"/>
        <tr r="C36" s="10"/>
      </tp>
      <tp t="e">
        <v>#N/A</v>
        <stp/>
        <stp>BDH|18042792809339238606</stp>
        <tr r="Z68" s="24"/>
      </tp>
      <tp t="e">
        <v>#N/A</v>
        <stp/>
        <stp>BDH|10107456257502615372</stp>
        <tr r="P8" s="21"/>
      </tp>
      <tp t="e">
        <v>#N/A</v>
        <stp/>
        <stp>BDH|10426569559986970602</stp>
        <tr r="AA35" s="21"/>
      </tp>
      <tp t="e">
        <v>#N/A</v>
        <stp/>
        <stp>BDH|12579149087263495802</stp>
        <tr r="I22" s="12"/>
      </tp>
      <tp t="e">
        <v>#N/A</v>
        <stp/>
        <stp>BDH|14034331456404160667</stp>
        <tr r="H53" s="18"/>
      </tp>
      <tp t="e">
        <v>#N/A</v>
        <stp/>
        <stp>BDH|17236283717310630497</stp>
        <tr r="W36" s="6"/>
        <tr r="W17" s="5"/>
      </tp>
      <tp t="e">
        <v>#N/A</v>
        <stp/>
        <stp>BDH|12353581891376865807</stp>
        <tr r="G44" s="11"/>
        <tr r="G53" s="10"/>
        <tr r="G16" s="7"/>
      </tp>
      <tp t="e">
        <v>#N/A</v>
        <stp/>
        <stp>BDH|18444648527168620439</stp>
        <tr r="R80" s="17"/>
        <tr r="R19" s="3"/>
      </tp>
      <tp t="e">
        <v>#N/A</v>
        <stp/>
        <stp>BDH|14628185646690915136</stp>
        <tr r="H32" s="9"/>
      </tp>
      <tp t="e">
        <v>#N/A</v>
        <stp/>
        <stp>BDH|16687965937275335969</stp>
        <tr r="W38" s="21"/>
        <tr r="W24" s="3"/>
      </tp>
      <tp t="e">
        <v>#N/A</v>
        <stp/>
        <stp>BDH|11105808723953534857</stp>
        <tr r="Q27" s="17"/>
      </tp>
      <tp t="e">
        <v>#N/A</v>
        <stp/>
        <stp>BDH|10511453964041375351</stp>
        <tr r="F9" s="11"/>
      </tp>
      <tp t="e">
        <v>#N/A</v>
        <stp/>
        <stp>BDH|10565551736290413600</stp>
        <tr r="C100" s="12"/>
      </tp>
      <tp t="e">
        <v>#N/A</v>
        <stp/>
        <stp>BDH|12853923347069953667</stp>
        <tr r="S18" s="27"/>
        <tr r="S32" s="25"/>
      </tp>
      <tp t="e">
        <v>#N/A</v>
        <stp/>
        <stp>BDH|11717683366802390387</stp>
        <tr r="AA22" s="18"/>
      </tp>
      <tp t="e">
        <v>#N/A</v>
        <stp/>
        <stp>BDH|12247144073264433035</stp>
        <tr r="M17" s="27"/>
        <tr r="M31" s="25"/>
        <tr r="J14" s="5"/>
      </tp>
      <tp t="e">
        <v>#N/A</v>
        <stp/>
        <stp>BDH|13993110934374893518</stp>
        <tr r="P36" s="22"/>
      </tp>
      <tp t="e">
        <v>#N/A</v>
        <stp/>
        <stp>BDH|13087431497306788869</stp>
        <tr r="F38" s="24"/>
      </tp>
      <tp t="e">
        <v>#N/A</v>
        <stp/>
        <stp>BDH|17192554852456034131</stp>
        <tr r="S64" s="11"/>
        <tr r="S73" s="10"/>
      </tp>
      <tp t="e">
        <v>#N/A</v>
        <stp/>
        <stp>BDH|12765408176601653026</stp>
        <tr r="V99" s="12"/>
      </tp>
      <tp t="e">
        <v>#N/A</v>
        <stp/>
        <stp>BDH|12362075993192114938</stp>
        <tr r="F28" s="4"/>
      </tp>
      <tp t="e">
        <v>#N/A</v>
        <stp/>
        <stp>BDH|16639658371925396241</stp>
        <tr r="F74" s="18"/>
      </tp>
      <tp t="e">
        <v>#N/A</v>
        <stp/>
        <stp>BDH|10572771547650726378</stp>
        <tr r="G47" s="21"/>
      </tp>
      <tp t="e">
        <v>#N/A</v>
        <stp/>
        <stp>BDH|13591439376853125340</stp>
        <tr r="M55" s="12"/>
      </tp>
      <tp t="e">
        <v>#N/A</v>
        <stp/>
        <stp>BDH|10093660306995485311</stp>
        <tr r="G24" s="20"/>
      </tp>
      <tp t="e">
        <v>#N/A</v>
        <stp/>
        <stp>BDH|16185051974366636730</stp>
        <tr r="G34" s="34"/>
      </tp>
      <tp t="e">
        <v>#N/A</v>
        <stp/>
        <stp>BDH|17438450182972134970</stp>
        <tr r="T198" s="18"/>
      </tp>
      <tp t="e">
        <v>#N/A</v>
        <stp/>
        <stp>BDH|12355021553671782603</stp>
        <tr r="AA31" s="21"/>
      </tp>
      <tp t="e">
        <v>#N/A</v>
        <stp/>
        <stp>BDH|14939565870131875728</stp>
        <tr r="D17" s="34"/>
      </tp>
      <tp t="e">
        <v>#N/A</v>
        <stp/>
        <stp>BDH|15028895886572286782</stp>
        <tr r="X23" s="30"/>
        <tr r="X25" s="23"/>
      </tp>
      <tp t="e">
        <v>#N/A</v>
        <stp/>
        <stp>BDH|16503740735230295233</stp>
        <tr r="D121" s="12"/>
      </tp>
      <tp t="e">
        <v>#N/A</v>
        <stp/>
        <stp>BDH|16877547649322087504</stp>
        <tr r="O61" s="11"/>
        <tr r="O70" s="10"/>
        <tr r="O20" s="7"/>
      </tp>
      <tp t="e">
        <v>#N/A</v>
        <stp/>
        <stp>BDH|10946667471664295593</stp>
        <tr r="N206" s="18"/>
      </tp>
      <tp t="e">
        <v>#N/A</v>
        <stp/>
        <stp>BDH|15616417654223291742</stp>
        <tr r="M63" s="11"/>
        <tr r="M72" s="10"/>
      </tp>
      <tp t="e">
        <v>#N/A</v>
        <stp/>
        <stp>BDH|17246040264585477438</stp>
        <tr r="F32" s="5"/>
      </tp>
      <tp t="e">
        <v>#N/A</v>
        <stp/>
        <stp>BDH|13603135221456575648</stp>
        <tr r="H28" s="14"/>
      </tp>
      <tp t="e">
        <v>#N/A</v>
        <stp/>
        <stp>BDH|11409660364249080837</stp>
        <tr r="J13" s="12"/>
      </tp>
      <tp t="e">
        <v>#N/A</v>
        <stp/>
        <stp>BDH|17659572168937401383</stp>
        <tr r="P93" s="18"/>
      </tp>
      <tp t="e">
        <v>#N/A</v>
        <stp/>
        <stp>BDH|10420071371542521529</stp>
        <tr r="G50" s="34"/>
      </tp>
      <tp t="e">
        <v>#N/A</v>
        <stp/>
        <stp>BDH|11030126502275284573</stp>
        <tr r="O42" s="29"/>
        <tr r="O33" s="29"/>
        <tr r="M55" s="6"/>
        <tr r="M11" s="5"/>
        <tr r="N10" s="2"/>
      </tp>
      <tp t="e">
        <v>#N/A</v>
        <stp/>
        <stp>BDH|15417288378173062312</stp>
        <tr r="T34" s="12"/>
      </tp>
      <tp t="e">
        <v>#N/A</v>
        <stp/>
        <stp>BDH|14514453500834632435</stp>
        <tr r="H15" s="23"/>
        <tr r="F58" s="11"/>
      </tp>
      <tp t="e">
        <v>#N/A</v>
        <stp/>
        <stp>BDH|13122070123513037207</stp>
        <tr r="M43" s="29"/>
      </tp>
      <tp t="e">
        <v>#N/A</v>
        <stp/>
        <stp>BDH|15156950644098237074</stp>
        <tr r="I15" s="4"/>
      </tp>
      <tp t="e">
        <v>#N/A</v>
        <stp/>
        <stp>BDH|11141099406063277298</stp>
        <tr r="I71" s="24"/>
      </tp>
      <tp t="e">
        <v>#N/A</v>
        <stp/>
        <stp>BDH|12363144400777171430</stp>
        <tr r="N170" s="18"/>
      </tp>
      <tp t="e">
        <v>#N/A</v>
        <stp/>
        <stp>BDH|14891392772378333859</stp>
        <tr r="K19" s="25"/>
      </tp>
      <tp t="e">
        <v>#N/A</v>
        <stp/>
        <stp>BDH|11291347229813341393</stp>
        <tr r="T31" s="17"/>
      </tp>
      <tp t="e">
        <v>#N/A</v>
        <stp/>
        <stp>BDH|10473599472904303697</stp>
        <tr r="U69" s="10"/>
      </tp>
      <tp t="e">
        <v>#N/A</v>
        <stp/>
        <stp>BDH|10642260932184447531</stp>
        <tr r="L22" s="7"/>
      </tp>
      <tp t="e">
        <v>#N/A</v>
        <stp/>
        <stp>BDH|11475318770250643569</stp>
        <tr r="U32" s="26"/>
      </tp>
      <tp t="e">
        <v>#N/A</v>
        <stp/>
        <stp>BDH|17773628060513591454</stp>
        <tr r="J21" s="4"/>
      </tp>
      <tp t="e">
        <v>#N/A</v>
        <stp/>
        <stp>BDH|12751482305165788388</stp>
        <tr r="K81" s="17"/>
      </tp>
      <tp t="e">
        <v>#N/A</v>
        <stp/>
        <stp>BDH|17063717444706060206</stp>
        <tr r="R13" s="7"/>
      </tp>
      <tp t="e">
        <v>#N/A</v>
        <stp/>
        <stp>BDH|11962766338432270705</stp>
        <tr r="Z130" s="18"/>
      </tp>
      <tp t="e">
        <v>#N/A</v>
        <stp/>
        <stp>BDH|18208847530154377704</stp>
        <tr r="N10" s="26"/>
      </tp>
      <tp t="e">
        <v>#N/A</v>
        <stp/>
        <stp>BDH|15174399695838959716</stp>
        <tr r="I136" s="18"/>
      </tp>
      <tp t="e">
        <v>#N/A</v>
        <stp/>
        <stp>BDH|12188098855292173590</stp>
        <tr r="N51" s="18"/>
      </tp>
      <tp t="e">
        <v>#N/A</v>
        <stp/>
        <stp>BDH|17241487532754443495</stp>
        <tr r="C20" s="27"/>
      </tp>
      <tp t="e">
        <v>#N/A</v>
        <stp/>
        <stp>BDH|17827281502927382247</stp>
        <tr r="N201" s="18"/>
      </tp>
      <tp t="e">
        <v>#N/A</v>
        <stp/>
        <stp>BDH|11034377067114748025</stp>
        <tr r="U92" s="18"/>
      </tp>
      <tp t="e">
        <v>#N/A</v>
        <stp/>
        <stp>BDH|13544224170284462260</stp>
        <tr r="Z15" s="12"/>
      </tp>
      <tp t="e">
        <v>#N/A</v>
        <stp/>
        <stp>BDH|16354636143165029164</stp>
        <tr r="V85" s="18"/>
      </tp>
      <tp t="e">
        <v>#N/A</v>
        <stp/>
        <stp>BDH|11352210553683303568</stp>
        <tr r="L165" s="18"/>
      </tp>
      <tp t="e">
        <v>#N/A</v>
        <stp/>
        <stp>BDH|11699094055910699486</stp>
        <tr r="J8" s="13"/>
      </tp>
      <tp t="e">
        <v>#N/A</v>
        <stp/>
        <stp>BDH|15785807595603441726</stp>
        <tr r="R58" s="18"/>
      </tp>
      <tp t="e">
        <v>#N/A</v>
        <stp/>
        <stp>BDH|13302618824022368515</stp>
        <tr r="Y16" s="11"/>
      </tp>
      <tp t="e">
        <v>#N/A</v>
        <stp/>
        <stp>BDH|10155010158192886745</stp>
        <tr r="P31" s="21"/>
      </tp>
      <tp t="e">
        <v>#N/A</v>
        <stp/>
        <stp>BDH|12530712116364486023</stp>
        <tr r="C133" s="18"/>
      </tp>
      <tp t="e">
        <v>#N/A</v>
        <stp/>
        <stp>BDH|13606770502021519529</stp>
        <tr r="G21" s="17"/>
      </tp>
      <tp t="e">
        <v>#N/A</v>
        <stp/>
        <stp>BDH|16340157746265219668</stp>
        <tr r="S9" s="30"/>
      </tp>
      <tp t="e">
        <v>#N/A</v>
        <stp/>
        <stp>BDH|14331604254664768348</stp>
        <tr r="Q55" s="34"/>
      </tp>
      <tp t="e">
        <v>#N/A</v>
        <stp/>
        <stp>BDH|11772338870357520251</stp>
        <tr r="Z27" s="17"/>
      </tp>
      <tp t="e">
        <v>#N/A</v>
        <stp/>
        <stp>BDH|12310303306835679472</stp>
        <tr r="W76" s="34"/>
      </tp>
      <tp t="e">
        <v>#N/A</v>
        <stp/>
        <stp>BDH|13942575442872868000</stp>
        <tr r="I9" s="21"/>
      </tp>
      <tp t="e">
        <v>#N/A</v>
        <stp/>
        <stp>BDH|14419078437935767279</stp>
        <tr r="J21" s="10"/>
      </tp>
      <tp t="e">
        <v>#N/A</v>
        <stp/>
        <stp>BDH|13714182534923846271</stp>
        <tr r="R70" s="34"/>
      </tp>
      <tp t="e">
        <v>#N/A</v>
        <stp/>
        <stp>BDH|16492257317636532374</stp>
        <tr r="H64" s="12"/>
      </tp>
      <tp t="e">
        <v>#N/A</v>
        <stp/>
        <stp>BDH|14499736522380847197</stp>
        <tr r="X81" s="18"/>
      </tp>
      <tp t="e">
        <v>#N/A</v>
        <stp/>
        <stp>BDH|17063264271922011035</stp>
        <tr r="I18" s="13"/>
      </tp>
      <tp t="e">
        <v>#N/A</v>
        <stp/>
        <stp>BDH|13277279117121338152</stp>
        <tr r="Y30" s="24"/>
      </tp>
      <tp t="e">
        <v>#N/A</v>
        <stp/>
        <stp>BDH|11272772173934447565</stp>
        <tr r="P64" s="11"/>
        <tr r="P73" s="10"/>
      </tp>
      <tp t="e">
        <v>#N/A</v>
        <stp/>
        <stp>BDH|15503824489780869528</stp>
        <tr r="J15" s="22"/>
      </tp>
      <tp t="e">
        <v>#N/A</v>
        <stp/>
        <stp>BDH|10146112426347682441</stp>
        <tr r="T137" s="18"/>
      </tp>
      <tp t="e">
        <v>#N/A</v>
        <stp/>
        <stp>BDH|11026252163316190336</stp>
        <tr r="P26" s="13"/>
      </tp>
      <tp t="e">
        <v>#N/A</v>
        <stp/>
        <stp>BDH|10231170674432434418</stp>
        <tr r="H10" s="27"/>
        <tr r="H25" s="25"/>
      </tp>
      <tp t="e">
        <v>#N/A</v>
        <stp/>
        <stp>BDH|10618452261093418121</stp>
        <tr r="M192" s="18"/>
      </tp>
      <tp t="e">
        <v>#N/A</v>
        <stp/>
        <stp>BDH|17802847127874880974</stp>
        <tr r="S161" s="18"/>
      </tp>
      <tp t="e">
        <v>#N/A</v>
        <stp/>
        <stp>BDH|15558511810913970299</stp>
        <tr r="I70" s="12"/>
      </tp>
      <tp t="e">
        <v>#N/A</v>
        <stp/>
        <stp>BDH|16657657344347220310</stp>
        <tr r="R19" s="30"/>
      </tp>
      <tp t="e">
        <v>#N/A</v>
        <stp/>
        <stp>BDH|14159614460747634327</stp>
        <tr r="E36" s="34"/>
      </tp>
      <tp t="e">
        <v>#N/A</v>
        <stp/>
        <stp>BDH|12039347113710232012</stp>
        <tr r="K10" s="12"/>
      </tp>
      <tp t="e">
        <v>#N/A</v>
        <stp/>
        <stp>BDH|12882491726170688452</stp>
        <tr r="C33" s="13"/>
      </tp>
      <tp t="e">
        <v>#N/A</v>
        <stp/>
        <stp>BDH|11002715525004073000</stp>
        <tr r="S7" s="14"/>
      </tp>
      <tp t="e">
        <v>#N/A</v>
        <stp/>
        <stp>BDH|13263536822406122267</stp>
        <tr r="G23" s="9"/>
        <tr r="G23" s="5"/>
      </tp>
      <tp t="e">
        <v>#N/A</v>
        <stp/>
        <stp>BDH|12651470574396206736</stp>
        <tr r="V7" s="6"/>
      </tp>
      <tp t="e">
        <v>#N/A</v>
        <stp/>
        <stp>BDH|12855414444195078797</stp>
        <tr r="Q8" s="24"/>
      </tp>
      <tp t="e">
        <v>#N/A</v>
        <stp/>
        <stp>BDH|17588170008995822363</stp>
        <tr r="L38" s="13"/>
        <tr r="J31" s="10"/>
      </tp>
      <tp t="e">
        <v>#N/A</v>
        <stp/>
        <stp>BDH|16161963565510607900</stp>
        <tr r="D23" s="13"/>
      </tp>
      <tp t="e">
        <v>#N/A</v>
        <stp/>
        <stp>BDH|15255918792877128240</stp>
        <tr r="L38" s="21"/>
        <tr r="L24" s="3"/>
      </tp>
      <tp t="e">
        <v>#N/A</v>
        <stp/>
        <stp>BDH|11242864381684496558</stp>
        <tr r="Z37" s="18"/>
      </tp>
      <tp t="e">
        <v>#N/A</v>
        <stp/>
        <stp>BDH|15549794687549924360</stp>
        <tr r="P24" s="21"/>
      </tp>
      <tp t="e">
        <v>#N/A</v>
        <stp/>
        <stp>BDH|10491084448975119112</stp>
        <tr r="Z196" s="18"/>
      </tp>
      <tp t="e">
        <v>#N/A</v>
        <stp/>
        <stp>BDH|10182760911941168730</stp>
        <tr r="M24" s="6"/>
      </tp>
      <tp t="e">
        <v>#N/A</v>
        <stp/>
        <stp>BDH|13202274647626645301</stp>
        <tr r="T43" s="13"/>
        <tr r="R35" s="11"/>
        <tr r="R44" s="10"/>
        <tr r="R52" s="4"/>
        <tr r="T8" s="3"/>
      </tp>
      <tp t="e">
        <v>#N/A</v>
        <stp/>
        <stp>BDH|13335006521729747810</stp>
        <tr r="Z63" s="17"/>
      </tp>
      <tp t="e">
        <v>#N/A</v>
        <stp/>
        <stp>BDH|16728842433504658926</stp>
        <tr r="T70" s="17"/>
        <tr r="T18" s="3"/>
      </tp>
      <tp t="e">
        <v>#N/A</v>
        <stp/>
        <stp>BDH|12807455818816089113</stp>
        <tr r="U13" s="30"/>
      </tp>
      <tp t="e">
        <v>#N/A</v>
        <stp/>
        <stp>BDH|11161353210436823585</stp>
        <tr r="L92" s="12"/>
      </tp>
      <tp t="e">
        <v>#N/A</v>
        <stp/>
        <stp>BDH|10578526583729362435</stp>
        <tr r="W52" s="17"/>
      </tp>
      <tp t="e">
        <v>#N/A</v>
        <stp/>
        <stp>BDH|15033503174491885689</stp>
        <tr r="M58" s="6"/>
      </tp>
      <tp t="e">
        <v>#N/A</v>
        <stp/>
        <stp>BDH|12148146800284749761</stp>
        <tr r="I23" s="12"/>
      </tp>
      <tp t="e">
        <v>#N/A</v>
        <stp/>
        <stp>BDH|18052866962846572058</stp>
        <tr r="F37" s="18"/>
      </tp>
      <tp t="e">
        <v>#N/A</v>
        <stp/>
        <stp>BDH|13666654100257337247</stp>
        <tr r="M167" s="18"/>
      </tp>
      <tp t="e">
        <v>#N/A</v>
        <stp/>
        <stp>BDH|15665289369726595765</stp>
        <tr r="G17" s="12"/>
      </tp>
      <tp t="e">
        <v>#N/A</v>
        <stp/>
        <stp>BDH|10944741799637833984</stp>
        <tr r="H62" s="24"/>
      </tp>
      <tp t="e">
        <v>#N/A</v>
        <stp/>
        <stp>BDH|11124756137146569318</stp>
        <tr r="R14" s="23"/>
      </tp>
      <tp t="e">
        <v>#N/A</v>
        <stp/>
        <stp>BDH|13586919334188498132</stp>
        <tr r="P44" s="21"/>
      </tp>
      <tp t="e">
        <v>#N/A</v>
        <stp/>
        <stp>BDH|11576726038763986615</stp>
        <tr r="AA177" s="18"/>
      </tp>
      <tp t="e">
        <v>#N/A</v>
        <stp/>
        <stp>BDH|17311556874776582302</stp>
        <tr r="X8" s="28"/>
      </tp>
      <tp t="e">
        <v>#N/A</v>
        <stp/>
        <stp>BDH|17063213338563638589</stp>
        <tr r="O14" s="28"/>
      </tp>
      <tp t="e">
        <v>#N/A</v>
        <stp/>
        <stp>BDH|10392152278217951106</stp>
        <tr r="O7" s="21"/>
      </tp>
      <tp t="e">
        <v>#N/A</v>
        <stp/>
        <stp>BDH|10230269868033878737</stp>
        <tr r="W14" s="21"/>
      </tp>
      <tp t="e">
        <v>#N/A</v>
        <stp/>
        <stp>BDH|14518754823479699821</stp>
        <tr r="H70" s="17"/>
        <tr r="H18" s="3"/>
      </tp>
      <tp t="e">
        <v>#N/A</v>
        <stp/>
        <stp>BDH|13017603150250318048</stp>
        <tr r="D126" s="18"/>
      </tp>
      <tp t="e">
        <v>#N/A</v>
        <stp/>
        <stp>BDH|12572722773825542760</stp>
        <tr r="R23" s="21"/>
      </tp>
      <tp t="e">
        <v>#N/A</v>
        <stp/>
        <stp>BDH|11767036167045416208</stp>
        <tr r="X29" s="17"/>
      </tp>
      <tp t="e">
        <v>#N/A</v>
        <stp/>
        <stp>BDH|18059857982141686962</stp>
        <tr r="L12" s="18"/>
      </tp>
      <tp t="e">
        <v>#N/A</v>
        <stp/>
        <stp>BDH|11016134803273484337</stp>
        <tr r="N71" s="12"/>
      </tp>
      <tp t="e">
        <v>#N/A</v>
        <stp/>
        <stp>BDH|16990484847650315622</stp>
        <tr r="D43" s="6"/>
      </tp>
      <tp t="e">
        <v>#N/A</v>
        <stp/>
        <stp>BDH|17450614106828238962</stp>
        <tr r="N75" s="12"/>
      </tp>
      <tp t="e">
        <v>#N/A</v>
        <stp/>
        <stp>BDH|16719239227667019147</stp>
        <tr r="Z77" s="12"/>
      </tp>
      <tp t="e">
        <v>#N/A</v>
        <stp/>
        <stp>BDH|14574919268448825330</stp>
        <tr r="K13" s="28"/>
        <tr r="K96" s="17"/>
      </tp>
      <tp t="e">
        <v>#N/A</v>
        <stp/>
        <stp>BDH|15961339075100050183</stp>
        <tr r="L16" s="24"/>
      </tp>
      <tp t="e">
        <v>#N/A</v>
        <stp/>
        <stp>BDH|12385239419209791892</stp>
        <tr r="P16" s="34"/>
      </tp>
      <tp t="e">
        <v>#N/A</v>
        <stp/>
        <stp>BDH|15520778115487959493</stp>
        <tr r="V18" s="17"/>
      </tp>
      <tp t="e">
        <v>#N/A</v>
        <stp/>
        <stp>BDH|13951529708740711632</stp>
        <tr r="AA16" s="28"/>
        <tr r="AA13" s="17"/>
      </tp>
      <tp t="e">
        <v>#N/A</v>
        <stp/>
        <stp>BDH|15448499659981645558</stp>
        <tr r="S30" s="34"/>
      </tp>
      <tp t="e">
        <v>#N/A</v>
        <stp/>
        <stp>BDH|11618230054905470320</stp>
        <tr r="D22" s="14"/>
      </tp>
      <tp t="e">
        <v>#N/A</v>
        <stp/>
        <stp>BDH|15417743743512715439</stp>
        <tr r="Z29" s="22"/>
      </tp>
      <tp t="e">
        <v>#N/A</v>
        <stp/>
        <stp>BDH|12445026713925163632</stp>
        <tr r="U149" s="18"/>
      </tp>
      <tp t="e">
        <v>#N/A</v>
        <stp/>
        <stp>BDH|18184539551971529914</stp>
        <tr r="X90" s="24"/>
      </tp>
      <tp t="e">
        <v>#N/A</v>
        <stp/>
        <stp>BDH|18041715313637182941</stp>
        <tr r="G181" s="18"/>
      </tp>
      <tp t="e">
        <v>#N/A</v>
        <stp/>
        <stp>BDH|12565661515896920380</stp>
        <tr r="M42" s="11"/>
        <tr r="M51" s="10"/>
        <tr r="M14" s="7"/>
        <tr r="O9" s="3"/>
      </tp>
      <tp t="e">
        <v>#N/A</v>
        <stp/>
        <stp>BDH|16890068949822120016</stp>
        <tr r="O11" s="20"/>
        <tr r="O120" s="18"/>
      </tp>
      <tp t="e">
        <v>#N/A</v>
        <stp/>
        <stp>BDH|11553013387711557819</stp>
        <tr r="W79" s="17"/>
        <tr r="T9" s="9"/>
        <tr r="T9" s="5"/>
      </tp>
      <tp t="e">
        <v>#N/A</v>
        <stp/>
        <stp>BDH|18292399729501098850</stp>
        <tr r="J122" s="12"/>
      </tp>
      <tp t="e">
        <v>#N/A</v>
        <stp/>
        <stp>BDH|14579328313263767547</stp>
        <tr r="M39" s="13"/>
        <tr r="K32" s="10"/>
      </tp>
      <tp t="e">
        <v>#N/A</v>
        <stp/>
        <stp>BDH|10291564002563430657</stp>
        <tr r="G27" s="22"/>
      </tp>
      <tp t="e">
        <v>#N/A</v>
        <stp/>
        <stp>BDH|14368585703521679092</stp>
        <tr r="J67" s="34"/>
      </tp>
      <tp t="e">
        <v>#N/A</v>
        <stp/>
        <stp>BDH|10105739352504466638</stp>
        <tr r="T16" s="23"/>
      </tp>
      <tp t="e">
        <v>#N/A</v>
        <stp/>
        <stp>BDH|14759010351052311334</stp>
        <tr r="N13" s="18"/>
      </tp>
      <tp t="e">
        <v>#N/A</v>
        <stp/>
        <stp>BDH|11413547006905566149</stp>
        <tr r="Q15" s="11"/>
      </tp>
      <tp t="e">
        <v>#N/A</v>
        <stp/>
        <stp>BDH|14250334585107120822</stp>
        <tr r="H41" s="21"/>
      </tp>
      <tp t="e">
        <v>#N/A</v>
        <stp/>
        <stp>BDH|11818154096939910058</stp>
        <tr r="C134" s="18"/>
      </tp>
      <tp t="e">
        <v>#N/A</v>
        <stp/>
        <stp>BDH|17273817184446672166</stp>
        <tr r="T28" s="17"/>
      </tp>
      <tp t="e">
        <v>#N/A</v>
        <stp/>
        <stp>BDH|13517893482962893117</stp>
        <tr r="K52" s="12"/>
      </tp>
      <tp t="e">
        <v>#N/A</v>
        <stp/>
        <stp>BDH|14668984392637222392</stp>
        <tr r="Z9" s="22"/>
      </tp>
      <tp t="e">
        <v>#N/A</v>
        <stp/>
        <stp>BDH|11924069955726999241</stp>
        <tr r="C92" s="24"/>
      </tp>
      <tp t="e">
        <v>#N/A</v>
        <stp/>
        <stp>BDH|12108128673767429339</stp>
        <tr r="F88" s="17"/>
      </tp>
      <tp t="e">
        <v>#N/A</v>
        <stp/>
        <stp>BDH|13868694952413430301</stp>
        <tr r="H18" s="20"/>
      </tp>
      <tp t="e">
        <v>#N/A</v>
        <stp/>
        <stp>BDH|13326210636067534565</stp>
        <tr r="R14" s="12"/>
      </tp>
      <tp t="e">
        <v>#N/A</v>
        <stp/>
        <stp>BDH|13876567615885401293</stp>
        <tr r="X84" s="24"/>
      </tp>
      <tp t="e">
        <v>#N/A</v>
        <stp/>
        <stp>BDH|13889325118031430005</stp>
        <tr r="D48" s="21"/>
      </tp>
      <tp t="e">
        <v>#N/A</v>
        <stp/>
        <stp>BDH|15601016057244475428</stp>
        <tr r="L14" s="20"/>
        <tr r="L123" s="18"/>
      </tp>
      <tp t="e">
        <v>#N/A</v>
        <stp/>
        <stp>BDH|15464794797788899347</stp>
        <tr r="X10" s="8"/>
        <tr r="V53" s="6"/>
      </tp>
      <tp t="e">
        <v>#N/A</v>
        <stp/>
        <stp>BDH|15330902234699186605</stp>
        <tr r="O10" s="25"/>
        <tr r="O55" s="17"/>
      </tp>
      <tp t="e">
        <v>#N/A</v>
        <stp/>
        <stp>BDH|10350312822089085865</stp>
        <tr r="W19" s="22"/>
      </tp>
      <tp t="e">
        <v>#N/A</v>
        <stp/>
        <stp>BDH|15772113374760699323</stp>
        <tr r="D7" s="10"/>
      </tp>
      <tp t="e">
        <v>#N/A</v>
        <stp/>
        <stp>BDH|14417735925528305978</stp>
        <tr r="AA35" s="14"/>
      </tp>
      <tp t="e">
        <v>#N/A</v>
        <stp/>
        <stp>BDH|18054278713223064820</stp>
        <tr r="Q35" s="13"/>
        <tr r="O28" s="10"/>
      </tp>
      <tp t="e">
        <v>#N/A</v>
        <stp/>
        <stp>BDH|13874893099743723198</stp>
        <tr r="N202" s="18"/>
      </tp>
      <tp t="e">
        <v>#N/A</v>
        <stp/>
        <stp>BDH|10742630174212180377</stp>
        <tr r="U46" s="6"/>
        <tr r="U19" s="5"/>
      </tp>
      <tp t="e">
        <v>#N/A</v>
        <stp/>
        <stp>BDH|11227056401703481242</stp>
        <tr r="M38" s="11"/>
        <tr r="M47" s="10"/>
      </tp>
      <tp t="e">
        <v>#N/A</v>
        <stp/>
        <stp>BDH|12046334312900297059</stp>
        <tr r="S26" s="22"/>
      </tp>
      <tp t="e">
        <v>#N/A</v>
        <stp/>
        <stp>BDH|13108437271220297074</stp>
        <tr r="AA69" s="24"/>
      </tp>
      <tp t="e">
        <v>#N/A</v>
        <stp/>
        <stp>BDH|14564789979357601344</stp>
        <tr r="H115" s="18"/>
      </tp>
      <tp t="e">
        <v>#N/A</v>
        <stp/>
        <stp>BDH|10937723847844953735</stp>
        <tr r="D19" s="20"/>
      </tp>
      <tp t="e">
        <v>#N/A</v>
        <stp/>
        <stp>BDH|11346571840827737756</stp>
        <tr r="U65" s="24"/>
      </tp>
      <tp t="e">
        <v>#N/A</v>
        <stp/>
        <stp>BDH|15007308583849605738</stp>
        <tr r="R81" s="24"/>
      </tp>
      <tp t="e">
        <v>#N/A</v>
        <stp/>
        <stp>BDH|16411009383466716865</stp>
        <tr r="N43" s="17"/>
      </tp>
      <tp t="e">
        <v>#N/A</v>
        <stp/>
        <stp>BDH|13421428715450439612</stp>
        <tr r="I66" s="17"/>
      </tp>
      <tp t="e">
        <v>#N/A</v>
        <stp/>
        <stp>BDH|10565883094224880571</stp>
        <tr r="O69" s="24"/>
      </tp>
      <tp t="e">
        <v>#N/A</v>
        <stp/>
        <stp>BDH|15416590552446836318</stp>
        <tr r="L169" s="18"/>
      </tp>
      <tp t="e">
        <v>#N/A</v>
        <stp/>
        <stp>BDH|16993452965702693698</stp>
        <tr r="Q12" s="6"/>
      </tp>
      <tp t="e">
        <v>#N/A</v>
        <stp/>
        <stp>BDH|11767704062949774941</stp>
        <tr r="P90" s="17"/>
      </tp>
      <tp t="e">
        <v>#N/A</v>
        <stp/>
        <stp>BDH|10030730006542795542</stp>
        <tr r="V171" s="18"/>
      </tp>
      <tp t="e">
        <v>#N/A</v>
        <stp/>
        <stp>BDH|16836512973481584590</stp>
        <tr r="O45" s="12"/>
      </tp>
      <tp t="e">
        <v>#N/A</v>
        <stp/>
        <stp>BDH|16105668011660002102</stp>
        <tr r="I27" s="34"/>
      </tp>
      <tp t="e">
        <v>#N/A</v>
        <stp/>
        <stp>BDH|17630479276311602575</stp>
        <tr r="AA66" s="12"/>
      </tp>
      <tp t="e">
        <v>#N/A</v>
        <stp/>
        <stp>BDH|15157277059440131289</stp>
        <tr r="C184" s="18"/>
      </tp>
      <tp t="e">
        <v>#N/A</v>
        <stp/>
        <stp>BDH|13408207377265761320</stp>
        <tr r="K23" s="24"/>
      </tp>
      <tp t="e">
        <v>#N/A</v>
        <stp/>
        <stp>BDH|15037897488282411734</stp>
        <tr r="O23" s="23"/>
      </tp>
      <tp t="e">
        <v>#N/A</v>
        <stp/>
        <stp>BDH|16286312067967248405</stp>
        <tr r="X67" s="17"/>
      </tp>
      <tp t="e">
        <v>#N/A</v>
        <stp/>
        <stp>BDH|12244002203252577021</stp>
        <tr r="H91" s="17"/>
      </tp>
      <tp t="e">
        <v>#N/A</v>
        <stp/>
        <stp>BDH|15334745701855880784</stp>
        <tr r="T134" s="18"/>
      </tp>
      <tp t="e">
        <v>#N/A</v>
        <stp/>
        <stp>BDH|14698076927713104519</stp>
        <tr r="C9" s="21"/>
      </tp>
      <tp t="e">
        <v>#N/A</v>
        <stp/>
        <stp>BDH|17676375173776557511</stp>
        <tr r="N90" s="24"/>
      </tp>
      <tp t="e">
        <v>#N/A</v>
        <stp/>
        <stp>BDH|12326475524624270047</stp>
        <tr r="AA23" s="13"/>
      </tp>
      <tp t="e">
        <v>#N/A</v>
        <stp/>
        <stp>BDH|10760443521264350273</stp>
        <tr r="L53" s="13"/>
      </tp>
      <tp t="e">
        <v>#N/A</v>
        <stp/>
        <stp>BDH|15861696570721779500</stp>
        <tr r="U167" s="18"/>
      </tp>
      <tp t="e">
        <v>#N/A</v>
        <stp/>
        <stp>BDH|14279225754037776455</stp>
        <tr r="J207" s="18"/>
      </tp>
      <tp t="e">
        <v>#N/A</v>
        <stp/>
        <stp>BDH|16453579013766633408</stp>
        <tr r="N23" s="21"/>
      </tp>
      <tp t="e">
        <v>#N/A</v>
        <stp/>
        <stp>BDH|11626562662171087349</stp>
        <tr r="AA71" s="24"/>
      </tp>
      <tp t="e">
        <v>#N/A</v>
        <stp/>
        <stp>BDH|17761270351762207251</stp>
        <tr r="N39" s="25"/>
        <tr r="N22" s="13"/>
        <tr r="N7" s="13"/>
        <tr r="L17" s="11"/>
        <tr r="N7" s="3"/>
      </tp>
      <tp t="e">
        <v>#N/A</v>
        <stp/>
        <stp>BDH|17415524138495144492</stp>
        <tr r="P31" s="22"/>
      </tp>
      <tp t="e">
        <v>#N/A</v>
        <stp/>
        <stp>BDH|16529252040339427927</stp>
        <tr r="K54" s="13"/>
      </tp>
      <tp t="e">
        <v>#N/A</v>
        <stp/>
        <stp>BDH|11677684805741402692</stp>
        <tr r="J83" s="24"/>
      </tp>
      <tp t="e">
        <v>#N/A</v>
        <stp/>
        <stp>BDH|13104542430517251214</stp>
        <tr r="Z70" s="13"/>
        <tr r="X49" s="11"/>
        <tr r="X58" s="10"/>
        <tr r="X19" s="7"/>
        <tr r="X18" s="4"/>
        <tr r="X20" s="2"/>
      </tp>
      <tp t="e">
        <v>#N/A</v>
        <stp/>
        <stp>BDH|18041769910468042608</stp>
        <tr r="P21" s="5"/>
      </tp>
      <tp t="e">
        <v>#N/A</v>
        <stp/>
        <stp>BDH|18055796377739802101</stp>
        <tr r="J87" s="18"/>
      </tp>
      <tp t="e">
        <v>#N/A</v>
        <stp/>
        <stp>BDH|14483784047412583585</stp>
        <tr r="L154" s="18"/>
      </tp>
      <tp t="e">
        <v>#N/A</v>
        <stp/>
        <stp>BDH|15266738620512293257</stp>
        <tr r="C13" s="25"/>
      </tp>
      <tp t="e">
        <v>#N/A</v>
        <stp/>
        <stp>BDH|12089198202745943647</stp>
        <tr r="K46" s="22"/>
      </tp>
      <tp t="e">
        <v>#N/A</v>
        <stp/>
        <stp>BDH|16429286584599869563</stp>
        <tr r="V70" s="34"/>
      </tp>
      <tp t="e">
        <v>#N/A</v>
        <stp/>
        <stp>BDH|10081201124066489665</stp>
        <tr r="M75" s="12"/>
      </tp>
      <tp t="e">
        <v>#N/A</v>
        <stp/>
        <stp>BDH|12629189425319522871</stp>
        <tr r="U50" s="13"/>
      </tp>
      <tp t="e">
        <v>#N/A</v>
        <stp/>
        <stp>BDH|15171385364097700738</stp>
        <tr r="E35" s="25"/>
      </tp>
      <tp t="e">
        <v>#N/A</v>
        <stp/>
        <stp>BDH|16553485676755584075</stp>
        <tr r="R18" s="20"/>
      </tp>
      <tp t="e">
        <v>#N/A</v>
        <stp/>
        <stp>BDH|12816280318766685774</stp>
        <tr r="C79" s="34"/>
      </tp>
      <tp t="e">
        <v>#N/A</v>
        <stp/>
        <stp>BDH|11621743558115482671</stp>
        <tr r="I8" s="24"/>
      </tp>
      <tp t="e">
        <v>#N/A</v>
        <stp/>
        <stp>BDH|15493267777234836446</stp>
        <tr r="H72" s="24"/>
      </tp>
      <tp t="e">
        <v>#N/A</v>
        <stp/>
        <stp>BDH|17754932663650796891</stp>
        <tr r="L197" s="18"/>
      </tp>
      <tp t="e">
        <v>#N/A</v>
        <stp/>
        <stp>BDH|11928908221769807395</stp>
        <tr r="I37" s="13"/>
        <tr r="G30" s="10"/>
      </tp>
      <tp t="e">
        <v>#N/A</v>
        <stp/>
        <stp>BDH|12654268633404347795</stp>
        <tr r="V25" s="11"/>
        <tr r="V34" s="10"/>
      </tp>
      <tp t="e">
        <v>#N/A</v>
        <stp/>
        <stp>BDH|16287686562772007411</stp>
        <tr r="Z14" s="22"/>
      </tp>
      <tp t="e">
        <v>#N/A</v>
        <stp/>
        <stp>BDH|15882617951752721465</stp>
        <tr r="X109" s="18"/>
      </tp>
      <tp t="e">
        <v>#N/A</v>
        <stp/>
        <stp>BDH|13057226013816033687</stp>
        <tr r="Y10" s="12"/>
      </tp>
      <tp t="e">
        <v>#N/A</v>
        <stp/>
        <stp>BDH|13858359547115648156</stp>
        <tr r="V17" s="9"/>
      </tp>
      <tp t="e">
        <v>#N/A</v>
        <stp/>
        <stp>BDH|11965309380062029803</stp>
        <tr r="G9" s="28"/>
      </tp>
      <tp t="e">
        <v>#N/A</v>
        <stp/>
        <stp>BDH|11557043150967048385</stp>
        <tr r="G35" s="17"/>
      </tp>
      <tp t="e">
        <v>#N/A</v>
        <stp/>
        <stp>BDH|11277349002014941644</stp>
        <tr r="J41" s="6"/>
        <tr r="J18" s="5"/>
      </tp>
      <tp t="e">
        <v>#N/A</v>
        <stp/>
        <stp>BDH|16818665413294302578</stp>
        <tr r="L86" s="17"/>
      </tp>
      <tp t="e">
        <v>#N/A</v>
        <stp/>
        <stp>BDH|10677468873612301194</stp>
        <tr r="H6" s="27"/>
      </tp>
      <tp t="e">
        <v>#N/A</v>
        <stp/>
        <stp>BDH|17375579182482877870</stp>
        <tr r="N50" s="34"/>
      </tp>
      <tp t="e">
        <v>#N/A</v>
        <stp/>
        <stp>BDH|11496389538501596081</stp>
        <tr r="Q40" s="17"/>
      </tp>
      <tp t="e">
        <v>#N/A</v>
        <stp/>
        <stp>BDH|15935307232224499163</stp>
        <tr r="P36" s="17"/>
      </tp>
      <tp t="e">
        <v>#N/A</v>
        <stp/>
        <stp>BDH|11457365807013844148</stp>
        <tr r="L171" s="18"/>
      </tp>
      <tp t="e">
        <v>#N/A</v>
        <stp/>
        <stp>BDH|12205296537876759528</stp>
        <tr r="W104" s="18"/>
      </tp>
      <tp t="e">
        <v>#N/A</v>
        <stp/>
        <stp>BDH|16338081170630532174</stp>
        <tr r="O38" s="12"/>
      </tp>
      <tp t="e">
        <v>#N/A</v>
        <stp/>
        <stp>BDH|15663343140901297396</stp>
        <tr r="Z184" s="18"/>
      </tp>
      <tp t="e">
        <v>#N/A</v>
        <stp/>
        <stp>BDH|17986455965697392231</stp>
        <tr r="O74" s="24"/>
      </tp>
      <tp t="e">
        <v>#N/A</v>
        <stp/>
        <stp>BDH|17767484029460608194</stp>
        <tr r="Q90" s="18"/>
      </tp>
      <tp t="e">
        <v>#N/A</v>
        <stp/>
        <stp>BDH|17376632749590463544</stp>
        <tr r="S18" s="23"/>
      </tp>
      <tp t="e">
        <v>#N/A</v>
        <stp/>
        <stp>BDH|12173322411371314185</stp>
        <tr r="H21" s="14"/>
      </tp>
      <tp t="e">
        <v>#N/A</v>
        <stp/>
        <stp>BDH|11246929241325141998</stp>
        <tr r="O128" s="18"/>
      </tp>
      <tp t="e">
        <v>#N/A</v>
        <stp/>
        <stp>BDH|13423754317180759580</stp>
        <tr r="F83" s="24"/>
      </tp>
      <tp t="e">
        <v>#N/A</v>
        <stp/>
        <stp>BDH|18366096236559243273</stp>
        <tr r="J61" s="34"/>
      </tp>
      <tp t="e">
        <v>#N/A</v>
        <stp/>
        <stp>BDH|15931250573717569733</stp>
        <tr r="C12" s="22"/>
      </tp>
      <tp t="e">
        <v>#N/A</v>
        <stp/>
        <stp>BDH|17716631289251346877</stp>
        <tr r="I80" s="12"/>
      </tp>
      <tp t="e">
        <v>#N/A</v>
        <stp/>
        <stp>BDH|17506589099548894354</stp>
        <tr r="N11" s="9"/>
      </tp>
      <tp t="e">
        <v>#N/A</v>
        <stp/>
        <stp>BDH|11842330012772826180</stp>
        <tr r="Y141" s="18"/>
      </tp>
      <tp t="e">
        <v>#N/A</v>
        <stp/>
        <stp>BDH|10733035125363954110</stp>
        <tr r="U13" s="21"/>
      </tp>
      <tp t="e">
        <v>#N/A</v>
        <stp/>
        <stp>BDH|12305062711714420797</stp>
        <tr r="L61" s="24"/>
      </tp>
      <tp t="e">
        <v>#N/A</v>
        <stp/>
        <stp>BDH|15167057574966917409</stp>
        <tr r="K10" s="17"/>
      </tp>
      <tp t="e">
        <v>#N/A</v>
        <stp/>
        <stp>BDH|13413805203832699982</stp>
        <tr r="L24" s="13"/>
      </tp>
      <tp t="e">
        <v>#N/A</v>
        <stp/>
        <stp>BDH|14020173104250332597</stp>
        <tr r="W28" s="6"/>
      </tp>
      <tp t="e">
        <v>#N/A</v>
        <stp/>
        <stp>BDH|14157621953380185788</stp>
        <tr r="K42" s="4"/>
      </tp>
      <tp t="e">
        <v>#N/A</v>
        <stp/>
        <stp>BDH|18153694380104135205</stp>
        <tr r="K77" s="17"/>
      </tp>
      <tp t="e">
        <v>#N/A</v>
        <stp/>
        <stp>BDH|14051527508818694955</stp>
        <tr r="Y23" s="13"/>
      </tp>
      <tp t="e">
        <v>#N/A</v>
        <stp/>
        <stp>BDH|12374409164195785592</stp>
        <tr r="S178" s="18"/>
      </tp>
      <tp t="e">
        <v>#N/A</v>
        <stp/>
        <stp>BDH|17171953913828712798</stp>
        <tr r="X69" s="12"/>
      </tp>
      <tp t="e">
        <v>#N/A</v>
        <stp/>
        <stp>BDH|17907647621492203176</stp>
        <tr r="P115" s="12"/>
      </tp>
      <tp t="e">
        <v>#N/A</v>
        <stp/>
        <stp>BDH|13473965753798078787</stp>
        <tr r="W24" s="12"/>
      </tp>
      <tp t="e">
        <v>#N/A</v>
        <stp/>
        <stp>BDH|11369715954922971168</stp>
        <tr r="K99" s="12"/>
      </tp>
      <tp t="e">
        <v>#N/A</v>
        <stp/>
        <stp>BDH|11657457248401100032</stp>
        <tr r="L150" s="18"/>
      </tp>
      <tp t="e">
        <v>#N/A</v>
        <stp/>
        <stp>BDH|12916304711431225137</stp>
        <tr r="V62" s="12"/>
      </tp>
      <tp t="e">
        <v>#N/A</v>
        <stp/>
        <stp>BDH|18149341023230739980</stp>
        <tr r="Z42" s="17"/>
      </tp>
      <tp t="e">
        <v>#N/A</v>
        <stp/>
        <stp>BDH|14953879296704109110</stp>
        <tr r="J24" s="27"/>
      </tp>
      <tp t="e">
        <v>#N/A</v>
        <stp/>
        <stp>BDH|10220747469388797904</stp>
        <tr r="M48" s="12"/>
      </tp>
      <tp t="e">
        <v>#N/A</v>
        <stp/>
        <stp>BDH|10035169079514372243</stp>
        <tr r="AA55" s="13"/>
        <tr r="Y37" s="11"/>
        <tr r="Y46" s="10"/>
        <tr r="Y53" s="4"/>
        <tr r="Y18" s="2"/>
      </tp>
      <tp t="e">
        <v>#N/A</v>
        <stp/>
        <stp>BDH|18173155399970236073</stp>
        <tr r="T18" s="13"/>
      </tp>
      <tp t="e">
        <v>#N/A</v>
        <stp/>
        <stp>BDH|13926976245817378901</stp>
        <tr r="R34" s="11"/>
        <tr r="R43" s="10"/>
      </tp>
      <tp t="e">
        <v>#N/A</v>
        <stp/>
        <stp>BDH|13063964753818592789</stp>
        <tr r="M13" s="28"/>
        <tr r="M96" s="17"/>
      </tp>
      <tp t="e">
        <v>#N/A</v>
        <stp/>
        <stp>BDH|13645306754376992332</stp>
        <tr r="S12" s="20"/>
        <tr r="S121" s="18"/>
      </tp>
      <tp t="e">
        <v>#N/A</v>
        <stp/>
        <stp>BDH|17608175331922968710</stp>
        <tr r="P80" s="17"/>
        <tr r="P19" s="3"/>
      </tp>
      <tp t="e">
        <v>#N/A</v>
        <stp/>
        <stp>BDH|11684255401174228787</stp>
        <tr r="X15" s="23"/>
        <tr r="V58" s="11"/>
      </tp>
      <tp t="e">
        <v>#N/A</v>
        <stp/>
        <stp>BDH|10673908929548259356</stp>
        <tr r="J16" s="23"/>
      </tp>
      <tp t="e">
        <v>#N/A</v>
        <stp/>
        <stp>BDH|17906305970210566349</stp>
        <tr r="P24" s="27"/>
      </tp>
      <tp t="e">
        <v>#N/A</v>
        <stp/>
        <stp>BDH|11613964192290813129</stp>
        <tr r="D13" s="26"/>
      </tp>
      <tp t="e">
        <v>#N/A</v>
        <stp/>
        <stp>BDH|17884453301614543716</stp>
        <tr r="AA22" s="22"/>
      </tp>
      <tp t="e">
        <v>#N/A</v>
        <stp/>
        <stp>BDH|17334637515922933241</stp>
        <tr r="C14" s="34"/>
      </tp>
      <tp t="e">
        <v>#N/A</v>
        <stp/>
        <stp>BDH|17186167643142986059</stp>
        <tr r="K74" s="24"/>
      </tp>
      <tp t="e">
        <v>#N/A</v>
        <stp/>
        <stp>BDH|16984053458053928057</stp>
        <tr r="Y24" s="2"/>
      </tp>
      <tp t="e">
        <v>#N/A</v>
        <stp/>
        <stp>BDH|11296598075984701716</stp>
        <tr r="E80" s="18"/>
      </tp>
      <tp t="e">
        <v>#N/A</v>
        <stp/>
        <stp>BDH|14472622485988804232</stp>
        <tr r="J14" s="13"/>
      </tp>
      <tp t="e">
        <v>#N/A</v>
        <stp/>
        <stp>BDH|13696580212817660029</stp>
        <tr r="I24" s="12"/>
      </tp>
      <tp t="e">
        <v>#N/A</v>
        <stp/>
        <stp>BDH|15987569018475625499</stp>
        <tr r="AA93" s="12"/>
      </tp>
      <tp t="e">
        <v>#N/A</v>
        <stp/>
        <stp>BDH|15006944799861765424</stp>
        <tr r="X44" s="18"/>
      </tp>
      <tp t="e">
        <v>#N/A</v>
        <stp/>
        <stp>BDH|11783357375084717183</stp>
        <tr r="K72" s="12"/>
      </tp>
      <tp t="e">
        <v>#N/A</v>
        <stp/>
        <stp>BDH|16673216972103890054</stp>
        <tr r="O70" s="24"/>
      </tp>
      <tp t="e">
        <v>#N/A</v>
        <stp/>
        <stp>BDH|11191796119582067590</stp>
        <tr r="O25" s="27"/>
      </tp>
      <tp t="e">
        <v>#N/A</v>
        <stp/>
        <stp>BDH|14382456129047109562</stp>
        <tr r="C16" s="25"/>
      </tp>
      <tp t="e">
        <v>#N/A</v>
        <stp/>
        <stp>BDH|11046205216780964273</stp>
        <tr r="U16" s="27"/>
        <tr r="U30" s="25"/>
      </tp>
      <tp t="e">
        <v>#N/A</v>
        <stp/>
        <stp>BDH|10877597303306838322</stp>
        <tr r="P48" s="21"/>
      </tp>
      <tp t="e">
        <v>#N/A</v>
        <stp/>
        <stp>BDH|12852381404163828246</stp>
        <tr r="H38" s="6"/>
      </tp>
      <tp t="e">
        <v>#N/A</v>
        <stp/>
        <stp>BDH|13682382074070081723</stp>
        <tr r="S23" s="10"/>
      </tp>
      <tp t="e">
        <v>#N/A</v>
        <stp/>
        <stp>BDH|15272571118156372761</stp>
        <tr r="G37" s="26"/>
      </tp>
      <tp t="e">
        <v>#N/A</v>
        <stp/>
        <stp>BDH|13998948325719136115</stp>
        <tr r="M35" s="18"/>
      </tp>
      <tp t="e">
        <v>#N/A</v>
        <stp/>
        <stp>BDH|15055763962986978258</stp>
        <tr r="K26" s="29"/>
      </tp>
      <tp t="e">
        <v>#N/A</v>
        <stp/>
        <stp>BDH|12781953056647485985</stp>
        <tr r="F7" s="27"/>
        <tr r="F95" s="17"/>
      </tp>
      <tp t="e">
        <v>#N/A</v>
        <stp/>
        <stp>BDH|14129706538272859293</stp>
        <tr r="AA70" s="13"/>
        <tr r="Y49" s="11"/>
        <tr r="Y58" s="10"/>
        <tr r="Y19" s="7"/>
        <tr r="Y18" s="4"/>
        <tr r="Y20" s="2"/>
      </tp>
      <tp t="e">
        <v>#N/A</v>
        <stp/>
        <stp>BDH|15549807559841354979</stp>
        <tr r="J8" s="20"/>
        <tr r="J118" s="18"/>
      </tp>
      <tp t="e">
        <v>#N/A</v>
        <stp/>
        <stp>BDH|10874618497106388951</stp>
        <tr r="Q17" s="34"/>
      </tp>
      <tp t="e">
        <v>#N/A</v>
        <stp/>
        <stp>BDH|16860568856800273626</stp>
        <tr r="M35" s="13"/>
        <tr r="K28" s="10"/>
      </tp>
      <tp t="e">
        <v>#N/A</v>
        <stp/>
        <stp>BDH|16335131182778265784</stp>
        <tr r="I20" s="24"/>
      </tp>
      <tp t="e">
        <v>#N/A</v>
        <stp/>
        <stp>BDH|10496357773802252684</stp>
        <tr r="AA20" s="18"/>
      </tp>
      <tp t="e">
        <v>#N/A</v>
        <stp/>
        <stp>BDH|10699299662346050250</stp>
        <tr r="K70" s="17"/>
        <tr r="K18" s="3"/>
      </tp>
      <tp t="e">
        <v>#N/A</v>
        <stp/>
        <stp>BDH|17604510566776093298</stp>
        <tr r="J50" s="13"/>
      </tp>
      <tp t="e">
        <v>#N/A</v>
        <stp/>
        <stp>BDH|14208923916558975477</stp>
        <tr r="F8" s="27"/>
      </tp>
      <tp t="e">
        <v>#N/A</v>
        <stp/>
        <stp>BDH|10942805612150732945</stp>
        <tr r="T41" s="12"/>
      </tp>
      <tp t="e">
        <v>#N/A</v>
        <stp/>
        <stp>BDH|13131866959029305750</stp>
        <tr r="O106" s="18"/>
      </tp>
      <tp t="e">
        <v>#N/A</v>
        <stp/>
        <stp>BDH|13835763664513455165</stp>
        <tr r="P14" s="34"/>
      </tp>
      <tp t="e">
        <v>#N/A</v>
        <stp/>
        <stp>BDH|15600135903896983270</stp>
        <tr r="V57" s="34"/>
      </tp>
      <tp t="e">
        <v>#N/A</v>
        <stp/>
        <stp>BDH|12870119632272008238</stp>
        <tr r="C23" s="25"/>
      </tp>
      <tp t="e">
        <v>#N/A</v>
        <stp/>
        <stp>BDH|15602461564673878444</stp>
        <tr r="W162" s="18"/>
      </tp>
      <tp t="e">
        <v>#N/A</v>
        <stp/>
        <stp>BDH|10673642602291128791</stp>
        <tr r="R27" s="17"/>
      </tp>
      <tp t="e">
        <v>#N/A</v>
        <stp/>
        <stp>BDH|12481443542073022192</stp>
        <tr r="L7" s="34"/>
      </tp>
      <tp t="e">
        <v>#N/A</v>
        <stp/>
        <stp>BDH|14843479883368571023</stp>
        <tr r="Q57" s="18"/>
      </tp>
      <tp t="e">
        <v>#N/A</v>
        <stp/>
        <stp>BDH|10147459021913882566</stp>
        <tr r="J37" s="6"/>
      </tp>
      <tp t="e">
        <v>#N/A</v>
        <stp/>
        <stp>BDH|12645668148732433272</stp>
        <tr r="I9" s="17"/>
      </tp>
      <tp t="e">
        <v>#N/A</v>
        <stp/>
        <stp>BDH|10328289493092052934</stp>
        <tr r="AA12" s="25"/>
      </tp>
      <tp t="e">
        <v>#N/A</v>
        <stp/>
        <stp>BDH|15157476623846792598</stp>
        <tr r="O41" s="29"/>
        <tr r="O18" s="29"/>
      </tp>
      <tp t="e">
        <v>#N/A</v>
        <stp/>
        <stp>BDH|13767695204074093110</stp>
        <tr r="E17" s="20"/>
      </tp>
      <tp t="e">
        <v>#N/A</v>
        <stp/>
        <stp>BDH|15885446942410766525</stp>
        <tr r="K13" s="18"/>
      </tp>
      <tp t="e">
        <v>#N/A</v>
        <stp/>
        <stp>BDH|16885299521666863038</stp>
        <tr r="E39" s="26"/>
      </tp>
      <tp t="e">
        <v>#N/A</v>
        <stp/>
        <stp>BDH|15658699725094842591</stp>
        <tr r="I179" s="18"/>
      </tp>
      <tp t="e">
        <v>#N/A</v>
        <stp/>
        <stp>BDH|10810554387324596946</stp>
        <tr r="J107" s="12"/>
      </tp>
      <tp t="e">
        <v>#N/A</v>
        <stp/>
        <stp>BDH|15396051368114154745</stp>
        <tr r="V27" s="22"/>
      </tp>
      <tp t="e">
        <v>#N/A</v>
        <stp/>
        <stp>BDH|12972841785632685051</stp>
        <tr r="E30" s="34"/>
      </tp>
      <tp t="e">
        <v>#N/A</v>
        <stp/>
        <stp>BDH|14581963148260049905</stp>
        <tr r="T10" s="22"/>
      </tp>
      <tp t="e">
        <v>#N/A</v>
        <stp/>
        <stp>BDH|12274773946868125996</stp>
        <tr r="U56" s="12"/>
      </tp>
      <tp t="e">
        <v>#N/A</v>
        <stp/>
        <stp>BDH|12877934791981813393</stp>
        <tr r="V174" s="18"/>
      </tp>
      <tp t="e">
        <v>#N/A</v>
        <stp/>
        <stp>BDH|15974360374832931394</stp>
        <tr r="J15" s="11"/>
      </tp>
      <tp t="e">
        <v>#N/A</v>
        <stp/>
        <stp>BDH|11131854279979206746</stp>
        <tr r="AA9" s="13"/>
      </tp>
      <tp t="e">
        <v>#N/A</v>
        <stp/>
        <stp>BDH|13650928258237115861</stp>
        <tr r="R67" s="10"/>
      </tp>
      <tp t="e">
        <v>#N/A</v>
        <stp/>
        <stp>BDH|11780361489933785947</stp>
        <tr r="S63" s="34"/>
      </tp>
      <tp t="e">
        <v>#N/A</v>
        <stp/>
        <stp>BDH|11694115802806838669</stp>
        <tr r="H17" s="12"/>
      </tp>
      <tp t="e">
        <v>#N/A</v>
        <stp/>
        <stp>BDH|10748011900886526682</stp>
        <tr r="Z106" s="12"/>
      </tp>
      <tp t="e">
        <v>#N/A</v>
        <stp/>
        <stp>BDH|13285179979923316644</stp>
        <tr r="T71" s="24"/>
      </tp>
      <tp t="e">
        <v>#N/A</v>
        <stp/>
        <stp>BDH|17406501505951265383</stp>
        <tr r="W79" s="34"/>
      </tp>
      <tp t="e">
        <v>#N/A</v>
        <stp/>
        <stp>BDH|12698133536935963519</stp>
        <tr r="C44" s="6"/>
      </tp>
      <tp t="e">
        <v>#N/A</v>
        <stp/>
        <stp>BDH|13207306027341708399</stp>
        <tr r="J208" s="18"/>
      </tp>
      <tp t="e">
        <v>#N/A</v>
        <stp/>
        <stp>BDH|10382626559106333500</stp>
        <tr r="M164" s="18"/>
      </tp>
      <tp t="e">
        <v>#N/A</v>
        <stp/>
        <stp>BDH|10059732117925959368</stp>
        <tr r="T153" s="18"/>
      </tp>
      <tp t="e">
        <v>#N/A</v>
        <stp/>
        <stp>BDH|16007115827417427291</stp>
        <tr r="Y51" s="18"/>
      </tp>
      <tp t="e">
        <v>#N/A</v>
        <stp/>
        <stp>BDH|11947717905232207443</stp>
        <tr r="T75" s="34"/>
      </tp>
      <tp t="e">
        <v>#N/A</v>
        <stp/>
        <stp>BDH|12579916374294212890</stp>
        <tr r="K18" s="12"/>
      </tp>
      <tp t="e">
        <v>#N/A</v>
        <stp/>
        <stp>BDH|17862182545745781799</stp>
        <tr r="Q19" s="34"/>
      </tp>
      <tp t="e">
        <v>#N/A</v>
        <stp/>
        <stp>BDH|10249256708010612222</stp>
        <tr r="J26" s="7"/>
      </tp>
      <tp t="e">
        <v>#N/A</v>
        <stp/>
        <stp>BDH|16613581612390215253</stp>
        <tr r="J153" s="18"/>
      </tp>
      <tp t="e">
        <v>#N/A</v>
        <stp/>
        <stp>BDH|13645873922819189096</stp>
        <tr r="P46" s="18"/>
      </tp>
      <tp t="e">
        <v>#N/A</v>
        <stp/>
        <stp>BDH|13520460671661131186</stp>
        <tr r="G29" s="13"/>
        <tr r="G16" s="13"/>
        <tr r="E17" s="10"/>
      </tp>
      <tp t="e">
        <v>#N/A</v>
        <stp/>
        <stp>BDH|11199667167879206896</stp>
        <tr r="P7" s="34"/>
      </tp>
      <tp t="e">
        <v>#N/A</v>
        <stp/>
        <stp>BDH|15193533908141387123</stp>
        <tr r="V15" s="9"/>
      </tp>
      <tp t="e">
        <v>#N/A</v>
        <stp/>
        <stp>BDH|12977521473130678050</stp>
        <tr r="Q55" s="13"/>
        <tr r="O37" s="11"/>
        <tr r="O46" s="10"/>
        <tr r="O53" s="4"/>
        <tr r="O18" s="2"/>
      </tp>
      <tp t="e">
        <v>#N/A</v>
        <stp/>
        <stp>BDH|10533265113551973223</stp>
        <tr r="K59" s="13"/>
      </tp>
      <tp t="e">
        <v>#N/A</v>
        <stp/>
        <stp>BDH|13659637303586404390</stp>
        <tr r="W144" s="18"/>
      </tp>
      <tp t="e">
        <v>#N/A</v>
        <stp/>
        <stp>BDH|13808066500907793420</stp>
        <tr r="U29" s="6"/>
      </tp>
      <tp t="e">
        <v>#N/A</v>
        <stp/>
        <stp>BDH|16309284650323695268</stp>
        <tr r="R9" s="30"/>
      </tp>
      <tp t="e">
        <v>#N/A</v>
        <stp/>
        <stp>BDH|13554356416257931644</stp>
        <tr r="D170" s="18"/>
      </tp>
      <tp t="e">
        <v>#N/A</v>
        <stp/>
        <stp>BDH|13018683122670963787</stp>
        <tr r="I13" s="20"/>
        <tr r="I122" s="18"/>
      </tp>
      <tp t="e">
        <v>#N/A</v>
        <stp/>
        <stp>BDH|10850609433873380639</stp>
        <tr r="K16" s="14"/>
      </tp>
      <tp t="e">
        <v>#N/A</v>
        <stp/>
        <stp>BDH|16952407138957872628</stp>
        <tr r="C29" s="22"/>
      </tp>
      <tp t="e">
        <v>#N/A</v>
        <stp/>
        <stp>BDH|18297496985560199447</stp>
        <tr r="U62" s="17"/>
      </tp>
      <tp t="e">
        <v>#N/A</v>
        <stp/>
        <stp>BDH|13880197080749248397</stp>
        <tr r="L7" s="21"/>
      </tp>
      <tp t="e">
        <v>#N/A</v>
        <stp/>
        <stp>BDH|15100533904178515898</stp>
        <tr r="H56" s="17"/>
      </tp>
      <tp t="e">
        <v>#N/A</v>
        <stp/>
        <stp>BDH|10660024571237620099</stp>
        <tr r="O20" s="22"/>
      </tp>
      <tp t="e">
        <v>#N/A</v>
        <stp/>
        <stp>BDH|15994903485044366057</stp>
        <tr r="C21" s="9"/>
      </tp>
      <tp t="e">
        <v>#N/A</v>
        <stp/>
        <stp>BDH|11777849598228248831</stp>
        <tr r="M7" s="23"/>
      </tp>
      <tp t="e">
        <v>#N/A</v>
        <stp/>
        <stp>BDH|14926027509835025186</stp>
        <tr r="X26" s="22"/>
      </tp>
      <tp t="e">
        <v>#N/A</v>
        <stp/>
        <stp>BDH|15271490516730210058</stp>
        <tr r="C49" s="13"/>
      </tp>
      <tp t="e">
        <v>#N/A</v>
        <stp/>
        <stp>BDH|17984776864683102511</stp>
        <tr r="K17" s="21"/>
      </tp>
      <tp t="e">
        <v>#N/A</v>
        <stp/>
        <stp>BDH|13833530234540785526</stp>
        <tr r="D9" s="21"/>
      </tp>
      <tp t="e">
        <v>#N/A</v>
        <stp/>
        <stp>BDH|16757826764919201192</stp>
        <tr r="K57" s="17"/>
      </tp>
      <tp t="e">
        <v>#N/A</v>
        <stp/>
        <stp>BDH|13025240554977337397</stp>
        <tr r="AA20" s="27"/>
      </tp>
      <tp t="e">
        <v>#N/A</v>
        <stp/>
        <stp>BDH|11853202276476549219</stp>
        <tr r="K90" s="24"/>
      </tp>
      <tp t="e">
        <v>#N/A</v>
        <stp/>
        <stp>BDH|12188582795338036664</stp>
        <tr r="F14" s="27"/>
        <tr r="F28" s="25"/>
      </tp>
      <tp t="e">
        <v>#N/A</v>
        <stp/>
        <stp>BDH|14246544283039797084</stp>
        <tr r="X56" s="34"/>
      </tp>
      <tp t="e">
        <v>#N/A</v>
        <stp/>
        <stp>BDH|10180430812352301797</stp>
        <tr r="Y13" s="2"/>
      </tp>
      <tp t="e">
        <v>#N/A</v>
        <stp/>
        <stp>BDH|10524380186913376820</stp>
        <tr r="V36" s="18"/>
      </tp>
      <tp t="e">
        <v>#N/A</v>
        <stp/>
        <stp>BDH|14342085145147685724</stp>
        <tr r="G16" s="28"/>
        <tr r="G13" s="17"/>
      </tp>
      <tp t="e">
        <v>#N/A</v>
        <stp/>
        <stp>BDH|17721259458848573858</stp>
        <tr r="L8" s="22"/>
      </tp>
      <tp t="e">
        <v>#N/A</v>
        <stp/>
        <stp>BDH|15559822580215441092</stp>
        <tr r="U33" s="21"/>
      </tp>
      <tp t="e">
        <v>#N/A</v>
        <stp/>
        <stp>BDH|12299432350967253494</stp>
        <tr r="Q181" s="18"/>
      </tp>
      <tp t="e">
        <v>#N/A</v>
        <stp/>
        <stp>BDH|10719692528485921156</stp>
        <tr r="M30" s="14"/>
      </tp>
      <tp t="e">
        <v>#N/A</v>
        <stp/>
        <stp>BDH|13335251755540910405</stp>
        <tr r="V6" s="15"/>
        <tr r="V6" s="10"/>
        <tr r="V11" s="4"/>
        <tr r="V12" s="2"/>
      </tp>
      <tp t="e">
        <v>#N/A</v>
        <stp/>
        <stp>BDH|18061943044476306392</stp>
        <tr r="N116" s="12"/>
      </tp>
      <tp t="e">
        <v>#N/A</v>
        <stp/>
        <stp>BDH|11368219239323360328</stp>
        <tr r="D18" s="22"/>
      </tp>
      <tp t="e">
        <v>#N/A</v>
        <stp/>
        <stp>BDH|14825576555633766776</stp>
        <tr r="S40" s="24"/>
      </tp>
      <tp t="e">
        <v>#N/A</v>
        <stp/>
        <stp>BDH|16889738748626149380</stp>
        <tr r="C61" s="18"/>
      </tp>
      <tp t="e">
        <v>#N/A</v>
        <stp/>
        <stp>BDH|10865738932992674652</stp>
        <tr r="F65" s="18"/>
      </tp>
      <tp t="e">
        <v>#N/A</v>
        <stp/>
        <stp>BDH|16286590458622981404</stp>
        <tr r="Q192" s="18"/>
      </tp>
      <tp t="e">
        <v>#N/A</v>
        <stp/>
        <stp>BDH|14474095757136683769</stp>
        <tr r="C18" s="13"/>
      </tp>
      <tp t="e">
        <v>#N/A</v>
        <stp/>
        <stp>BDH|15304679258251500739</stp>
        <tr r="T34" s="25"/>
        <tr r="T93" s="17"/>
      </tp>
      <tp t="e">
        <v>#N/A</v>
        <stp/>
        <stp>BDH|12813935885112577113</stp>
        <tr r="X20" s="26"/>
      </tp>
      <tp t="e">
        <v>#N/A</v>
        <stp/>
        <stp>BDH|18422790650498511226</stp>
        <tr r="P39" s="24"/>
      </tp>
      <tp t="e">
        <v>#N/A</v>
        <stp/>
        <stp>BDH|11669604977351341184</stp>
        <tr r="U55" s="34"/>
      </tp>
      <tp t="e">
        <v>#N/A</v>
        <stp/>
        <stp>BDH|16753772132772092088</stp>
        <tr r="O68" s="18"/>
      </tp>
      <tp t="e">
        <v>#N/A</v>
        <stp/>
        <stp>BDH|17022377512275960060</stp>
        <tr r="K158" s="18"/>
      </tp>
      <tp t="e">
        <v>#N/A</v>
        <stp/>
        <stp>BDH|14441615684312954826</stp>
        <tr r="L69" s="10"/>
      </tp>
      <tp t="e">
        <v>#N/A</v>
        <stp/>
        <stp>BDH|13774036605103353085</stp>
        <tr r="Z15" s="30"/>
      </tp>
      <tp t="e">
        <v>#N/A</v>
        <stp/>
        <stp>BDH|10022595277442073043</stp>
        <tr r="W45" s="22"/>
      </tp>
      <tp t="e">
        <v>#N/A</v>
        <stp/>
        <stp>BDH|12925817406132205863</stp>
        <tr r="K56" s="6"/>
      </tp>
      <tp t="e">
        <v>#N/A</v>
        <stp/>
        <stp>BDH|17374709461896915011</stp>
        <tr r="S7" s="27"/>
        <tr r="S95" s="17"/>
      </tp>
      <tp t="e">
        <v>#N/A</v>
        <stp/>
        <stp>BDH|17941734242554378014</stp>
        <tr r="K19" s="13"/>
        <tr r="I62" s="10"/>
        <tr r="I32" s="4"/>
        <tr r="I16" s="2"/>
      </tp>
      <tp t="e">
        <v>#N/A</v>
        <stp/>
        <stp>BDH|11085898131213340910</stp>
        <tr r="K63" s="24"/>
      </tp>
      <tp t="e">
        <v>#N/A</v>
        <stp/>
        <stp>BDH|14035614732338160984</stp>
        <tr r="E28" s="14"/>
      </tp>
      <tp t="e">
        <v>#N/A</v>
        <stp/>
        <stp>BDH|15866004155287622717</stp>
        <tr r="L19" s="10"/>
      </tp>
      <tp t="e">
        <v>#N/A</v>
        <stp/>
        <stp>BDH|12359738778966677446</stp>
        <tr r="W11" s="11"/>
      </tp>
      <tp t="e">
        <v>#N/A</v>
        <stp/>
        <stp>BDH|11971351734199617843</stp>
        <tr r="O50" s="17"/>
      </tp>
      <tp t="e">
        <v>#N/A</v>
        <stp/>
        <stp>BDH|10855670036454736147</stp>
        <tr r="S15" s="13"/>
      </tp>
      <tp t="e">
        <v>#N/A</v>
        <stp/>
        <stp>BDH|16575642155152910770</stp>
        <tr r="Y37" s="34"/>
      </tp>
      <tp t="e">
        <v>#N/A</v>
        <stp/>
        <stp>BDH|12935986441069261687</stp>
        <tr r="K12" s="12"/>
      </tp>
      <tp t="e">
        <v>#N/A</v>
        <stp/>
        <stp>BDH|14256795306074228729</stp>
        <tr r="AA20" s="24"/>
      </tp>
      <tp t="e">
        <v>#N/A</v>
        <stp/>
        <stp>BDH|17363092065479522879</stp>
        <tr r="C8" s="27"/>
      </tp>
      <tp t="e">
        <v>#N/A</v>
        <stp/>
        <stp>BDH|10392264247521930760</stp>
        <tr r="M32" s="12"/>
      </tp>
      <tp t="e">
        <v>#N/A</v>
        <stp/>
        <stp>BDH|15288890174279163336</stp>
        <tr r="D24" s="18"/>
      </tp>
      <tp t="e">
        <v>#N/A</v>
        <stp/>
        <stp>BDH|17768651738310293257</stp>
        <tr r="AA110" s="18"/>
      </tp>
      <tp t="e">
        <v>#N/A</v>
        <stp/>
        <stp>BDH|17301768660540070680</stp>
        <tr r="Q15" s="30"/>
      </tp>
      <tp t="e">
        <v>#N/A</v>
        <stp/>
        <stp>BDH|10816663990847747846</stp>
        <tr r="R14" s="11"/>
      </tp>
      <tp t="e">
        <v>#N/A</v>
        <stp/>
        <stp>BDH|13799019179273080722</stp>
        <tr r="E159" s="18"/>
      </tp>
      <tp t="e">
        <v>#N/A</v>
        <stp/>
        <stp>BDH|11134774212681015698</stp>
        <tr r="J53" s="17"/>
      </tp>
      <tp t="e">
        <v>#N/A</v>
        <stp/>
        <stp>BDH|16756590374970657411</stp>
        <tr r="N9" s="20"/>
        <tr r="N119" s="18"/>
      </tp>
      <tp t="e">
        <v>#N/A</v>
        <stp/>
        <stp>BDH|18178502193554998061</stp>
        <tr r="M31" s="12"/>
      </tp>
      <tp t="e">
        <v>#N/A</v>
        <stp/>
        <stp>BDH|14872499262000831665</stp>
        <tr r="P11" s="21"/>
      </tp>
      <tp t="e">
        <v>#N/A</v>
        <stp/>
        <stp>BDH|14492545743681950470</stp>
        <tr r="E42" s="17"/>
      </tp>
      <tp t="e">
        <v>#N/A</v>
        <stp/>
        <stp>BDH|16973705955263863799</stp>
        <tr r="F19" s="6"/>
      </tp>
      <tp t="e">
        <v>#N/A</v>
        <stp/>
        <stp>BDH|16557339222427144083</stp>
        <tr r="AA75" s="18"/>
      </tp>
      <tp t="e">
        <v>#N/A</v>
        <stp/>
        <stp>BDH|13489431768109541871</stp>
        <tr r="O158" s="18"/>
      </tp>
      <tp t="e">
        <v>#N/A</v>
        <stp/>
        <stp>BDH|12237759151444952426</stp>
        <tr r="R171" s="18"/>
      </tp>
      <tp t="e">
        <v>#N/A</v>
        <stp/>
        <stp>BDH|17687201246028528987</stp>
        <tr r="P68" s="17"/>
      </tp>
      <tp t="e">
        <v>#N/A</v>
        <stp/>
        <stp>BDH|18346357785382916172</stp>
        <tr r="X63" s="11"/>
        <tr r="X72" s="10"/>
      </tp>
      <tp t="e">
        <v>#N/A</v>
        <stp/>
        <stp>BDH|16642269639157098046</stp>
        <tr r="N32" s="22"/>
      </tp>
      <tp t="e">
        <v>#N/A</v>
        <stp/>
        <stp>BDH|18182983618328537898</stp>
        <tr r="C20" s="14"/>
      </tp>
      <tp t="e">
        <v>#N/A</v>
        <stp/>
        <stp>BDH|13194565143345042798</stp>
        <tr r="N74" s="18"/>
      </tp>
      <tp t="e">
        <v>#N/A</v>
        <stp/>
        <stp>BDH|14918612503263423121</stp>
        <tr r="X71" s="24"/>
      </tp>
      <tp t="e">
        <v>#N/A</v>
        <stp/>
        <stp>BDH|11505095222984194727</stp>
        <tr r="J69" s="34"/>
      </tp>
      <tp t="e">
        <v>#N/A</v>
        <stp/>
        <stp>BDH|12038099310467747438</stp>
        <tr r="F15" s="12"/>
      </tp>
      <tp t="e">
        <v>#N/A</v>
        <stp/>
        <stp>BDH|17720528643940231692</stp>
        <tr r="J71" s="12"/>
      </tp>
      <tp t="e">
        <v>#N/A</v>
        <stp/>
        <stp>BDH|10503986574189521714</stp>
        <tr r="V12" s="10"/>
      </tp>
      <tp t="e">
        <v>#N/A</v>
        <stp/>
        <stp>BDH|15619956941539606193</stp>
        <tr r="V76" s="18"/>
      </tp>
      <tp t="e">
        <v>#N/A</v>
        <stp/>
        <stp>BDH|18010587230049662731</stp>
        <tr r="R16" s="28"/>
        <tr r="R13" s="17"/>
      </tp>
      <tp t="e">
        <v>#N/A</v>
        <stp/>
        <stp>BDH|17984474326259662838</stp>
        <tr r="F39" s="25"/>
        <tr r="F22" s="13"/>
        <tr r="F7" s="13"/>
        <tr r="D17" s="11"/>
        <tr r="F7" s="3"/>
      </tp>
      <tp t="e">
        <v>#N/A</v>
        <stp/>
        <stp>BDH|12926079907831427306</stp>
        <tr r="P20" s="14"/>
      </tp>
      <tp t="e">
        <v>#N/A</v>
        <stp/>
        <stp>BDH|13447466553864557699</stp>
        <tr r="X98" s="17"/>
      </tp>
      <tp t="e">
        <v>#N/A</v>
        <stp/>
        <stp>BDH|15034203870640951046</stp>
        <tr r="AA7" s="30"/>
      </tp>
      <tp t="e">
        <v>#N/A</v>
        <stp/>
        <stp>BDH|12896559160263257222</stp>
        <tr r="L57" s="17"/>
      </tp>
      <tp t="e">
        <v>#N/A</v>
        <stp/>
        <stp>BDH|16902601081620648828</stp>
        <tr r="K19" s="12"/>
      </tp>
      <tp t="e">
        <v>#N/A</v>
        <stp/>
        <stp>BDH|17990587385543862906</stp>
        <tr r="AA25" s="14"/>
      </tp>
      <tp t="e">
        <v>#N/A</v>
        <stp/>
        <stp>BDH|15075456543292914738</stp>
        <tr r="N33" s="14"/>
      </tp>
      <tp t="e">
        <v>#N/A</v>
        <stp/>
        <stp>BDH|15824260100181081621</stp>
        <tr r="J80" s="24"/>
      </tp>
      <tp t="e">
        <v>#N/A</v>
        <stp/>
        <stp>BDH|10104212032841816061</stp>
        <tr r="G145" s="18"/>
      </tp>
      <tp t="e">
        <v>#N/A</v>
        <stp/>
        <stp>BDH|11260361109564684670</stp>
        <tr r="P48" s="34"/>
      </tp>
      <tp t="e">
        <v>#N/A</v>
        <stp/>
        <stp>BDH|14882217394387431856</stp>
        <tr r="H7" s="21"/>
      </tp>
      <tp t="e">
        <v>#N/A</v>
        <stp/>
        <stp>BDH|17857958055478101350</stp>
        <tr r="E67" s="12"/>
      </tp>
      <tp t="e">
        <v>#N/A</v>
        <stp/>
        <stp>BDH|11839049674524373270</stp>
        <tr r="O16" s="12"/>
      </tp>
      <tp t="e">
        <v>#N/A</v>
        <stp/>
        <stp>BDH|16343818991284779381</stp>
        <tr r="V29" s="17"/>
      </tp>
      <tp t="e">
        <v>#N/A</v>
        <stp/>
        <stp>BDH|10813013032054090773</stp>
        <tr r="W39" s="25"/>
        <tr r="W22" s="13"/>
        <tr r="W7" s="13"/>
        <tr r="U17" s="11"/>
        <tr r="W7" s="3"/>
      </tp>
      <tp t="e">
        <v>#N/A</v>
        <stp/>
        <stp>BDH|17306880898342897475</stp>
        <tr r="I18" s="34"/>
      </tp>
      <tp t="e">
        <v>#N/A</v>
        <stp/>
        <stp>BDH|15154967138847258811</stp>
        <tr r="N77" s="17"/>
      </tp>
      <tp t="e">
        <v>#N/A</v>
        <stp/>
        <stp>BDH|10319554398828185438</stp>
        <tr r="N90" s="12"/>
      </tp>
      <tp t="e">
        <v>#N/A</v>
        <stp/>
        <stp>BDH|17495056576683362382</stp>
        <tr r="I59" s="18"/>
      </tp>
      <tp t="e">
        <v>#N/A</v>
        <stp/>
        <stp>BDH|15093782786243365912</stp>
        <tr r="Q6" s="28"/>
      </tp>
      <tp t="e">
        <v>#N/A</v>
        <stp/>
        <stp>BDH|16826168141394709744</stp>
        <tr r="Y26" s="13"/>
      </tp>
      <tp t="e">
        <v>#N/A</v>
        <stp/>
        <stp>BDH|18350515499076345249</stp>
        <tr r="Q17" s="14"/>
      </tp>
      <tp t="e">
        <v>#N/A</v>
        <stp/>
        <stp>BDH|12089995481902482100</stp>
        <tr r="T20" s="10"/>
      </tp>
      <tp t="e">
        <v>#N/A</v>
        <stp/>
        <stp>BDH|16796659117614822517</stp>
        <tr r="N71" s="17"/>
        <tr r="K8" s="9"/>
        <tr r="K8" s="5"/>
      </tp>
      <tp t="e">
        <v>#N/A</v>
        <stp/>
        <stp>BDH|11486499603703537676</stp>
        <tr r="K161" s="18"/>
      </tp>
      <tp t="e">
        <v>#N/A</v>
        <stp/>
        <stp>BDH|10430222473532125785</stp>
        <tr r="P14" s="18"/>
      </tp>
      <tp t="e">
        <v>#N/A</v>
        <stp/>
        <stp>BDH|15996224851623183171</stp>
        <tr r="P37" s="21"/>
      </tp>
      <tp t="e">
        <v>#N/A</v>
        <stp/>
        <stp>BDH|17892557591888575353</stp>
        <tr r="R69" s="13"/>
      </tp>
      <tp t="e">
        <v>#N/A</v>
        <stp/>
        <stp>BDH|12360858495093661099</stp>
        <tr r="J26" s="24"/>
      </tp>
      <tp t="e">
        <v>#N/A</v>
        <stp/>
        <stp>BDH|17871720476871762678</stp>
        <tr r="Y38" s="25"/>
      </tp>
      <tp t="e">
        <v>#N/A</v>
        <stp/>
        <stp>BDH|15547581475427779036</stp>
        <tr r="C44" s="21"/>
      </tp>
      <tp t="e">
        <v>#N/A</v>
        <stp/>
        <stp>BDH|10211188268880755793</stp>
        <tr r="R84" s="24"/>
      </tp>
      <tp t="e">
        <v>#N/A</v>
        <stp/>
        <stp>BDH|16920905995113341535</stp>
        <tr r="N49" s="12"/>
      </tp>
      <tp t="e">
        <v>#N/A</v>
        <stp/>
        <stp>BDH|18238319551588882660</stp>
        <tr r="Y6" s="28"/>
      </tp>
      <tp t="e">
        <v>#N/A</v>
        <stp/>
        <stp>BDH|10240904797277012794</stp>
        <tr r="Q8" s="4"/>
      </tp>
      <tp t="e">
        <v>#N/A</v>
        <stp/>
        <stp>BDH|16133380675860389235</stp>
        <tr r="J92" s="24"/>
      </tp>
      <tp t="e">
        <v>#N/A</v>
        <stp/>
        <stp>BDH|14276373778764152400</stp>
        <tr r="S125" s="18"/>
      </tp>
      <tp t="e">
        <v>#N/A</v>
        <stp/>
        <stp>BDH|12112006611755425684</stp>
        <tr r="AA58" s="17"/>
      </tp>
      <tp t="e">
        <v>#N/A</v>
        <stp/>
        <stp>BDH|17780709341807367399</stp>
        <tr r="C24" s="9"/>
      </tp>
      <tp t="e">
        <v>#N/A</v>
        <stp/>
        <stp>BDH|17258281047811298033</stp>
        <tr r="F26" s="21"/>
      </tp>
      <tp t="e">
        <v>#N/A</v>
        <stp/>
        <stp>BDH|16805666146476233267</stp>
        <tr r="P26" s="17"/>
      </tp>
      <tp t="e">
        <v>#N/A</v>
        <stp/>
        <stp>BDH|13836165711744605754</stp>
        <tr r="AA42" s="22"/>
      </tp>
      <tp t="e">
        <v>#N/A</v>
        <stp/>
        <stp>BDH|15482109860586152494</stp>
        <tr r="N46" s="11"/>
        <tr r="N55" s="10"/>
        <tr r="N7" s="7"/>
        <tr r="P12" s="3"/>
      </tp>
      <tp t="e">
        <v>#N/A</v>
        <stp/>
        <stp>BDH|16535313729416294139</stp>
        <tr r="M32" s="17"/>
      </tp>
      <tp t="e">
        <v>#N/A</v>
        <stp/>
        <stp>BDH|16880335605837376216</stp>
        <tr r="N18" s="24"/>
      </tp>
      <tp t="e">
        <v>#N/A</v>
        <stp/>
        <stp>BDH|16238840839519399434</stp>
        <tr r="H35" s="4"/>
      </tp>
      <tp t="e">
        <v>#N/A</v>
        <stp/>
        <stp>BDH|15681034738151234705</stp>
        <tr r="H34" s="17"/>
      </tp>
      <tp t="e">
        <v>#N/A</v>
        <stp/>
        <stp>BDH|12136151841487241088</stp>
        <tr r="J120" s="12"/>
      </tp>
      <tp t="e">
        <v>#N/A</v>
        <stp/>
        <stp>BDH|15112769322563854322</stp>
        <tr r="R16" s="12"/>
      </tp>
      <tp t="e">
        <v>#N/A</v>
        <stp/>
        <stp>BDH|16845235251263035259</stp>
        <tr r="I20" s="29"/>
      </tp>
      <tp t="e">
        <v>#N/A</v>
        <stp/>
        <stp>BDH|14908244008837967132</stp>
        <tr r="T13" s="34"/>
      </tp>
      <tp t="e">
        <v>#N/A</v>
        <stp/>
        <stp>BDH|13038890242578384776</stp>
        <tr r="H26" s="11"/>
        <tr r="H35" s="10"/>
      </tp>
      <tp t="e">
        <v>#N/A</v>
        <stp/>
        <stp>BDH|12803750242131894080</stp>
        <tr r="G20" s="26"/>
      </tp>
      <tp t="e">
        <v>#N/A</v>
        <stp/>
        <stp>BDH|12598753038302645412</stp>
        <tr r="J41" s="18"/>
      </tp>
      <tp t="e">
        <v>#N/A</v>
        <stp/>
        <stp>BDH|14857542638642898037</stp>
        <tr r="S43" s="4"/>
      </tp>
      <tp t="e">
        <v>#N/A</v>
        <stp/>
        <stp>BDH|16834308639386852062</stp>
        <tr r="F76" s="17"/>
      </tp>
      <tp t="e">
        <v>#N/A</v>
        <stp/>
        <stp>BDH|11208698185356809994</stp>
        <tr r="O7" s="14"/>
      </tp>
      <tp t="e">
        <v>#N/A</v>
        <stp/>
        <stp>BDH|12057063575256437388</stp>
        <tr r="AA23" s="23"/>
      </tp>
      <tp t="e">
        <v>#N/A</v>
        <stp/>
        <stp>BDH|10382704273382956264</stp>
        <tr r="L21" s="10"/>
      </tp>
      <tp t="e">
        <v>#N/A</v>
        <stp/>
        <stp>BDH|13096695407040601572</stp>
        <tr r="U63" s="11"/>
        <tr r="U72" s="10"/>
      </tp>
      <tp t="e">
        <v>#N/A</v>
        <stp/>
        <stp>BDH|14183484152712334776</stp>
        <tr r="G7" s="9"/>
        <tr r="G7" s="5"/>
        <tr r="J14" s="3"/>
        <tr r="H7" s="2"/>
      </tp>
      <tp t="e">
        <v>#N/A</v>
        <stp/>
        <stp>BDH|11092225654586100085</stp>
        <tr r="O9" s="34"/>
      </tp>
      <tp t="e">
        <v>#N/A</v>
        <stp/>
        <stp>BDH|15281064379395593775</stp>
        <tr r="C186" s="18"/>
      </tp>
      <tp t="e">
        <v>#N/A</v>
        <stp/>
        <stp>BDH|13942423397118034636</stp>
        <tr r="C76" s="34"/>
      </tp>
      <tp t="e">
        <v>#N/A</v>
        <stp/>
        <stp>BDH|13967844882152964197</stp>
        <tr r="Y112" s="12"/>
      </tp>
      <tp t="e">
        <v>#N/A</v>
        <stp/>
        <stp>BDH|13874487890718637696</stp>
        <tr r="O15" s="23"/>
        <tr r="M58" s="11"/>
      </tp>
      <tp t="e">
        <v>#N/A</v>
        <stp/>
        <stp>BDH|14333215667750820021</stp>
        <tr r="M37" s="13"/>
        <tr r="K30" s="10"/>
      </tp>
      <tp t="e">
        <v>#N/A</v>
        <stp/>
        <stp>BDH|14907359257821373377</stp>
        <tr r="Z6" s="28"/>
      </tp>
      <tp t="e">
        <v>#N/A</v>
        <stp/>
        <stp>BDH|14971652721618253806</stp>
        <tr r="E44" s="6"/>
      </tp>
      <tp t="e">
        <v>#N/A</v>
        <stp/>
        <stp>BDH|13939155850916067139</stp>
        <tr r="P78" s="18"/>
      </tp>
      <tp t="e">
        <v>#N/A</v>
        <stp/>
        <stp>BDH|16811170265085257473</stp>
        <tr r="T15" s="30"/>
      </tp>
      <tp t="e">
        <v>#N/A</v>
        <stp/>
        <stp>BDH|16261274563155968703</stp>
        <tr r="K6" s="27"/>
      </tp>
      <tp t="e">
        <v>#N/A</v>
        <stp/>
        <stp>BDH|18247894921175752722</stp>
        <tr r="W18" s="13"/>
      </tp>
      <tp t="e">
        <v>#N/A</v>
        <stp/>
        <stp>BDH|15092060308100966588</stp>
        <tr r="F6" s="27"/>
      </tp>
      <tp t="e">
        <v>#N/A</v>
        <stp/>
        <stp>BDH|17117246190434963833</stp>
        <tr r="W9" s="26"/>
      </tp>
      <tp t="e">
        <v>#N/A</v>
        <stp/>
        <stp>BDH|15526481308573971237</stp>
        <tr r="M91" s="18"/>
      </tp>
      <tp t="e">
        <v>#N/A</v>
        <stp/>
        <stp>BDH|17479292475746125464</stp>
        <tr r="X97" s="12"/>
      </tp>
      <tp t="e">
        <v>#N/A</v>
        <stp/>
        <stp>BDH|15906277051812239028</stp>
        <tr r="G14" s="28"/>
      </tp>
      <tp t="e">
        <v>#N/A</v>
        <stp/>
        <stp>BDH|18126233558637614832</stp>
        <tr r="C34" s="25"/>
        <tr r="C93" s="17"/>
      </tp>
      <tp t="e">
        <v>#N/A</v>
        <stp/>
        <stp>BDH|16979189119720744616</stp>
        <tr r="AA52" s="24"/>
      </tp>
      <tp t="e">
        <v>#N/A</v>
        <stp/>
        <stp>BDH|15921113770796188575</stp>
        <tr r="H51" s="18"/>
      </tp>
      <tp t="e">
        <v>#N/A</v>
        <stp/>
        <stp>BDH|18300103990580491094</stp>
        <tr r="Y6" s="15"/>
        <tr r="Y6" s="10"/>
        <tr r="Y11" s="4"/>
        <tr r="Y12" s="2"/>
      </tp>
      <tp t="e">
        <v>#N/A</v>
        <stp/>
        <stp>BDH|10839014929947833567</stp>
        <tr r="F38" s="6"/>
      </tp>
      <tp t="e">
        <v>#N/A</v>
        <stp/>
        <stp>BDH|15729558148016666225</stp>
        <tr r="O15" s="21"/>
      </tp>
      <tp t="e">
        <v>#N/A</v>
        <stp/>
        <stp>BDH|14720019153804339589</stp>
        <tr r="P50" s="12"/>
      </tp>
      <tp t="e">
        <v>#N/A</v>
        <stp/>
        <stp>BDH|15199479610124089480</stp>
        <tr r="Q135" s="18"/>
      </tp>
      <tp t="e">
        <v>#N/A</v>
        <stp/>
        <stp>BDH|17429769855151941406</stp>
        <tr r="AA15" s="21"/>
      </tp>
      <tp t="e">
        <v>#N/A</v>
        <stp/>
        <stp>BDH|10667945383618645999</stp>
        <tr r="N17" s="23"/>
      </tp>
      <tp t="e">
        <v>#N/A</v>
        <stp/>
        <stp>BDH|17087562218294060701</stp>
        <tr r="X49" s="6"/>
      </tp>
      <tp t="e">
        <v>#N/A</v>
        <stp/>
        <stp>BDH|18340919217111356186</stp>
        <tr r="L106" s="18"/>
      </tp>
      <tp t="e">
        <v>#N/A</v>
        <stp/>
        <stp>BDH|14255443468865130312</stp>
        <tr r="D43" s="29"/>
      </tp>
      <tp t="e">
        <v>#N/A</v>
        <stp/>
        <stp>BDH|18317789762758043175</stp>
        <tr r="Z68" s="13"/>
      </tp>
      <tp t="e">
        <v>#N/A</v>
        <stp/>
        <stp>BDH|17419994450978544365</stp>
        <tr r="X10" s="25"/>
        <tr r="X55" s="17"/>
      </tp>
      <tp t="e">
        <v>#N/A</v>
        <stp/>
        <stp>BDH|15092289156104458649</stp>
        <tr r="K39" s="24"/>
      </tp>
      <tp t="e">
        <v>#N/A</v>
        <stp/>
        <stp>BDH|10984155214669308957</stp>
        <tr r="J9" s="23"/>
      </tp>
      <tp t="e">
        <v>#N/A</v>
        <stp/>
        <stp>BDH|12845159009222372194</stp>
        <tr r="J62" s="11"/>
        <tr r="J71" s="10"/>
      </tp>
      <tp t="e">
        <v>#N/A</v>
        <stp/>
        <stp>BDH|12330134719166525428</stp>
        <tr r="R6" s="19"/>
        <tr r="R37" s="17"/>
        <tr r="R16" s="3"/>
      </tp>
      <tp t="e">
        <v>#N/A</v>
        <stp/>
        <stp>BDH|16431538023412856326</stp>
        <tr r="S50" s="12"/>
      </tp>
      <tp t="e">
        <v>#N/A</v>
        <stp/>
        <stp>BDH|13289837940566825974</stp>
        <tr r="G69" s="18"/>
      </tp>
      <tp t="e">
        <v>#N/A</v>
        <stp/>
        <stp>BDH|13027719833841962656</stp>
        <tr r="P25" s="14"/>
      </tp>
      <tp t="e">
        <v>#N/A</v>
        <stp/>
        <stp>BDH|17338180135622272721</stp>
        <tr r="X60" s="17"/>
      </tp>
      <tp t="e">
        <v>#N/A</v>
        <stp/>
        <stp>BDH|10595358848962523539</stp>
        <tr r="P212" s="18"/>
      </tp>
      <tp t="e">
        <v>#N/A</v>
        <stp/>
        <stp>BDH|12429587689799943625</stp>
        <tr r="T94" s="17"/>
      </tp>
      <tp t="e">
        <v>#N/A</v>
        <stp/>
        <stp>BDH|15290309135043110682</stp>
        <tr r="T11" s="7"/>
      </tp>
      <tp t="e">
        <v>#N/A</v>
        <stp/>
        <stp>BDH|15979590839031047270</stp>
        <tr r="D132" s="18"/>
      </tp>
      <tp t="e">
        <v>#N/A</v>
        <stp/>
        <stp>BDH|14771583232650166227</stp>
        <tr r="E9" s="18"/>
      </tp>
      <tp t="e">
        <v>#N/A</v>
        <stp/>
        <stp>BDH|14990763751127395131</stp>
        <tr r="U67" s="10"/>
      </tp>
      <tp t="e">
        <v>#N/A</v>
        <stp/>
        <stp>BDH|17000104067355016595</stp>
        <tr r="F25" s="29"/>
        <tr r="F19" s="29"/>
        <tr r="F10" s="29"/>
        <tr r="D6" s="9"/>
        <tr r="F12" s="8"/>
        <tr r="D6" s="5"/>
        <tr r="E6" s="2"/>
      </tp>
      <tp t="e">
        <v>#N/A</v>
        <stp/>
        <stp>BDH|16184409513945988652</stp>
        <tr r="N205" s="18"/>
      </tp>
      <tp t="e">
        <v>#N/A</v>
        <stp/>
        <stp>BDH|15918043771200071225</stp>
        <tr r="S27" s="7"/>
      </tp>
      <tp t="e">
        <v>#N/A</v>
        <stp/>
        <stp>BDH|16814662807916183660</stp>
        <tr r="Q104" s="12"/>
      </tp>
      <tp t="e">
        <v>#N/A</v>
        <stp/>
        <stp>BDH|16438568060884988159</stp>
        <tr r="Y106" s="18"/>
      </tp>
      <tp t="e">
        <v>#N/A</v>
        <stp/>
        <stp>BDH|17511596245566252055</stp>
        <tr r="Y22" s="27"/>
      </tp>
      <tp t="e">
        <v>#N/A</v>
        <stp/>
        <stp>BDH|15968594259135409031</stp>
        <tr r="N26" s="34"/>
      </tp>
      <tp t="e">
        <v>#N/A</v>
        <stp/>
        <stp>BDH|12779014601357002591</stp>
        <tr r="R9" s="6"/>
      </tp>
      <tp t="e">
        <v>#N/A</v>
        <stp/>
        <stp>BDH|12926056332738720970</stp>
        <tr r="Y38" s="11"/>
        <tr r="Y47" s="10"/>
      </tp>
      <tp t="e">
        <v>#N/A</v>
        <stp/>
        <stp>BDH|16415930703929296680</stp>
        <tr r="T7" s="24"/>
      </tp>
      <tp t="e">
        <v>#N/A</v>
        <stp/>
        <stp>BDH|15982679770052961696</stp>
        <tr r="G107" s="18"/>
      </tp>
      <tp t="e">
        <v>#N/A</v>
        <stp/>
        <stp>BDH|11436130259027757276</stp>
        <tr r="Y143" s="18"/>
      </tp>
      <tp t="e">
        <v>#N/A</v>
        <stp/>
        <stp>BDH|17514851252502577892</stp>
        <tr r="M61" s="34"/>
      </tp>
      <tp t="e">
        <v>#N/A</v>
        <stp/>
        <stp>BDH|14979429794588496152</stp>
        <tr r="G37" s="13"/>
        <tr r="E30" s="10"/>
      </tp>
      <tp t="e">
        <v>#N/A</v>
        <stp/>
        <stp>BDH|11575984913651154817</stp>
        <tr r="C55" s="12"/>
      </tp>
      <tp t="e">
        <v>#N/A</v>
        <stp/>
        <stp>BDH|17032672408105959482</stp>
        <tr r="K33" s="6"/>
      </tp>
      <tp t="e">
        <v>#N/A</v>
        <stp/>
        <stp>BDH|11552362380609526384</stp>
        <tr r="V111" s="12"/>
      </tp>
      <tp t="e">
        <v>#N/A</v>
        <stp/>
        <stp>BDH|10422258044491298790</stp>
        <tr r="J106" s="18"/>
      </tp>
      <tp t="e">
        <v>#N/A</v>
        <stp/>
        <stp>BDH|10248613069639757932</stp>
        <tr r="L30" s="21"/>
      </tp>
      <tp t="e">
        <v>#N/A</v>
        <stp/>
        <stp>BDH|13836616965134452767</stp>
        <tr r="J37" s="25"/>
        <tr r="J59" s="21"/>
        <tr r="H53" s="11"/>
        <tr r="H31" s="4"/>
      </tp>
      <tp t="e">
        <v>#N/A</v>
        <stp/>
        <stp>BDH|15157191004227205300</stp>
        <tr r="R13" s="23"/>
        <tr r="P57" s="11"/>
        <tr r="P38" s="4"/>
      </tp>
      <tp t="e">
        <v>#N/A</v>
        <stp/>
        <stp>BDH|12211783477341023335</stp>
        <tr r="Q32" s="29"/>
        <tr r="O34" s="5"/>
      </tp>
      <tp t="e">
        <v>#N/A</v>
        <stp/>
        <stp>BDH|16378773034255833760</stp>
        <tr r="M8" s="4"/>
      </tp>
      <tp t="e">
        <v>#N/A</v>
        <stp/>
        <stp>BDH|10949445152185864493</stp>
        <tr r="D43" s="17"/>
      </tp>
      <tp t="e">
        <v>#N/A</v>
        <stp/>
        <stp>BDH|13437559208942414436</stp>
        <tr r="U66" s="21"/>
        <tr r="R31" s="6"/>
      </tp>
      <tp t="e">
        <v>#N/A</v>
        <stp/>
        <stp>BDH|14765138419774693054</stp>
        <tr r="AA9" s="28"/>
      </tp>
      <tp t="e">
        <v>#N/A</v>
        <stp/>
        <stp>BDH|15568320666805554450</stp>
        <tr r="AA13" s="13"/>
      </tp>
      <tp t="e">
        <v>#N/A</v>
        <stp/>
        <stp>BDH|13449143936824266452</stp>
        <tr r="N34" s="12"/>
      </tp>
      <tp t="e">
        <v>#N/A</v>
        <stp/>
        <stp>BDH|10753929956944563979</stp>
        <tr r="AA90" s="24"/>
      </tp>
      <tp t="e">
        <v>#N/A</v>
        <stp/>
        <stp>BDH|17690532543112573527</stp>
        <tr r="P19" s="9"/>
      </tp>
      <tp t="e">
        <v>#N/A</v>
        <stp/>
        <stp>BDH|11467228916567573445</stp>
        <tr r="F171" s="18"/>
      </tp>
      <tp t="e">
        <v>#N/A</v>
        <stp/>
        <stp>BDH|11434186054406881210</stp>
        <tr r="G9" s="26"/>
      </tp>
      <tp t="e">
        <v>#N/A</v>
        <stp/>
        <stp>BDH|11136637872517670679</stp>
        <tr r="E35" s="24"/>
      </tp>
      <tp t="e">
        <v>#N/A</v>
        <stp/>
        <stp>BDH|14033046622357619018</stp>
        <tr r="Z22" s="34"/>
      </tp>
      <tp t="e">
        <v>#N/A</v>
        <stp/>
        <stp>BDH|14381233666163218254</stp>
        <tr r="Y44" s="11"/>
        <tr r="Y53" s="10"/>
        <tr r="Y16" s="7"/>
      </tp>
      <tp t="e">
        <v>#N/A</v>
        <stp/>
        <stp>BDH|14528915155869579057</stp>
        <tr r="U9" s="6"/>
      </tp>
      <tp t="e">
        <v>#N/A</v>
        <stp/>
        <stp>BDH|13792064541935224339</stp>
        <tr r="R48" s="34"/>
      </tp>
      <tp t="e">
        <v>#N/A</v>
        <stp/>
        <stp>BDH|17690137241213250076</stp>
        <tr r="U18" s="10"/>
      </tp>
      <tp t="e">
        <v>#N/A</v>
        <stp/>
        <stp>BDH|13428640421855957391</stp>
        <tr r="E39" s="18"/>
      </tp>
      <tp t="e">
        <v>#N/A</v>
        <stp/>
        <stp>BDH|16154328134604437326</stp>
        <tr r="W43" s="21"/>
      </tp>
      <tp t="e">
        <v>#N/A</v>
        <stp/>
        <stp>BDH|11962870509051687903</stp>
        <tr r="I192" s="18"/>
      </tp>
      <tp t="e">
        <v>#N/A</v>
        <stp/>
        <stp>BDH|14470839987594264130</stp>
        <tr r="Q48" s="34"/>
      </tp>
      <tp t="e">
        <v>#N/A</v>
        <stp/>
        <stp>BDH|17456040959992080189</stp>
        <tr r="Y191" s="18"/>
      </tp>
      <tp t="e">
        <v>#N/A</v>
        <stp/>
        <stp>BDH|13722827299220881352</stp>
        <tr r="Q86" s="12"/>
      </tp>
      <tp t="e">
        <v>#N/A</v>
        <stp/>
        <stp>BDH|16449375752851203025</stp>
        <tr r="J206" s="18"/>
      </tp>
      <tp t="e">
        <v>#N/A</v>
        <stp/>
        <stp>BDH|12607446370358195820</stp>
        <tr r="AA95" s="24"/>
      </tp>
      <tp t="e">
        <v>#N/A</v>
        <stp/>
        <stp>BDH|15360075644479636978</stp>
        <tr r="AA42" s="17"/>
      </tp>
      <tp t="e">
        <v>#N/A</v>
        <stp/>
        <stp>BDH|15125019563553043126</stp>
        <tr r="U16" s="23"/>
      </tp>
      <tp t="e">
        <v>#N/A</v>
        <stp/>
        <stp>BDH|11805382532570634058</stp>
        <tr r="F123" s="12"/>
      </tp>
      <tp t="e">
        <v>#N/A</v>
        <stp/>
        <stp>BDH|10182672316872813490</stp>
        <tr r="T56" s="12"/>
      </tp>
      <tp t="e">
        <v>#N/A</v>
        <stp/>
        <stp>BDH|10860165867786104097</stp>
        <tr r="E44" s="34"/>
      </tp>
      <tp t="e">
        <v>#N/A</v>
        <stp/>
        <stp>BDH|14112342657293300003</stp>
        <tr r="O47" s="24"/>
      </tp>
      <tp t="e">
        <v>#N/A</v>
        <stp/>
        <stp>BDH|14083593614909573897</stp>
        <tr r="S181" s="18"/>
      </tp>
      <tp t="e">
        <v>#N/A</v>
        <stp/>
        <stp>BDH|13771533609225526296</stp>
        <tr r="C13" s="7"/>
      </tp>
      <tp t="e">
        <v>#N/A</v>
        <stp/>
        <stp>BDH|15664021014422974786</stp>
        <tr r="P77" s="34"/>
      </tp>
      <tp t="e">
        <v>#N/A</v>
        <stp/>
        <stp>BDH|14045632115283267153</stp>
        <tr r="J45" s="34"/>
      </tp>
      <tp t="e">
        <v>#N/A</v>
        <stp/>
        <stp>BDH|10073710966429062964</stp>
        <tr r="R14" s="20"/>
        <tr r="R123" s="18"/>
      </tp>
      <tp t="e">
        <v>#N/A</v>
        <stp/>
        <stp>BDH|10475272814987290544</stp>
        <tr r="P84" s="12"/>
      </tp>
      <tp t="e">
        <v>#N/A</v>
        <stp/>
        <stp>BDH|16254107116233752424</stp>
        <tr r="O12" s="12"/>
      </tp>
      <tp t="e">
        <v>#N/A</v>
        <stp/>
        <stp>BDH|16335631580109527040</stp>
        <tr r="J52" s="12"/>
      </tp>
      <tp t="e">
        <v>#N/A</v>
        <stp/>
        <stp>BDH|12333809243996235930</stp>
        <tr r="F79" s="24"/>
      </tp>
      <tp t="e">
        <v>#N/A</v>
        <stp/>
        <stp>BDH|11644409281585102978</stp>
        <tr r="G10" s="17"/>
      </tp>
      <tp t="e">
        <v>#N/A</v>
        <stp/>
        <stp>BDH|15026497494900589994</stp>
        <tr r="D16" s="20"/>
      </tp>
      <tp t="e">
        <v>#N/A</v>
        <stp/>
        <stp>BDH|16434411724838484942</stp>
        <tr r="H50" s="17"/>
      </tp>
      <tp t="e">
        <v>#N/A</v>
        <stp/>
        <stp>BDH|16301126904610717636</stp>
        <tr r="G33" s="14"/>
      </tp>
      <tp t="e">
        <v>#N/A</v>
        <stp/>
        <stp>BDH|17453033543750056253</stp>
        <tr r="C124" s="18"/>
      </tp>
      <tp t="e">
        <v>#N/A</v>
        <stp/>
        <stp>BDH|12514051067292013765</stp>
        <tr r="Q62" s="12"/>
      </tp>
      <tp t="e">
        <v>#N/A</v>
        <stp/>
        <stp>BDH|17535153651747533552</stp>
        <tr r="G153" s="18"/>
      </tp>
      <tp t="e">
        <v>#N/A</v>
        <stp/>
        <stp>BDH|12971177144612247494</stp>
        <tr r="E73" s="17"/>
      </tp>
      <tp t="e">
        <v>#N/A</v>
        <stp/>
        <stp>BDH|16298501976511396462</stp>
        <tr r="R7" s="27"/>
        <tr r="R95" s="17"/>
      </tp>
      <tp t="e">
        <v>#N/A</v>
        <stp/>
        <stp>BDH|10776274726540285158</stp>
        <tr r="I18" s="17"/>
      </tp>
      <tp t="e">
        <v>#N/A</v>
        <stp/>
        <stp>BDH|11208270136164001524</stp>
        <tr r="Q35" s="22"/>
      </tp>
      <tp t="e">
        <v>#N/A</v>
        <stp/>
        <stp>BDH|14561003301626631335</stp>
        <tr r="Z209" s="18"/>
      </tp>
      <tp t="e">
        <v>#N/A</v>
        <stp/>
        <stp>BDH|18411549347949267142</stp>
        <tr r="W209" s="18"/>
      </tp>
      <tp t="e">
        <v>#N/A</v>
        <stp/>
        <stp>BDH|13420934082626322577</stp>
        <tr r="X12" s="10"/>
      </tp>
      <tp t="e">
        <v>#N/A</v>
        <stp/>
        <stp>BDH|16856587734313372262</stp>
        <tr r="P38" s="11"/>
        <tr r="P47" s="10"/>
      </tp>
      <tp t="e">
        <v>#N/A</v>
        <stp/>
        <stp>BDH|10753925282058088873</stp>
        <tr r="M95" s="12"/>
      </tp>
      <tp t="e">
        <v>#N/A</v>
        <stp/>
        <stp>BDH|10320075892941240940</stp>
        <tr r="N66" s="12"/>
      </tp>
      <tp t="e">
        <v>#N/A</v>
        <stp/>
        <stp>BDH|13197915054398357670</stp>
        <tr r="H14" s="22"/>
      </tp>
      <tp t="e">
        <v>#N/A</v>
        <stp/>
        <stp>BDH|12034359622781302347</stp>
        <tr r="P48" s="12"/>
      </tp>
      <tp t="e">
        <v>#N/A</v>
        <stp/>
        <stp>BDH|15719728594629217337</stp>
        <tr r="O19" s="30"/>
      </tp>
      <tp t="e">
        <v>#N/A</v>
        <stp/>
        <stp>BDH|13794148439833278387</stp>
        <tr r="E68" s="18"/>
      </tp>
      <tp t="e">
        <v>#N/A</v>
        <stp/>
        <stp>BDH|12386051347416133107</stp>
        <tr r="W13" s="8"/>
      </tp>
      <tp t="e">
        <v>#N/A</v>
        <stp/>
        <stp>BDH|16394613507507727624</stp>
        <tr r="G34" s="22"/>
      </tp>
      <tp t="e">
        <v>#N/A</v>
        <stp/>
        <stp>BDH|12349624147948647905</stp>
        <tr r="K28" s="17"/>
      </tp>
      <tp t="e">
        <v>#N/A</v>
        <stp/>
        <stp>BDH|14396616346713733433</stp>
        <tr r="M15" s="11"/>
      </tp>
      <tp t="e">
        <v>#N/A</v>
        <stp/>
        <stp>BDH|17146425515987652403</stp>
        <tr r="D52" s="17"/>
      </tp>
      <tp t="e">
        <v>#N/A</v>
        <stp/>
        <stp>BDH|16642486994188949239</stp>
        <tr r="E36" s="13"/>
        <tr r="C29" s="10"/>
      </tp>
      <tp t="e">
        <v>#N/A</v>
        <stp/>
        <stp>BDH|13956363069342026569</stp>
        <tr r="F30" s="22"/>
      </tp>
      <tp t="e">
        <v>#N/A</v>
        <stp/>
        <stp>BDH|16035018761662072304</stp>
        <tr r="O34" s="6"/>
      </tp>
      <tp t="e">
        <v>#N/A</v>
        <stp/>
        <stp>BDH|11275499445264764494</stp>
        <tr r="Q166" s="18"/>
      </tp>
      <tp t="e">
        <v>#N/A</v>
        <stp/>
        <stp>BDH|10047111462832032430</stp>
        <tr r="J43" s="24"/>
      </tp>
      <tp t="e">
        <v>#N/A</v>
        <stp/>
        <stp>BDH|10016043865942375521</stp>
        <tr r="H42" s="4"/>
      </tp>
      <tp t="e">
        <v>#N/A</v>
        <stp/>
        <stp>BDH|13911187477737158379</stp>
        <tr r="Q34" s="21"/>
      </tp>
      <tp t="e">
        <v>#N/A</v>
        <stp/>
        <stp>BDH|16288767333512701107</stp>
        <tr r="Q50" s="18"/>
      </tp>
      <tp t="e">
        <v>#N/A</v>
        <stp/>
        <stp>BDH|12339991554828664781</stp>
        <tr r="P64" s="18"/>
      </tp>
      <tp t="e">
        <v>#N/A</v>
        <stp/>
        <stp>BDH|15875889787232435632</stp>
        <tr r="K22" s="22"/>
      </tp>
      <tp t="e">
        <v>#N/A</v>
        <stp/>
        <stp>BDH|15771329771010324071</stp>
        <tr r="E8" s="10"/>
      </tp>
      <tp t="e">
        <v>#N/A</v>
        <stp/>
        <stp>BDH|13482574127602311776</stp>
        <tr r="J8" s="8"/>
      </tp>
      <tp t="e">
        <v>#N/A</v>
        <stp/>
        <stp>BDH|13697499951635998673</stp>
        <tr r="T61" s="24"/>
      </tp>
      <tp t="e">
        <v>#N/A</v>
        <stp/>
        <stp>BDH|13141004421000992095</stp>
        <tr r="W84" s="24"/>
      </tp>
      <tp t="e">
        <v>#N/A</v>
        <stp/>
        <stp>BDH|14491371307594577219</stp>
        <tr r="S111" s="12"/>
      </tp>
      <tp t="e">
        <v>#N/A</v>
        <stp/>
        <stp>BDH|10002542420033694528</stp>
        <tr r="Y19" s="28"/>
        <tr r="Y16" s="17"/>
      </tp>
      <tp t="e">
        <v>#N/A</v>
        <stp/>
        <stp>BDH|17050036103777767171</stp>
        <tr r="I7" s="30"/>
      </tp>
      <tp t="e">
        <v>#N/A</v>
        <stp/>
        <stp>BDH|12116613391424917884</stp>
        <tr r="L36" s="17"/>
      </tp>
      <tp t="e">
        <v>#N/A</v>
        <stp/>
        <stp>BDH|14255797938372618353</stp>
        <tr r="Z23" s="30"/>
        <tr r="Z25" s="23"/>
      </tp>
      <tp t="e">
        <v>#N/A</v>
        <stp/>
        <stp>BDH|17057557471497626326</stp>
        <tr r="Y8" s="26"/>
        <tr r="V10" s="9"/>
      </tp>
      <tp t="e">
        <v>#N/A</v>
        <stp/>
        <stp>BDH|17180273161867797508</stp>
        <tr r="C26" s="17"/>
      </tp>
      <tp t="e">
        <v>#N/A</v>
        <stp/>
        <stp>BDH|16994795770267699066</stp>
        <tr r="E9" s="17"/>
      </tp>
      <tp t="e">
        <v>#N/A</v>
        <stp/>
        <stp>BDH|17147150912563244544</stp>
        <tr r="AA53" s="13"/>
      </tp>
      <tp t="e">
        <v>#N/A</v>
        <stp/>
        <stp>BDH|15518348793739687747</stp>
        <tr r="S21" s="9"/>
      </tp>
      <tp t="e">
        <v>#N/A</v>
        <stp/>
        <stp>BDH|13323092579605373000</stp>
        <tr r="U40" s="22"/>
      </tp>
      <tp t="e">
        <v>#N/A</v>
        <stp/>
        <stp>BDH|18134865756816774268</stp>
        <tr r="D78" s="34"/>
      </tp>
      <tp t="e">
        <v>#N/A</v>
        <stp/>
        <stp>BDH|14590100240554555408</stp>
        <tr r="Q113" s="18"/>
      </tp>
      <tp t="e">
        <v>#N/A</v>
        <stp/>
        <stp>BDH|16599527850294247358</stp>
        <tr r="W141" s="18"/>
      </tp>
      <tp t="e">
        <v>#N/A</v>
        <stp/>
        <stp>BDH|17132176746672052106</stp>
        <tr r="G67" s="10"/>
      </tp>
      <tp t="e">
        <v>#N/A</v>
        <stp/>
        <stp>BDH|10965015230104845606</stp>
        <tr r="M29" s="22"/>
      </tp>
      <tp t="e">
        <v>#N/A</v>
        <stp/>
        <stp>BDH|15305544685580505976</stp>
        <tr r="D42" s="21"/>
      </tp>
      <tp t="e">
        <v>#N/A</v>
        <stp/>
        <stp>BDH|15510662834755428431</stp>
        <tr r="I66" s="18"/>
      </tp>
      <tp t="e">
        <v>#N/A</v>
        <stp/>
        <stp>BDH|11630537432513025574</stp>
        <tr r="W135" s="18"/>
      </tp>
      <tp t="e">
        <v>#N/A</v>
        <stp/>
        <stp>BDH|13386212841174291014</stp>
        <tr r="J172" s="18"/>
      </tp>
      <tp t="e">
        <v>#N/A</v>
        <stp/>
        <stp>BDH|11448899789613359378</stp>
        <tr r="E12" s="10"/>
      </tp>
      <tp t="e">
        <v>#N/A</v>
        <stp/>
        <stp>BDH|17001680269036550043</stp>
        <tr r="H103" s="18"/>
      </tp>
      <tp t="e">
        <v>#N/A</v>
        <stp/>
        <stp>BDH|15607105250546468623</stp>
        <tr r="U27" s="22"/>
      </tp>
      <tp t="e">
        <v>#N/A</v>
        <stp/>
        <stp>BDH|11138063121781615303</stp>
        <tr r="F27" s="34"/>
      </tp>
      <tp t="e">
        <v>#N/A</v>
        <stp/>
        <stp>BDH|11631602911982547529</stp>
        <tr r="X14" s="23"/>
      </tp>
      <tp t="e">
        <v>#N/A</v>
        <stp/>
        <stp>BDH|16846082537214027072</stp>
        <tr r="V65" s="10"/>
        <tr r="V25" s="4"/>
      </tp>
      <tp t="e">
        <v>#N/A</v>
        <stp/>
        <stp>BDH|15454063300025152137</stp>
        <tr r="Y114" s="18"/>
      </tp>
      <tp t="e">
        <v>#N/A</v>
        <stp/>
        <stp>BDH|11723525932273491507</stp>
        <tr r="C116" s="12"/>
      </tp>
      <tp t="e">
        <v>#N/A</v>
        <stp/>
        <stp>BDH|18402833625902068117</stp>
        <tr r="L43" s="29"/>
      </tp>
      <tp t="e">
        <v>#N/A</v>
        <stp/>
        <stp>BDH|17534510127872375337</stp>
        <tr r="H6" s="16"/>
        <tr r="I6" s="11"/>
        <tr r="I10" s="4"/>
        <tr r="K6" s="3"/>
      </tp>
      <tp t="e">
        <v>#N/A</v>
        <stp/>
        <stp>BDH|10343852869298581797</stp>
        <tr r="Q9" s="14"/>
      </tp>
      <tp t="e">
        <v>#N/A</v>
        <stp/>
        <stp>BDH|14438535118856874743</stp>
        <tr r="F13" s="28"/>
        <tr r="F96" s="17"/>
      </tp>
      <tp t="e">
        <v>#N/A</v>
        <stp/>
        <stp>BDH|10683504724066528044</stp>
        <tr r="R165" s="18"/>
      </tp>
      <tp t="e">
        <v>#N/A</v>
        <stp/>
        <stp>BDH|16157107768974821423</stp>
        <tr r="E46" s="13"/>
      </tp>
      <tp t="e">
        <v>#N/A</v>
        <stp/>
        <stp>BDH|16799656016414258454</stp>
        <tr r="D118" s="12"/>
      </tp>
      <tp t="e">
        <v>#N/A</v>
        <stp/>
        <stp>BDH|15548415140114784001</stp>
        <tr r="J99" s="12"/>
      </tp>
      <tp t="e">
        <v>#N/A</v>
        <stp/>
        <stp>BDH|12547348173065462253</stp>
        <tr r="G80" s="34"/>
      </tp>
      <tp t="e">
        <v>#N/A</v>
        <stp/>
        <stp>BDH|13794319614960446054</stp>
        <tr r="P210" s="18"/>
      </tp>
      <tp t="e">
        <v>#N/A</v>
        <stp/>
        <stp>BDH|11377097506121808179</stp>
        <tr r="O15" s="12"/>
      </tp>
      <tp t="e">
        <v>#N/A</v>
        <stp/>
        <stp>BDH|13212755105576711368</stp>
        <tr r="S31" s="22"/>
      </tp>
      <tp t="e">
        <v>#N/A</v>
        <stp/>
        <stp>BDH|13854557736876070282</stp>
        <tr r="G9" s="20"/>
        <tr r="G119" s="18"/>
      </tp>
      <tp t="e">
        <v>#N/A</v>
        <stp/>
        <stp>BDH|18402713722904021847</stp>
        <tr r="H85" s="12"/>
      </tp>
      <tp t="e">
        <v>#N/A</v>
        <stp/>
        <stp>BDH|11776508806597565273</stp>
        <tr r="Z75" s="24"/>
      </tp>
      <tp t="e">
        <v>#N/A</v>
        <stp/>
        <stp>BDH|14415574502851073124</stp>
        <tr r="F63" s="17"/>
      </tp>
      <tp t="e">
        <v>#N/A</v>
        <stp/>
        <stp>BDH|14204608177646383258</stp>
        <tr r="G24" s="29"/>
      </tp>
      <tp t="e">
        <v>#N/A</v>
        <stp/>
        <stp>BDH|14482307564744641452</stp>
        <tr r="H31" s="12"/>
      </tp>
      <tp t="e">
        <v>#N/A</v>
        <stp/>
        <stp>BDH|10610189904714810413</stp>
        <tr r="S69" s="17"/>
      </tp>
      <tp t="e">
        <v>#N/A</v>
        <stp/>
        <stp>BDH|12447668118375976105</stp>
        <tr r="U142" s="18"/>
      </tp>
      <tp t="e">
        <v>#N/A</v>
        <stp/>
        <stp>BDH|15112021634873245461</stp>
        <tr r="T15" s="23"/>
        <tr r="R58" s="11"/>
      </tp>
      <tp t="e">
        <v>#N/A</v>
        <stp/>
        <stp>BDH|12323599058402203132</stp>
        <tr r="S13" s="25"/>
      </tp>
      <tp t="e">
        <v>#N/A</v>
        <stp/>
        <stp>BDH|15654082522563965569</stp>
        <tr r="L19" s="23"/>
        <tr r="J59" s="11"/>
      </tp>
      <tp t="e">
        <v>#N/A</v>
        <stp/>
        <stp>BDH|16676713143960350444</stp>
        <tr r="I29" s="4"/>
      </tp>
      <tp t="e">
        <v>#N/A</v>
        <stp/>
        <stp>BDH|16339940475260467954</stp>
        <tr r="I46" s="11"/>
        <tr r="I55" s="10"/>
        <tr r="I7" s="7"/>
        <tr r="K12" s="3"/>
      </tp>
      <tp t="e">
        <v>#N/A</v>
        <stp/>
        <stp>BDH|12730508300233038549</stp>
        <tr r="E31" s="12"/>
      </tp>
      <tp t="e">
        <v>#N/A</v>
        <stp/>
        <stp>BDH|14028706659654363397</stp>
        <tr r="Z49" s="21"/>
      </tp>
      <tp t="e">
        <v>#N/A</v>
        <stp/>
        <stp>BDH|16837238053982395288</stp>
        <tr r="F27" s="26"/>
      </tp>
      <tp t="e">
        <v>#N/A</v>
        <stp/>
        <stp>BDH|10469444710504269012</stp>
        <tr r="O54" s="24"/>
      </tp>
      <tp t="e">
        <v>#N/A</v>
        <stp/>
        <stp>BDH|10888996922868936296</stp>
        <tr r="X68" s="10"/>
      </tp>
      <tp t="e">
        <v>#N/A</v>
        <stp/>
        <stp>BDH|16655237057501234137</stp>
        <tr r="Q71" s="18"/>
      </tp>
      <tp t="e">
        <v>#N/A</v>
        <stp/>
        <stp>BDH|12006652762491368273</stp>
        <tr r="Y19" s="17"/>
      </tp>
      <tp t="e">
        <v>#N/A</v>
        <stp/>
        <stp>BDH|15497366071914445441</stp>
        <tr r="R8" s="22"/>
      </tp>
      <tp t="e">
        <v>#N/A</v>
        <stp/>
        <stp>BDH|12467273901630502141</stp>
        <tr r="G59" s="18"/>
      </tp>
      <tp t="e">
        <v>#N/A</v>
        <stp/>
        <stp>BDH|16942755661084872264</stp>
        <tr r="W33" s="17"/>
      </tp>
      <tp t="e">
        <v>#N/A</v>
        <stp/>
        <stp>BDH|14485759948344330290</stp>
        <tr r="U22" s="10"/>
      </tp>
      <tp t="e">
        <v>#N/A</v>
        <stp/>
        <stp>BDH|16012712044772727617</stp>
        <tr r="K85" s="12"/>
      </tp>
      <tp t="e">
        <v>#N/A</v>
        <stp/>
        <stp>BDH|10242081168471218630</stp>
        <tr r="D43" s="21"/>
      </tp>
      <tp t="e">
        <v>#N/A</v>
        <stp/>
        <stp>BDH|12707414276495138523</stp>
        <tr r="N45" s="13"/>
        <tr r="L29" s="11"/>
        <tr r="L38" s="10"/>
      </tp>
      <tp t="e">
        <v>#N/A</v>
        <stp/>
        <stp>BDH|10640391721490475091</stp>
        <tr r="J27" s="24"/>
      </tp>
      <tp t="e">
        <v>#N/A</v>
        <stp/>
        <stp>BDH|16139507321050157027</stp>
        <tr r="K65" s="12"/>
      </tp>
      <tp t="e">
        <v>#N/A</v>
        <stp/>
        <stp>BDH|11566572113114232000</stp>
        <tr r="N63" s="17"/>
      </tp>
      <tp t="e">
        <v>#N/A</v>
        <stp/>
        <stp>BDH|11669546942627120622</stp>
        <tr r="U30" s="21"/>
      </tp>
      <tp t="e">
        <v>#N/A</v>
        <stp/>
        <stp>BDH|10066517009782213692</stp>
        <tr r="I60" s="18"/>
      </tp>
      <tp t="e">
        <v>#N/A</v>
        <stp/>
        <stp>BDH|17968930144718455391</stp>
        <tr r="E32" s="24"/>
      </tp>
      <tp t="e">
        <v>#N/A</v>
        <stp/>
        <stp>BDH|11884342846942119587</stp>
        <tr r="N15" s="13"/>
      </tp>
      <tp t="e">
        <v>#N/A</v>
        <stp/>
        <stp>BDH|15116921600558294529</stp>
        <tr r="Z32" s="13"/>
        <tr r="X24" s="11"/>
        <tr r="X33" s="10"/>
        <tr r="X45" s="4"/>
      </tp>
      <tp t="e">
        <v>#N/A</v>
        <stp/>
        <stp>BDH|11808381666152446710</stp>
        <tr r="W35" s="12"/>
      </tp>
      <tp t="e">
        <v>#N/A</v>
        <stp/>
        <stp>BDH|16396152693466539938</stp>
        <tr r="M70" s="18"/>
      </tp>
      <tp t="e">
        <v>#N/A</v>
        <stp/>
        <stp>BDH|15056330721027359224</stp>
        <tr r="N34" s="18"/>
      </tp>
      <tp t="e">
        <v>#N/A</v>
        <stp/>
        <stp>BDH|15865428697821924870</stp>
        <tr r="U8" s="12"/>
      </tp>
      <tp t="e">
        <v>#N/A</v>
        <stp/>
        <stp>BDH|12260018013456271419</stp>
        <tr r="X166" s="18"/>
      </tp>
      <tp t="e">
        <v>#N/A</v>
        <stp/>
        <stp>BDH|15143436765282268462</stp>
        <tr r="N75" s="24"/>
      </tp>
      <tp t="e">
        <v>#N/A</v>
        <stp/>
        <stp>BDH|11482111356284579058</stp>
        <tr r="O91" s="24"/>
      </tp>
      <tp t="e">
        <v>#N/A</v>
        <stp/>
        <stp>BDH|15096301225301418431</stp>
        <tr r="S33" s="18"/>
      </tp>
      <tp t="e">
        <v>#N/A</v>
        <stp/>
        <stp>BDH|12409227036334184637</stp>
        <tr r="T177" s="18"/>
      </tp>
      <tp t="e">
        <v>#N/A</v>
        <stp/>
        <stp>BDH|18059854486891431851</stp>
        <tr r="P12" s="26"/>
      </tp>
      <tp t="e">
        <v>#N/A</v>
        <stp/>
        <stp>BDH|11415140126855037641</stp>
        <tr r="C36" s="34"/>
      </tp>
      <tp t="e">
        <v>#N/A</v>
        <stp/>
        <stp>BDH|18074123194025366479</stp>
        <tr r="Q33" s="21"/>
      </tp>
      <tp t="e">
        <v>#N/A</v>
        <stp/>
        <stp>BDH|15240362544375081626</stp>
        <tr r="N39" s="24"/>
      </tp>
      <tp t="e">
        <v>#N/A</v>
        <stp/>
        <stp>BDH|10857798914485669215</stp>
        <tr r="C78" s="24"/>
      </tp>
      <tp t="e">
        <v>#N/A</v>
        <stp/>
        <stp>BDH|13541692233274862358</stp>
        <tr r="D43" s="12"/>
      </tp>
      <tp t="e">
        <v>#N/A</v>
        <stp/>
        <stp>BDH|17209045857013461079</stp>
        <tr r="D15" s="30"/>
      </tp>
      <tp t="e">
        <v>#N/A</v>
        <stp/>
        <stp>BDH|12381322702643549341</stp>
        <tr r="Y38" s="29"/>
        <tr r="Y15" s="29"/>
      </tp>
      <tp t="e">
        <v>#N/A</v>
        <stp/>
        <stp>BDH|14961283630836734247</stp>
        <tr r="S63" s="21"/>
      </tp>
      <tp t="e">
        <v>#N/A</v>
        <stp/>
        <stp>BDH|12509045849595292281</stp>
        <tr r="X47" s="17"/>
      </tp>
      <tp t="e">
        <v>#N/A</v>
        <stp/>
        <stp>BDH|15734181678455480716</stp>
        <tr r="Q12" s="12"/>
      </tp>
      <tp t="e">
        <v>#N/A</v>
        <stp/>
        <stp>BDH|10570158586420575814</stp>
        <tr r="N40" s="29"/>
        <tr r="N17" s="29"/>
      </tp>
      <tp t="e">
        <v>#N/A</v>
        <stp/>
        <stp>BDH|11975282942406581047</stp>
        <tr r="G15" s="5"/>
      </tp>
      <tp t="e">
        <v>#N/A</v>
        <stp/>
        <stp>BDH|16156241417523978798</stp>
        <tr r="Q32" s="12"/>
      </tp>
      <tp t="e">
        <v>#N/A</v>
        <stp/>
        <stp>BDH|15417810477818732374</stp>
        <tr r="H38" s="29"/>
        <tr r="H15" s="29"/>
      </tp>
      <tp t="e">
        <v>#N/A</v>
        <stp/>
        <stp>BDH|13265805170798492540</stp>
        <tr r="L8" s="25"/>
        <tr r="I10" s="5"/>
        <tr r="J9" s="2"/>
      </tp>
      <tp t="e">
        <v>#N/A</v>
        <stp/>
        <stp>BDH|16211068045581691258</stp>
        <tr r="F58" s="13"/>
        <tr r="D47" s="11"/>
        <tr r="D56" s="10"/>
        <tr r="D17" s="7"/>
        <tr r="D17" s="4"/>
        <tr r="F10" s="3"/>
      </tp>
      <tp t="e">
        <v>#N/A</v>
        <stp/>
        <stp>BDH|12220737142977902781</stp>
        <tr r="T91" s="18"/>
      </tp>
      <tp t="e">
        <v>#N/A</v>
        <stp/>
        <stp>BDH|12338722725895161372</stp>
        <tr r="H126" s="18"/>
      </tp>
      <tp t="e">
        <v>#N/A</v>
        <stp/>
        <stp>BDH|15923788873770826483</stp>
        <tr r="J143" s="18"/>
      </tp>
      <tp t="e">
        <v>#N/A</v>
        <stp/>
        <stp>BDH|15688854528186001891</stp>
        <tr r="X54" s="13"/>
      </tp>
      <tp t="e">
        <v>#N/A</v>
        <stp/>
        <stp>BDH|17920189070926267617</stp>
        <tr r="M49" s="17"/>
      </tp>
      <tp t="e">
        <v>#N/A</v>
        <stp/>
        <stp>BDH|15508046372376478551</stp>
        <tr r="Q57" s="24"/>
      </tp>
      <tp t="e">
        <v>#N/A</v>
        <stp/>
        <stp>BDH|11205528424455465229</stp>
        <tr r="Q22" s="10"/>
      </tp>
      <tp t="e">
        <v>#N/A</v>
        <stp/>
        <stp>BDH|11891400119315091030</stp>
        <tr r="J50" s="4"/>
      </tp>
      <tp t="e">
        <v>#N/A</v>
        <stp/>
        <stp>BDH|12069410779917397794</stp>
        <tr r="F88" s="12"/>
      </tp>
      <tp t="e">
        <v>#N/A</v>
        <stp/>
        <stp>BDH|14643555403478035824</stp>
        <tr r="Q19" s="28"/>
        <tr r="Q16" s="17"/>
      </tp>
      <tp t="e">
        <v>#N/A</v>
        <stp/>
        <stp>BDH|12603674347606744734</stp>
        <tr r="G58" s="34"/>
      </tp>
      <tp t="e">
        <v>#N/A</v>
        <stp/>
        <stp>BDH|14994723030801112081</stp>
        <tr r="X31" s="21"/>
      </tp>
      <tp t="e">
        <v>#N/A</v>
        <stp/>
        <stp>BDH|12738142776596707306</stp>
        <tr r="G42" s="21"/>
      </tp>
      <tp t="e">
        <v>#N/A</v>
        <stp/>
        <stp>BDH|10676830987193126216</stp>
        <tr r="V17" s="21"/>
      </tp>
      <tp t="e">
        <v>#N/A</v>
        <stp/>
        <stp>BDH|11839299307511188355</stp>
        <tr r="AA21" s="18"/>
      </tp>
      <tp t="e">
        <v>#N/A</v>
        <stp/>
        <stp>BDH|11010960822078230343</stp>
        <tr r="Q75" s="17"/>
      </tp>
      <tp t="e">
        <v>#N/A</v>
        <stp/>
        <stp>BDH|11906370836048393898</stp>
        <tr r="AA23" s="17"/>
      </tp>
      <tp t="e">
        <v>#N/A</v>
        <stp/>
        <stp>BDH|17960181649495365694</stp>
        <tr r="Y169" s="18"/>
      </tp>
      <tp t="e">
        <v>#N/A</v>
        <stp/>
        <stp>BDH|16184131724971562517</stp>
        <tr r="R34" s="22"/>
      </tp>
      <tp t="e">
        <v>#N/A</v>
        <stp/>
        <stp>BDH|10569712764488204801</stp>
        <tr r="H29" s="17"/>
      </tp>
      <tp t="e">
        <v>#N/A</v>
        <stp/>
        <stp>BDH|14209142987324553864</stp>
        <tr r="S52" s="13"/>
      </tp>
      <tp t="e">
        <v>#N/A</v>
        <stp/>
        <stp>BDH|15457614186359970385</stp>
        <tr r="N10" s="8"/>
        <tr r="L53" s="6"/>
      </tp>
      <tp t="e">
        <v>#N/A</v>
        <stp/>
        <stp>BDH|16937065216253813535</stp>
        <tr r="R34" s="24"/>
      </tp>
      <tp t="e">
        <v>#N/A</v>
        <stp/>
        <stp>BDH|15716287909372505412</stp>
        <tr r="Y50" s="18"/>
      </tp>
      <tp t="e">
        <v>#N/A</v>
        <stp/>
        <stp>BDH|15337010360183109115</stp>
        <tr r="H30" s="18"/>
      </tp>
      <tp t="e">
        <v>#N/A</v>
        <stp/>
        <stp>BDH|14760169279803814021</stp>
        <tr r="U115" s="12"/>
      </tp>
      <tp t="e">
        <v>#N/A</v>
        <stp/>
        <stp>BDH|15897789581748576367</stp>
        <tr r="Q80" s="24"/>
      </tp>
      <tp t="e">
        <v>#N/A</v>
        <stp/>
        <stp>BDH|17599267760942136002</stp>
        <tr r="L8" s="23"/>
      </tp>
      <tp t="e">
        <v>#N/A</v>
        <stp/>
        <stp>BDH|14232051913195218144</stp>
        <tr r="K169" s="18"/>
      </tp>
      <tp t="e">
        <v>#N/A</v>
        <stp/>
        <stp>BDH|12006502838892952739</stp>
        <tr r="H30" s="17"/>
      </tp>
      <tp t="e">
        <v>#N/A</v>
        <stp/>
        <stp>BDH|17733516809680572382</stp>
        <tr r="K80" s="18"/>
      </tp>
      <tp t="e">
        <v>#N/A</v>
        <stp/>
        <stp>BDH|14215614122158421970</stp>
        <tr r="O24" s="12"/>
      </tp>
      <tp t="e">
        <v>#N/A</v>
        <stp/>
        <stp>BDH|11019635178427138685</stp>
        <tr r="M61" s="24"/>
      </tp>
      <tp t="e">
        <v>#N/A</v>
        <stp/>
        <stp>BDH|14104750810115315655</stp>
        <tr r="F22" s="7"/>
      </tp>
      <tp t="e">
        <v>#N/A</v>
        <stp/>
        <stp>BDH|12741355729833945108</stp>
        <tr r="C9" s="13"/>
      </tp>
      <tp t="e">
        <v>#N/A</v>
        <stp/>
        <stp>BDH|14330133802563944795</stp>
        <tr r="E112" s="12"/>
      </tp>
      <tp t="e">
        <v>#N/A</v>
        <stp/>
        <stp>BDH|10516913914628162149</stp>
        <tr r="V67" s="21"/>
      </tp>
      <tp t="e">
        <v>#N/A</v>
        <stp/>
        <stp>BDH|16240079765189041853</stp>
        <tr r="E39" s="29"/>
        <tr r="E16" s="29"/>
      </tp>
      <tp t="e">
        <v>#N/A</v>
        <stp/>
        <stp>BDH|15395346436165049140</stp>
        <tr r="E126" s="12"/>
      </tp>
      <tp t="e">
        <v>#N/A</v>
        <stp/>
        <stp>BDH|16915341849317094710</stp>
        <tr r="J88" s="18"/>
      </tp>
      <tp t="e">
        <v>#N/A</v>
        <stp/>
        <stp>BDH|10322368854830024749</stp>
        <tr r="N18" s="13"/>
      </tp>
      <tp t="e">
        <v>#N/A</v>
        <stp/>
        <stp>BDH|14908656359477093102</stp>
        <tr r="J14" s="8"/>
      </tp>
      <tp t="e">
        <v>#N/A</v>
        <stp/>
        <stp>BDH|14949778323358156893</stp>
        <tr r="Q38" s="34"/>
      </tp>
      <tp t="e">
        <v>#N/A</v>
        <stp/>
        <stp>BDH|18439647005867877882</stp>
        <tr r="V84" s="24"/>
      </tp>
      <tp t="e">
        <v>#N/A</v>
        <stp/>
        <stp>BDH|15026295341804845652</stp>
        <tr r="AA28" s="13"/>
      </tp>
      <tp t="e">
        <v>#N/A</v>
        <stp/>
        <stp>BDH|16155437363773781634</stp>
        <tr r="K113" s="18"/>
      </tp>
      <tp t="e">
        <v>#N/A</v>
        <stp/>
        <stp>BDH|10753431505084143158</stp>
        <tr r="U8" s="8"/>
      </tp>
      <tp t="e">
        <v>#N/A</v>
        <stp/>
        <stp>BDH|11278712042943772033</stp>
        <tr r="K36" s="12"/>
      </tp>
      <tp t="e">
        <v>#N/A</v>
        <stp/>
        <stp>BDH|15422767752496308069</stp>
        <tr r="Y125" s="12"/>
      </tp>
      <tp t="e">
        <v>#N/A</v>
        <stp/>
        <stp>BDH|12377721100102661629</stp>
        <tr r="Y9" s="17"/>
      </tp>
      <tp t="e">
        <v>#N/A</v>
        <stp/>
        <stp>BDH|16208729655373555650</stp>
        <tr r="N27" s="17"/>
      </tp>
      <tp t="e">
        <v>#N/A</v>
        <stp/>
        <stp>BDH|15512506792978207001</stp>
        <tr r="K129" s="18"/>
      </tp>
      <tp t="e">
        <v>#N/A</v>
        <stp/>
        <stp>BDH|14124074502824119101</stp>
        <tr r="M196" s="18"/>
      </tp>
      <tp t="e">
        <v>#N/A</v>
        <stp/>
        <stp>BDH|15518522008055993437</stp>
        <tr r="P7" s="21"/>
      </tp>
      <tp t="e">
        <v>#N/A</v>
        <stp/>
        <stp>BDH|13452844989807440580</stp>
        <tr r="C34" s="6"/>
      </tp>
      <tp t="e">
        <v>#N/A</v>
        <stp/>
        <stp>BDH|14154601893019517328</stp>
        <tr r="E33" s="34"/>
      </tp>
      <tp t="e">
        <v>#N/A</v>
        <stp/>
        <stp>BDH|15440383705200480780</stp>
        <tr r="AA37" s="22"/>
      </tp>
      <tp t="e">
        <v>#N/A</v>
        <stp/>
        <stp>BDH|18054261828949205091</stp>
        <tr r="O57" s="12"/>
      </tp>
      <tp t="e">
        <v>#N/A</v>
        <stp/>
        <stp>BDH|12739684000860820521</stp>
        <tr r="E133" s="18"/>
      </tp>
      <tp t="e">
        <v>#N/A</v>
        <stp/>
        <stp>BDH|13446504066380791106</stp>
        <tr r="U125" s="12"/>
      </tp>
      <tp t="e">
        <v>#N/A</v>
        <stp/>
        <stp>BDH|10852007908548791922</stp>
        <tr r="Y50" s="17"/>
      </tp>
      <tp t="e">
        <v>#N/A</v>
        <stp/>
        <stp>BDH|15415046720847763125</stp>
        <tr r="H9" s="34"/>
      </tp>
      <tp t="e">
        <v>#N/A</v>
        <stp/>
        <stp>BDH|10979283845866327122</stp>
        <tr r="F35" s="21"/>
      </tp>
      <tp t="e">
        <v>#N/A</v>
        <stp/>
        <stp>BDH|17007182768167133643</stp>
        <tr r="AA60" s="12"/>
      </tp>
      <tp t="e">
        <v>#N/A</v>
        <stp/>
        <stp>BDH|12620232325556275571</stp>
        <tr r="Z41" s="12"/>
      </tp>
      <tp t="e">
        <v>#N/A</v>
        <stp/>
        <stp>BDH|10464132171535229211</stp>
        <tr r="Z62" s="34"/>
      </tp>
      <tp t="e">
        <v>#N/A</v>
        <stp/>
        <stp>BDH|15429470664597133136</stp>
        <tr r="M26" s="13"/>
      </tp>
      <tp t="e">
        <v>#N/A</v>
        <stp/>
        <stp>BDH|11774130362200054732</stp>
        <tr r="C23" s="9"/>
        <tr r="C23" s="5"/>
      </tp>
      <tp t="e">
        <v>#N/A</v>
        <stp/>
        <stp>BDH|10054071851124233017</stp>
        <tr r="D21" s="9"/>
      </tp>
      <tp t="e">
        <v>#N/A</v>
        <stp/>
        <stp>BDH|13535255915520557157</stp>
        <tr r="L21" s="2"/>
      </tp>
      <tp t="e">
        <v>#N/A</v>
        <stp/>
        <stp>BDH|12118310555696831385</stp>
        <tr r="V16" s="6"/>
      </tp>
      <tp t="e">
        <v>#N/A</v>
        <stp/>
        <stp>BDH|11405073333671641230</stp>
        <tr r="D53" s="17"/>
      </tp>
      <tp t="e">
        <v>#N/A</v>
        <stp/>
        <stp>BDH|16927171565190661084</stp>
        <tr r="Z64" s="21"/>
      </tp>
      <tp t="e">
        <v>#N/A</v>
        <stp/>
        <stp>BDH|10079464955352530233</stp>
        <tr r="F34" s="34"/>
      </tp>
      <tp t="e">
        <v>#N/A</v>
        <stp/>
        <stp>BDH|16314621375332757466</stp>
        <tr r="O80" s="34"/>
      </tp>
      <tp t="e">
        <v>#N/A</v>
        <stp/>
        <stp>BDH|11569058236917646454</stp>
        <tr r="P190" s="18"/>
      </tp>
      <tp t="e">
        <v>#N/A</v>
        <stp/>
        <stp>BDH|12634873894471852386</stp>
        <tr r="Q67" s="34"/>
      </tp>
      <tp t="e">
        <v>#N/A</v>
        <stp/>
        <stp>BDH|16639282432432826410</stp>
        <tr r="U19" s="12"/>
      </tp>
      <tp t="e">
        <v>#N/A</v>
        <stp/>
        <stp>BDH|18209864315865124558</stp>
        <tr r="U9" s="34"/>
      </tp>
      <tp t="e">
        <v>#N/A</v>
        <stp/>
        <stp>BDH|13005316029020493399</stp>
        <tr r="E44" s="12"/>
      </tp>
      <tp t="e">
        <v>#N/A</v>
        <stp/>
        <stp>BDH|12232479907193382445</stp>
        <tr r="S26" s="26"/>
      </tp>
      <tp t="e">
        <v>#N/A</v>
        <stp/>
        <stp>BDH|10369492723385455284</stp>
        <tr r="K48" s="24"/>
      </tp>
      <tp t="e">
        <v>#N/A</v>
        <stp/>
        <stp>BDH|13415290814327966651</stp>
        <tr r="R149" s="18"/>
      </tp>
      <tp t="e">
        <v>#N/A</v>
        <stp/>
        <stp>BDH|11746963088040459187</stp>
        <tr r="K59" s="17"/>
      </tp>
      <tp t="e">
        <v>#N/A</v>
        <stp/>
        <stp>BDH|13577212543174363017</stp>
        <tr r="L20" s="26"/>
      </tp>
      <tp t="e">
        <v>#N/A</v>
        <stp/>
        <stp>BDH|13866009710997855457</stp>
        <tr r="N44" s="21"/>
      </tp>
      <tp t="e">
        <v>#N/A</v>
        <stp/>
        <stp>BDH|15826289166163094337</stp>
        <tr r="O49" s="17"/>
      </tp>
      <tp t="e">
        <v>#N/A</v>
        <stp/>
        <stp>BDH|11096626738415793086</stp>
        <tr r="J27" s="21"/>
      </tp>
      <tp t="e">
        <v>#N/A</v>
        <stp/>
        <stp>BDH|13481551175754339436</stp>
        <tr r="T54" s="12"/>
      </tp>
      <tp t="e">
        <v>#N/A</v>
        <stp/>
        <stp>BDH|15386257202492082409</stp>
        <tr r="R59" s="18"/>
      </tp>
      <tp t="e">
        <v>#N/A</v>
        <stp/>
        <stp>BDH|17668625271402244539</stp>
        <tr r="H36" s="14"/>
      </tp>
      <tp t="e">
        <v>#N/A</v>
        <stp/>
        <stp>BDH|15320084883309882547</stp>
        <tr r="Z25" s="13"/>
      </tp>
      <tp t="e">
        <v>#N/A</v>
        <stp/>
        <stp>BDH|17490945800078179751</stp>
        <tr r="I97" s="18"/>
      </tp>
      <tp t="e">
        <v>#N/A</v>
        <stp/>
        <stp>BDH|14139465223297473449</stp>
        <tr r="O18" s="11"/>
      </tp>
      <tp t="e">
        <v>#N/A</v>
        <stp/>
        <stp>BDH|15005099077132312190</stp>
        <tr r="D10" s="13"/>
      </tp>
      <tp t="e">
        <v>#N/A</v>
        <stp/>
        <stp>BDH|12675181559114786346</stp>
        <tr r="C98" s="18"/>
      </tp>
      <tp t="e">
        <v>#N/A</v>
        <stp/>
        <stp>BDH|15503694645972473493</stp>
        <tr r="D155" s="18"/>
      </tp>
      <tp t="e">
        <v>#N/A</v>
        <stp/>
        <stp>BDH|10959771054802779192</stp>
        <tr r="K40" s="29"/>
        <tr r="K17" s="29"/>
      </tp>
      <tp t="e">
        <v>#N/A</v>
        <stp/>
        <stp>BDH|18199467860139048233</stp>
        <tr r="Z124" s="12"/>
      </tp>
      <tp t="e">
        <v>#N/A</v>
        <stp/>
        <stp>BDH|16443337860992076035</stp>
        <tr r="I12" s="11"/>
      </tp>
      <tp t="e">
        <v>#N/A</v>
        <stp/>
        <stp>BDH|11446650750127740429</stp>
        <tr r="E54" s="24"/>
      </tp>
      <tp t="e">
        <v>#N/A</v>
        <stp/>
        <stp>BDH|12759756723822160442</stp>
        <tr r="M90" s="12"/>
      </tp>
      <tp t="e">
        <v>#N/A</v>
        <stp/>
        <stp>BDH|10812108248835769138</stp>
        <tr r="G16" s="23"/>
      </tp>
      <tp t="e">
        <v>#N/A</v>
        <stp/>
        <stp>BDH|12299782451428985968</stp>
        <tr r="O48" s="13"/>
      </tp>
      <tp t="e">
        <v>#N/A</v>
        <stp/>
        <stp>BDH|10846731163672891245</stp>
        <tr r="Z38" s="34"/>
      </tp>
      <tp t="e">
        <v>#N/A</v>
        <stp/>
        <stp>BDH|15682945472963529918</stp>
        <tr r="AA179" s="18"/>
      </tp>
      <tp t="e">
        <v>#N/A</v>
        <stp/>
        <stp>BDH|10222519032202316566</stp>
        <tr r="M76" s="18"/>
      </tp>
      <tp t="e">
        <v>#N/A</v>
        <stp/>
        <stp>BDH|15888862358079638047</stp>
        <tr r="O26" s="21"/>
      </tp>
      <tp t="e">
        <v>#N/A</v>
        <stp/>
        <stp>BDH|16131302723990128674</stp>
        <tr r="I94" s="17"/>
      </tp>
      <tp t="e">
        <v>#N/A</v>
        <stp/>
        <stp>BDH|15255298027202924613</stp>
        <tr r="E77" s="12"/>
      </tp>
      <tp t="e">
        <v>#N/A</v>
        <stp/>
        <stp>BDH|11032500554936619666</stp>
        <tr r="V39" s="29"/>
        <tr r="V16" s="29"/>
      </tp>
      <tp t="e">
        <v>#N/A</v>
        <stp/>
        <stp>BDH|13332642025807636107</stp>
        <tr r="E42" s="12"/>
      </tp>
      <tp t="e">
        <v>#N/A</v>
        <stp/>
        <stp>BDH|13313304452135094151</stp>
        <tr r="I6" s="20"/>
        <tr r="I116" s="18"/>
      </tp>
      <tp t="e">
        <v>#N/A</v>
        <stp/>
        <stp>BDH|17475373530121648712</stp>
        <tr r="I9" s="13"/>
      </tp>
      <tp t="e">
        <v>#N/A</v>
        <stp/>
        <stp>BDH|10673081788508471167</stp>
        <tr r="Z84" s="12"/>
      </tp>
      <tp t="e">
        <v>#N/A</v>
        <stp/>
        <stp>BDH|17013566752611640766</stp>
        <tr r="N47" s="6"/>
      </tp>
      <tp t="e">
        <v>#N/A</v>
        <stp/>
        <stp>BDH|12807780313514333145</stp>
        <tr r="O76" s="18"/>
      </tp>
      <tp t="e">
        <v>#N/A</v>
        <stp/>
        <stp>BDH|13440720881739288418</stp>
        <tr r="D26" s="14"/>
      </tp>
      <tp t="e">
        <v>#N/A</v>
        <stp/>
        <stp>BDH|12081003231877376767</stp>
        <tr r="H23" s="11"/>
      </tp>
      <tp t="e">
        <v>#N/A</v>
        <stp/>
        <stp>BDH|10655577942019756905</stp>
        <tr r="E14" s="3"/>
        <tr r="C7" s="2"/>
      </tp>
      <tp t="e">
        <v>#N/A</v>
        <stp/>
        <stp>BDH|16606264455159073910</stp>
        <tr r="D209" s="18"/>
      </tp>
      <tp t="e">
        <v>#N/A</v>
        <stp/>
        <stp>BDH|13438916487600134371</stp>
        <tr r="E72" s="17"/>
      </tp>
      <tp t="e">
        <v>#N/A</v>
        <stp/>
        <stp>BDH|17538750343875324048</stp>
        <tr r="T10" s="11"/>
      </tp>
      <tp t="e">
        <v>#N/A</v>
        <stp/>
        <stp>BDH|11436357376344141022</stp>
        <tr r="H67" s="12"/>
      </tp>
      <tp t="e">
        <v>#N/A</v>
        <stp/>
        <stp>BDH|13436051832416676711</stp>
        <tr r="E6" s="19"/>
        <tr r="E37" s="17"/>
        <tr r="E16" s="3"/>
      </tp>
      <tp t="e">
        <v>#N/A</v>
        <stp/>
        <stp>BDH|13145071565513619711</stp>
        <tr r="U106" s="18"/>
      </tp>
      <tp t="e">
        <v>#N/A</v>
        <stp/>
        <stp>BDH|10577795628161215522</stp>
        <tr r="J35" s="22"/>
      </tp>
      <tp t="e">
        <v>#N/A</v>
        <stp/>
        <stp>BDH|17331762313496037620</stp>
        <tr r="J81" s="18"/>
      </tp>
      <tp t="e">
        <v>#N/A</v>
        <stp/>
        <stp>BDH|16712558922284689425</stp>
        <tr r="K31" s="5"/>
      </tp>
      <tp t="e">
        <v>#N/A</v>
        <stp/>
        <stp>BDH|16421704511096719761</stp>
        <tr r="W30" s="29"/>
        <tr r="W8" s="29"/>
      </tp>
      <tp t="e">
        <v>#N/A</v>
        <stp/>
        <stp>BDH|12449527377657569605</stp>
        <tr r="D19" s="23"/>
      </tp>
      <tp t="e">
        <v>#N/A</v>
        <stp/>
        <stp>BDH|17971586949285526297</stp>
        <tr r="V8" s="22"/>
      </tp>
      <tp t="e">
        <v>#N/A</v>
        <stp/>
        <stp>BDH|16180275650892099229</stp>
        <tr r="O14" s="22"/>
      </tp>
      <tp t="e">
        <v>#N/A</v>
        <stp/>
        <stp>BDH|13358435274690411142</stp>
        <tr r="K83" s="18"/>
      </tp>
      <tp t="e">
        <v>#N/A</v>
        <stp/>
        <stp>BDH|12746571344091500351</stp>
        <tr r="G8" s="2"/>
      </tp>
      <tp t="e">
        <v>#N/A</v>
        <stp/>
        <stp>BDH|17818498529036990654</stp>
        <tr r="V25" s="21"/>
      </tp>
      <tp t="e">
        <v>#N/A</v>
        <stp/>
        <stp>BDH|10260225417752478077</stp>
        <tr r="AA20" s="17"/>
      </tp>
      <tp t="e">
        <v>#N/A</v>
        <stp/>
        <stp>BDH|11402336777074078045</stp>
        <tr r="D108" s="18"/>
      </tp>
      <tp t="e">
        <v>#N/A</v>
        <stp/>
        <stp>BDH|13423554245333484049</stp>
        <tr r="Y164" s="18"/>
      </tp>
      <tp t="e">
        <v>#N/A</v>
        <stp/>
        <stp>BDH|16010427654052123430</stp>
        <tr r="F12" s="13"/>
      </tp>
      <tp t="e">
        <v>#N/A</v>
        <stp/>
        <stp>BDH|16437054024682626748</stp>
        <tr r="S167" s="18"/>
      </tp>
      <tp t="e">
        <v>#N/A</v>
        <stp/>
        <stp>BDH|13572278751456788338</stp>
        <tr r="Q35" s="25"/>
      </tp>
      <tp t="e">
        <v>#N/A</v>
        <stp/>
        <stp>BDH|14227658160095907091</stp>
        <tr r="K67" s="18"/>
      </tp>
      <tp t="e">
        <v>#N/A</v>
        <stp/>
        <stp>BDH|16515138890456218937</stp>
        <tr r="D30" s="11"/>
        <tr r="D39" s="10"/>
      </tp>
      <tp t="e">
        <v>#N/A</v>
        <stp/>
        <stp>BDH|13122011136826462756</stp>
        <tr r="D8" s="20"/>
        <tr r="D118" s="18"/>
      </tp>
      <tp t="e">
        <v>#N/A</v>
        <stp/>
        <stp>BDH|18325970582920335822</stp>
        <tr r="G34" s="21"/>
      </tp>
      <tp t="e">
        <v>#N/A</v>
        <stp/>
        <stp>BDH|15518613261425148138</stp>
        <tr r="Y15" s="25"/>
      </tp>
      <tp t="e">
        <v>#N/A</v>
        <stp/>
        <stp>BDH|15728548331460130244</stp>
        <tr r="M60" s="13"/>
      </tp>
      <tp t="e">
        <v>#N/A</v>
        <stp/>
        <stp>BDH|15143900284864343111</stp>
        <tr r="I44" s="22"/>
      </tp>
      <tp t="e">
        <v>#N/A</v>
        <stp/>
        <stp>BDH|13658737848947202682</stp>
        <tr r="T31" s="9"/>
      </tp>
      <tp t="e">
        <v>#N/A</v>
        <stp/>
        <stp>BDH|11077806038843711881</stp>
        <tr r="K42" s="22"/>
      </tp>
      <tp t="e">
        <v>#N/A</v>
        <stp/>
        <stp>BDH|18054948406041443111</stp>
        <tr r="M23" s="17"/>
      </tp>
      <tp t="e">
        <v>#N/A</v>
        <stp/>
        <stp>BDH|12199141086678183259</stp>
        <tr r="P12" s="10"/>
      </tp>
      <tp t="e">
        <v>#N/A</v>
        <stp/>
        <stp>BDH|18078411297150602478</stp>
        <tr r="O36" s="18"/>
      </tp>
      <tp t="e">
        <v>#N/A</v>
        <stp/>
        <stp>BDH|11769408257530143160</stp>
        <tr r="M63" s="34"/>
      </tp>
      <tp t="e">
        <v>#N/A</v>
        <stp/>
        <stp>BDH|15477574242692628708</stp>
        <tr r="P20" s="25"/>
      </tp>
      <tp t="e">
        <v>#N/A</v>
        <stp/>
        <stp>BDH|11183917707038948195</stp>
        <tr r="N53" s="13"/>
      </tp>
      <tp t="e">
        <v>#N/A</v>
        <stp/>
        <stp>BDH|12423849411482008861</stp>
        <tr r="Z8" s="27"/>
      </tp>
      <tp t="e">
        <v>#N/A</v>
        <stp/>
        <stp>BDH|13115044211193688052</stp>
        <tr r="G12" s="14"/>
      </tp>
      <tp t="e">
        <v>#N/A</v>
        <stp/>
        <stp>BDH|16298307411745609027</stp>
        <tr r="N7" s="21"/>
      </tp>
      <tp t="e">
        <v>#N/A</v>
        <stp/>
        <stp>BDH|16375868675200629812</stp>
        <tr r="P37" s="18"/>
      </tp>
      <tp t="e">
        <v>#N/A</v>
        <stp/>
        <stp>BDH|12082717335315599269</stp>
        <tr r="R86" s="18"/>
      </tp>
      <tp t="e">
        <v>#N/A</v>
        <stp/>
        <stp>BDH|17748926335748016478</stp>
        <tr r="O213" s="18"/>
      </tp>
      <tp t="e">
        <v>#N/A</v>
        <stp/>
        <stp>BDH|15596942680056518339</stp>
        <tr r="T72" s="17"/>
      </tp>
      <tp t="e">
        <v>#N/A</v>
        <stp/>
        <stp>BDH|16308063364911116078</stp>
        <tr r="V74" s="34"/>
      </tp>
      <tp t="e">
        <v>#N/A</v>
        <stp/>
        <stp>BDH|12867151918336124535</stp>
        <tr r="W34" s="17"/>
      </tp>
      <tp t="e">
        <v>#N/A</v>
        <stp/>
        <stp>BDH|10783540830005720238</stp>
        <tr r="AA65" s="12"/>
      </tp>
      <tp t="e">
        <v>#N/A</v>
        <stp/>
        <stp>BDH|15393849281553553742</stp>
        <tr r="T16" s="11"/>
      </tp>
      <tp t="e">
        <v>#N/A</v>
        <stp/>
        <stp>BDH|13561774620486079153</stp>
        <tr r="S13" s="11"/>
      </tp>
      <tp t="e">
        <v>#N/A</v>
        <stp/>
        <stp>BDH|13521842992205439603</stp>
        <tr r="J92" s="17"/>
      </tp>
      <tp t="e">
        <v>#N/A</v>
        <stp/>
        <stp>BDH|10379216762254388149</stp>
        <tr r="G91" s="18"/>
      </tp>
      <tp t="e">
        <v>#N/A</v>
        <stp/>
        <stp>BDH|11230107652303201756</stp>
        <tr r="E94" s="24"/>
      </tp>
      <tp t="e">
        <v>#N/A</v>
        <stp/>
        <stp>BDH|16427075031163117747</stp>
        <tr r="W34" s="25"/>
        <tr r="W93" s="17"/>
      </tp>
      <tp t="e">
        <v>#N/A</v>
        <stp/>
        <stp>BDH|17811731000659902856</stp>
        <tr r="J51" s="13"/>
      </tp>
      <tp t="e">
        <v>#N/A</v>
        <stp/>
        <stp>BDH|16449417467595527004</stp>
        <tr r="L39" s="22"/>
      </tp>
      <tp t="e">
        <v>#N/A</v>
        <stp/>
        <stp>BDH|15171196010033841772</stp>
        <tr r="Q65" s="17"/>
      </tp>
      <tp t="e">
        <v>#N/A</v>
        <stp/>
        <stp>BDH|15662913296197777315</stp>
        <tr r="P20" s="26"/>
      </tp>
      <tp t="e">
        <v>#N/A</v>
        <stp/>
        <stp>BDH|17648474356300322737</stp>
        <tr r="K199" s="18"/>
      </tp>
      <tp t="e">
        <v>#N/A</v>
        <stp/>
        <stp>BDH|13864272085758938045</stp>
        <tr r="W88" s="17"/>
      </tp>
      <tp t="e">
        <v>#N/A</v>
        <stp/>
        <stp>BDH|12092309804774438471</stp>
        <tr r="T95" s="12"/>
      </tp>
      <tp t="e">
        <v>#N/A</v>
        <stp/>
        <stp>BDH|13511411523406441245</stp>
        <tr r="T70" s="34"/>
      </tp>
      <tp t="e">
        <v>#N/A</v>
        <stp/>
        <stp>BDH|18212251535069510104</stp>
        <tr r="M125" s="18"/>
      </tp>
      <tp t="e">
        <v>#N/A</v>
        <stp/>
        <stp>BDH|10326606432597035366</stp>
        <tr r="M13" s="2"/>
      </tp>
      <tp t="e">
        <v>#N/A</v>
        <stp/>
        <stp>BDH|17379504621618099958</stp>
        <tr r="I197" s="18"/>
      </tp>
      <tp t="e">
        <v>#N/A</v>
        <stp/>
        <stp>BDH|14664486819125658560</stp>
        <tr r="Y18" s="13"/>
      </tp>
      <tp t="e">
        <v>#N/A</v>
        <stp/>
        <stp>BDH|11612430860396130435</stp>
        <tr r="X21" s="27"/>
      </tp>
      <tp t="e">
        <v>#N/A</v>
        <stp/>
        <stp>BDH|17398522126290252128</stp>
        <tr r="M108" s="18"/>
      </tp>
      <tp t="e">
        <v>#N/A</v>
        <stp/>
        <stp>BDH|16164493977742115688</stp>
        <tr r="AA29" s="21"/>
      </tp>
      <tp t="e">
        <v>#N/A</v>
        <stp/>
        <stp>BDH|12476975587984344614</stp>
        <tr r="G91" s="17"/>
      </tp>
      <tp t="e">
        <v>#N/A</v>
        <stp/>
        <stp>BDH|11410624728395085185</stp>
        <tr r="M22" s="20"/>
      </tp>
      <tp t="e">
        <v>#N/A</v>
        <stp/>
        <stp>BDH|10527547063811101356</stp>
        <tr r="G27" s="24"/>
      </tp>
      <tp t="e">
        <v>#N/A</v>
        <stp/>
        <stp>BDH|14157705221650086067</stp>
        <tr r="R22" s="30"/>
        <tr r="R24" s="23"/>
      </tp>
      <tp t="e">
        <v>#N/A</v>
        <stp/>
        <stp>BDH|13978384626976128501</stp>
        <tr r="M102" s="12"/>
      </tp>
      <tp t="e">
        <v>#N/A</v>
        <stp/>
        <stp>BDH|14152263660789511848</stp>
        <tr r="Z34" s="22"/>
      </tp>
      <tp t="e">
        <v>#N/A</v>
        <stp/>
        <stp>BDH|16749361244326175629</stp>
        <tr r="U71" s="24"/>
      </tp>
      <tp t="e">
        <v>#N/A</v>
        <stp/>
        <stp>BDH|17130577577590597420</stp>
        <tr r="K8" s="22"/>
      </tp>
      <tp t="e">
        <v>#N/A</v>
        <stp/>
        <stp>BDH|14123272396948783619</stp>
        <tr r="C75" s="17"/>
      </tp>
      <tp t="e">
        <v>#N/A</v>
        <stp/>
        <stp>BDH|12834475015753490580</stp>
        <tr r="F31" s="21"/>
      </tp>
      <tp t="e">
        <v>#N/A</v>
        <stp/>
        <stp>BDH|11341359871196163202</stp>
        <tr r="P10" s="11"/>
      </tp>
      <tp t="e">
        <v>#N/A</v>
        <stp/>
        <stp>BDH|14001003427844725366</stp>
        <tr r="O22" s="27"/>
      </tp>
      <tp t="e">
        <v>#N/A</v>
        <stp/>
        <stp>BDH|10625300342943022526</stp>
        <tr r="O8" s="23"/>
      </tp>
      <tp t="e">
        <v>#N/A</v>
        <stp/>
        <stp>BDH|15652172673665591716</stp>
        <tr r="X56" s="18"/>
      </tp>
      <tp t="e">
        <v>#N/A</v>
        <stp/>
        <stp>BDH|15452639227183062366</stp>
        <tr r="I55" s="18"/>
      </tp>
      <tp t="e">
        <v>#N/A</v>
        <stp/>
        <stp>BDH|12062064066701112479</stp>
        <tr r="V36" s="4"/>
      </tp>
      <tp t="e">
        <v>#N/A</v>
        <stp/>
        <stp>BDH|15300077412953751676</stp>
        <tr r="AA21" s="3"/>
      </tp>
      <tp t="e">
        <v>#N/A</v>
        <stp/>
        <stp>BDH|17615934673460196815</stp>
        <tr r="N15" s="12"/>
      </tp>
      <tp t="e">
        <v>#N/A</v>
        <stp/>
        <stp>BDH|11064139205266032703</stp>
        <tr r="D64" s="13"/>
      </tp>
      <tp t="e">
        <v>#N/A</v>
        <stp/>
        <stp>BDH|10628559463125022764</stp>
        <tr r="Q168" s="18"/>
      </tp>
      <tp t="e">
        <v>#N/A</v>
        <stp/>
        <stp>BDH|14743385876461987061</stp>
        <tr r="E144" s="18"/>
      </tp>
      <tp t="e">
        <v>#N/A</v>
        <stp/>
        <stp>BDH|13268770411521099526</stp>
        <tr r="F35" s="13"/>
        <tr r="D28" s="10"/>
      </tp>
      <tp t="e">
        <v>#N/A</v>
        <stp/>
        <stp>BDH|10897629930722940650</stp>
        <tr r="P54" s="13"/>
      </tp>
      <tp t="e">
        <v>#N/A</v>
        <stp/>
        <stp>BDH|10784542590678098556</stp>
        <tr r="W98" s="17"/>
      </tp>
      <tp t="e">
        <v>#N/A</v>
        <stp/>
        <stp>BDH|13610327397280050852</stp>
        <tr r="P18" s="28"/>
        <tr r="P15" s="17"/>
      </tp>
      <tp t="e">
        <v>#N/A</v>
        <stp/>
        <stp>BDH|13500840286860435258</stp>
        <tr r="Y91" s="18"/>
      </tp>
      <tp t="e">
        <v>#N/A</v>
        <stp/>
        <stp>BDH|12897497847753887083</stp>
        <tr r="H8" s="25"/>
        <tr r="E10" s="5"/>
        <tr r="F9" s="2"/>
      </tp>
      <tp t="e">
        <v>#N/A</v>
        <stp/>
        <stp>BDH|12850597566502662273</stp>
        <tr r="Z50" s="18"/>
      </tp>
      <tp t="e">
        <v>#N/A</v>
        <stp/>
        <stp>BDH|11591025268855120384</stp>
        <tr r="J165" s="18"/>
      </tp>
      <tp t="e">
        <v>#N/A</v>
        <stp/>
        <stp>BDH|16421322851493936286</stp>
        <tr r="V132" s="18"/>
      </tp>
      <tp t="e">
        <v>#N/A</v>
        <stp/>
        <stp>BDH|14341967272668655371</stp>
        <tr r="E17" s="30"/>
      </tp>
      <tp t="e">
        <v>#N/A</v>
        <stp/>
        <stp>BDH|14707340964709812996</stp>
        <tr r="T21" s="5"/>
      </tp>
      <tp t="e">
        <v>#N/A</v>
        <stp/>
        <stp>BDH|13209429525861355504</stp>
        <tr r="L44" s="34"/>
      </tp>
      <tp t="e">
        <v>#N/A</v>
        <stp/>
        <stp>BDH|13368446181047443944</stp>
        <tr r="M60" s="17"/>
      </tp>
      <tp t="e">
        <v>#N/A</v>
        <stp/>
        <stp>BDH|15036035423715399358</stp>
        <tr r="U63" s="18"/>
      </tp>
      <tp t="e">
        <v>#N/A</v>
        <stp/>
        <stp>BDH|12502934747738052676</stp>
        <tr r="P71" s="34"/>
      </tp>
      <tp t="e">
        <v>#N/A</v>
        <stp/>
        <stp>BDH|13859155067192878740</stp>
        <tr r="D10" s="26"/>
      </tp>
      <tp t="e">
        <v>#N/A</v>
        <stp/>
        <stp>BDH|13984280924067673559</stp>
        <tr r="Y28" s="22"/>
      </tp>
      <tp t="e">
        <v>#N/A</v>
        <stp/>
        <stp>BDH|11315868789317858729</stp>
        <tr r="R32" s="13"/>
        <tr r="P24" s="11"/>
        <tr r="P33" s="10"/>
        <tr r="P45" s="4"/>
      </tp>
      <tp t="e">
        <v>#N/A</v>
        <stp/>
        <stp>BDH|18142987921561819361</stp>
        <tr r="D6" s="6"/>
      </tp>
      <tp t="e">
        <v>#N/A</v>
        <stp/>
        <stp>BDH|16313234415025152126</stp>
        <tr r="R120" s="12"/>
      </tp>
      <tp t="e">
        <v>#N/A</v>
        <stp/>
        <stp>BDH|15124818891983455630</stp>
        <tr r="H73" s="24"/>
      </tp>
      <tp t="e">
        <v>#N/A</v>
        <stp/>
        <stp>BDH|15384479828927948539</stp>
        <tr r="V128" s="18"/>
      </tp>
      <tp t="e">
        <v>#N/A</v>
        <stp/>
        <stp>BDH|11464622141643820195</stp>
        <tr r="AA38" s="12"/>
      </tp>
      <tp t="e">
        <v>#N/A</v>
        <stp/>
        <stp>BDH|13340057030480748176</stp>
        <tr r="T84" s="18"/>
      </tp>
      <tp t="e">
        <v>#N/A</v>
        <stp/>
        <stp>BDH|16715614878374938211</stp>
        <tr r="D61" s="21"/>
      </tp>
      <tp t="e">
        <v>#N/A</v>
        <stp/>
        <stp>BDH|14889563439260756397</stp>
        <tr r="O12" s="10"/>
      </tp>
      <tp t="e">
        <v>#N/A</v>
        <stp/>
        <stp>BDH|11202682754091380241</stp>
        <tr r="L126" s="12"/>
      </tp>
      <tp t="e">
        <v>#N/A</v>
        <stp/>
        <stp>BDH|10830758842022485028</stp>
        <tr r="L13" s="7"/>
      </tp>
      <tp t="e">
        <v>#N/A</v>
        <stp/>
        <stp>BDH|12216091836597160759</stp>
        <tr r="J36" s="17"/>
      </tp>
      <tp t="e">
        <v>#N/A</v>
        <stp/>
        <stp>BDH|13197707606727965275</stp>
        <tr r="Z111" s="18"/>
      </tp>
      <tp t="e">
        <v>#N/A</v>
        <stp/>
        <stp>BDH|15217009799015545874</stp>
        <tr r="F33" s="12"/>
      </tp>
      <tp t="e">
        <v>#N/A</v>
        <stp/>
        <stp>BDH|12432077619270685256</stp>
        <tr r="R17" s="9"/>
      </tp>
      <tp t="e">
        <v>#N/A</v>
        <stp/>
        <stp>BDH|17714339248727342663</stp>
        <tr r="V17" s="20"/>
      </tp>
      <tp t="e">
        <v>#N/A</v>
        <stp/>
        <stp>BDH|15186786713860787246</stp>
        <tr r="S20" s="28"/>
        <tr r="S17" s="17"/>
      </tp>
      <tp t="e">
        <v>#N/A</v>
        <stp/>
        <stp>BDH|17532859589830096603</stp>
        <tr r="O19" s="6"/>
      </tp>
      <tp t="e">
        <v>#N/A</v>
        <stp/>
        <stp>BDH|12302543997937032896</stp>
        <tr r="V56" s="24"/>
      </tp>
      <tp t="e">
        <v>#N/A</v>
        <stp/>
        <stp>BDH|12061732061467994526</stp>
        <tr r="F105" s="12"/>
      </tp>
      <tp t="e">
        <v>#N/A</v>
        <stp/>
        <stp>BDH|11774239669676779231</stp>
        <tr r="K29" s="4"/>
      </tp>
      <tp t="e">
        <v>#N/A</v>
        <stp/>
        <stp>BDH|12872590425315829158</stp>
        <tr r="H42" s="6"/>
      </tp>
      <tp t="e">
        <v>#N/A</v>
        <stp/>
        <stp>BDH|11919387405514979749</stp>
        <tr r="AA12" s="27"/>
        <tr r="AA26" s="25"/>
      </tp>
      <tp t="e">
        <v>#N/A</v>
        <stp/>
        <stp>BDH|13397055779275002063</stp>
        <tr r="P29" s="17"/>
      </tp>
      <tp t="e">
        <v>#N/A</v>
        <stp/>
        <stp>BDH|18285799809798296692</stp>
        <tr r="C41" s="17"/>
      </tp>
      <tp t="e">
        <v>#N/A</v>
        <stp/>
        <stp>BDH|13864831336429076048</stp>
        <tr r="D92" s="24"/>
      </tp>
      <tp t="e">
        <v>#N/A</v>
        <stp/>
        <stp>BDH|17970989655338879259</stp>
        <tr r="D34" s="25"/>
        <tr r="D93" s="17"/>
      </tp>
      <tp t="e">
        <v>#N/A</v>
        <stp/>
        <stp>BDH|13949672515142316715</stp>
        <tr r="D18" s="17"/>
      </tp>
      <tp t="e">
        <v>#N/A</v>
        <stp/>
        <stp>BDH|15085885777082473929</stp>
        <tr r="U186" s="18"/>
      </tp>
      <tp t="e">
        <v>#N/A</v>
        <stp/>
        <stp>BDH|18432973039464775740</stp>
        <tr r="R11" s="10"/>
        <tr r="R14" s="2"/>
      </tp>
      <tp t="e">
        <v>#N/A</v>
        <stp/>
        <stp>BDH|17166464128195102571</stp>
        <tr r="C14" s="24"/>
      </tp>
      <tp t="e">
        <v>#N/A</v>
        <stp/>
        <stp>BDH|10353906248079002521</stp>
        <tr r="O10" s="14"/>
      </tp>
      <tp t="e">
        <v>#N/A</v>
        <stp/>
        <stp>BDH|12042208182529899031</stp>
        <tr r="S35" s="26"/>
      </tp>
      <tp t="e">
        <v>#N/A</v>
        <stp/>
        <stp>BDH|15298798541740566767</stp>
        <tr r="D12" s="17"/>
      </tp>
      <tp t="e">
        <v>#N/A</v>
        <stp/>
        <stp>BDH|11909515047108710912</stp>
        <tr r="U169" s="18"/>
      </tp>
      <tp t="e">
        <v>#N/A</v>
        <stp/>
        <stp>BDH|15668189971211127378</stp>
        <tr r="E28" s="17"/>
      </tp>
      <tp t="e">
        <v>#N/A</v>
        <stp/>
        <stp>BDH|11197706639853028713</stp>
        <tr r="Q16" s="22"/>
      </tp>
      <tp t="e">
        <v>#N/A</v>
        <stp/>
        <stp>BDH|16774481671000368446</stp>
        <tr r="K14" s="4"/>
      </tp>
      <tp t="e">
        <v>#N/A</v>
        <stp/>
        <stp>BDH|18214381189546310492</stp>
        <tr r="Y25" s="29"/>
        <tr r="Y19" s="29"/>
        <tr r="Y10" s="29"/>
        <tr r="W6" s="9"/>
        <tr r="Y12" s="8"/>
        <tr r="W6" s="5"/>
        <tr r="X6" s="2"/>
      </tp>
      <tp t="e">
        <v>#N/A</v>
        <stp/>
        <stp>BDH|16047346898279361463</stp>
        <tr r="P50" s="24"/>
      </tp>
      <tp t="e">
        <v>#N/A</v>
        <stp/>
        <stp>BDH|17766076174674578584</stp>
        <tr r="Z182" s="18"/>
      </tp>
      <tp t="e">
        <v>#N/A</v>
        <stp/>
        <stp>BDH|15863491709779008915</stp>
        <tr r="P41" s="22"/>
      </tp>
      <tp t="e">
        <v>#N/A</v>
        <stp/>
        <stp>BDH|15832302755615041746</stp>
        <tr r="S10" s="13"/>
      </tp>
      <tp t="e">
        <v>#N/A</v>
        <stp/>
        <stp>BDH|15806927275902432828</stp>
        <tr r="K16" s="24"/>
      </tp>
      <tp t="e">
        <v>#N/A</v>
        <stp/>
        <stp>BDH|16230845981194763394</stp>
        <tr r="AA19" s="13"/>
        <tr r="Y62" s="10"/>
        <tr r="Y32" s="4"/>
        <tr r="Y16" s="2"/>
      </tp>
      <tp t="e">
        <v>#N/A</v>
        <stp/>
        <stp>BDH|10828304135512255362</stp>
        <tr r="F11" s="18"/>
      </tp>
      <tp t="e">
        <v>#N/A</v>
        <stp/>
        <stp>BDH|17998759757761450566</stp>
        <tr r="W29" s="29"/>
        <tr r="W7" s="29"/>
      </tp>
      <tp t="e">
        <v>#N/A</v>
        <stp/>
        <stp>BDH|13972836423381366930</stp>
        <tr r="F11" s="10"/>
        <tr r="F14" s="2"/>
      </tp>
      <tp t="e">
        <v>#N/A</v>
        <stp/>
        <stp>BDH|16493817768519473008</stp>
        <tr r="N27" s="34"/>
      </tp>
      <tp t="e">
        <v>#N/A</v>
        <stp/>
        <stp>BDH|14890079047701401053</stp>
        <tr r="T73" s="12"/>
      </tp>
      <tp t="e">
        <v>#N/A</v>
        <stp/>
        <stp>BDH|11134878618248545129</stp>
        <tr r="Y108" s="12"/>
      </tp>
      <tp t="e">
        <v>#N/A</v>
        <stp/>
        <stp>BDH|11065380623873701245</stp>
        <tr r="S7" s="24"/>
      </tp>
      <tp t="e">
        <v>#N/A</v>
        <stp/>
        <stp>BDH|15821160945404287514</stp>
        <tr r="E23" s="6"/>
      </tp>
      <tp t="e">
        <v>#N/A</v>
        <stp/>
        <stp>BDH|17981945784875577248</stp>
        <tr r="L7" s="28"/>
      </tp>
      <tp t="e">
        <v>#N/A</v>
        <stp/>
        <stp>BDH|14848173756428484952</stp>
        <tr r="G32" s="6"/>
      </tp>
      <tp t="e">
        <v>#N/A</v>
        <stp/>
        <stp>BDH|13880033380583164920</stp>
        <tr r="T15" s="12"/>
      </tp>
      <tp t="e">
        <v>#N/A</v>
        <stp/>
        <stp>BDH|18239098324222287959</stp>
        <tr r="D19" s="12"/>
      </tp>
      <tp t="e">
        <v>#N/A</v>
        <stp/>
        <stp>BDH|13219441662858964856</stp>
        <tr r="H43" s="34"/>
      </tp>
      <tp t="e">
        <v>#N/A</v>
        <stp/>
        <stp>BDH|13123860577038997513</stp>
        <tr r="V25" s="5"/>
      </tp>
      <tp t="e">
        <v>#N/A</v>
        <stp/>
        <stp>BDH|11521274939306325708</stp>
        <tr r="D35" s="22"/>
      </tp>
      <tp t="e">
        <v>#N/A</v>
        <stp/>
        <stp>BDH|13122787670491790367</stp>
        <tr r="S65" s="21"/>
        <tr r="Q23" s="7"/>
      </tp>
      <tp t="e">
        <v>#N/A</v>
        <stp/>
        <stp>BDH|15857668990109451226</stp>
        <tr r="F19" s="13"/>
        <tr r="D62" s="10"/>
        <tr r="D32" s="4"/>
        <tr r="D16" s="2"/>
      </tp>
      <tp t="e">
        <v>#N/A</v>
        <stp/>
        <stp>BDH|17883012371325663460</stp>
        <tr r="F6" s="15"/>
        <tr r="F6" s="10"/>
        <tr r="F11" s="4"/>
        <tr r="F12" s="2"/>
      </tp>
      <tp t="e">
        <v>#N/A</v>
        <stp/>
        <stp>BDH|13580860828921378909</stp>
        <tr r="U25" s="9"/>
      </tp>
      <tp t="e">
        <v>#N/A</v>
        <stp/>
        <stp>BDH|17731685535287636449</stp>
        <tr r="C214" s="18"/>
      </tp>
      <tp t="e">
        <v>#N/A</v>
        <stp/>
        <stp>BDH|14496462722090159390</stp>
        <tr r="J34" s="34"/>
      </tp>
      <tp t="e">
        <v>#N/A</v>
        <stp/>
        <stp>BDH|15203887783905475157</stp>
        <tr r="N19" s="22"/>
      </tp>
      <tp t="e">
        <v>#N/A</v>
        <stp/>
        <stp>BDH|10203239077096658282</stp>
        <tr r="X48" s="18"/>
      </tp>
      <tp t="e">
        <v>#N/A</v>
        <stp/>
        <stp>BDH|16106125673392821309</stp>
        <tr r="Q8" s="13"/>
      </tp>
      <tp t="e">
        <v>#N/A</v>
        <stp/>
        <stp>BDH|12472235058407627318</stp>
        <tr r="W74" s="18"/>
      </tp>
      <tp t="e">
        <v>#N/A</v>
        <stp/>
        <stp>BDH|15570966189864525177</stp>
        <tr r="N17" s="6"/>
      </tp>
      <tp t="e">
        <v>#N/A</v>
        <stp/>
        <stp>BDH|11976723704021149663</stp>
        <tr r="X64" s="34"/>
      </tp>
      <tp t="e">
        <v>#N/A</v>
        <stp/>
        <stp>BDH|13172534152893110199</stp>
        <tr r="V20" s="9"/>
      </tp>
      <tp t="e">
        <v>#N/A</v>
        <stp/>
        <stp>BDH|10808625596197152952</stp>
        <tr r="W14" s="27"/>
        <tr r="W28" s="25"/>
      </tp>
      <tp t="e">
        <v>#N/A</v>
        <stp/>
        <stp>BDH|13503264136627552484</stp>
        <tr r="D92" s="12"/>
      </tp>
      <tp t="e">
        <v>#N/A</v>
        <stp/>
        <stp>BDH|14264984884282614603</stp>
        <tr r="K107" s="12"/>
      </tp>
      <tp t="e">
        <v>#N/A</v>
        <stp/>
        <stp>BDH|10550320717694913713</stp>
        <tr r="N173" s="18"/>
      </tp>
      <tp t="e">
        <v>#N/A</v>
        <stp/>
        <stp>BDH|18397356313833400896</stp>
        <tr r="X100" s="18"/>
      </tp>
      <tp t="e">
        <v>#N/A</v>
        <stp/>
        <stp>BDH|18167433097672502682</stp>
        <tr r="Y204" s="18"/>
      </tp>
      <tp t="e">
        <v>#N/A</v>
        <stp/>
        <stp>BDH|13737296311771266054</stp>
        <tr r="I23" s="13"/>
      </tp>
      <tp t="e">
        <v>#N/A</v>
        <stp/>
        <stp>BDH|16677286143017607631</stp>
        <tr r="L61" s="13"/>
        <tr r="J48" s="11"/>
        <tr r="J57" s="10"/>
        <tr r="J18" s="7"/>
      </tp>
      <tp t="e">
        <v>#N/A</v>
        <stp/>
        <stp>BDH|16213696883070250925</stp>
        <tr r="E65" s="21"/>
        <tr r="C23" s="7"/>
      </tp>
      <tp t="e">
        <v>#N/A</v>
        <stp/>
        <stp>BDH|11100643466248259893</stp>
        <tr r="I34" s="11"/>
        <tr r="I43" s="10"/>
      </tp>
      <tp t="e">
        <v>#N/A</v>
        <stp/>
        <stp>BDH|10611243678555073127</stp>
        <tr r="S34" s="13"/>
        <tr r="Q27" s="10"/>
      </tp>
      <tp t="e">
        <v>#N/A</v>
        <stp/>
        <stp>BDH|12990817661284133909</stp>
        <tr r="D23" s="22"/>
      </tp>
      <tp t="e">
        <v>#N/A</v>
        <stp/>
        <stp>BDH|12566526282326529887</stp>
        <tr r="V92" s="24"/>
      </tp>
      <tp t="e">
        <v>#N/A</v>
        <stp/>
        <stp>BDH|14578258461663995206</stp>
        <tr r="J41" s="29"/>
        <tr r="J18" s="29"/>
      </tp>
      <tp t="e">
        <v>#N/A</v>
        <stp/>
        <stp>BDH|15519158280945167890</stp>
        <tr r="M15" s="30"/>
      </tp>
      <tp t="e">
        <v>#N/A</v>
        <stp/>
        <stp>BDH|15680248456050476381</stp>
        <tr r="Z75" s="34"/>
      </tp>
      <tp t="e">
        <v>#N/A</v>
        <stp/>
        <stp>BDH|15533661334435995469</stp>
        <tr r="P37" s="29"/>
        <tr r="P23" s="29"/>
        <tr r="P14" s="29"/>
      </tp>
      <tp t="e">
        <v>#N/A</v>
        <stp/>
        <stp>BDH|16858102600051362735</stp>
        <tr r="P28" s="4"/>
      </tp>
      <tp t="e">
        <v>#N/A</v>
        <stp/>
        <stp>BDH|12658277315766527693</stp>
        <tr r="Z11" s="24"/>
      </tp>
      <tp t="e">
        <v>#N/A</v>
        <stp/>
        <stp>BDH|12691508279450411130</stp>
        <tr r="G16" s="20"/>
      </tp>
      <tp t="e">
        <v>#N/A</v>
        <stp/>
        <stp>BDH|11220063308359725934</stp>
        <tr r="N40" s="13"/>
        <tr r="L24" s="10"/>
        <tr r="L46" s="4"/>
      </tp>
      <tp t="e">
        <v>#N/A</v>
        <stp/>
        <stp>BDH|13869078006455641745</stp>
        <tr r="K103" s="12"/>
      </tp>
      <tp t="e">
        <v>#N/A</v>
        <stp/>
        <stp>BDH|17407082605986012021</stp>
        <tr r="M16" s="10"/>
      </tp>
      <tp t="e">
        <v>#N/A</v>
        <stp/>
        <stp>BDH|16569389856533165217</stp>
        <tr r="J26" s="27"/>
      </tp>
      <tp t="e">
        <v>#N/A</v>
        <stp/>
        <stp>BDH|12655558320235065182</stp>
        <tr r="Y51" s="13"/>
      </tp>
      <tp t="e">
        <v>#N/A</v>
        <stp/>
        <stp>BDH|11349485962090626249</stp>
        <tr r="F7" s="34"/>
      </tp>
      <tp t="e">
        <v>#N/A</v>
        <stp/>
        <stp>BDH|15928108239590366683</stp>
        <tr r="O82" s="18"/>
      </tp>
      <tp t="e">
        <v>#N/A</v>
        <stp/>
        <stp>BDH|16972735950890842594</stp>
        <tr r="AA91" s="18"/>
      </tp>
      <tp t="e">
        <v>#N/A</v>
        <stp/>
        <stp>BDH|17394480357904087372</stp>
        <tr r="M17" s="22"/>
      </tp>
      <tp t="e">
        <v>#N/A</v>
        <stp/>
        <stp>BDH|10810088349060502570</stp>
        <tr r="T120" s="12"/>
      </tp>
      <tp t="e">
        <v>#N/A</v>
        <stp/>
        <stp>BDH|14667349907792770496</stp>
        <tr r="Q79" s="24"/>
      </tp>
      <tp t="e">
        <v>#N/A</v>
        <stp/>
        <stp>BDH|15942837882731799544</stp>
        <tr r="H30" s="14"/>
      </tp>
      <tp t="e">
        <v>#N/A</v>
        <stp/>
        <stp>BDH|14318480213584681455</stp>
        <tr r="W40" s="13"/>
        <tr r="U24" s="10"/>
        <tr r="U46" s="4"/>
      </tp>
      <tp t="e">
        <v>#N/A</v>
        <stp/>
        <stp>BDH|10922531352057481674</stp>
        <tr r="V206" s="18"/>
      </tp>
      <tp t="e">
        <v>#N/A</v>
        <stp/>
        <stp>BDH|11988036618859184880</stp>
        <tr r="C67" s="21"/>
      </tp>
      <tp t="e">
        <v>#N/A</v>
        <stp/>
        <stp>BDH|16958639160514602377</stp>
        <tr r="F137" s="18"/>
      </tp>
      <tp t="e">
        <v>#N/A</v>
        <stp/>
        <stp>BDH|16742104669440585002</stp>
        <tr r="P128" s="18"/>
      </tp>
      <tp t="e">
        <v>#N/A</v>
        <stp/>
        <stp>BDH|17299578631807939764</stp>
        <tr r="U42" s="22"/>
      </tp>
      <tp t="e">
        <v>#N/A</v>
        <stp/>
        <stp>BDH|12832314512878902991</stp>
        <tr r="E25" s="10"/>
      </tp>
      <tp t="e">
        <v>#N/A</v>
        <stp/>
        <stp>BDH|14967571128940467295</stp>
        <tr r="P145" s="18"/>
      </tp>
      <tp t="e">
        <v>#N/A</v>
        <stp/>
        <stp>BDH|14810584100076801638</stp>
        <tr r="K65" s="13"/>
      </tp>
      <tp t="e">
        <v>#N/A</v>
        <stp/>
        <stp>BDH|14772057442519999820</stp>
        <tr r="H77" s="17"/>
      </tp>
      <tp t="e">
        <v>#N/A</v>
        <stp/>
        <stp>BDH|16792452209612156114</stp>
        <tr r="I18" s="26"/>
      </tp>
      <tp t="e">
        <v>#N/A</v>
        <stp/>
        <stp>BDH|15192458316328175989</stp>
        <tr r="D31" s="5"/>
      </tp>
      <tp t="e">
        <v>#N/A</v>
        <stp/>
        <stp>BDH|12964150715982295105</stp>
        <tr r="X13" s="25"/>
      </tp>
      <tp t="e">
        <v>#N/A</v>
        <stp/>
        <stp>BDH|12261195853191309601</stp>
        <tr r="G7" s="10"/>
      </tp>
      <tp t="e">
        <v>#N/A</v>
        <stp/>
        <stp>BDH|10673485016561445570</stp>
        <tr r="Y35" s="13"/>
        <tr r="W28" s="10"/>
      </tp>
      <tp t="e">
        <v>#N/A</v>
        <stp/>
        <stp>BDH|12933474250210520204</stp>
        <tr r="D192" s="18"/>
      </tp>
      <tp t="e">
        <v>#N/A</v>
        <stp/>
        <stp>BDH|12261596651134326720</stp>
        <tr r="N87" s="17"/>
      </tp>
      <tp t="e">
        <v>#N/A</v>
        <stp/>
        <stp>BDH|14174585827681411317</stp>
        <tr r="S38" s="24"/>
      </tp>
      <tp t="e">
        <v>#N/A</v>
        <stp/>
        <stp>BDH|16812506940783465574</stp>
        <tr r="N11" s="24"/>
      </tp>
      <tp t="e">
        <v>#N/A</v>
        <stp/>
        <stp>BDH|10881003959987873327</stp>
        <tr r="I11" s="11"/>
      </tp>
      <tp t="e">
        <v>#N/A</v>
        <stp/>
        <stp>BDH|12120396742785026110</stp>
        <tr r="I18" s="24"/>
      </tp>
      <tp t="e">
        <v>#N/A</v>
        <stp/>
        <stp>BDH|15267996384840485501</stp>
        <tr r="N32" s="13"/>
        <tr r="L24" s="11"/>
        <tr r="L33" s="10"/>
        <tr r="L45" s="4"/>
      </tp>
      <tp t="e">
        <v>#N/A</v>
        <stp/>
        <stp>BDH|14717091783334274945</stp>
        <tr r="Q69" s="12"/>
      </tp>
      <tp t="e">
        <v>#N/A</v>
        <stp/>
        <stp>BDH|11997842245729351508</stp>
        <tr r="N52" s="13"/>
      </tp>
      <tp t="e">
        <v>#N/A</v>
        <stp/>
        <stp>BDH|13801651682794268861</stp>
        <tr r="J17" s="20"/>
      </tp>
      <tp t="e">
        <v>#N/A</v>
        <stp/>
        <stp>BDH|13956216097400520914</stp>
        <tr r="N61" s="21"/>
      </tp>
      <tp t="e">
        <v>#N/A</v>
        <stp/>
        <stp>BDH|17471045050821833238</stp>
        <tr r="X16" s="25"/>
      </tp>
      <tp t="e">
        <v>#N/A</v>
        <stp/>
        <stp>BDH|15554674422314863435</stp>
        <tr r="W7" s="21"/>
      </tp>
      <tp t="e">
        <v>#N/A</v>
        <stp/>
        <stp>BDH|16367408379774508049</stp>
        <tr r="H70" s="12"/>
      </tp>
      <tp t="e">
        <v>#N/A</v>
        <stp/>
        <stp>BDH|18245581428747060994</stp>
        <tr r="S59" s="34"/>
      </tp>
      <tp t="e">
        <v>#N/A</v>
        <stp/>
        <stp>BDH|17270104759025302733</stp>
        <tr r="Z17" s="12"/>
      </tp>
      <tp t="e">
        <v>#N/A</v>
        <stp/>
        <stp>BDH|14473134559408225975</stp>
        <tr r="U41" s="29"/>
        <tr r="U18" s="29"/>
      </tp>
      <tp t="e">
        <v>#N/A</v>
        <stp/>
        <stp>BDH|13819778302827356253</stp>
        <tr r="D70" s="12"/>
      </tp>
      <tp t="e">
        <v>#N/A</v>
        <stp/>
        <stp>BDH|14304090992714372807</stp>
        <tr r="AA74" s="34"/>
      </tp>
      <tp t="e">
        <v>#N/A</v>
        <stp/>
        <stp>BDH|15950553957053184719</stp>
        <tr r="K48" s="21"/>
      </tp>
      <tp t="e">
        <v>#N/A</v>
        <stp/>
        <stp>BDH|10475140273931889603</stp>
        <tr r="O44" s="12"/>
      </tp>
      <tp t="e">
        <v>#N/A</v>
        <stp/>
        <stp>BDH|14452146052852092397</stp>
        <tr r="Y42" s="24"/>
      </tp>
      <tp t="e">
        <v>#N/A</v>
        <stp/>
        <stp>BDH|10132298461971341413</stp>
        <tr r="O18" s="20"/>
      </tp>
      <tp t="e">
        <v>#N/A</v>
        <stp/>
        <stp>BDH|12755174852167078092</stp>
        <tr r="X93" s="18"/>
      </tp>
      <tp t="e">
        <v>#N/A</v>
        <stp/>
        <stp>BDH|17138814598473007437</stp>
        <tr r="S36" s="12"/>
      </tp>
      <tp t="e">
        <v>#N/A</v>
        <stp/>
        <stp>BDH|17720881306087257902</stp>
        <tr r="F37" s="6"/>
      </tp>
      <tp t="e">
        <v>#N/A</v>
        <stp/>
        <stp>BDH|10143173828741417315</stp>
        <tr r="C72" s="12"/>
      </tp>
      <tp t="e">
        <v>#N/A</v>
        <stp/>
        <stp>BDH|12015199377862128746</stp>
        <tr r="G50" s="17"/>
      </tp>
      <tp t="e">
        <v>#N/A</v>
        <stp/>
        <stp>BDH|10146881690914093421</stp>
        <tr r="AA112" s="12"/>
      </tp>
      <tp t="e">
        <v>#N/A</v>
        <stp/>
        <stp>BDH|13953302170422514469</stp>
        <tr r="AA9" s="18"/>
      </tp>
      <tp t="e">
        <v>#N/A</v>
        <stp/>
        <stp>BDH|11313637058832006125</stp>
        <tr r="S15" s="5"/>
      </tp>
      <tp t="e">
        <v>#N/A</v>
        <stp/>
        <stp>BDH|13936371127967491479</stp>
        <tr r="D19" s="9"/>
      </tp>
      <tp t="e">
        <v>#N/A</v>
        <stp/>
        <stp>BDH|17421570328232623379</stp>
        <tr r="J78" s="34"/>
      </tp>
      <tp t="e">
        <v>#N/A</v>
        <stp/>
        <stp>BDH|15541796349573699497</stp>
        <tr r="Y59" s="18"/>
      </tp>
      <tp t="e">
        <v>#N/A</v>
        <stp/>
        <stp>BDH|14130519406349494989</stp>
        <tr r="I37" s="18"/>
      </tp>
      <tp t="e">
        <v>#N/A</v>
        <stp/>
        <stp>BDH|15757506303805872465</stp>
        <tr r="V30" s="14"/>
      </tp>
      <tp t="e">
        <v>#N/A</v>
        <stp/>
        <stp>BDH|15375758977461927521</stp>
        <tr r="C170" s="18"/>
      </tp>
      <tp t="e">
        <v>#N/A</v>
        <stp/>
        <stp>BDH|11323799942337622442</stp>
        <tr r="S173" s="18"/>
      </tp>
      <tp t="e">
        <v>#N/A</v>
        <stp/>
        <stp>BDH|13471759105825996077</stp>
        <tr r="M49" s="4"/>
      </tp>
      <tp t="e">
        <v>#N/A</v>
        <stp/>
        <stp>BDH|15997411934884498726</stp>
        <tr r="V153" s="18"/>
      </tp>
      <tp t="e">
        <v>#N/A</v>
        <stp/>
        <stp>BDH|14655029776566911417</stp>
        <tr r="K12" s="20"/>
        <tr r="K121" s="18"/>
      </tp>
      <tp t="e">
        <v>#N/A</v>
        <stp/>
        <stp>BDH|14276862992697481384</stp>
        <tr r="O26" s="6"/>
      </tp>
      <tp t="e">
        <v>#N/A</v>
        <stp/>
        <stp>BDH|13681486991766671930</stp>
        <tr r="L37" s="22"/>
      </tp>
      <tp t="e">
        <v>#N/A</v>
        <stp/>
        <stp>BDH|12917635846182033368</stp>
        <tr r="Q34" s="25"/>
        <tr r="Q93" s="17"/>
      </tp>
      <tp t="e">
        <v>#N/A</v>
        <stp/>
        <stp>BDH|15428482417344270539</stp>
        <tr r="Q28" s="13"/>
      </tp>
      <tp t="e">
        <v>#N/A</v>
        <stp/>
        <stp>BDH|16567625729616304578</stp>
        <tr r="Q31" s="5"/>
      </tp>
      <tp t="e">
        <v>#N/A</v>
        <stp/>
        <stp>BDH|14626409836341949331</stp>
        <tr r="U17" s="24"/>
      </tp>
      <tp t="e">
        <v>#N/A</v>
        <stp/>
        <stp>BDH|14397151498664239961</stp>
        <tr r="K83" s="24"/>
      </tp>
      <tp t="e">
        <v>#N/A</v>
        <stp/>
        <stp>BDH|13300269738454480739</stp>
        <tr r="M70" s="13"/>
        <tr r="K49" s="11"/>
        <tr r="K58" s="10"/>
        <tr r="K19" s="7"/>
        <tr r="K18" s="4"/>
        <tr r="K20" s="2"/>
      </tp>
      <tp t="e">
        <v>#N/A</v>
        <stp/>
        <stp>BDH|17798067202367072199</stp>
        <tr r="Q15" s="14"/>
      </tp>
      <tp t="e">
        <v>#N/A</v>
        <stp/>
        <stp>BDH|17128284333004262323</stp>
        <tr r="H136" s="18"/>
      </tp>
      <tp t="e">
        <v>#N/A</v>
        <stp/>
        <stp>BDH|14135513636707417485</stp>
        <tr r="V57" s="24"/>
      </tp>
      <tp t="e">
        <v>#N/A</v>
        <stp/>
        <stp>BDH|17822185388037456861</stp>
        <tr r="S73" s="24"/>
      </tp>
      <tp t="e">
        <v>#N/A</v>
        <stp/>
        <stp>BDH|15998126600643191602</stp>
        <tr r="T45" s="13"/>
        <tr r="R29" s="11"/>
        <tr r="R38" s="10"/>
      </tp>
      <tp t="e">
        <v>#N/A</v>
        <stp/>
        <stp>BDH|17450983305057571863</stp>
        <tr r="P56" s="18"/>
      </tp>
      <tp t="e">
        <v>#N/A</v>
        <stp/>
        <stp>BDH|15998716301396064538</stp>
        <tr r="W13" s="9"/>
      </tp>
      <tp t="e">
        <v>#N/A</v>
        <stp/>
        <stp>BDH|13428000665655329184</stp>
        <tr r="P15" s="26"/>
      </tp>
      <tp t="e">
        <v>#N/A</v>
        <stp/>
        <stp>BDH|18266492367618339351</stp>
        <tr r="M92" s="17"/>
      </tp>
      <tp t="e">
        <v>#N/A</v>
        <stp/>
        <stp>BDH|14703929599874758114</stp>
        <tr r="G38" s="6"/>
      </tp>
      <tp t="e">
        <v>#N/A</v>
        <stp/>
        <stp>BDH|15382308233827301398</stp>
        <tr r="E37" s="6"/>
      </tp>
      <tp t="e">
        <v>#N/A</v>
        <stp/>
        <stp>BDH|16391409475730535494</stp>
        <tr r="AA55" s="24"/>
      </tp>
      <tp t="e">
        <v>#N/A</v>
        <stp/>
        <stp>BDH|12280138458315267215</stp>
        <tr r="Z32" s="18"/>
      </tp>
      <tp t="e">
        <v>#N/A</v>
        <stp/>
        <stp>BDH|15817297679103498269</stp>
        <tr r="F27" s="22"/>
      </tp>
      <tp t="e">
        <v>#N/A</v>
        <stp/>
        <stp>BDH|12162720588409042511</stp>
        <tr r="Q98" s="12"/>
      </tp>
      <tp t="e">
        <v>#N/A</v>
        <stp/>
        <stp>BDH|16758498906136585573</stp>
        <tr r="Z24" s="29"/>
      </tp>
      <tp t="e">
        <v>#N/A</v>
        <stp/>
        <stp>BDH|10672894305651727870</stp>
        <tr r="X124" s="12"/>
      </tp>
      <tp t="e">
        <v>#N/A</v>
        <stp/>
        <stp>BDH|16994608213229068903</stp>
        <tr r="P57" s="34"/>
      </tp>
      <tp t="e">
        <v>#N/A</v>
        <stp/>
        <stp>BDH|13684235700986942666</stp>
        <tr r="Y15" s="30"/>
      </tp>
      <tp t="e">
        <v>#N/A</v>
        <stp/>
        <stp>BDH|11448455454688893978</stp>
        <tr r="AA90" s="12"/>
      </tp>
      <tp t="e">
        <v>#N/A</v>
        <stp/>
        <stp>BDH|12252483434753242763</stp>
        <tr r="Q24" s="2"/>
      </tp>
      <tp t="e">
        <v>#N/A</v>
        <stp/>
        <stp>BDH|18143878802217926679</stp>
        <tr r="Q87" s="17"/>
      </tp>
      <tp t="e">
        <v>#N/A</v>
        <stp/>
        <stp>BDH|10519481375515305710</stp>
        <tr r="Y56" s="17"/>
      </tp>
      <tp t="e">
        <v>#N/A</v>
        <stp/>
        <stp>BDH|18122186480314244416</stp>
        <tr r="M36" s="18"/>
      </tp>
      <tp t="e">
        <v>#N/A</v>
        <stp/>
        <stp>BDH|13791582943931639204</stp>
        <tr r="U68" s="13"/>
      </tp>
      <tp t="e">
        <v>#N/A</v>
        <stp/>
        <stp>BDH|15023136479893112119</stp>
        <tr r="T37" s="34"/>
      </tp>
      <tp t="e">
        <v>#N/A</v>
        <stp/>
        <stp>BDH|18300818128484003708</stp>
        <tr r="V47" s="21"/>
      </tp>
      <tp t="e">
        <v>#N/A</v>
        <stp/>
        <stp>BDH|10903477351744147440</stp>
        <tr r="P86" s="12"/>
      </tp>
      <tp t="e">
        <v>#N/A</v>
        <stp/>
        <stp>BDH|12112338002211434193</stp>
        <tr r="S6" s="27"/>
      </tp>
      <tp t="e">
        <v>#N/A</v>
        <stp/>
        <stp>BDH|17594130653782105094</stp>
        <tr r="V61" s="11"/>
        <tr r="V70" s="10"/>
        <tr r="V20" s="7"/>
      </tp>
      <tp t="e">
        <v>#N/A</v>
        <stp/>
        <stp>BDH|13725447855804227795</stp>
        <tr r="Y8" s="22"/>
      </tp>
      <tp t="e">
        <v>#N/A</v>
        <stp/>
        <stp>BDH|17950005413916570124</stp>
        <tr r="X22" s="17"/>
        <tr r="X15" s="3"/>
      </tp>
      <tp t="e">
        <v>#N/A</v>
        <stp/>
        <stp>BDH|10973612531933453703</stp>
        <tr r="W81" s="12"/>
      </tp>
      <tp t="e">
        <v>#N/A</v>
        <stp/>
        <stp>BDH|15576391672052461279</stp>
        <tr r="T6" s="27"/>
      </tp>
      <tp t="e">
        <v>#N/A</v>
        <stp/>
        <stp>BDH|13118754573884312694</stp>
        <tr r="N140" s="18"/>
      </tp>
      <tp t="e">
        <v>#N/A</v>
        <stp/>
        <stp>BDH|17218256049988271811</stp>
        <tr r="Q149" s="18"/>
      </tp>
      <tp t="e">
        <v>#N/A</v>
        <stp/>
        <stp>BDH|11244128713340825065</stp>
        <tr r="M33" s="6"/>
      </tp>
      <tp t="e">
        <v>#N/A</v>
        <stp/>
        <stp>BDH|15464274412831478682</stp>
        <tr r="O13" s="7"/>
      </tp>
      <tp t="e">
        <v>#N/A</v>
        <stp/>
        <stp>BDH|15903811191613118659</stp>
        <tr r="C110" s="12"/>
      </tp>
      <tp t="e">
        <v>#N/A</v>
        <stp/>
        <stp>BDH|10184849084243565298</stp>
        <tr r="E13" s="13"/>
      </tp>
      <tp t="e">
        <v>#N/A</v>
        <stp/>
        <stp>BDH|11655108439971313318</stp>
        <tr r="O89" s="17"/>
      </tp>
      <tp t="e">
        <v>#N/A</v>
        <stp/>
        <stp>BDH|11321388946153259423</stp>
        <tr r="C61" s="34"/>
      </tp>
      <tp t="e">
        <v>#N/A</v>
        <stp/>
        <stp>BDH|17106882512476632908</stp>
        <tr r="T23" s="21"/>
      </tp>
      <tp t="e">
        <v>#N/A</v>
        <stp/>
        <stp>BDH|14524159360026965441</stp>
        <tr r="T71" s="34"/>
      </tp>
      <tp t="e">
        <v>#N/A</v>
        <stp/>
        <stp>BDH|14043703120391541183</stp>
        <tr r="V37" s="34"/>
      </tp>
      <tp t="e">
        <v>#N/A</v>
        <stp/>
        <stp>BDH|13953227417589736866</stp>
        <tr r="C18" s="27"/>
        <tr r="C32" s="25"/>
      </tp>
      <tp t="e">
        <v>#N/A</v>
        <stp/>
        <stp>BDH|14276256559616275412</stp>
        <tr r="N156" s="18"/>
      </tp>
      <tp t="e">
        <v>#N/A</v>
        <stp/>
        <stp>BDH|10110599249889558997</stp>
        <tr r="M41" s="18"/>
      </tp>
      <tp t="e">
        <v>#N/A</v>
        <stp/>
        <stp>BDH|11870188528997151442</stp>
        <tr r="X33" s="6"/>
      </tp>
      <tp t="e">
        <v>#N/A</v>
        <stp/>
        <stp>BDH|12778524848473143112</stp>
        <tr r="P97" s="12"/>
      </tp>
      <tp t="e">
        <v>#N/A</v>
        <stp/>
        <stp>BDH|15119163555763917364</stp>
        <tr r="P35" s="25"/>
      </tp>
      <tp t="e">
        <v>#N/A</v>
        <stp/>
        <stp>BDH|16719916775420849967</stp>
        <tr r="K91" s="24"/>
      </tp>
      <tp t="e">
        <v>#N/A</v>
        <stp/>
        <stp>BDH|10699698250717292508</stp>
        <tr r="K13" s="21"/>
      </tp>
      <tp t="e">
        <v>#N/A</v>
        <stp/>
        <stp>BDH|13667386174367325146</stp>
        <tr r="J30" s="26"/>
      </tp>
      <tp t="e">
        <v>#N/A</v>
        <stp/>
        <stp>BDH|15959008045800149006</stp>
        <tr r="W34" s="29"/>
      </tp>
      <tp t="e">
        <v>#N/A</v>
        <stp/>
        <stp>BDH|13811373412462175217</stp>
        <tr r="P18" s="11"/>
      </tp>
      <tp t="e">
        <v>#N/A</v>
        <stp/>
        <stp>BDH|14631823214535437993</stp>
        <tr r="I10" s="18"/>
      </tp>
      <tp t="e">
        <v>#N/A</v>
        <stp/>
        <stp>BDH|13090122568443727608</stp>
        <tr r="E145" s="18"/>
      </tp>
      <tp t="e">
        <v>#N/A</v>
        <stp/>
        <stp>BDH|13822479071863256213</stp>
        <tr r="M21" s="5"/>
      </tp>
      <tp t="e">
        <v>#N/A</v>
        <stp/>
        <stp>BDH|15874110060090241367</stp>
        <tr r="C126" s="12"/>
      </tp>
      <tp t="e">
        <v>#N/A</v>
        <stp/>
        <stp>BDH|11808548741986259720</stp>
        <tr r="T43" s="6"/>
      </tp>
      <tp t="e">
        <v>#N/A</v>
        <stp/>
        <stp>BDH|16451077586826998917</stp>
        <tr r="V40" s="29"/>
        <tr r="V17" s="29"/>
      </tp>
      <tp t="e">
        <v>#N/A</v>
        <stp/>
        <stp>BDH|14404524229663457163</stp>
        <tr r="O87" s="18"/>
      </tp>
      <tp t="e">
        <v>#N/A</v>
        <stp/>
        <stp>BDH|10696297597998249277</stp>
        <tr r="Y11" s="30"/>
      </tp>
      <tp t="e">
        <v>#N/A</v>
        <stp/>
        <stp>BDH|15795778438954705433</stp>
        <tr r="Y62" s="21"/>
        <tr r="W25" s="2"/>
      </tp>
      <tp t="e">
        <v>#N/A</v>
        <stp/>
        <stp>BDH|16843573323351564159</stp>
        <tr r="T191" s="18"/>
      </tp>
      <tp t="e">
        <v>#N/A</v>
        <stp/>
        <stp>BDH|13698004273010946500</stp>
        <tr r="S8" s="25"/>
        <tr r="P10" s="5"/>
        <tr r="Q9" s="2"/>
      </tp>
      <tp t="e">
        <v>#N/A</v>
        <stp/>
        <stp>BDH|12794032852455965330</stp>
        <tr r="T96" s="18"/>
      </tp>
      <tp t="e">
        <v>#N/A</v>
        <stp/>
        <stp>BDH|12129512303962753485</stp>
        <tr r="D14" s="20"/>
        <tr r="D123" s="18"/>
      </tp>
      <tp t="e">
        <v>#N/A</v>
        <stp/>
        <stp>BDH|14898899623807861867</stp>
        <tr r="F167" s="18"/>
      </tp>
      <tp t="e">
        <v>#N/A</v>
        <stp/>
        <stp>BDH|12909357166875759313</stp>
        <tr r="L42" s="18"/>
      </tp>
      <tp t="e">
        <v>#N/A</v>
        <stp/>
        <stp>BDH|15368102343312598397</stp>
        <tr r="O69" s="12"/>
      </tp>
      <tp t="e">
        <v>#N/A</v>
        <stp/>
        <stp>BDH|10550499203373466671</stp>
        <tr r="J64" s="24"/>
      </tp>
      <tp t="e">
        <v>#N/A</v>
        <stp/>
        <stp>BDH|12225654642530833118</stp>
        <tr r="Z29" s="18"/>
      </tp>
      <tp t="e">
        <v>#N/A</v>
        <stp/>
        <stp>BDH|15196780104251651276</stp>
        <tr r="S18" s="25"/>
      </tp>
      <tp t="e">
        <v>#N/A</v>
        <stp/>
        <stp>BDH|17030754791768902018</stp>
        <tr r="O94" s="12"/>
      </tp>
      <tp t="e">
        <v>#N/A</v>
        <stp/>
        <stp>BDH|11163323990133880973</stp>
        <tr r="J44" s="34"/>
      </tp>
      <tp t="e">
        <v>#N/A</v>
        <stp/>
        <stp>BDH|15913361032913170701</stp>
        <tr r="C85" s="24"/>
      </tp>
      <tp t="e">
        <v>#N/A</v>
        <stp/>
        <stp>BDH|10083792392088139767</stp>
        <tr r="Q7" s="20"/>
        <tr r="Q117" s="18"/>
      </tp>
      <tp t="e">
        <v>#N/A</v>
        <stp/>
        <stp>BDH|13571229846210434492</stp>
        <tr r="N66" s="21"/>
        <tr r="K31" s="6"/>
      </tp>
      <tp t="e">
        <v>#N/A</v>
        <stp/>
        <stp>BDH|17753349128346149166</stp>
        <tr r="E9" s="27"/>
      </tp>
      <tp t="e">
        <v>#N/A</v>
        <stp/>
        <stp>BDH|13218246003960036090</stp>
        <tr r="E83" s="24"/>
      </tp>
      <tp t="e">
        <v>#N/A</v>
        <stp/>
        <stp>BDH|15375790120486377759</stp>
        <tr r="R35" s="22"/>
      </tp>
      <tp t="e">
        <v>#N/A</v>
        <stp/>
        <stp>BDH|15925386316211896732</stp>
        <tr r="V137" s="18"/>
      </tp>
      <tp t="e">
        <v>#N/A</v>
        <stp/>
        <stp>BDH|16901958846702345857</stp>
        <tr r="G80" s="12"/>
      </tp>
      <tp t="e">
        <v>#N/A</v>
        <stp/>
        <stp>BDH|17271182825797188226</stp>
        <tr r="W20" s="14"/>
      </tp>
      <tp t="e">
        <v>#N/A</v>
        <stp/>
        <stp>BDH|12254939084484956601</stp>
        <tr r="F15" s="18"/>
      </tp>
      <tp t="e">
        <v>#N/A</v>
        <stp/>
        <stp>BDH|14616618823270004188</stp>
        <tr r="U20" s="27"/>
      </tp>
      <tp t="e">
        <v>#N/A</v>
        <stp/>
        <stp>BDH|16418305975054449793</stp>
        <tr r="I38" s="11"/>
        <tr r="I47" s="10"/>
      </tp>
      <tp t="e">
        <v>#N/A</v>
        <stp/>
        <stp>BDH|11946320642143651431</stp>
        <tr r="I93" s="12"/>
      </tp>
      <tp t="e">
        <v>#N/A</v>
        <stp/>
        <stp>BDH|13312513462515407486</stp>
        <tr r="G26" s="6"/>
      </tp>
      <tp t="e">
        <v>#N/A</v>
        <stp/>
        <stp>BDH|15044098212506303349</stp>
        <tr r="C10" s="28"/>
      </tp>
      <tp t="e">
        <v>#N/A</v>
        <stp/>
        <stp>BDH|10730677808337176057</stp>
        <tr r="P97" s="18"/>
      </tp>
      <tp t="e">
        <v>#N/A</v>
        <stp/>
        <stp>BDH|10179118292318696182</stp>
        <tr r="Y36" s="29"/>
        <tr r="Y22" s="29"/>
        <tr r="Y13" s="29"/>
      </tp>
      <tp t="e">
        <v>#N/A</v>
        <stp/>
        <stp>BDH|17874289249437085755</stp>
        <tr r="Z43" s="34"/>
      </tp>
      <tp t="e">
        <v>#N/A</v>
        <stp/>
        <stp>BDH|15498854792496688397</stp>
        <tr r="E212" s="18"/>
      </tp>
      <tp t="e">
        <v>#N/A</v>
        <stp/>
        <stp>BDH|14024385805494544241</stp>
        <tr r="V13" s="23"/>
        <tr r="T57" s="11"/>
        <tr r="T38" s="4"/>
      </tp>
      <tp t="e">
        <v>#N/A</v>
        <stp/>
        <stp>BDH|13429042408350305276</stp>
        <tr r="AA71" s="34"/>
      </tp>
      <tp t="e">
        <v>#N/A</v>
        <stp/>
        <stp>BDH|12016244414340972054</stp>
        <tr r="D87" s="17"/>
      </tp>
      <tp t="e">
        <v>#N/A</v>
        <stp/>
        <stp>BDH|13342010192143970857</stp>
        <tr r="L49" s="6"/>
      </tp>
      <tp t="e">
        <v>#N/A</v>
        <stp/>
        <stp>BDH|17555707700411943007</stp>
        <tr r="J42" s="29"/>
        <tr r="J33" s="29"/>
        <tr r="H55" s="6"/>
        <tr r="H11" s="5"/>
        <tr r="I10" s="2"/>
      </tp>
      <tp t="e">
        <v>#N/A</v>
        <stp/>
        <stp>BDH|10540160809324250446</stp>
        <tr r="H72" s="17"/>
      </tp>
      <tp t="e">
        <v>#N/A</v>
        <stp/>
        <stp>BDH|10755608297348436689</stp>
        <tr r="X13" s="10"/>
      </tp>
      <tp t="e">
        <v>#N/A</v>
        <stp/>
        <stp>BDH|14807621737277913786</stp>
        <tr r="S8" s="23"/>
      </tp>
      <tp t="e">
        <v>#N/A</v>
        <stp/>
        <stp>BDH|16425234713150926411</stp>
        <tr r="Q31" s="22"/>
      </tp>
      <tp t="e">
        <v>#N/A</v>
        <stp/>
        <stp>BDH|18358204690464475689</stp>
        <tr r="Z21" s="22"/>
      </tp>
      <tp t="e">
        <v>#N/A</v>
        <stp/>
        <stp>BDH|14792321603797152181</stp>
        <tr r="S77" s="12"/>
      </tp>
      <tp t="e">
        <v>#N/A</v>
        <stp/>
        <stp>BDH|15639593450417787377</stp>
        <tr r="J42" s="34"/>
      </tp>
      <tp t="e">
        <v>#N/A</v>
        <stp/>
        <stp>BDH|15052870780062970619</stp>
        <tr r="O90" s="17"/>
      </tp>
      <tp t="e">
        <v>#N/A</v>
        <stp/>
        <stp>BDH|17838971141922712960</stp>
        <tr r="O23" s="9"/>
        <tr r="O23" s="5"/>
      </tp>
      <tp t="e">
        <v>#N/A</v>
        <stp/>
        <stp>BDH|16179600674113346598</stp>
        <tr r="AA63" s="24"/>
      </tp>
      <tp t="e">
        <v>#N/A</v>
        <stp/>
        <stp>BDH|16942338888844564888</stp>
        <tr r="X44" s="22"/>
      </tp>
      <tp t="e">
        <v>#N/A</v>
        <stp/>
        <stp>BDH|15659059748195452502</stp>
        <tr r="T26" s="27"/>
      </tp>
      <tp t="e">
        <v>#N/A</v>
        <stp/>
        <stp>BDH|16208574207236894456</stp>
        <tr r="D107" s="12"/>
      </tp>
      <tp t="e">
        <v>#N/A</v>
        <stp/>
        <stp>BDH|10871198964736832022</stp>
        <tr r="I91" s="18"/>
      </tp>
      <tp t="e">
        <v>#N/A</v>
        <stp/>
        <stp>BDH|10981856319271820927</stp>
        <tr r="H59" s="18"/>
      </tp>
      <tp t="e">
        <v>#N/A</v>
        <stp/>
        <stp>BDH|14575395752674188704</stp>
        <tr r="D27" s="13"/>
      </tp>
      <tp t="e">
        <v>#N/A</v>
        <stp/>
        <stp>BDH|17198751716501872152</stp>
        <tr r="I28" s="17"/>
      </tp>
      <tp t="e">
        <v>#N/A</v>
        <stp/>
        <stp>BDH|16489599415655679618</stp>
        <tr r="H23" s="21"/>
      </tp>
      <tp t="e">
        <v>#N/A</v>
        <stp/>
        <stp>BDH|17407551761376788385</stp>
        <tr r="U24" s="29"/>
      </tp>
      <tp t="e">
        <v>#N/A</v>
        <stp/>
        <stp>BDH|18134717330824849976</stp>
        <tr r="W6" s="6"/>
      </tp>
      <tp t="e">
        <v>#N/A</v>
        <stp/>
        <stp>BDH|10414478217783804730</stp>
        <tr r="U64" s="12"/>
      </tp>
      <tp t="e">
        <v>#N/A</v>
        <stp/>
        <stp>BDH|14686570996128071183</stp>
        <tr r="Q22" s="4"/>
      </tp>
      <tp t="e">
        <v>#N/A</v>
        <stp/>
        <stp>BDH|14329292885528017709</stp>
        <tr r="V152" s="18"/>
      </tp>
      <tp t="e">
        <v>#N/A</v>
        <stp/>
        <stp>BDH|11553729346952917179</stp>
        <tr r="N19" s="13"/>
        <tr r="L62" s="10"/>
        <tr r="L32" s="4"/>
        <tr r="L16" s="2"/>
      </tp>
      <tp t="e">
        <v>#N/A</v>
        <stp/>
        <stp>BDH|15864096908683328758</stp>
        <tr r="N37" s="21"/>
      </tp>
      <tp t="e">
        <v>#N/A</v>
        <stp/>
        <stp>BDH|10315324072105470080</stp>
        <tr r="K13" s="23"/>
        <tr r="I57" s="11"/>
        <tr r="I38" s="4"/>
      </tp>
      <tp t="e">
        <v>#N/A</v>
        <stp/>
        <stp>BDH|13819247545490301451</stp>
        <tr r="Q29" s="29"/>
        <tr r="Q7" s="29"/>
      </tp>
      <tp t="e">
        <v>#N/A</v>
        <stp/>
        <stp>BDH|16872794299419643010</stp>
        <tr r="J26" s="26"/>
      </tp>
      <tp t="e">
        <v>#N/A</v>
        <stp/>
        <stp>BDH|12089906424161884937</stp>
        <tr r="R16" s="26"/>
      </tp>
      <tp t="e">
        <v>#N/A</v>
        <stp/>
        <stp>BDH|17653575928104025563</stp>
        <tr r="X47" s="18"/>
      </tp>
      <tp t="e">
        <v>#N/A</v>
        <stp/>
        <stp>BDH|17766804898342754574</stp>
        <tr r="N117" s="12"/>
      </tp>
      <tp t="e">
        <v>#N/A</v>
        <stp/>
        <stp>BDH|18404386697195005647</stp>
        <tr r="E110" s="18"/>
      </tp>
      <tp t="e">
        <v>#N/A</v>
        <stp/>
        <stp>BDH|13922922767159345405</stp>
        <tr r="V112" s="12"/>
      </tp>
      <tp t="e">
        <v>#N/A</v>
        <stp/>
        <stp>BDH|17634454929808611839</stp>
        <tr r="I76" s="17"/>
      </tp>
      <tp t="e">
        <v>#N/A</v>
        <stp/>
        <stp>BDH|12477862760198947547</stp>
        <tr r="V17" s="22"/>
      </tp>
      <tp t="e">
        <v>#N/A</v>
        <stp/>
        <stp>BDH|10833130333910356348</stp>
        <tr r="G17" s="13"/>
      </tp>
      <tp t="e">
        <v>#N/A</v>
        <stp/>
        <stp>BDH|17948530636873216318</stp>
        <tr r="AA43" s="24"/>
      </tp>
      <tp t="e">
        <v>#N/A</v>
        <stp/>
        <stp>BDH|16959060430930910498</stp>
        <tr r="T18" s="28"/>
        <tr r="T15" s="17"/>
      </tp>
      <tp t="e">
        <v>#N/A</v>
        <stp/>
        <stp>BDH|12225897411708739224</stp>
        <tr r="C54" s="13"/>
      </tp>
      <tp t="e">
        <v>#N/A</v>
        <stp/>
        <stp>BDH|16920970224058721425</stp>
        <tr r="AA8" s="27"/>
      </tp>
      <tp t="e">
        <v>#N/A</v>
        <stp/>
        <stp>BDH|18020537608405176953</stp>
        <tr r="H19" s="17"/>
      </tp>
      <tp t="e">
        <v>#N/A</v>
        <stp/>
        <stp>BDH|16179226746630238180</stp>
        <tr r="P15" s="5"/>
      </tp>
      <tp t="e">
        <v>#N/A</v>
        <stp/>
        <stp>BDH|11010591566786669565</stp>
        <tr r="X45" s="21"/>
      </tp>
      <tp t="e">
        <v>#N/A</v>
        <stp/>
        <stp>BDH|18265711467238803031</stp>
        <tr r="U24" s="17"/>
      </tp>
      <tp t="e">
        <v>#N/A</v>
        <stp/>
        <stp>BDH|14811591820897867575</stp>
        <tr r="C12" s="3"/>
      </tp>
      <tp t="e">
        <v>#N/A</v>
        <stp/>
        <stp>BDH|17081988394934562274</stp>
        <tr r="C32" s="13"/>
      </tp>
      <tp t="e">
        <v>#N/A</v>
        <stp/>
        <stp>BDH|13395995125741271836</stp>
        <tr r="F34" s="11"/>
        <tr r="F43" s="10"/>
      </tp>
      <tp t="e">
        <v>#N/A</v>
        <stp/>
        <stp>BDH|17868952644433204859</stp>
        <tr r="L124" s="12"/>
      </tp>
      <tp t="e">
        <v>#N/A</v>
        <stp/>
        <stp>BDH|16544596351123534469</stp>
        <tr r="C195" s="18"/>
      </tp>
      <tp t="e">
        <v>#N/A</v>
        <stp/>
        <stp>BDH|11930534554672780270</stp>
        <tr r="AA15" s="30"/>
      </tp>
      <tp t="e">
        <v>#N/A</v>
        <stp/>
        <stp>BDH|14525279825246937302</stp>
        <tr r="P55" s="34"/>
      </tp>
      <tp t="e">
        <v>#N/A</v>
        <stp/>
        <stp>BDH|11049377395543885940</stp>
        <tr r="Q19" s="26"/>
      </tp>
      <tp t="e">
        <v>#N/A</v>
        <stp/>
        <stp>BDH|13944069175557642222</stp>
        <tr r="G15" s="25"/>
      </tp>
      <tp t="e">
        <v>#N/A</v>
        <stp/>
        <stp>BDH|10092919869607587933</stp>
        <tr r="H32" s="5"/>
      </tp>
      <tp t="e">
        <v>#N/A</v>
        <stp/>
        <stp>BDH|14902492382340949958</stp>
        <tr r="Q52" s="13"/>
      </tp>
      <tp t="e">
        <v>#N/A</v>
        <stp/>
        <stp>BDH|17996433436389002824</stp>
        <tr r="L34" s="25"/>
        <tr r="L93" s="17"/>
      </tp>
      <tp t="e">
        <v>#N/A</v>
        <stp/>
        <stp>BDH|17927143924091143468</stp>
        <tr r="H26" s="17"/>
      </tp>
      <tp t="e">
        <v>#N/A</v>
        <stp/>
        <stp>BDH|17871175322246497374</stp>
        <tr r="V17" s="28"/>
        <tr r="V14" s="17"/>
      </tp>
      <tp t="e">
        <v>#N/A</v>
        <stp/>
        <stp>BDH|14081196226411802796</stp>
        <tr r="U46" s="18"/>
      </tp>
      <tp t="e">
        <v>#N/A</v>
        <stp/>
        <stp>BDH|14332277549825155625</stp>
        <tr r="O31" s="22"/>
      </tp>
      <tp t="e">
        <v>#N/A</v>
        <stp/>
        <stp>BDH|16254481958183997550</stp>
        <tr r="G27" s="14"/>
      </tp>
      <tp t="e">
        <v>#N/A</v>
        <stp/>
        <stp>BDH|11268735850606746482</stp>
        <tr r="I17" s="28"/>
        <tr r="I14" s="17"/>
      </tp>
      <tp t="e">
        <v>#N/A</v>
        <stp/>
        <stp>BDH|15528585925633364054</stp>
        <tr r="J75" s="17"/>
      </tp>
      <tp t="e">
        <v>#N/A</v>
        <stp/>
        <stp>BDH|10099095775615610349</stp>
        <tr r="P67" s="17"/>
      </tp>
      <tp t="e">
        <v>#N/A</v>
        <stp/>
        <stp>BDH|11758292122657438760</stp>
        <tr r="I130" s="18"/>
      </tp>
      <tp t="e">
        <v>#N/A</v>
        <stp/>
        <stp>BDH|11274357239338165817</stp>
        <tr r="O40" s="18"/>
      </tp>
      <tp t="e">
        <v>#N/A</v>
        <stp/>
        <stp>BDH|14712388472510364108</stp>
        <tr r="J34" s="24"/>
      </tp>
      <tp t="e">
        <v>#N/A</v>
        <stp/>
        <stp>BDH|13400425829365255132</stp>
        <tr r="J39" s="22"/>
      </tp>
      <tp t="e">
        <v>#N/A</v>
        <stp/>
        <stp>BDH|10437760338734733136</stp>
        <tr r="K49" s="34"/>
      </tp>
      <tp t="e">
        <v>#N/A</v>
        <stp/>
        <stp>BDH|14847951790064501164</stp>
        <tr r="V49" s="24"/>
      </tp>
      <tp t="e">
        <v>#N/A</v>
        <stp/>
        <stp>BDH|11079183235895292714</stp>
        <tr r="J127" s="18"/>
      </tp>
      <tp t="e">
        <v>#N/A</v>
        <stp/>
        <stp>BDH|15778740504973964008</stp>
        <tr r="Z14" s="12"/>
      </tp>
      <tp t="e">
        <v>#N/A</v>
        <stp/>
        <stp>BDH|12067327800918416889</stp>
        <tr r="D134" s="18"/>
      </tp>
      <tp t="e">
        <v>#N/A</v>
        <stp/>
        <stp>BDH|16955386358735031477</stp>
        <tr r="S23" s="12"/>
      </tp>
      <tp t="e">
        <v>#N/A</v>
        <stp/>
        <stp>BDH|10252572902145939105</stp>
        <tr r="C77" s="24"/>
      </tp>
      <tp t="e">
        <v>#N/A</v>
        <stp/>
        <stp>BDH|11938335974100303437</stp>
        <tr r="Q68" s="34"/>
      </tp>
      <tp t="e">
        <v>#N/A</v>
        <stp/>
        <stp>BDH|17975612711754723507</stp>
        <tr r="Z28" s="26"/>
      </tp>
      <tp t="e">
        <v>#N/A</v>
        <stp/>
        <stp>BDH|12121968241866829806</stp>
        <tr r="K81" s="12"/>
      </tp>
      <tp t="e">
        <v>#N/A</v>
        <stp/>
        <stp>BDH|18153645810736392888</stp>
        <tr r="K21" s="27"/>
      </tp>
      <tp t="e">
        <v>#N/A</v>
        <stp/>
        <stp>BDH|16319517332773636287</stp>
        <tr r="U9" s="18"/>
      </tp>
      <tp t="e">
        <v>#N/A</v>
        <stp/>
        <stp>BDH|14896201267543914289</stp>
        <tr r="S12" s="21"/>
      </tp>
      <tp t="e">
        <v>#N/A</v>
        <stp/>
        <stp>BDH|16130644653977980313</stp>
        <tr r="W69" s="34"/>
      </tp>
      <tp t="e">
        <v>#N/A</v>
        <stp/>
        <stp>BDH|10430604609253134422</stp>
        <tr r="U26" s="34"/>
      </tp>
      <tp t="e">
        <v>#N/A</v>
        <stp/>
        <stp>BDH|17406250717141933416</stp>
        <tr r="X46" s="21"/>
      </tp>
      <tp t="e">
        <v>#N/A</v>
        <stp/>
        <stp>BDH|12426023039301882661</stp>
        <tr r="K85" s="17"/>
        <tr r="I6" s="7"/>
        <tr r="K20" s="3"/>
      </tp>
      <tp t="e">
        <v>#N/A</v>
        <stp/>
        <stp>BDH|13493769720791059139</stp>
        <tr r="Z38" s="21"/>
        <tr r="Z24" s="3"/>
      </tp>
      <tp t="e">
        <v>#N/A</v>
        <stp/>
        <stp>BDH|12145257171404486505</stp>
        <tr r="U47" s="18"/>
      </tp>
      <tp t="e">
        <v>#N/A</v>
        <stp/>
        <stp>BDH|14868330424237792494</stp>
        <tr r="H56" s="24"/>
      </tp>
      <tp t="e">
        <v>#N/A</v>
        <stp/>
        <stp>BDH|14653653439033369488</stp>
        <tr r="G6" s="19"/>
        <tr r="G37" s="17"/>
        <tr r="G16" s="3"/>
      </tp>
      <tp t="e">
        <v>#N/A</v>
        <stp/>
        <stp>BDH|17818339233886092791</stp>
        <tr r="O9" s="27"/>
      </tp>
      <tp t="e">
        <v>#N/A</v>
        <stp/>
        <stp>BDH|10642208675582411167</stp>
        <tr r="T24" s="22"/>
      </tp>
      <tp t="e">
        <v>#N/A</v>
        <stp/>
        <stp>BDH|13001320346082277078</stp>
        <tr r="L46" s="21"/>
      </tp>
      <tp t="e">
        <v>#N/A</v>
        <stp/>
        <stp>BDH|17157225964861752412</stp>
        <tr r="D120" s="12"/>
      </tp>
      <tp t="e">
        <v>#N/A</v>
        <stp/>
        <stp>BDH|13458378731080553567</stp>
        <tr r="AA10" s="18"/>
      </tp>
      <tp t="e">
        <v>#N/A</v>
        <stp/>
        <stp>BDH|11203197130957310290</stp>
        <tr r="Q8" s="11"/>
      </tp>
      <tp t="e">
        <v>#N/A</v>
        <stp/>
        <stp>BDH|13036313675349195845</stp>
        <tr r="G67" s="34"/>
      </tp>
      <tp t="e">
        <v>#N/A</v>
        <stp/>
        <stp>BDH|13457005735932430445</stp>
        <tr r="W90" s="24"/>
      </tp>
      <tp t="e">
        <v>#N/A</v>
        <stp/>
        <stp>BDH|10999484534396608720</stp>
        <tr r="N8" s="13"/>
      </tp>
      <tp t="e">
        <v>#N/A</v>
        <stp/>
        <stp>BDH|12903178682588952546</stp>
        <tr r="T104" s="12"/>
      </tp>
      <tp t="e">
        <v>#N/A</v>
        <stp/>
        <stp>BDH|11566621816949979997</stp>
        <tr r="P11" s="20"/>
        <tr r="P120" s="18"/>
      </tp>
      <tp t="e">
        <v>#N/A</v>
        <stp/>
        <stp>BDH|15136336600964780449</stp>
        <tr r="Q18" s="11"/>
      </tp>
      <tp t="e">
        <v>#N/A</v>
        <stp/>
        <stp>BDH|10136370928934702386</stp>
        <tr r="Q8" s="2"/>
      </tp>
      <tp t="e">
        <v>#N/A</v>
        <stp/>
        <stp>BDH|11725067314943207560</stp>
        <tr r="S47" s="6"/>
      </tp>
      <tp t="e">
        <v>#N/A</v>
        <stp/>
        <stp>BDH|14895705306044636193</stp>
        <tr r="R90" s="12"/>
      </tp>
      <tp t="e">
        <v>#N/A</v>
        <stp/>
        <stp>BDH|11878835289354499374</stp>
        <tr r="AA17" s="22"/>
      </tp>
      <tp t="e">
        <v>#N/A</v>
        <stp/>
        <stp>BDH|15107426267291631034</stp>
        <tr r="U73" s="24"/>
      </tp>
      <tp t="e">
        <v>#N/A</v>
        <stp/>
        <stp>BDH|14604745804614026172</stp>
        <tr r="I22" s="17"/>
        <tr r="I15" s="3"/>
      </tp>
      <tp t="e">
        <v>#N/A</v>
        <stp/>
        <stp>BDH|11719195808495512322</stp>
        <tr r="K38" s="6"/>
      </tp>
      <tp t="e">
        <v>#N/A</v>
        <stp/>
        <stp>BDH|14587365020657287400</stp>
        <tr r="P62" s="18"/>
      </tp>
      <tp t="e">
        <v>#N/A</v>
        <stp/>
        <stp>BDH|12241686338927601658</stp>
        <tr r="W24" s="20"/>
      </tp>
      <tp t="e">
        <v>#N/A</v>
        <stp/>
        <stp>BDH|13967796425049617922</stp>
        <tr r="F42" s="21"/>
      </tp>
      <tp t="e">
        <v>#N/A</v>
        <stp/>
        <stp>BDH|16904623770674338594</stp>
        <tr r="W201" s="18"/>
      </tp>
      <tp t="e">
        <v>#N/A</v>
        <stp/>
        <stp>BDH|12300485406762407280</stp>
        <tr r="J21" s="11"/>
      </tp>
      <tp t="e">
        <v>#N/A</v>
        <stp/>
        <stp>BDH|14985592844695760628</stp>
        <tr r="L18" s="24"/>
      </tp>
      <tp t="e">
        <v>#N/A</v>
        <stp/>
        <stp>BDH|14361420599149071692</stp>
        <tr r="W14" s="22"/>
      </tp>
      <tp t="e">
        <v>#N/A</v>
        <stp/>
        <stp>BDH|14495254111150761168</stp>
        <tr r="E33" s="18"/>
      </tp>
      <tp t="e">
        <v>#N/A</v>
        <stp/>
        <stp>BDH|13883080616877640315</stp>
        <tr r="J21" s="30"/>
      </tp>
      <tp t="e">
        <v>#N/A</v>
        <stp/>
        <stp>BDH|12110161442329449807</stp>
        <tr r="H21" s="12"/>
      </tp>
      <tp t="e">
        <v>#N/A</v>
        <stp/>
        <stp>BDH|10115505177196324247</stp>
        <tr r="Y60" s="18"/>
      </tp>
      <tp t="e">
        <v>#N/A</v>
        <stp/>
        <stp>BDH|14868566188518450730</stp>
        <tr r="X13" s="23"/>
        <tr r="V57" s="11"/>
        <tr r="V38" s="4"/>
      </tp>
      <tp t="e">
        <v>#N/A</v>
        <stp/>
        <stp>BDH|10013332134416068061</stp>
        <tr r="J19" s="26"/>
      </tp>
      <tp t="e">
        <v>#N/A</v>
        <stp/>
        <stp>BDH|11777397151879984870</stp>
        <tr r="Z43" s="24"/>
      </tp>
      <tp t="e">
        <v>#N/A</v>
        <stp/>
        <stp>BDH|11187679094589729146</stp>
        <tr r="Z69" s="34"/>
      </tp>
      <tp t="e">
        <v>#N/A</v>
        <stp/>
        <stp>BDH|14398537198967943904</stp>
        <tr r="I122" s="12"/>
      </tp>
      <tp t="e">
        <v>#N/A</v>
        <stp/>
        <stp>BDH|17014341362153756703</stp>
        <tr r="K7" s="11"/>
      </tp>
      <tp t="e">
        <v>#N/A</v>
        <stp/>
        <stp>BDH|12142041641769564903</stp>
        <tr r="Y30" s="22"/>
      </tp>
      <tp t="e">
        <v>#N/A</v>
        <stp/>
        <stp>BDH|15552653093989785551</stp>
        <tr r="AA13" s="26"/>
      </tp>
      <tp t="e">
        <v>#N/A</v>
        <stp/>
        <stp>BDH|10553114705580905792</stp>
        <tr r="P91" s="18"/>
      </tp>
      <tp t="e">
        <v>#N/A</v>
        <stp/>
        <stp>BDH|10886295075873758026</stp>
        <tr r="J19" s="21"/>
        <tr r="J23" s="3"/>
        <tr r="H23" s="2"/>
      </tp>
      <tp t="e">
        <v>#N/A</v>
        <stp/>
        <stp>BDH|11692000635941010527</stp>
        <tr r="U10" s="10"/>
      </tp>
      <tp t="e">
        <v>#N/A</v>
        <stp/>
        <stp>BDH|15211014176421462501</stp>
        <tr r="N58" s="24"/>
      </tp>
      <tp t="e">
        <v>#N/A</v>
        <stp/>
        <stp>BDH|11292115662032399230</stp>
        <tr r="S78" s="12"/>
      </tp>
      <tp t="e">
        <v>#N/A</v>
        <stp/>
        <stp>BDH|17470524325285403364</stp>
        <tr r="L141" s="18"/>
      </tp>
      <tp t="e">
        <v>#N/A</v>
        <stp/>
        <stp>BDH|15359387701639847935</stp>
        <tr r="O69" s="18"/>
      </tp>
      <tp t="e">
        <v>#N/A</v>
        <stp/>
        <stp>BDH|11078713533107122423</stp>
        <tr r="L16" s="27"/>
        <tr r="L30" s="25"/>
      </tp>
      <tp t="e">
        <v>#N/A</v>
        <stp/>
        <stp>BDH|14211544646065799668</stp>
        <tr r="R153" s="18"/>
      </tp>
      <tp t="e">
        <v>#N/A</v>
        <stp/>
        <stp>BDH|10434536065775518078</stp>
        <tr r="H18" s="9"/>
      </tp>
      <tp t="e">
        <v>#N/A</v>
        <stp/>
        <stp>BDH|17498116772300344743</stp>
        <tr r="L183" s="18"/>
      </tp>
      <tp t="e">
        <v>#N/A</v>
        <stp/>
        <stp>BDH|16728268624584620436</stp>
        <tr r="U26" s="17"/>
      </tp>
      <tp t="e">
        <v>#N/A</v>
        <stp/>
        <stp>BDH|13366132815062589707</stp>
        <tr r="U8" s="22"/>
      </tp>
      <tp t="e">
        <v>#N/A</v>
        <stp/>
        <stp>BDH|11815458840267427093</stp>
        <tr r="M44" s="34"/>
      </tp>
      <tp t="e">
        <v>#N/A</v>
        <stp/>
        <stp>BDH|17376704921961455565</stp>
        <tr r="R23" s="22"/>
      </tp>
      <tp t="e">
        <v>#N/A</v>
        <stp/>
        <stp>BDH|14969183244235051258</stp>
        <tr r="M15" s="25"/>
      </tp>
      <tp t="e">
        <v>#N/A</v>
        <stp/>
        <stp>BDH|16643151248214956128</stp>
        <tr r="I98" s="12"/>
      </tp>
      <tp t="e">
        <v>#N/A</v>
        <stp/>
        <stp>BDH|16581572552351456145</stp>
        <tr r="R54" s="13"/>
      </tp>
      <tp t="e">
        <v>#N/A</v>
        <stp/>
        <stp>BDH|15842189602126178433</stp>
        <tr r="D8" s="27"/>
      </tp>
      <tp t="e">
        <v>#N/A</v>
        <stp/>
        <stp>BDH|17560389366485833130</stp>
        <tr r="U8" s="18"/>
      </tp>
      <tp t="e">
        <v>#N/A</v>
        <stp/>
        <stp>BDH|14596503185738944791</stp>
        <tr r="Q38" s="11"/>
        <tr r="Q47" s="10"/>
      </tp>
      <tp t="e">
        <v>#N/A</v>
        <stp/>
        <stp>BDH|10545119923703222657</stp>
        <tr r="H54" s="12"/>
      </tp>
      <tp t="e">
        <v>#N/A</v>
        <stp/>
        <stp>BDH|13624710699129954279</stp>
        <tr r="X64" s="12"/>
      </tp>
      <tp t="e">
        <v>#N/A</v>
        <stp/>
        <stp>BDH|12745804294965478070</stp>
        <tr r="W48" s="24"/>
      </tp>
      <tp t="e">
        <v>#N/A</v>
        <stp/>
        <stp>BDH|14770281222863573187</stp>
        <tr r="P27" s="17"/>
      </tp>
      <tp t="e">
        <v>#N/A</v>
        <stp/>
        <stp>BDH|15350532490308122718</stp>
        <tr r="C35" s="34"/>
      </tp>
      <tp t="e">
        <v>#N/A</v>
        <stp/>
        <stp>BDH|11268229621197996089</stp>
        <tr r="N23" s="9"/>
        <tr r="N23" s="5"/>
      </tp>
      <tp t="e">
        <v>#N/A</v>
        <stp/>
        <stp>BDH|16271772714164002219</stp>
        <tr r="N18" s="17"/>
      </tp>
      <tp t="e">
        <v>#N/A</v>
        <stp/>
        <stp>BDH|11025864178929603183</stp>
        <tr r="T152" s="18"/>
      </tp>
      <tp t="e">
        <v>#N/A</v>
        <stp/>
        <stp>BDH|11382158204970221607</stp>
        <tr r="Y16" s="24"/>
      </tp>
      <tp t="e">
        <v>#N/A</v>
        <stp/>
        <stp>BDH|13157878257608374020</stp>
        <tr r="D54" s="17"/>
        <tr r="D17" s="3"/>
      </tp>
      <tp t="e">
        <v>#N/A</v>
        <stp/>
        <stp>BDH|13626016141762763319</stp>
        <tr r="V8" s="25"/>
        <tr r="S10" s="5"/>
        <tr r="T9" s="2"/>
      </tp>
      <tp t="e">
        <v>#N/A</v>
        <stp/>
        <stp>BDH|11850406839261372125</stp>
        <tr r="V7" s="21"/>
      </tp>
      <tp t="e">
        <v>#N/A</v>
        <stp/>
        <stp>BDH|15304124946823461539</stp>
        <tr r="W20" s="9"/>
      </tp>
      <tp t="e">
        <v>#N/A</v>
        <stp/>
        <stp>BDH|10275513907441441207</stp>
        <tr r="E36" s="17"/>
      </tp>
      <tp t="e">
        <v>#N/A</v>
        <stp/>
        <stp>BDH|14277626303321083539</stp>
        <tr r="L20" s="9"/>
      </tp>
      <tp t="e">
        <v>#N/A</v>
        <stp/>
        <stp>BDH|12079713830462317222</stp>
        <tr r="T127" s="18"/>
      </tp>
      <tp t="e">
        <v>#N/A</v>
        <stp/>
        <stp>BDH|16262772556087025534</stp>
        <tr r="P37" s="26"/>
      </tp>
      <tp t="e">
        <v>#N/A</v>
        <stp/>
        <stp>BDH|14948264558165316041</stp>
        <tr r="L104" s="12"/>
      </tp>
      <tp t="e">
        <v>#N/A</v>
        <stp/>
        <stp>BDH|14434596772705964565</stp>
        <tr r="Y17" s="20"/>
      </tp>
      <tp t="e">
        <v>#N/A</v>
        <stp/>
        <stp>BDH|11076847701257649836</stp>
        <tr r="AA205" s="18"/>
      </tp>
      <tp t="e">
        <v>#N/A</v>
        <stp/>
        <stp>BDH|14540060236894053559</stp>
        <tr r="C34" s="29"/>
      </tp>
      <tp t="e">
        <v>#N/A</v>
        <stp/>
        <stp>BDH|15728762460284162604</stp>
        <tr r="X19" s="34"/>
      </tp>
      <tp t="e">
        <v>#N/A</v>
        <stp/>
        <stp>BDH|13064084277724778685</stp>
        <tr r="S29" s="29"/>
        <tr r="S7" s="29"/>
      </tp>
      <tp t="e">
        <v>#N/A</v>
        <stp/>
        <stp>BDH|15952824619173373910</stp>
        <tr r="W47" s="24"/>
      </tp>
      <tp t="e">
        <v>#N/A</v>
        <stp/>
        <stp>BDH|12120961505028663543</stp>
        <tr r="P56" s="17"/>
      </tp>
      <tp t="e">
        <v>#N/A</v>
        <stp/>
        <stp>BDH|12582030840226685607</stp>
        <tr r="U26" s="24"/>
      </tp>
      <tp t="e">
        <v>#N/A</v>
        <stp/>
        <stp>BDH|13897952404098996407</stp>
        <tr r="V31" s="11"/>
        <tr r="V40" s="10"/>
      </tp>
      <tp t="e">
        <v>#N/A</v>
        <stp/>
        <stp>BDH|13241631235234565414</stp>
        <tr r="X73" s="24"/>
      </tp>
      <tp t="e">
        <v>#N/A</v>
        <stp/>
        <stp>BDH|17731690369253220256</stp>
        <tr r="H50" s="18"/>
      </tp>
      <tp t="e">
        <v>#N/A</v>
        <stp/>
        <stp>BDH|15373415494138276641</stp>
        <tr r="Y38" s="13"/>
        <tr r="W31" s="10"/>
      </tp>
      <tp t="e">
        <v>#N/A</v>
        <stp/>
        <stp>BDH|12309057936774510355</stp>
        <tr r="U34" s="6"/>
      </tp>
      <tp t="e">
        <v>#N/A</v>
        <stp/>
        <stp>BDH|11002538067895784103</stp>
        <tr r="Q51" s="12"/>
      </tp>
      <tp t="e">
        <v>#N/A</v>
        <stp/>
        <stp>BDH|14288206675776620120</stp>
        <tr r="X27" s="34"/>
      </tp>
      <tp t="e">
        <v>#N/A</v>
        <stp/>
        <stp>BDH|17996617523374810107</stp>
        <tr r="M23" s="10"/>
      </tp>
      <tp t="e">
        <v>#N/A</v>
        <stp/>
        <stp>BDH|18375929903233166400</stp>
        <tr r="Y107" s="18"/>
      </tp>
      <tp t="e">
        <v>#N/A</v>
        <stp/>
        <stp>BDH|13954039636183972560</stp>
        <tr r="Q188" s="18"/>
      </tp>
      <tp t="e">
        <v>#N/A</v>
        <stp/>
        <stp>BDH|17780647200334920394</stp>
        <tr r="D109" s="12"/>
      </tp>
      <tp t="e">
        <v>#N/A</v>
        <stp/>
        <stp>BDH|15196785967565946744</stp>
        <tr r="P85" s="12"/>
      </tp>
      <tp t="e">
        <v>#N/A</v>
        <stp/>
        <stp>BDH|17099902668528248693</stp>
        <tr r="W15" s="11"/>
      </tp>
      <tp t="e">
        <v>#N/A</v>
        <stp/>
        <stp>BDH|11842157794917355896</stp>
        <tr r="F91" s="12"/>
      </tp>
      <tp t="e">
        <v>#N/A</v>
        <stp/>
        <stp>BDH|13597771006567779502</stp>
        <tr r="I17" s="9"/>
      </tp>
      <tp t="e">
        <v>#N/A</v>
        <stp/>
        <stp>BDH|11008093784606744999</stp>
        <tr r="P24" s="9"/>
      </tp>
      <tp t="e">
        <v>#N/A</v>
        <stp/>
        <stp>BDH|16140978216100057830</stp>
        <tr r="F8" s="28"/>
      </tp>
      <tp t="e">
        <v>#N/A</v>
        <stp/>
        <stp>BDH|13223229006843381463</stp>
        <tr r="T19" s="13"/>
        <tr r="R62" s="10"/>
        <tr r="R32" s="4"/>
        <tr r="R16" s="2"/>
      </tp>
      <tp t="e">
        <v>#N/A</v>
        <stp/>
        <stp>BDH|10337770970812412435</stp>
        <tr r="AA169" s="18"/>
      </tp>
      <tp t="e">
        <v>#N/A</v>
        <stp/>
        <stp>BDH|16989678478911204076</stp>
        <tr r="G14" s="34"/>
      </tp>
      <tp t="e">
        <v>#N/A</v>
        <stp/>
        <stp>BDH|16396244594182260925</stp>
        <tr r="D52" s="12"/>
      </tp>
      <tp t="e">
        <v>#N/A</v>
        <stp/>
        <stp>BDH|10792012733112061763</stp>
        <tr r="AA85" s="24"/>
      </tp>
      <tp t="e">
        <v>#N/A</v>
        <stp/>
        <stp>BDH|16681074366032354476</stp>
        <tr r="R32" s="17"/>
      </tp>
      <tp t="e">
        <v>#N/A</v>
        <stp/>
        <stp>BDH|12089816386035789139</stp>
        <tr r="U166" s="18"/>
      </tp>
      <tp t="e">
        <v>#N/A</v>
        <stp/>
        <stp>BDH|14729220252747636228</stp>
        <tr r="P31" s="24"/>
      </tp>
      <tp t="e">
        <v>#N/A</v>
        <stp/>
        <stp>BDH|12843883452739191007</stp>
        <tr r="J66" s="21"/>
        <tr r="G31" s="6"/>
      </tp>
      <tp t="e">
        <v>#N/A</v>
        <stp/>
        <stp>BDH|10827691445010656418</stp>
        <tr r="X141" s="18"/>
      </tp>
      <tp t="e">
        <v>#N/A</v>
        <stp/>
        <stp>BDH|16171084123692002098</stp>
        <tr r="D95" s="18"/>
      </tp>
      <tp t="e">
        <v>#N/A</v>
        <stp/>
        <stp>BDH|12815960198066653239</stp>
        <tr r="C24" s="13"/>
      </tp>
      <tp t="e">
        <v>#N/A</v>
        <stp/>
        <stp>BDH|12665452194719185056</stp>
        <tr r="V35" s="22"/>
      </tp>
      <tp t="e">
        <v>#N/A</v>
        <stp/>
        <stp>BDH|13219925821739761758</stp>
        <tr r="X11" s="6"/>
      </tp>
      <tp t="e">
        <v>#N/A</v>
        <stp/>
        <stp>BDH|13509596938752797105</stp>
        <tr r="M23" s="20"/>
      </tp>
      <tp t="e">
        <v>#N/A</v>
        <stp/>
        <stp>BDH|17741424466965751670</stp>
        <tr r="D58" s="6"/>
      </tp>
      <tp t="e">
        <v>#N/A</v>
        <stp/>
        <stp>BDH|16035485537405429283</stp>
        <tr r="P17" s="28"/>
        <tr r="P14" s="17"/>
      </tp>
      <tp t="e">
        <v>#N/A</v>
        <stp/>
        <stp>BDH|17712636534474579067</stp>
        <tr r="J25" s="14"/>
      </tp>
      <tp t="e">
        <v>#N/A</v>
        <stp/>
        <stp>BDH|15450824513673233947</stp>
        <tr r="W16" s="34"/>
      </tp>
      <tp t="e">
        <v>#N/A</v>
        <stp/>
        <stp>BDH|17147317286252242876</stp>
        <tr r="H86" s="17"/>
      </tp>
      <tp t="e">
        <v>#N/A</v>
        <stp/>
        <stp>BDH|11701567414414664707</stp>
        <tr r="U43" s="34"/>
      </tp>
      <tp t="e">
        <v>#N/A</v>
        <stp/>
        <stp>BDH|14912202479664140323</stp>
        <tr r="P35" s="34"/>
      </tp>
      <tp t="e">
        <v>#N/A</v>
        <stp/>
        <stp>BDH|10409521107546172532</stp>
        <tr r="P109" s="12"/>
      </tp>
      <tp t="e">
        <v>#N/A</v>
        <stp/>
        <stp>BDH|13958262679346373662</stp>
        <tr r="Q21" s="14"/>
      </tp>
      <tp t="e">
        <v>#N/A</v>
        <stp/>
        <stp>BDH|12734733440811114668</stp>
        <tr r="Q56" s="11"/>
        <tr r="Q24" s="4"/>
      </tp>
      <tp t="e">
        <v>#N/A</v>
        <stp/>
        <stp>BDH|15568043273492004610</stp>
        <tr r="L13" s="20"/>
        <tr r="L122" s="18"/>
      </tp>
      <tp t="e">
        <v>#N/A</v>
        <stp/>
        <stp>BDH|13077591416763915251</stp>
        <tr r="J194" s="18"/>
      </tp>
      <tp t="e">
        <v>#N/A</v>
        <stp/>
        <stp>BDH|16052613115082251553</stp>
        <tr r="R62" s="34"/>
      </tp>
      <tp t="e">
        <v>#N/A</v>
        <stp/>
        <stp>BDH|11013326595685289869</stp>
        <tr r="I117" s="12"/>
      </tp>
      <tp t="e">
        <v>#N/A</v>
        <stp/>
        <stp>BDH|16983572352841843176</stp>
        <tr r="C201" s="18"/>
      </tp>
      <tp t="e">
        <v>#N/A</v>
        <stp/>
        <stp>BDH|10857273829593739527</stp>
        <tr r="F53" s="18"/>
      </tp>
      <tp t="e">
        <v>#N/A</v>
        <stp/>
        <stp>BDH|12938118149539501879</stp>
        <tr r="X8" s="24"/>
      </tp>
      <tp t="e">
        <v>#N/A</v>
        <stp/>
        <stp>BDH|13691048140193208236</stp>
        <tr r="S172" s="18"/>
      </tp>
      <tp t="e">
        <v>#N/A</v>
        <stp/>
        <stp>BDH|10855334349963383226</stp>
        <tr r="Q64" s="17"/>
      </tp>
      <tp t="e">
        <v>#N/A</v>
        <stp/>
        <stp>BDH|14508455705492211445</stp>
        <tr r="J73" s="34"/>
      </tp>
      <tp t="e">
        <v>#N/A</v>
        <stp/>
        <stp>BDH|15836687302716433355</stp>
        <tr r="W80" s="12"/>
      </tp>
      <tp t="e">
        <v>#N/A</v>
        <stp/>
        <stp>BDH|12348469415563256219</stp>
        <tr r="R70" s="13"/>
        <tr r="P49" s="11"/>
        <tr r="P58" s="10"/>
        <tr r="P19" s="7"/>
        <tr r="P18" s="4"/>
        <tr r="P20" s="2"/>
      </tp>
      <tp t="e">
        <v>#N/A</v>
        <stp/>
        <stp>BDH|13047856311629089578</stp>
        <tr r="C70" s="13"/>
      </tp>
      <tp t="e">
        <v>#N/A</v>
        <stp/>
        <stp>BDH|10396399122656310183</stp>
        <tr r="X143" s="18"/>
      </tp>
      <tp t="e">
        <v>#N/A</v>
        <stp/>
        <stp>BDH|13077935387392623608</stp>
        <tr r="W9" s="34"/>
      </tp>
      <tp t="e">
        <v>#N/A</v>
        <stp/>
        <stp>BDH|14342178665331003434</stp>
        <tr r="J162" s="18"/>
      </tp>
      <tp t="e">
        <v>#N/A</v>
        <stp/>
        <stp>BDH|17512452354916506631</stp>
        <tr r="O23" s="6"/>
      </tp>
      <tp t="e">
        <v>#N/A</v>
        <stp/>
        <stp>BDH|10118435060337298325</stp>
        <tr r="D136" s="18"/>
      </tp>
      <tp t="e">
        <v>#N/A</v>
        <stp/>
        <stp>BDH|10290414303791167336</stp>
        <tr r="T180" s="18"/>
      </tp>
      <tp t="e">
        <v>#N/A</v>
        <stp/>
        <stp>BDH|13215631540090484772</stp>
        <tr r="J20" s="22"/>
      </tp>
      <tp t="e">
        <v>#N/A</v>
        <stp/>
        <stp>BDH|16088275456475167225</stp>
        <tr r="M46" s="11"/>
        <tr r="M55" s="10"/>
        <tr r="M7" s="7"/>
        <tr r="O12" s="3"/>
      </tp>
      <tp t="e">
        <v>#N/A</v>
        <stp/>
        <stp>BDH|15259451116075184326</stp>
        <tr r="F22" s="18"/>
      </tp>
      <tp t="e">
        <v>#N/A</v>
        <stp/>
        <stp>BDH|11539246157882064241</stp>
        <tr r="Z19" s="13"/>
        <tr r="X62" s="10"/>
        <tr r="X32" s="4"/>
        <tr r="X16" s="2"/>
      </tp>
      <tp t="e">
        <v>#N/A</v>
        <stp/>
        <stp>BDH|12177011495994646912</stp>
        <tr r="R209" s="18"/>
      </tp>
      <tp t="e">
        <v>#N/A</v>
        <stp/>
        <stp>BDH|18026426397082054178</stp>
        <tr r="R16" s="20"/>
      </tp>
      <tp t="e">
        <v>#N/A</v>
        <stp/>
        <stp>BDH|16883946524742280988</stp>
        <tr r="G19" s="20"/>
      </tp>
      <tp t="e">
        <v>#N/A</v>
        <stp/>
        <stp>BDH|11460025313773690515</stp>
        <tr r="G9" s="29"/>
      </tp>
      <tp t="e">
        <v>#N/A</v>
        <stp/>
        <stp>BDH|15890445677233913307</stp>
        <tr r="P76" s="18"/>
      </tp>
      <tp t="e">
        <v>#N/A</v>
        <stp/>
        <stp>BDH|17684300662693060767</stp>
        <tr r="C42" s="17"/>
      </tp>
      <tp t="e">
        <v>#N/A</v>
        <stp/>
        <stp>BDH|13486624688069972254</stp>
        <tr r="N107" s="18"/>
      </tp>
      <tp t="e">
        <v>#N/A</v>
        <stp/>
        <stp>BDH|11080552916482801190</stp>
        <tr r="R33" s="21"/>
      </tp>
      <tp t="e">
        <v>#N/A</v>
        <stp/>
        <stp>BDH|16370038242075169114</stp>
        <tr r="T11" s="10"/>
        <tr r="T14" s="2"/>
      </tp>
      <tp t="e">
        <v>#N/A</v>
        <stp/>
        <stp>BDH|14622575501986165135</stp>
        <tr r="H18" s="22"/>
      </tp>
      <tp t="e">
        <v>#N/A</v>
        <stp/>
        <stp>BDH|13526807281951317450</stp>
        <tr r="U90" s="17"/>
      </tp>
      <tp t="e">
        <v>#N/A</v>
        <stp/>
        <stp>BDH|12690426781141773904</stp>
        <tr r="S103" s="12"/>
      </tp>
      <tp t="e">
        <v>#N/A</v>
        <stp/>
        <stp>BDH|16819262247757891131</stp>
        <tr r="W163" s="18"/>
      </tp>
      <tp t="e">
        <v>#N/A</v>
        <stp/>
        <stp>BDH|12041857190180561528</stp>
        <tr r="H10" s="13"/>
      </tp>
      <tp t="e">
        <v>#N/A</v>
        <stp/>
        <stp>BDH|10864580391653147928</stp>
        <tr r="V15" s="18"/>
      </tp>
      <tp t="e">
        <v>#N/A</v>
        <stp/>
        <stp>BDH|11568118894109501673</stp>
        <tr r="O46" s="13"/>
      </tp>
      <tp t="e">
        <v>#N/A</v>
        <stp/>
        <stp>BDH|15560624527777166030</stp>
        <tr r="F17" s="20"/>
      </tp>
      <tp t="e">
        <v>#N/A</v>
        <stp/>
        <stp>BDH|18057037797350606702</stp>
        <tr r="I10" s="11"/>
      </tp>
      <tp t="e">
        <v>#N/A</v>
        <stp/>
        <stp>BDH|11613727088169829167</stp>
        <tr r="U20" s="5"/>
      </tp>
      <tp t="e">
        <v>#N/A</v>
        <stp/>
        <stp>BDH|17060709024641288540</stp>
        <tr r="AA29" s="17"/>
      </tp>
      <tp t="e">
        <v>#N/A</v>
        <stp/>
        <stp>BDH|15063091529591737050</stp>
        <tr r="O43" s="22"/>
      </tp>
      <tp t="e">
        <v>#N/A</v>
        <stp/>
        <stp>BDH|16269855010411620834</stp>
        <tr r="M150" s="18"/>
      </tp>
      <tp t="e">
        <v>#N/A</v>
        <stp/>
        <stp>BDH|11482140857212621139</stp>
        <tr r="M112" s="18"/>
      </tp>
      <tp t="e">
        <v>#N/A</v>
        <stp/>
        <stp>BDH|16651130420386777500</stp>
        <tr r="U43" s="29"/>
      </tp>
      <tp t="e">
        <v>#N/A</v>
        <stp/>
        <stp>BDH|17845688358274274688</stp>
        <tr r="H30" s="34"/>
      </tp>
      <tp t="e">
        <v>#N/A</v>
        <stp/>
        <stp>BDH|14202131747790179751</stp>
        <tr r="S8" s="21"/>
      </tp>
      <tp t="e">
        <v>#N/A</v>
        <stp/>
        <stp>BDH|17609854990229963980</stp>
        <tr r="T55" s="12"/>
      </tp>
      <tp t="e">
        <v>#N/A</v>
        <stp/>
        <stp>BDH|15405644059571302186</stp>
        <tr r="Y26" s="7"/>
      </tp>
      <tp t="e">
        <v>#N/A</v>
        <stp/>
        <stp>BDH|12970407768331257711</stp>
        <tr r="O57" s="18"/>
      </tp>
      <tp t="e">
        <v>#N/A</v>
        <stp/>
        <stp>BDH|16796314603771590225</stp>
        <tr r="S162" s="18"/>
      </tp>
      <tp t="e">
        <v>#N/A</v>
        <stp/>
        <stp>BDH|15673087079333130746</stp>
        <tr r="F9" s="22"/>
      </tp>
      <tp t="e">
        <v>#N/A</v>
        <stp/>
        <stp>BDH|14978761832512902465</stp>
        <tr r="E14" s="13"/>
      </tp>
      <tp t="e">
        <v>#N/A</v>
        <stp/>
        <stp>BDH|17361761612460051753</stp>
        <tr r="T66" s="18"/>
      </tp>
      <tp t="e">
        <v>#N/A</v>
        <stp/>
        <stp>BDH|10674653620776729465</stp>
        <tr r="D23" s="12"/>
      </tp>
      <tp t="e">
        <v>#N/A</v>
        <stp/>
        <stp>BDH|11087108125075578123</stp>
        <tr r="Z17" s="21"/>
      </tp>
      <tp t="e">
        <v>#N/A</v>
        <stp/>
        <stp>BDH|15591476130684750078</stp>
        <tr r="C29" s="21"/>
      </tp>
      <tp t="e">
        <v>#N/A</v>
        <stp/>
        <stp>BDH|12743521831456405425</stp>
        <tr r="F26" s="26"/>
      </tp>
      <tp t="e">
        <v>#N/A</v>
        <stp/>
        <stp>BDH|11375397460461937313</stp>
        <tr r="E26" s="11"/>
        <tr r="E35" s="10"/>
      </tp>
      <tp t="e">
        <v>#N/A</v>
        <stp/>
        <stp>BDH|17578263834452347260</stp>
        <tr r="V165" s="18"/>
      </tp>
      <tp t="e">
        <v>#N/A</v>
        <stp/>
        <stp>BDH|15232741745135089560</stp>
        <tr r="J26" s="29"/>
      </tp>
      <tp t="e">
        <v>#N/A</v>
        <stp/>
        <stp>BDH|10230128864856897791</stp>
        <tr r="L21" s="30"/>
      </tp>
      <tp t="e">
        <v>#N/A</v>
        <stp/>
        <stp>BDH|18216887441202870068</stp>
        <tr r="I32" s="24"/>
      </tp>
      <tp t="e">
        <v>#N/A</v>
        <stp/>
        <stp>BDH|13548250550931543303</stp>
        <tr r="M57" s="34"/>
      </tp>
      <tp t="e">
        <v>#N/A</v>
        <stp/>
        <stp>BDH|14807935271684890870</stp>
        <tr r="J57" s="17"/>
      </tp>
      <tp t="e">
        <v>#N/A</v>
        <stp/>
        <stp>BDH|15800255469532628578</stp>
        <tr r="J100" s="12"/>
      </tp>
      <tp t="e">
        <v>#N/A</v>
        <stp/>
        <stp>BDH|15793964491486368565</stp>
        <tr r="F10" s="17"/>
      </tp>
      <tp t="e">
        <v>#N/A</v>
        <stp/>
        <stp>BDH|17740291618766101428</stp>
        <tr r="J39" s="24"/>
      </tp>
      <tp t="e">
        <v>#N/A</v>
        <stp/>
        <stp>BDH|18428600995662687326</stp>
        <tr r="S98" s="12"/>
      </tp>
      <tp t="e">
        <v>#N/A</v>
        <stp/>
        <stp>BDH|11769386243099819918</stp>
        <tr r="S40" s="18"/>
      </tp>
      <tp t="e">
        <v>#N/A</v>
        <stp/>
        <stp>BDH|14514509328454048181</stp>
        <tr r="U13" s="34"/>
      </tp>
      <tp t="e">
        <v>#N/A</v>
        <stp/>
        <stp>BDH|13461545514504881597</stp>
        <tr r="E172" s="18"/>
      </tp>
      <tp t="e">
        <v>#N/A</v>
        <stp/>
        <stp>BDH|16135237634850046131</stp>
        <tr r="D34" s="21"/>
      </tp>
      <tp t="e">
        <v>#N/A</v>
        <stp/>
        <stp>BDH|17677078517648176827</stp>
        <tr r="U61" s="34"/>
      </tp>
      <tp t="e">
        <v>#N/A</v>
        <stp/>
        <stp>BDH|11105541759561959609</stp>
        <tr r="K16" s="6"/>
      </tp>
      <tp t="e">
        <v>#N/A</v>
        <stp/>
        <stp>BDH|16352065736602275149</stp>
        <tr r="X23" s="17"/>
      </tp>
      <tp t="e">
        <v>#N/A</v>
        <stp/>
        <stp>BDH|16444661935953300613</stp>
        <tr r="K72" s="34"/>
      </tp>
      <tp t="e">
        <v>#N/A</v>
        <stp/>
        <stp>BDH|12245041900544563069</stp>
        <tr r="P6" s="20"/>
        <tr r="P116" s="18"/>
      </tp>
      <tp t="e">
        <v>#N/A</v>
        <stp/>
        <stp>BDH|17555444843867650613</stp>
        <tr r="H6" s="19"/>
        <tr r="H37" s="17"/>
        <tr r="H16" s="3"/>
      </tp>
      <tp t="e">
        <v>#N/A</v>
        <stp/>
        <stp>BDH|16583425466734121657</stp>
        <tr r="I30" s="18"/>
      </tp>
      <tp t="e">
        <v>#N/A</v>
        <stp/>
        <stp>BDH|13495041714602536642</stp>
        <tr r="X17" s="22"/>
      </tp>
      <tp t="e">
        <v>#N/A</v>
        <stp/>
        <stp>BDH|17869063703554898506</stp>
        <tr r="Y9" s="11"/>
      </tp>
      <tp t="e">
        <v>#N/A</v>
        <stp/>
        <stp>BDH|18144783881818806951</stp>
        <tr r="M94" s="17"/>
      </tp>
      <tp t="e">
        <v>#N/A</v>
        <stp/>
        <stp>BDH|10222618677216846192</stp>
        <tr r="N75" s="17"/>
      </tp>
      <tp t="e">
        <v>#N/A</v>
        <stp/>
        <stp>BDH|15243568304767409116</stp>
        <tr r="AA63" s="34"/>
      </tp>
      <tp t="e">
        <v>#N/A</v>
        <stp/>
        <stp>BDH|18434960438830638495</stp>
        <tr r="F9" s="12"/>
      </tp>
      <tp t="e">
        <v>#N/A</v>
        <stp/>
        <stp>BDH|15844617058098488806</stp>
        <tr r="C106" s="18"/>
      </tp>
      <tp t="e">
        <v>#N/A</v>
        <stp/>
        <stp>BDH|11059214726970619745</stp>
        <tr r="AA69" s="34"/>
      </tp>
      <tp t="e">
        <v>#N/A</v>
        <stp/>
        <stp>BDH|15996373250160931524</stp>
        <tr r="I24" s="29"/>
      </tp>
      <tp t="e">
        <v>#N/A</v>
        <stp/>
        <stp>BDH|11181195272248648998</stp>
        <tr r="I171" s="18"/>
      </tp>
      <tp t="e">
        <v>#N/A</v>
        <stp/>
        <stp>BDH|15955486761601375061</stp>
        <tr r="R20" s="28"/>
        <tr r="R17" s="17"/>
      </tp>
      <tp t="e">
        <v>#N/A</v>
        <stp/>
        <stp>BDH|15306546147111246370</stp>
        <tr r="R56" s="6"/>
      </tp>
      <tp t="e">
        <v>#N/A</v>
        <stp/>
        <stp>BDH|17517962532543206865</stp>
        <tr r="X50" s="17"/>
      </tp>
      <tp t="e">
        <v>#N/A</v>
        <stp/>
        <stp>BDH|16289171761544372329</stp>
        <tr r="H29" s="4"/>
      </tp>
      <tp t="e">
        <v>#N/A</v>
        <stp/>
        <stp>BDH|13506868215419481576</stp>
        <tr r="J59" s="17"/>
      </tp>
      <tp t="e">
        <v>#N/A</v>
        <stp/>
        <stp>BDH|14513155503107041463</stp>
        <tr r="D64" s="17"/>
      </tp>
      <tp t="e">
        <v>#N/A</v>
        <stp/>
        <stp>BDH|16924398873620078469</stp>
        <tr r="Y84" s="18"/>
      </tp>
      <tp t="e">
        <v>#N/A</v>
        <stp/>
        <stp>BDH|17891792403011502729</stp>
        <tr r="W55" s="34"/>
      </tp>
      <tp t="e">
        <v>#N/A</v>
        <stp/>
        <stp>BDH|12477280076720864174</stp>
        <tr r="E63" s="13"/>
      </tp>
      <tp t="e">
        <v>#N/A</v>
        <stp/>
        <stp>BDH|16789014028156984424</stp>
        <tr r="Q51" s="17"/>
      </tp>
      <tp t="e">
        <v>#N/A</v>
        <stp/>
        <stp>BDH|10580459033554173572</stp>
        <tr r="T94" s="24"/>
      </tp>
      <tp t="e">
        <v>#N/A</v>
        <stp/>
        <stp>BDH|11816701918764739525</stp>
        <tr r="J7" s="17"/>
      </tp>
      <tp t="e">
        <v>#N/A</v>
        <stp/>
        <stp>BDH|14620270552537077260</stp>
        <tr r="J148" s="18"/>
      </tp>
      <tp t="e">
        <v>#N/A</v>
        <stp/>
        <stp>BDH|16664887701569904134</stp>
        <tr r="Q9" s="20"/>
        <tr r="Q119" s="18"/>
      </tp>
      <tp t="e">
        <v>#N/A</v>
        <stp/>
        <stp>BDH|12627922641120903991</stp>
        <tr r="J39" s="6"/>
      </tp>
      <tp t="e">
        <v>#N/A</v>
        <stp/>
        <stp>BDH|15521497018295276337</stp>
        <tr r="H22" s="18"/>
      </tp>
      <tp t="e">
        <v>#N/A</v>
        <stp/>
        <stp>BDH|14690216001430643058</stp>
        <tr r="AA33" s="12"/>
      </tp>
      <tp t="e">
        <v>#N/A</v>
        <stp/>
        <stp>BDH|14426299737725880673</stp>
        <tr r="N14" s="10"/>
      </tp>
      <tp t="e">
        <v>#N/A</v>
        <stp/>
        <stp>BDH|10260609827363422148</stp>
        <tr r="L49" s="13"/>
      </tp>
      <tp t="e">
        <v>#N/A</v>
        <stp/>
        <stp>BDH|16131574948691348083</stp>
        <tr r="H95" s="18"/>
      </tp>
      <tp t="e">
        <v>#N/A</v>
        <stp/>
        <stp>BDH|17784310827392742239</stp>
        <tr r="E49" s="18"/>
      </tp>
      <tp t="e">
        <v>#N/A</v>
        <stp/>
        <stp>BDH|10901253850328005995</stp>
        <tr r="T43" s="29"/>
      </tp>
      <tp t="e">
        <v>#N/A</v>
        <stp/>
        <stp>BDH|16598513903883501677</stp>
        <tr r="I35" s="13"/>
        <tr r="G28" s="10"/>
      </tp>
      <tp t="e">
        <v>#N/A</v>
        <stp/>
        <stp>BDH|11859778401339838938</stp>
        <tr r="S14" s="28"/>
      </tp>
      <tp t="e">
        <v>#N/A</v>
        <stp/>
        <stp>BDH|12992864136177894840</stp>
        <tr r="R7" s="30"/>
      </tp>
      <tp t="e">
        <v>#N/A</v>
        <stp/>
        <stp>BDH|16962017917030974132</stp>
        <tr r="T72" s="34"/>
      </tp>
      <tp t="e">
        <v>#N/A</v>
        <stp/>
        <stp>BDH|12441927896052437614</stp>
        <tr r="T67" s="12"/>
      </tp>
      <tp t="e">
        <v>#N/A</v>
        <stp/>
        <stp>BDH|13446465022816546509</stp>
        <tr r="N21" s="22"/>
      </tp>
      <tp t="e">
        <v>#N/A</v>
        <stp/>
        <stp>BDH|17939293955462137413</stp>
        <tr r="F119" s="12"/>
      </tp>
      <tp t="e">
        <v>#N/A</v>
        <stp/>
        <stp>BDH|12536575470276307040</stp>
        <tr r="P44" s="6"/>
      </tp>
      <tp t="e">
        <v>#N/A</v>
        <stp/>
        <stp>BDH|10352726171626588016</stp>
        <tr r="C213" s="18"/>
      </tp>
      <tp t="e">
        <v>#N/A</v>
        <stp/>
        <stp>BDH|12132307873603289341</stp>
        <tr r="T76" s="12"/>
      </tp>
      <tp t="e">
        <v>#N/A</v>
        <stp/>
        <stp>BDH|13305778825617055751</stp>
        <tr r="Q23" s="6"/>
      </tp>
      <tp t="e">
        <v>#N/A</v>
        <stp/>
        <stp>BDH|13515749265411733575</stp>
        <tr r="E10" s="18"/>
      </tp>
      <tp t="e">
        <v>#N/A</v>
        <stp/>
        <stp>BDH|13090550606559113967</stp>
        <tr r="Z28" s="13"/>
      </tp>
      <tp t="e">
        <v>#N/A</v>
        <stp/>
        <stp>BDH|10707880411287298881</stp>
        <tr r="H8" s="23"/>
      </tp>
      <tp t="e">
        <v>#N/A</v>
        <stp/>
        <stp>BDH|11398332866221621341</stp>
        <tr r="T77" s="18"/>
      </tp>
      <tp t="e">
        <v>#N/A</v>
        <stp/>
        <stp>BDH|11223418628297666697</stp>
        <tr r="M7" s="4"/>
      </tp>
      <tp t="e">
        <v>#N/A</v>
        <stp/>
        <stp>BDH|13764450820880341353</stp>
        <tr r="M24" s="21"/>
      </tp>
      <tp t="e">
        <v>#N/A</v>
        <stp/>
        <stp>BDH|10577628173723770476</stp>
        <tr r="J175" s="18"/>
      </tp>
      <tp t="e">
        <v>#N/A</v>
        <stp/>
        <stp>BDH|17515781292906959924</stp>
        <tr r="O23" s="20"/>
      </tp>
      <tp t="e">
        <v>#N/A</v>
        <stp/>
        <stp>BDH|15685547056884574758</stp>
        <tr r="D46" s="6"/>
        <tr r="D19" s="5"/>
      </tp>
      <tp t="e">
        <v>#N/A</v>
        <stp/>
        <stp>BDH|17636821706260284940</stp>
        <tr r="P199" s="18"/>
      </tp>
      <tp t="e">
        <v>#N/A</v>
        <stp/>
        <stp>BDH|15055878087710106352</stp>
        <tr r="G19" s="17"/>
      </tp>
      <tp t="e">
        <v>#N/A</v>
        <stp/>
        <stp>BDH|13677509845943487730</stp>
        <tr r="J169" s="18"/>
      </tp>
      <tp t="e">
        <v>#N/A</v>
        <stp/>
        <stp>BDH|18152686380771498192</stp>
        <tr r="I22" s="14"/>
      </tp>
      <tp t="e">
        <v>#N/A</v>
        <stp/>
        <stp>BDH|15508003750316069019</stp>
        <tr r="Z189" s="18"/>
      </tp>
      <tp t="e">
        <v>#N/A</v>
        <stp/>
        <stp>BDH|15890646458101945195</stp>
        <tr r="E18" s="25"/>
      </tp>
      <tp t="e">
        <v>#N/A</v>
        <stp/>
        <stp>BDH|10092165273413813396</stp>
        <tr r="S90" s="12"/>
      </tp>
      <tp t="e">
        <v>#N/A</v>
        <stp/>
        <stp>BDH|11240058981718765753</stp>
        <tr r="U26" s="14"/>
      </tp>
      <tp t="e">
        <v>#N/A</v>
        <stp/>
        <stp>BDH|17328533285104085816</stp>
        <tr r="W10" s="13"/>
      </tp>
      <tp t="e">
        <v>#N/A</v>
        <stp/>
        <stp>BDH|12078947141138484157</stp>
        <tr r="W92" s="24"/>
      </tp>
      <tp t="e">
        <v>#N/A</v>
        <stp/>
        <stp>BDH|14845445359700911389</stp>
        <tr r="Z64" s="12"/>
      </tp>
      <tp t="e">
        <v>#N/A</v>
        <stp/>
        <stp>BDH|15390338023686225458</stp>
        <tr r="N30" s="14"/>
      </tp>
      <tp t="e">
        <v>#N/A</v>
        <stp/>
        <stp>BDH|17447170762856439012</stp>
        <tr r="F10" s="13"/>
      </tp>
      <tp t="e">
        <v>#N/A</v>
        <stp/>
        <stp>BDH|13565045482229658419</stp>
        <tr r="F57" s="12"/>
      </tp>
      <tp t="e">
        <v>#N/A</v>
        <stp/>
        <stp>BDH|18205208886943182714</stp>
        <tr r="X39" s="13"/>
        <tr r="V32" s="10"/>
      </tp>
      <tp t="e">
        <v>#N/A</v>
        <stp/>
        <stp>BDH|15642131869603890707</stp>
        <tr r="Y34" s="29"/>
      </tp>
      <tp t="e">
        <v>#N/A</v>
        <stp/>
        <stp>BDH|12518037237887741027</stp>
        <tr r="M47" s="21"/>
      </tp>
      <tp t="e">
        <v>#N/A</v>
        <stp/>
        <stp>BDH|16958049321911096380</stp>
        <tr r="Y33" s="18"/>
      </tp>
      <tp t="e">
        <v>#N/A</v>
        <stp/>
        <stp>BDH|12140621532122600338</stp>
        <tr r="T19" s="18"/>
      </tp>
      <tp t="e">
        <v>#N/A</v>
        <stp/>
        <stp>BDH|10877540778657294324</stp>
        <tr r="S60" s="18"/>
      </tp>
      <tp t="e">
        <v>#N/A</v>
        <stp/>
        <stp>BDH|12208146923883309422</stp>
        <tr r="X38" s="29"/>
        <tr r="X15" s="29"/>
      </tp>
      <tp t="e">
        <v>#N/A</v>
        <stp/>
        <stp>BDH|17894997715228843184</stp>
        <tr r="E31" s="21"/>
      </tp>
      <tp t="e">
        <v>#N/A</v>
        <stp/>
        <stp>BDH|13409588060205197390</stp>
        <tr r="U23" s="13"/>
      </tp>
      <tp t="e">
        <v>#N/A</v>
        <stp/>
        <stp>BDH|13879595286790577861</stp>
        <tr r="O9" s="17"/>
      </tp>
      <tp t="e">
        <v>#N/A</v>
        <stp/>
        <stp>BDH|15850493834257173301</stp>
        <tr r="D22" s="10"/>
      </tp>
      <tp t="e">
        <v>#N/A</v>
        <stp/>
        <stp>BDH|15785543466828108801</stp>
        <tr r="S65" s="12"/>
      </tp>
      <tp t="e">
        <v>#N/A</v>
        <stp/>
        <stp>BDH|16074343545470472715</stp>
        <tr r="M152" s="18"/>
      </tp>
      <tp t="e">
        <v>#N/A</v>
        <stp/>
        <stp>BDH|17736883883509115895</stp>
        <tr r="G50" s="12"/>
      </tp>
      <tp t="e">
        <v>#N/A</v>
        <stp/>
        <stp>BDH|14002413462820781002</stp>
        <tr r="H24" s="27"/>
      </tp>
      <tp t="e">
        <v>#N/A</v>
        <stp/>
        <stp>BDH|14957928865495393891</stp>
        <tr r="P108" s="18"/>
      </tp>
      <tp t="e">
        <v>#N/A</v>
        <stp/>
        <stp>BDH|15829433351467928576</stp>
        <tr r="H27" s="17"/>
      </tp>
      <tp t="e">
        <v>#N/A</v>
        <stp/>
        <stp>BDH|17490756740901433314</stp>
        <tr r="M22" s="22"/>
      </tp>
      <tp t="e">
        <v>#N/A</v>
        <stp/>
        <stp>BDH|17582039966382443507</stp>
        <tr r="O43" s="24"/>
      </tp>
      <tp t="e">
        <v>#N/A</v>
        <stp/>
        <stp>BDH|15599410433963004730</stp>
        <tr r="X23" s="12"/>
      </tp>
      <tp t="e">
        <v>#N/A</v>
        <stp/>
        <stp>BDH|15152843537100519836</stp>
        <tr r="Q39" s="11"/>
        <tr r="Q27" s="11"/>
        <tr r="Q48" s="10"/>
        <tr r="Q36" s="10"/>
      </tp>
      <tp t="e">
        <v>#N/A</v>
        <stp/>
        <stp>BDH|16323862169259169794</stp>
        <tr r="V68" s="24"/>
      </tp>
      <tp t="e">
        <v>#N/A</v>
        <stp/>
        <stp>BDH|17216176944772073657</stp>
        <tr r="O38" s="34"/>
      </tp>
      <tp t="e">
        <v>#N/A</v>
        <stp/>
        <stp>BDH|10714977490437411103</stp>
        <tr r="L23" s="17"/>
      </tp>
      <tp t="e">
        <v>#N/A</v>
        <stp/>
        <stp>BDH|12030502151770178446</stp>
        <tr r="S97" s="17"/>
      </tp>
      <tp t="e">
        <v>#N/A</v>
        <stp/>
        <stp>BDH|16322038246251284507</stp>
        <tr r="R27" s="34"/>
      </tp>
      <tp t="e">
        <v>#N/A</v>
        <stp/>
        <stp>BDH|12548510645923330668</stp>
        <tr r="S121" s="12"/>
      </tp>
      <tp t="e">
        <v>#N/A</v>
        <stp/>
        <stp>BDH|16374361566293277655</stp>
        <tr r="W25" s="11"/>
        <tr r="W34" s="10"/>
      </tp>
      <tp t="e">
        <v>#N/A</v>
        <stp/>
        <stp>BDH|17522730464695758517</stp>
        <tr r="J65" s="21"/>
        <tr r="H23" s="7"/>
      </tp>
      <tp t="e">
        <v>#N/A</v>
        <stp/>
        <stp>BDH|10920888892082186564</stp>
        <tr r="AA35" s="25"/>
      </tp>
      <tp t="e">
        <v>#N/A</v>
        <stp/>
        <stp>BDH|17539271331186122667</stp>
        <tr r="T81" s="24"/>
      </tp>
      <tp t="e">
        <v>#N/A</v>
        <stp/>
        <stp>BDH|10363838411679293677</stp>
        <tr r="C12" s="25"/>
      </tp>
      <tp t="e">
        <v>#N/A</v>
        <stp/>
        <stp>BDH|14225337779653845541</stp>
        <tr r="Y63" s="10"/>
      </tp>
      <tp t="e">
        <v>#N/A</v>
        <stp/>
        <stp>BDH|12135743937683122371</stp>
        <tr r="X25" s="26"/>
      </tp>
      <tp t="e">
        <v>#N/A</v>
        <stp/>
        <stp>BDH|16267246752851397634</stp>
        <tr r="C27" s="34"/>
      </tp>
      <tp t="e">
        <v>#N/A</v>
        <stp/>
        <stp>BDH|16935147976846900068</stp>
        <tr r="V9" s="22"/>
      </tp>
      <tp t="e">
        <v>#N/A</v>
        <stp/>
        <stp>BDH|14005000074611552457</stp>
        <tr r="Y31" s="12"/>
      </tp>
      <tp t="e">
        <v>#N/A</v>
        <stp/>
        <stp>BDH|15525331474401711612</stp>
        <tr r="R35" s="18"/>
      </tp>
      <tp t="e">
        <v>#N/A</v>
        <stp/>
        <stp>BDH|11963575804834520682</stp>
        <tr r="V21" s="18"/>
      </tp>
      <tp t="e">
        <v>#N/A</v>
        <stp/>
        <stp>BDH|16738016957736315359</stp>
        <tr r="N66" s="17"/>
      </tp>
      <tp t="e">
        <v>#N/A</v>
        <stp/>
        <stp>BDH|11600514052953175430</stp>
        <tr r="X47" s="12"/>
      </tp>
      <tp t="e">
        <v>#N/A</v>
        <stp/>
        <stp>BDH|10506258117525138017</stp>
        <tr r="X34" s="11"/>
        <tr r="X43" s="10"/>
      </tp>
      <tp t="e">
        <v>#N/A</v>
        <stp/>
        <stp>BDH|16916047578027262009</stp>
        <tr r="H21" s="10"/>
      </tp>
      <tp t="e">
        <v>#N/A</v>
        <stp/>
        <stp>BDH|13144335563281221149</stp>
        <tr r="H48" s="18"/>
      </tp>
      <tp t="e">
        <v>#N/A</v>
        <stp/>
        <stp>BDH|13630894638617001909</stp>
        <tr r="F73" s="34"/>
      </tp>
      <tp t="e">
        <v>#N/A</v>
        <stp/>
        <stp>BDH|14859962318992472851</stp>
        <tr r="R26" s="6"/>
      </tp>
      <tp t="e">
        <v>#N/A</v>
        <stp/>
        <stp>BDH|14192152176762616635</stp>
        <tr r="Z9" s="20"/>
        <tr r="Z119" s="18"/>
      </tp>
      <tp t="e">
        <v>#N/A</v>
        <stp/>
        <stp>BDH|16508131156935228152</stp>
        <tr r="T58" s="13"/>
        <tr r="R47" s="11"/>
        <tr r="R56" s="10"/>
        <tr r="R17" s="7"/>
        <tr r="R17" s="4"/>
        <tr r="T10" s="3"/>
      </tp>
      <tp t="e">
        <v>#N/A</v>
        <stp/>
        <stp>BDH|13303079727962579519</stp>
        <tr r="O100" s="12"/>
      </tp>
      <tp t="e">
        <v>#N/A</v>
        <stp/>
        <stp>BDH|13517194578913555067</stp>
        <tr r="N7" s="14"/>
      </tp>
      <tp t="e">
        <v>#N/A</v>
        <stp/>
        <stp>BDH|12500293974998720986</stp>
        <tr r="O31" s="17"/>
      </tp>
      <tp t="e">
        <v>#N/A</v>
        <stp/>
        <stp>BDH|16044431585528159408</stp>
        <tr r="N12" s="18"/>
      </tp>
      <tp t="e">
        <v>#N/A</v>
        <stp/>
        <stp>BDH|12253916140568598113</stp>
        <tr r="O114" s="12"/>
      </tp>
      <tp t="e">
        <v>#N/A</v>
        <stp/>
        <stp>BDH|14396136214750619255</stp>
        <tr r="U48" s="24"/>
      </tp>
      <tp t="e">
        <v>#N/A</v>
        <stp/>
        <stp>BDH|14091780058668531820</stp>
        <tr r="Q205" s="18"/>
      </tp>
      <tp t="e">
        <v>#N/A</v>
        <stp/>
        <stp>BDH|17416231233002454279</stp>
        <tr r="D33" s="11"/>
        <tr r="D42" s="10"/>
      </tp>
      <tp t="e">
        <v>#N/A</v>
        <stp/>
        <stp>BDH|15522055254383426575</stp>
        <tr r="N67" s="34"/>
      </tp>
      <tp t="e">
        <v>#N/A</v>
        <stp/>
        <stp>BDH|16154621463112114267</stp>
        <tr r="S21" s="14"/>
      </tp>
      <tp t="e">
        <v>#N/A</v>
        <stp/>
        <stp>BDH|14612436562870292025</stp>
        <tr r="L6" s="28"/>
      </tp>
      <tp t="e">
        <v>#N/A</v>
        <stp/>
        <stp>BDH|18078128008826936946</stp>
        <tr r="E13" s="24"/>
      </tp>
      <tp t="e">
        <v>#N/A</v>
        <stp/>
        <stp>BDH|11047693948900151579</stp>
        <tr r="T28" s="13"/>
      </tp>
      <tp t="e">
        <v>#N/A</v>
        <stp/>
        <stp>BDH|14154187789419519225</stp>
        <tr r="D14" s="12"/>
      </tp>
      <tp t="e">
        <v>#N/A</v>
        <stp/>
        <stp>BDH|11079971196524353357</stp>
        <tr r="K16" s="26"/>
      </tp>
      <tp t="e">
        <v>#N/A</v>
        <stp/>
        <stp>BDH|15485432545026089553</stp>
        <tr r="Y194" s="18"/>
      </tp>
      <tp t="e">
        <v>#N/A</v>
        <stp/>
        <stp>BDH|16764260879343632697</stp>
        <tr r="U8" s="26"/>
        <tr r="R10" s="9"/>
      </tp>
      <tp t="e">
        <v>#N/A</v>
        <stp/>
        <stp>BDH|12640802493715114030</stp>
        <tr r="U101" s="12"/>
      </tp>
      <tp t="e">
        <v>#N/A</v>
        <stp/>
        <stp>BDH|11219549824395488513</stp>
        <tr r="F43" s="24"/>
      </tp>
      <tp t="e">
        <v>#N/A</v>
        <stp/>
        <stp>BDH|17215036065340602754</stp>
        <tr r="K45" s="17"/>
      </tp>
      <tp t="e">
        <v>#N/A</v>
        <stp/>
        <stp>BDH|14582028421539309922</stp>
        <tr r="Q70" s="17"/>
        <tr r="Q18" s="3"/>
      </tp>
      <tp t="e">
        <v>#N/A</v>
        <stp/>
        <stp>BDH|12443806730389024634</stp>
        <tr r="H14" s="6"/>
      </tp>
      <tp t="e">
        <v>#N/A</v>
        <stp/>
        <stp>BDH|15662240223205764615</stp>
        <tr r="F34" s="24"/>
      </tp>
      <tp t="e">
        <v>#N/A</v>
        <stp/>
        <stp>BDH|15479840661169578436</stp>
        <tr r="O70" s="13"/>
        <tr r="M49" s="11"/>
        <tr r="M58" s="10"/>
        <tr r="M19" s="7"/>
        <tr r="M18" s="4"/>
        <tr r="M20" s="2"/>
      </tp>
      <tp t="e">
        <v>#N/A</v>
        <stp/>
        <stp>BDH|11807894892691469702</stp>
        <tr r="S20" s="17"/>
      </tp>
      <tp t="e">
        <v>#N/A</v>
        <stp/>
        <stp>BDH|14835560908301937685</stp>
        <tr r="L32" s="29"/>
        <tr r="J34" s="5"/>
      </tp>
      <tp t="e">
        <v>#N/A</v>
        <stp/>
        <stp>BDH|10514034725832280663</stp>
        <tr r="D114" s="18"/>
      </tp>
      <tp t="e">
        <v>#N/A</v>
        <stp/>
        <stp>BDH|12442094149549308900</stp>
        <tr r="C19" s="10"/>
      </tp>
      <tp t="e">
        <v>#N/A</v>
        <stp/>
        <stp>BDH|15179141711072101123</stp>
        <tr r="O24" s="18"/>
      </tp>
      <tp t="e">
        <v>#N/A</v>
        <stp/>
        <stp>BDH|11046542271156271305</stp>
        <tr r="V59" s="24"/>
      </tp>
      <tp t="e">
        <v>#N/A</v>
        <stp/>
        <stp>BDH|12923884767913085912</stp>
        <tr r="Q35" s="14"/>
      </tp>
      <tp t="e">
        <v>#N/A</v>
        <stp/>
        <stp>BDH|13157031874490126206</stp>
        <tr r="U14" s="21"/>
      </tp>
      <tp t="e">
        <v>#N/A</v>
        <stp/>
        <stp>BDH|15094095019165306756</stp>
        <tr r="S86" s="18"/>
      </tp>
      <tp t="e">
        <v>#N/A</v>
        <stp/>
        <stp>BDH|17279506235482187506</stp>
        <tr r="X14" s="12"/>
      </tp>
      <tp t="e">
        <v>#N/A</v>
        <stp/>
        <stp>BDH|11883357602433831713</stp>
        <tr r="J141" s="18"/>
      </tp>
      <tp t="e">
        <v>#N/A</v>
        <stp/>
        <stp>BDH|17132670443961297218</stp>
        <tr r="Q17" s="13"/>
      </tp>
      <tp t="e">
        <v>#N/A</v>
        <stp/>
        <stp>BDH|17372646170333397320</stp>
        <tr r="N11" s="21"/>
      </tp>
      <tp t="e">
        <v>#N/A</v>
        <stp/>
        <stp>BDH|12866379498636638870</stp>
        <tr r="E101" s="12"/>
      </tp>
      <tp t="e">
        <v>#N/A</v>
        <stp/>
        <stp>BDH|10804407350875772292</stp>
        <tr r="M127" s="18"/>
      </tp>
      <tp t="e">
        <v>#N/A</v>
        <stp/>
        <stp>BDH|18364958669769855815</stp>
        <tr r="U44" s="12"/>
      </tp>
      <tp t="e">
        <v>#N/A</v>
        <stp/>
        <stp>BDH|16278769833572144606</stp>
        <tr r="K22" s="14"/>
      </tp>
      <tp t="e">
        <v>#N/A</v>
        <stp/>
        <stp>BDH|14482468243887603510</stp>
        <tr r="AA9" s="17"/>
      </tp>
      <tp t="e">
        <v>#N/A</v>
        <stp/>
        <stp>BDH|16041534925431327639</stp>
        <tr r="G42" s="34"/>
      </tp>
      <tp t="e">
        <v>#N/A</v>
        <stp/>
        <stp>BDH|17996965696735916465</stp>
        <tr r="P59" s="24"/>
      </tp>
      <tp t="e">
        <v>#N/A</v>
        <stp/>
        <stp>BDH|15835048503675176685</stp>
        <tr r="G31" s="26"/>
        <tr r="D14" s="9"/>
      </tp>
      <tp t="e">
        <v>#N/A</v>
        <stp/>
        <stp>BDH|15518363045833518754</stp>
        <tr r="W54" s="13"/>
      </tp>
      <tp t="e">
        <v>#N/A</v>
        <stp/>
        <stp>BDH|11499591273660104590</stp>
        <tr r="Q99" s="18"/>
      </tp>
      <tp t="e">
        <v>#N/A</v>
        <stp/>
        <stp>BDH|15449713960996160426</stp>
        <tr r="V38" s="29"/>
        <tr r="V15" s="29"/>
      </tp>
      <tp t="e">
        <v>#N/A</v>
        <stp/>
        <stp>BDH|14096157304260742306</stp>
        <tr r="U17" s="9"/>
      </tp>
      <tp t="e">
        <v>#N/A</v>
        <stp/>
        <stp>BDH|15250685633816817077</stp>
        <tr r="O209" s="18"/>
      </tp>
      <tp t="e">
        <v>#N/A</v>
        <stp/>
        <stp>BDH|14478169076671531576</stp>
        <tr r="G148" s="18"/>
      </tp>
      <tp t="e">
        <v>#N/A</v>
        <stp/>
        <stp>BDH|16543612759543998026</stp>
        <tr r="E19" s="17"/>
      </tp>
      <tp t="e">
        <v>#N/A</v>
        <stp/>
        <stp>BDH|16052469763844206618</stp>
        <tr r="Y121" s="12"/>
      </tp>
      <tp t="e">
        <v>#N/A</v>
        <stp/>
        <stp>BDH|17011832167527284802</stp>
        <tr r="T60" s="18"/>
      </tp>
      <tp t="e">
        <v>#N/A</v>
        <stp/>
        <stp>BDH|12870492131545456629</stp>
        <tr r="M74" s="12"/>
      </tp>
      <tp t="e">
        <v>#N/A</v>
        <stp/>
        <stp>BDH|17102754726704587017</stp>
        <tr r="H140" s="18"/>
      </tp>
      <tp t="e">
        <v>#N/A</v>
        <stp/>
        <stp>BDH|17898182915446707743</stp>
        <tr r="Z121" s="12"/>
      </tp>
      <tp t="e">
        <v>#N/A</v>
        <stp/>
        <stp>BDH|11790929288941239799</stp>
        <tr r="L49" s="24"/>
      </tp>
      <tp t="e">
        <v>#N/A</v>
        <stp/>
        <stp>BDH|10964087511337649005</stp>
        <tr r="V13" s="20"/>
        <tr r="V122" s="18"/>
      </tp>
      <tp t="e">
        <v>#N/A</v>
        <stp/>
        <stp>BDH|17502154651942277759</stp>
        <tr r="W36" s="29"/>
        <tr r="W22" s="29"/>
        <tr r="W13" s="29"/>
      </tp>
      <tp t="e">
        <v>#N/A</v>
        <stp/>
        <stp>BDH|10852032664065164582</stp>
        <tr r="P24" s="2"/>
      </tp>
      <tp t="e">
        <v>#N/A</v>
        <stp/>
        <stp>BDH|12230362550512522075</stp>
        <tr r="Z63" s="18"/>
      </tp>
      <tp t="e">
        <v>#N/A</v>
        <stp/>
        <stp>BDH|13303423409500754190</stp>
        <tr r="G9" s="34"/>
      </tp>
      <tp t="e">
        <v>#N/A</v>
        <stp/>
        <stp>BDH|14349347509312935311</stp>
        <tr r="X53" s="21"/>
      </tp>
      <tp t="e">
        <v>#N/A</v>
        <stp/>
        <stp>BDH|10155647633510408345</stp>
        <tr r="Z55" s="13"/>
        <tr r="X37" s="11"/>
        <tr r="X46" s="10"/>
        <tr r="X53" s="4"/>
        <tr r="X18" s="2"/>
      </tp>
      <tp t="e">
        <v>#N/A</v>
        <stp/>
        <stp>BDH|10911435641550526681</stp>
        <tr r="U108" s="18"/>
      </tp>
      <tp t="e">
        <v>#N/A</v>
        <stp/>
        <stp>BDH|15535621291598938496</stp>
        <tr r="O33" s="24"/>
      </tp>
      <tp t="e">
        <v>#N/A</v>
        <stp/>
        <stp>BDH|11432643641655102064</stp>
        <tr r="N47" s="12"/>
      </tp>
      <tp t="e">
        <v>#N/A</v>
        <stp/>
        <stp>BDH|11000449799138893230</stp>
        <tr r="Q17" s="18"/>
      </tp>
      <tp t="e">
        <v>#N/A</v>
        <stp/>
        <stp>BDH|12484838086076304241</stp>
        <tr r="S66" s="13"/>
      </tp>
      <tp t="e">
        <v>#N/A</v>
        <stp/>
        <stp>BDH|14370502440124711724</stp>
        <tr r="R40" s="18"/>
      </tp>
      <tp t="e">
        <v>#N/A</v>
        <stp/>
        <stp>BDH|11456740307503226333</stp>
        <tr r="AA54" s="12"/>
      </tp>
      <tp t="e">
        <v>#N/A</v>
        <stp/>
        <stp>BDH|14762998103548898332</stp>
        <tr r="U18" s="28"/>
        <tr r="U15" s="17"/>
      </tp>
      <tp t="e">
        <v>#N/A</v>
        <stp/>
        <stp>BDH|15570590639452274714</stp>
        <tr r="Z20" s="23"/>
      </tp>
      <tp t="e">
        <v>#N/A</v>
        <stp/>
        <stp>BDH|18300555214883589915</stp>
        <tr r="Y85" s="17"/>
        <tr r="W6" s="7"/>
        <tr r="Y20" s="3"/>
      </tp>
      <tp t="e">
        <v>#N/A</v>
        <stp/>
        <stp>BDH|16224548071876245431</stp>
        <tr r="N136" s="18"/>
      </tp>
      <tp t="e">
        <v>#N/A</v>
        <stp/>
        <stp>BDH|16230761246456296568</stp>
        <tr r="Y61" s="17"/>
      </tp>
      <tp t="e">
        <v>#N/A</v>
        <stp/>
        <stp>BDH|16415681452385062683</stp>
        <tr r="M69" s="17"/>
      </tp>
      <tp t="e">
        <v>#N/A</v>
        <stp/>
        <stp>BDH|15295506774631372038</stp>
        <tr r="D115" s="12"/>
      </tp>
      <tp t="e">
        <v>#N/A</v>
        <stp/>
        <stp>BDH|12887228009264119246</stp>
        <tr r="Z79" s="18"/>
      </tp>
      <tp t="e">
        <v>#N/A</v>
        <stp/>
        <stp>BDH|17259702378666874743</stp>
        <tr r="C14" s="8"/>
      </tp>
      <tp t="e">
        <v>#N/A</v>
        <stp/>
        <stp>BDH|11278078434020185462</stp>
        <tr r="G7" s="21"/>
      </tp>
      <tp t="e">
        <v>#N/A</v>
        <stp/>
        <stp>BDH|11029468200260589355</stp>
        <tr r="G88" s="17"/>
      </tp>
      <tp t="e">
        <v>#N/A</v>
        <stp/>
        <stp>BDH|11470154627025744172</stp>
        <tr r="J64" s="13"/>
      </tp>
      <tp t="e">
        <v>#N/A</v>
        <stp/>
        <stp>BDH|14582244626435895794</stp>
        <tr r="C44" s="11"/>
        <tr r="C53" s="10"/>
        <tr r="C16" s="7"/>
      </tp>
      <tp t="e">
        <v>#N/A</v>
        <stp/>
        <stp>BDH|12427148432805502316</stp>
        <tr r="R14" s="34"/>
      </tp>
      <tp t="e">
        <v>#N/A</v>
        <stp/>
        <stp>BDH|12216448946674907004</stp>
        <tr r="G84" s="24"/>
      </tp>
      <tp t="e">
        <v>#N/A</v>
        <stp/>
        <stp>BDH|15033571153953579087</stp>
        <tr r="M9" s="18"/>
      </tp>
      <tp t="e">
        <v>#N/A</v>
        <stp/>
        <stp>BDH|13968974391843215640</stp>
        <tr r="P78" s="12"/>
      </tp>
      <tp t="e">
        <v>#N/A</v>
        <stp/>
        <stp>BDH|15503249783279849034</stp>
        <tr r="K173" s="18"/>
      </tp>
      <tp t="e">
        <v>#N/A</v>
        <stp/>
        <stp>BDH|12187685912250579373</stp>
        <tr r="M181" s="18"/>
      </tp>
      <tp t="e">
        <v>#N/A</v>
        <stp/>
        <stp>BDH|11819859118369941755</stp>
        <tr r="X131" s="18"/>
      </tp>
      <tp t="e">
        <v>#N/A</v>
        <stp/>
        <stp>BDH|11901774532430098353</stp>
        <tr r="G57" s="34"/>
      </tp>
      <tp t="e">
        <v>#N/A</v>
        <stp/>
        <stp>BDH|18270974682379626688</stp>
        <tr r="V9" s="20"/>
        <tr r="V119" s="18"/>
      </tp>
      <tp t="e">
        <v>#N/A</v>
        <stp/>
        <stp>BDH|12587760247055579287</stp>
        <tr r="H22" s="24"/>
      </tp>
      <tp t="e">
        <v>#N/A</v>
        <stp/>
        <stp>BDH|11736678468337193009</stp>
        <tr r="R60" s="11"/>
      </tp>
      <tp t="e">
        <v>#N/A</v>
        <stp/>
        <stp>BDH|17269097338291291382</stp>
        <tr r="D24" s="6"/>
      </tp>
      <tp t="e">
        <v>#N/A</v>
        <stp/>
        <stp>BDH|14520989891364004657</stp>
        <tr r="N29" s="18"/>
      </tp>
      <tp t="e">
        <v>#N/A</v>
        <stp/>
        <stp>BDH|10070953223098828579</stp>
        <tr r="H35" s="12"/>
      </tp>
      <tp t="e">
        <v>#N/A</v>
        <stp/>
        <stp>BDH|16194540171375444790</stp>
        <tr r="R31" s="26"/>
        <tr r="O14" s="9"/>
      </tp>
      <tp t="e">
        <v>#N/A</v>
        <stp/>
        <stp>BDH|10267533316375703798</stp>
        <tr r="L27" s="12"/>
      </tp>
      <tp t="e">
        <v>#N/A</v>
        <stp/>
        <stp>BDH|15457155318835265620</stp>
        <tr r="W68" s="12"/>
      </tp>
      <tp t="e">
        <v>#N/A</v>
        <stp/>
        <stp>BDH|15064446428023597604</stp>
        <tr r="U192" s="18"/>
      </tp>
      <tp t="e">
        <v>#N/A</v>
        <stp/>
        <stp>BDH|13084492700701140014</stp>
        <tr r="S12" s="13"/>
      </tp>
      <tp t="e">
        <v>#N/A</v>
        <stp/>
        <stp>BDH|13767796616263488056</stp>
        <tr r="P151" s="18"/>
      </tp>
      <tp t="e">
        <v>#N/A</v>
        <stp/>
        <stp>BDH|10946318779141803301</stp>
        <tr r="U33" s="34"/>
      </tp>
      <tp t="e">
        <v>#N/A</v>
        <stp/>
        <stp>BDH|12739589311501084174</stp>
        <tr r="U59" s="34"/>
      </tp>
      <tp t="e">
        <v>#N/A</v>
        <stp/>
        <stp>BDH|12550360726420436581</stp>
        <tr r="V10" s="24"/>
      </tp>
      <tp t="e">
        <v>#N/A</v>
        <stp/>
        <stp>BDH|15730758989074208809</stp>
        <tr r="U25" s="13"/>
      </tp>
      <tp t="e">
        <v>#N/A</v>
        <stp/>
        <stp>BDH|14048308444135946048</stp>
        <tr r="G7" s="24"/>
      </tp>
      <tp t="e">
        <v>#N/A</v>
        <stp/>
        <stp>BDH|16391562810731592594</stp>
        <tr r="W49" s="4"/>
      </tp>
      <tp t="e">
        <v>#N/A</v>
        <stp/>
        <stp>BDH|17973102452607543276</stp>
        <tr r="O22" s="22"/>
      </tp>
      <tp t="e">
        <v>#N/A</v>
        <stp/>
        <stp>BDH|11686371369240686272</stp>
        <tr r="G20" s="17"/>
      </tp>
      <tp t="e">
        <v>#N/A</v>
        <stp/>
        <stp>BDH|17117570419716365351</stp>
        <tr r="M62" s="34"/>
      </tp>
      <tp t="e">
        <v>#N/A</v>
        <stp/>
        <stp>BDH|13457322367731075186</stp>
        <tr r="E25" s="17"/>
      </tp>
      <tp t="e">
        <v>#N/A</v>
        <stp/>
        <stp>BDH|14346137478495639175</stp>
        <tr r="P110" s="18"/>
      </tp>
      <tp t="e">
        <v>#N/A</v>
        <stp/>
        <stp>BDH|13560834369433450823</stp>
        <tr r="X188" s="18"/>
      </tp>
      <tp t="e">
        <v>#N/A</v>
        <stp/>
        <stp>BDH|11443341249087056707</stp>
        <tr r="R85" s="17"/>
        <tr r="P6" s="7"/>
        <tr r="R20" s="3"/>
      </tp>
      <tp t="e">
        <v>#N/A</v>
        <stp/>
        <stp>BDH|14818014594779743231</stp>
        <tr r="W115" s="18"/>
      </tp>
      <tp t="e">
        <v>#N/A</v>
        <stp/>
        <stp>BDH|15111660475770307280</stp>
        <tr r="E85" s="18"/>
      </tp>
      <tp t="e">
        <v>#N/A</v>
        <stp/>
        <stp>BDH|16099522338246787044</stp>
        <tr r="R50" s="12"/>
      </tp>
      <tp t="e">
        <v>#N/A</v>
        <stp/>
        <stp>BDH|17837122669384211286</stp>
        <tr r="M23" s="6"/>
      </tp>
      <tp t="e">
        <v>#N/A</v>
        <stp/>
        <stp>BDH|11355969333685765889</stp>
        <tr r="Y26" s="18"/>
      </tp>
      <tp t="e">
        <v>#N/A</v>
        <stp/>
        <stp>BDH|14231461622053808777</stp>
        <tr r="I48" s="17"/>
      </tp>
      <tp t="e">
        <v>#N/A</v>
        <stp/>
        <stp>BDH|15313046636493906316</stp>
        <tr r="Y25" s="11"/>
        <tr r="Y34" s="10"/>
      </tp>
      <tp t="e">
        <v>#N/A</v>
        <stp/>
        <stp>BDH|17355368336050211189</stp>
        <tr r="D90" s="24"/>
      </tp>
      <tp t="e">
        <v>#N/A</v>
        <stp/>
        <stp>BDH|10208538733175395584</stp>
        <tr r="X9" s="11"/>
      </tp>
      <tp t="e">
        <v>#N/A</v>
        <stp/>
        <stp>BDH|14393423838113983688</stp>
        <tr r="T28" s="34"/>
      </tp>
      <tp t="e">
        <v>#N/A</v>
        <stp/>
        <stp>BDH|16343948936399958301</stp>
        <tr r="E180" s="18"/>
      </tp>
      <tp t="e">
        <v>#N/A</v>
        <stp/>
        <stp>BDH|15501324438512327148</stp>
        <tr r="T19" s="26"/>
      </tp>
      <tp t="e">
        <v>#N/A</v>
        <stp/>
        <stp>BDH|14889264806678204821</stp>
        <tr r="G30" s="24"/>
      </tp>
      <tp t="e">
        <v>#N/A</v>
        <stp/>
        <stp>BDH|15487606028093762432</stp>
        <tr r="Z55" s="18"/>
      </tp>
      <tp t="e">
        <v>#N/A</v>
        <stp/>
        <stp>BDH|16057165609342089371</stp>
        <tr r="I6" s="28"/>
      </tp>
      <tp t="e">
        <v>#N/A</v>
        <stp/>
        <stp>BDH|12856166998444643889</stp>
        <tr r="H29" s="13"/>
        <tr r="H16" s="13"/>
        <tr r="F17" s="10"/>
      </tp>
      <tp t="e">
        <v>#N/A</v>
        <stp/>
        <stp>BDH|13295384970981565078</stp>
        <tr r="P9" s="18"/>
      </tp>
      <tp t="e">
        <v>#N/A</v>
        <stp/>
        <stp>BDH|13380370338806586311</stp>
        <tr r="AA17" s="14"/>
      </tp>
      <tp t="e">
        <v>#N/A</v>
        <stp/>
        <stp>BDH|18345386718825915922</stp>
        <tr r="C9" s="27"/>
      </tp>
      <tp t="e">
        <v>#N/A</v>
        <stp/>
        <stp>BDH|14908758519132938643</stp>
        <tr r="Q9" s="11"/>
      </tp>
      <tp t="e">
        <v>#N/A</v>
        <stp/>
        <stp>BDH|14129201964957826151</stp>
        <tr r="K64" s="34"/>
      </tp>
      <tp t="e">
        <v>#N/A</v>
        <stp/>
        <stp>BDH|16283882565258091678</stp>
        <tr r="D28" s="26"/>
      </tp>
      <tp t="e">
        <v>#N/A</v>
        <stp/>
        <stp>BDH|14518635067463802118</stp>
        <tr r="X60" s="18"/>
      </tp>
      <tp t="e">
        <v>#N/A</v>
        <stp/>
        <stp>BDH|18397268734918017791</stp>
        <tr r="H21" s="34"/>
      </tp>
      <tp t="e">
        <v>#N/A</v>
        <stp/>
        <stp>BDH|12834495116972963361</stp>
        <tr r="U47" s="24"/>
      </tp>
      <tp t="e">
        <v>#N/A</v>
        <stp/>
        <stp>BDH|13464519808671374160</stp>
        <tr r="R40" s="22"/>
      </tp>
      <tp t="e">
        <v>#N/A</v>
        <stp/>
        <stp>BDH|14213925089361116208</stp>
        <tr r="E55" s="24"/>
      </tp>
      <tp t="e">
        <v>#N/A</v>
        <stp/>
        <stp>BDH|12375270256855990638</stp>
        <tr r="Z67" s="18"/>
      </tp>
      <tp t="e">
        <v>#N/A</v>
        <stp/>
        <stp>BDH|18252239192665228095</stp>
        <tr r="U38" s="6"/>
      </tp>
      <tp t="e">
        <v>#N/A</v>
        <stp/>
        <stp>BDH|14627529428262132757</stp>
        <tr r="G17" s="27"/>
        <tr r="G31" s="25"/>
        <tr r="D14" s="5"/>
      </tp>
      <tp t="e">
        <v>#N/A</v>
        <stp/>
        <stp>BDH|14948123224212502329</stp>
        <tr r="M31" s="21"/>
      </tp>
      <tp t="e">
        <v>#N/A</v>
        <stp/>
        <stp>BDH|13892407072203457565</stp>
        <tr r="E208" s="18"/>
      </tp>
      <tp t="e">
        <v>#N/A</v>
        <stp/>
        <stp>BDH|17642789401334040276</stp>
        <tr r="H45" s="12"/>
      </tp>
      <tp t="e">
        <v>#N/A</v>
        <stp/>
        <stp>BDH|10215749628443530033</stp>
        <tr r="D26" s="17"/>
      </tp>
      <tp t="e">
        <v>#N/A</v>
        <stp/>
        <stp>BDH|10394654888850455822</stp>
        <tr r="H8" s="17"/>
      </tp>
      <tp t="e">
        <v>#N/A</v>
        <stp/>
        <stp>BDH|12919289749814161614</stp>
        <tr r="L37" s="13"/>
        <tr r="J30" s="10"/>
      </tp>
      <tp t="e">
        <v>#N/A</v>
        <stp/>
        <stp>BDH|17577668307894443381</stp>
        <tr r="AA79" s="18"/>
      </tp>
      <tp t="e">
        <v>#N/A</v>
        <stp/>
        <stp>BDH|10405457865620467485</stp>
        <tr r="N40" s="24"/>
      </tp>
      <tp t="e">
        <v>#N/A</v>
        <stp/>
        <stp>BDH|16200596761177438466</stp>
        <tr r="N20" s="17"/>
      </tp>
      <tp t="e">
        <v>#N/A</v>
        <stp/>
        <stp>BDH|17724700638236044376</stp>
        <tr r="G175" s="18"/>
      </tp>
      <tp t="e">
        <v>#N/A</v>
        <stp/>
        <stp>BDH|13928125464382253053</stp>
        <tr r="Q36" s="29"/>
        <tr r="Q22" s="29"/>
        <tr r="Q13" s="29"/>
      </tp>
      <tp t="e">
        <v>#N/A</v>
        <stp/>
        <stp>BDH|10531369537722897446</stp>
        <tr r="X17" s="30"/>
      </tp>
      <tp t="e">
        <v>#N/A</v>
        <stp/>
        <stp>BDH|10836415665924542019</stp>
        <tr r="M9" s="8"/>
        <tr r="K52" s="6"/>
      </tp>
      <tp t="e">
        <v>#N/A</v>
        <stp/>
        <stp>BDH|12515843419808681560</stp>
        <tr r="AA22" s="27"/>
      </tp>
      <tp t="e">
        <v>#N/A</v>
        <stp/>
        <stp>BDH|11619661149086502342</stp>
        <tr r="W107" s="18"/>
      </tp>
      <tp t="e">
        <v>#N/A</v>
        <stp/>
        <stp>BDH|17595847625988966350</stp>
        <tr r="L206" s="18"/>
      </tp>
      <tp t="e">
        <v>#N/A</v>
        <stp/>
        <stp>BDH|16771354457384851254</stp>
        <tr r="X61" s="34"/>
      </tp>
      <tp t="e">
        <v>#N/A</v>
        <stp/>
        <stp>BDH|12091186464924769731</stp>
        <tr r="F26" s="14"/>
      </tp>
      <tp t="e">
        <v>#N/A</v>
        <stp/>
        <stp>BDH|12373835680080115492</stp>
        <tr r="D21" s="18"/>
      </tp>
      <tp t="e">
        <v>#N/A</v>
        <stp/>
        <stp>BDH|14816786435494540286</stp>
        <tr r="O105" s="18"/>
      </tp>
      <tp t="e">
        <v>#N/A</v>
        <stp/>
        <stp>BDH|16719050460905389391</stp>
        <tr r="X17" s="27"/>
        <tr r="X31" s="25"/>
        <tr r="U14" s="5"/>
      </tp>
      <tp t="e">
        <v>#N/A</v>
        <stp/>
        <stp>BDH|13702407749433770615</stp>
        <tr r="X46" s="11"/>
        <tr r="X55" s="10"/>
        <tr r="X7" s="7"/>
        <tr r="Z12" s="3"/>
      </tp>
      <tp t="e">
        <v>#N/A</v>
        <stp/>
        <stp>BDH|14366781112617852394</stp>
        <tr r="T17" s="22"/>
      </tp>
      <tp t="e">
        <v>#N/A</v>
        <stp/>
        <stp>BDH|14973075362403536715</stp>
        <tr r="R126" s="18"/>
      </tp>
      <tp t="e">
        <v>#N/A</v>
        <stp/>
        <stp>BDH|16234423246054722492</stp>
        <tr r="V24" s="9"/>
      </tp>
      <tp t="e">
        <v>#N/A</v>
        <stp/>
        <stp>BDH|16348427046106657690</stp>
        <tr r="U93" s="18"/>
      </tp>
      <tp t="e">
        <v>#N/A</v>
        <stp/>
        <stp>BDH|12957741074242814690</stp>
        <tr r="E55" s="11"/>
      </tp>
      <tp t="e">
        <v>#N/A</v>
        <stp/>
        <stp>BDH|14418287840686714237</stp>
        <tr r="P7" s="30"/>
      </tp>
      <tp t="e">
        <v>#N/A</v>
        <stp/>
        <stp>BDH|11379551893649960240</stp>
        <tr r="L166" s="18"/>
      </tp>
      <tp t="e">
        <v>#N/A</v>
        <stp/>
        <stp>BDH|14734086007283902192</stp>
        <tr r="V70" s="13"/>
        <tr r="T49" s="11"/>
        <tr r="T58" s="10"/>
        <tr r="T19" s="7"/>
        <tr r="T18" s="4"/>
        <tr r="T20" s="2"/>
      </tp>
      <tp t="e">
        <v>#N/A</v>
        <stp/>
        <stp>BDH|18018991379507912710</stp>
        <tr r="C37" s="29"/>
        <tr r="C23" s="29"/>
        <tr r="C14" s="29"/>
      </tp>
      <tp t="e">
        <v>#N/A</v>
        <stp/>
        <stp>BDH|14924744499328920453</stp>
        <tr r="P60" s="21"/>
        <tr r="N54" s="11"/>
      </tp>
      <tp t="e">
        <v>#N/A</v>
        <stp/>
        <stp>BDH|17647896704428049109</stp>
        <tr r="R66" s="12"/>
      </tp>
      <tp t="e">
        <v>#N/A</v>
        <stp/>
        <stp>BDH|15439424979267593717</stp>
        <tr r="U7" s="34"/>
      </tp>
      <tp t="e">
        <v>#N/A</v>
        <stp/>
        <stp>BDH|11061697476887129150</stp>
        <tr r="Z72" s="34"/>
      </tp>
      <tp t="e">
        <v>#N/A</v>
        <stp/>
        <stp>BDH|10580796100132074373</stp>
        <tr r="L12" s="27"/>
        <tr r="L26" s="25"/>
      </tp>
      <tp t="e">
        <v>#N/A</v>
        <stp/>
        <stp>BDH|12334399326281703402</stp>
        <tr r="O91" s="12"/>
      </tp>
      <tp t="e">
        <v>#N/A</v>
        <stp/>
        <stp>BDH|10521719125104339793</stp>
        <tr r="AA140" s="18"/>
      </tp>
      <tp t="e">
        <v>#N/A</v>
        <stp/>
        <stp>BDH|10189714962290151781</stp>
        <tr r="P16" s="24"/>
      </tp>
      <tp t="e">
        <v>#N/A</v>
        <stp/>
        <stp>BDH|11342161648847469522</stp>
        <tr r="U26" s="26"/>
      </tp>
      <tp t="e">
        <v>#N/A</v>
        <stp/>
        <stp>BDH|11807004693818465643</stp>
        <tr r="E49" s="13"/>
      </tp>
      <tp t="e">
        <v>#N/A</v>
        <stp/>
        <stp>BDH|11372284616343001769</stp>
        <tr r="H132" s="18"/>
      </tp>
      <tp t="e">
        <v>#N/A</v>
        <stp/>
        <stp>BDH|15607197853766604118</stp>
        <tr r="Q45" s="13"/>
        <tr r="O29" s="11"/>
        <tr r="O38" s="10"/>
      </tp>
      <tp t="e">
        <v>#N/A</v>
        <stp/>
        <stp>BDH|11523141612183089482</stp>
        <tr r="D7" s="23"/>
      </tp>
      <tp t="e">
        <v>#N/A</v>
        <stp/>
        <stp>BDH|15969439967710060166</stp>
        <tr r="E6" s="27"/>
      </tp>
      <tp t="e">
        <v>#N/A</v>
        <stp/>
        <stp>BDH|15611792288488593491</stp>
        <tr r="AA45" s="24"/>
      </tp>
      <tp t="e">
        <v>#N/A</v>
        <stp/>
        <stp>BDH|14200090633067766649</stp>
        <tr r="U15" s="14"/>
      </tp>
      <tp t="e">
        <v>#N/A</v>
        <stp/>
        <stp>BDH|17975318524275756506</stp>
        <tr r="Q56" s="12"/>
      </tp>
      <tp t="e">
        <v>#N/A</v>
        <stp/>
        <stp>BDH|13510227504394182391</stp>
        <tr r="I46" s="18"/>
      </tp>
      <tp t="e">
        <v>#N/A</v>
        <stp/>
        <stp>BDH|11319580041622921489</stp>
        <tr r="I60" s="21"/>
        <tr r="G54" s="11"/>
      </tp>
      <tp t="e">
        <v>#N/A</v>
        <stp/>
        <stp>BDH|15176125978910344533</stp>
        <tr r="X98" s="18"/>
      </tp>
      <tp t="e">
        <v>#N/A</v>
        <stp/>
        <stp>BDH|14611036126906003682</stp>
        <tr r="N55" s="18"/>
      </tp>
      <tp t="e">
        <v>#N/A</v>
        <stp/>
        <stp>BDH|12099713418183592171</stp>
        <tr r="D35" s="26"/>
      </tp>
      <tp t="e">
        <v>#N/A</v>
        <stp/>
        <stp>BDH|10445999109256653999</stp>
        <tr r="S25" s="11"/>
        <tr r="S34" s="10"/>
      </tp>
      <tp t="e">
        <v>#N/A</v>
        <stp/>
        <stp>BDH|11533490066241965484</stp>
        <tr r="T82" s="24"/>
      </tp>
      <tp t="e">
        <v>#N/A</v>
        <stp/>
        <stp>BDH|13232523002638867812</stp>
        <tr r="C21" s="12"/>
      </tp>
      <tp t="e">
        <v>#N/A</v>
        <stp/>
        <stp>BDH|14190268788390508810</stp>
        <tr r="Y17" s="34"/>
      </tp>
      <tp t="e">
        <v>#N/A</v>
        <stp/>
        <stp>BDH|12673974002254123992</stp>
        <tr r="Z16" s="20"/>
      </tp>
      <tp t="e">
        <v>#N/A</v>
        <stp/>
        <stp>BDH|12710680691432330967</stp>
        <tr r="O32" s="26"/>
      </tp>
      <tp t="e">
        <v>#N/A</v>
        <stp/>
        <stp>BDH|17375274322207880658</stp>
        <tr r="V30" s="17"/>
      </tp>
      <tp t="e">
        <v>#N/A</v>
        <stp/>
        <stp>BDH|13343990862189722346</stp>
        <tr r="L35" s="17"/>
      </tp>
      <tp t="e">
        <v>#N/A</v>
        <stp/>
        <stp>BDH|11446394733007653034</stp>
        <tr r="P7" s="4"/>
      </tp>
      <tp t="e">
        <v>#N/A</v>
        <stp/>
        <stp>BDH|11192896820994367900</stp>
        <tr r="K51" s="24"/>
      </tp>
      <tp t="e">
        <v>#N/A</v>
        <stp/>
        <stp>BDH|13962168453606407738</stp>
        <tr r="Y20" s="23"/>
      </tp>
      <tp t="e">
        <v>#N/A</v>
        <stp/>
        <stp>BDH|16043033708544463444</stp>
        <tr r="Z108" s="12"/>
      </tp>
      <tp t="e">
        <v>#N/A</v>
        <stp/>
        <stp>BDH|17102112873016955110</stp>
        <tr r="O71" s="18"/>
      </tp>
      <tp t="e">
        <v>#N/A</v>
        <stp/>
        <stp>BDH|13892747537837570656</stp>
        <tr r="Q43" s="34"/>
      </tp>
      <tp t="e">
        <v>#N/A</v>
        <stp/>
        <stp>BDH|17443692351493071173</stp>
        <tr r="W95" s="12"/>
      </tp>
      <tp t="e">
        <v>#N/A</v>
        <stp/>
        <stp>BDH|11127894006766233974</stp>
        <tr r="G18" s="6"/>
      </tp>
      <tp t="e">
        <v>#N/A</v>
        <stp/>
        <stp>BDH|15433874114999882343</stp>
        <tr r="X127" s="18"/>
      </tp>
      <tp t="e">
        <v>#N/A</v>
        <stp/>
        <stp>BDH|17523497083419202464</stp>
        <tr r="O63" s="17"/>
      </tp>
      <tp t="e">
        <v>#N/A</v>
        <stp/>
        <stp>BDH|16928346664157375216</stp>
        <tr r="E8" s="13"/>
      </tp>
      <tp t="e">
        <v>#N/A</v>
        <stp/>
        <stp>BDH|17834762727894193034</stp>
        <tr r="M43" s="22"/>
      </tp>
      <tp t="e">
        <v>#N/A</v>
        <stp/>
        <stp>BDH|16113683112385151210</stp>
        <tr r="Y53" s="13"/>
      </tp>
      <tp t="e">
        <v>#N/A</v>
        <stp/>
        <stp>BDH|11683850504377921842</stp>
        <tr r="Y38" s="26"/>
      </tp>
      <tp t="e">
        <v>#N/A</v>
        <stp/>
        <stp>BDH|13798727744817287194</stp>
        <tr r="O23" s="10"/>
      </tp>
      <tp t="e">
        <v>#N/A</v>
        <stp/>
        <stp>BDH|11098026842456948536</stp>
        <tr r="E10" s="27"/>
        <tr r="E25" s="25"/>
      </tp>
      <tp t="e">
        <v>#N/A</v>
        <stp/>
        <stp>BDH|11895925806698609603</stp>
        <tr r="O38" s="13"/>
        <tr r="M31" s="10"/>
      </tp>
      <tp t="e">
        <v>#N/A</v>
        <stp/>
        <stp>BDH|16665417185384936818</stp>
        <tr r="F14" s="6"/>
      </tp>
      <tp t="e">
        <v>#N/A</v>
        <stp/>
        <stp>BDH|11771753439355772669</stp>
        <tr r="X25" s="9"/>
      </tp>
      <tp t="e">
        <v>#N/A</v>
        <stp/>
        <stp>BDH|15885922875984584903</stp>
        <tr r="U13" s="25"/>
      </tp>
      <tp t="e">
        <v>#N/A</v>
        <stp/>
        <stp>BDH|16216659972396707783</stp>
        <tr r="W9" s="27"/>
      </tp>
      <tp t="e">
        <v>#N/A</v>
        <stp/>
        <stp>BDH|18123882210203391403</stp>
        <tr r="D49" s="18"/>
      </tp>
      <tp t="e">
        <v>#N/A</v>
        <stp/>
        <stp>BDH|16781980965697812887</stp>
        <tr r="K12" s="26"/>
      </tp>
      <tp t="e">
        <v>#N/A</v>
        <stp/>
        <stp>BDH|11563929538285254876</stp>
        <tr r="L13" s="9"/>
      </tp>
      <tp t="e">
        <v>#N/A</v>
        <stp/>
        <stp>BDH|10557989208068907762</stp>
        <tr r="K33" s="12"/>
      </tp>
      <tp t="e">
        <v>#N/A</v>
        <stp/>
        <stp>BDH|17785515965833838118</stp>
        <tr r="T21" s="34"/>
      </tp>
      <tp t="e">
        <v>#N/A</v>
        <stp/>
        <stp>BDH|15456188874680425567</stp>
        <tr r="M55" s="21"/>
      </tp>
      <tp t="e">
        <v>#N/A</v>
        <stp/>
        <stp>BDH|13819837281150031509</stp>
        <tr r="H34" s="12"/>
      </tp>
      <tp t="e">
        <v>#N/A</v>
        <stp/>
        <stp>BDH|13896511066606009053</stp>
        <tr r="K33" s="18"/>
      </tp>
      <tp t="e">
        <v>#N/A</v>
        <stp/>
        <stp>BDH|12194087373735921696</stp>
        <tr r="S79" s="24"/>
      </tp>
      <tp t="e">
        <v>#N/A</v>
        <stp/>
        <stp>BDH|12625882184260479449</stp>
        <tr r="W12" s="22"/>
      </tp>
      <tp t="e">
        <v>#N/A</v>
        <stp/>
        <stp>BDH|13066880253789388125</stp>
        <tr r="I64" s="13"/>
      </tp>
      <tp t="e">
        <v>#N/A</v>
        <stp/>
        <stp>BDH|16253108556373963774</stp>
        <tr r="W10" s="12"/>
      </tp>
      <tp t="e">
        <v>#N/A</v>
        <stp/>
        <stp>BDH|10208242055704811517</stp>
        <tr r="V30" s="22"/>
      </tp>
      <tp t="e">
        <v>#N/A</v>
        <stp/>
        <stp>BDH|13144675417216218491</stp>
        <tr r="F55" s="34"/>
      </tp>
      <tp t="e">
        <v>#N/A</v>
        <stp/>
        <stp>BDH|16713197924363021006</stp>
        <tr r="H7" s="14"/>
      </tp>
      <tp t="e">
        <v>#N/A</v>
        <stp/>
        <stp>BDH|17357285514760649232</stp>
        <tr r="I77" s="12"/>
      </tp>
      <tp t="e">
        <v>#N/A</v>
        <stp/>
        <stp>BDH|14697583678495466588</stp>
        <tr r="J19" s="17"/>
      </tp>
      <tp t="e">
        <v>#N/A</v>
        <stp/>
        <stp>BDH|17537315837346960703</stp>
        <tr r="F14" s="23"/>
      </tp>
      <tp t="e">
        <v>#N/A</v>
        <stp/>
        <stp>BDH|15380635376881409385</stp>
        <tr r="T205" s="18"/>
      </tp>
      <tp t="e">
        <v>#N/A</v>
        <stp/>
        <stp>BDH|11454155378812482377</stp>
        <tr r="Q42" s="6"/>
      </tp>
      <tp t="e">
        <v>#N/A</v>
        <stp/>
        <stp>BDH|14817130762701730442</stp>
        <tr r="P136" s="18"/>
      </tp>
      <tp t="e">
        <v>#N/A</v>
        <stp/>
        <stp>BDH|13110003705860692584</stp>
        <tr r="U140" s="18"/>
      </tp>
      <tp t="e">
        <v>#N/A</v>
        <stp/>
        <stp>BDH|17101545548233604311</stp>
        <tr r="O19" s="20"/>
      </tp>
      <tp t="e">
        <v>#N/A</v>
        <stp/>
        <stp>BDH|10478648229617394505</stp>
        <tr r="M210" s="18"/>
      </tp>
      <tp t="e">
        <v>#N/A</v>
        <stp/>
        <stp>BDH|15697627809911021470</stp>
        <tr r="D20" s="25"/>
      </tp>
      <tp t="e">
        <v>#N/A</v>
        <stp/>
        <stp>BDH|16016094957587137256</stp>
        <tr r="H11" s="10"/>
        <tr r="H14" s="2"/>
      </tp>
      <tp t="e">
        <v>#N/A</v>
        <stp/>
        <stp>BDH|15419645355870033084</stp>
        <tr r="W171" s="18"/>
      </tp>
      <tp t="e">
        <v>#N/A</v>
        <stp/>
        <stp>BDH|16737013818543775249</stp>
        <tr r="Z19" s="28"/>
        <tr r="Z16" s="17"/>
      </tp>
      <tp t="e">
        <v>#N/A</v>
        <stp/>
        <stp>BDH|11249830671380553889</stp>
        <tr r="N31" s="29"/>
      </tp>
      <tp t="e">
        <v>#N/A</v>
        <stp/>
        <stp>BDH|16807509207965032029</stp>
        <tr r="X64" s="11"/>
        <tr r="X73" s="10"/>
      </tp>
      <tp t="e">
        <v>#N/A</v>
        <stp/>
        <stp>BDH|12916518020301429211</stp>
        <tr r="R52" s="12"/>
      </tp>
      <tp t="e">
        <v>#N/A</v>
        <stp/>
        <stp>BDH|11534388024537339174</stp>
        <tr r="W41" s="6"/>
        <tr r="W18" s="5"/>
      </tp>
      <tp t="e">
        <v>#N/A</v>
        <stp/>
        <stp>BDH|13907118266387103522</stp>
        <tr r="D179" s="18"/>
      </tp>
      <tp t="e">
        <v>#N/A</v>
        <stp/>
        <stp>BDH|14525711730185193382</stp>
        <tr r="D102" s="12"/>
      </tp>
      <tp t="e">
        <v>#N/A</v>
        <stp/>
        <stp>BDH|10145596316860156226</stp>
        <tr r="L47" s="24"/>
      </tp>
      <tp t="e">
        <v>#N/A</v>
        <stp/>
        <stp>BDH|17442292026952616307</stp>
        <tr r="S25" s="17"/>
      </tp>
      <tp t="e">
        <v>#N/A</v>
        <stp/>
        <stp>BDH|17878716177097013639</stp>
        <tr r="E56" s="24"/>
      </tp>
      <tp t="e">
        <v>#N/A</v>
        <stp/>
        <stp>BDH|12481891181720301426</stp>
        <tr r="E33" s="17"/>
      </tp>
      <tp t="e">
        <v>#N/A</v>
        <stp/>
        <stp>BDH|15008358595601852854</stp>
        <tr r="Z190" s="18"/>
      </tp>
      <tp t="e">
        <v>#N/A</v>
        <stp/>
        <stp>BDH|12611137848500481144</stp>
        <tr r="R79" s="34"/>
      </tp>
      <tp t="e">
        <v>#N/A</v>
        <stp/>
        <stp>BDH|11327250654467788780</stp>
        <tr r="I29" s="17"/>
      </tp>
      <tp t="e">
        <v>#N/A</v>
        <stp/>
        <stp>BDH|17207978354868969558</stp>
        <tr r="G18" s="20"/>
      </tp>
      <tp t="e">
        <v>#N/A</v>
        <stp/>
        <stp>BDH|14974426532982039745</stp>
        <tr r="F51" s="24"/>
      </tp>
      <tp t="e">
        <v>#N/A</v>
        <stp/>
        <stp>BDH|12869677097118404313</stp>
        <tr r="T17" s="23"/>
      </tp>
      <tp t="e">
        <v>#N/A</v>
        <stp/>
        <stp>BDH|16474760532716401293</stp>
        <tr r="P9" s="26"/>
      </tp>
      <tp t="e">
        <v>#N/A</v>
        <stp/>
        <stp>BDH|16984520219041899573</stp>
        <tr r="J26" s="13"/>
      </tp>
      <tp t="e">
        <v>#N/A</v>
        <stp/>
        <stp>BDH|17611694536053526715</stp>
        <tr r="L54" s="13"/>
      </tp>
      <tp t="e">
        <v>#N/A</v>
        <stp/>
        <stp>BDH|13206717185329205396</stp>
        <tr r="AA8" s="13"/>
      </tp>
      <tp t="e">
        <v>#N/A</v>
        <stp/>
        <stp>BDH|15285436278326685624</stp>
        <tr r="G77" s="34"/>
      </tp>
      <tp t="e">
        <v>#N/A</v>
        <stp/>
        <stp>BDH|11290090124887087229</stp>
        <tr r="P49" s="6"/>
      </tp>
      <tp t="e">
        <v>#N/A</v>
        <stp/>
        <stp>BDH|16667826009048033003</stp>
        <tr r="Z18" s="14"/>
      </tp>
      <tp t="e">
        <v>#N/A</v>
        <stp/>
        <stp>BDH|11326938139038688525</stp>
        <tr r="X30" s="9"/>
        <tr r="X30" s="5"/>
      </tp>
      <tp t="e">
        <v>#N/A</v>
        <stp/>
        <stp>BDH|10659924599063004506</stp>
        <tr r="J11" s="24"/>
      </tp>
      <tp t="e">
        <v>#N/A</v>
        <stp/>
        <stp>BDH|15770547438417541237</stp>
        <tr r="M22" s="10"/>
      </tp>
      <tp t="e">
        <v>#N/A</v>
        <stp/>
        <stp>BDH|18110122817386823815</stp>
        <tr r="W31" s="17"/>
      </tp>
      <tp t="e">
        <v>#N/A</v>
        <stp/>
        <stp>BDH|10085416363035708188</stp>
        <tr r="H21" s="20"/>
      </tp>
      <tp t="e">
        <v>#N/A</v>
        <stp/>
        <stp>BDH|11886408383183027865</stp>
        <tr r="Y63" s="11"/>
        <tr r="Y72" s="10"/>
      </tp>
      <tp t="e">
        <v>#N/A</v>
        <stp/>
        <stp>BDH|17863177212695707472</stp>
        <tr r="F28" s="21"/>
      </tp>
      <tp t="e">
        <v>#N/A</v>
        <stp/>
        <stp>BDH|18058515451098821657</stp>
        <tr r="Q158" s="18"/>
      </tp>
      <tp t="e">
        <v>#N/A</v>
        <stp/>
        <stp>BDH|17437508689439992593</stp>
        <tr r="W8" s="2"/>
      </tp>
      <tp t="e">
        <v>#N/A</v>
        <stp/>
        <stp>BDH|15994276467050090742</stp>
        <tr r="P34" s="24"/>
      </tp>
      <tp t="e">
        <v>#N/A</v>
        <stp/>
        <stp>BDH|12440672892878438389</stp>
        <tr r="O20" s="28"/>
        <tr r="O17" s="17"/>
      </tp>
      <tp t="e">
        <v>#N/A</v>
        <stp/>
        <stp>BDH|18095230357010056998</stp>
        <tr r="P18" s="23"/>
      </tp>
      <tp t="e">
        <v>#N/A</v>
        <stp/>
        <stp>BDH|16802797609500126744</stp>
        <tr r="R34" s="6"/>
      </tp>
      <tp t="e">
        <v>#N/A</v>
        <stp/>
        <stp>BDH|17996178515065228458</stp>
        <tr r="W188" s="18"/>
      </tp>
      <tp t="e">
        <v>#N/A</v>
        <stp/>
        <stp>BDH|17421462651866609693</stp>
        <tr r="N79" s="12"/>
      </tp>
      <tp t="e">
        <v>#N/A</v>
        <stp/>
        <stp>BDH|15222086207245981685</stp>
        <tr r="P82" s="12"/>
      </tp>
      <tp t="e">
        <v>#N/A</v>
        <stp/>
        <stp>BDH|16903363465112782711</stp>
        <tr r="X6" s="15"/>
        <tr r="X6" s="10"/>
        <tr r="X11" s="4"/>
        <tr r="X12" s="2"/>
      </tp>
      <tp t="e">
        <v>#N/A</v>
        <stp/>
        <stp>BDH|10861118069153456281</stp>
        <tr r="N104" s="18"/>
      </tp>
      <tp t="e">
        <v>#N/A</v>
        <stp/>
        <stp>BDH|17336815409190186965</stp>
        <tr r="P59" s="13"/>
      </tp>
      <tp t="e">
        <v>#N/A</v>
        <stp/>
        <stp>BDH|15696115362780991408</stp>
        <tr r="N72" s="18"/>
      </tp>
      <tp t="e">
        <v>#N/A</v>
        <stp/>
        <stp>BDH|10442619670460837710</stp>
        <tr r="P82" s="24"/>
      </tp>
      <tp t="e">
        <v>#N/A</v>
        <stp/>
        <stp>BDH|17504064743122981757</stp>
        <tr r="D39" s="26"/>
      </tp>
      <tp t="e">
        <v>#N/A</v>
        <stp/>
        <stp>BDH|11877121581697199963</stp>
        <tr r="S22" s="10"/>
      </tp>
      <tp t="e">
        <v>#N/A</v>
        <stp/>
        <stp>BDH|13986726322455650536</stp>
        <tr r="Z12" s="17"/>
      </tp>
      <tp t="e">
        <v>#N/A</v>
        <stp/>
        <stp>BDH|17981267295303123977</stp>
        <tr r="L111" s="12"/>
      </tp>
      <tp t="e">
        <v>#N/A</v>
        <stp/>
        <stp>BDH|10461067174630976138</stp>
        <tr r="M17" s="12"/>
      </tp>
      <tp t="e">
        <v>#N/A</v>
        <stp/>
        <stp>BDH|13898101108580521497</stp>
        <tr r="P22" s="24"/>
      </tp>
      <tp t="e">
        <v>#N/A</v>
        <stp/>
        <stp>BDH|14883693934601879612</stp>
        <tr r="R13" s="22"/>
      </tp>
      <tp t="e">
        <v>#N/A</v>
        <stp/>
        <stp>BDH|17103451162903341094</stp>
        <tr r="O9" s="25"/>
        <tr r="O44" s="17"/>
      </tp>
      <tp t="e">
        <v>#N/A</v>
        <stp/>
        <stp>BDH|10140048237644674182</stp>
        <tr r="H10" s="22"/>
      </tp>
      <tp t="e">
        <v>#N/A</v>
        <stp/>
        <stp>BDH|10402595336995536521</stp>
        <tr r="P27" s="14"/>
      </tp>
      <tp t="e">
        <v>#N/A</v>
        <stp/>
        <stp>BDH|11412611838815832795</stp>
        <tr r="O165" s="18"/>
      </tp>
      <tp t="e">
        <v>#N/A</v>
        <stp/>
        <stp>BDH|18136669280766870634</stp>
        <tr r="T35" s="25"/>
      </tp>
      <tp t="e">
        <v>#N/A</v>
        <stp/>
        <stp>BDH|13568956747270893836</stp>
        <tr r="O17" s="23"/>
      </tp>
      <tp t="e">
        <v>#N/A</v>
        <stp/>
        <stp>BDH|10237377329535942298</stp>
        <tr r="L10" s="18"/>
      </tp>
      <tp t="e">
        <v>#N/A</v>
        <stp/>
        <stp>BDH|17653199534402335146</stp>
        <tr r="G20" s="27"/>
      </tp>
      <tp t="e">
        <v>#N/A</v>
        <stp/>
        <stp>BDH|15735196184039719318</stp>
        <tr r="V11" s="10"/>
        <tr r="V14" s="2"/>
      </tp>
      <tp t="e">
        <v>#N/A</v>
        <stp/>
        <stp>BDH|11214127776367283681</stp>
        <tr r="W44" s="22"/>
      </tp>
      <tp t="e">
        <v>#N/A</v>
        <stp/>
        <stp>BDH|12164338719507013176</stp>
        <tr r="W23" s="11"/>
      </tp>
      <tp t="e">
        <v>#N/A</v>
        <stp/>
        <stp>BDH|17039299280868644335</stp>
        <tr r="J36" s="21"/>
      </tp>
      <tp t="e">
        <v>#N/A</v>
        <stp/>
        <stp>BDH|10591579502443558092</stp>
        <tr r="AA67" s="12"/>
      </tp>
      <tp t="e">
        <v>#N/A</v>
        <stp/>
        <stp>BDH|15635995097262377170</stp>
        <tr r="Y16" s="26"/>
      </tp>
      <tp t="e">
        <v>#N/A</v>
        <stp/>
        <stp>BDH|17942177870211458667</stp>
        <tr r="S140" s="18"/>
      </tp>
      <tp t="e">
        <v>#N/A</v>
        <stp/>
        <stp>BDH|11997619854686139217</stp>
        <tr r="X39" s="18"/>
      </tp>
      <tp t="e">
        <v>#N/A</v>
        <stp/>
        <stp>BDH|15611733398109777466</stp>
        <tr r="W26" s="34"/>
      </tp>
      <tp t="e">
        <v>#N/A</v>
        <stp/>
        <stp>BDH|13937450955085131142</stp>
        <tr r="C9" s="34"/>
      </tp>
      <tp t="e">
        <v>#N/A</v>
        <stp/>
        <stp>BDH|12903635661102724604</stp>
        <tr r="O19" s="13"/>
        <tr r="M62" s="10"/>
        <tr r="M32" s="4"/>
        <tr r="M16" s="2"/>
      </tp>
      <tp t="e">
        <v>#N/A</v>
        <stp/>
        <stp>BDH|15579718055892468390</stp>
        <tr r="X55" s="18"/>
      </tp>
      <tp t="e">
        <v>#N/A</v>
        <stp/>
        <stp>BDH|11374690573613545504</stp>
        <tr r="S25" s="7"/>
      </tp>
      <tp t="e">
        <v>#N/A</v>
        <stp/>
        <stp>BDH|13936433601722122364</stp>
        <tr r="V96" s="18"/>
      </tp>
      <tp t="e">
        <v>#N/A</v>
        <stp/>
        <stp>BDH|11162685705245322433</stp>
        <tr r="F64" s="12"/>
      </tp>
      <tp t="e">
        <v>#N/A</v>
        <stp/>
        <stp>BDH|13031245997107723982</stp>
        <tr r="M19" s="12"/>
      </tp>
      <tp t="e">
        <v>#N/A</v>
        <stp/>
        <stp>BDH|15516193184713411903</stp>
        <tr r="I13" s="23"/>
        <tr r="G57" s="11"/>
        <tr r="G38" s="4"/>
      </tp>
      <tp t="e">
        <v>#N/A</v>
        <stp/>
        <stp>BDH|17022006601336531783</stp>
        <tr r="K25" s="13"/>
      </tp>
      <tp t="e">
        <v>#N/A</v>
        <stp/>
        <stp>BDH|14733608840889333987</stp>
        <tr r="X9" s="25"/>
        <tr r="X44" s="17"/>
      </tp>
      <tp t="e">
        <v>#N/A</v>
        <stp/>
        <stp>BDH|17237126319623254271</stp>
        <tr r="M8" s="27"/>
      </tp>
      <tp t="e">
        <v>#N/A</v>
        <stp/>
        <stp>BDH|12162588976940445676</stp>
        <tr r="Q13" s="27"/>
        <tr r="Q27" s="25"/>
      </tp>
      <tp t="e">
        <v>#N/A</v>
        <stp/>
        <stp>BDH|13963536396400854984</stp>
        <tr r="R45" s="21"/>
      </tp>
      <tp t="e">
        <v>#N/A</v>
        <stp/>
        <stp>BDH|17506702009237774172</stp>
        <tr r="W16" s="25"/>
      </tp>
      <tp t="e">
        <v>#N/A</v>
        <stp/>
        <stp>BDH|10624467824373140396</stp>
        <tr r="L25" s="11"/>
        <tr r="L34" s="10"/>
      </tp>
      <tp t="e">
        <v>#N/A</v>
        <stp/>
        <stp>BDH|16964140633634245600</stp>
        <tr r="R63" s="17"/>
      </tp>
      <tp t="e">
        <v>#N/A</v>
        <stp/>
        <stp>BDH|11454487773607620352</stp>
        <tr r="U25" s="17"/>
      </tp>
      <tp t="e">
        <v>#N/A</v>
        <stp/>
        <stp>BDH|12909819566872678842</stp>
        <tr r="M13" s="6"/>
      </tp>
      <tp t="e">
        <v>#N/A</v>
        <stp/>
        <stp>BDH|15054072758602641451</stp>
        <tr r="W12" s="13"/>
      </tp>
      <tp t="e">
        <v>#N/A</v>
        <stp/>
        <stp>BDH|16312498225344648265</stp>
        <tr r="F16" s="14"/>
      </tp>
      <tp t="e">
        <v>#N/A</v>
        <stp/>
        <stp>BDH|15885437021750507503</stp>
        <tr r="AA13" s="12"/>
      </tp>
      <tp t="e">
        <v>#N/A</v>
        <stp/>
        <stp>BDH|15073376530254112799</stp>
        <tr r="F29" s="13"/>
        <tr r="F16" s="13"/>
        <tr r="D17" s="10"/>
      </tp>
      <tp t="e">
        <v>#N/A</v>
        <stp/>
        <stp>BDH|17651488931190538655</stp>
        <tr r="X75" s="24"/>
      </tp>
      <tp t="e">
        <v>#N/A</v>
        <stp/>
        <stp>BDH|16819355458494225288</stp>
        <tr r="G183" s="18"/>
      </tp>
      <tp t="e">
        <v>#N/A</v>
        <stp/>
        <stp>BDH|14846553245934114765</stp>
        <tr r="V16" s="28"/>
        <tr r="V13" s="17"/>
      </tp>
      <tp t="e">
        <v>#N/A</v>
        <stp/>
        <stp>BDH|11895212944207111630</stp>
        <tr r="W9" s="21"/>
      </tp>
      <tp t="e">
        <v>#N/A</v>
        <stp/>
        <stp>BDH|12304911492867709386</stp>
        <tr r="X104" s="18"/>
      </tp>
      <tp t="e">
        <v>#N/A</v>
        <stp/>
        <stp>BDH|12573282856821223260</stp>
        <tr r="M30" s="21"/>
      </tp>
      <tp t="e">
        <v>#N/A</v>
        <stp/>
        <stp>BDH|10422686305909478926</stp>
        <tr r="K73" s="34"/>
      </tp>
      <tp t="e">
        <v>#N/A</v>
        <stp/>
        <stp>BDH|11867523753656172178</stp>
        <tr r="J53" s="13"/>
      </tp>
      <tp t="e">
        <v>#N/A</v>
        <stp/>
        <stp>BDH|17682261447426904111</stp>
        <tr r="K131" s="18"/>
      </tp>
      <tp t="e">
        <v>#N/A</v>
        <stp/>
        <stp>BDH|13123660920437955610</stp>
        <tr r="Y18" s="20"/>
      </tp>
      <tp t="e">
        <v>#N/A</v>
        <stp/>
        <stp>BDH|16722709428285282022</stp>
        <tr r="L6" s="8"/>
        <tr r="J51" s="6"/>
      </tp>
      <tp t="e">
        <v>#N/A</v>
        <stp/>
        <stp>BDH|10114905805818983727</stp>
        <tr r="L115" s="12"/>
      </tp>
      <tp t="e">
        <v>#N/A</v>
        <stp/>
        <stp>BDH|16465011629303156122</stp>
        <tr r="F85" s="12"/>
      </tp>
      <tp t="e">
        <v>#N/A</v>
        <stp/>
        <stp>BDH|13069543098748586168</stp>
        <tr r="M60" s="12"/>
      </tp>
      <tp t="e">
        <v>#N/A</v>
        <stp/>
        <stp>BDH|14546595225790253542</stp>
        <tr r="N97" s="17"/>
      </tp>
      <tp t="e">
        <v>#N/A</v>
        <stp/>
        <stp>BDH|13946576806141353147</stp>
        <tr r="T19" s="11"/>
      </tp>
      <tp t="e">
        <v>#N/A</v>
        <stp/>
        <stp>BDH|16566574214684112085</stp>
        <tr r="J32" s="11"/>
        <tr r="J41" s="10"/>
      </tp>
      <tp t="e">
        <v>#N/A</v>
        <stp/>
        <stp>BDH|14738052537219245887</stp>
        <tr r="V11" s="20"/>
        <tr r="V120" s="18"/>
      </tp>
      <tp t="e">
        <v>#N/A</v>
        <stp/>
        <stp>BDH|13307195279623974054</stp>
        <tr r="Y80" s="17"/>
        <tr r="Y19" s="3"/>
      </tp>
      <tp t="e">
        <v>#N/A</v>
        <stp/>
        <stp>BDH|11526797563522321435</stp>
        <tr r="P16" s="26"/>
      </tp>
      <tp t="e">
        <v>#N/A</v>
        <stp/>
        <stp>BDH|11650106411004104394</stp>
        <tr r="Q39" s="24"/>
      </tp>
      <tp t="e">
        <v>#N/A</v>
        <stp/>
        <stp>BDH|17325446429431111606</stp>
        <tr r="N18" s="21"/>
      </tp>
      <tp t="e">
        <v>#N/A</v>
        <stp/>
        <stp>BDH|15973203170563340553</stp>
        <tr r="L109" s="18"/>
      </tp>
      <tp t="e">
        <v>#N/A</v>
        <stp/>
        <stp>BDH|15245364909565420562</stp>
        <tr r="X22" s="30"/>
        <tr r="X24" s="23"/>
      </tp>
      <tp t="e">
        <v>#N/A</v>
        <stp/>
        <stp>BDH|13428012144682605383</stp>
        <tr r="L30" s="12"/>
      </tp>
      <tp t="e">
        <v>#N/A</v>
        <stp/>
        <stp>BDH|17070103761734704296</stp>
        <tr r="D81" s="24"/>
      </tp>
      <tp t="e">
        <v>#N/A</v>
        <stp/>
        <stp>BDH|12663420783018901012</stp>
        <tr r="I65" s="21"/>
        <tr r="G23" s="7"/>
      </tp>
      <tp t="e">
        <v>#N/A</v>
        <stp/>
        <stp>BDH|15374665406364427187</stp>
        <tr r="I32" s="21"/>
      </tp>
      <tp t="e">
        <v>#N/A</v>
        <stp/>
        <stp>BDH|10063984012819475706</stp>
        <tr r="U19" s="13"/>
        <tr r="S62" s="10"/>
        <tr r="S32" s="4"/>
        <tr r="S16" s="2"/>
      </tp>
      <tp t="e">
        <v>#N/A</v>
        <stp/>
        <stp>BDH|11644397361861306330</stp>
        <tr r="C25" s="27"/>
      </tp>
      <tp t="e">
        <v>#N/A</v>
        <stp/>
        <stp>BDH|15663389513355570460</stp>
        <tr r="E209" s="18"/>
      </tp>
      <tp t="e">
        <v>#N/A</v>
        <stp/>
        <stp>BDH|11792990991825991282</stp>
        <tr r="X135" s="18"/>
      </tp>
      <tp t="e">
        <v>#N/A</v>
        <stp/>
        <stp>BDH|14662407470395107498</stp>
        <tr r="D12" s="26"/>
      </tp>
      <tp t="e">
        <v>#N/A</v>
        <stp/>
        <stp>BDH|10967620861222276469</stp>
        <tr r="V86" s="24"/>
      </tp>
      <tp t="e">
        <v>#N/A</v>
        <stp/>
        <stp>BDH|15874675725732472508</stp>
        <tr r="G72" s="12"/>
      </tp>
      <tp t="e">
        <v>#N/A</v>
        <stp/>
        <stp>BDH|18229919360181940044</stp>
        <tr r="H27" s="12"/>
      </tp>
      <tp t="e">
        <v>#N/A</v>
        <stp/>
        <stp>BDH|14069383084928412164</stp>
        <tr r="Y26" s="14"/>
      </tp>
      <tp t="e">
        <v>#N/A</v>
        <stp/>
        <stp>BDH|14440757240712849379</stp>
        <tr r="P21" s="24"/>
      </tp>
      <tp t="e">
        <v>#N/A</v>
        <stp/>
        <stp>BDH|16673359860376836357</stp>
        <tr r="F122" s="12"/>
      </tp>
      <tp t="e">
        <v>#N/A</v>
        <stp/>
        <stp>BDH|12617883506279484521</stp>
        <tr r="T40" s="17"/>
      </tp>
      <tp t="e">
        <v>#N/A</v>
        <stp/>
        <stp>BDH|12277555303604947539</stp>
        <tr r="N149" s="18"/>
      </tp>
      <tp t="e">
        <v>#N/A</v>
        <stp/>
        <stp>BDH|14945058036690233161</stp>
        <tr r="D32" s="13"/>
      </tp>
      <tp t="e">
        <v>#N/A</v>
        <stp/>
        <stp>BDH|13051885115394080833</stp>
        <tr r="V105" s="18"/>
      </tp>
      <tp t="e">
        <v>#N/A</v>
        <stp/>
        <stp>BDH|13694664961112721781</stp>
        <tr r="J67" s="21"/>
      </tp>
      <tp t="e">
        <v>#N/A</v>
        <stp/>
        <stp>BDH|17548411020073986432</stp>
        <tr r="N190" s="18"/>
      </tp>
      <tp t="e">
        <v>#N/A</v>
        <stp/>
        <stp>BDH|11824139905294841282</stp>
        <tr r="H141" s="18"/>
      </tp>
      <tp t="e">
        <v>#N/A</v>
        <stp/>
        <stp>BDH|12571588635934412628</stp>
        <tr r="K18" s="9"/>
      </tp>
      <tp t="e">
        <v>#N/A</v>
        <stp/>
        <stp>BDH|14345649619637656261</stp>
        <tr r="R70" s="12"/>
      </tp>
      <tp t="e">
        <v>#N/A</v>
        <stp/>
        <stp>BDH|12576149112501525586</stp>
        <tr r="W23" s="25"/>
        <tr r="U20" s="11"/>
      </tp>
      <tp t="e">
        <v>#N/A</v>
        <stp/>
        <stp>BDH|11832059105122238546</stp>
        <tr r="T67" s="13"/>
      </tp>
      <tp t="e">
        <v>#N/A</v>
        <stp/>
        <stp>BDH|15928731725575409358</stp>
        <tr r="W25" s="5"/>
      </tp>
      <tp t="e">
        <v>#N/A</v>
        <stp/>
        <stp>BDH|12086711117374800604</stp>
        <tr r="T112" s="12"/>
      </tp>
      <tp t="e">
        <v>#N/A</v>
        <stp/>
        <stp>BDH|15112121219522382173</stp>
        <tr r="Y168" s="18"/>
      </tp>
      <tp t="e">
        <v>#N/A</v>
        <stp/>
        <stp>BDH|11561404828926009736</stp>
        <tr r="AA49" s="17"/>
      </tp>
      <tp t="e">
        <v>#N/A</v>
        <stp/>
        <stp>BDH|15437866616039887321</stp>
        <tr r="E10" s="17"/>
      </tp>
      <tp t="e">
        <v>#N/A</v>
        <stp/>
        <stp>BDH|10221316531501513793</stp>
        <tr r="K65" s="18"/>
      </tp>
      <tp t="e">
        <v>#N/A</v>
        <stp/>
        <stp>BDH|17338232922448809944</stp>
        <tr r="R12" s="18"/>
      </tp>
      <tp t="e">
        <v>#N/A</v>
        <stp/>
        <stp>BDH|10682505969603922688</stp>
        <tr r="Y128" s="18"/>
      </tp>
      <tp t="e">
        <v>#N/A</v>
        <stp/>
        <stp>BDH|13972987268209305342</stp>
        <tr r="K40" s="13"/>
        <tr r="I24" s="10"/>
        <tr r="I46" s="4"/>
      </tp>
      <tp t="e">
        <v>#N/A</v>
        <stp/>
        <stp>BDH|13924750752843331439</stp>
        <tr r="P6" s="6"/>
      </tp>
      <tp t="e">
        <v>#N/A</v>
        <stp/>
        <stp>BDH|18046958367024528599</stp>
        <tr r="M128" s="18"/>
      </tp>
      <tp t="e">
        <v>#N/A</v>
        <stp/>
        <stp>BDH|16740020240437906327</stp>
        <tr r="H16" s="22"/>
      </tp>
      <tp t="e">
        <v>#N/A</v>
        <stp/>
        <stp>BDH|16722886151695217825</stp>
        <tr r="W70" s="34"/>
      </tp>
      <tp t="e">
        <v>#N/A</v>
        <stp/>
        <stp>BDH|10212698163616591030</stp>
        <tr r="AA27" s="13"/>
      </tp>
      <tp t="e">
        <v>#N/A</v>
        <stp/>
        <stp>BDH|15672435314442869475</stp>
        <tr r="Z48" s="12"/>
      </tp>
      <tp t="e">
        <v>#N/A</v>
        <stp/>
        <stp>BDH|12919641550106464173</stp>
        <tr r="U34" s="17"/>
      </tp>
      <tp t="e">
        <v>#N/A</v>
        <stp/>
        <stp>BDH|11834276917274360055</stp>
        <tr r="F87" s="12"/>
      </tp>
      <tp t="e">
        <v>#N/A</v>
        <stp/>
        <stp>BDH|10579743761385488354</stp>
        <tr r="P9" s="8"/>
        <tr r="N52" s="6"/>
      </tp>
      <tp t="e">
        <v>#N/A</v>
        <stp/>
        <stp>BDH|11301648533271596208</stp>
        <tr r="R9" s="22"/>
      </tp>
      <tp t="e">
        <v>#N/A</v>
        <stp/>
        <stp>BDH|15708658353083636260</stp>
        <tr r="Z25" s="21"/>
      </tp>
      <tp t="e">
        <v>#N/A</v>
        <stp/>
        <stp>BDH|13118507788108998115</stp>
        <tr r="W15" s="4"/>
      </tp>
      <tp t="e">
        <v>#N/A</v>
        <stp/>
        <stp>BDH|12439187201690483480</stp>
        <tr r="L70" s="12"/>
      </tp>
      <tp t="e">
        <v>#N/A</v>
        <stp/>
        <stp>BDH|14917002470251009588</stp>
        <tr r="W46" s="22"/>
      </tp>
      <tp t="e">
        <v>#N/A</v>
        <stp/>
        <stp>BDH|17199003771005201233</stp>
        <tr r="D58" s="34"/>
      </tp>
      <tp t="e">
        <v>#N/A</v>
        <stp/>
        <stp>BDH|10992194225502787639</stp>
        <tr r="N56" s="24"/>
      </tp>
      <tp t="e">
        <v>#N/A</v>
        <stp/>
        <stp>BDH|17375536252545485575</stp>
        <tr r="O6" s="20"/>
        <tr r="O116" s="18"/>
      </tp>
      <tp t="e">
        <v>#N/A</v>
        <stp/>
        <stp>BDH|17515020916056112718</stp>
        <tr r="Y186" s="18"/>
      </tp>
      <tp t="e">
        <v>#N/A</v>
        <stp/>
        <stp>BDH|13514579076122202471</stp>
        <tr r="U52" s="17"/>
      </tp>
      <tp t="e">
        <v>#N/A</v>
        <stp/>
        <stp>BDH|12164697663315232089</stp>
        <tr r="M27" s="7"/>
      </tp>
      <tp t="e">
        <v>#N/A</v>
        <stp/>
        <stp>BDH|14986976538640411936</stp>
        <tr r="D75" s="34"/>
      </tp>
      <tp t="e">
        <v>#N/A</v>
        <stp/>
        <stp>BDH|10513772819807250680</stp>
        <tr r="U107" s="12"/>
      </tp>
      <tp t="e">
        <v>#N/A</v>
        <stp/>
        <stp>BDH|18372209468569321297</stp>
        <tr r="L16" s="23"/>
      </tp>
      <tp t="e">
        <v>#N/A</v>
        <stp/>
        <stp>BDH|10323183648204286605</stp>
        <tr r="I9" s="8"/>
        <tr r="G52" s="6"/>
      </tp>
      <tp t="e">
        <v>#N/A</v>
        <stp/>
        <stp>BDH|17033500363477120438</stp>
        <tr r="S49" s="34"/>
      </tp>
      <tp t="e">
        <v>#N/A</v>
        <stp/>
        <stp>BDH|12070503505025507519</stp>
        <tr r="S84" s="24"/>
      </tp>
      <tp t="e">
        <v>#N/A</v>
        <stp/>
        <stp>BDH|16920463840194648588</stp>
        <tr r="W48" s="12"/>
      </tp>
      <tp t="e">
        <v>#N/A</v>
        <stp/>
        <stp>BDH|18271756886101943198</stp>
        <tr r="X6" s="8"/>
        <tr r="V51" s="6"/>
      </tp>
      <tp t="e">
        <v>#N/A</v>
        <stp/>
        <stp>BDH|14356098218087788549</stp>
        <tr r="I41" s="24"/>
      </tp>
      <tp t="e">
        <v>#N/A</v>
        <stp/>
        <stp>BDH|10853626753826856202</stp>
        <tr r="X29" s="34"/>
      </tp>
      <tp t="e">
        <v>#N/A</v>
        <stp/>
        <stp>BDH|14133348494191089801</stp>
        <tr r="X9" s="17"/>
      </tp>
      <tp t="e">
        <v>#N/A</v>
        <stp/>
        <stp>BDH|13775230595326122915</stp>
        <tr r="I96" s="18"/>
      </tp>
      <tp t="e">
        <v>#N/A</v>
        <stp/>
        <stp>BDH|11258213054001070063</stp>
        <tr r="G15" s="13"/>
      </tp>
      <tp t="e">
        <v>#N/A</v>
        <stp/>
        <stp>BDH|15654935335429131106</stp>
        <tr r="G10" s="34"/>
      </tp>
      <tp t="e">
        <v>#N/A</v>
        <stp/>
        <stp>BDH|14303363794170960995</stp>
        <tr r="H9" s="28"/>
      </tp>
      <tp t="e">
        <v>#N/A</v>
        <stp/>
        <stp>BDH|12155709389453891911</stp>
        <tr r="Y41" s="22"/>
      </tp>
      <tp t="e">
        <v>#N/A</v>
        <stp/>
        <stp>BDH|12171010503490151531</stp>
        <tr r="S54" s="17"/>
        <tr r="S17" s="3"/>
      </tp>
      <tp t="e">
        <v>#N/A</v>
        <stp/>
        <stp>BDH|10240778922943045166</stp>
        <tr r="W25" s="21"/>
      </tp>
      <tp t="e">
        <v>#N/A</v>
        <stp/>
        <stp>BDH|17577583955013058396</stp>
        <tr r="Z19" s="25"/>
      </tp>
      <tp t="e">
        <v>#N/A</v>
        <stp/>
        <stp>BDH|13571131204750617557</stp>
        <tr r="O17" s="9"/>
      </tp>
      <tp t="e">
        <v>#N/A</v>
        <stp/>
        <stp>BDH|11077834301187562962</stp>
        <tr r="N37" s="26"/>
      </tp>
      <tp t="e">
        <v>#N/A</v>
        <stp/>
        <stp>BDH|15939215060073904500</stp>
        <tr r="F116" s="12"/>
      </tp>
      <tp t="e">
        <v>#N/A</v>
        <stp/>
        <stp>BDH|10397039644817184446</stp>
        <tr r="H21" s="4"/>
      </tp>
      <tp t="e">
        <v>#N/A</v>
        <stp/>
        <stp>BDH|15335042659101767680</stp>
        <tr r="G128" s="18"/>
      </tp>
      <tp t="e">
        <v>#N/A</v>
        <stp/>
        <stp>BDH|14434113038475934451</stp>
        <tr r="H14" s="20"/>
        <tr r="H123" s="18"/>
      </tp>
      <tp t="e">
        <v>#N/A</v>
        <stp/>
        <stp>BDH|10468442823601300014</stp>
        <tr r="L62" s="13"/>
      </tp>
      <tp t="e">
        <v>#N/A</v>
        <stp/>
        <stp>BDH|13071416368044104294</stp>
        <tr r="L27" s="17"/>
      </tp>
      <tp t="e">
        <v>#N/A</v>
        <stp/>
        <stp>BDH|12171630983628046301</stp>
        <tr r="S21" s="11"/>
      </tp>
      <tp t="e">
        <v>#N/A</v>
        <stp/>
        <stp>BDH|10277587368113557760</stp>
        <tr r="W77" s="17"/>
      </tp>
      <tp t="e">
        <v>#N/A</v>
        <stp/>
        <stp>BDH|13183154407737204210</stp>
        <tr r="H32" s="26"/>
      </tp>
      <tp t="e">
        <v>#N/A</v>
        <stp/>
        <stp>BDH|13400451641300685461</stp>
        <tr r="M9" s="28"/>
      </tp>
      <tp t="e">
        <v>#N/A</v>
        <stp/>
        <stp>BDH|14707731536135586272</stp>
        <tr r="S8" s="34"/>
      </tp>
      <tp t="e">
        <v>#N/A</v>
        <stp/>
        <stp>BDH|15105057210835467603</stp>
        <tr r="M212" s="18"/>
      </tp>
      <tp t="e">
        <v>#N/A</v>
        <stp/>
        <stp>BDH|16663192354865865030</stp>
        <tr r="N77" s="24"/>
      </tp>
      <tp t="e">
        <v>#N/A</v>
        <stp/>
        <stp>BDH|16739439584374776977</stp>
        <tr r="T108" s="12"/>
      </tp>
      <tp t="e">
        <v>#N/A</v>
        <stp/>
        <stp>BDH|12010080441105807419</stp>
        <tr r="V49" s="6"/>
      </tp>
      <tp t="e">
        <v>#N/A</v>
        <stp/>
        <stp>BDH|15985585463742722350</stp>
        <tr r="G12" s="11"/>
      </tp>
      <tp t="e">
        <v>#N/A</v>
        <stp/>
        <stp>BDH|14422955091966902596</stp>
        <tr r="T70" s="12"/>
      </tp>
      <tp t="e">
        <v>#N/A</v>
        <stp/>
        <stp>BDH|15500804933260710918</stp>
        <tr r="C68" s="12"/>
      </tp>
      <tp t="e">
        <v>#N/A</v>
        <stp/>
        <stp>BDH|13148374481109379649</stp>
        <tr r="O39" s="29"/>
        <tr r="O16" s="29"/>
      </tp>
      <tp t="e">
        <v>#N/A</v>
        <stp/>
        <stp>BDH|17211236721407042708</stp>
        <tr r="X19" s="23"/>
        <tr r="V59" s="11"/>
      </tp>
      <tp t="e">
        <v>#N/A</v>
        <stp/>
        <stp>BDH|18155758397651740041</stp>
        <tr r="I39" s="24"/>
      </tp>
      <tp t="e">
        <v>#N/A</v>
        <stp/>
        <stp>BDH|11387630487488439031</stp>
        <tr r="S73" s="18"/>
      </tp>
      <tp t="e">
        <v>#N/A</v>
        <stp/>
        <stp>BDH|12165251806640446768</stp>
        <tr r="T63" s="21"/>
      </tp>
      <tp t="e">
        <v>#N/A</v>
        <stp/>
        <stp>BDH|11131445711584191756</stp>
        <tr r="P56" s="12"/>
      </tp>
      <tp t="e">
        <v>#N/A</v>
        <stp/>
        <stp>BDH|17287808951128584565</stp>
        <tr r="X112" s="12"/>
      </tp>
      <tp t="e">
        <v>#N/A</v>
        <stp/>
        <stp>BDH|11016497218955947688</stp>
        <tr r="N62" s="21"/>
        <tr r="L25" s="2"/>
      </tp>
      <tp t="e">
        <v>#N/A</v>
        <stp/>
        <stp>BDH|10277951028705716983</stp>
        <tr r="M36" s="21"/>
      </tp>
      <tp t="e">
        <v>#N/A</v>
        <stp/>
        <stp>BDH|15476312115864384437</stp>
        <tr r="W61" s="17"/>
      </tp>
      <tp t="e">
        <v>#N/A</v>
        <stp/>
        <stp>BDH|14889082747884741307</stp>
        <tr r="F177" s="18"/>
      </tp>
      <tp t="e">
        <v>#N/A</v>
        <stp/>
        <stp>BDH|12753458743966023317</stp>
        <tr r="K8" s="10"/>
      </tp>
      <tp t="e">
        <v>#N/A</v>
        <stp/>
        <stp>BDH|13226101351221775147</stp>
        <tr r="S77" s="17"/>
      </tp>
      <tp t="e">
        <v>#N/A</v>
        <stp/>
        <stp>BDH|10213355067453306130</stp>
        <tr r="P94" s="18"/>
      </tp>
      <tp t="e">
        <v>#N/A</v>
        <stp/>
        <stp>BDH|12550151863344690659</stp>
        <tr r="H24" s="5"/>
      </tp>
      <tp t="e">
        <v>#N/A</v>
        <stp/>
        <stp>BDH|13246184788508704552</stp>
        <tr r="Y11" s="11"/>
      </tp>
      <tp t="e">
        <v>#N/A</v>
        <stp/>
        <stp>BDH|10469165517592263577</stp>
        <tr r="J38" s="12"/>
      </tp>
      <tp t="e">
        <v>#N/A</v>
        <stp/>
        <stp>BDH|11665961336528315454</stp>
        <tr r="I81" s="24"/>
      </tp>
      <tp t="e">
        <v>#N/A</v>
        <stp/>
        <stp>BDH|13695458205660782018</stp>
        <tr r="N18" s="22"/>
      </tp>
      <tp t="e">
        <v>#N/A</v>
        <stp/>
        <stp>BDH|13339540079223826565</stp>
        <tr r="I13" s="10"/>
      </tp>
      <tp t="e">
        <v>#N/A</v>
        <stp/>
        <stp>BDH|14864039309993797059</stp>
        <tr r="P42" s="18"/>
      </tp>
      <tp t="e">
        <v>#N/A</v>
        <stp/>
        <stp>BDH|12477816561468133350</stp>
        <tr r="X159" s="18"/>
      </tp>
      <tp t="e">
        <v>#N/A</v>
        <stp/>
        <stp>BDH|13387469400362279270</stp>
        <tr r="I30" s="9"/>
        <tr r="I30" s="5"/>
      </tp>
      <tp t="e">
        <v>#N/A</v>
        <stp/>
        <stp>BDH|18254480887737971440</stp>
        <tr r="W50" s="24"/>
      </tp>
      <tp t="e">
        <v>#N/A</v>
        <stp/>
        <stp>BDH|16768571115540455512</stp>
        <tr r="J62" s="12"/>
      </tp>
      <tp t="e">
        <v>#N/A</v>
        <stp/>
        <stp>BDH|12459507331397238477</stp>
        <tr r="T40" s="22"/>
      </tp>
      <tp t="e">
        <v>#N/A</v>
        <stp/>
        <stp>BDH|16140490432482266483</stp>
        <tr r="E58" s="13"/>
        <tr r="C47" s="11"/>
        <tr r="C56" s="10"/>
        <tr r="C17" s="7"/>
        <tr r="C17" s="4"/>
        <tr r="E10" s="3"/>
      </tp>
      <tp t="e">
        <v>#N/A</v>
        <stp/>
        <stp>BDH|10513168119123995434</stp>
        <tr r="V25" s="9"/>
      </tp>
      <tp t="e">
        <v>#N/A</v>
        <stp/>
        <stp>BDH|11653000055643105026</stp>
        <tr r="J53" s="21"/>
      </tp>
      <tp t="e">
        <v>#N/A</v>
        <stp/>
        <stp>BDH|11616748893588891091</stp>
        <tr r="Z23" s="18"/>
      </tp>
      <tp t="e">
        <v>#N/A</v>
        <stp/>
        <stp>BDH|10546823182106506102</stp>
        <tr r="U22" s="14"/>
      </tp>
      <tp t="e">
        <v>#N/A</v>
        <stp/>
        <stp>BDH|14140590068338771874</stp>
        <tr r="T14" s="34"/>
      </tp>
      <tp t="e">
        <v>#N/A</v>
        <stp/>
        <stp>BDH|18272822270024650464</stp>
        <tr r="L77" s="17"/>
      </tp>
      <tp t="e">
        <v>#N/A</v>
        <stp/>
        <stp>BDH|11170305003237199202</stp>
        <tr r="AA74" s="18"/>
      </tp>
      <tp t="e">
        <v>#N/A</v>
        <stp/>
        <stp>BDH|17163260302816545431</stp>
        <tr r="F44" s="12"/>
      </tp>
      <tp t="e">
        <v>#N/A</v>
        <stp/>
        <stp>BDH|16841153249923476732</stp>
        <tr r="R27" s="21"/>
      </tp>
      <tp t="e">
        <v>#N/A</v>
        <stp/>
        <stp>BDH|10299452325442318325</stp>
        <tr r="U110" s="12"/>
      </tp>
      <tp t="e">
        <v>#N/A</v>
        <stp/>
        <stp>BDH|15105066841876206074</stp>
        <tr r="K75" s="17"/>
      </tp>
      <tp t="e">
        <v>#N/A</v>
        <stp/>
        <stp>BDH|12908393531871672446</stp>
        <tr r="U68" s="17"/>
      </tp>
      <tp t="e">
        <v>#N/A</v>
        <stp/>
        <stp>BDH|16591926046614265805</stp>
        <tr r="X25" s="24"/>
      </tp>
      <tp t="e">
        <v>#N/A</v>
        <stp/>
        <stp>BDH|10177206581129721448</stp>
        <tr r="C37" s="13"/>
      </tp>
      <tp t="e">
        <v>#N/A</v>
        <stp/>
        <stp>BDH|13695670244506069063</stp>
        <tr r="P111" s="18"/>
      </tp>
      <tp t="e">
        <v>#N/A</v>
        <stp/>
        <stp>BDH|17093722150727748561</stp>
        <tr r="D18" s="28"/>
        <tr r="D15" s="17"/>
      </tp>
      <tp t="e">
        <v>#N/A</v>
        <stp/>
        <stp>BDH|13632748991118671264</stp>
        <tr r="L79" s="34"/>
      </tp>
      <tp t="e">
        <v>#N/A</v>
        <stp/>
        <stp>BDH|16537142991158690150</stp>
        <tr r="E120" s="12"/>
      </tp>
      <tp t="e">
        <v>#N/A</v>
        <stp/>
        <stp>BDH|11094235711822452758</stp>
        <tr r="AA163" s="18"/>
      </tp>
      <tp t="e">
        <v>#N/A</v>
        <stp/>
        <stp>BDH|14324976240387496936</stp>
        <tr r="O46" s="17"/>
      </tp>
      <tp t="e">
        <v>#N/A</v>
        <stp/>
        <stp>BDH|17142278914163266033</stp>
        <tr r="T46" s="6"/>
        <tr r="T19" s="5"/>
      </tp>
      <tp t="e">
        <v>#N/A</v>
        <stp/>
        <stp>BDH|16722304239055988441</stp>
        <tr r="X90" s="17"/>
      </tp>
      <tp t="e">
        <v>#N/A</v>
        <stp/>
        <stp>BDH|10699334164990589273</stp>
        <tr r="W24" s="17"/>
      </tp>
      <tp t="e">
        <v>#N/A</v>
        <stp/>
        <stp>BDH|13903928138556726870</stp>
        <tr r="F135" s="18"/>
      </tp>
      <tp t="e">
        <v>#N/A</v>
        <stp/>
        <stp>BDH|16133515741051418169</stp>
        <tr r="O79" s="24"/>
      </tp>
      <tp t="e">
        <v>#N/A</v>
        <stp/>
        <stp>BDH|12995080273794715661</stp>
        <tr r="F20" s="24"/>
      </tp>
      <tp t="e">
        <v>#N/A</v>
        <stp/>
        <stp>BDH|15322839485334423624</stp>
        <tr r="M13" s="30"/>
      </tp>
      <tp t="e">
        <v>#N/A</v>
        <stp/>
        <stp>BDH|13402081651415926479</stp>
        <tr r="R22" s="12"/>
      </tp>
      <tp t="e">
        <v>#N/A</v>
        <stp/>
        <stp>BDH|10829338217450904563</stp>
        <tr r="F12" s="22"/>
      </tp>
      <tp t="e">
        <v>#N/A</v>
        <stp/>
        <stp>BDH|11316783077854850273</stp>
        <tr r="O17" s="22"/>
      </tp>
      <tp t="e">
        <v>#N/A</v>
        <stp/>
        <stp>BDH|17537576314401071555</stp>
        <tr r="R8" s="24"/>
      </tp>
      <tp t="e">
        <v>#N/A</v>
        <stp/>
        <stp>BDH|10585620375725544348</stp>
        <tr r="H107" s="12"/>
      </tp>
      <tp t="e">
        <v>#N/A</v>
        <stp/>
        <stp>BDH|12059824490384736062</stp>
        <tr r="T18" s="24"/>
      </tp>
      <tp t="e">
        <v>#N/A</v>
        <stp/>
        <stp>BDH|12348464170655564332</stp>
        <tr r="U9" s="11"/>
      </tp>
      <tp t="e">
        <v>#N/A</v>
        <stp/>
        <stp>BDH|11966966485744137386</stp>
        <tr r="Q41" s="17"/>
      </tp>
      <tp t="e">
        <v>#N/A</v>
        <stp/>
        <stp>BDH|17367698474295978449</stp>
        <tr r="X18" s="23"/>
      </tp>
      <tp t="e">
        <v>#N/A</v>
        <stp/>
        <stp>BDH|16808443974491977321</stp>
        <tr r="V42" s="4"/>
      </tp>
      <tp t="e">
        <v>#N/A</v>
        <stp/>
        <stp>BDH|10117459772037418318</stp>
        <tr r="G39" s="18"/>
      </tp>
      <tp t="e">
        <v>#N/A</v>
        <stp/>
        <stp>BDH|13933333170329950907</stp>
        <tr r="R23" s="12"/>
      </tp>
      <tp t="e">
        <v>#N/A</v>
        <stp/>
        <stp>BDH|10277147556577039436</stp>
        <tr r="K48" s="34"/>
      </tp>
      <tp t="e">
        <v>#N/A</v>
        <stp/>
        <stp>BDH|15106466650386413504</stp>
        <tr r="D87" s="24"/>
      </tp>
      <tp t="e">
        <v>#N/A</v>
        <stp/>
        <stp>BDH|13765146487039776407</stp>
        <tr r="AA209" s="18"/>
      </tp>
      <tp t="e">
        <v>#N/A</v>
        <stp/>
        <stp>BDH|11799557560732699770</stp>
        <tr r="O90" s="12"/>
      </tp>
      <tp t="e">
        <v>#N/A</v>
        <stp/>
        <stp>BDH|14590231435160888286</stp>
        <tr r="T68" s="17"/>
      </tp>
      <tp t="e">
        <v>#N/A</v>
        <stp/>
        <stp>BDH|15326547853257401530</stp>
        <tr r="J65" s="17"/>
      </tp>
      <tp t="e">
        <v>#N/A</v>
        <stp/>
        <stp>BDH|15976251724552240090</stp>
        <tr r="G29" s="17"/>
      </tp>
      <tp t="e">
        <v>#N/A</v>
        <stp/>
        <stp>BDH|14823613993325169983</stp>
        <tr r="L50" s="21"/>
      </tp>
      <tp t="e">
        <v>#N/A</v>
        <stp/>
        <stp>BDH|15707053720006120606</stp>
        <tr r="D42" s="18"/>
      </tp>
      <tp t="e">
        <v>#N/A</v>
        <stp/>
        <stp>BDH|16412193594349311097</stp>
        <tr r="R137" s="18"/>
      </tp>
      <tp t="e">
        <v>#N/A</v>
        <stp/>
        <stp>BDH|10816448974326291295</stp>
        <tr r="Q26" s="7"/>
      </tp>
      <tp t="e">
        <v>#N/A</v>
        <stp/>
        <stp>BDH|17841252908106417420</stp>
        <tr r="K34" s="9"/>
      </tp>
      <tp t="e">
        <v>#N/A</v>
        <stp/>
        <stp>BDH|14339222115731095179</stp>
        <tr r="W83" s="24"/>
      </tp>
      <tp t="e">
        <v>#N/A</v>
        <stp/>
        <stp>BDH|17321162724352121137</stp>
        <tr r="R160" s="18"/>
      </tp>
      <tp t="e">
        <v>#N/A</v>
        <stp/>
        <stp>BDH|14021131243657640154</stp>
        <tr r="V71" s="24"/>
      </tp>
      <tp t="e">
        <v>#N/A</v>
        <stp/>
        <stp>BDH|15706616265101274325</stp>
        <tr r="T20" s="26"/>
      </tp>
      <tp t="e">
        <v>#N/A</v>
        <stp/>
        <stp>BDH|17903180667745571205</stp>
        <tr r="F36" s="14"/>
      </tp>
      <tp t="e">
        <v>#N/A</v>
        <stp/>
        <stp>BDH|16773576614643232651</stp>
        <tr r="J27" s="18"/>
      </tp>
      <tp t="e">
        <v>#N/A</v>
        <stp/>
        <stp>BDH|17803154151624758083</stp>
        <tr r="R35" s="26"/>
      </tp>
      <tp t="e">
        <v>#N/A</v>
        <stp/>
        <stp>BDH|11665458411327419458</stp>
        <tr r="L36" s="14"/>
      </tp>
      <tp t="e">
        <v>#N/A</v>
        <stp/>
        <stp>BDH|15651657695868194547</stp>
        <tr r="U20" s="9"/>
      </tp>
      <tp t="e">
        <v>#N/A</v>
        <stp/>
        <stp>BDH|11769000363278649814</stp>
        <tr r="J12" s="13"/>
      </tp>
      <tp t="e">
        <v>#N/A</v>
        <stp/>
        <stp>BDH|15604721195279023525</stp>
        <tr r="M8" s="10"/>
      </tp>
      <tp t="e">
        <v>#N/A</v>
        <stp/>
        <stp>BDH|18256958174732549345</stp>
        <tr r="I49" s="4"/>
      </tp>
      <tp t="e">
        <v>#N/A</v>
        <stp/>
        <stp>BDH|10155820434964677831</stp>
        <tr r="Q51" s="21"/>
      </tp>
      <tp t="e">
        <v>#N/A</v>
        <stp/>
        <stp>BDH|15090828104202482801</stp>
        <tr r="U53" s="12"/>
      </tp>
      <tp t="e">
        <v>#N/A</v>
        <stp/>
        <stp>BDH|13113558304427320615</stp>
        <tr r="N20" s="34"/>
      </tp>
      <tp t="e">
        <v>#N/A</v>
        <stp/>
        <stp>BDH|13869884432196786971</stp>
        <tr r="Q195" s="18"/>
      </tp>
      <tp t="e">
        <v>#N/A</v>
        <stp/>
        <stp>BDH|15816471826702273699</stp>
        <tr r="L52" s="12"/>
      </tp>
      <tp t="e">
        <v>#N/A</v>
        <stp/>
        <stp>BDH|17790181809631754032</stp>
        <tr r="E43" s="21"/>
      </tp>
      <tp t="e">
        <v>#N/A</v>
        <stp/>
        <stp>BDH|12872635202632296194</stp>
        <tr r="I74" s="34"/>
      </tp>
      <tp t="e">
        <v>#N/A</v>
        <stp/>
        <stp>BDH|11887894645669028360</stp>
        <tr r="Z54" s="13"/>
      </tp>
      <tp t="e">
        <v>#N/A</v>
        <stp/>
        <stp>BDH|16285113154730140540</stp>
        <tr r="H33" s="13"/>
        <tr r="F26" s="10"/>
      </tp>
      <tp t="e">
        <v>#N/A</v>
        <stp/>
        <stp>BDH|12415452191841378913</stp>
        <tr r="Q54" s="24"/>
      </tp>
      <tp t="e">
        <v>#N/A</v>
        <stp/>
        <stp>BDH|15150767030631598702</stp>
        <tr r="L29" s="6"/>
      </tp>
      <tp t="e">
        <v>#N/A</v>
        <stp/>
        <stp>BDH|15085310959163360790</stp>
        <tr r="D45" s="17"/>
      </tp>
      <tp t="e">
        <v>#N/A</v>
        <stp/>
        <stp>BDH|17116561075437593553</stp>
        <tr r="X7" s="20"/>
        <tr r="X117" s="18"/>
      </tp>
      <tp t="e">
        <v>#N/A</v>
        <stp/>
        <stp>BDH|10658694231002879048</stp>
        <tr r="F21" s="22"/>
      </tp>
      <tp t="e">
        <v>#N/A</v>
        <stp/>
        <stp>BDH|13365112493894014830</stp>
        <tr r="F24" s="6"/>
      </tp>
      <tp t="e">
        <v>#N/A</v>
        <stp/>
        <stp>BDH|11026540468035784097</stp>
        <tr r="I153" s="18"/>
      </tp>
      <tp t="e">
        <v>#N/A</v>
        <stp/>
        <stp>BDH|14774106401362372078</stp>
        <tr r="G44" s="22"/>
      </tp>
      <tp t="e">
        <v>#N/A</v>
        <stp/>
        <stp>BDH|11451525495868604275</stp>
        <tr r="G45" s="13"/>
        <tr r="E29" s="11"/>
        <tr r="E38" s="10"/>
      </tp>
      <tp t="e">
        <v>#N/A</v>
        <stp/>
        <stp>BDH|12281044525212655576</stp>
        <tr r="F81" s="17"/>
      </tp>
      <tp t="e">
        <v>#N/A</v>
        <stp/>
        <stp>BDH|15713878926290501816</stp>
        <tr r="S24" s="29"/>
      </tp>
      <tp t="e">
        <v>#N/A</v>
        <stp/>
        <stp>BDH|10710706950562392767</stp>
        <tr r="W100" s="12"/>
      </tp>
      <tp t="e">
        <v>#N/A</v>
        <stp/>
        <stp>BDH|10363053245502590145</stp>
        <tr r="C25" s="14"/>
      </tp>
      <tp t="e">
        <v>#N/A</v>
        <stp/>
        <stp>BDH|16957316177405560082</stp>
        <tr r="S16" s="28"/>
        <tr r="S13" s="17"/>
      </tp>
      <tp t="e">
        <v>#N/A</v>
        <stp/>
        <stp>BDH|15208072134890100129</stp>
        <tr r="H29" s="34"/>
      </tp>
      <tp t="e">
        <v>#N/A</v>
        <stp/>
        <stp>BDH|11321825343609606363</stp>
        <tr r="O61" s="34"/>
      </tp>
      <tp t="e">
        <v>#N/A</v>
        <stp/>
        <stp>BDH|10265092549642757175</stp>
        <tr r="C20" s="29"/>
      </tp>
      <tp t="e">
        <v>#N/A</v>
        <stp/>
        <stp>BDH|17714660057175310673</stp>
        <tr r="C22" s="12"/>
      </tp>
      <tp t="e">
        <v>#N/A</v>
        <stp/>
        <stp>BDH|18427508653037427819</stp>
        <tr r="G39" s="29"/>
        <tr r="G16" s="29"/>
      </tp>
      <tp t="e">
        <v>#N/A</v>
        <stp/>
        <stp>BDH|15752766115202112671</stp>
        <tr r="V13" s="22"/>
      </tp>
      <tp t="e">
        <v>#N/A</v>
        <stp/>
        <stp>BDH|15868956139418734017</stp>
        <tr r="P89" s="17"/>
      </tp>
      <tp t="e">
        <v>#N/A</v>
        <stp/>
        <stp>BDH|18157916968944381492</stp>
        <tr r="O58" s="24"/>
      </tp>
      <tp t="e">
        <v>#N/A</v>
        <stp/>
        <stp>BDH|13244247582657614904</stp>
        <tr r="D31" s="29"/>
      </tp>
      <tp t="e">
        <v>#N/A</v>
        <stp/>
        <stp>BDH|16734516807496329204</stp>
        <tr r="P43" s="22"/>
      </tp>
      <tp t="e">
        <v>#N/A</v>
        <stp/>
        <stp>BDH|15324024000185303700</stp>
        <tr r="K14" s="22"/>
      </tp>
      <tp t="e">
        <v>#N/A</v>
        <stp/>
        <stp>BDH|14906301145651986578</stp>
        <tr r="J38" s="22"/>
      </tp>
      <tp t="e">
        <v>#N/A</v>
        <stp/>
        <stp>BDH|14562520781228426601</stp>
        <tr r="W31" s="22"/>
      </tp>
      <tp t="e">
        <v>#N/A</v>
        <stp/>
        <stp>BDH|14534639321515716229</stp>
        <tr r="X83" s="18"/>
      </tp>
      <tp t="e">
        <v>#N/A</v>
        <stp/>
        <stp>BDH|14512316721913693111</stp>
        <tr r="G65" s="21"/>
        <tr r="E23" s="7"/>
      </tp>
      <tp t="e">
        <v>#N/A</v>
        <stp/>
        <stp>BDH|13764106032895552328</stp>
        <tr r="N11" s="17"/>
      </tp>
      <tp t="e">
        <v>#N/A</v>
        <stp/>
        <stp>BDH|14086945790637779419</stp>
        <tr r="S21" s="30"/>
      </tp>
      <tp t="e">
        <v>#N/A</v>
        <stp/>
        <stp>BDH|17249726027083605637</stp>
        <tr r="D36" s="29"/>
        <tr r="D22" s="29"/>
        <tr r="D13" s="29"/>
      </tp>
      <tp t="e">
        <v>#N/A</v>
        <stp/>
        <stp>BDH|15241106449674903301</stp>
        <tr r="M49" s="34"/>
      </tp>
      <tp t="e">
        <v>#N/A</v>
        <stp/>
        <stp>BDH|13026743677375507147</stp>
        <tr r="H24" s="22"/>
      </tp>
      <tp t="e">
        <v>#N/A</v>
        <stp/>
        <stp>BDH|18197453924940066921</stp>
        <tr r="Q203" s="18"/>
      </tp>
      <tp t="e">
        <v>#N/A</v>
        <stp/>
        <stp>BDH|15661762842647105616</stp>
        <tr r="N71" s="24"/>
      </tp>
      <tp t="e">
        <v>#N/A</v>
        <stp/>
        <stp>BDH|15518042777602789739</stp>
        <tr r="U37" s="18"/>
      </tp>
      <tp t="e">
        <v>#N/A</v>
        <stp/>
        <stp>BDH|12428488107381669084</stp>
        <tr r="M179" s="18"/>
      </tp>
      <tp t="e">
        <v>#N/A</v>
        <stp/>
        <stp>BDH|17689302955212415422</stp>
        <tr r="P79" s="18"/>
      </tp>
      <tp t="e">
        <v>#N/A</v>
        <stp/>
        <stp>BDH|14423504371811656060</stp>
        <tr r="E103" s="12"/>
      </tp>
      <tp t="e">
        <v>#N/A</v>
        <stp/>
        <stp>BDH|10940285852149089962</stp>
        <tr r="N213" s="18"/>
      </tp>
      <tp t="e">
        <v>#N/A</v>
        <stp/>
        <stp>BDH|10633544230515004478</stp>
        <tr r="F9" s="21"/>
      </tp>
      <tp t="e">
        <v>#N/A</v>
        <stp/>
        <stp>BDH|11535505121959325827</stp>
        <tr r="W8" s="10"/>
      </tp>
      <tp t="e">
        <v>#N/A</v>
        <stp/>
        <stp>BDH|11962915445748896307</stp>
        <tr r="U55" s="18"/>
      </tp>
      <tp t="e">
        <v>#N/A</v>
        <stp/>
        <stp>BDH|15942490922387344349</stp>
        <tr r="L11" s="14"/>
      </tp>
      <tp t="e">
        <v>#N/A</v>
        <stp/>
        <stp>BDH|12770389548432409063</stp>
        <tr r="S17" s="14"/>
      </tp>
      <tp t="e">
        <v>#N/A</v>
        <stp/>
        <stp>BDH|12876508718229415815</stp>
        <tr r="C49" s="34"/>
      </tp>
      <tp t="e">
        <v>#N/A</v>
        <stp/>
        <stp>BDH|12210744335059255849</stp>
        <tr r="K61" s="24"/>
      </tp>
      <tp t="e">
        <v>#N/A</v>
        <stp/>
        <stp>BDH|13978511894768995001</stp>
        <tr r="P9" s="6"/>
      </tp>
      <tp t="e">
        <v>#N/A</v>
        <stp/>
        <stp>BDH|10573634963863520451</stp>
        <tr r="I56" s="18"/>
      </tp>
      <tp t="e">
        <v>#N/A</v>
        <stp/>
        <stp>BDH|18235724597997773651</stp>
        <tr r="D59" s="34"/>
      </tp>
      <tp t="e">
        <v>#N/A</v>
        <stp/>
        <stp>BDH|14182590766279817933</stp>
        <tr r="U44" s="24"/>
      </tp>
      <tp t="e">
        <v>#N/A</v>
        <stp/>
        <stp>BDH|12881499264415042209</stp>
        <tr r="Z140" s="18"/>
      </tp>
      <tp t="e">
        <v>#N/A</v>
        <stp/>
        <stp>BDH|15859682170767471418</stp>
        <tr r="W7" s="34"/>
      </tp>
      <tp t="e">
        <v>#N/A</v>
        <stp/>
        <stp>BDH|10787806885131710600</stp>
        <tr r="I35" s="18"/>
      </tp>
      <tp t="e">
        <v>#N/A</v>
        <stp/>
        <stp>BDH|16483225586309359265</stp>
        <tr r="V184" s="18"/>
      </tp>
      <tp t="e">
        <v>#N/A</v>
        <stp/>
        <stp>BDH|12923826265998866335</stp>
        <tr r="C45" s="18"/>
      </tp>
      <tp t="e">
        <v>#N/A</v>
        <stp/>
        <stp>BDH|12694607541353533470</stp>
        <tr r="U45" s="22"/>
      </tp>
      <tp t="e">
        <v>#N/A</v>
        <stp/>
        <stp>BDH|17554969866489134615</stp>
        <tr r="I127" s="18"/>
      </tp>
      <tp t="e">
        <v>#N/A</v>
        <stp/>
        <stp>BDH|17543958778888898650</stp>
        <tr r="S10" s="12"/>
      </tp>
      <tp t="e">
        <v>#N/A</v>
        <stp/>
        <stp>BDH|17737665083429786707</stp>
        <tr r="H139" s="18"/>
      </tp>
      <tp t="e">
        <v>#N/A</v>
        <stp/>
        <stp>BDH|14185395795608113196</stp>
        <tr r="U37" s="13"/>
        <tr r="S30" s="10"/>
      </tp>
      <tp t="e">
        <v>#N/A</v>
        <stp/>
        <stp>BDH|13703354647010775370</stp>
        <tr r="D12" s="20"/>
        <tr r="D121" s="18"/>
      </tp>
      <tp t="e">
        <v>#N/A</v>
        <stp/>
        <stp>BDH|16794955983024063448</stp>
        <tr r="D44" s="12"/>
      </tp>
      <tp t="e">
        <v>#N/A</v>
        <stp/>
        <stp>BDH|11399022960934395479</stp>
        <tr r="O75" s="24"/>
      </tp>
      <tp t="e">
        <v>#N/A</v>
        <stp/>
        <stp>BDH|12345313565086170631</stp>
        <tr r="L94" s="17"/>
      </tp>
      <tp t="e">
        <v>#N/A</v>
        <stp/>
        <stp>BDH|10179911674330476953</stp>
        <tr r="I7" s="9"/>
        <tr r="I7" s="5"/>
        <tr r="L14" s="3"/>
        <tr r="J7" s="2"/>
      </tp>
      <tp t="e">
        <v>#N/A</v>
        <stp/>
        <stp>BDH|13335667824139613924</stp>
        <tr r="W74" s="12"/>
      </tp>
      <tp t="e">
        <v>#N/A</v>
        <stp/>
        <stp>BDH|10726501777067074254</stp>
        <tr r="P51" s="17"/>
      </tp>
      <tp t="e">
        <v>#N/A</v>
        <stp/>
        <stp>BDH|16543580888008646467</stp>
        <tr r="AA63" s="21"/>
      </tp>
      <tp t="e">
        <v>#N/A</v>
        <stp/>
        <stp>BDH|17591258018596453596</stp>
        <tr r="C63" s="10"/>
      </tp>
      <tp t="e">
        <v>#N/A</v>
        <stp/>
        <stp>BDH|14785211493748702079</stp>
        <tr r="P64" s="17"/>
      </tp>
      <tp t="e">
        <v>#N/A</v>
        <stp/>
        <stp>BDH|10089581424199183986</stp>
        <tr r="L15" s="22"/>
      </tp>
      <tp t="e">
        <v>#N/A</v>
        <stp/>
        <stp>BDH|14558835425290138974</stp>
        <tr r="R37" s="22"/>
      </tp>
      <tp t="e">
        <v>#N/A</v>
        <stp/>
        <stp>BDH|17111719864264563549</stp>
        <tr r="H21" s="30"/>
      </tp>
      <tp t="e">
        <v>#N/A</v>
        <stp/>
        <stp>BDH|18318523968244519894</stp>
        <tr r="R97" s="12"/>
      </tp>
      <tp t="e">
        <v>#N/A</v>
        <stp/>
        <stp>BDH|12036216973631033175</stp>
        <tr r="M13" s="27"/>
        <tr r="M27" s="25"/>
      </tp>
      <tp t="e">
        <v>#N/A</v>
        <stp/>
        <stp>BDH|17365747971773003333</stp>
        <tr r="S13" s="7"/>
      </tp>
      <tp t="e">
        <v>#N/A</v>
        <stp/>
        <stp>BDH|11138274003035810183</stp>
        <tr r="V156" s="18"/>
      </tp>
      <tp t="e">
        <v>#N/A</v>
        <stp/>
        <stp>BDH|11448739670924369217</stp>
        <tr r="G199" s="18"/>
      </tp>
      <tp t="e">
        <v>#N/A</v>
        <stp/>
        <stp>BDH|15355165172094639046</stp>
        <tr r="E32" s="12"/>
      </tp>
      <tp t="e">
        <v>#N/A</v>
        <stp/>
        <stp>BDH|16878635698026621804</stp>
        <tr r="H19" s="26"/>
      </tp>
      <tp t="e">
        <v>#N/A</v>
        <stp/>
        <stp>BDH|17087909368398530785</stp>
        <tr r="N24" s="12"/>
      </tp>
      <tp t="e">
        <v>#N/A</v>
        <stp/>
        <stp>BDH|11859591701065738623</stp>
        <tr r="P107" s="12"/>
      </tp>
      <tp t="e">
        <v>#N/A</v>
        <stp/>
        <stp>BDH|15785471591519773620</stp>
        <tr r="W17" s="22"/>
      </tp>
      <tp t="e">
        <v>#N/A</v>
        <stp/>
        <stp>BDH|13320045566810366263</stp>
        <tr r="O45" s="17"/>
      </tp>
      <tp t="e">
        <v>#N/A</v>
        <stp/>
        <stp>BDH|10437970050992066975</stp>
        <tr r="T79" s="18"/>
      </tp>
      <tp t="e">
        <v>#N/A</v>
        <stp/>
        <stp>BDH|17946344738830947084</stp>
        <tr r="G58" s="17"/>
      </tp>
      <tp t="e">
        <v>#N/A</v>
        <stp/>
        <stp>BDH|16360832496233690347</stp>
        <tr r="I44" s="18"/>
      </tp>
      <tp t="e">
        <v>#N/A</v>
        <stp/>
        <stp>BDH|11397209800144060078</stp>
        <tr r="H44" s="18"/>
      </tp>
      <tp t="e">
        <v>#N/A</v>
        <stp/>
        <stp>BDH|15910172576287899347</stp>
        <tr r="W18" s="24"/>
      </tp>
      <tp t="e">
        <v>#N/A</v>
        <stp/>
        <stp>BDH|16181540835716436102</stp>
        <tr r="J21" s="9"/>
      </tp>
      <tp t="e">
        <v>#N/A</v>
        <stp/>
        <stp>BDH|12566922543919425141</stp>
        <tr r="O62" s="11"/>
        <tr r="O71" s="10"/>
      </tp>
      <tp t="e">
        <v>#N/A</v>
        <stp/>
        <stp>BDH|12673335638956071392</stp>
        <tr r="X170" s="18"/>
      </tp>
      <tp t="e">
        <v>#N/A</v>
        <stp/>
        <stp>BDH|13290633058471886658</stp>
        <tr r="H44" s="6"/>
      </tp>
      <tp t="e">
        <v>#N/A</v>
        <stp/>
        <stp>BDH|11533110978885020587</stp>
        <tr r="E17" s="13"/>
      </tp>
      <tp t="e">
        <v>#N/A</v>
        <stp/>
        <stp>BDH|12399062510381308525</stp>
        <tr r="K16" s="23"/>
      </tp>
      <tp t="e">
        <v>#N/A</v>
        <stp/>
        <stp>BDH|14519636147085228478</stp>
        <tr r="Q58" s="34"/>
      </tp>
      <tp t="e">
        <v>#N/A</v>
        <stp/>
        <stp>BDH|10374634716098670849</stp>
        <tr r="V72" s="17"/>
      </tp>
      <tp t="e">
        <v>#N/A</v>
        <stp/>
        <stp>BDH|17193736006826186112</stp>
        <tr r="F83" s="12"/>
      </tp>
      <tp t="e">
        <v>#N/A</v>
        <stp/>
        <stp>BDH|14054761963980893299</stp>
        <tr r="P8" s="10"/>
      </tp>
      <tp t="e">
        <v>#N/A</v>
        <stp/>
        <stp>BDH|13600909721479733642</stp>
        <tr r="S45" s="24"/>
      </tp>
      <tp t="e">
        <v>#N/A</v>
        <stp/>
        <stp>BDH|13488388572881257181</stp>
        <tr r="O17" s="20"/>
      </tp>
      <tp t="e">
        <v>#N/A</v>
        <stp/>
        <stp>BDH|12935026843352902355</stp>
        <tr r="M73" s="12"/>
      </tp>
      <tp t="e">
        <v>#N/A</v>
        <stp/>
        <stp>BDH|13344430073372635517</stp>
        <tr r="F110" s="18"/>
      </tp>
      <tp t="e">
        <v>#N/A</v>
        <stp/>
        <stp>BDH|15268293366603868516</stp>
        <tr r="U33" s="24"/>
      </tp>
      <tp t="e">
        <v>#N/A</v>
        <stp/>
        <stp>BDH|16657924294007106652</stp>
        <tr r="Q18" s="10"/>
      </tp>
      <tp t="e">
        <v>#N/A</v>
        <stp/>
        <stp>BDH|13302000579556972570</stp>
        <tr r="M38" s="25"/>
      </tp>
      <tp t="e">
        <v>#N/A</v>
        <stp/>
        <stp>BDH|16439902824092714831</stp>
        <tr r="C48" s="12"/>
      </tp>
      <tp t="e">
        <v>#N/A</v>
        <stp/>
        <stp>BDH|13261545220584438764</stp>
        <tr r="Q110" s="18"/>
      </tp>
      <tp t="e">
        <v>#N/A</v>
        <stp/>
        <stp>BDH|13621104554596470624</stp>
        <tr r="G20" s="28"/>
        <tr r="G17" s="17"/>
      </tp>
      <tp t="e">
        <v>#N/A</v>
        <stp/>
        <stp>BDH|17839260555133608492</stp>
        <tr r="H13" s="6"/>
      </tp>
      <tp t="e">
        <v>#N/A</v>
        <stp/>
        <stp>BDH|12915375786837981954</stp>
        <tr r="C198" s="18"/>
      </tp>
      <tp t="e">
        <v>#N/A</v>
        <stp/>
        <stp>BDH|13398017844378444869</stp>
        <tr r="T169" s="18"/>
      </tp>
      <tp t="e">
        <v>#N/A</v>
        <stp/>
        <stp>BDH|10712758915137164629</stp>
        <tr r="T27" s="24"/>
      </tp>
      <tp t="e">
        <v>#N/A</v>
        <stp/>
        <stp>BDH|16339330658124521397</stp>
        <tr r="L13" s="8"/>
      </tp>
      <tp t="e">
        <v>#N/A</v>
        <stp/>
        <stp>BDH|16949283576447426376</stp>
        <tr r="H31" s="17"/>
      </tp>
      <tp t="e">
        <v>#N/A</v>
        <stp/>
        <stp>BDH|15450342405969781861</stp>
        <tr r="H90" s="12"/>
      </tp>
      <tp t="e">
        <v>#N/A</v>
        <stp/>
        <stp>BDH|10402523475154058171</stp>
        <tr r="I95" s="24"/>
      </tp>
      <tp t="e">
        <v>#N/A</v>
        <stp/>
        <stp>BDH|17927282567026535276</stp>
        <tr r="K87" s="24"/>
      </tp>
      <tp t="e">
        <v>#N/A</v>
        <stp/>
        <stp>BDH|17878080125741000314</stp>
        <tr r="S88" s="12"/>
      </tp>
      <tp t="e">
        <v>#N/A</v>
        <stp/>
        <stp>BDH|13841012176272999129</stp>
        <tr r="E14" s="22"/>
      </tp>
      <tp t="e">
        <v>#N/A</v>
        <stp/>
        <stp>BDH|14768423060491921087</stp>
        <tr r="K38" s="21"/>
        <tr r="K24" s="3"/>
      </tp>
      <tp t="e">
        <v>#N/A</v>
        <stp/>
        <stp>BDH|14447599999068210717</stp>
        <tr r="D13" s="30"/>
      </tp>
      <tp t="e">
        <v>#N/A</v>
        <stp/>
        <stp>BDH|14826875590600198293</stp>
        <tr r="I77" s="24"/>
      </tp>
      <tp t="e">
        <v>#N/A</v>
        <stp/>
        <stp>BDH|10117203003824742125</stp>
        <tr r="Y7" s="24"/>
      </tp>
      <tp t="e">
        <v>#N/A</v>
        <stp/>
        <stp>BDH|15715379679674924277</stp>
        <tr r="E28" s="22"/>
      </tp>
      <tp t="e">
        <v>#N/A</v>
        <stp/>
        <stp>BDH|15801405184279295795</stp>
        <tr r="N11" s="13"/>
      </tp>
      <tp t="e">
        <v>#N/A</v>
        <stp/>
        <stp>BDH|10107303979565991665</stp>
        <tr r="C59" s="12"/>
      </tp>
      <tp t="e">
        <v>#N/A</v>
        <stp/>
        <stp>BDH|10770318562767665554</stp>
        <tr r="U34" s="26"/>
      </tp>
      <tp t="e">
        <v>#N/A</v>
        <stp/>
        <stp>BDH|14220004845967438046</stp>
        <tr r="R13" s="26"/>
      </tp>
      <tp t="e">
        <v>#N/A</v>
        <stp/>
        <stp>BDH|13079158693664468855</stp>
        <tr r="X49" s="24"/>
      </tp>
      <tp t="e">
        <v>#N/A</v>
        <stp/>
        <stp>BDH|14483285850242362680</stp>
        <tr r="Q98" s="17"/>
      </tp>
      <tp t="e">
        <v>#N/A</v>
        <stp/>
        <stp>BDH|15750381310033049389</stp>
        <tr r="N86" s="12"/>
      </tp>
      <tp t="e">
        <v>#N/A</v>
        <stp/>
        <stp>BDH|16143869792560748055</stp>
        <tr r="Q40" s="29"/>
        <tr r="Q17" s="29"/>
      </tp>
      <tp t="e">
        <v>#N/A</v>
        <stp/>
        <stp>BDH|10848805590197786181</stp>
        <tr r="Y198" s="18"/>
      </tp>
      <tp t="e">
        <v>#N/A</v>
        <stp/>
        <stp>BDH|18178949665534556426</stp>
        <tr r="Q28" s="24"/>
      </tp>
      <tp t="e">
        <v>#N/A</v>
        <stp/>
        <stp>BDH|11428728021641551256</stp>
        <tr r="K189" s="18"/>
      </tp>
      <tp t="e">
        <v>#N/A</v>
        <stp/>
        <stp>BDH|17411354235320208019</stp>
        <tr r="U20" s="26"/>
      </tp>
      <tp t="e">
        <v>#N/A</v>
        <stp/>
        <stp>BDH|13846166735171551799</stp>
        <tr r="Y57" s="18"/>
      </tp>
      <tp t="e">
        <v>#N/A</v>
        <stp/>
        <stp>BDH|11929570631995106594</stp>
        <tr r="M41" s="34"/>
      </tp>
      <tp t="e">
        <v>#N/A</v>
        <stp/>
        <stp>BDH|14326018875006400244</stp>
        <tr r="Q49" s="17"/>
      </tp>
      <tp t="e">
        <v>#N/A</v>
        <stp/>
        <stp>BDH|12910529010493551297</stp>
        <tr r="H90" s="18"/>
      </tp>
      <tp t="e">
        <v>#N/A</v>
        <stp/>
        <stp>BDH|15398721525423749446</stp>
        <tr r="V12" s="21"/>
      </tp>
      <tp t="e">
        <v>#N/A</v>
        <stp/>
        <stp>BDH|10202798570133467481</stp>
        <tr r="R18" s="23"/>
      </tp>
      <tp t="e">
        <v>#N/A</v>
        <stp/>
        <stp>BDH|11249210504064781071</stp>
        <tr r="E118" s="12"/>
      </tp>
      <tp t="e">
        <v>#N/A</v>
        <stp/>
        <stp>BDH|11390778141263692647</stp>
        <tr r="G11" s="20"/>
        <tr r="G120" s="18"/>
      </tp>
      <tp t="e">
        <v>#N/A</v>
        <stp/>
        <stp>BDH|15492329142076353308</stp>
        <tr r="N84" s="24"/>
      </tp>
      <tp t="e">
        <v>#N/A</v>
        <stp/>
        <stp>BDH|16691600276977385745</stp>
        <tr r="E15" s="9"/>
      </tp>
      <tp t="e">
        <v>#N/A</v>
        <stp/>
        <stp>BDH|16623127680490551868</stp>
        <tr r="I19" s="21"/>
        <tr r="I23" s="3"/>
        <tr r="G23" s="2"/>
      </tp>
      <tp t="e">
        <v>#N/A</v>
        <stp/>
        <stp>BDH|11877142647971969256</stp>
        <tr r="C41" s="24"/>
      </tp>
      <tp t="e">
        <v>#N/A</v>
        <stp/>
        <stp>BDH|13666670170655384054</stp>
        <tr r="X22" s="20"/>
      </tp>
      <tp t="e">
        <v>#N/A</v>
        <stp/>
        <stp>BDH|14422414022080155511</stp>
        <tr r="D20" s="34"/>
      </tp>
      <tp t="e">
        <v>#N/A</v>
        <stp/>
        <stp>BDH|10851121579040645122</stp>
        <tr r="U201" s="18"/>
      </tp>
      <tp t="e">
        <v>#N/A</v>
        <stp/>
        <stp>BDH|13050841271879161238</stp>
        <tr r="Q49" s="4"/>
      </tp>
      <tp t="e">
        <v>#N/A</v>
        <stp/>
        <stp>BDH|10940414138155478536</stp>
        <tr r="I7" s="14"/>
      </tp>
      <tp t="e">
        <v>#N/A</v>
        <stp/>
        <stp>BDH|10537529681653743968</stp>
        <tr r="Q70" s="34"/>
      </tp>
      <tp t="e">
        <v>#N/A</v>
        <stp/>
        <stp>BDH|12869883671503698909</stp>
        <tr r="U7" s="8"/>
      </tp>
      <tp t="e">
        <v>#N/A</v>
        <stp/>
        <stp>BDH|12732443612767520735</stp>
        <tr r="T22" s="14"/>
      </tp>
      <tp t="e">
        <v>#N/A</v>
        <stp/>
        <stp>BDH|10007321185248129416</stp>
        <tr r="T7" s="6"/>
      </tp>
      <tp t="e">
        <v>#N/A</v>
        <stp/>
        <stp>BDH|12530104051045061436</stp>
        <tr r="P63" s="18"/>
      </tp>
      <tp t="e">
        <v>#N/A</v>
        <stp/>
        <stp>BDH|12170186358440703112</stp>
        <tr r="L75" s="12"/>
      </tp>
      <tp t="e">
        <v>#N/A</v>
        <stp/>
        <stp>BDH|10004283216215901106</stp>
        <tr r="N17" s="18"/>
      </tp>
      <tp t="e">
        <v>#N/A</v>
        <stp/>
        <stp>BDH|15262844390546936583</stp>
        <tr r="N111" s="12"/>
      </tp>
      <tp t="e">
        <v>#N/A</v>
        <stp/>
        <stp>BDH|12314460236104138655</stp>
        <tr r="Q85" s="12"/>
      </tp>
      <tp t="e">
        <v>#N/A</v>
        <stp/>
        <stp>BDH|17519708735853270750</stp>
        <tr r="Q22" s="21"/>
      </tp>
      <tp t="e">
        <v>#N/A</v>
        <stp/>
        <stp>BDH|14269870890970111238</stp>
        <tr r="H23" s="17"/>
      </tp>
      <tp t="e">
        <v>#N/A</v>
        <stp/>
        <stp>BDH|10265722741515470120</stp>
        <tr r="N26" s="6"/>
      </tp>
      <tp t="e">
        <v>#N/A</v>
        <stp/>
        <stp>BDH|14859037186453375894</stp>
        <tr r="V79" s="12"/>
      </tp>
      <tp t="e">
        <v>#N/A</v>
        <stp/>
        <stp>BDH|17210523340096537725</stp>
        <tr r="S132" s="18"/>
      </tp>
      <tp t="e">
        <v>#N/A</v>
        <stp/>
        <stp>BDH|12035400751915768118</stp>
        <tr r="I25" s="34"/>
      </tp>
      <tp t="e">
        <v>#N/A</v>
        <stp/>
        <stp>BDH|15075433427050285418</stp>
        <tr r="U14" s="6"/>
      </tp>
      <tp t="e">
        <v>#N/A</v>
        <stp/>
        <stp>BDH|13066321117301095729</stp>
        <tr r="G141" s="18"/>
      </tp>
      <tp t="e">
        <v>#N/A</v>
        <stp/>
        <stp>BDH|11503202852693160209</stp>
        <tr r="J114" s="12"/>
      </tp>
      <tp t="e">
        <v>#N/A</v>
        <stp/>
        <stp>BDH|18399178944449099366</stp>
        <tr r="L31" s="17"/>
      </tp>
      <tp t="e">
        <v>#N/A</v>
        <stp/>
        <stp>BDH|18285285078052205867</stp>
        <tr r="T72" s="18"/>
      </tp>
      <tp t="e">
        <v>#N/A</v>
        <stp/>
        <stp>BDH|12846052322870946700</stp>
        <tr r="I69" s="10"/>
      </tp>
      <tp t="e">
        <v>#N/A</v>
        <stp/>
        <stp>BDH|13858458928062071030</stp>
        <tr r="W7" s="27"/>
        <tr r="W95" s="17"/>
      </tp>
      <tp t="e">
        <v>#N/A</v>
        <stp/>
        <stp>BDH|13864200642042447088</stp>
        <tr r="L37" s="26"/>
      </tp>
      <tp t="e">
        <v>#N/A</v>
        <stp/>
        <stp>BDH|17621728203613052413</stp>
        <tr r="T12" s="24"/>
      </tp>
      <tp t="e">
        <v>#N/A</v>
        <stp/>
        <stp>BDH|12659715266901033573</stp>
        <tr r="P12" s="27"/>
        <tr r="P26" s="25"/>
      </tp>
      <tp t="e">
        <v>#N/A</v>
        <stp/>
        <stp>BDH|12725244614971860790</stp>
        <tr r="L71" s="12"/>
      </tp>
      <tp t="e">
        <v>#N/A</v>
        <stp/>
        <stp>BDH|12693278663670797136</stp>
        <tr r="E119" s="12"/>
      </tp>
      <tp t="e">
        <v>#N/A</v>
        <stp/>
        <stp>BDH|15680903492734073623</stp>
        <tr r="N55" s="34"/>
      </tp>
      <tp t="e">
        <v>#N/A</v>
        <stp/>
        <stp>BDH|14345241291969231127</stp>
        <tr r="U13" s="22"/>
      </tp>
      <tp t="e">
        <v>#N/A</v>
        <stp/>
        <stp>BDH|16440966326053696943</stp>
        <tr r="R17" s="12"/>
      </tp>
      <tp t="e">
        <v>#N/A</v>
        <stp/>
        <stp>BDH|12835218213776958056</stp>
        <tr r="Y24" s="12"/>
      </tp>
      <tp t="e">
        <v>#N/A</v>
        <stp/>
        <stp>BDH|16886894884551020034</stp>
        <tr r="E9" s="12"/>
      </tp>
      <tp t="e">
        <v>#N/A</v>
        <stp/>
        <stp>BDH|16887097936111235332</stp>
        <tr r="Y14" s="10"/>
      </tp>
      <tp t="e">
        <v>#N/A</v>
        <stp/>
        <stp>BDH|18322232677203292934</stp>
        <tr r="V75" s="18"/>
      </tp>
      <tp t="e">
        <v>#N/A</v>
        <stp/>
        <stp>BDH|15692141085732371926</stp>
        <tr r="F40" s="17"/>
      </tp>
      <tp t="e">
        <v>#N/A</v>
        <stp/>
        <stp>BDH|14288958882420080232</stp>
        <tr r="F28" s="14"/>
      </tp>
      <tp t="e">
        <v>#N/A</v>
        <stp/>
        <stp>BDH|10451630095810146854</stp>
        <tr r="F27" s="6"/>
      </tp>
      <tp t="e">
        <v>#N/A</v>
        <stp/>
        <stp>BDH|10165901294454577368</stp>
        <tr r="N39" s="18"/>
      </tp>
      <tp t="e">
        <v>#N/A</v>
        <stp/>
        <stp>BDH|13327378260299658841</stp>
        <tr r="R42" s="12"/>
      </tp>
      <tp t="e">
        <v>#N/A</v>
        <stp/>
        <stp>BDH|10194143820864425073</stp>
        <tr r="M8" s="14"/>
      </tp>
      <tp t="e">
        <v>#N/A</v>
        <stp/>
        <stp>BDH|11703149371817418703</stp>
        <tr r="E98" s="18"/>
      </tp>
      <tp t="e">
        <v>#N/A</v>
        <stp/>
        <stp>BDH|14580355322096568418</stp>
        <tr r="P76" s="34"/>
      </tp>
      <tp t="e">
        <v>#N/A</v>
        <stp/>
        <stp>BDH|18388983327890990439</stp>
        <tr r="E90" s="12"/>
      </tp>
      <tp t="e">
        <v>#N/A</v>
        <stp/>
        <stp>BDH|15509009372862845797</stp>
        <tr r="J108" s="12"/>
      </tp>
      <tp t="e">
        <v>#N/A</v>
        <stp/>
        <stp>BDH|10664937942092369826</stp>
        <tr r="Z13" s="30"/>
      </tp>
      <tp t="e">
        <v>#N/A</v>
        <stp/>
        <stp>BDH|10529494776630486489</stp>
        <tr r="E13" s="28"/>
        <tr r="E96" s="17"/>
      </tp>
      <tp t="e">
        <v>#N/A</v>
        <stp/>
        <stp>BDH|13927820989587656323</stp>
        <tr r="E9" s="14"/>
      </tp>
      <tp t="e">
        <v>#N/A</v>
        <stp/>
        <stp>BDH|16475806402451559850</stp>
        <tr r="U40" s="24"/>
      </tp>
      <tp t="e">
        <v>#N/A</v>
        <stp/>
        <stp>BDH|13364425307932083202</stp>
        <tr r="U41" s="34"/>
      </tp>
      <tp t="e">
        <v>#N/A</v>
        <stp/>
        <stp>BDH|10276479085819151273</stp>
        <tr r="N45" s="24"/>
      </tp>
      <tp t="e">
        <v>#N/A</v>
        <stp/>
        <stp>BDH|16603291856032875471</stp>
        <tr r="AA53" s="24"/>
      </tp>
      <tp t="e">
        <v>#N/A</v>
        <stp/>
        <stp>BDH|11910802785246308096</stp>
        <tr r="D69" s="17"/>
      </tp>
      <tp t="e">
        <v>#N/A</v>
        <stp/>
        <stp>BDH|15571433602706452061</stp>
        <tr r="S15" s="30"/>
      </tp>
      <tp t="e">
        <v>#N/A</v>
        <stp/>
        <stp>BDH|13401969272969621305</stp>
        <tr r="X15" s="18"/>
      </tp>
      <tp t="e">
        <v>#N/A</v>
        <stp/>
        <stp>BDH|12862246620631301491</stp>
        <tr r="Z20" s="28"/>
        <tr r="Z17" s="17"/>
      </tp>
      <tp t="e">
        <v>#N/A</v>
        <stp/>
        <stp>BDH|11947807039505436822</stp>
        <tr r="W58" s="12"/>
      </tp>
      <tp t="e">
        <v>#N/A</v>
        <stp/>
        <stp>BDH|14979710458499744810</stp>
        <tr r="E89" s="12"/>
      </tp>
      <tp t="e">
        <v>#N/A</v>
        <stp/>
        <stp>BDH|18187627337892096828</stp>
        <tr r="S25" s="3"/>
      </tp>
      <tp t="e">
        <v>#N/A</v>
        <stp/>
        <stp>BDH|10809542137783906243</stp>
        <tr r="E27" s="12"/>
      </tp>
      <tp t="e">
        <v>#N/A</v>
        <stp/>
        <stp>BDH|17563755152621243367</stp>
        <tr r="F66" s="12"/>
      </tp>
      <tp t="e">
        <v>#N/A</v>
        <stp/>
        <stp>BDH|12762121466265372764</stp>
        <tr r="N25" s="17"/>
      </tp>
      <tp t="e">
        <v>#N/A</v>
        <stp/>
        <stp>BDH|15450171194302123803</stp>
        <tr r="V28" s="34"/>
      </tp>
      <tp t="e">
        <v>#N/A</v>
        <stp/>
        <stp>BDH|14392967995657057468</stp>
        <tr r="M173" s="18"/>
      </tp>
      <tp t="e">
        <v>#N/A</v>
        <stp/>
        <stp>BDH|15756058266854295009</stp>
        <tr r="S55" s="18"/>
      </tp>
      <tp t="e">
        <v>#N/A</v>
        <stp/>
        <stp>BDH|11910021627922395695</stp>
        <tr r="T26" s="29"/>
      </tp>
      <tp t="e">
        <v>#N/A</v>
        <stp/>
        <stp>BDH|11912797387970626978</stp>
        <tr r="M30" s="34"/>
      </tp>
      <tp t="e">
        <v>#N/A</v>
        <stp/>
        <stp>BDH|16127147681621770951</stp>
        <tr r="C7" s="6"/>
      </tp>
      <tp t="e">
        <v>#N/A</v>
        <stp/>
        <stp>BDH|11791694994139402088</stp>
        <tr r="N26" s="21"/>
      </tp>
      <tp t="e">
        <v>#N/A</v>
        <stp/>
        <stp>BDH|11013413751983496426</stp>
        <tr r="AA56" s="34"/>
      </tp>
      <tp t="e">
        <v>#N/A</v>
        <stp/>
        <stp>BDH|16750990919588557141</stp>
        <tr r="O45" s="21"/>
      </tp>
      <tp t="e">
        <v>#N/A</v>
        <stp/>
        <stp>BDH|11720591403960026342</stp>
        <tr r="AA85" s="17"/>
        <tr r="Y6" s="7"/>
        <tr r="AA20" s="3"/>
      </tp>
      <tp t="e">
        <v>#N/A</v>
        <stp/>
        <stp>BDH|12706376335552806749</stp>
        <tr r="I74" s="18"/>
      </tp>
      <tp t="e">
        <v>#N/A</v>
        <stp/>
        <stp>BDH|12126494303385652449</stp>
        <tr r="X32" s="24"/>
      </tp>
      <tp t="e">
        <v>#N/A</v>
        <stp/>
        <stp>BDH|10684495269546968367</stp>
        <tr r="D6" s="20"/>
        <tr r="D116" s="18"/>
      </tp>
      <tp t="e">
        <v>#N/A</v>
        <stp/>
        <stp>BDH|17749672079246059709</stp>
        <tr r="R63" s="10"/>
      </tp>
      <tp t="e">
        <v>#N/A</v>
        <stp/>
        <stp>BDH|12479399767228204813</stp>
        <tr r="D61" s="17"/>
      </tp>
      <tp t="e">
        <v>#N/A</v>
        <stp/>
        <stp>BDH|12045355382126860868</stp>
        <tr r="X16" s="26"/>
      </tp>
      <tp t="e">
        <v>#N/A</v>
        <stp/>
        <stp>BDH|12825138242451196119</stp>
        <tr r="U97" s="18"/>
      </tp>
      <tp t="e">
        <v>#N/A</v>
        <stp/>
        <stp>BDH|16841253225935364425</stp>
        <tr r="Q87" s="24"/>
      </tp>
      <tp t="e">
        <v>#N/A</v>
        <stp/>
        <stp>BDH|14830106021131586150</stp>
        <tr r="Y35" s="17"/>
      </tp>
      <tp t="e">
        <v>#N/A</v>
        <stp/>
        <stp>BDH|14625029884329990202</stp>
        <tr r="C11" s="30"/>
      </tp>
      <tp t="e">
        <v>#N/A</v>
        <stp/>
        <stp>BDH|15142825053539124685</stp>
        <tr r="L85" s="24"/>
      </tp>
      <tp t="e">
        <v>#N/A</v>
        <stp/>
        <stp>BDH|15696770448139886883</stp>
        <tr r="F28" s="12"/>
      </tp>
      <tp t="e">
        <v>#N/A</v>
        <stp/>
        <stp>BDH|13968251684248038615</stp>
        <tr r="K44" s="6"/>
      </tp>
      <tp t="e">
        <v>#N/A</v>
        <stp/>
        <stp>BDH|11696068578713428256</stp>
        <tr r="V30" s="9"/>
        <tr r="V30" s="5"/>
      </tp>
      <tp t="e">
        <v>#N/A</v>
        <stp/>
        <stp>BDH|15138673685774378892</stp>
        <tr r="W14" s="12"/>
      </tp>
      <tp t="e">
        <v>#N/A</v>
        <stp/>
        <stp>BDH|10582095867144583575</stp>
        <tr r="C46" s="21"/>
      </tp>
      <tp t="e">
        <v>#N/A</v>
        <stp/>
        <stp>BDH|14064534918337749054</stp>
        <tr r="M57" s="12"/>
      </tp>
      <tp t="e">
        <v>#N/A</v>
        <stp/>
        <stp>BDH|17857489600003186785</stp>
        <tr r="O110" s="18"/>
      </tp>
      <tp t="e">
        <v>#N/A</v>
        <stp/>
        <stp>BDH|12020897574063022946</stp>
        <tr r="G12" s="17"/>
      </tp>
      <tp t="e">
        <v>#N/A</v>
        <stp/>
        <stp>BDH|16516924104280239884</stp>
        <tr r="AA43" s="12"/>
      </tp>
      <tp t="e">
        <v>#N/A</v>
        <stp/>
        <stp>BDH|17240316649490369700</stp>
        <tr r="W37" s="29"/>
        <tr r="W23" s="29"/>
        <tr r="W14" s="29"/>
      </tp>
      <tp t="e">
        <v>#N/A</v>
        <stp/>
        <stp>BDH|14020046121510533192</stp>
        <tr r="M9" s="30"/>
      </tp>
      <tp t="e">
        <v>#N/A</v>
        <stp/>
        <stp>BDH|15257293936623331075</stp>
        <tr r="Y58" s="34"/>
      </tp>
      <tp t="e">
        <v>#N/A</v>
        <stp/>
        <stp>BDH|12736552969461657746</stp>
        <tr r="O124" s="12"/>
      </tp>
      <tp t="e">
        <v>#N/A</v>
        <stp/>
        <stp>BDH|18165996572403569264</stp>
        <tr r="O64" s="11"/>
        <tr r="O73" s="10"/>
      </tp>
      <tp t="e">
        <v>#N/A</v>
        <stp/>
        <stp>BDH|10370769250914528193</stp>
        <tr r="W7" s="4"/>
      </tp>
      <tp t="e">
        <v>#N/A</v>
        <stp/>
        <stp>BDH|15092069677034852103</stp>
        <tr r="H125" s="18"/>
      </tp>
      <tp t="e">
        <v>#N/A</v>
        <stp/>
        <stp>BDH|10928661301425578426</stp>
        <tr r="R23" s="20"/>
      </tp>
      <tp t="e">
        <v>#N/A</v>
        <stp/>
        <stp>BDH|14252428725452460789</stp>
        <tr r="G20" s="23"/>
      </tp>
      <tp t="e">
        <v>#N/A</v>
        <stp/>
        <stp>BDH|17085837644985616982</stp>
        <tr r="H38" s="26"/>
      </tp>
      <tp t="e">
        <v>#N/A</v>
        <stp/>
        <stp>BDH|11237425603814984633</stp>
        <tr r="M24" s="29"/>
      </tp>
      <tp t="e">
        <v>#N/A</v>
        <stp/>
        <stp>BDH|11726655768065730341</stp>
        <tr r="P37" s="6"/>
      </tp>
      <tp t="e">
        <v>#N/A</v>
        <stp/>
        <stp>BDH|15411592314620373637</stp>
        <tr r="J23" s="30"/>
        <tr r="J25" s="23"/>
      </tp>
      <tp t="e">
        <v>#N/A</v>
        <stp/>
        <stp>BDH|17518403552181909077</stp>
        <tr r="X70" s="13"/>
        <tr r="V49" s="11"/>
        <tr r="V58" s="10"/>
        <tr r="V19" s="7"/>
        <tr r="V18" s="4"/>
        <tr r="V20" s="2"/>
      </tp>
      <tp t="e">
        <v>#N/A</v>
        <stp/>
        <stp>BDH|14878603320656300126</stp>
        <tr r="U91" s="17"/>
      </tp>
      <tp t="e">
        <v>#N/A</v>
        <stp/>
        <stp>BDH|15808430617427446014</stp>
        <tr r="I85" s="12"/>
      </tp>
      <tp t="e">
        <v>#N/A</v>
        <stp/>
        <stp>BDH|14583366615320606199</stp>
        <tr r="X63" s="18"/>
      </tp>
      <tp t="e">
        <v>#N/A</v>
        <stp/>
        <stp>BDH|10415836016448052682</stp>
        <tr r="N24" s="24"/>
      </tp>
      <tp t="e">
        <v>#N/A</v>
        <stp/>
        <stp>BDH|13914607645801328777</stp>
        <tr r="C99" s="12"/>
      </tp>
      <tp t="e">
        <v>#N/A</v>
        <stp/>
        <stp>BDH|15512849021978185092</stp>
        <tr r="O32" s="21"/>
      </tp>
      <tp t="e">
        <v>#N/A</v>
        <stp/>
        <stp>BDH|16603647079928522867</stp>
        <tr r="R27" s="22"/>
      </tp>
      <tp t="e">
        <v>#N/A</v>
        <stp/>
        <stp>BDH|17962338010674218603</stp>
        <tr r="C62" s="13"/>
      </tp>
      <tp t="e">
        <v>#N/A</v>
        <stp/>
        <stp>BDH|17581690161390515000</stp>
        <tr r="Z24" s="24"/>
      </tp>
      <tp t="e">
        <v>#N/A</v>
        <stp/>
        <stp>BDH|10253519138008052933</stp>
        <tr r="T133" s="18"/>
      </tp>
      <tp t="e">
        <v>#N/A</v>
        <stp/>
        <stp>BDH|13716131440268506998</stp>
        <tr r="K37" s="25"/>
        <tr r="K59" s="21"/>
        <tr r="I53" s="11"/>
        <tr r="I31" s="4"/>
      </tp>
      <tp t="e">
        <v>#N/A</v>
        <stp/>
        <stp>BDH|16556265051690873628</stp>
        <tr r="L20" s="10"/>
      </tp>
      <tp t="e">
        <v>#N/A</v>
        <stp/>
        <stp>BDH|13528278132722921716</stp>
        <tr r="R10" s="34"/>
      </tp>
      <tp t="e">
        <v>#N/A</v>
        <stp/>
        <stp>BDH|13304213459006425578</stp>
        <tr r="D27" s="12"/>
      </tp>
      <tp t="e">
        <v>#N/A</v>
        <stp/>
        <stp>BDH|18349710242989877503</stp>
        <tr r="I13" s="24"/>
      </tp>
      <tp t="e">
        <v>#N/A</v>
        <stp/>
        <stp>BDH|17251477131610587795</stp>
        <tr r="P170" s="18"/>
      </tp>
      <tp t="e">
        <v>#N/A</v>
        <stp/>
        <stp>BDH|14477005666141396493</stp>
        <tr r="L67" s="18"/>
      </tp>
      <tp t="e">
        <v>#N/A</v>
        <stp/>
        <stp>BDH|12667279466784617591</stp>
        <tr r="AA98" s="12"/>
      </tp>
      <tp t="e">
        <v>#N/A</v>
        <stp/>
        <stp>BDH|11268166242353880063</stp>
        <tr r="Z62" s="13"/>
      </tp>
      <tp t="e">
        <v>#N/A</v>
        <stp/>
        <stp>BDH|13938840450981130841</stp>
        <tr r="S8" s="6"/>
      </tp>
      <tp t="e">
        <v>#N/A</v>
        <stp/>
        <stp>BDH|14041519533113811625</stp>
        <tr r="H18" s="18"/>
      </tp>
      <tp t="e">
        <v>#N/A</v>
        <stp/>
        <stp>BDH|16836429175594214650</stp>
        <tr r="H37" s="18"/>
      </tp>
      <tp t="e">
        <v>#N/A</v>
        <stp/>
        <stp>BDH|12862431175975595339</stp>
        <tr r="Q90" s="17"/>
      </tp>
      <tp t="e">
        <v>#N/A</v>
        <stp/>
        <stp>BDH|17779697683678188640</stp>
        <tr r="I132" s="18"/>
      </tp>
      <tp t="e">
        <v>#N/A</v>
        <stp/>
        <stp>BDH|15481408477553933228</stp>
        <tr r="U13" s="10"/>
      </tp>
      <tp t="e">
        <v>#N/A</v>
        <stp/>
        <stp>BDH|14082388503179462979</stp>
        <tr r="K35" s="17"/>
      </tp>
      <tp t="e">
        <v>#N/A</v>
        <stp/>
        <stp>BDH|14097167968082458626</stp>
        <tr r="N46" s="13"/>
      </tp>
      <tp t="e">
        <v>#N/A</v>
        <stp/>
        <stp>BDH|14838508679269871813</stp>
        <tr r="G179" s="18"/>
      </tp>
      <tp t="e">
        <v>#N/A</v>
        <stp/>
        <stp>BDH|11884506161165846096</stp>
        <tr r="Y62" s="18"/>
      </tp>
      <tp t="e">
        <v>#N/A</v>
        <stp/>
        <stp>BDH|17564429648804333449</stp>
        <tr r="G79" s="34"/>
      </tp>
      <tp t="e">
        <v>#N/A</v>
        <stp/>
        <stp>BDH|13119429906467836752</stp>
        <tr r="O38" s="11"/>
        <tr r="O47" s="10"/>
      </tp>
      <tp t="e">
        <v>#N/A</v>
        <stp/>
        <stp>BDH|11681082731431522420</stp>
        <tr r="L18" s="20"/>
      </tp>
      <tp t="e">
        <v>#N/A</v>
        <stp/>
        <stp>BDH|12574279746571853242</stp>
        <tr r="U35" s="22"/>
      </tp>
      <tp t="e">
        <v>#N/A</v>
        <stp/>
        <stp>BDH|11916049397857240808</stp>
        <tr r="U15" s="9"/>
      </tp>
      <tp t="e">
        <v>#N/A</v>
        <stp/>
        <stp>BDH|10318237058669373934</stp>
        <tr r="N19" s="28"/>
        <tr r="N16" s="17"/>
      </tp>
      <tp t="e">
        <v>#N/A</v>
        <stp/>
        <stp>BDH|16569003058735241175</stp>
        <tr r="H31" s="5"/>
      </tp>
      <tp t="e">
        <v>#N/A</v>
        <stp/>
        <stp>BDH|13587353547601660298</stp>
        <tr r="M50" s="18"/>
      </tp>
      <tp t="e">
        <v>#N/A</v>
        <stp/>
        <stp>BDH|17350747847313800003</stp>
        <tr r="Q8" s="6"/>
      </tp>
      <tp t="e">
        <v>#N/A</v>
        <stp/>
        <stp>BDH|12233325829740257436</stp>
        <tr r="E67" s="21"/>
      </tp>
      <tp t="e">
        <v>#N/A</v>
        <stp/>
        <stp>BDH|11101355731624850254</stp>
        <tr r="F42" s="34"/>
      </tp>
      <tp t="e">
        <v>#N/A</v>
        <stp/>
        <stp>BDH|16124618679525687575</stp>
        <tr r="K64" s="17"/>
      </tp>
      <tp t="e">
        <v>#N/A</v>
        <stp/>
        <stp>BDH|11643039798917168843</stp>
        <tr r="G11" s="14"/>
      </tp>
      <tp t="e">
        <v>#N/A</v>
        <stp/>
        <stp>BDH|10814519389002989811</stp>
        <tr r="N85" s="12"/>
      </tp>
      <tp t="e">
        <v>#N/A</v>
        <stp/>
        <stp>BDH|17095809274287961855</stp>
        <tr r="V56" s="17"/>
      </tp>
      <tp t="e">
        <v>#N/A</v>
        <stp/>
        <stp>BDH|17798128413065802560</stp>
        <tr r="I6" s="8"/>
        <tr r="G51" s="6"/>
      </tp>
      <tp t="e">
        <v>#N/A</v>
        <stp/>
        <stp>BDH|14601070224549433897</stp>
        <tr r="M27" s="24"/>
      </tp>
      <tp t="e">
        <v>#N/A</v>
        <stp/>
        <stp>BDH|12081117151910003187</stp>
        <tr r="O29" s="12"/>
      </tp>
      <tp t="e">
        <v>#N/A</v>
        <stp/>
        <stp>BDH|14947574802020159655</stp>
        <tr r="W24" s="5"/>
      </tp>
      <tp t="e">
        <v>#N/A</v>
        <stp/>
        <stp>BDH|12481188607454271013</stp>
        <tr r="N34" s="21"/>
      </tp>
      <tp t="e">
        <v>#N/A</v>
        <stp/>
        <stp>BDH|10000178508130282656</stp>
        <tr r="C32" s="29"/>
      </tp>
      <tp t="e">
        <v>#N/A</v>
        <stp/>
        <stp>BDH|17894015663561196737</stp>
        <tr r="D15" s="34"/>
      </tp>
      <tp t="e">
        <v>#N/A</v>
        <stp/>
        <stp>BDH|13908773180569411221</stp>
        <tr r="G14" s="18"/>
      </tp>
      <tp t="e">
        <v>#N/A</v>
        <stp/>
        <stp>BDH|17812562521343337445</stp>
        <tr r="H30" s="26"/>
      </tp>
      <tp t="e">
        <v>#N/A</v>
        <stp/>
        <stp>BDH|17862345255906482054</stp>
        <tr r="Q28" s="4"/>
      </tp>
      <tp t="e">
        <v>#N/A</v>
        <stp/>
        <stp>BDH|14422502844753919113</stp>
        <tr r="F40" s="13"/>
        <tr r="D24" s="10"/>
        <tr r="D46" s="4"/>
      </tp>
      <tp t="e">
        <v>#N/A</v>
        <stp/>
        <stp>BDH|17380648478398370940</stp>
        <tr r="M54" s="12"/>
      </tp>
      <tp t="e">
        <v>#N/A</v>
        <stp/>
        <stp>BDH|11508763614978593899</stp>
        <tr r="Q43" s="24"/>
      </tp>
      <tp t="e">
        <v>#N/A</v>
        <stp/>
        <stp>BDH|10898090700820812729</stp>
        <tr r="E113" s="12"/>
      </tp>
      <tp t="e">
        <v>#N/A</v>
        <stp/>
        <stp>BDH|14292114924189916954</stp>
        <tr r="L56" s="11"/>
        <tr r="L24" s="4"/>
      </tp>
      <tp t="e">
        <v>#N/A</v>
        <stp/>
        <stp>BDH|16403538838377738031</stp>
        <tr r="M17" s="21"/>
      </tp>
      <tp t="e">
        <v>#N/A</v>
        <stp/>
        <stp>BDH|10843848456458545245</stp>
        <tr r="T170" s="18"/>
      </tp>
      <tp t="e">
        <v>#N/A</v>
        <stp/>
        <stp>BDH|16914834811679230128</stp>
        <tr r="O26" s="18"/>
      </tp>
      <tp t="e">
        <v>#N/A</v>
        <stp/>
        <stp>BDH|13041463938066299576</stp>
        <tr r="S47" s="12"/>
      </tp>
      <tp t="e">
        <v>#N/A</v>
        <stp/>
        <stp>BDH|18188646095428943821</stp>
        <tr r="C154" s="18"/>
      </tp>
      <tp t="e">
        <v>#N/A</v>
        <stp/>
        <stp>BDH|10597894842248253374</stp>
        <tr r="G115" s="18"/>
      </tp>
      <tp t="e">
        <v>#N/A</v>
        <stp/>
        <stp>BDH|12869323379933865207</stp>
        <tr r="O17" s="34"/>
      </tp>
      <tp t="e">
        <v>#N/A</v>
        <stp/>
        <stp>BDH|16880999037882966942</stp>
        <tr r="C7" s="17"/>
      </tp>
      <tp t="e">
        <v>#N/A</v>
        <stp/>
        <stp>BDH|12253132858203601248</stp>
        <tr r="Y15" s="4"/>
      </tp>
      <tp t="e">
        <v>#N/A</v>
        <stp/>
        <stp>BDH|11458732253376694291</stp>
        <tr r="Q15" s="12"/>
      </tp>
      <tp t="e">
        <v>#N/A</v>
        <stp/>
        <stp>BDH|12392056218354505000</stp>
        <tr r="R27" s="6"/>
      </tp>
      <tp t="e">
        <v>#N/A</v>
        <stp/>
        <stp>BDH|11948244645809225919</stp>
        <tr r="H127" s="18"/>
      </tp>
      <tp t="e">
        <v>#N/A</v>
        <stp/>
        <stp>BDH|16117348325980969025</stp>
        <tr r="L14" s="27"/>
        <tr r="L28" s="25"/>
      </tp>
      <tp t="e">
        <v>#N/A</v>
        <stp/>
        <stp>BDH|11900542645317021031</stp>
        <tr r="J191" s="18"/>
      </tp>
      <tp t="e">
        <v>#N/A</v>
        <stp/>
        <stp>BDH|12913426761245543243</stp>
        <tr r="G74" s="24"/>
      </tp>
      <tp t="e">
        <v>#N/A</v>
        <stp/>
        <stp>BDH|14821112094299521231</stp>
        <tr r="U32" s="5"/>
      </tp>
      <tp t="e">
        <v>#N/A</v>
        <stp/>
        <stp>BDH|10709375639132747551</stp>
        <tr r="C30" s="29"/>
        <tr r="C8" s="29"/>
      </tp>
      <tp t="e">
        <v>#N/A</v>
        <stp/>
        <stp>BDH|17636343658286753066</stp>
        <tr r="R119" s="12"/>
      </tp>
      <tp t="e">
        <v>#N/A</v>
        <stp/>
        <stp>BDH|16133345262667810340</stp>
        <tr r="U96" s="18"/>
      </tp>
      <tp t="e">
        <v>#N/A</v>
        <stp/>
        <stp>BDH|12993714024969453930</stp>
        <tr r="Z44" s="22"/>
      </tp>
      <tp t="e">
        <v>#N/A</v>
        <stp/>
        <stp>BDH|12942470545574543154</stp>
        <tr r="Z8" s="23"/>
      </tp>
      <tp t="e">
        <v>#N/A</v>
        <stp/>
        <stp>BDH|16217062349846223348</stp>
        <tr r="G167" s="18"/>
      </tp>
      <tp t="e">
        <v>#N/A</v>
        <stp/>
        <stp>BDH|16036142925435942731</stp>
        <tr r="Y10" s="17"/>
      </tp>
      <tp t="e">
        <v>#N/A</v>
        <stp/>
        <stp>BDH|10527256298368419476</stp>
        <tr r="W63" s="17"/>
      </tp>
      <tp t="e">
        <v>#N/A</v>
        <stp/>
        <stp>BDH|13298542719984237461</stp>
        <tr r="P99" s="12"/>
      </tp>
      <tp t="e">
        <v>#N/A</v>
        <stp/>
        <stp>BDH|17135796585518333753</stp>
        <tr r="K89" s="18"/>
      </tp>
      <tp t="e">
        <v>#N/A</v>
        <stp/>
        <stp>BDH|14990903337979463012</stp>
        <tr r="W33" s="11"/>
        <tr r="W42" s="10"/>
      </tp>
      <tp t="e">
        <v>#N/A</v>
        <stp/>
        <stp>BDH|10076394719506837332</stp>
        <tr r="C67" s="12"/>
      </tp>
      <tp t="e">
        <v>#N/A</v>
        <stp/>
        <stp>BDH|12557298737015633169</stp>
        <tr r="Y43" s="13"/>
        <tr r="W35" s="11"/>
        <tr r="W44" s="10"/>
        <tr r="W52" s="4"/>
        <tr r="Y8" s="3"/>
      </tp>
      <tp t="e">
        <v>#N/A</v>
        <stp/>
        <stp>BDH|15740763411746962221</stp>
        <tr r="W10" s="26"/>
      </tp>
      <tp t="e">
        <v>#N/A</v>
        <stp/>
        <stp>BDH|17969357406644646775</stp>
        <tr r="S159" s="18"/>
      </tp>
      <tp t="e">
        <v>#N/A</v>
        <stp/>
        <stp>BDH|10906191433532021780</stp>
        <tr r="I59" s="13"/>
      </tp>
      <tp t="e">
        <v>#N/A</v>
        <stp/>
        <stp>BDH|11044368405886855304</stp>
        <tr r="N51" s="12"/>
      </tp>
      <tp t="e">
        <v>#N/A</v>
        <stp/>
        <stp>BDH|10437681206763687278</stp>
        <tr r="T13" s="21"/>
      </tp>
      <tp t="e">
        <v>#N/A</v>
        <stp/>
        <stp>BDH|10965266870395025744</stp>
        <tr r="F11" s="6"/>
      </tp>
      <tp t="e">
        <v>#N/A</v>
        <stp/>
        <stp>BDH|12690804299166415209</stp>
        <tr r="S14" s="27"/>
        <tr r="S28" s="25"/>
      </tp>
      <tp t="e">
        <v>#N/A</v>
        <stp/>
        <stp>BDH|12657355199756560945</stp>
        <tr r="X20" s="22"/>
      </tp>
      <tp t="e">
        <v>#N/A</v>
        <stp/>
        <stp>BDH|14999071479327438393</stp>
        <tr r="S25" s="34"/>
      </tp>
      <tp t="e">
        <v>#N/A</v>
        <stp/>
        <stp>BDH|11483834809259332777</stp>
        <tr r="P12" s="14"/>
      </tp>
      <tp t="e">
        <v>#N/A</v>
        <stp/>
        <stp>BDH|17779496301560140449</stp>
        <tr r="O41" s="11"/>
        <tr r="O50" s="10"/>
        <tr r="O8" s="7"/>
        <tr r="Q11" s="3"/>
      </tp>
      <tp t="e">
        <v>#N/A</v>
        <stp/>
        <stp>BDH|13786577937655952745</stp>
        <tr r="S153" s="18"/>
      </tp>
      <tp t="e">
        <v>#N/A</v>
        <stp/>
        <stp>BDH|15120106161170892525</stp>
        <tr r="F25" s="24"/>
      </tp>
      <tp t="e">
        <v>#N/A</v>
        <stp/>
        <stp>BDH|14286543496546240983</stp>
        <tr r="K35" s="34"/>
      </tp>
      <tp t="e">
        <v>#N/A</v>
        <stp/>
        <stp>BDH|11675053349657420549</stp>
        <tr r="J19" s="22"/>
      </tp>
      <tp t="e">
        <v>#N/A</v>
        <stp/>
        <stp>BDH|12800157156261592044</stp>
        <tr r="H27" s="21"/>
      </tp>
      <tp t="e">
        <v>#N/A</v>
        <stp/>
        <stp>BDH|17957171086570682941</stp>
        <tr r="Q12" s="18"/>
      </tp>
      <tp t="e">
        <v>#N/A</v>
        <stp/>
        <stp>BDH|15577258975622962560</stp>
        <tr r="T68" s="10"/>
      </tp>
      <tp t="e">
        <v>#N/A</v>
        <stp/>
        <stp>BDH|15644045528969369931</stp>
        <tr r="U55" s="12"/>
      </tp>
      <tp t="e">
        <v>#N/A</v>
        <stp/>
        <stp>BDH|13581828949959504116</stp>
        <tr r="AA35" s="24"/>
      </tp>
      <tp t="e">
        <v>#N/A</v>
        <stp/>
        <stp>BDH|12822306616957574014</stp>
        <tr r="E56" s="17"/>
      </tp>
      <tp t="e">
        <v>#N/A</v>
        <stp/>
        <stp>BDH|13289679788418698212</stp>
        <tr r="M9" s="20"/>
        <tr r="M119" s="18"/>
      </tp>
      <tp t="e">
        <v>#N/A</v>
        <stp/>
        <stp>BDH|12833290374660637098</stp>
        <tr r="AA42" s="18"/>
      </tp>
      <tp t="e">
        <v>#N/A</v>
        <stp/>
        <stp>BDH|15591162222609298897</stp>
        <tr r="F9" s="27"/>
      </tp>
      <tp t="e">
        <v>#N/A</v>
        <stp/>
        <stp>BDH|11622411178614257173</stp>
        <tr r="Q21" s="4"/>
      </tp>
      <tp t="e">
        <v>#N/A</v>
        <stp/>
        <stp>BDH|14833595725986649288</stp>
        <tr r="C13" s="13"/>
      </tp>
      <tp t="e">
        <v>#N/A</v>
        <stp/>
        <stp>BDH|14072366380389825142</stp>
        <tr r="S48" s="12"/>
      </tp>
      <tp t="e">
        <v>#N/A</v>
        <stp/>
        <stp>BDH|16319518342306911639</stp>
        <tr r="U100" s="18"/>
      </tp>
      <tp t="e">
        <v>#N/A</v>
        <stp/>
        <stp>BDH|16115884651629331512</stp>
        <tr r="V69" s="13"/>
      </tp>
      <tp t="e">
        <v>#N/A</v>
        <stp/>
        <stp>BDH|17172881022059508347</stp>
        <tr r="V17" s="14"/>
      </tp>
      <tp t="e">
        <v>#N/A</v>
        <stp/>
        <stp>BDH|12967565245907133318</stp>
        <tr r="M147" s="18"/>
      </tp>
      <tp t="e">
        <v>#N/A</v>
        <stp/>
        <stp>BDH|11996662749512878649</stp>
        <tr r="F14" s="28"/>
      </tp>
      <tp t="e">
        <v>#N/A</v>
        <stp/>
        <stp>BDH|12378056003855806079</stp>
        <tr r="O49" s="6"/>
      </tp>
      <tp t="e">
        <v>#N/A</v>
        <stp/>
        <stp>BDH|11251886124159043546</stp>
        <tr r="P23" s="17"/>
      </tp>
      <tp t="e">
        <v>#N/A</v>
        <stp/>
        <stp>BDH|17658570416886996243</stp>
        <tr r="M14" s="34"/>
      </tp>
      <tp t="e">
        <v>#N/A</v>
        <stp/>
        <stp>BDH|16322427568435308607</stp>
        <tr r="Q44" s="34"/>
      </tp>
      <tp t="e">
        <v>#N/A</v>
        <stp/>
        <stp>BDH|17578815575428931723</stp>
        <tr r="K8" s="4"/>
      </tp>
      <tp t="e">
        <v>#N/A</v>
        <stp/>
        <stp>BDH|16423120357213214697</stp>
        <tr r="U72" s="12"/>
      </tp>
      <tp t="e">
        <v>#N/A</v>
        <stp/>
        <stp>BDH|11368327467187538496</stp>
        <tr r="M93" s="24"/>
      </tp>
      <tp t="e">
        <v>#N/A</v>
        <stp/>
        <stp>BDH|17622757998458240630</stp>
        <tr r="U61" s="11"/>
        <tr r="U70" s="10"/>
        <tr r="U20" s="7"/>
      </tp>
      <tp t="e">
        <v>#N/A</v>
        <stp/>
        <stp>BDH|12772764533349156890</stp>
        <tr r="Z52" s="13"/>
      </tp>
      <tp t="e">
        <v>#N/A</v>
        <stp/>
        <stp>BDH|14851401563029592848</stp>
        <tr r="J41" s="22"/>
      </tp>
      <tp t="e">
        <v>#N/A</v>
        <stp/>
        <stp>BDH|17985470849303483397</stp>
        <tr r="Y25" s="26"/>
      </tp>
      <tp t="e">
        <v>#N/A</v>
        <stp/>
        <stp>BDH|17361517519184477053</stp>
        <tr r="N18" s="28"/>
        <tr r="N15" s="17"/>
      </tp>
      <tp t="e">
        <v>#N/A</v>
        <stp/>
        <stp>BDH|15360141711260901251</stp>
        <tr r="AA88" s="24"/>
      </tp>
      <tp t="e">
        <v>#N/A</v>
        <stp/>
        <stp>BDH|12846376720894772056</stp>
        <tr r="V53" s="18"/>
      </tp>
      <tp t="e">
        <v>#N/A</v>
        <stp/>
        <stp>BDH|10005785353665104078</stp>
        <tr r="Z139" s="18"/>
      </tp>
      <tp t="e">
        <v>#N/A</v>
        <stp/>
        <stp>BDH|15712476779164154558</stp>
        <tr r="Z83" s="24"/>
      </tp>
      <tp t="e">
        <v>#N/A</v>
        <stp/>
        <stp>BDH|17314679873439244882</stp>
        <tr r="S65" s="18"/>
      </tp>
      <tp t="e">
        <v>#N/A</v>
        <stp/>
        <stp>BDH|12430017316816647282</stp>
        <tr r="N9" s="30"/>
      </tp>
      <tp t="e">
        <v>#N/A</v>
        <stp/>
        <stp>BDH|14883736547539219932</stp>
        <tr r="K206" s="18"/>
      </tp>
      <tp t="e">
        <v>#N/A</v>
        <stp/>
        <stp>BDH|11708257910190877579</stp>
        <tr r="T35" s="26"/>
      </tp>
      <tp t="e">
        <v>#N/A</v>
        <stp/>
        <stp>BDH|11471306000893881619</stp>
        <tr r="L59" s="13"/>
      </tp>
      <tp t="e">
        <v>#N/A</v>
        <stp/>
        <stp>BDH|14401127499648492360</stp>
        <tr r="O42" s="22"/>
      </tp>
      <tp t="e">
        <v>#N/A</v>
        <stp/>
        <stp>BDH|17793604278624210502</stp>
        <tr r="X91" s="17"/>
      </tp>
      <tp t="e">
        <v>#N/A</v>
        <stp/>
        <stp>BDH|12206855398816509272</stp>
        <tr r="F61" s="24"/>
      </tp>
      <tp t="e">
        <v>#N/A</v>
        <stp/>
        <stp>BDH|10162382407157337309</stp>
        <tr r="O21" s="3"/>
      </tp>
      <tp t="e">
        <v>#N/A</v>
        <stp/>
        <stp>BDH|14845259217803196363</stp>
        <tr r="Q10" s="11"/>
      </tp>
      <tp t="e">
        <v>#N/A</v>
        <stp/>
        <stp>BDH|14052761795189632488</stp>
        <tr r="AA21" s="12"/>
      </tp>
      <tp t="e">
        <v>#N/A</v>
        <stp/>
        <stp>BDH|11658921379080887882</stp>
        <tr r="G23" s="10"/>
      </tp>
      <tp t="e">
        <v>#N/A</v>
        <stp/>
        <stp>BDH|15830898769794129840</stp>
        <tr r="J38" s="6"/>
      </tp>
      <tp t="e">
        <v>#N/A</v>
        <stp/>
        <stp>BDH|17715768195529971705</stp>
        <tr r="I58" s="18"/>
      </tp>
      <tp t="e">
        <v>#N/A</v>
        <stp/>
        <stp>BDH|15523127584629664288</stp>
        <tr r="F8" s="2"/>
      </tp>
      <tp t="e">
        <v>#N/A</v>
        <stp/>
        <stp>BDH|10800710467801177722</stp>
        <tr r="Y50" s="13"/>
      </tp>
      <tp t="e">
        <v>#N/A</v>
        <stp/>
        <stp>BDH|12345196919697897260</stp>
        <tr r="Q46" s="17"/>
      </tp>
      <tp t="e">
        <v>#N/A</v>
        <stp/>
        <stp>BDH|13417069375386977530</stp>
        <tr r="D63" s="17"/>
      </tp>
      <tp t="e">
        <v>#N/A</v>
        <stp/>
        <stp>BDH|12872185184654958802</stp>
        <tr r="G21" s="11"/>
      </tp>
      <tp t="e">
        <v>#N/A</v>
        <stp/>
        <stp>BDH|14117642704146862347</stp>
        <tr r="O59" s="18"/>
      </tp>
      <tp t="e">
        <v>#N/A</v>
        <stp/>
        <stp>BDH|15538880521440655870</stp>
        <tr r="U14" s="28"/>
      </tp>
      <tp t="e">
        <v>#N/A</v>
        <stp/>
        <stp>BDH|16379817845065206882</stp>
        <tr r="J13" s="2"/>
      </tp>
      <tp t="e">
        <v>#N/A</v>
        <stp/>
        <stp>BDH|14503397727774313653</stp>
        <tr r="K11" s="28"/>
      </tp>
      <tp t="e">
        <v>#N/A</v>
        <stp/>
        <stp>BDH|17851375516771033346</stp>
        <tr r="P8" s="2"/>
      </tp>
      <tp t="e">
        <v>#N/A</v>
        <stp/>
        <stp>BDH|14030117257771809632</stp>
        <tr r="D35" s="24"/>
      </tp>
      <tp t="e">
        <v>#N/A</v>
        <stp/>
        <stp>BDH|16009537470934982777</stp>
        <tr r="O71" s="34"/>
      </tp>
      <tp t="e">
        <v>#N/A</v>
        <stp/>
        <stp>BDH|12413482412593511366</stp>
        <tr r="R65" s="18"/>
      </tp>
      <tp t="e">
        <v>#N/A</v>
        <stp/>
        <stp>BDH|17222281829545709597</stp>
        <tr r="M14" s="18"/>
      </tp>
      <tp t="e">
        <v>#N/A</v>
        <stp/>
        <stp>BDH|12955540050635219022</stp>
        <tr r="S57" s="24"/>
      </tp>
      <tp t="e">
        <v>#N/A</v>
        <stp/>
        <stp>BDH|16283498253400459011</stp>
        <tr r="V33" s="11"/>
        <tr r="V42" s="10"/>
      </tp>
      <tp t="e">
        <v>#N/A</v>
        <stp/>
        <stp>BDH|15610090300144093629</stp>
        <tr r="T88" s="24"/>
      </tp>
      <tp t="e">
        <v>#N/A</v>
        <stp/>
        <stp>BDH|10276095030007059360</stp>
        <tr r="R39" s="26"/>
      </tp>
      <tp t="e">
        <v>#N/A</v>
        <stp/>
        <stp>BDH|16265624719205456302</stp>
        <tr r="G90" s="18"/>
      </tp>
      <tp t="e">
        <v>#N/A</v>
        <stp/>
        <stp>BDH|13301304924486273380</stp>
        <tr r="J20" s="23"/>
      </tp>
      <tp t="e">
        <v>#N/A</v>
        <stp/>
        <stp>BDH|13785899973762734973</stp>
        <tr r="T18" s="14"/>
      </tp>
      <tp t="e">
        <v>#N/A</v>
        <stp/>
        <stp>BDH|13887737621423262258</stp>
        <tr r="X89" s="12"/>
      </tp>
      <tp t="e">
        <v>#N/A</v>
        <stp/>
        <stp>BDH|17418430504781930571</stp>
        <tr r="P51" s="18"/>
      </tp>
      <tp t="e">
        <v>#N/A</v>
        <stp/>
        <stp>BDH|15277101038823332349</stp>
        <tr r="J106" s="12"/>
      </tp>
      <tp t="e">
        <v>#N/A</v>
        <stp/>
        <stp>BDH|17854718012854091268</stp>
        <tr r="S61" s="11"/>
        <tr r="S70" s="10"/>
        <tr r="S20" s="7"/>
      </tp>
      <tp t="e">
        <v>#N/A</v>
        <stp/>
        <stp>BDH|11403610128180628267</stp>
        <tr r="T158" s="18"/>
      </tp>
      <tp t="e">
        <v>#N/A</v>
        <stp/>
        <stp>BDH|16232749668484646441</stp>
        <tr r="C14" s="4"/>
      </tp>
      <tp t="e">
        <v>#N/A</v>
        <stp/>
        <stp>BDH|16526788502274130220</stp>
        <tr r="Q21" s="24"/>
      </tp>
      <tp t="e">
        <v>#N/A</v>
        <stp/>
        <stp>BDH|10884233933461016744</stp>
        <tr r="Z26" s="24"/>
      </tp>
      <tp t="e">
        <v>#N/A</v>
        <stp/>
        <stp>BDH|11362648239735724651</stp>
        <tr r="O12" s="7"/>
      </tp>
      <tp t="e">
        <v>#N/A</v>
        <stp/>
        <stp>BDH|15372891220950274842</stp>
        <tr r="O43" s="29"/>
      </tp>
      <tp t="e">
        <v>#N/A</v>
        <stp/>
        <stp>BDH|15282486267043414355</stp>
        <tr r="H25" s="24"/>
      </tp>
      <tp t="e">
        <v>#N/A</v>
        <stp/>
        <stp>BDH|17743118910986891626</stp>
        <tr r="W64" s="24"/>
      </tp>
      <tp t="e">
        <v>#N/A</v>
        <stp/>
        <stp>BDH|13867250600457482153</stp>
        <tr r="H12" s="22"/>
      </tp>
      <tp t="e">
        <v>#N/A</v>
        <stp/>
        <stp>BDH|13444748749246652133</stp>
        <tr r="Y133" s="18"/>
      </tp>
      <tp t="e">
        <v>#N/A</v>
        <stp/>
        <stp>BDH|16096388452815730212</stp>
        <tr r="R7" s="6"/>
      </tp>
      <tp t="e">
        <v>#N/A</v>
        <stp/>
        <stp>BDH|10060523165077998323</stp>
        <tr r="J80" s="34"/>
      </tp>
      <tp t="e">
        <v>#N/A</v>
        <stp/>
        <stp>BDH|13224519655600239481</stp>
        <tr r="D84" s="18"/>
      </tp>
      <tp t="e">
        <v>#N/A</v>
        <stp/>
        <stp>BDH|12186098827276553168</stp>
        <tr r="I143" s="18"/>
      </tp>
      <tp t="e">
        <v>#N/A</v>
        <stp/>
        <stp>BDH|16717612261992968323</stp>
        <tr r="X16" s="11"/>
      </tp>
      <tp t="e">
        <v>#N/A</v>
        <stp/>
        <stp>BDH|10347028406907394083</stp>
        <tr r="C127" s="18"/>
      </tp>
      <tp t="e">
        <v>#N/A</v>
        <stp/>
        <stp>BDH|13880758140123347428</stp>
        <tr r="I42" s="12"/>
      </tp>
      <tp t="e">
        <v>#N/A</v>
        <stp/>
        <stp>BDH|16736499314245446121</stp>
        <tr r="S115" s="18"/>
      </tp>
      <tp t="e">
        <v>#N/A</v>
        <stp/>
        <stp>BDH|17299484592588763533</stp>
        <tr r="I34" s="13"/>
        <tr r="G27" s="10"/>
      </tp>
      <tp t="e">
        <v>#N/A</v>
        <stp/>
        <stp>BDH|14991582052350747381</stp>
        <tr r="Z12" s="20"/>
        <tr r="Z121" s="18"/>
      </tp>
      <tp t="e">
        <v>#N/A</v>
        <stp/>
        <stp>BDH|17864205726466727656</stp>
        <tr r="Y22" s="22"/>
      </tp>
      <tp t="e">
        <v>#N/A</v>
        <stp/>
        <stp>BDH|15860382740284507194</stp>
        <tr r="S13" s="2"/>
      </tp>
      <tp t="e">
        <v>#N/A</v>
        <stp/>
        <stp>BDH|16679550992115405894</stp>
        <tr r="P92" s="18"/>
      </tp>
      <tp t="e">
        <v>#N/A</v>
        <stp/>
        <stp>BDH|15329387311490134070</stp>
        <tr r="C42" s="29"/>
        <tr r="C33" s="29"/>
      </tp>
      <tp t="e">
        <v>#N/A</v>
        <stp/>
        <stp>BDH|17182229501302916071</stp>
        <tr r="U83" s="12"/>
      </tp>
      <tp t="e">
        <v>#N/A</v>
        <stp/>
        <stp>BDH|16182512711304819158</stp>
        <tr r="C88" s="12"/>
      </tp>
      <tp t="e">
        <v>#N/A</v>
        <stp/>
        <stp>BDH|12880188977193251094</stp>
        <tr r="L15" s="14"/>
      </tp>
      <tp t="e">
        <v>#N/A</v>
        <stp/>
        <stp>BDH|13304083005903795753</stp>
        <tr r="T139" s="18"/>
      </tp>
      <tp t="e">
        <v>#N/A</v>
        <stp/>
        <stp>BDH|17791449937890812709</stp>
        <tr r="M14" s="20"/>
        <tr r="M123" s="18"/>
      </tp>
      <tp t="e">
        <v>#N/A</v>
        <stp/>
        <stp>BDH|15554994891043150103</stp>
        <tr r="H15" s="12"/>
      </tp>
      <tp t="e">
        <v>#N/A</v>
        <stp/>
        <stp>BDH|11808745720166772574</stp>
        <tr r="D65" s="10"/>
        <tr r="D25" s="4"/>
      </tp>
      <tp t="e">
        <v>#N/A</v>
        <stp/>
        <stp>BDH|10556465049677416020</stp>
        <tr r="T31" s="21"/>
      </tp>
      <tp t="e">
        <v>#N/A</v>
        <stp/>
        <stp>BDH|14145993525130560847</stp>
        <tr r="F38" s="11"/>
        <tr r="F47" s="10"/>
      </tp>
      <tp t="e">
        <v>#N/A</v>
        <stp/>
        <stp>BDH|10341398407004029018</stp>
        <tr r="G49" s="17"/>
      </tp>
      <tp t="e">
        <v>#N/A</v>
        <stp/>
        <stp>BDH|12945145578192915107</stp>
        <tr r="E90" s="17"/>
      </tp>
      <tp t="e">
        <v>#N/A</v>
        <stp/>
        <stp>BDH|12519981222336256810</stp>
        <tr r="D91" s="18"/>
      </tp>
      <tp t="e">
        <v>#N/A</v>
        <stp/>
        <stp>BDH|12558717756302826565</stp>
        <tr r="M12" s="25"/>
      </tp>
      <tp t="e">
        <v>#N/A</v>
        <stp/>
        <stp>BDH|11439444761274801053</stp>
        <tr r="K14" s="20"/>
        <tr r="K123" s="18"/>
      </tp>
      <tp t="e">
        <v>#N/A</v>
        <stp/>
        <stp>BDH|16574054142470862567</stp>
        <tr r="X32" s="17"/>
      </tp>
      <tp t="e">
        <v>#N/A</v>
        <stp/>
        <stp>BDH|16375190293861688832</stp>
        <tr r="V21" s="11"/>
      </tp>
      <tp t="e">
        <v>#N/A</v>
        <stp/>
        <stp>BDH|14716713529546616053</stp>
        <tr r="X37" s="6"/>
      </tp>
      <tp t="e">
        <v>#N/A</v>
        <stp/>
        <stp>BDH|14272301313200563187</stp>
        <tr r="F32" s="26"/>
      </tp>
      <tp t="e">
        <v>#N/A</v>
        <stp/>
        <stp>BDH|17339367718686169400</stp>
        <tr r="D14" s="18"/>
      </tp>
      <tp t="e">
        <v>#N/A</v>
        <stp/>
        <stp>BDH|13039247308587219124</stp>
        <tr r="M12" s="21"/>
      </tp>
      <tp t="e">
        <v>#N/A</v>
        <stp/>
        <stp>BDH|11661377577382336095</stp>
        <tr r="S14" s="11"/>
      </tp>
      <tp t="e">
        <v>#N/A</v>
        <stp/>
        <stp>BDH|17745585173300319208</stp>
        <tr r="I58" s="17"/>
      </tp>
      <tp t="e">
        <v>#N/A</v>
        <stp/>
        <stp>BDH|12816138526562339415</stp>
        <tr r="O134" s="18"/>
      </tp>
      <tp t="e">
        <v>#N/A</v>
        <stp/>
        <stp>BDH|16774974429822381859</stp>
        <tr r="C27" s="21"/>
      </tp>
      <tp t="e">
        <v>#N/A</v>
        <stp/>
        <stp>BDH|10889752055614243151</stp>
        <tr r="V78" s="24"/>
      </tp>
      <tp t="e">
        <v>#N/A</v>
        <stp/>
        <stp>BDH|10202249721470976713</stp>
        <tr r="C63" s="13"/>
      </tp>
      <tp t="e">
        <v>#N/A</v>
        <stp/>
        <stp>BDH|15216480315377999093</stp>
        <tr r="D16" s="28"/>
        <tr r="D13" s="17"/>
      </tp>
      <tp t="e">
        <v>#N/A</v>
        <stp/>
        <stp>BDH|17792015634537460497</stp>
        <tr r="O126" s="18"/>
      </tp>
      <tp t="e">
        <v>#N/A</v>
        <stp/>
        <stp>BDH|11846813921024792801</stp>
        <tr r="G25" s="21"/>
      </tp>
      <tp t="e">
        <v>#N/A</v>
        <stp/>
        <stp>BDH|17068082365981029720</stp>
        <tr r="W43" s="22"/>
      </tp>
      <tp t="e">
        <v>#N/A</v>
        <stp/>
        <stp>BDH|14945614437280653669</stp>
        <tr r="AA49" s="21"/>
      </tp>
      <tp t="e">
        <v>#N/A</v>
        <stp/>
        <stp>BDH|13416886522606295836</stp>
        <tr r="T78" s="34"/>
      </tp>
      <tp t="e">
        <v>#N/A</v>
        <stp/>
        <stp>BDH|17211616947874949625</stp>
        <tr r="F39" s="13"/>
        <tr r="D32" s="10"/>
      </tp>
      <tp t="e">
        <v>#N/A</v>
        <stp/>
        <stp>BDH|11448311142286900719</stp>
        <tr r="D138" s="18"/>
      </tp>
      <tp t="e">
        <v>#N/A</v>
        <stp/>
        <stp>BDH|12954679072461313507</stp>
        <tr r="W15" s="14"/>
      </tp>
      <tp t="e">
        <v>#N/A</v>
        <stp/>
        <stp>BDH|10909719711468007960</stp>
        <tr r="T12" s="25"/>
      </tp>
      <tp t="e">
        <v>#N/A</v>
        <stp/>
        <stp>BDH|14289182994599527240</stp>
        <tr r="V8" s="4"/>
      </tp>
      <tp t="e">
        <v>#N/A</v>
        <stp/>
        <stp>BDH|14290402775248006884</stp>
        <tr r="K67" s="21"/>
      </tp>
      <tp t="e">
        <v>#N/A</v>
        <stp/>
        <stp>BDH|18423138021724932802</stp>
        <tr r="Q213" s="18"/>
      </tp>
      <tp t="e">
        <v>#N/A</v>
        <stp/>
        <stp>BDH|11847144064384334543</stp>
        <tr r="H36" s="34"/>
      </tp>
      <tp t="e">
        <v>#N/A</v>
        <stp/>
        <stp>BDH|14544028502925274681</stp>
        <tr r="M48" s="21"/>
      </tp>
      <tp t="e">
        <v>#N/A</v>
        <stp/>
        <stp>BDH|14393476932330085496</stp>
        <tr r="S66" s="18"/>
      </tp>
      <tp t="e">
        <v>#N/A</v>
        <stp/>
        <stp>BDH|10117785822166339474</stp>
        <tr r="P21" s="4"/>
      </tp>
      <tp t="e">
        <v>#N/A</v>
        <stp/>
        <stp>BDH|11114483962816633228</stp>
        <tr r="K11" s="13"/>
      </tp>
      <tp t="e">
        <v>#N/A</v>
        <stp/>
        <stp>BDH|17116461941791171181</stp>
        <tr r="R76" s="18"/>
      </tp>
      <tp t="e">
        <v>#N/A</v>
        <stp/>
        <stp>BDH|13862871303395118925</stp>
        <tr r="AA37" s="13"/>
        <tr r="Y30" s="10"/>
      </tp>
      <tp t="e">
        <v>#N/A</v>
        <stp/>
        <stp>BDH|14000898467864591949</stp>
        <tr r="C85" s="18"/>
      </tp>
      <tp t="e">
        <v>#N/A</v>
        <stp/>
        <stp>BDH|15069089221546254648</stp>
        <tr r="E19" s="12"/>
      </tp>
      <tp t="e">
        <v>#N/A</v>
        <stp/>
        <stp>BDH|16069370937047833672</stp>
        <tr r="E132" s="18"/>
      </tp>
      <tp t="e">
        <v>#N/A</v>
        <stp/>
        <stp>BDH|10915867401216449956</stp>
        <tr r="V17" s="18"/>
      </tp>
      <tp t="e">
        <v>#N/A</v>
        <stp/>
        <stp>BDH|14291446355017882541</stp>
        <tr r="D8" s="28"/>
      </tp>
      <tp t="e">
        <v>#N/A</v>
        <stp/>
        <stp>BDH|17482547638865530322</stp>
        <tr r="R56" s="12"/>
      </tp>
      <tp t="e">
        <v>#N/A</v>
        <stp/>
        <stp>BDH|17949398179941043564</stp>
        <tr r="K21" s="17"/>
      </tp>
      <tp t="e">
        <v>#N/A</v>
        <stp/>
        <stp>BDH|13170885854569615043</stp>
        <tr r="L15" s="23"/>
        <tr r="J58" s="11"/>
      </tp>
      <tp t="e">
        <v>#N/A</v>
        <stp/>
        <stp>BDH|13660491791598805197</stp>
        <tr r="U72" s="34"/>
      </tp>
      <tp t="e">
        <v>#N/A</v>
        <stp/>
        <stp>BDH|14593309819464706541</stp>
        <tr r="K27" s="6"/>
      </tp>
      <tp t="e">
        <v>#N/A</v>
        <stp/>
        <stp>BDH|11816971424228208566</stp>
        <tr r="P63" s="17"/>
      </tp>
      <tp t="e">
        <v>#N/A</v>
        <stp/>
        <stp>BDH|13659148603774770199</stp>
        <tr r="M17" s="6"/>
      </tp>
      <tp t="e">
        <v>#N/A</v>
        <stp/>
        <stp>BDH|17957630423545533137</stp>
        <tr r="Q20" s="34"/>
      </tp>
      <tp t="e">
        <v>#N/A</v>
        <stp/>
        <stp>BDH|15011084535608213919</stp>
        <tr r="F47" s="13"/>
      </tp>
      <tp t="e">
        <v>#N/A</v>
        <stp/>
        <stp>BDH|10187092143963106049</stp>
        <tr r="V6" s="16"/>
        <tr r="W6" s="11"/>
        <tr r="W10" s="4"/>
        <tr r="Y6" s="3"/>
      </tp>
      <tp t="e">
        <v>#N/A</v>
        <stp/>
        <stp>BDH|17961826399423593297</stp>
        <tr r="O35" s="22"/>
      </tp>
      <tp t="e">
        <v>#N/A</v>
        <stp/>
        <stp>BDH|10959445067111601428</stp>
        <tr r="D42" s="29"/>
        <tr r="D33" s="29"/>
        <tr r="C10" s="2"/>
      </tp>
      <tp t="e">
        <v>#N/A</v>
        <stp/>
        <stp>BDH|18438582899341997222</stp>
        <tr r="I22" s="7"/>
      </tp>
      <tp t="e">
        <v>#N/A</v>
        <stp/>
        <stp>BDH|11525836159888111305</stp>
        <tr r="U135" s="18"/>
      </tp>
      <tp t="e">
        <v>#N/A</v>
        <stp/>
        <stp>BDH|12677210679109165918</stp>
        <tr r="E43" s="24"/>
      </tp>
      <tp t="e">
        <v>#N/A</v>
        <stp/>
        <stp>BDH|15895242093760752961</stp>
        <tr r="M50" s="12"/>
      </tp>
      <tp t="e">
        <v>#N/A</v>
        <stp/>
        <stp>BDH|11875338044580362123</stp>
        <tr r="T29" s="34"/>
      </tp>
      <tp t="e">
        <v>#N/A</v>
        <stp/>
        <stp>BDH|17082640287077848953</stp>
        <tr r="K47" s="21"/>
      </tp>
      <tp t="e">
        <v>#N/A</v>
        <stp/>
        <stp>BDH|13498662951355844253</stp>
        <tr r="K33" s="14"/>
      </tp>
      <tp t="e">
        <v>#N/A</v>
        <stp/>
        <stp>BDH|16038316062706584284</stp>
        <tr r="F29" s="6"/>
      </tp>
      <tp t="e">
        <v>#N/A</v>
        <stp/>
        <stp>BDH|17250893142425388944</stp>
        <tr r="Z152" s="18"/>
      </tp>
      <tp t="e">
        <v>#N/A</v>
        <stp/>
        <stp>BDH|12336148004652504683</stp>
        <tr r="J33" s="13"/>
        <tr r="H26" s="10"/>
      </tp>
      <tp t="e">
        <v>#N/A</v>
        <stp/>
        <stp>BDH|14898504164692668240</stp>
        <tr r="V8" s="13"/>
      </tp>
      <tp t="e">
        <v>#N/A</v>
        <stp/>
        <stp>BDH|16637124520082398093</stp>
        <tr r="G169" s="18"/>
      </tp>
      <tp t="e">
        <v>#N/A</v>
        <stp/>
        <stp>BDH|11369996363278136162</stp>
        <tr r="J69" s="13"/>
      </tp>
      <tp t="e">
        <v>#N/A</v>
        <stp/>
        <stp>BDH|14689683553804481479</stp>
        <tr r="V94" s="18"/>
      </tp>
      <tp t="e">
        <v>#N/A</v>
        <stp/>
        <stp>BDH|15764023525527767794</stp>
        <tr r="E14" s="4"/>
      </tp>
      <tp t="e">
        <v>#N/A</v>
        <stp/>
        <stp>BDH|14229488811160617638</stp>
        <tr r="E13" s="9"/>
      </tp>
      <tp t="e">
        <v>#N/A</v>
        <stp/>
        <stp>BDH|14067134632858799982</stp>
        <tr r="O88" s="17"/>
      </tp>
      <tp t="e">
        <v>#N/A</v>
        <stp/>
        <stp>BDH|16759687463750167132</stp>
        <tr r="I108" s="18"/>
      </tp>
      <tp t="e">
        <v>#N/A</v>
        <stp/>
        <stp>BDH|13936604330698036973</stp>
        <tr r="G42" s="18"/>
      </tp>
      <tp t="e">
        <v>#N/A</v>
        <stp/>
        <stp>BDH|17145881697005535457</stp>
        <tr r="L22" s="22"/>
      </tp>
      <tp t="e">
        <v>#N/A</v>
        <stp/>
        <stp>BDH|14279634877910099283</stp>
        <tr r="R159" s="18"/>
      </tp>
      <tp t="e">
        <v>#N/A</v>
        <stp/>
        <stp>BDH|16624976773379540693</stp>
        <tr r="S49" s="18"/>
      </tp>
      <tp t="e">
        <v>#N/A</v>
        <stp/>
        <stp>BDH|14867305033052034150</stp>
        <tr r="K76" s="12"/>
      </tp>
      <tp t="e">
        <v>#N/A</v>
        <stp/>
        <stp>BDH|16139307108373233153</stp>
        <tr r="S37" s="34"/>
      </tp>
      <tp t="e">
        <v>#N/A</v>
        <stp/>
        <stp>BDH|12612710401094907616</stp>
        <tr r="P20" s="18"/>
      </tp>
      <tp t="e">
        <v>#N/A</v>
        <stp/>
        <stp>BDH|17861655173230309136</stp>
        <tr r="L95" s="18"/>
      </tp>
      <tp t="e">
        <v>#N/A</v>
        <stp/>
        <stp>BDH|10134614664770250782</stp>
        <tr r="M97" s="12"/>
      </tp>
      <tp t="e">
        <v>#N/A</v>
        <stp/>
        <stp>BDH|17741631038440061520</stp>
        <tr r="V36" s="12"/>
      </tp>
      <tp t="e">
        <v>#N/A</v>
        <stp/>
        <stp>BDH|17519611968079526975</stp>
        <tr r="T29" s="29"/>
        <tr r="T7" s="29"/>
      </tp>
      <tp t="e">
        <v>#N/A</v>
        <stp/>
        <stp>BDH|14957255843964764169</stp>
        <tr r="M94" s="18"/>
      </tp>
      <tp t="e">
        <v>#N/A</v>
        <stp/>
        <stp>BDH|17181595622893156455</stp>
        <tr r="S44" s="18"/>
      </tp>
      <tp t="e">
        <v>#N/A</v>
        <stp/>
        <stp>BDH|17369298251151029658</stp>
        <tr r="I56" s="24"/>
      </tp>
      <tp t="e">
        <v>#N/A</v>
        <stp/>
        <stp>BDH|15114312223104900747</stp>
        <tr r="T22" s="27"/>
      </tp>
      <tp t="e">
        <v>#N/A</v>
        <stp/>
        <stp>BDH|12264170624316622092</stp>
        <tr r="V16" s="23"/>
      </tp>
      <tp t="e">
        <v>#N/A</v>
        <stp/>
        <stp>BDH|10706373352762982358</stp>
        <tr r="H9" s="10"/>
      </tp>
      <tp t="e">
        <v>#N/A</v>
        <stp/>
        <stp>BDH|12892521261442205478</stp>
        <tr r="C8" s="10"/>
      </tp>
      <tp t="e">
        <v>#N/A</v>
        <stp/>
        <stp>BDH|17614079031876860562</stp>
        <tr r="AA38" s="25"/>
      </tp>
      <tp t="e">
        <v>#N/A</v>
        <stp/>
        <stp>BDH|17880308763872278484</stp>
        <tr r="W46" s="13"/>
      </tp>
      <tp t="e">
        <v>#N/A</v>
        <stp/>
        <stp>BDH|17664250438964342690</stp>
        <tr r="J146" s="18"/>
      </tp>
      <tp t="e">
        <v>#N/A</v>
        <stp/>
        <stp>BDH|14771339566927750249</stp>
        <tr r="U53" s="17"/>
      </tp>
      <tp t="e">
        <v>#N/A</v>
        <stp/>
        <stp>BDH|13016649515148376835</stp>
        <tr r="Y70" s="24"/>
      </tp>
      <tp t="e">
        <v>#N/A</v>
        <stp/>
        <stp>BDH|14597415643003151372</stp>
        <tr r="P127" s="12"/>
      </tp>
      <tp t="e">
        <v>#N/A</v>
        <stp/>
        <stp>BDH|10743221487706200818</stp>
        <tr r="AA14" s="34"/>
      </tp>
      <tp t="e">
        <v>#N/A</v>
        <stp/>
        <stp>BDH|13130424516162392075</stp>
        <tr r="R32" s="22"/>
      </tp>
      <tp t="e">
        <v>#N/A</v>
        <stp/>
        <stp>BDH|14337204963212756669</stp>
        <tr r="Q39" s="22"/>
      </tp>
      <tp t="e">
        <v>#N/A</v>
        <stp/>
        <stp>BDH|15438273633931446154</stp>
        <tr r="S93" s="18"/>
      </tp>
      <tp t="e">
        <v>#N/A</v>
        <stp/>
        <stp>BDH|15446048656570122462</stp>
        <tr r="M28" s="4"/>
      </tp>
      <tp t="e">
        <v>#N/A</v>
        <stp/>
        <stp>BDH|11742205875178563869</stp>
        <tr r="F92" s="18"/>
      </tp>
      <tp t="e">
        <v>#N/A</v>
        <stp/>
        <stp>BDH|10575953388356808318</stp>
        <tr r="H22" s="6"/>
      </tp>
      <tp t="e">
        <v>#N/A</v>
        <stp/>
        <stp>BDH|16377197234641985161</stp>
        <tr r="H18" s="17"/>
      </tp>
      <tp t="e">
        <v>#N/A</v>
        <stp/>
        <stp>BDH|10771781540524747398</stp>
        <tr r="AA14" s="18"/>
      </tp>
      <tp t="e">
        <v>#N/A</v>
        <stp/>
        <stp>BDH|17897565992788504784</stp>
        <tr r="M44" s="6"/>
      </tp>
      <tp t="e">
        <v>#N/A</v>
        <stp/>
        <stp>BDH|11158962335859300601</stp>
        <tr r="C65" s="10"/>
        <tr r="C25" s="4"/>
      </tp>
      <tp t="e">
        <v>#N/A</v>
        <stp/>
        <stp>BDH|15185271651597624100</stp>
        <tr r="H74" s="18"/>
      </tp>
      <tp t="e">
        <v>#N/A</v>
        <stp/>
        <stp>BDH|14165799833670923435</stp>
        <tr r="F75" s="34"/>
      </tp>
      <tp t="e">
        <v>#N/A</v>
        <stp/>
        <stp>BDH|13087575007250549245</stp>
        <tr r="F59" s="18"/>
      </tp>
      <tp t="e">
        <v>#N/A</v>
        <stp/>
        <stp>BDH|11136346427110186422</stp>
        <tr r="J90" s="18"/>
      </tp>
      <tp t="e">
        <v>#N/A</v>
        <stp/>
        <stp>BDH|11458430342781546418</stp>
        <tr r="J15" s="18"/>
      </tp>
      <tp t="e">
        <v>#N/A</v>
        <stp/>
        <stp>BDH|11064069966830918388</stp>
        <tr r="F83" s="18"/>
      </tp>
      <tp t="e">
        <v>#N/A</v>
        <stp/>
        <stp>BDH|18272133411205529949</stp>
        <tr r="N39" s="22"/>
      </tp>
      <tp t="e">
        <v>#N/A</v>
        <stp/>
        <stp>BDH|15975863799907521722</stp>
        <tr r="I49" s="13"/>
      </tp>
      <tp t="e">
        <v>#N/A</v>
        <stp/>
        <stp>BDH|13817389110452038713</stp>
        <tr r="G18" s="14"/>
      </tp>
      <tp t="e">
        <v>#N/A</v>
        <stp/>
        <stp>BDH|14058286792342840938</stp>
        <tr r="J10" s="25"/>
        <tr r="J55" s="17"/>
      </tp>
      <tp t="e">
        <v>#N/A</v>
        <stp/>
        <stp>BDH|14943534369943452060</stp>
        <tr r="F18" s="12"/>
      </tp>
      <tp t="e">
        <v>#N/A</v>
        <stp/>
        <stp>BDH|18371214815877068861</stp>
        <tr r="H13" s="27"/>
        <tr r="H27" s="25"/>
      </tp>
      <tp t="e">
        <v>#N/A</v>
        <stp/>
        <stp>BDH|16644817205513629957</stp>
        <tr r="C20" s="34"/>
      </tp>
      <tp t="e">
        <v>#N/A</v>
        <stp/>
        <stp>BDH|16660080135669841827</stp>
        <tr r="J116" s="12"/>
      </tp>
      <tp t="e">
        <v>#N/A</v>
        <stp/>
        <stp>BDH|10234400551852688741</stp>
        <tr r="T181" s="18"/>
      </tp>
      <tp t="e">
        <v>#N/A</v>
        <stp/>
        <stp>BDH|16151665902086173255</stp>
        <tr r="Y87" s="18"/>
      </tp>
      <tp t="e">
        <v>#N/A</v>
        <stp/>
        <stp>BDH|15332417851362141232</stp>
        <tr r="S8" s="14"/>
      </tp>
      <tp t="e">
        <v>#N/A</v>
        <stp/>
        <stp>BDH|17419043635965322578</stp>
        <tr r="O14" s="27"/>
        <tr r="O28" s="25"/>
      </tp>
      <tp t="e">
        <v>#N/A</v>
        <stp/>
        <stp>BDH|15873087305697145652</stp>
        <tr r="S60" s="34"/>
      </tp>
      <tp t="e">
        <v>#N/A</v>
        <stp/>
        <stp>BDH|13921725265736859075</stp>
        <tr r="M52" s="17"/>
      </tp>
      <tp t="e">
        <v>#N/A</v>
        <stp/>
        <stp>BDH|12926747696020272882</stp>
        <tr r="K35" s="22"/>
      </tp>
      <tp t="e">
        <v>#N/A</v>
        <stp/>
        <stp>BDH|13564115083777643900</stp>
        <tr r="D51" s="24"/>
      </tp>
      <tp t="e">
        <v>#N/A</v>
        <stp/>
        <stp>BDH|11462266637476041240</stp>
        <tr r="K38" s="26"/>
      </tp>
      <tp t="e">
        <v>#N/A</v>
        <stp/>
        <stp>BDH|18159633390295607653</stp>
        <tr r="V205" s="18"/>
      </tp>
      <tp t="e">
        <v>#N/A</v>
        <stp/>
        <stp>BDH|14479647674393261272</stp>
        <tr r="C109" s="12"/>
      </tp>
      <tp t="e">
        <v>#N/A</v>
        <stp/>
        <stp>BDH|13871173720092970676</stp>
        <tr r="S45" s="22"/>
      </tp>
      <tp t="e">
        <v>#N/A</v>
        <stp/>
        <stp>BDH|13677108550584064779</stp>
        <tr r="P41" s="6"/>
        <tr r="P18" s="5"/>
      </tp>
      <tp t="e">
        <v>#N/A</v>
        <stp/>
        <stp>BDH|11105388288427701979</stp>
        <tr r="X32" s="18"/>
      </tp>
      <tp t="e">
        <v>#N/A</v>
        <stp/>
        <stp>BDH|17521774214217090278</stp>
        <tr r="U94" s="12"/>
      </tp>
      <tp t="e">
        <v>#N/A</v>
        <stp/>
        <stp>BDH|10408600917591641245</stp>
        <tr r="I22" s="30"/>
        <tr r="I24" s="23"/>
      </tp>
      <tp t="e">
        <v>#N/A</v>
        <stp/>
        <stp>BDH|16576934580281030269</stp>
        <tr r="S25" s="14"/>
      </tp>
      <tp t="e">
        <v>#N/A</v>
        <stp/>
        <stp>BDH|11797362407742673400</stp>
        <tr r="F17" s="28"/>
        <tr r="F14" s="17"/>
      </tp>
      <tp t="e">
        <v>#N/A</v>
        <stp/>
        <stp>BDH|10273418991020428966</stp>
        <tr r="K41" s="6"/>
        <tr r="K18" s="5"/>
      </tp>
      <tp t="e">
        <v>#N/A</v>
        <stp/>
        <stp>BDH|12147013724257679328</stp>
        <tr r="Q47" s="12"/>
      </tp>
      <tp t="e">
        <v>#N/A</v>
        <stp/>
        <stp>BDH|15957397670913274626</stp>
        <tr r="X10" s="26"/>
      </tp>
      <tp t="e">
        <v>#N/A</v>
        <stp/>
        <stp>BDH|18100069483370256466</stp>
        <tr r="T34" s="11"/>
        <tr r="T43" s="10"/>
      </tp>
      <tp t="e">
        <v>#N/A</v>
        <stp/>
        <stp>BDH|13928889352189514362</stp>
        <tr r="U34" s="14"/>
      </tp>
      <tp t="e">
        <v>#N/A</v>
        <stp/>
        <stp>BDH|13032154614427196003</stp>
        <tr r="M91" s="12"/>
      </tp>
      <tp t="e">
        <v>#N/A</v>
        <stp/>
        <stp>BDH|17255207049540973529</stp>
        <tr r="L108" s="18"/>
      </tp>
      <tp t="e">
        <v>#N/A</v>
        <stp/>
        <stp>BDH|12310384857571596191</stp>
        <tr r="N70" s="13"/>
        <tr r="L49" s="11"/>
        <tr r="L58" s="10"/>
        <tr r="L19" s="7"/>
        <tr r="L18" s="4"/>
        <tr r="L20" s="2"/>
      </tp>
      <tp t="e">
        <v>#N/A</v>
        <stp/>
        <stp>BDH|10269333430832839696</stp>
        <tr r="D36" s="4"/>
      </tp>
      <tp t="e">
        <v>#N/A</v>
        <stp/>
        <stp>BDH|18292705892421562351</stp>
        <tr r="O42" s="34"/>
      </tp>
      <tp t="e">
        <v>#N/A</v>
        <stp/>
        <stp>BDH|11609315475906608743</stp>
        <tr r="G33" s="5"/>
      </tp>
      <tp t="e">
        <v>#N/A</v>
        <stp/>
        <stp>BDH|14692150737545077744</stp>
        <tr r="S67" s="34"/>
      </tp>
      <tp t="e">
        <v>#N/A</v>
        <stp/>
        <stp>BDH|13361423431982052207</stp>
        <tr r="H91" s="24"/>
      </tp>
      <tp t="e">
        <v>#N/A</v>
        <stp/>
        <stp>BDH|12258517029252894327</stp>
        <tr r="D21" s="10"/>
      </tp>
      <tp t="e">
        <v>#N/A</v>
        <stp/>
        <stp>BDH|14539219128942458288</stp>
        <tr r="T58" s="18"/>
      </tp>
      <tp t="e">
        <v>#N/A</v>
        <stp/>
        <stp>BDH|17495311595850692967</stp>
        <tr r="Y172" s="18"/>
      </tp>
      <tp t="e">
        <v>#N/A</v>
        <stp/>
        <stp>BDH|11006148546392148231</stp>
        <tr r="R45" s="18"/>
      </tp>
      <tp t="e">
        <v>#N/A</v>
        <stp/>
        <stp>BDH|12482828490641580630</stp>
        <tr r="S76" s="34"/>
      </tp>
      <tp t="e">
        <v>#N/A</v>
        <stp/>
        <stp>BDH|14142233212964843787</stp>
        <tr r="N76" s="18"/>
      </tp>
      <tp t="e">
        <v>#N/A</v>
        <stp/>
        <stp>BDH|10401664147150783620</stp>
        <tr r="Z37" s="21"/>
      </tp>
      <tp t="e">
        <v>#N/A</v>
        <stp/>
        <stp>BDH|10812182520977800087</stp>
        <tr r="S19" s="21"/>
        <tr r="S23" s="3"/>
        <tr r="Q23" s="2"/>
      </tp>
      <tp t="e">
        <v>#N/A</v>
        <stp/>
        <stp>BDH|11446313567334489460</stp>
        <tr r="N46" s="21"/>
      </tp>
      <tp t="e">
        <v>#N/A</v>
        <stp/>
        <stp>BDH|10069448812710074162</stp>
        <tr r="P10" s="34"/>
      </tp>
      <tp t="e">
        <v>#N/A</v>
        <stp/>
        <stp>BDH|12143203570810826391</stp>
        <tr r="M38" s="6"/>
      </tp>
      <tp t="e">
        <v>#N/A</v>
        <stp/>
        <stp>BDH|10472107475130939281</stp>
        <tr r="K11" s="6"/>
      </tp>
      <tp t="e">
        <v>#N/A</v>
        <stp/>
        <stp>BDH|17074161918507948474</stp>
        <tr r="R10" s="13"/>
      </tp>
      <tp t="e">
        <v>#N/A</v>
        <stp/>
        <stp>BDH|14723672636715060062</stp>
        <tr r="F43" s="4"/>
      </tp>
      <tp t="e">
        <v>#N/A</v>
        <stp/>
        <stp>BDH|16630415874081031036</stp>
        <tr r="N35" s="12"/>
      </tp>
      <tp t="e">
        <v>#N/A</v>
        <stp/>
        <stp>BDH|16060740714571740574</stp>
        <tr r="R8" s="12"/>
      </tp>
      <tp t="e">
        <v>#N/A</v>
        <stp/>
        <stp>BDH|10053910920366321926</stp>
        <tr r="G110" s="18"/>
      </tp>
      <tp t="e">
        <v>#N/A</v>
        <stp/>
        <stp>BDH|13014034475169679901</stp>
        <tr r="X115" s="12"/>
      </tp>
      <tp t="e">
        <v>#N/A</v>
        <stp/>
        <stp>BDH|10092979030647748900</stp>
        <tr r="W11" s="17"/>
      </tp>
      <tp t="e">
        <v>#N/A</v>
        <stp/>
        <stp>BDH|11162899988230673568</stp>
        <tr r="G9" s="12"/>
      </tp>
      <tp t="e">
        <v>#N/A</v>
        <stp/>
        <stp>BDH|16854777846866810719</stp>
        <tr r="N30" s="21"/>
      </tp>
      <tp t="e">
        <v>#N/A</v>
        <stp/>
        <stp>BDH|13922021060039204891</stp>
        <tr r="E37" s="13"/>
        <tr r="C30" s="10"/>
      </tp>
      <tp t="e">
        <v>#N/A</v>
        <stp/>
        <stp>BDH|15415365980609422361</stp>
        <tr r="I191" s="18"/>
      </tp>
      <tp t="e">
        <v>#N/A</v>
        <stp/>
        <stp>BDH|11108582515441861041</stp>
        <tr r="E67" s="13"/>
      </tp>
      <tp t="e">
        <v>#N/A</v>
        <stp/>
        <stp>BDH|13366266972247356547</stp>
        <tr r="M83" s="24"/>
      </tp>
      <tp t="e">
        <v>#N/A</v>
        <stp/>
        <stp>BDH|12844451813511681288</stp>
        <tr r="M11" s="30"/>
      </tp>
      <tp t="e">
        <v>#N/A</v>
        <stp/>
        <stp>BDH|14803931797648812846</stp>
        <tr r="P55" s="13"/>
        <tr r="N37" s="11"/>
        <tr r="N46" s="10"/>
        <tr r="N53" s="4"/>
        <tr r="N18" s="2"/>
      </tp>
      <tp t="e">
        <v>#N/A</v>
        <stp/>
        <stp>BDH|12242864403098374640</stp>
        <tr r="P176" s="18"/>
      </tp>
      <tp t="e">
        <v>#N/A</v>
        <stp/>
        <stp>BDH|14971106119613721372</stp>
        <tr r="P35" s="26"/>
      </tp>
      <tp t="e">
        <v>#N/A</v>
        <stp/>
        <stp>BDH|10219173455390266020</stp>
        <tr r="X94" s="12"/>
      </tp>
      <tp t="e">
        <v>#N/A</v>
        <stp/>
        <stp>BDH|14583279353891568649</stp>
        <tr r="K77" s="12"/>
      </tp>
      <tp t="e">
        <v>#N/A</v>
        <stp/>
        <stp>BDH|10024170826782816592</stp>
        <tr r="L31" s="12"/>
      </tp>
      <tp t="e">
        <v>#N/A</v>
        <stp/>
        <stp>BDH|10061506308677919612</stp>
        <tr r="U7" s="6"/>
      </tp>
      <tp t="e">
        <v>#N/A</v>
        <stp/>
        <stp>BDH|10060609691792659978</stp>
        <tr r="T32" s="29"/>
        <tr r="R34" s="5"/>
      </tp>
      <tp t="e">
        <v>#N/A</v>
        <stp/>
        <stp>BDH|11005015720142460557</stp>
        <tr r="U19" s="20"/>
      </tp>
      <tp t="e">
        <v>#N/A</v>
        <stp/>
        <stp>BDH|13905206498709002514</stp>
        <tr r="H83" s="12"/>
      </tp>
      <tp t="e">
        <v>#N/A</v>
        <stp/>
        <stp>BDH|15260149834827308412</stp>
        <tr r="T9" s="25"/>
        <tr r="T44" s="17"/>
      </tp>
      <tp t="e">
        <v>#N/A</v>
        <stp/>
        <stp>BDH|14859338391928933233</stp>
        <tr r="H203" s="18"/>
      </tp>
      <tp t="e">
        <v>#N/A</v>
        <stp/>
        <stp>BDH|17451637134462210413</stp>
        <tr r="Y56" s="24"/>
      </tp>
      <tp t="e">
        <v>#N/A</v>
        <stp/>
        <stp>BDH|10466902603515612814</stp>
        <tr r="V41" s="24"/>
      </tp>
      <tp t="e">
        <v>#N/A</v>
        <stp/>
        <stp>BDH|10303142017830628453</stp>
        <tr r="Z14" s="18"/>
      </tp>
      <tp t="e">
        <v>#N/A</v>
        <stp/>
        <stp>BDH|10975771569043140659</stp>
        <tr r="Y24" s="27"/>
      </tp>
      <tp t="e">
        <v>#N/A</v>
        <stp/>
        <stp>BDH|11110348565430750043</stp>
        <tr r="S18" s="24"/>
      </tp>
      <tp t="e">
        <v>#N/A</v>
        <stp/>
        <stp>BDH|13363041936964139037</stp>
        <tr r="G79" s="12"/>
      </tp>
      <tp t="e">
        <v>#N/A</v>
        <stp/>
        <stp>BDH|16368873282973409116</stp>
        <tr r="W34" s="26"/>
      </tp>
      <tp t="e">
        <v>#N/A</v>
        <stp/>
        <stp>BDH|12437650777953195449</stp>
        <tr r="O9" s="24"/>
      </tp>
      <tp t="e">
        <v>#N/A</v>
        <stp/>
        <stp>BDH|15353488459436434650</stp>
        <tr r="C58" s="13"/>
        <tr r="C10" s="3"/>
      </tp>
      <tp t="e">
        <v>#N/A</v>
        <stp/>
        <stp>BDH|11603028601325749016</stp>
        <tr r="AA20" s="14"/>
      </tp>
      <tp t="e">
        <v>#N/A</v>
        <stp/>
        <stp>BDH|12631508000435667631</stp>
        <tr r="AA54" s="13"/>
      </tp>
      <tp t="e">
        <v>#N/A</v>
        <stp/>
        <stp>BDH|10815675307442903028</stp>
        <tr r="AA157" s="18"/>
      </tp>
      <tp t="e">
        <v>#N/A</v>
        <stp/>
        <stp>BDH|11739454403456028729</stp>
        <tr r="R71" s="24"/>
      </tp>
      <tp t="e">
        <v>#N/A</v>
        <stp/>
        <stp>BDH|11525238887198401764</stp>
        <tr r="Z7" s="14"/>
      </tp>
      <tp t="e">
        <v>#N/A</v>
        <stp/>
        <stp>BDH|17974585647702430019</stp>
        <tr r="E79" s="18"/>
      </tp>
      <tp t="e">
        <v>#N/A</v>
        <stp/>
        <stp>BDH|11750963835046417939</stp>
        <tr r="Q27" s="18"/>
      </tp>
      <tp t="e">
        <v>#N/A</v>
        <stp/>
        <stp>BDH|12592110751243274142</stp>
        <tr r="P8" s="22"/>
      </tp>
      <tp t="e">
        <v>#N/A</v>
        <stp/>
        <stp>BDH|18103510068597289893</stp>
        <tr r="M24" s="17"/>
      </tp>
      <tp t="e">
        <v>#N/A</v>
        <stp/>
        <stp>BDH|12262319035397179145</stp>
        <tr r="T40" s="13"/>
        <tr r="R24" s="10"/>
        <tr r="R46" s="4"/>
      </tp>
      <tp t="e">
        <v>#N/A</v>
        <stp/>
        <stp>BDH|10086021839422072587</stp>
        <tr r="U29" s="12"/>
      </tp>
      <tp t="e">
        <v>#N/A</v>
        <stp/>
        <stp>BDH|17173516856937203475</stp>
        <tr r="K77" s="34"/>
      </tp>
      <tp t="e">
        <v>#N/A</v>
        <stp/>
        <stp>BDH|15160710045311715319</stp>
        <tr r="J23" s="25"/>
        <tr r="H20" s="11"/>
      </tp>
      <tp t="e">
        <v>#N/A</v>
        <stp/>
        <stp>BDH|10138627947316396043</stp>
        <tr r="Q30" s="9"/>
        <tr r="Q30" s="5"/>
      </tp>
      <tp t="e">
        <v>#N/A</v>
        <stp/>
        <stp>BDH|16926661776963926035</stp>
        <tr r="D35" s="18"/>
      </tp>
      <tp t="e">
        <v>#N/A</v>
        <stp/>
        <stp>BDH|12305945086206599172</stp>
        <tr r="P124" s="18"/>
      </tp>
      <tp t="e">
        <v>#N/A</v>
        <stp/>
        <stp>BDH|15027047421761762218</stp>
        <tr r="P8" s="23"/>
      </tp>
      <tp t="e">
        <v>#N/A</v>
        <stp/>
        <stp>BDH|10822808401758940435</stp>
        <tr r="F13" s="5"/>
      </tp>
      <tp t="e">
        <v>#N/A</v>
        <stp/>
        <stp>BDH|18228460093106636723</stp>
        <tr r="I61" s="18"/>
      </tp>
      <tp t="e">
        <v>#N/A</v>
        <stp/>
        <stp>BDH|15173221932117606745</stp>
        <tr r="N32" s="24"/>
      </tp>
      <tp t="e">
        <v>#N/A</v>
        <stp/>
        <stp>BDH|16549912342576571906</stp>
        <tr r="W86" s="17"/>
      </tp>
      <tp t="e">
        <v>#N/A</v>
        <stp/>
        <stp>BDH|15040019166236584115</stp>
        <tr r="C9" s="12"/>
      </tp>
      <tp t="e">
        <v>#N/A</v>
        <stp/>
        <stp>BDH|18340831091335045820</stp>
        <tr r="G81" s="34"/>
      </tp>
      <tp t="e">
        <v>#N/A</v>
        <stp/>
        <stp>BDH|13567249031920065631</stp>
        <tr r="Z30" s="29"/>
        <tr r="Z8" s="29"/>
      </tp>
      <tp t="e">
        <v>#N/A</v>
        <stp/>
        <stp>BDH|10600249986928706600</stp>
        <tr r="O7" s="24"/>
      </tp>
      <tp t="e">
        <v>#N/A</v>
        <stp/>
        <stp>BDH|15337141667330498678</stp>
        <tr r="I15" s="23"/>
        <tr r="G58" s="11"/>
      </tp>
      <tp t="e">
        <v>#N/A</v>
        <stp/>
        <stp>BDH|15381115350340273539</stp>
        <tr r="K79" s="18"/>
      </tp>
      <tp t="e">
        <v>#N/A</v>
        <stp/>
        <stp>BDH|12016822904789478714</stp>
        <tr r="U57" s="6"/>
      </tp>
      <tp t="e">
        <v>#N/A</v>
        <stp/>
        <stp>BDH|17612837880135606600</stp>
        <tr r="C17" s="23"/>
      </tp>
      <tp t="e">
        <v>#N/A</v>
        <stp/>
        <stp>BDH|16826396701108139921</stp>
        <tr r="U34" s="9"/>
      </tp>
      <tp t="e">
        <v>#N/A</v>
        <stp/>
        <stp>BDH|13547667653534739043</stp>
        <tr r="F63" s="13"/>
      </tp>
      <tp t="e">
        <v>#N/A</v>
        <stp/>
        <stp>BDH|14375289121610070099</stp>
        <tr r="S10" s="18"/>
      </tp>
      <tp t="e">
        <v>#N/A</v>
        <stp/>
        <stp>BDH|17608664846523705227</stp>
        <tr r="H16" s="34"/>
      </tp>
      <tp t="e">
        <v>#N/A</v>
        <stp/>
        <stp>BDH|12828395257711542101</stp>
        <tr r="M11" s="10"/>
        <tr r="M14" s="2"/>
      </tp>
      <tp t="e">
        <v>#N/A</v>
        <stp/>
        <stp>BDH|15291113119124997507</stp>
        <tr r="J34" s="22"/>
      </tp>
      <tp t="e">
        <v>#N/A</v>
        <stp/>
        <stp>BDH|12117665508628831844</stp>
        <tr r="X22" s="34"/>
      </tp>
      <tp t="e">
        <v>#N/A</v>
        <stp/>
        <stp>BDH|10074226975197017644</stp>
        <tr r="I173" s="18"/>
      </tp>
      <tp t="e">
        <v>#N/A</v>
        <stp/>
        <stp>BDH|15121800349785223893</stp>
        <tr r="L15" s="4"/>
      </tp>
      <tp t="e">
        <v>#N/A</v>
        <stp/>
        <stp>BDH|16892836510989845206</stp>
        <tr r="F25" s="21"/>
      </tp>
      <tp t="e">
        <v>#N/A</v>
        <stp/>
        <stp>BDH|11210236036553554713</stp>
        <tr r="E8" s="4"/>
      </tp>
      <tp t="e">
        <v>#N/A</v>
        <stp/>
        <stp>BDH|12245217670575424640</stp>
        <tr r="O109" s="18"/>
      </tp>
      <tp t="e">
        <v>#N/A</v>
        <stp/>
        <stp>BDH|15070047917199722977</stp>
        <tr r="V25" s="10"/>
      </tp>
      <tp t="e">
        <v>#N/A</v>
        <stp/>
        <stp>BDH|11190767912351223254</stp>
        <tr r="AA80" s="24"/>
      </tp>
      <tp t="e">
        <v>#N/A</v>
        <stp/>
        <stp>BDH|18089767926231258803</stp>
        <tr r="J12" s="10"/>
      </tp>
      <tp t="e">
        <v>#N/A</v>
        <stp/>
        <stp>BDH|16655439938854783186</stp>
        <tr r="W33" s="9"/>
      </tp>
      <tp t="e">
        <v>#N/A</v>
        <stp/>
        <stp>BDH|15447384409261529329</stp>
        <tr r="Y20" s="25"/>
      </tp>
      <tp t="e">
        <v>#N/A</v>
        <stp/>
        <stp>BDH|16457943923919673071</stp>
        <tr r="C19" s="30"/>
      </tp>
      <tp t="e">
        <v>#N/A</v>
        <stp/>
        <stp>BDH|16997626140084811417</stp>
        <tr r="W118" s="12"/>
      </tp>
      <tp t="e">
        <v>#N/A</v>
        <stp/>
        <stp>BDH|10668255531901245427</stp>
        <tr r="K197" s="18"/>
      </tp>
      <tp t="e">
        <v>#N/A</v>
        <stp/>
        <stp>BDH|17597851512222944897</stp>
        <tr r="Y94" s="18"/>
      </tp>
      <tp t="e">
        <v>#N/A</v>
        <stp/>
        <stp>BDH|14185242112497053453</stp>
        <tr r="N64" s="11"/>
        <tr r="N73" s="10"/>
      </tp>
      <tp t="e">
        <v>#N/A</v>
        <stp/>
        <stp>BDH|18259145264402892985</stp>
        <tr r="G13" s="26"/>
      </tp>
      <tp t="e">
        <v>#N/A</v>
        <stp/>
        <stp>BDH|11103792825490897077</stp>
        <tr r="K23" s="11"/>
      </tp>
      <tp t="e">
        <v>#N/A</v>
        <stp/>
        <stp>BDH|15205577046853500347</stp>
        <tr r="Z23" s="17"/>
      </tp>
      <tp t="e">
        <v>#N/A</v>
        <stp/>
        <stp>BDH|15408795817905873203</stp>
        <tr r="P12" s="24"/>
      </tp>
      <tp t="e">
        <v>#N/A</v>
        <stp/>
        <stp>BDH|12509465935361084046</stp>
        <tr r="V86" s="18"/>
      </tp>
      <tp t="e">
        <v>#N/A</v>
        <stp/>
        <stp>BDH|17886754554588831935</stp>
        <tr r="M18" s="18"/>
      </tp>
      <tp t="e">
        <v>#N/A</v>
        <stp/>
        <stp>BDH|15484838191117690727</stp>
        <tr r="K9" s="17"/>
      </tp>
      <tp t="e">
        <v>#N/A</v>
        <stp/>
        <stp>BDH|15521721663828541830</stp>
        <tr r="P67" s="21"/>
      </tp>
      <tp t="e">
        <v>#N/A</v>
        <stp/>
        <stp>BDH|15344126402944962482</stp>
        <tr r="E12" s="25"/>
      </tp>
      <tp t="e">
        <v>#N/A</v>
        <stp/>
        <stp>BDH|18433999144151906024</stp>
        <tr r="W26" s="29"/>
      </tp>
      <tp t="e">
        <v>#N/A</v>
        <stp/>
        <stp>BDH|14688845526069508332</stp>
        <tr r="C25" s="3"/>
      </tp>
      <tp t="e">
        <v>#N/A</v>
        <stp/>
        <stp>BDH|13395735005219669916</stp>
        <tr r="N56" s="11"/>
        <tr r="N24" s="4"/>
      </tp>
      <tp t="e">
        <v>#N/A</v>
        <stp/>
        <stp>BDH|18287441501890490816</stp>
        <tr r="Z21" s="14"/>
      </tp>
      <tp t="e">
        <v>#N/A</v>
        <stp/>
        <stp>BDH|11496196502386817250</stp>
        <tr r="T12" s="11"/>
      </tp>
      <tp t="e">
        <v>#N/A</v>
        <stp/>
        <stp>BDH|17049849618878786290</stp>
        <tr r="Q132" s="18"/>
      </tp>
      <tp t="e">
        <v>#N/A</v>
        <stp/>
        <stp>BDH|15171628050496030415</stp>
        <tr r="M7" s="27"/>
        <tr r="M95" s="17"/>
      </tp>
      <tp t="e">
        <v>#N/A</v>
        <stp/>
        <stp>BDH|10390148017970415464</stp>
        <tr r="T106" s="18"/>
      </tp>
      <tp t="e">
        <v>#N/A</v>
        <stp/>
        <stp>BDH|11457182251989974865</stp>
        <tr r="R106" s="12"/>
      </tp>
      <tp t="e">
        <v>#N/A</v>
        <stp/>
        <stp>BDH|13013011566160089155</stp>
        <tr r="H123" s="12"/>
      </tp>
      <tp t="e">
        <v>#N/A</v>
        <stp/>
        <stp>BDH|15685611304493006411</stp>
        <tr r="H59" s="13"/>
      </tp>
      <tp t="e">
        <v>#N/A</v>
        <stp/>
        <stp>BDH|15001315595579286244</stp>
        <tr r="M35" s="14"/>
      </tp>
      <tp t="e">
        <v>#N/A</v>
        <stp/>
        <stp>BDH|16106445613053010448</stp>
        <tr r="J41" s="34"/>
      </tp>
      <tp t="e">
        <v>#N/A</v>
        <stp/>
        <stp>BDH|11271407758915903115</stp>
        <tr r="J20" s="14"/>
      </tp>
      <tp t="e">
        <v>#N/A</v>
        <stp/>
        <stp>BDH|12482042433315231036</stp>
        <tr r="I20" s="10"/>
      </tp>
      <tp t="e">
        <v>#N/A</v>
        <stp/>
        <stp>BDH|13934554118206003569</stp>
        <tr r="G46" s="12"/>
      </tp>
      <tp t="e">
        <v>#N/A</v>
        <stp/>
        <stp>BDH|13508243540859279810</stp>
        <tr r="I36" s="6"/>
        <tr r="I17" s="5"/>
      </tp>
      <tp t="e">
        <v>#N/A</v>
        <stp/>
        <stp>BDH|14973539740358820903</stp>
        <tr r="O27" s="17"/>
      </tp>
      <tp t="e">
        <v>#N/A</v>
        <stp/>
        <stp>BDH|10366851026846751856</stp>
        <tr r="Y47" s="17"/>
      </tp>
      <tp t="e">
        <v>#N/A</v>
        <stp/>
        <stp>BDH|13075392449031491160</stp>
        <tr r="T65" s="18"/>
      </tp>
      <tp t="e">
        <v>#N/A</v>
        <stp/>
        <stp>BDH|11672201457177629556</stp>
        <tr r="V100" s="12"/>
      </tp>
      <tp t="e">
        <v>#N/A</v>
        <stp/>
        <stp>BDH|12140432841463704561</stp>
        <tr r="R29" s="6"/>
      </tp>
      <tp t="e">
        <v>#N/A</v>
        <stp/>
        <stp>BDH|12922852383002541487</stp>
        <tr r="J38" s="25"/>
      </tp>
      <tp t="e">
        <v>#N/A</v>
        <stp/>
        <stp>BDH|12416347710165613144</stp>
        <tr r="M23" s="25"/>
        <tr r="K20" s="11"/>
      </tp>
      <tp t="e">
        <v>#N/A</v>
        <stp/>
        <stp>BDH|16560149800084546769</stp>
        <tr r="M6" s="16"/>
        <tr r="N6" s="11"/>
        <tr r="N10" s="4"/>
        <tr r="P6" s="3"/>
      </tp>
      <tp t="e">
        <v>#N/A</v>
        <stp/>
        <stp>BDH|11531695767112157780</stp>
        <tr r="V147" s="18"/>
      </tp>
      <tp t="e">
        <v>#N/A</v>
        <stp/>
        <stp>BDH|12094355151437516738</stp>
        <tr r="Q6" s="8"/>
        <tr r="O51" s="6"/>
      </tp>
      <tp t="e">
        <v>#N/A</v>
        <stp/>
        <stp>BDH|11469571777512001562</stp>
        <tr r="S13" s="22"/>
      </tp>
      <tp t="e">
        <v>#N/A</v>
        <stp/>
        <stp>BDH|10504180830187774186</stp>
        <tr r="O16" s="20"/>
      </tp>
      <tp t="e">
        <v>#N/A</v>
        <stp/>
        <stp>BDH|14724584959690154055</stp>
        <tr r="V14" s="22"/>
      </tp>
      <tp t="e">
        <v>#N/A</v>
        <stp/>
        <stp>BDH|17756615331584525200</stp>
        <tr r="Y52" s="13"/>
      </tp>
      <tp t="e">
        <v>#N/A</v>
        <stp/>
        <stp>BDH|13863295446573324263</stp>
        <tr r="T20" s="25"/>
      </tp>
      <tp t="e">
        <v>#N/A</v>
        <stp/>
        <stp>BDH|10200073707985488145</stp>
        <tr r="J43" s="17"/>
      </tp>
      <tp t="e">
        <v>#N/A</v>
        <stp/>
        <stp>BDH|11793518735362422157</stp>
        <tr r="K23" s="22"/>
      </tp>
      <tp t="e">
        <v>#N/A</v>
        <stp/>
        <stp>BDH|12398010566384596434</stp>
        <tr r="O22" s="30"/>
        <tr r="O24" s="23"/>
      </tp>
      <tp t="e">
        <v>#N/A</v>
        <stp/>
        <stp>BDH|13550639671214609238</stp>
        <tr r="I20" s="34"/>
      </tp>
      <tp t="e">
        <v>#N/A</v>
        <stp/>
        <stp>BDH|15680158813688088928</stp>
        <tr r="S9" s="6"/>
      </tp>
      <tp t="e">
        <v>#N/A</v>
        <stp/>
        <stp>BDH|13144053565348650957</stp>
        <tr r="X107" s="12"/>
      </tp>
      <tp t="e">
        <v>#N/A</v>
        <stp/>
        <stp>BDH|15913546642322920240</stp>
        <tr r="F13" s="13"/>
      </tp>
      <tp t="e">
        <v>#N/A</v>
        <stp/>
        <stp>BDH|13948733769157351126</stp>
        <tr r="G9" s="24"/>
      </tp>
      <tp t="e">
        <v>#N/A</v>
        <stp/>
        <stp>BDH|11522539824997526555</stp>
        <tr r="F59" s="13"/>
      </tp>
      <tp t="e">
        <v>#N/A</v>
        <stp/>
        <stp>BDH|10762040456208092978</stp>
        <tr r="I11" s="20"/>
        <tr r="I120" s="18"/>
      </tp>
      <tp t="e">
        <v>#N/A</v>
        <stp/>
        <stp>BDH|10401550300244225515</stp>
        <tr r="Q21" s="27"/>
      </tp>
      <tp t="e">
        <v>#N/A</v>
        <stp/>
        <stp>BDH|15460024777442528460</stp>
        <tr r="F64" s="17"/>
      </tp>
      <tp t="e">
        <v>#N/A</v>
        <stp/>
        <stp>BDH|10782190770017844537</stp>
        <tr r="L39" s="26"/>
      </tp>
      <tp t="e">
        <v>#N/A</v>
        <stp/>
        <stp>BDH|14443468745242702255</stp>
        <tr r="T18" s="11"/>
      </tp>
      <tp t="e">
        <v>#N/A</v>
        <stp/>
        <stp>BDH|14235048914304049576</stp>
        <tr r="M67" s="21"/>
      </tp>
      <tp t="e">
        <v>#N/A</v>
        <stp/>
        <stp>BDH|10112503622187682402</stp>
        <tr r="O62" s="17"/>
      </tp>
      <tp t="e">
        <v>#N/A</v>
        <stp/>
        <stp>BDH|16038747124765186242</stp>
        <tr r="L61" s="17"/>
      </tp>
      <tp t="e">
        <v>#N/A</v>
        <stp/>
        <stp>BDH|14638714162444539559</stp>
        <tr r="Z24" s="21"/>
      </tp>
      <tp t="e">
        <v>#N/A</v>
        <stp/>
        <stp>BDH|14671207005023794110</stp>
        <tr r="I67" s="18"/>
      </tp>
      <tp t="e">
        <v>#N/A</v>
        <stp/>
        <stp>BDH|15206485997884961812</stp>
        <tr r="T36" s="17"/>
      </tp>
      <tp t="e">
        <v>#N/A</v>
        <stp/>
        <stp>BDH|16137149753756254011</stp>
        <tr r="W46" s="12"/>
      </tp>
      <tp t="e">
        <v>#N/A</v>
        <stp/>
        <stp>BDH|13226317011411697411</stp>
        <tr r="T69" s="12"/>
      </tp>
      <tp t="e">
        <v>#N/A</v>
        <stp/>
        <stp>BDH|17151179778284386189</stp>
        <tr r="D36" s="14"/>
      </tp>
      <tp t="e">
        <v>#N/A</v>
        <stp/>
        <stp>BDH|10540851699107922259</stp>
        <tr r="X53" s="12"/>
      </tp>
      <tp t="e">
        <v>#N/A</v>
        <stp/>
        <stp>BDH|10889745110381971306</stp>
        <tr r="E67" s="34"/>
      </tp>
      <tp t="e">
        <v>#N/A</v>
        <stp/>
        <stp>BDH|15701553666976968482</stp>
        <tr r="T74" s="12"/>
      </tp>
      <tp t="e">
        <v>#N/A</v>
        <stp/>
        <stp>BDH|13921909478861247869</stp>
        <tr r="U113" s="18"/>
      </tp>
      <tp t="e">
        <v>#N/A</v>
        <stp/>
        <stp>BDH|13574347657982326306</stp>
        <tr r="Q102" s="18"/>
      </tp>
      <tp t="e">
        <v>#N/A</v>
        <stp/>
        <stp>BDH|18293246262228688078</stp>
        <tr r="G20" s="24"/>
      </tp>
      <tp t="e">
        <v>#N/A</v>
        <stp/>
        <stp>BDH|12045250457630184167</stp>
        <tr r="E29" s="29"/>
        <tr r="E7" s="29"/>
      </tp>
      <tp t="e">
        <v>#N/A</v>
        <stp/>
        <stp>BDH|11763692640402255598</stp>
        <tr r="R213" s="18"/>
      </tp>
      <tp t="e">
        <v>#N/A</v>
        <stp/>
        <stp>BDH|15480471600415710010</stp>
        <tr r="U50" s="17"/>
      </tp>
      <tp t="e">
        <v>#N/A</v>
        <stp/>
        <stp>BDH|14703848653738500503</stp>
        <tr r="N19" s="24"/>
      </tp>
      <tp t="e">
        <v>#N/A</v>
        <stp/>
        <stp>BDH|18259191785592297794</stp>
        <tr r="Z48" s="24"/>
      </tp>
      <tp t="e">
        <v>#N/A</v>
        <stp/>
        <stp>BDH|18230379470838449045</stp>
        <tr r="Y14" s="20"/>
        <tr r="Y123" s="18"/>
      </tp>
      <tp t="e">
        <v>#N/A</v>
        <stp/>
        <stp>BDH|12707453617765963691</stp>
        <tr r="F12" s="21"/>
      </tp>
      <tp t="e">
        <v>#N/A</v>
        <stp/>
        <stp>BDH|14085730456732344038</stp>
        <tr r="O46" s="11"/>
        <tr r="O55" s="10"/>
        <tr r="O7" s="7"/>
        <tr r="Q12" s="3"/>
      </tp>
      <tp t="e">
        <v>#N/A</v>
        <stp/>
        <stp>BDH|16411351332155121770</stp>
        <tr r="D50" s="17"/>
      </tp>
      <tp t="e">
        <v>#N/A</v>
        <stp/>
        <stp>BDH|15094806844255585847</stp>
        <tr r="N16" s="14"/>
      </tp>
      <tp t="e">
        <v>#N/A</v>
        <stp/>
        <stp>BDH|12506072020654548022</stp>
        <tr r="G25" s="5"/>
      </tp>
      <tp t="e">
        <v>#N/A</v>
        <stp/>
        <stp>BDH|12976563942934196396</stp>
        <tr r="U61" s="13"/>
        <tr r="S48" s="11"/>
        <tr r="S57" s="10"/>
        <tr r="S18" s="7"/>
      </tp>
      <tp t="e">
        <v>#N/A</v>
        <stp/>
        <stp>BDH|10572006228560935615</stp>
        <tr r="H134" s="18"/>
      </tp>
      <tp t="e">
        <v>#N/A</v>
        <stp/>
        <stp>BDH|15404162558384806170</stp>
        <tr r="Y213" s="18"/>
      </tp>
      <tp t="e">
        <v>#N/A</v>
        <stp/>
        <stp>BDH|17470182921686869604</stp>
        <tr r="H26" s="6"/>
      </tp>
      <tp t="e">
        <v>#N/A</v>
        <stp/>
        <stp>BDH|12256710077356549043</stp>
        <tr r="U20" s="23"/>
      </tp>
      <tp t="e">
        <v>#N/A</v>
        <stp/>
        <stp>BDH|18283427946419031539</stp>
        <tr r="AA45" s="13"/>
        <tr r="Y29" s="11"/>
        <tr r="Y38" s="10"/>
      </tp>
      <tp t="e">
        <v>#N/A</v>
        <stp/>
        <stp>BDH|10487108031570465642</stp>
        <tr r="S61" s="24"/>
      </tp>
      <tp t="e">
        <v>#N/A</v>
        <stp/>
        <stp>BDH|17509011630719909987</stp>
        <tr r="P70" s="18"/>
      </tp>
      <tp t="e">
        <v>#N/A</v>
        <stp/>
        <stp>BDH|12748022076632799318</stp>
        <tr r="D29" s="17"/>
      </tp>
      <tp t="e">
        <v>#N/A</v>
        <stp/>
        <stp>BDH|11326713324795634555</stp>
        <tr r="AA82" s="12"/>
      </tp>
      <tp t="e">
        <v>#N/A</v>
        <stp/>
        <stp>BDH|12575777050186587229</stp>
        <tr r="Q32" s="11"/>
        <tr r="Q41" s="10"/>
      </tp>
      <tp t="e">
        <v>#N/A</v>
        <stp/>
        <stp>BDH|13779349574323254008</stp>
        <tr r="N11" s="18"/>
      </tp>
      <tp t="e">
        <v>#N/A</v>
        <stp/>
        <stp>BDH|15540782091336052990</stp>
        <tr r="T21" s="30"/>
      </tp>
      <tp t="e">
        <v>#N/A</v>
        <stp/>
        <stp>BDH|16391830562828737405</stp>
        <tr r="K43" s="17"/>
      </tp>
      <tp t="e">
        <v>#N/A</v>
        <stp/>
        <stp>BDH|15116166549752265691</stp>
        <tr r="E76" s="17"/>
      </tp>
      <tp t="e">
        <v>#N/A</v>
        <stp/>
        <stp>BDH|12554496758246505146</stp>
        <tr r="W24" s="2"/>
      </tp>
      <tp t="e">
        <v>#N/A</v>
        <stp/>
        <stp>BDH|11823443618015716566</stp>
        <tr r="P150" s="18"/>
      </tp>
      <tp t="e">
        <v>#N/A</v>
        <stp/>
        <stp>BDH|11217312006061447742</stp>
        <tr r="D16" s="14"/>
      </tp>
      <tp t="e">
        <v>#N/A</v>
        <stp/>
        <stp>BDH|10284638914793974095</stp>
        <tr r="J35" s="12"/>
      </tp>
      <tp t="e">
        <v>#N/A</v>
        <stp/>
        <stp>BDH|11566817275219166351</stp>
        <tr r="R79" s="18"/>
      </tp>
      <tp t="e">
        <v>#N/A</v>
        <stp/>
        <stp>BDH|11832776818706258503</stp>
        <tr r="Z8" s="28"/>
      </tp>
      <tp t="e">
        <v>#N/A</v>
        <stp/>
        <stp>BDH|13470418680123339826</stp>
        <tr r="E41" s="11"/>
        <tr r="E50" s="10"/>
        <tr r="E8" s="7"/>
        <tr r="G11" s="3"/>
      </tp>
      <tp t="e">
        <v>#N/A</v>
        <stp/>
        <stp>BDH|13965430078994173073</stp>
        <tr r="U25" s="21"/>
      </tp>
      <tp t="e">
        <v>#N/A</v>
        <stp/>
        <stp>BDH|15149501961294050649</stp>
        <tr r="J10" s="8"/>
        <tr r="H53" s="6"/>
      </tp>
      <tp t="e">
        <v>#N/A</v>
        <stp/>
        <stp>BDH|12086252856481077072</stp>
        <tr r="O34" s="17"/>
      </tp>
      <tp t="e">
        <v>#N/A</v>
        <stp/>
        <stp>BDH|10330620333644688507</stp>
        <tr r="H106" s="12"/>
      </tp>
      <tp t="e">
        <v>#N/A</v>
        <stp/>
        <stp>BDH|13408573141213397552</stp>
        <tr r="R9" s="11"/>
      </tp>
      <tp t="e">
        <v>#N/A</v>
        <stp/>
        <stp>BDH|15265265740182605568</stp>
        <tr r="S11" s="7"/>
      </tp>
      <tp t="e">
        <v>#N/A</v>
        <stp/>
        <stp>BDH|12790640606201123103</stp>
        <tr r="E22" s="21"/>
      </tp>
      <tp t="e">
        <v>#N/A</v>
        <stp/>
        <stp>BDH|14640010225810010267</stp>
        <tr r="K24" s="5"/>
      </tp>
      <tp t="e">
        <v>#N/A</v>
        <stp/>
        <stp>BDH|16579574213974721220</stp>
        <tr r="Q28" s="12"/>
      </tp>
      <tp t="e">
        <v>#N/A</v>
        <stp/>
        <stp>BDH|13862366726487991155</stp>
        <tr r="L7" s="20"/>
        <tr r="L117" s="18"/>
      </tp>
      <tp t="e">
        <v>#N/A</v>
        <stp/>
        <stp>BDH|10805023170846748597</stp>
        <tr r="T162" s="18"/>
      </tp>
      <tp t="e">
        <v>#N/A</v>
        <stp/>
        <stp>BDH|16741632430760411748</stp>
        <tr r="V78" s="18"/>
      </tp>
      <tp t="e">
        <v>#N/A</v>
        <stp/>
        <stp>BDH|18349427886951347101</stp>
        <tr r="H15" s="10"/>
      </tp>
      <tp t="e">
        <v>#N/A</v>
        <stp/>
        <stp>BDH|10904402594740139988</stp>
        <tr r="H64" s="10"/>
      </tp>
      <tp t="e">
        <v>#N/A</v>
        <stp/>
        <stp>BDH|12099578840710417779</stp>
        <tr r="V19" s="23"/>
        <tr r="T59" s="11"/>
      </tp>
      <tp t="e">
        <v>#N/A</v>
        <stp/>
        <stp>BDH|10689234650317038412</stp>
        <tr r="G29" s="12"/>
      </tp>
      <tp t="e">
        <v>#N/A</v>
        <stp/>
        <stp>BDH|15825277432648983805</stp>
        <tr r="W77" s="24"/>
      </tp>
      <tp t="e">
        <v>#N/A</v>
        <stp/>
        <stp>BDH|14661217457222286565</stp>
        <tr r="U99" s="18"/>
      </tp>
      <tp t="e">
        <v>#N/A</v>
        <stp/>
        <stp>BDH|18225184907555185886</stp>
        <tr r="K96" s="18"/>
      </tp>
      <tp t="e">
        <v>#N/A</v>
        <stp/>
        <stp>BDH|16903674321066217098</stp>
        <tr r="M11" s="17"/>
      </tp>
      <tp t="e">
        <v>#N/A</v>
        <stp/>
        <stp>BDH|12860185429812840753</stp>
        <tr r="J32" s="18"/>
      </tp>
      <tp t="e">
        <v>#N/A</v>
        <stp/>
        <stp>BDH|10009021123740728628</stp>
        <tr r="N30" s="22"/>
      </tp>
      <tp t="e">
        <v>#N/A</v>
        <stp/>
        <stp>BDH|15294863693272411275</stp>
        <tr r="T9" s="12"/>
      </tp>
      <tp t="e">
        <v>#N/A</v>
        <stp/>
        <stp>BDH|14294064567550673613</stp>
        <tr r="Z33" s="34"/>
      </tp>
      <tp t="e">
        <v>#N/A</v>
        <stp/>
        <stp>BDH|15091417821210489708</stp>
        <tr r="R49" s="4"/>
      </tp>
      <tp t="e">
        <v>#N/A</v>
        <stp/>
        <stp>BDH|15019644325702135742</stp>
        <tr r="G109" s="18"/>
      </tp>
      <tp t="e">
        <v>#N/A</v>
        <stp/>
        <stp>BDH|11618123315782375761</stp>
        <tr r="J24" s="29"/>
      </tp>
      <tp t="e">
        <v>#N/A</v>
        <stp/>
        <stp>BDH|13134774570684008322</stp>
        <tr r="X8" s="13"/>
      </tp>
      <tp t="e">
        <v>#N/A</v>
        <stp/>
        <stp>BDH|16955234117889828819</stp>
        <tr r="W69" s="24"/>
      </tp>
      <tp t="e">
        <v>#N/A</v>
        <stp/>
        <stp>BDH|13683046147886018515</stp>
        <tr r="I68" s="24"/>
      </tp>
      <tp t="e">
        <v>#N/A</v>
        <stp/>
        <stp>BDH|18117417482496768616</stp>
        <tr r="J32" s="21"/>
      </tp>
      <tp t="e">
        <v>#N/A</v>
        <stp/>
        <stp>BDH|10139574662733700471</stp>
        <tr r="H38" s="13"/>
        <tr r="F31" s="10"/>
      </tp>
      <tp t="e">
        <v>#N/A</v>
        <stp/>
        <stp>BDH|13894139000284669295</stp>
        <tr r="K21" s="14"/>
      </tp>
      <tp t="e">
        <v>#N/A</v>
        <stp/>
        <stp>BDH|13313723255275562057</stp>
        <tr r="U81" s="17"/>
      </tp>
      <tp t="e">
        <v>#N/A</v>
        <stp/>
        <stp>BDH|14838580873200477237</stp>
        <tr r="V70" s="12"/>
      </tp>
      <tp t="e">
        <v>#N/A</v>
        <stp/>
        <stp>BDH|14720024601387571752</stp>
        <tr r="F142" s="18"/>
      </tp>
      <tp t="e">
        <v>#N/A</v>
        <stp/>
        <stp>BDH|11786225754466319468</stp>
        <tr r="G75" s="34"/>
      </tp>
      <tp t="e">
        <v>#N/A</v>
        <stp/>
        <stp>BDH|12095023226907231320</stp>
        <tr r="I46" s="12"/>
      </tp>
      <tp t="e">
        <v>#N/A</v>
        <stp/>
        <stp>BDH|15627441637273856594</stp>
        <tr r="M81" s="12"/>
      </tp>
      <tp t="e">
        <v>#N/A</v>
        <stp/>
        <stp>BDH|16659759437990166613</stp>
        <tr r="H172" s="18"/>
      </tp>
      <tp t="e">
        <v>#N/A</v>
        <stp/>
        <stp>BDH|13257514103422048046</stp>
        <tr r="R75" s="18"/>
      </tp>
      <tp t="e">
        <v>#N/A</v>
        <stp/>
        <stp>BDH|10324680878361640412</stp>
        <tr r="L194" s="18"/>
      </tp>
      <tp t="e">
        <v>#N/A</v>
        <stp/>
        <stp>BDH|12339183845741334293</stp>
        <tr r="V62" s="34"/>
      </tp>
      <tp t="e">
        <v>#N/A</v>
        <stp/>
        <stp>BDH|10274447304913397356</stp>
        <tr r="E25" s="7"/>
      </tp>
      <tp t="e">
        <v>#N/A</v>
        <stp/>
        <stp>BDH|14831425448504647401</stp>
        <tr r="H100" s="12"/>
      </tp>
      <tp t="e">
        <v>#N/A</v>
        <stp/>
        <stp>BDH|16562610753113153227</stp>
        <tr r="Q9" s="17"/>
      </tp>
      <tp t="e">
        <v>#N/A</v>
        <stp/>
        <stp>BDH|10185448226525465736</stp>
        <tr r="X7" s="8"/>
      </tp>
      <tp t="e">
        <v>#N/A</v>
        <stp/>
        <stp>BDH|15642840448488903574</stp>
        <tr r="G27" s="26"/>
      </tp>
      <tp t="e">
        <v>#N/A</v>
        <stp/>
        <stp>BDH|15021241335085251572</stp>
        <tr r="V48" s="21"/>
      </tp>
      <tp t="e">
        <v>#N/A</v>
        <stp/>
        <stp>BDH|10257247793197733864</stp>
        <tr r="Z11" s="21"/>
      </tp>
      <tp t="e">
        <v>#N/A</v>
        <stp/>
        <stp>BDH|11511187289755007905</stp>
        <tr r="T10" s="24"/>
      </tp>
      <tp t="e">
        <v>#N/A</v>
        <stp/>
        <stp>BDH|17753426674368543800</stp>
        <tr r="C10" s="24"/>
      </tp>
      <tp t="e">
        <v>#N/A</v>
        <stp/>
        <stp>BDH|15475088628823832080</stp>
        <tr r="J18" s="12"/>
      </tp>
      <tp t="e">
        <v>#N/A</v>
        <stp/>
        <stp>BDH|17790671610947590323</stp>
        <tr r="R161" s="18"/>
      </tp>
      <tp t="e">
        <v>#N/A</v>
        <stp/>
        <stp>BDH|14658995950584180897</stp>
        <tr r="G23" s="12"/>
      </tp>
      <tp t="e">
        <v>#N/A</v>
        <stp/>
        <stp>BDH|14294266371973294605</stp>
        <tr r="Z88" s="24"/>
      </tp>
      <tp t="e">
        <v>#N/A</v>
        <stp/>
        <stp>BDH|12148073214237393065</stp>
        <tr r="L185" s="18"/>
      </tp>
      <tp t="e">
        <v>#N/A</v>
        <stp/>
        <stp>BDH|13126202514735595176</stp>
        <tr r="T27" s="34"/>
      </tp>
      <tp t="e">
        <v>#N/A</v>
        <stp/>
        <stp>BDH|15331475467801601226</stp>
        <tr r="K130" s="18"/>
      </tp>
      <tp t="e">
        <v>#N/A</v>
        <stp/>
        <stp>BDH|17426068804227332424</stp>
        <tr r="R26" s="29"/>
      </tp>
      <tp t="e">
        <v>#N/A</v>
        <stp/>
        <stp>BDH|15484765850754561703</stp>
        <tr r="J6" s="28"/>
      </tp>
      <tp t="e">
        <v>#N/A</v>
        <stp/>
        <stp>BDH|12845869412107944827</stp>
        <tr r="R25" s="5"/>
      </tp>
      <tp t="e">
        <v>#N/A</v>
        <stp/>
        <stp>BDH|13155196114174252398</stp>
        <tr r="T117" s="12"/>
      </tp>
      <tp t="e">
        <v>#N/A</v>
        <stp/>
        <stp>BDH|16354271016941701022</stp>
        <tr r="D49" s="4"/>
      </tp>
      <tp t="e">
        <v>#N/A</v>
        <stp/>
        <stp>BDH|17193585989067011973</stp>
        <tr r="X111" s="12"/>
      </tp>
      <tp t="e">
        <v>#N/A</v>
        <stp/>
        <stp>BDH|12339603076053782456</stp>
        <tr r="O126" s="12"/>
      </tp>
      <tp t="e">
        <v>#N/A</v>
        <stp/>
        <stp>BDH|14018195940706648389</stp>
        <tr r="L14" s="21"/>
      </tp>
      <tp t="e">
        <v>#N/A</v>
        <stp/>
        <stp>BDH|12206144634987713322</stp>
        <tr r="X27" s="14"/>
      </tp>
      <tp t="e">
        <v>#N/A</v>
        <stp/>
        <stp>BDH|16612724565830401323</stp>
        <tr r="Y89" s="18"/>
      </tp>
      <tp t="e">
        <v>#N/A</v>
        <stp/>
        <stp>BDH|10072463157630352559</stp>
        <tr r="S29" s="6"/>
      </tp>
      <tp t="e">
        <v>#N/A</v>
        <stp/>
        <stp>BDH|15171829377469078730</stp>
        <tr r="Y52" s="24"/>
      </tp>
      <tp t="e">
        <v>#N/A</v>
        <stp/>
        <stp>BDH|10040368276245107563</stp>
        <tr r="X34" s="29"/>
      </tp>
      <tp t="e">
        <v>#N/A</v>
        <stp/>
        <stp>BDH|12971657048775235118</stp>
        <tr r="I76" s="34"/>
      </tp>
      <tp t="e">
        <v>#N/A</v>
        <stp/>
        <stp>BDH|17337030511635379751</stp>
        <tr r="J14" s="12"/>
      </tp>
      <tp t="e">
        <v>#N/A</v>
        <stp/>
        <stp>BDH|16955665428723569552</stp>
        <tr r="P21" s="20"/>
      </tp>
      <tp t="e">
        <v>#N/A</v>
        <stp/>
        <stp>BDH|12824184562304773521</stp>
        <tr r="Y50" s="12"/>
      </tp>
      <tp t="e">
        <v>#N/A</v>
        <stp/>
        <stp>BDH|14408654330336415324</stp>
        <tr r="F19" s="20"/>
      </tp>
      <tp t="e">
        <v>#N/A</v>
        <stp/>
        <stp>BDH|12540105103795661272</stp>
        <tr r="V168" s="18"/>
      </tp>
      <tp t="e">
        <v>#N/A</v>
        <stp/>
        <stp>BDH|13531322766287798518</stp>
        <tr r="R138" s="18"/>
      </tp>
      <tp t="e">
        <v>#N/A</v>
        <stp/>
        <stp>BDH|15718574501136738215</stp>
        <tr r="Q58" s="12"/>
      </tp>
      <tp t="e">
        <v>#N/A</v>
        <stp/>
        <stp>BDH|16591806604548212249</stp>
        <tr r="V16" s="10"/>
      </tp>
      <tp t="e">
        <v>#N/A</v>
        <stp/>
        <stp>BDH|16621520167450478100</stp>
        <tr r="G6" s="15"/>
        <tr r="G6" s="10"/>
        <tr r="G11" s="4"/>
        <tr r="G12" s="2"/>
      </tp>
      <tp t="e">
        <v>#N/A</v>
        <stp/>
        <stp>BDH|14830108864865212293</stp>
        <tr r="I59" s="24"/>
      </tp>
      <tp t="e">
        <v>#N/A</v>
        <stp/>
        <stp>BDH|15025241165594661101</stp>
        <tr r="E22" s="14"/>
      </tp>
      <tp t="e">
        <v>#N/A</v>
        <stp/>
        <stp>BDH|17082718511800500529</stp>
        <tr r="M59" s="13"/>
      </tp>
      <tp t="e">
        <v>#N/A</v>
        <stp/>
        <stp>BDH|14661250770375363072</stp>
        <tr r="U37" s="29"/>
        <tr r="U23" s="29"/>
        <tr r="U14" s="29"/>
      </tp>
      <tp t="e">
        <v>#N/A</v>
        <stp/>
        <stp>BDH|15798834752675925989</stp>
        <tr r="T112" s="18"/>
      </tp>
      <tp t="e">
        <v>#N/A</v>
        <stp/>
        <stp>BDH|12191305758720681083</stp>
        <tr r="W34" s="6"/>
      </tp>
      <tp t="e">
        <v>#N/A</v>
        <stp/>
        <stp>BDH|13765588663211884534</stp>
        <tr r="M84" s="18"/>
      </tp>
      <tp t="e">
        <v>#N/A</v>
        <stp/>
        <stp>BDH|15188167836962367150</stp>
        <tr r="D25" s="14"/>
      </tp>
      <tp t="e">
        <v>#N/A</v>
        <stp/>
        <stp>BDH|16449187301815252689</stp>
        <tr r="Z208" s="18"/>
      </tp>
      <tp t="e">
        <v>#N/A</v>
        <stp/>
        <stp>BDH|17584602153543518349</stp>
        <tr r="S34" s="14"/>
      </tp>
      <tp t="e">
        <v>#N/A</v>
        <stp/>
        <stp>BDH|15225204600197682438</stp>
        <tr r="N88" s="12"/>
      </tp>
      <tp t="e">
        <v>#N/A</v>
        <stp/>
        <stp>BDH|15071360535996417708</stp>
        <tr r="D64" s="11"/>
        <tr r="D73" s="10"/>
      </tp>
      <tp t="e">
        <v>#N/A</v>
        <stp/>
        <stp>BDH|18390406766227625948</stp>
        <tr r="J97" s="12"/>
      </tp>
      <tp t="e">
        <v>#N/A</v>
        <stp/>
        <stp>BDH|11726760422393218367</stp>
        <tr r="P6" s="27"/>
      </tp>
      <tp t="e">
        <v>#N/A</v>
        <stp/>
        <stp>BDH|13227123392108709726</stp>
        <tr r="AA200" s="18"/>
      </tp>
      <tp t="e">
        <v>#N/A</v>
        <stp/>
        <stp>BDH|11204633530213215346</stp>
        <tr r="H187" s="18"/>
      </tp>
      <tp t="e">
        <v>#N/A</v>
        <stp/>
        <stp>BDH|10481769023363521236</stp>
        <tr r="X11" s="20"/>
        <tr r="X120" s="18"/>
      </tp>
      <tp t="e">
        <v>#N/A</v>
        <stp/>
        <stp>BDH|10803422672516807171</stp>
        <tr r="K61" s="13"/>
        <tr r="I48" s="11"/>
        <tr r="I57" s="10"/>
        <tr r="I18" s="7"/>
      </tp>
      <tp t="e">
        <v>#N/A</v>
        <stp/>
        <stp>BDH|16469844891357028466</stp>
        <tr r="R95" s="12"/>
      </tp>
      <tp t="e">
        <v>#N/A</v>
        <stp/>
        <stp>BDH|17016733614602547755</stp>
        <tr r="AA45" s="22"/>
      </tp>
      <tp t="e">
        <v>#N/A</v>
        <stp/>
        <stp>BDH|10937436059370617523</stp>
        <tr r="X70" s="24"/>
      </tp>
      <tp t="e">
        <v>#N/A</v>
        <stp/>
        <stp>BDH|15257738108881789799</stp>
        <tr r="T30" s="12"/>
      </tp>
      <tp t="e">
        <v>#N/A</v>
        <stp/>
        <stp>BDH|15817254951716248092</stp>
        <tr r="L12" s="13"/>
      </tp>
      <tp t="e">
        <v>#N/A</v>
        <stp/>
        <stp>BDH|15200917679389973658</stp>
        <tr r="S8" s="8"/>
      </tp>
      <tp t="e">
        <v>#N/A</v>
        <stp/>
        <stp>BDH|15566709345037428526</stp>
        <tr r="W107" s="12"/>
      </tp>
      <tp t="e">
        <v>#N/A</v>
        <stp/>
        <stp>BDH|18416911983364813989</stp>
        <tr r="I92" s="18"/>
      </tp>
      <tp t="e">
        <v>#N/A</v>
        <stp/>
        <stp>BDH|15719132182899876187</stp>
        <tr r="E175" s="18"/>
      </tp>
      <tp t="e">
        <v>#N/A</v>
        <stp/>
        <stp>BDH|18206614691005287667</stp>
        <tr r="F139" s="18"/>
      </tp>
      <tp t="e">
        <v>#N/A</v>
        <stp/>
        <stp>BDH|15170371775037195244</stp>
        <tr r="J22" s="7"/>
      </tp>
      <tp t="e">
        <v>#N/A</v>
        <stp/>
        <stp>BDH|12048754810800230010</stp>
        <tr r="S40" s="17"/>
      </tp>
      <tp t="e">
        <v>#N/A</v>
        <stp/>
        <stp>BDH|12320581679497355378</stp>
        <tr r="T39" s="13"/>
        <tr r="R32" s="10"/>
      </tp>
      <tp t="e">
        <v>#N/A</v>
        <stp/>
        <stp>BDH|13396304103513061764</stp>
        <tr r="U59" s="12"/>
      </tp>
      <tp t="e">
        <v>#N/A</v>
        <stp/>
        <stp>BDH|14188164974457724120</stp>
        <tr r="O62" s="24"/>
      </tp>
      <tp t="e">
        <v>#N/A</v>
        <stp/>
        <stp>BDH|17741160850820266753</stp>
        <tr r="C25" s="7"/>
      </tp>
      <tp t="e">
        <v>#N/A</v>
        <stp/>
        <stp>BDH|12651789918744043406</stp>
        <tr r="Q55" s="24"/>
      </tp>
      <tp t="e">
        <v>#N/A</v>
        <stp/>
        <stp>BDH|15372315097542471979</stp>
        <tr r="V67" s="34"/>
      </tp>
      <tp t="e">
        <v>#N/A</v>
        <stp/>
        <stp>BDH|12103784091059796194</stp>
        <tr r="C19" s="26"/>
      </tp>
      <tp t="e">
        <v>#N/A</v>
        <stp/>
        <stp>BDH|18012861715626375368</stp>
        <tr r="M52" s="18"/>
      </tp>
      <tp t="e">
        <v>#N/A</v>
        <stp/>
        <stp>BDH|14728703260848900981</stp>
        <tr r="M64" s="12"/>
      </tp>
      <tp t="e">
        <v>#N/A</v>
        <stp/>
        <stp>BDH|16732465632833343662</stp>
        <tr r="Y36" s="34"/>
      </tp>
      <tp t="e">
        <v>#N/A</v>
        <stp/>
        <stp>BDH|14720556066842443160</stp>
        <tr r="Q92" s="12"/>
      </tp>
      <tp t="e">
        <v>#N/A</v>
        <stp/>
        <stp>BDH|11752737224723683305</stp>
        <tr r="V18" s="10"/>
      </tp>
      <tp t="e">
        <v>#N/A</v>
        <stp/>
        <stp>BDH|12400613550792193722</stp>
        <tr r="C57" s="34"/>
      </tp>
      <tp t="e">
        <v>#N/A</v>
        <stp/>
        <stp>BDH|14427659942791318362</stp>
        <tr r="S94" s="18"/>
      </tp>
      <tp t="e">
        <v>#N/A</v>
        <stp/>
        <stp>BDH|15910921095675198490</stp>
        <tr r="Y18" s="14"/>
      </tp>
      <tp t="e">
        <v>#N/A</v>
        <stp/>
        <stp>BDH|10239675621821716150</stp>
        <tr r="I14" s="11"/>
      </tp>
      <tp t="e">
        <v>#N/A</v>
        <stp/>
        <stp>BDH|13761661280819390049</stp>
        <tr r="D37" s="25"/>
        <tr r="D59" s="21"/>
      </tp>
      <tp t="e">
        <v>#N/A</v>
        <stp/>
        <stp>BDH|14488219083808067201</stp>
        <tr r="U9" s="21"/>
      </tp>
      <tp t="e">
        <v>#N/A</v>
        <stp/>
        <stp>BDH|11740235063675700469</stp>
        <tr r="H18" s="10"/>
      </tp>
      <tp t="e">
        <v>#N/A</v>
        <stp/>
        <stp>BDH|17696645703630753501</stp>
        <tr r="N10" s="14"/>
      </tp>
      <tp t="e">
        <v>#N/A</v>
        <stp/>
        <stp>BDH|11825710549476721019</stp>
        <tr r="J88" s="17"/>
      </tp>
      <tp t="e">
        <v>#N/A</v>
        <stp/>
        <stp>BDH|12103015864617379719</stp>
        <tr r="S34" s="18"/>
      </tp>
      <tp t="e">
        <v>#N/A</v>
        <stp/>
        <stp>BDH|16109232823921441332</stp>
        <tr r="P36" s="34"/>
      </tp>
      <tp t="e">
        <v>#N/A</v>
        <stp/>
        <stp>BDH|11693072704461328401</stp>
        <tr r="P14" s="11"/>
      </tp>
      <tp t="e">
        <v>#N/A</v>
        <stp/>
        <stp>BDH|11932536175871920603</stp>
        <tr r="D140" s="18"/>
      </tp>
      <tp t="e">
        <v>#N/A</v>
        <stp/>
        <stp>BDH|14065717068721620098</stp>
        <tr r="H110" s="18"/>
      </tp>
      <tp t="e">
        <v>#N/A</v>
        <stp/>
        <stp>BDH|10059802066162344831</stp>
        <tr r="S51" s="18"/>
      </tp>
      <tp t="e">
        <v>#N/A</v>
        <stp/>
        <stp>BDH|11003779216865742606</stp>
        <tr r="X8" s="10"/>
      </tp>
      <tp t="e">
        <v>#N/A</v>
        <stp/>
        <stp>BDH|16640366002724435505</stp>
        <tr r="J36" s="13"/>
        <tr r="H29" s="10"/>
      </tp>
      <tp t="e">
        <v>#N/A</v>
        <stp/>
        <stp>BDH|17102869493871431361</stp>
        <tr r="K50" s="21"/>
      </tp>
      <tp t="e">
        <v>#N/A</v>
        <stp/>
        <stp>BDH|18119026277158532377</stp>
        <tr r="J55" s="11"/>
      </tp>
      <tp t="e">
        <v>#N/A</v>
        <stp/>
        <stp>BDH|10757686740840800619</stp>
        <tr r="L73" s="24"/>
      </tp>
      <tp t="e">
        <v>#N/A</v>
        <stp/>
        <stp>BDH|18171410787079835996</stp>
        <tr r="W28" s="21"/>
      </tp>
      <tp t="e">
        <v>#N/A</v>
        <stp/>
        <stp>BDH|12762081762562855235</stp>
        <tr r="D46" s="21"/>
      </tp>
      <tp t="e">
        <v>#N/A</v>
        <stp/>
        <stp>BDH|13719656171940691636</stp>
        <tr r="Q109" s="12"/>
      </tp>
      <tp t="e">
        <v>#N/A</v>
        <stp/>
        <stp>BDH|15983101179385522239</stp>
        <tr r="S75" s="12"/>
      </tp>
      <tp t="e">
        <v>#N/A</v>
        <stp/>
        <stp>BDH|12631084954006923554</stp>
        <tr r="O185" s="18"/>
      </tp>
      <tp t="e">
        <v>#N/A</v>
        <stp/>
        <stp>BDH|15558033704512734331</stp>
        <tr r="W28" s="34"/>
      </tp>
      <tp t="e">
        <v>#N/A</v>
        <stp/>
        <stp>BDH|17107855885454057774</stp>
        <tr r="G10" s="26"/>
      </tp>
      <tp t="e">
        <v>#N/A</v>
        <stp/>
        <stp>BDH|16078168952857168131</stp>
        <tr r="X199" s="18"/>
      </tp>
      <tp t="e">
        <v>#N/A</v>
        <stp/>
        <stp>BDH|13168121971772220362</stp>
        <tr r="E33" s="21"/>
      </tp>
      <tp t="e">
        <v>#N/A</v>
        <stp/>
        <stp>BDH|17460835299353150192</stp>
        <tr r="P31" s="26"/>
        <tr r="M14" s="9"/>
      </tp>
      <tp t="e">
        <v>#N/A</v>
        <stp/>
        <stp>BDH|14440123763022267516</stp>
        <tr r="R33" s="13"/>
        <tr r="P26" s="10"/>
      </tp>
      <tp t="e">
        <v>#N/A</v>
        <stp/>
        <stp>BDH|11400067903167157265</stp>
        <tr r="W21" s="24"/>
      </tp>
      <tp t="e">
        <v>#N/A</v>
        <stp/>
        <stp>BDH|16405626025352556406</stp>
        <tr r="H11" s="29"/>
      </tp>
      <tp t="e">
        <v>#N/A</v>
        <stp/>
        <stp>BDH|10335876481253606751</stp>
        <tr r="V195" s="18"/>
      </tp>
      <tp t="e">
        <v>#N/A</v>
        <stp/>
        <stp>BDH|13642136805272303455</stp>
        <tr r="W7" s="24"/>
      </tp>
      <tp t="e">
        <v>#N/A</v>
        <stp/>
        <stp>BDH|12776276395655559867</stp>
        <tr r="C113" s="18"/>
      </tp>
      <tp t="e">
        <v>#N/A</v>
        <stp/>
        <stp>BDH|10409720745247547002</stp>
        <tr r="O114" s="18"/>
      </tp>
      <tp t="e">
        <v>#N/A</v>
        <stp/>
        <stp>BDH|14200326323739725827</stp>
        <tr r="X109" s="12"/>
      </tp>
      <tp t="e">
        <v>#N/A</v>
        <stp/>
        <stp>BDH|13638165677118988974</stp>
        <tr r="U52" s="18"/>
      </tp>
      <tp t="e">
        <v>#N/A</v>
        <stp/>
        <stp>BDH|15694324755141166691</stp>
        <tr r="F35" s="22"/>
      </tp>
      <tp t="e">
        <v>#N/A</v>
        <stp/>
        <stp>BDH|15828543456595566469</stp>
        <tr r="X68" s="18"/>
      </tp>
      <tp t="e">
        <v>#N/A</v>
        <stp/>
        <stp>BDH|18412352599883427553</stp>
        <tr r="X46" s="13"/>
      </tp>
      <tp t="e">
        <v>#N/A</v>
        <stp/>
        <stp>BDH|12899683629037001503</stp>
        <tr r="F28" s="26"/>
      </tp>
      <tp t="e">
        <v>#N/A</v>
        <stp/>
        <stp>BDH|12281101772216107682</stp>
        <tr r="G32" s="13"/>
        <tr r="E24" s="11"/>
        <tr r="E33" s="10"/>
        <tr r="E45" s="4"/>
      </tp>
      <tp t="e">
        <v>#N/A</v>
        <stp/>
        <stp>BDH|15655639507330340782</stp>
        <tr r="K193" s="18"/>
      </tp>
      <tp t="e">
        <v>#N/A</v>
        <stp/>
        <stp>BDH|16604778095789474590</stp>
        <tr r="S32" s="18"/>
      </tp>
      <tp t="e">
        <v>#N/A</v>
        <stp/>
        <stp>BDH|12106978549448161372</stp>
        <tr r="P29" s="6"/>
      </tp>
      <tp t="e">
        <v>#N/A</v>
        <stp/>
        <stp>BDH|12357974032078900469</stp>
        <tr r="Z56" s="34"/>
      </tp>
      <tp t="e">
        <v>#N/A</v>
        <stp/>
        <stp>BDH|16079529179465765553</stp>
        <tr r="F33" s="34"/>
      </tp>
      <tp t="e">
        <v>#N/A</v>
        <stp/>
        <stp>BDH|10377889460062701851</stp>
        <tr r="R35" s="14"/>
      </tp>
      <tp t="e">
        <v>#N/A</v>
        <stp/>
        <stp>BDH|12212285147643553318</stp>
        <tr r="R118" s="12"/>
      </tp>
      <tp t="e">
        <v>#N/A</v>
        <stp/>
        <stp>BDH|11992257620555523006</stp>
        <tr r="Y25" s="17"/>
      </tp>
      <tp t="e">
        <v>#N/A</v>
        <stp/>
        <stp>BDH|13687284945821437069</stp>
        <tr r="I86" s="24"/>
      </tp>
      <tp t="e">
        <v>#N/A</v>
        <stp/>
        <stp>BDH|10272348421416650380</stp>
        <tr r="P8" s="24"/>
      </tp>
      <tp t="e">
        <v>#N/A</v>
        <stp/>
        <stp>BDH|11485446833755277782</stp>
        <tr r="K91" s="17"/>
      </tp>
      <tp t="e">
        <v>#N/A</v>
        <stp/>
        <stp>BDH|14777817961707930978</stp>
        <tr r="C67" s="13"/>
      </tp>
      <tp t="e">
        <v>#N/A</v>
        <stp/>
        <stp>BDH|16153302284918801142</stp>
        <tr r="R84" s="18"/>
      </tp>
      <tp t="e">
        <v>#N/A</v>
        <stp/>
        <stp>BDH|16374282904590184074</stp>
        <tr r="H52" s="18"/>
      </tp>
      <tp t="e">
        <v>#N/A</v>
        <stp/>
        <stp>BDH|18122124041989808033</stp>
        <tr r="J56" s="17"/>
      </tp>
      <tp t="e">
        <v>#N/A</v>
        <stp/>
        <stp>BDH|17872110161464229032</stp>
        <tr r="W59" s="18"/>
      </tp>
      <tp t="e">
        <v>#N/A</v>
        <stp/>
        <stp>BDH|12526463609083317103</stp>
        <tr r="F35" s="14"/>
      </tp>
      <tp t="e">
        <v>#N/A</v>
        <stp/>
        <stp>BDH|17615447339585151135</stp>
        <tr r="I9" s="26"/>
      </tp>
      <tp t="e">
        <v>#N/A</v>
        <stp/>
        <stp>BDH|14760610120326748282</stp>
        <tr r="V15" s="21"/>
      </tp>
      <tp t="e">
        <v>#N/A</v>
        <stp/>
        <stp>BDH|13121397335060210767</stp>
        <tr r="W41" s="11"/>
        <tr r="W50" s="10"/>
        <tr r="W8" s="7"/>
        <tr r="Y11" s="3"/>
      </tp>
      <tp t="e">
        <v>#N/A</v>
        <stp/>
        <stp>BDH|15565379073895945011</stp>
        <tr r="H19" s="30"/>
      </tp>
      <tp t="e">
        <v>#N/A</v>
        <stp/>
        <stp>BDH|18366600627279531185</stp>
        <tr r="Z23" s="20"/>
      </tp>
      <tp t="e">
        <v>#N/A</v>
        <stp/>
        <stp>BDH|15597697523135080065</stp>
        <tr r="I34" s="14"/>
      </tp>
      <tp t="e">
        <v>#N/A</v>
        <stp/>
        <stp>BDH|13679416511420703284</stp>
        <tr r="G67" s="21"/>
      </tp>
      <tp t="e">
        <v>#N/A</v>
        <stp/>
        <stp>BDH|17729081953371081759</stp>
        <tr r="S59" s="12"/>
      </tp>
      <tp t="e">
        <v>#N/A</v>
        <stp/>
        <stp>BDH|10592339246864106789</stp>
        <tr r="Q8" s="8"/>
      </tp>
      <tp t="e">
        <v>#N/A</v>
        <stp/>
        <stp>BDH|15016198427956027473</stp>
        <tr r="E74" s="18"/>
      </tp>
      <tp t="e">
        <v>#N/A</v>
        <stp/>
        <stp>BDH|17726344367120807656</stp>
        <tr r="U14" s="11"/>
      </tp>
      <tp t="e">
        <v>#N/A</v>
        <stp/>
        <stp>BDH|17674892491283406137</stp>
        <tr r="H39" s="26"/>
      </tp>
      <tp t="e">
        <v>#N/A</v>
        <stp/>
        <stp>BDH|15204456989575323841</stp>
        <tr r="K80" s="12"/>
      </tp>
      <tp t="e">
        <v>#N/A</v>
        <stp/>
        <stp>BDH|17456250588381158813</stp>
        <tr r="R45" s="34"/>
      </tp>
      <tp t="e">
        <v>#N/A</v>
        <stp/>
        <stp>BDH|16917716728413038497</stp>
        <tr r="O81" s="24"/>
      </tp>
      <tp t="e">
        <v>#N/A</v>
        <stp/>
        <stp>BDH|11228697126608322976</stp>
        <tr r="M18" s="23"/>
      </tp>
      <tp t="e">
        <v>#N/A</v>
        <stp/>
        <stp>BDH|14683994905250684951</stp>
        <tr r="O13" s="30"/>
      </tp>
      <tp t="e">
        <v>#N/A</v>
        <stp/>
        <stp>BDH|16110575979306769616</stp>
        <tr r="S35" s="17"/>
      </tp>
      <tp t="e">
        <v>#N/A</v>
        <stp/>
        <stp>BDH|11495617137346998622</stp>
        <tr r="J13" s="8"/>
      </tp>
      <tp t="e">
        <v>#N/A</v>
        <stp/>
        <stp>BDH|13013500315416507593</stp>
        <tr r="E30" s="11"/>
        <tr r="E39" s="10"/>
      </tp>
      <tp t="e">
        <v>#N/A</v>
        <stp/>
        <stp>BDH|13239809708219769648</stp>
        <tr r="N43" s="21"/>
      </tp>
      <tp t="e">
        <v>#N/A</v>
        <stp/>
        <stp>BDH|13777417477714122093</stp>
        <tr r="H56" s="12"/>
      </tp>
      <tp t="e">
        <v>#N/A</v>
        <stp/>
        <stp>BDH|16246645854598277995</stp>
        <tr r="V16" s="11"/>
      </tp>
      <tp t="e">
        <v>#N/A</v>
        <stp/>
        <stp>BDH|14791119530823875179</stp>
        <tr r="K83" s="12"/>
      </tp>
      <tp t="e">
        <v>#N/A</v>
        <stp/>
        <stp>BDH|14225705611267800120</stp>
        <tr r="E67" s="10"/>
      </tp>
      <tp t="e">
        <v>#N/A</v>
        <stp/>
        <stp>BDH|11021787406557506525</stp>
        <tr r="S19" s="10"/>
      </tp>
      <tp t="e">
        <v>#N/A</v>
        <stp/>
        <stp>BDH|14892414454840414100</stp>
        <tr r="N31" s="24"/>
      </tp>
      <tp t="e">
        <v>#N/A</v>
        <stp/>
        <stp>BDH|14312584433482924498</stp>
        <tr r="Y57" s="17"/>
      </tp>
      <tp t="e">
        <v>#N/A</v>
        <stp/>
        <stp>BDH|14957779714991599777</stp>
        <tr r="Z32" s="26"/>
      </tp>
      <tp t="e">
        <v>#N/A</v>
        <stp/>
        <stp>BDH|16566273790331242889</stp>
        <tr r="Q10" s="25"/>
        <tr r="Q55" s="17"/>
      </tp>
      <tp t="e">
        <v>#N/A</v>
        <stp/>
        <stp>BDH|11657381333457632238</stp>
        <tr r="J32" s="22"/>
      </tp>
      <tp t="e">
        <v>#N/A</v>
        <stp/>
        <stp>BDH|10941817394942504711</stp>
        <tr r="W81" s="24"/>
      </tp>
      <tp t="e">
        <v>#N/A</v>
        <stp/>
        <stp>BDH|17106187151846158110</stp>
        <tr r="O16" s="10"/>
      </tp>
      <tp t="e">
        <v>#N/A</v>
        <stp/>
        <stp>BDH|14474394409062893140</stp>
        <tr r="J6" s="16"/>
        <tr r="K6" s="11"/>
        <tr r="K10" s="4"/>
        <tr r="M6" s="3"/>
      </tp>
      <tp t="e">
        <v>#N/A</v>
        <stp/>
        <stp>BDH|16851140168137566298</stp>
        <tr r="O15" s="4"/>
      </tp>
      <tp t="e">
        <v>#N/A</v>
        <stp/>
        <stp>BDH|16655094593388098341</stp>
        <tr r="U51" s="24"/>
      </tp>
      <tp t="e">
        <v>#N/A</v>
        <stp/>
        <stp>BDH|13841655094151327928</stp>
        <tr r="V20" s="25"/>
      </tp>
      <tp t="e">
        <v>#N/A</v>
        <stp/>
        <stp>BDH|12746288057472429343</stp>
        <tr r="O32" s="24"/>
      </tp>
      <tp t="e">
        <v>#N/A</v>
        <stp/>
        <stp>BDH|12760737107088391980</stp>
        <tr r="K12" s="21"/>
      </tp>
      <tp t="e">
        <v>#N/A</v>
        <stp/>
        <stp>BDH|13270289147008619930</stp>
        <tr r="V7" s="17"/>
      </tp>
      <tp t="e">
        <v>#N/A</v>
        <stp/>
        <stp>BDH|11998184579130739370</stp>
        <tr r="N163" s="18"/>
      </tp>
      <tp t="e">
        <v>#N/A</v>
        <stp/>
        <stp>BDH|15909577649305899572</stp>
        <tr r="L17" s="22"/>
      </tp>
      <tp t="e">
        <v>#N/A</v>
        <stp/>
        <stp>BDH|13025907118416366938</stp>
        <tr r="W24" s="27"/>
      </tp>
      <tp t="e">
        <v>#N/A</v>
        <stp/>
        <stp>BDH|11273478125336119593</stp>
        <tr r="J22" s="24"/>
      </tp>
      <tp t="e">
        <v>#N/A</v>
        <stp/>
        <stp>BDH|13756211033890558687</stp>
        <tr r="H10" s="11"/>
      </tp>
      <tp t="e">
        <v>#N/A</v>
        <stp/>
        <stp>BDH|12827394143759863829</stp>
        <tr r="F175" s="18"/>
      </tp>
      <tp t="e">
        <v>#N/A</v>
        <stp/>
        <stp>BDH|11403387072928233943</stp>
        <tr r="W98" s="18"/>
      </tp>
      <tp t="e">
        <v>#N/A</v>
        <stp/>
        <stp>BDH|16797839168255441908</stp>
        <tr r="Q41" s="12"/>
      </tp>
      <tp t="e">
        <v>#N/A</v>
        <stp/>
        <stp>BDH|11293133202067912326</stp>
        <tr r="C28" s="34"/>
      </tp>
      <tp t="e">
        <v>#N/A</v>
        <stp/>
        <stp>BDH|11975038353044822490</stp>
        <tr r="R67" s="21"/>
      </tp>
      <tp t="e">
        <v>#N/A</v>
        <stp/>
        <stp>BDH|12450147710100965618</stp>
        <tr r="W22" s="6"/>
      </tp>
      <tp t="e">
        <v>#N/A</v>
        <stp/>
        <stp>BDH|11276596105456545632</stp>
        <tr r="V172" s="18"/>
      </tp>
      <tp t="e">
        <v>#N/A</v>
        <stp/>
        <stp>BDH|10069534202099966806</stp>
        <tr r="Z27" s="14"/>
      </tp>
      <tp t="e">
        <v>#N/A</v>
        <stp/>
        <stp>BDH|14844425649137271795</stp>
        <tr r="M47" s="24"/>
      </tp>
      <tp t="e">
        <v>#N/A</v>
        <stp/>
        <stp>BDH|14026754825777075287</stp>
        <tr r="K14" s="18"/>
      </tp>
      <tp t="e">
        <v>#N/A</v>
        <stp/>
        <stp>BDH|13388147674816864730</stp>
        <tr r="T44" s="11"/>
        <tr r="T53" s="10"/>
        <tr r="T16" s="7"/>
      </tp>
      <tp t="e">
        <v>#N/A</v>
        <stp/>
        <stp>BDH|15409951505591512994</stp>
        <tr r="V38" s="13"/>
        <tr r="T31" s="10"/>
      </tp>
      <tp t="e">
        <v>#N/A</v>
        <stp/>
        <stp>BDH|13145744910035966446</stp>
        <tr r="J31" s="12"/>
      </tp>
      <tp t="e">
        <v>#N/A</v>
        <stp/>
        <stp>BDH|12127345033007710196</stp>
        <tr r="C178" s="18"/>
      </tp>
      <tp t="e">
        <v>#N/A</v>
        <stp/>
        <stp>BDH|13756275781625922804</stp>
        <tr r="J47" s="24"/>
      </tp>
      <tp t="e">
        <v>#N/A</v>
        <stp/>
        <stp>BDH|15907497465320841350</stp>
        <tr r="C52" s="17"/>
      </tp>
      <tp t="e">
        <v>#N/A</v>
        <stp/>
        <stp>BDH|14935824986628243872</stp>
        <tr r="E23" s="13"/>
      </tp>
      <tp t="e">
        <v>#N/A</v>
        <stp/>
        <stp>BDH|12457356140588170986</stp>
        <tr r="L22" s="4"/>
      </tp>
      <tp t="e">
        <v>#N/A</v>
        <stp/>
        <stp>BDH|13819394821277902110</stp>
        <tr r="Z17" s="23"/>
      </tp>
      <tp t="e">
        <v>#N/A</v>
        <stp/>
        <stp>BDH|17998260213832072240</stp>
        <tr r="H36" s="22"/>
      </tp>
      <tp t="e">
        <v>#N/A</v>
        <stp/>
        <stp>BDH|13163360039001665606</stp>
        <tr r="N21" s="18"/>
      </tp>
      <tp t="e">
        <v>#N/A</v>
        <stp/>
        <stp>BDH|16624280677756176104</stp>
        <tr r="AA16" s="23"/>
      </tp>
      <tp t="e">
        <v>#N/A</v>
        <stp/>
        <stp>BDH|14913315965056157344</stp>
        <tr r="F39" s="6"/>
      </tp>
      <tp t="e">
        <v>#N/A</v>
        <stp/>
        <stp>BDH|17433231839285329757</stp>
        <tr r="U155" s="18"/>
      </tp>
      <tp t="e">
        <v>#N/A</v>
        <stp/>
        <stp>BDH|17054042634219823902</stp>
        <tr r="W77" s="18"/>
      </tp>
      <tp t="e">
        <v>#N/A</v>
        <stp/>
        <stp>BDH|18431372752749132380</stp>
        <tr r="AA67" s="34"/>
      </tp>
      <tp t="e">
        <v>#N/A</v>
        <stp/>
        <stp>BDH|17800439310796334009</stp>
        <tr r="M200" s="18"/>
      </tp>
      <tp t="e">
        <v>#N/A</v>
        <stp/>
        <stp>BDH|12373176902194919375</stp>
        <tr r="Q55" s="18"/>
      </tp>
      <tp t="e">
        <v>#N/A</v>
        <stp/>
        <stp>BDH|17984966970788697514</stp>
        <tr r="Q38" s="24"/>
      </tp>
      <tp t="e">
        <v>#N/A</v>
        <stp/>
        <stp>BDH|14599623362403945371</stp>
        <tr r="K62" s="17"/>
      </tp>
      <tp t="e">
        <v>#N/A</v>
        <stp/>
        <stp>BDH|14279790491807725966</stp>
        <tr r="J26" s="18"/>
      </tp>
      <tp t="e">
        <v>#N/A</v>
        <stp/>
        <stp>BDH|14155525356651987174</stp>
        <tr r="E45" s="22"/>
      </tp>
      <tp t="e">
        <v>#N/A</v>
        <stp/>
        <stp>BDH|13168880574819743112</stp>
        <tr r="W72" s="18"/>
      </tp>
      <tp t="e">
        <v>#N/A</v>
        <stp/>
        <stp>BDH|16140092638074991527</stp>
        <tr r="C161" s="18"/>
      </tp>
      <tp t="e">
        <v>#N/A</v>
        <stp/>
        <stp>BDH|14094556233926481091</stp>
        <tr r="H207" s="18"/>
      </tp>
      <tp t="e">
        <v>#N/A</v>
        <stp/>
        <stp>BDH|16306896163028082421</stp>
        <tr r="N11" s="20"/>
        <tr r="N120" s="18"/>
      </tp>
      <tp t="e">
        <v>#N/A</v>
        <stp/>
        <stp>BDH|11070045026261877618</stp>
        <tr r="K30" s="29"/>
        <tr r="K8" s="29"/>
      </tp>
      <tp t="e">
        <v>#N/A</v>
        <stp/>
        <stp>BDH|10520073021164985217</stp>
        <tr r="N58" s="13"/>
        <tr r="L47" s="11"/>
        <tr r="L56" s="10"/>
        <tr r="L17" s="7"/>
        <tr r="L17" s="4"/>
        <tr r="N10" s="3"/>
      </tp>
      <tp t="e">
        <v>#N/A</v>
        <stp/>
        <stp>BDH|18414785928241914869</stp>
        <tr r="O14" s="11"/>
      </tp>
      <tp t="e">
        <v>#N/A</v>
        <stp/>
        <stp>BDH|15097457177495827716</stp>
        <tr r="E46" s="17"/>
      </tp>
      <tp t="e">
        <v>#N/A</v>
        <stp/>
        <stp>BDH|10892983891355855122</stp>
        <tr r="N44" s="24"/>
      </tp>
      <tp t="e">
        <v>#N/A</v>
        <stp/>
        <stp>BDH|17535611958259773909</stp>
        <tr r="I11" s="14"/>
      </tp>
      <tp t="e">
        <v>#N/A</v>
        <stp/>
        <stp>BDH|15130262355541131789</stp>
        <tr r="X27" s="22"/>
      </tp>
      <tp t="e">
        <v>#N/A</v>
        <stp/>
        <stp>BDH|16221207230807140487</stp>
        <tr r="C128" s="18"/>
      </tp>
      <tp t="e">
        <v>#N/A</v>
        <stp/>
        <stp>BDH|17392244865270870715</stp>
        <tr r="V44" s="18"/>
      </tp>
      <tp t="e">
        <v>#N/A</v>
        <stp/>
        <stp>BDH|10679935696800960411</stp>
        <tr r="H11" s="17"/>
      </tp>
      <tp t="e">
        <v>#N/A</v>
        <stp/>
        <stp>BDH|10368243520946943255</stp>
        <tr r="Y44" s="18"/>
      </tp>
      <tp t="e">
        <v>#N/A</v>
        <stp/>
        <stp>BDH|17216138879636140327</stp>
        <tr r="V47" s="13"/>
      </tp>
      <tp t="e">
        <v>#N/A</v>
        <stp/>
        <stp>BDH|12570078267062898265</stp>
        <tr r="AA63" s="12"/>
      </tp>
      <tp t="e">
        <v>#N/A</v>
        <stp/>
        <stp>BDH|14644096152701322454</stp>
        <tr r="Y16" s="21"/>
      </tp>
      <tp t="e">
        <v>#N/A</v>
        <stp/>
        <stp>BDH|12694322501864791199</stp>
        <tr r="N82" s="12"/>
      </tp>
      <tp t="e">
        <v>#N/A</v>
        <stp/>
        <stp>BDH|10941573530502147045</stp>
        <tr r="R10" s="8"/>
        <tr r="P53" s="6"/>
      </tp>
      <tp t="e">
        <v>#N/A</v>
        <stp/>
        <stp>BDH|13079086669723221286</stp>
        <tr r="I79" s="12"/>
      </tp>
      <tp t="e">
        <v>#N/A</v>
        <stp/>
        <stp>BDH|11245895377292511820</stp>
        <tr r="O27" s="18"/>
      </tp>
      <tp t="e">
        <v>#N/A</v>
        <stp/>
        <stp>BDH|14956301565400421530</stp>
        <tr r="L199" s="18"/>
      </tp>
      <tp t="e">
        <v>#N/A</v>
        <stp/>
        <stp>BDH|18087265781246568098</stp>
        <tr r="M50" s="4"/>
      </tp>
      <tp t="e">
        <v>#N/A</v>
        <stp/>
        <stp>BDH|12066472224684106493</stp>
        <tr r="O36" s="4"/>
      </tp>
      <tp t="e">
        <v>#N/A</v>
        <stp/>
        <stp>BDH|13564691590561572924</stp>
        <tr r="S83" s="18"/>
      </tp>
      <tp t="e">
        <v>#N/A</v>
        <stp/>
        <stp>BDH|13694698545665077011</stp>
        <tr r="K65" s="24"/>
      </tp>
      <tp t="e">
        <v>#N/A</v>
        <stp/>
        <stp>BDH|15250757201432967440</stp>
        <tr r="AA16" s="24"/>
      </tp>
      <tp t="e">
        <v>#N/A</v>
        <stp/>
        <stp>BDH|15509669968529041808</stp>
        <tr r="U84" s="18"/>
      </tp>
      <tp t="e">
        <v>#N/A</v>
        <stp/>
        <stp>BDH|11075152512787842241</stp>
        <tr r="R11" s="24"/>
      </tp>
      <tp t="e">
        <v>#N/A</v>
        <stp/>
        <stp>BDH|10789641028725500558</stp>
        <tr r="J161" s="18"/>
      </tp>
      <tp t="e">
        <v>#N/A</v>
        <stp/>
        <stp>BDH|15927908057998653533</stp>
        <tr r="S87" s="24"/>
      </tp>
      <tp t="e">
        <v>#N/A</v>
        <stp/>
        <stp>BDH|15513635898737443912</stp>
        <tr r="Z15" s="25"/>
      </tp>
      <tp t="e">
        <v>#N/A</v>
        <stp/>
        <stp>BDH|17904856245707462862</stp>
        <tr r="H14" s="10"/>
      </tp>
      <tp t="e">
        <v>#N/A</v>
        <stp/>
        <stp>BDH|17267297826562689109</stp>
        <tr r="L21" s="11"/>
      </tp>
      <tp t="e">
        <v>#N/A</v>
        <stp/>
        <stp>BDH|11876617447243764421</stp>
        <tr r="X28" s="12"/>
      </tp>
      <tp t="e">
        <v>#N/A</v>
        <stp/>
        <stp>BDH|15328719311953854403</stp>
        <tr r="G22" s="11"/>
      </tp>
      <tp t="e">
        <v>#N/A</v>
        <stp/>
        <stp>BDH|10414148408870662553</stp>
        <tr r="I81" s="17"/>
      </tp>
      <tp t="e">
        <v>#N/A</v>
        <stp/>
        <stp>BDH|16287461417275061289</stp>
        <tr r="L24" s="22"/>
      </tp>
      <tp t="e">
        <v>#N/A</v>
        <stp/>
        <stp>BDH|13943710516465442410</stp>
        <tr r="Z40" s="17"/>
      </tp>
      <tp t="e">
        <v>#N/A</v>
        <stp/>
        <stp>BDH|15336239906243816042</stp>
        <tr r="R72" s="17"/>
      </tp>
      <tp t="e">
        <v>#N/A</v>
        <stp/>
        <stp>BDH|17096429388008838788</stp>
        <tr r="J34" s="9"/>
      </tp>
      <tp t="e">
        <v>#N/A</v>
        <stp/>
        <stp>BDH|11923343930814144166</stp>
        <tr r="G21" s="22"/>
      </tp>
      <tp t="e">
        <v>#N/A</v>
        <stp/>
        <stp>BDH|11727236501917703086</stp>
        <tr r="E40" s="22"/>
      </tp>
      <tp t="e">
        <v>#N/A</v>
        <stp/>
        <stp>BDH|12089282840444565473</stp>
        <tr r="T156" s="18"/>
      </tp>
      <tp t="e">
        <v>#N/A</v>
        <stp/>
        <stp>BDH|14350694042527471568</stp>
        <tr r="W167" s="18"/>
      </tp>
      <tp t="e">
        <v>#N/A</v>
        <stp/>
        <stp>BDH|15454780966318283824</stp>
        <tr r="N21" s="2"/>
      </tp>
      <tp t="e">
        <v>#N/A</v>
        <stp/>
        <stp>BDH|16832350960916775107</stp>
        <tr r="N124" s="12"/>
      </tp>
      <tp t="e">
        <v>#N/A</v>
        <stp/>
        <stp>BDH|15875987980426980636</stp>
        <tr r="L112" s="12"/>
      </tp>
      <tp t="e">
        <v>#N/A</v>
        <stp/>
        <stp>BDH|17471807011518671298</stp>
        <tr r="W39" s="6"/>
      </tp>
      <tp t="e">
        <v>#N/A</v>
        <stp/>
        <stp>BDH|15096375336933884237</stp>
        <tr r="J108" s="18"/>
      </tp>
      <tp t="e">
        <v>#N/A</v>
        <stp/>
        <stp>BDH|18197251664209338190</stp>
        <tr r="T31" s="24"/>
      </tp>
      <tp t="e">
        <v>#N/A</v>
        <stp/>
        <stp>BDH|14217388411600324224</stp>
        <tr r="W62" s="17"/>
      </tp>
      <tp t="e">
        <v>#N/A</v>
        <stp/>
        <stp>BDH|16451799726983249438</stp>
        <tr r="AA65" s="17"/>
      </tp>
      <tp t="e">
        <v>#N/A</v>
        <stp/>
        <stp>BDH|18139174615118069499</stp>
        <tr r="X58" s="13"/>
        <tr r="V47" s="11"/>
        <tr r="V56" s="10"/>
        <tr r="V17" s="7"/>
        <tr r="V17" s="4"/>
        <tr r="X10" s="3"/>
      </tp>
      <tp t="e">
        <v>#N/A</v>
        <stp/>
        <stp>BDH|13896013755261211341</stp>
        <tr r="S60" s="21"/>
        <tr r="Q54" s="11"/>
      </tp>
      <tp t="e">
        <v>#N/A</v>
        <stp/>
        <stp>BDH|17550395167861952782</stp>
        <tr r="M86" s="17"/>
      </tp>
      <tp t="e">
        <v>#N/A</v>
        <stp/>
        <stp>BDH|13654351405980816442</stp>
        <tr r="T38" s="24"/>
      </tp>
      <tp t="e">
        <v>#N/A</v>
        <stp/>
        <stp>BDH|11020982681963475770</stp>
        <tr r="D12" s="24"/>
      </tp>
      <tp t="e">
        <v>#N/A</v>
        <stp/>
        <stp>BDH|10565649932050160184</stp>
        <tr r="S79" s="17"/>
        <tr r="P9" s="9"/>
        <tr r="P9" s="5"/>
      </tp>
      <tp t="e">
        <v>#N/A</v>
        <stp/>
        <stp>BDH|12990715105648321945</stp>
        <tr r="Y49" s="34"/>
      </tp>
      <tp t="e">
        <v>#N/A</v>
        <stp/>
        <stp>BDH|10115719517606447497</stp>
        <tr r="J44" s="18"/>
      </tp>
      <tp t="e">
        <v>#N/A</v>
        <stp/>
        <stp>BDH|13005672110347590785</stp>
        <tr r="X14" s="20"/>
        <tr r="X123" s="18"/>
      </tp>
      <tp t="e">
        <v>#N/A</v>
        <stp/>
        <stp>BDH|12851449548436842060</stp>
        <tr r="H101" s="18"/>
      </tp>
      <tp t="e">
        <v>#N/A</v>
        <stp/>
        <stp>BDH|16226089467742055675</stp>
        <tr r="N85" s="24"/>
      </tp>
      <tp t="e">
        <v>#N/A</v>
        <stp/>
        <stp>BDH|12230778676070084690</stp>
        <tr r="S10" s="10"/>
      </tp>
      <tp t="e">
        <v>#N/A</v>
        <stp/>
        <stp>BDH|10575796546666432147</stp>
        <tr r="X125" s="18"/>
      </tp>
      <tp t="e">
        <v>#N/A</v>
        <stp/>
        <stp>BDH|10949115680388700551</stp>
        <tr r="W33" s="12"/>
      </tp>
      <tp t="e">
        <v>#N/A</v>
        <stp/>
        <stp>BDH|17389762561972928072</stp>
        <tr r="V109" s="12"/>
      </tp>
      <tp t="e">
        <v>#N/A</v>
        <stp/>
        <stp>BDH|17856395349400740452</stp>
        <tr r="D44" s="24"/>
      </tp>
      <tp t="e">
        <v>#N/A</v>
        <stp/>
        <stp>BDH|11832952154420716946</stp>
        <tr r="N13" s="23"/>
        <tr r="L57" s="11"/>
        <tr r="L38" s="4"/>
      </tp>
      <tp t="e">
        <v>#N/A</v>
        <stp/>
        <stp>BDH|14567375124285509490</stp>
        <tr r="I82" s="24"/>
      </tp>
      <tp t="e">
        <v>#N/A</v>
        <stp/>
        <stp>BDH|15004649658930546235</stp>
        <tr r="G18" s="23"/>
      </tp>
      <tp t="e">
        <v>#N/A</v>
        <stp/>
        <stp>BDH|11022790090143050837</stp>
        <tr r="G11" s="28"/>
      </tp>
      <tp t="e">
        <v>#N/A</v>
        <stp/>
        <stp>BDH|15651313701447433580</stp>
        <tr r="V35" s="26"/>
      </tp>
      <tp t="e">
        <v>#N/A</v>
        <stp/>
        <stp>BDH|11467124603047776384</stp>
        <tr r="L50" s="12"/>
      </tp>
      <tp t="e">
        <v>#N/A</v>
        <stp/>
        <stp>BDH|13285867238604514839</stp>
        <tr r="U43" s="17"/>
      </tp>
      <tp t="e">
        <v>#N/A</v>
        <stp/>
        <stp>BDH|15553657066657458681</stp>
        <tr r="U30" s="29"/>
        <tr r="U8" s="29"/>
      </tp>
      <tp t="e">
        <v>#N/A</v>
        <stp/>
        <stp>BDH|13905115332346456343</stp>
        <tr r="H17" s="34"/>
      </tp>
      <tp t="e">
        <v>#N/A</v>
        <stp/>
        <stp>BDH|10495054551281904038</stp>
        <tr r="M154" s="18"/>
      </tp>
      <tp t="e">
        <v>#N/A</v>
        <stp/>
        <stp>BDH|11875976582604716001</stp>
        <tr r="N132" s="18"/>
      </tp>
      <tp t="e">
        <v>#N/A</v>
        <stp/>
        <stp>BDH|13825157680138623611</stp>
        <tr r="M43" s="12"/>
      </tp>
      <tp t="e">
        <v>#N/A</v>
        <stp/>
        <stp>BDH|10117165824431865610</stp>
        <tr r="H35" s="21"/>
      </tp>
      <tp t="e">
        <v>#N/A</v>
        <stp/>
        <stp>BDH|15819131219712051384</stp>
        <tr r="D32" s="29"/>
      </tp>
      <tp t="e">
        <v>#N/A</v>
        <stp/>
        <stp>BDH|15327527909480616446</stp>
        <tr r="W43" s="4"/>
      </tp>
      <tp t="e">
        <v>#N/A</v>
        <stp/>
        <stp>BDH|12737373011543825732</stp>
        <tr r="H41" s="17"/>
      </tp>
      <tp t="e">
        <v>#N/A</v>
        <stp/>
        <stp>BDH|12743497571081538405</stp>
        <tr r="X207" s="18"/>
      </tp>
      <tp t="e">
        <v>#N/A</v>
        <stp/>
        <stp>BDH|11204434496291449997</stp>
        <tr r="T47" s="17"/>
      </tp>
      <tp t="e">
        <v>#N/A</v>
        <stp/>
        <stp>BDH|11979062705031981499</stp>
        <tr r="X23" s="23"/>
      </tp>
      <tp t="e">
        <v>#N/A</v>
        <stp/>
        <stp>BDH|14435624409172358467</stp>
        <tr r="M71" s="17"/>
        <tr r="J8" s="9"/>
        <tr r="J8" s="5"/>
      </tp>
      <tp t="e">
        <v>#N/A</v>
        <stp/>
        <stp>BDH|15103969990941805054</stp>
        <tr r="V23" s="10"/>
      </tp>
      <tp t="e">
        <v>#N/A</v>
        <stp/>
        <stp>BDH|15959128130045471621</stp>
        <tr r="T24" s="29"/>
      </tp>
      <tp t="e">
        <v>#N/A</v>
        <stp/>
        <stp>BDH|18050872049983100325</stp>
        <tr r="Z39" s="29"/>
        <tr r="Z16" s="29"/>
      </tp>
      <tp t="e">
        <v>#N/A</v>
        <stp/>
        <stp>BDH|13378221691934535886</stp>
        <tr r="D104" s="18"/>
      </tp>
      <tp t="e">
        <v>#N/A</v>
        <stp/>
        <stp>BDH|13976361436874468301</stp>
        <tr r="AA67" s="18"/>
      </tp>
      <tp t="e">
        <v>#N/A</v>
        <stp/>
        <stp>BDH|12220006249090457228</stp>
        <tr r="J64" s="18"/>
      </tp>
      <tp t="e">
        <v>#N/A</v>
        <stp/>
        <stp>BDH|10839052930176410148</stp>
        <tr r="Z143" s="18"/>
      </tp>
      <tp t="e">
        <v>#N/A</v>
        <stp/>
        <stp>BDH|15055256822482873329</stp>
        <tr r="D34" s="17"/>
      </tp>
      <tp t="e">
        <v>#N/A</v>
        <stp/>
        <stp>BDH|12990079051314620748</stp>
        <tr r="N73" s="18"/>
      </tp>
      <tp t="e">
        <v>#N/A</v>
        <stp/>
        <stp>BDH|12215488588483636996</stp>
        <tr r="F8" s="23"/>
      </tp>
      <tp t="e">
        <v>#N/A</v>
        <stp/>
        <stp>BDH|16023514048054177759</stp>
        <tr r="Y10" s="26"/>
      </tp>
      <tp t="e">
        <v>#N/A</v>
        <stp/>
        <stp>BDH|12476466295978301390</stp>
        <tr r="W100" s="18"/>
      </tp>
      <tp t="e">
        <v>#N/A</v>
        <stp/>
        <stp>BDH|11763436009866252722</stp>
        <tr r="D35" s="17"/>
      </tp>
      <tp t="e">
        <v>#N/A</v>
        <stp/>
        <stp>BDH|12234545851997922132</stp>
        <tr r="N169" s="18"/>
      </tp>
      <tp t="e">
        <v>#N/A</v>
        <stp/>
        <stp>BDH|15185360922240079082</stp>
        <tr r="S9" s="8"/>
        <tr r="Q52" s="6"/>
      </tp>
      <tp t="e">
        <v>#N/A</v>
        <stp/>
        <stp>BDH|15723850417958163092</stp>
        <tr r="S16" s="14"/>
      </tp>
      <tp t="e">
        <v>#N/A</v>
        <stp/>
        <stp>BDH|14336674609397186112</stp>
        <tr r="I172" s="18"/>
      </tp>
      <tp t="e">
        <v>#N/A</v>
        <stp/>
        <stp>BDH|12809369863390920396</stp>
        <tr r="O38" s="6"/>
      </tp>
      <tp t="e">
        <v>#N/A</v>
        <stp/>
        <stp>BDH|10035594076452454468</stp>
        <tr r="U34" s="18"/>
      </tp>
      <tp t="e">
        <v>#N/A</v>
        <stp/>
        <stp>BDH|16517268929895570728</stp>
        <tr r="J33" s="18"/>
      </tp>
      <tp t="e">
        <v>#N/A</v>
        <stp/>
        <stp>BDH|16765553129075691002</stp>
        <tr r="D56" s="24"/>
      </tp>
      <tp t="e">
        <v>#N/A</v>
        <stp/>
        <stp>BDH|16509385506451690005</stp>
        <tr r="V60" s="12"/>
      </tp>
      <tp t="e">
        <v>#N/A</v>
        <stp/>
        <stp>BDH|11590720107734978644</stp>
        <tr r="P15" s="10"/>
      </tp>
      <tp t="e">
        <v>#N/A</v>
        <stp/>
        <stp>BDH|15616252635000864038</stp>
        <tr r="S31" s="12"/>
      </tp>
      <tp t="e">
        <v>#N/A</v>
        <stp/>
        <stp>BDH|11251097522801277660</stp>
        <tr r="F14" s="20"/>
        <tr r="F123" s="18"/>
      </tp>
      <tp t="e">
        <v>#N/A</v>
        <stp/>
        <stp>BDH|10414467102870453098</stp>
        <tr r="U43" s="6"/>
      </tp>
      <tp t="e">
        <v>#N/A</v>
        <stp/>
        <stp>BDH|18100851758339539843</stp>
        <tr r="C69" s="34"/>
      </tp>
      <tp t="e">
        <v>#N/A</v>
        <stp/>
        <stp>BDH|14946424917311677476</stp>
        <tr r="F63" s="11"/>
        <tr r="F72" s="10"/>
      </tp>
      <tp t="e">
        <v>#N/A</v>
        <stp/>
        <stp>BDH|12853109156406034439</stp>
        <tr r="Y38" s="21"/>
        <tr r="Y24" s="3"/>
      </tp>
      <tp t="e">
        <v>#N/A</v>
        <stp/>
        <stp>BDH|16172138534535305588</stp>
        <tr r="E129" s="18"/>
      </tp>
      <tp t="e">
        <v>#N/A</v>
        <stp/>
        <stp>BDH|12618416995363963863</stp>
        <tr r="C32" s="21"/>
      </tp>
      <tp t="e">
        <v>#N/A</v>
        <stp/>
        <stp>BDH|12253583857497824181</stp>
        <tr r="E61" s="34"/>
      </tp>
      <tp t="e">
        <v>#N/A</v>
        <stp/>
        <stp>BDH|17245447222105831010</stp>
        <tr r="M148" s="18"/>
      </tp>
      <tp t="e">
        <v>#N/A</v>
        <stp/>
        <stp>BDH|18206686986385237737</stp>
        <tr r="R30" s="24"/>
      </tp>
      <tp t="e">
        <v>#N/A</v>
        <stp/>
        <stp>BDH|17074325395321216881</stp>
        <tr r="Z71" s="18"/>
      </tp>
      <tp t="e">
        <v>#N/A</v>
        <stp/>
        <stp>BDH|12548319268851127207</stp>
        <tr r="N49" s="17"/>
      </tp>
      <tp t="e">
        <v>#N/A</v>
        <stp/>
        <stp>BDH|13114250919112704670</stp>
        <tr r="D37" s="22"/>
      </tp>
      <tp t="e">
        <v>#N/A</v>
        <stp/>
        <stp>BDH|13020444459542465445</stp>
        <tr r="M46" s="12"/>
      </tp>
      <tp t="e">
        <v>#N/A</v>
        <stp/>
        <stp>BDH|10024243473440220187</stp>
        <tr r="W9" s="10"/>
      </tp>
      <tp t="e">
        <v>#N/A</v>
        <stp/>
        <stp>BDH|11835442357265763115</stp>
        <tr r="C18" s="12"/>
      </tp>
      <tp t="e">
        <v>#N/A</v>
        <stp/>
        <stp>BDH|12837552915770174246</stp>
        <tr r="O10" s="13"/>
      </tp>
      <tp t="e">
        <v>#N/A</v>
        <stp/>
        <stp>BDH|12105792544196365322</stp>
        <tr r="R13" s="28"/>
        <tr r="R96" s="17"/>
      </tp>
      <tp t="e">
        <v>#N/A</v>
        <stp/>
        <stp>BDH|10374125271704960644</stp>
        <tr r="Q128" s="18"/>
      </tp>
      <tp t="e">
        <v>#N/A</v>
        <stp/>
        <stp>BDH|16837579758115380795</stp>
        <tr r="X24" s="22"/>
      </tp>
      <tp t="e">
        <v>#N/A</v>
        <stp/>
        <stp>BDH|12307747333536065492</stp>
        <tr r="I54" s="24"/>
      </tp>
      <tp t="e">
        <v>#N/A</v>
        <stp/>
        <stp>BDH|10164702831491920147</stp>
        <tr r="P46" s="13"/>
      </tp>
      <tp t="e">
        <v>#N/A</v>
        <stp/>
        <stp>BDH|13417190546136622407</stp>
        <tr r="S63" s="17"/>
      </tp>
      <tp t="e">
        <v>#N/A</v>
        <stp/>
        <stp>BDH|18151335584600907723</stp>
        <tr r="X65" s="12"/>
      </tp>
      <tp t="e">
        <v>#N/A</v>
        <stp/>
        <stp>BDH|15178033328843186060</stp>
        <tr r="Q34" s="29"/>
      </tp>
      <tp t="e">
        <v>#N/A</v>
        <stp/>
        <stp>BDH|16362813847739970711</stp>
        <tr r="R106" s="18"/>
      </tp>
      <tp t="e">
        <v>#N/A</v>
        <stp/>
        <stp>BDH|14741582371113259116</stp>
        <tr r="Q54" s="12"/>
      </tp>
      <tp t="e">
        <v>#N/A</v>
        <stp/>
        <stp>BDH|14542799870460558048</stp>
        <tr r="Z125" s="18"/>
      </tp>
      <tp t="e">
        <v>#N/A</v>
        <stp/>
        <stp>BDH|16630039603683299191</stp>
        <tr r="T197" s="18"/>
      </tp>
      <tp t="e">
        <v>#N/A</v>
        <stp/>
        <stp>BDH|10415042371883810051</stp>
        <tr r="V114" s="12"/>
      </tp>
      <tp t="e">
        <v>#N/A</v>
        <stp/>
        <stp>BDH|16971352864115696226</stp>
        <tr r="I12" s="17"/>
      </tp>
      <tp t="e">
        <v>#N/A</v>
        <stp/>
        <stp>BDH|12734661628647388566</stp>
        <tr r="Q35" s="12"/>
      </tp>
      <tp t="e">
        <v>#N/A</v>
        <stp/>
        <stp>BDH|13681161410596478181</stp>
        <tr r="L104" s="18"/>
      </tp>
      <tp t="e">
        <v>#N/A</v>
        <stp/>
        <stp>BDH|18085795345346835987</stp>
        <tr r="Y27" s="14"/>
      </tp>
      <tp t="e">
        <v>#N/A</v>
        <stp/>
        <stp>BDH|17471371319953448222</stp>
        <tr r="Z51" s="18"/>
      </tp>
      <tp t="e">
        <v>#N/A</v>
        <stp/>
        <stp>BDH|15021485257988063831</stp>
        <tr r="M13" s="7"/>
      </tp>
      <tp t="e">
        <v>#N/A</v>
        <stp/>
        <stp>BDH|14627570357773291385</stp>
        <tr r="M9" s="27"/>
      </tp>
      <tp t="e">
        <v>#N/A</v>
        <stp/>
        <stp>BDH|10639229336275684088</stp>
        <tr r="X31" s="9"/>
      </tp>
      <tp t="e">
        <v>#N/A</v>
        <stp/>
        <stp>BDH|16860090326055972529</stp>
        <tr r="M99" s="18"/>
      </tp>
      <tp t="e">
        <v>#N/A</v>
        <stp/>
        <stp>BDH|10111893704984432847</stp>
        <tr r="R24" s="22"/>
      </tp>
      <tp t="e">
        <v>#N/A</v>
        <stp/>
        <stp>BDH|12006751844157991246</stp>
        <tr r="C25" s="5"/>
      </tp>
      <tp t="e">
        <v>#N/A</v>
        <stp/>
        <stp>BDH|16311008930541646097</stp>
        <tr r="R8" s="21"/>
      </tp>
      <tp t="e">
        <v>#N/A</v>
        <stp/>
        <stp>BDH|10106607774974190188</stp>
        <tr r="K73" s="18"/>
      </tp>
      <tp t="e">
        <v>#N/A</v>
        <stp/>
        <stp>BDH|15709851970906956872</stp>
        <tr r="C72" s="24"/>
      </tp>
      <tp t="e">
        <v>#N/A</v>
        <stp/>
        <stp>BDH|10627943289716015378</stp>
        <tr r="L115" s="18"/>
      </tp>
      <tp t="e">
        <v>#N/A</v>
        <stp/>
        <stp>BDH|12460762502759882844</stp>
        <tr r="O7" s="23"/>
      </tp>
      <tp t="e">
        <v>#N/A</v>
        <stp/>
        <stp>BDH|12102171619525091333</stp>
        <tr r="I47" s="17"/>
      </tp>
      <tp t="e">
        <v>#N/A</v>
        <stp/>
        <stp>BDH|14905349006751723202</stp>
        <tr r="N126" s="12"/>
      </tp>
      <tp t="e">
        <v>#N/A</v>
        <stp/>
        <stp>BDH|16930246051824520151</stp>
        <tr r="E28" s="6"/>
      </tp>
      <tp t="e">
        <v>#N/A</v>
        <stp/>
        <stp>BDH|11138252147982814174</stp>
        <tr r="P39" s="13"/>
        <tr r="N32" s="10"/>
      </tp>
      <tp t="e">
        <v>#N/A</v>
        <stp/>
        <stp>BDH|16744583231764355018</stp>
        <tr r="R7" s="14"/>
      </tp>
      <tp t="e">
        <v>#N/A</v>
        <stp/>
        <stp>BDH|12483824112026829902</stp>
        <tr r="W21" s="11"/>
      </tp>
      <tp t="e">
        <v>#N/A</v>
        <stp/>
        <stp>BDH|17023186515171786261</stp>
        <tr r="M8" s="26"/>
        <tr r="J10" s="9"/>
      </tp>
      <tp t="e">
        <v>#N/A</v>
        <stp/>
        <stp>BDH|13226994687704514253</stp>
        <tr r="N22" s="27"/>
      </tp>
      <tp t="e">
        <v>#N/A</v>
        <stp/>
        <stp>BDH|12487155297508822629</stp>
        <tr r="O16" s="28"/>
        <tr r="O13" s="17"/>
      </tp>
      <tp t="e">
        <v>#N/A</v>
        <stp/>
        <stp>BDH|10737586281930660949</stp>
        <tr r="S35" s="14"/>
      </tp>
      <tp t="e">
        <v>#N/A</v>
        <stp/>
        <stp>BDH|13625051639160423423</stp>
        <tr r="H27" s="14"/>
      </tp>
      <tp t="e">
        <v>#N/A</v>
        <stp/>
        <stp>BDH|16837532047725128616</stp>
        <tr r="G17" s="24"/>
      </tp>
      <tp t="e">
        <v>#N/A</v>
        <stp/>
        <stp>BDH|10648527153535913125</stp>
        <tr r="L72" s="34"/>
      </tp>
      <tp t="e">
        <v>#N/A</v>
        <stp/>
        <stp>BDH|10877424013697756622</stp>
        <tr r="R73" s="12"/>
      </tp>
      <tp t="e">
        <v>#N/A</v>
        <stp/>
        <stp>BDH|16432643402275799199</stp>
        <tr r="M62" s="13"/>
      </tp>
      <tp t="e">
        <v>#N/A</v>
        <stp/>
        <stp>BDH|17282808549897294853</stp>
        <tr r="V23" s="11"/>
      </tp>
      <tp t="e">
        <v>#N/A</v>
        <stp/>
        <stp>BDH|10959459137072289156</stp>
        <tr r="Z90" s="12"/>
      </tp>
      <tp t="e">
        <v>#N/A</v>
        <stp/>
        <stp>BDH|11770111559834285514</stp>
        <tr r="D30" s="9"/>
        <tr r="D30" s="5"/>
      </tp>
      <tp t="e">
        <v>#N/A</v>
        <stp/>
        <stp>BDH|15648167664575804307</stp>
        <tr r="F74" s="12"/>
      </tp>
      <tp t="e">
        <v>#N/A</v>
        <stp/>
        <stp>BDH|10268532779052545411</stp>
        <tr r="K21" s="12"/>
      </tp>
      <tp t="e">
        <v>#N/A</v>
        <stp/>
        <stp>BDH|16440002961552902602</stp>
        <tr r="D48" s="34"/>
      </tp>
      <tp t="e">
        <v>#N/A</v>
        <stp/>
        <stp>BDH|14388350901833856034</stp>
        <tr r="V12" s="26"/>
      </tp>
      <tp t="e">
        <v>#N/A</v>
        <stp/>
        <stp>BDH|11949262808697225092</stp>
        <tr r="Z185" s="18"/>
      </tp>
      <tp t="e">
        <v>#N/A</v>
        <stp/>
        <stp>BDH|15186696872811360150</stp>
        <tr r="R42" s="22"/>
      </tp>
      <tp t="e">
        <v>#N/A</v>
        <stp/>
        <stp>BDH|15612586485884597826</stp>
        <tr r="T36" s="14"/>
      </tp>
      <tp t="e">
        <v>#N/A</v>
        <stp/>
        <stp>BDH|12611591247121030642</stp>
        <tr r="P32" s="17"/>
      </tp>
      <tp t="e">
        <v>#N/A</v>
        <stp/>
        <stp>BDH|11478469041636667399</stp>
        <tr r="G14" s="4"/>
      </tp>
      <tp t="e">
        <v>#N/A</v>
        <stp/>
        <stp>BDH|14944791550767819544</stp>
        <tr r="H214" s="18"/>
      </tp>
      <tp t="e">
        <v>#N/A</v>
        <stp/>
        <stp>BDH|17846111238372940345</stp>
        <tr r="E65" s="18"/>
      </tp>
      <tp t="e">
        <v>#N/A</v>
        <stp/>
        <stp>BDH|13004332540092804277</stp>
        <tr r="Y112" s="18"/>
      </tp>
      <tp t="e">
        <v>#N/A</v>
        <stp/>
        <stp>BDH|15349597054616506770</stp>
        <tr r="Z83" s="18"/>
      </tp>
      <tp t="e">
        <v>#N/A</v>
        <stp/>
        <stp>BDH|16215502539462172665</stp>
        <tr r="I45" s="24"/>
      </tp>
      <tp t="e">
        <v>#N/A</v>
        <stp/>
        <stp>BDH|15644047902726943754</stp>
        <tr r="U30" s="17"/>
      </tp>
      <tp t="e">
        <v>#N/A</v>
        <stp/>
        <stp>BDH|15642189017523199245</stp>
        <tr r="G53" s="17"/>
      </tp>
      <tp t="e">
        <v>#N/A</v>
        <stp/>
        <stp>BDH|10453511299388211022</stp>
        <tr r="J72" s="18"/>
      </tp>
      <tp t="e">
        <v>#N/A</v>
        <stp/>
        <stp>BDH|18209008109985028977</stp>
        <tr r="Z72" s="24"/>
      </tp>
      <tp t="e">
        <v>#N/A</v>
        <stp/>
        <stp>BDH|15105797931733434617</stp>
        <tr r="F26" s="29"/>
      </tp>
      <tp t="e">
        <v>#N/A</v>
        <stp/>
        <stp>BDH|12143581444330541746</stp>
        <tr r="Z66" s="17"/>
      </tp>
      <tp t="e">
        <v>#N/A</v>
        <stp/>
        <stp>BDH|13638781746824169058</stp>
        <tr r="Q33" s="24"/>
      </tp>
      <tp t="e">
        <v>#N/A</v>
        <stp/>
        <stp>BDH|16006817493616911574</stp>
        <tr r="F18" s="10"/>
      </tp>
      <tp t="e">
        <v>#N/A</v>
        <stp/>
        <stp>BDH|14518418814226736383</stp>
        <tr r="W25" s="13"/>
      </tp>
      <tp t="e">
        <v>#N/A</v>
        <stp/>
        <stp>BDH|10978306036081435548</stp>
        <tr r="E35" s="21"/>
      </tp>
      <tp t="e">
        <v>#N/A</v>
        <stp/>
        <stp>BDH|15422699449104342784</stp>
        <tr r="W21" s="2"/>
      </tp>
      <tp t="e">
        <v>#N/A</v>
        <stp/>
        <stp>BDH|11426805481761334499</stp>
        <tr r="J11" s="13"/>
      </tp>
      <tp t="e">
        <v>#N/A</v>
        <stp/>
        <stp>BDH|11220079465400657390</stp>
        <tr r="N93" s="24"/>
      </tp>
      <tp t="e">
        <v>#N/A</v>
        <stp/>
        <stp>BDH|11879475575082517409</stp>
        <tr r="W21" s="14"/>
      </tp>
      <tp t="e">
        <v>#N/A</v>
        <stp/>
        <stp>BDH|11075897940648274148</stp>
        <tr r="D7" s="4"/>
      </tp>
      <tp t="e">
        <v>#N/A</v>
        <stp/>
        <stp>BDH|11905725321853309364</stp>
        <tr r="L18" s="23"/>
      </tp>
      <tp t="e">
        <v>#N/A</v>
        <stp/>
        <stp>BDH|13807618236115322732</stp>
        <tr r="AA39" s="25"/>
        <tr r="AA22" s="13"/>
        <tr r="AA7" s="13"/>
        <tr r="Y17" s="11"/>
        <tr r="AA7" s="3"/>
      </tp>
      <tp t="e">
        <v>#N/A</v>
        <stp/>
        <stp>BDH|17988461286277176874</stp>
        <tr r="G7" s="8"/>
      </tp>
      <tp t="e">
        <v>#N/A</v>
        <stp/>
        <stp>BDH|16892346635137003566</stp>
        <tr r="Y193" s="18"/>
      </tp>
      <tp t="e">
        <v>#N/A</v>
        <stp/>
        <stp>BDH|15017219281272904962</stp>
        <tr r="G104" s="12"/>
      </tp>
      <tp t="e">
        <v>#N/A</v>
        <stp/>
        <stp>BDH|17817629487148434562</stp>
        <tr r="M17" s="20"/>
      </tp>
      <tp t="e">
        <v>#N/A</v>
        <stp/>
        <stp>BDH|12489437014047830443</stp>
        <tr r="Z60" s="34"/>
      </tp>
      <tp t="e">
        <v>#N/A</v>
        <stp/>
        <stp>BDH|14728876902980906842</stp>
        <tr r="Z58" s="18"/>
      </tp>
      <tp t="e">
        <v>#N/A</v>
        <stp/>
        <stp>BDH|12514602815821954061</stp>
        <tr r="N22" s="20"/>
      </tp>
      <tp t="e">
        <v>#N/A</v>
        <stp/>
        <stp>BDH|14055998073026524801</stp>
        <tr r="S40" s="13"/>
        <tr r="Q24" s="10"/>
        <tr r="Q46" s="4"/>
      </tp>
      <tp t="e">
        <v>#N/A</v>
        <stp/>
        <stp>BDH|13520864694334119299</stp>
        <tr r="S13" s="28"/>
        <tr r="S96" s="17"/>
      </tp>
      <tp t="e">
        <v>#N/A</v>
        <stp/>
        <stp>BDH|16695497555782670133</stp>
        <tr r="J9" s="18"/>
      </tp>
      <tp t="e">
        <v>#N/A</v>
        <stp/>
        <stp>BDH|16975609273145566604</stp>
        <tr r="E141" s="18"/>
      </tp>
      <tp t="e">
        <v>#N/A</v>
        <stp/>
        <stp>BDH|12768602649812971687</stp>
        <tr r="J30" s="14"/>
      </tp>
      <tp t="e">
        <v>#N/A</v>
        <stp/>
        <stp>BDH|16814839094344079700</stp>
        <tr r="T8" s="13"/>
      </tp>
      <tp t="e">
        <v>#N/A</v>
        <stp/>
        <stp>BDH|11843419200804211548</stp>
        <tr r="S114" s="12"/>
      </tp>
      <tp t="e">
        <v>#N/A</v>
        <stp/>
        <stp>BDH|16778992089767150494</stp>
        <tr r="E30" s="18"/>
      </tp>
      <tp t="e">
        <v>#N/A</v>
        <stp/>
        <stp>BDH|17933794537562087589</stp>
        <tr r="Y66" s="13"/>
      </tp>
      <tp t="e">
        <v>#N/A</v>
        <stp/>
        <stp>BDH|12372642689330124807</stp>
        <tr r="R51" s="18"/>
      </tp>
      <tp t="e">
        <v>#N/A</v>
        <stp/>
        <stp>BDH|16045306333034516691</stp>
        <tr r="M33" s="11"/>
        <tr r="M42" s="10"/>
      </tp>
      <tp t="e">
        <v>#N/A</v>
        <stp/>
        <stp>BDH|17735227948161626446</stp>
        <tr r="W16" s="6"/>
      </tp>
      <tp t="e">
        <v>#N/A</v>
        <stp/>
        <stp>BDH|14363002973862888575</stp>
        <tr r="H18" s="21"/>
      </tp>
      <tp t="e">
        <v>#N/A</v>
        <stp/>
        <stp>BDH|11664345823172618682</stp>
        <tr r="D110" s="18"/>
      </tp>
      <tp t="e">
        <v>#N/A</v>
        <stp/>
        <stp>BDH|15800192256572956713</stp>
        <tr r="X49" s="13"/>
      </tp>
      <tp t="e">
        <v>#N/A</v>
        <stp/>
        <stp>BDH|15039613772681564191</stp>
        <tr r="H97" s="17"/>
      </tp>
      <tp t="e">
        <v>#N/A</v>
        <stp/>
        <stp>BDH|14010533549471469010</stp>
        <tr r="T32" s="12"/>
      </tp>
      <tp t="e">
        <v>#N/A</v>
        <stp/>
        <stp>BDH|13065678318555627569</stp>
        <tr r="X58" s="24"/>
      </tp>
      <tp t="e">
        <v>#N/A</v>
        <stp/>
        <stp>BDH|14035669221782949619</stp>
        <tr r="W64" s="12"/>
      </tp>
      <tp t="e">
        <v>#N/A</v>
        <stp/>
        <stp>BDH|12043959747203486897</stp>
        <tr r="H74" s="24"/>
      </tp>
      <tp t="e">
        <v>#N/A</v>
        <stp/>
        <stp>BDH|18313981423916388147</stp>
        <tr r="T30" s="14"/>
      </tp>
      <tp t="e">
        <v>#N/A</v>
        <stp/>
        <stp>BDH|15837893426663842804</stp>
        <tr r="W39" s="29"/>
        <tr r="W16" s="29"/>
      </tp>
      <tp t="e">
        <v>#N/A</v>
        <stp/>
        <stp>BDH|10150060744040504090</stp>
        <tr r="T9" s="10"/>
      </tp>
      <tp t="e">
        <v>#N/A</v>
        <stp/>
        <stp>BDH|16819570565635012452</stp>
        <tr r="Z40" s="22"/>
      </tp>
      <tp t="e">
        <v>#N/A</v>
        <stp/>
        <stp>BDH|15726267295532336887</stp>
        <tr r="AA12" s="26"/>
      </tp>
      <tp t="e">
        <v>#N/A</v>
        <stp/>
        <stp>BDH|16269948896664907673</stp>
        <tr r="AA77" s="18"/>
      </tp>
      <tp t="e">
        <v>#N/A</v>
        <stp/>
        <stp>BDH|11372692265957458253</stp>
        <tr r="U93" s="12"/>
      </tp>
      <tp t="e">
        <v>#N/A</v>
        <stp/>
        <stp>BDH|13376758023254339684</stp>
        <tr r="S41" s="34"/>
      </tp>
      <tp t="e">
        <v>#N/A</v>
        <stp/>
        <stp>BDH|17626017125608492980</stp>
        <tr r="X36" s="17"/>
      </tp>
      <tp t="e">
        <v>#N/A</v>
        <stp/>
        <stp>BDH|13877697358266601218</stp>
        <tr r="J19" s="10"/>
      </tp>
      <tp t="e">
        <v>#N/A</v>
        <stp/>
        <stp>BDH|13285348038870840786</stp>
        <tr r="E14" s="8"/>
      </tp>
      <tp t="e">
        <v>#N/A</v>
        <stp/>
        <stp>BDH|14364464291618959538</stp>
        <tr r="R172" s="18"/>
      </tp>
      <tp t="e">
        <v>#N/A</v>
        <stp/>
        <stp>BDH|15999155077155728226</stp>
        <tr r="G35" s="4"/>
      </tp>
      <tp t="e">
        <v>#N/A</v>
        <stp/>
        <stp>BDH|13405174839974529116</stp>
        <tr r="I81" s="12"/>
      </tp>
      <tp t="e">
        <v>#N/A</v>
        <stp/>
        <stp>BDH|11435280004832119572</stp>
        <tr r="G44" s="24"/>
      </tp>
      <tp t="e">
        <v>#N/A</v>
        <stp/>
        <stp>BDH|13929438825414238535</stp>
        <tr r="Q36" s="22"/>
      </tp>
      <tp t="e">
        <v>#N/A</v>
        <stp/>
        <stp>BDH|18408855955141884024</stp>
        <tr r="C53" s="17"/>
      </tp>
      <tp t="e">
        <v>#N/A</v>
        <stp/>
        <stp>BDH|12279304348989469803</stp>
        <tr r="W182" s="18"/>
      </tp>
      <tp t="e">
        <v>#N/A</v>
        <stp/>
        <stp>BDH|16245826010222881967</stp>
        <tr r="Q23" s="22"/>
      </tp>
      <tp t="e">
        <v>#N/A</v>
        <stp/>
        <stp>BDH|16085581986969375639</stp>
        <tr r="O36" s="21"/>
      </tp>
      <tp t="e">
        <v>#N/A</v>
        <stp/>
        <stp>BDH|13790485851952987493</stp>
        <tr r="AA148" s="18"/>
      </tp>
      <tp t="e">
        <v>#N/A</v>
        <stp/>
        <stp>BDH|13393694737407773540</stp>
        <tr r="T20" s="24"/>
      </tp>
      <tp t="e">
        <v>#N/A</v>
        <stp/>
        <stp>BDH|15162082773915523311</stp>
        <tr r="G30" s="21"/>
      </tp>
      <tp t="e">
        <v>#N/A</v>
        <stp/>
        <stp>BDH|13162582939440840169</stp>
        <tr r="H100" s="18"/>
      </tp>
      <tp t="e">
        <v>#N/A</v>
        <stp/>
        <stp>BDH|10395823603618828443</stp>
        <tr r="U74" s="34"/>
      </tp>
      <tp t="e">
        <v>#N/A</v>
        <stp/>
        <stp>BDH|12164635745683909708</stp>
        <tr r="P77" s="12"/>
      </tp>
      <tp t="e">
        <v>#N/A</v>
        <stp/>
        <stp>BDH|10632395559180024289</stp>
        <tr r="X25" s="27"/>
      </tp>
      <tp t="e">
        <v>#N/A</v>
        <stp/>
        <stp>BDH|17734038572923094787</stp>
        <tr r="V23" s="26"/>
      </tp>
      <tp t="e">
        <v>#N/A</v>
        <stp/>
        <stp>BDH|15952571770271733279</stp>
        <tr r="AA20" s="26"/>
      </tp>
      <tp t="e">
        <v>#N/A</v>
        <stp/>
        <stp>BDH|10370114215931031595</stp>
        <tr r="X22" s="12"/>
      </tp>
      <tp t="e">
        <v>#N/A</v>
        <stp/>
        <stp>BDH|11839220503105751204</stp>
        <tr r="AA175" s="18"/>
      </tp>
      <tp t="e">
        <v>#N/A</v>
        <stp/>
        <stp>BDH|17837099872456555288</stp>
        <tr r="X8" s="23"/>
      </tp>
      <tp t="e">
        <v>#N/A</v>
        <stp/>
        <stp>BDH|11199020501740491584</stp>
        <tr r="R18" s="25"/>
      </tp>
      <tp t="e">
        <v>#N/A</v>
        <stp/>
        <stp>BDH|10562591031246475471</stp>
        <tr r="Y9" s="13"/>
      </tp>
      <tp t="e">
        <v>#N/A</v>
        <stp/>
        <stp>BDH|15653151159193424605</stp>
        <tr r="R13" s="30"/>
      </tp>
      <tp t="e">
        <v>#N/A</v>
        <stp/>
        <stp>BDH|18009802323123477596</stp>
        <tr r="F77" s="24"/>
      </tp>
      <tp t="e">
        <v>#N/A</v>
        <stp/>
        <stp>BDH|13917297713911858558</stp>
        <tr r="O30" s="11"/>
        <tr r="O39" s="10"/>
      </tp>
      <tp t="e">
        <v>#N/A</v>
        <stp/>
        <stp>BDH|15416983851025334803</stp>
        <tr r="N8" s="22"/>
      </tp>
      <tp t="e">
        <v>#N/A</v>
        <stp/>
        <stp>BDH|11271591723147419524</stp>
        <tr r="W114" s="12"/>
      </tp>
      <tp t="e">
        <v>#N/A</v>
        <stp/>
        <stp>BDH|17380598692396089969</stp>
        <tr r="C61" s="24"/>
      </tp>
      <tp t="e">
        <v>#N/A</v>
        <stp/>
        <stp>BDH|17999138914062156116</stp>
        <tr r="E7" s="28"/>
      </tp>
      <tp t="e">
        <v>#N/A</v>
        <stp/>
        <stp>BDH|11366404632854639698</stp>
        <tr r="K23" s="25"/>
        <tr r="I20" s="11"/>
      </tp>
      <tp t="e">
        <v>#N/A</v>
        <stp/>
        <stp>BDH|11766400125522979154</stp>
        <tr r="K147" s="18"/>
      </tp>
      <tp t="e">
        <v>#N/A</v>
        <stp/>
        <stp>BDH|17593149813111991258</stp>
        <tr r="I19" s="26"/>
      </tp>
      <tp t="e">
        <v>#N/A</v>
        <stp/>
        <stp>BDH|17990348504160044074</stp>
        <tr r="J68" s="12"/>
      </tp>
      <tp t="e">
        <v>#N/A</v>
        <stp/>
        <stp>BDH|12929904445688525372</stp>
        <tr r="L32" s="22"/>
      </tp>
      <tp t="e">
        <v>#N/A</v>
        <stp/>
        <stp>BDH|11559168166421270399</stp>
        <tr r="D17" s="21"/>
      </tp>
      <tp t="e">
        <v>#N/A</v>
        <stp/>
        <stp>BDH|15056060028644866782</stp>
        <tr r="T49" s="12"/>
      </tp>
      <tp t="e">
        <v>#N/A</v>
        <stp/>
        <stp>BDH|17364282048577535285</stp>
        <tr r="Z101" s="18"/>
      </tp>
      <tp t="e">
        <v>#N/A</v>
        <stp/>
        <stp>BDH|11814387929157778307</stp>
        <tr r="V26" s="18"/>
      </tp>
      <tp t="e">
        <v>#N/A</v>
        <stp/>
        <stp>BDH|11087122584864137896</stp>
        <tr r="J38" s="29"/>
        <tr r="J15" s="29"/>
      </tp>
      <tp t="e">
        <v>#N/A</v>
        <stp/>
        <stp>BDH|10707650124531000183</stp>
        <tr r="M55" s="11"/>
      </tp>
      <tp t="e">
        <v>#N/A</v>
        <stp/>
        <stp>BDH|16935066419351928211</stp>
        <tr r="I48" s="24"/>
      </tp>
      <tp t="e">
        <v>#N/A</v>
        <stp/>
        <stp>BDH|16867538774927979785</stp>
        <tr r="L16" s="28"/>
        <tr r="L13" s="17"/>
      </tp>
      <tp t="e">
        <v>#N/A</v>
        <stp/>
        <stp>BDH|13343643460113102483</stp>
        <tr r="K64" s="21"/>
      </tp>
      <tp t="e">
        <v>#N/A</v>
        <stp/>
        <stp>BDH|15423822373659805733</stp>
        <tr r="C91" s="24"/>
      </tp>
      <tp t="e">
        <v>#N/A</v>
        <stp/>
        <stp>BDH|13290778884289648193</stp>
        <tr r="AA40" s="24"/>
      </tp>
      <tp t="e">
        <v>#N/A</v>
        <stp/>
        <stp>BDH|17231090346701427672</stp>
        <tr r="U6" s="15"/>
        <tr r="U6" s="10"/>
        <tr r="U11" s="4"/>
        <tr r="U12" s="2"/>
      </tp>
      <tp t="e">
        <v>#N/A</v>
        <stp/>
        <stp>BDH|10424533020526982508</stp>
        <tr r="H16" s="25"/>
      </tp>
      <tp t="e">
        <v>#N/A</v>
        <stp/>
        <stp>BDH|14904616960237129772</stp>
        <tr r="E16" s="21"/>
      </tp>
      <tp t="e">
        <v>#N/A</v>
        <stp/>
        <stp>BDH|13463418994373324834</stp>
        <tr r="I54" s="12"/>
      </tp>
      <tp t="e">
        <v>#N/A</v>
        <stp/>
        <stp>BDH|12652056683396923988</stp>
        <tr r="J8" s="11"/>
      </tp>
      <tp t="e">
        <v>#N/A</v>
        <stp/>
        <stp>BDH|15215554531384661219</stp>
        <tr r="U65" s="17"/>
      </tp>
      <tp t="e">
        <v>#N/A</v>
        <stp/>
        <stp>BDH|16448198906156222486</stp>
        <tr r="W132" s="18"/>
      </tp>
      <tp t="e">
        <v>#N/A</v>
        <stp/>
        <stp>BDH|11412419244217765374</stp>
        <tr r="S17" s="28"/>
        <tr r="S14" s="17"/>
      </tp>
      <tp t="e">
        <v>#N/A</v>
        <stp/>
        <stp>BDH|11936318864485412496</stp>
        <tr r="I49" s="21"/>
      </tp>
      <tp t="e">
        <v>#N/A</v>
        <stp/>
        <stp>BDH|10214598834197962476</stp>
        <tr r="E8" s="22"/>
      </tp>
      <tp t="e">
        <v>#N/A</v>
        <stp/>
        <stp>BDH|13065400546324283255</stp>
        <tr r="N65" s="21"/>
        <tr r="L23" s="7"/>
      </tp>
      <tp t="e">
        <v>#N/A</v>
        <stp/>
        <stp>BDH|16348408942164475742</stp>
        <tr r="D48" s="17"/>
      </tp>
      <tp t="e">
        <v>#N/A</v>
        <stp/>
        <stp>BDH|17809780864986222574</stp>
        <tr r="T13" s="22"/>
      </tp>
      <tp t="e">
        <v>#N/A</v>
        <stp/>
        <stp>BDH|12109387585684468899</stp>
        <tr r="U34" s="25"/>
        <tr r="U93" s="17"/>
      </tp>
      <tp t="e">
        <v>#N/A</v>
        <stp/>
        <stp>BDH|18171811680585897894</stp>
        <tr r="S43" s="12"/>
      </tp>
      <tp t="e">
        <v>#N/A</v>
        <stp/>
        <stp>BDH|17790130716353176123</stp>
        <tr r="G28" s="22"/>
      </tp>
      <tp t="e">
        <v>#N/A</v>
        <stp/>
        <stp>BDH|12837622527842967151</stp>
        <tr r="G61" s="11"/>
        <tr r="G70" s="10"/>
        <tr r="G20" s="7"/>
      </tp>
      <tp t="e">
        <v>#N/A</v>
        <stp/>
        <stp>BDH|15864428760773967121</stp>
        <tr r="G77" s="12"/>
      </tp>
      <tp t="e">
        <v>#N/A</v>
        <stp/>
        <stp>BDH|16482603161503208063</stp>
        <tr r="P116" s="12"/>
      </tp>
      <tp t="e">
        <v>#N/A</v>
        <stp/>
        <stp>BDH|12517037409812842567</stp>
        <tr r="Y39" s="29"/>
        <tr r="Y16" s="29"/>
      </tp>
      <tp t="e">
        <v>#N/A</v>
        <stp/>
        <stp>BDH|14787733537121622444</stp>
        <tr r="Z9" s="28"/>
      </tp>
      <tp t="e">
        <v>#N/A</v>
        <stp/>
        <stp>BDH|17211600545375761517</stp>
        <tr r="R80" s="18"/>
      </tp>
      <tp t="e">
        <v>#N/A</v>
        <stp/>
        <stp>BDH|16440560535292331757</stp>
        <tr r="AA23" s="24"/>
      </tp>
      <tp t="e">
        <v>#N/A</v>
        <stp/>
        <stp>BDH|15005247770596155345</stp>
        <tr r="N174" s="18"/>
      </tp>
      <tp t="e">
        <v>#N/A</v>
        <stp/>
        <stp>BDH|13439504637854243409</stp>
        <tr r="X50" s="13"/>
      </tp>
      <tp t="e">
        <v>#N/A</v>
        <stp/>
        <stp>BDH|12243576945406331027</stp>
        <tr r="H22" s="21"/>
      </tp>
      <tp t="e">
        <v>#N/A</v>
        <stp/>
        <stp>BDH|15831285060160402455</stp>
        <tr r="Y10" s="22"/>
      </tp>
      <tp t="e">
        <v>#N/A</v>
        <stp/>
        <stp>BDH|12922225961274970723</stp>
        <tr r="C80" s="18"/>
      </tp>
      <tp t="e">
        <v>#N/A</v>
        <stp/>
        <stp>BDH|16470548803444280202</stp>
        <tr r="K50" s="18"/>
      </tp>
      <tp t="e">
        <v>#N/A</v>
        <stp/>
        <stp>BDH|15804992884300604120</stp>
        <tr r="Y93" s="18"/>
      </tp>
      <tp t="e">
        <v>#N/A</v>
        <stp/>
        <stp>BDH|12806219252995376596</stp>
        <tr r="R23" s="25"/>
        <tr r="P20" s="11"/>
      </tp>
      <tp t="e">
        <v>#N/A</v>
        <stp/>
        <stp>BDH|15446633109490954667</stp>
        <tr r="D45" s="12"/>
      </tp>
      <tp t="e">
        <v>#N/A</v>
        <stp/>
        <stp>BDH|16610732225257900181</stp>
        <tr r="Y79" s="17"/>
        <tr r="V9" s="9"/>
        <tr r="V9" s="5"/>
      </tp>
      <tp t="e">
        <v>#N/A</v>
        <stp/>
        <stp>BDH|15944663234003374690</stp>
        <tr r="Z19" s="20"/>
      </tp>
      <tp t="e">
        <v>#N/A</v>
        <stp/>
        <stp>BDH|11803185423396557174</stp>
        <tr r="I38" s="22"/>
      </tp>
      <tp t="e">
        <v>#N/A</v>
        <stp/>
        <stp>BDH|17364222878126806102</stp>
        <tr r="J94" s="24"/>
      </tp>
      <tp t="e">
        <v>#N/A</v>
        <stp/>
        <stp>BDH|11771670657080265746</stp>
        <tr r="Q79" s="34"/>
      </tp>
      <tp t="e">
        <v>#N/A</v>
        <stp/>
        <stp>BDH|17413419765822213236</stp>
        <tr r="W130" s="18"/>
      </tp>
      <tp t="e">
        <v>#N/A</v>
        <stp/>
        <stp>BDH|14574202056545344313</stp>
        <tr r="C63" s="21"/>
      </tp>
      <tp t="e">
        <v>#N/A</v>
        <stp/>
        <stp>BDH|10640859332966424841</stp>
        <tr r="Q7" s="34"/>
      </tp>
      <tp t="e">
        <v>#N/A</v>
        <stp/>
        <stp>BDH|14314857949709813466</stp>
        <tr r="U65" s="21"/>
        <tr r="S23" s="7"/>
      </tp>
      <tp t="e">
        <v>#N/A</v>
        <stp/>
        <stp>BDH|17818414325686914244</stp>
        <tr r="U9" s="23"/>
      </tp>
      <tp t="e">
        <v>#N/A</v>
        <stp/>
        <stp>BDH|17686187564917204290</stp>
        <tr r="C54" s="24"/>
      </tp>
      <tp t="e">
        <v>#N/A</v>
        <stp/>
        <stp>BDH|10903697121370256127</stp>
        <tr r="N72" s="24"/>
      </tp>
      <tp t="e">
        <v>#N/A</v>
        <stp/>
        <stp>BDH|17523258222443539168</stp>
        <tr r="Q51" s="13"/>
      </tp>
      <tp t="e">
        <v>#N/A</v>
        <stp/>
        <stp>BDH|12048451835784022415</stp>
        <tr r="R26" s="27"/>
      </tp>
      <tp t="e">
        <v>#N/A</v>
        <stp/>
        <stp>BDH|13318195515037794198</stp>
        <tr r="M9" s="11"/>
      </tp>
      <tp t="e">
        <v>#N/A</v>
        <stp/>
        <stp>BDH|17118236953421279421</stp>
        <tr r="L63" s="11"/>
        <tr r="L72" s="10"/>
      </tp>
      <tp t="e">
        <v>#N/A</v>
        <stp/>
        <stp>BDH|17458263776464628335</stp>
        <tr r="Z19" s="23"/>
        <tr r="X59" s="11"/>
      </tp>
      <tp t="e">
        <v>#N/A</v>
        <stp/>
        <stp>BDH|10424294343151940266</stp>
        <tr r="N8" s="14"/>
      </tp>
      <tp t="e">
        <v>#N/A</v>
        <stp/>
        <stp>BDH|18225930414447121250</stp>
        <tr r="L81" s="18"/>
      </tp>
      <tp t="e">
        <v>#N/A</v>
        <stp/>
        <stp>BDH|14596382090163587896</stp>
        <tr r="H62" s="34"/>
      </tp>
      <tp t="e">
        <v>#N/A</v>
        <stp/>
        <stp>BDH|16707002575850697457</stp>
        <tr r="C171" s="18"/>
      </tp>
      <tp t="e">
        <v>#N/A</v>
        <stp/>
        <stp>BDH|11479733172583032759</stp>
        <tr r="D175" s="18"/>
      </tp>
      <tp t="e">
        <v>#N/A</v>
        <stp/>
        <stp>BDH|17670779817524237042</stp>
        <tr r="X127" s="12"/>
      </tp>
      <tp t="e">
        <v>#N/A</v>
        <stp/>
        <stp>BDH|11236938066762506926</stp>
        <tr r="L20" s="5"/>
      </tp>
      <tp t="e">
        <v>#N/A</v>
        <stp/>
        <stp>BDH|16886756011422972757</stp>
        <tr r="Z26" s="13"/>
      </tp>
      <tp t="e">
        <v>#N/A</v>
        <stp/>
        <stp>BDH|13825416628711112108</stp>
        <tr r="S15" s="11"/>
      </tp>
      <tp t="e">
        <v>#N/A</v>
        <stp/>
        <stp>BDH|14155345838620892156</stp>
        <tr r="R62" s="18"/>
      </tp>
      <tp t="e">
        <v>#N/A</v>
        <stp/>
        <stp>BDH|16392678233787683117</stp>
        <tr r="V82" s="12"/>
      </tp>
      <tp t="e">
        <v>#N/A</v>
        <stp/>
        <stp>BDH|16143749156429179821</stp>
        <tr r="L63" s="24"/>
      </tp>
      <tp t="e">
        <v>#N/A</v>
        <stp/>
        <stp>BDH|14324154446825078106</stp>
        <tr r="J42" s="4"/>
      </tp>
      <tp t="e">
        <v>#N/A</v>
        <stp/>
        <stp>BDH|10174520167995438302</stp>
        <tr r="Z15" s="21"/>
      </tp>
      <tp t="e">
        <v>#N/A</v>
        <stp/>
        <stp>BDH|11740153911413450778</stp>
        <tr r="M8" s="2"/>
      </tp>
      <tp t="e">
        <v>#N/A</v>
        <stp/>
        <stp>BDH|14514526168227682593</stp>
        <tr r="E7" s="10"/>
      </tp>
      <tp t="e">
        <v>#N/A</v>
        <stp/>
        <stp>BDH|17283615212902726768</stp>
        <tr r="T92" s="12"/>
      </tp>
      <tp t="e">
        <v>#N/A</v>
        <stp/>
        <stp>BDH|14947750677290825139</stp>
        <tr r="R28" s="24"/>
      </tp>
      <tp t="e">
        <v>#N/A</v>
        <stp/>
        <stp>BDH|11893885774643168851</stp>
        <tr r="X13" s="20"/>
        <tr r="X122" s="18"/>
      </tp>
      <tp t="e">
        <v>#N/A</v>
        <stp/>
        <stp>BDH|18288976836671725647</stp>
        <tr r="V81" s="17"/>
      </tp>
      <tp t="e">
        <v>#N/A</v>
        <stp/>
        <stp>BDH|10643125553518589920</stp>
        <tr r="R105" s="18"/>
      </tp>
      <tp t="e">
        <v>#N/A</v>
        <stp/>
        <stp>BDH|10664302509821707780</stp>
        <tr r="AA61" s="34"/>
      </tp>
      <tp t="e">
        <v>#N/A</v>
        <stp/>
        <stp>BDH|16812393379944943313</stp>
        <tr r="S45" s="34"/>
      </tp>
      <tp t="e">
        <v>#N/A</v>
        <stp/>
        <stp>BDH|10415508950087534216</stp>
        <tr r="Q7" s="24"/>
      </tp>
      <tp t="e">
        <v>#N/A</v>
        <stp/>
        <stp>BDH|10583316385508452652</stp>
        <tr r="S34" s="29"/>
      </tp>
      <tp t="e">
        <v>#N/A</v>
        <stp/>
        <stp>BDH|16466740940847047709</stp>
        <tr r="M91" s="24"/>
      </tp>
      <tp t="e">
        <v>#N/A</v>
        <stp/>
        <stp>BDH|13129354702185669002</stp>
        <tr r="V41" s="17"/>
      </tp>
      <tp t="e">
        <v>#N/A</v>
        <stp/>
        <stp>BDH|15991605558765417659</stp>
        <tr r="AA15" s="34"/>
      </tp>
      <tp t="e">
        <v>#N/A</v>
        <stp/>
        <stp>BDH|14132906665877075949</stp>
        <tr r="J20" s="10"/>
      </tp>
      <tp t="e">
        <v>#N/A</v>
        <stp/>
        <stp>BDH|17899726002240863509</stp>
        <tr r="H20" s="18"/>
      </tp>
      <tp t="e">
        <v>#N/A</v>
        <stp/>
        <stp>BDH|11881649092169740296</stp>
        <tr r="R156" s="18"/>
      </tp>
      <tp t="e">
        <v>#N/A</v>
        <stp/>
        <stp>BDH|10181294049254395725</stp>
        <tr r="E22" s="20"/>
      </tp>
      <tp t="e">
        <v>#N/A</v>
        <stp/>
        <stp>BDH|15502392387449976223</stp>
        <tr r="T23" s="26"/>
      </tp>
      <tp t="e">
        <v>#N/A</v>
        <stp/>
        <stp>BDH|14246794169194341414</stp>
        <tr r="AA102" s="12"/>
      </tp>
      <tp t="e">
        <v>#N/A</v>
        <stp/>
        <stp>BDH|12546383425037008186</stp>
        <tr r="T48" s="6"/>
      </tp>
      <tp t="e">
        <v>#N/A</v>
        <stp/>
        <stp>BDH|12940191072067362612</stp>
        <tr r="L59" s="24"/>
      </tp>
      <tp t="e">
        <v>#N/A</v>
        <stp/>
        <stp>BDH|11268017212337644276</stp>
        <tr r="E108" s="18"/>
      </tp>
      <tp t="e">
        <v>#N/A</v>
        <stp/>
        <stp>BDH|17537424033894792136</stp>
        <tr r="R29" s="17"/>
      </tp>
      <tp t="e">
        <v>#N/A</v>
        <stp/>
        <stp>BDH|16437744916607377256</stp>
        <tr r="G21" s="4"/>
      </tp>
      <tp t="e">
        <v>#N/A</v>
        <stp/>
        <stp>BDH|11641379207360795717</stp>
        <tr r="N33" s="12"/>
      </tp>
      <tp t="e">
        <v>#N/A</v>
        <stp/>
        <stp>BDH|10813358631781894440</stp>
        <tr r="Z59" s="34"/>
      </tp>
      <tp t="e">
        <v>#N/A</v>
        <stp/>
        <stp>BDH|16917305071055929211</stp>
        <tr r="X9" s="18"/>
      </tp>
      <tp t="e">
        <v>#N/A</v>
        <stp/>
        <stp>BDH|18048672646509758661</stp>
        <tr r="Y63" s="13"/>
      </tp>
      <tp t="e">
        <v>#N/A</v>
        <stp/>
        <stp>BDH|13228430508563908100</stp>
        <tr r="H147" s="18"/>
      </tp>
      <tp t="e">
        <v>#N/A</v>
        <stp/>
        <stp>BDH|14061665821403683619</stp>
        <tr r="G113" s="18"/>
      </tp>
      <tp t="e">
        <v>#N/A</v>
        <stp/>
        <stp>BDH|13476134066820645179</stp>
        <tr r="F11" s="30"/>
      </tp>
      <tp t="e">
        <v>#N/A</v>
        <stp/>
        <stp>BDH|13133916823419446470</stp>
        <tr r="H58" s="34"/>
      </tp>
      <tp t="e">
        <v>#N/A</v>
        <stp/>
        <stp>BDH|14180671663664681532</stp>
        <tr r="W21" s="20"/>
      </tp>
      <tp t="e">
        <v>#N/A</v>
        <stp/>
        <stp>BDH|15776620225267463346</stp>
        <tr r="F15" s="34"/>
      </tp>
      <tp t="e">
        <v>#N/A</v>
        <stp/>
        <stp>BDH|14166960334722234917</stp>
        <tr r="E36" s="29"/>
        <tr r="E22" s="29"/>
        <tr r="E13" s="29"/>
      </tp>
      <tp t="e">
        <v>#N/A</v>
        <stp/>
        <stp>BDH|15783265479971973416</stp>
        <tr r="U58" s="18"/>
      </tp>
      <tp t="e">
        <v>#N/A</v>
        <stp/>
        <stp>BDH|12004258811875760132</stp>
        <tr r="N70" s="12"/>
      </tp>
      <tp t="e">
        <v>#N/A</v>
        <stp/>
        <stp>BDH|13234052563593303370</stp>
        <tr r="O8" s="21"/>
      </tp>
      <tp t="e">
        <v>#N/A</v>
        <stp/>
        <stp>BDH|11341270311676315167</stp>
        <tr r="W27" s="6"/>
      </tp>
      <tp t="e">
        <v>#N/A</v>
        <stp/>
        <stp>BDH|14963662055681180381</stp>
        <tr r="Y86" s="24"/>
      </tp>
      <tp t="e">
        <v>#N/A</v>
        <stp/>
        <stp>BDH|18392021695186576225</stp>
        <tr r="E9" s="8"/>
        <tr r="C52" s="6"/>
      </tp>
      <tp t="e">
        <v>#N/A</v>
        <stp/>
        <stp>BDH|15174219656136124146</stp>
        <tr r="O37" s="26"/>
      </tp>
      <tp t="e">
        <v>#N/A</v>
        <stp/>
        <stp>BDH|17635413603132786402</stp>
        <tr r="V85" s="12"/>
      </tp>
      <tp t="e">
        <v>#N/A</v>
        <stp/>
        <stp>BDH|12403645591141460969</stp>
        <tr r="N23" s="13"/>
      </tp>
      <tp t="e">
        <v>#N/A</v>
        <stp/>
        <stp>BDH|18308847336425117338</stp>
        <tr r="H32" s="18"/>
      </tp>
      <tp t="e">
        <v>#N/A</v>
        <stp/>
        <stp>BDH|14674899789612139341</stp>
        <tr r="I166" s="18"/>
      </tp>
      <tp t="e">
        <v>#N/A</v>
        <stp/>
        <stp>BDH|12444499008723123072</stp>
        <tr r="I50" s="18"/>
      </tp>
      <tp t="e">
        <v>#N/A</v>
        <stp/>
        <stp>BDH|13673368948704850534</stp>
        <tr r="Z56" s="18"/>
      </tp>
      <tp t="e">
        <v>#N/A</v>
        <stp/>
        <stp>BDH|11721781444320002789</stp>
        <tr r="Q12" s="21"/>
      </tp>
      <tp t="e">
        <v>#N/A</v>
        <stp/>
        <stp>BDH|14486743233777225227</stp>
        <tr r="H11" s="6"/>
      </tp>
      <tp t="e">
        <v>#N/A</v>
        <stp/>
        <stp>BDH|15324639646014325660</stp>
        <tr r="N50" s="21"/>
      </tp>
      <tp t="e">
        <v>#N/A</v>
        <stp/>
        <stp>BDH|15968816292899959805</stp>
        <tr r="N24" s="29"/>
      </tp>
      <tp t="e">
        <v>#N/A</v>
        <stp/>
        <stp>BDH|13388232248156333687</stp>
        <tr r="K183" s="18"/>
      </tp>
      <tp t="e">
        <v>#N/A</v>
        <stp/>
        <stp>BDH|15012315845470081777</stp>
        <tr r="E67" s="18"/>
      </tp>
      <tp t="e">
        <v>#N/A</v>
        <stp/>
        <stp>BDH|16227693614293957759</stp>
        <tr r="N41" s="21"/>
      </tp>
      <tp t="e">
        <v>#N/A</v>
        <stp/>
        <stp>BDH|17373916274889363561</stp>
        <tr r="N141" s="18"/>
      </tp>
      <tp t="e">
        <v>#N/A</v>
        <stp/>
        <stp>BDH|15543504453391473119</stp>
        <tr r="S51" s="24"/>
      </tp>
      <tp t="e">
        <v>#N/A</v>
        <stp/>
        <stp>BDH|13463595065460290593</stp>
        <tr r="U21" s="20"/>
      </tp>
      <tp t="e">
        <v>#N/A</v>
        <stp/>
        <stp>BDH|10943779030288434990</stp>
        <tr r="Q44" s="24"/>
      </tp>
      <tp t="e">
        <v>#N/A</v>
        <stp/>
        <stp>BDH|13227468956336759160</stp>
        <tr r="O30" s="18"/>
      </tp>
      <tp t="e">
        <v>#N/A</v>
        <stp/>
        <stp>BDH|15689379728236899726</stp>
        <tr r="Z38" s="26"/>
      </tp>
      <tp t="e">
        <v>#N/A</v>
        <stp/>
        <stp>BDH|11040276938575499082</stp>
        <tr r="F41" s="11"/>
        <tr r="F50" s="10"/>
        <tr r="F8" s="7"/>
        <tr r="H11" s="3"/>
      </tp>
      <tp t="e">
        <v>#N/A</v>
        <stp/>
        <stp>BDH|16581572203423547576</stp>
        <tr r="K78" s="24"/>
      </tp>
      <tp t="e">
        <v>#N/A</v>
        <stp/>
        <stp>BDH|10187266330352603621</stp>
        <tr r="W25" s="26"/>
      </tp>
      <tp t="e">
        <v>#N/A</v>
        <stp/>
        <stp>BDH|15052035471222596547</stp>
        <tr r="S34" s="25"/>
        <tr r="S93" s="17"/>
      </tp>
      <tp t="e">
        <v>#N/A</v>
        <stp/>
        <stp>BDH|10260860222556033953</stp>
        <tr r="S47" s="13"/>
      </tp>
      <tp t="e">
        <v>#N/A</v>
        <stp/>
        <stp>BDH|17307739751921301113</stp>
        <tr r="N34" s="25"/>
        <tr r="N93" s="17"/>
      </tp>
      <tp t="e">
        <v>#N/A</v>
        <stp/>
        <stp>BDH|14926546840612853265</stp>
        <tr r="G43" s="18"/>
      </tp>
      <tp t="e">
        <v>#N/A</v>
        <stp/>
        <stp>BDH|16488507721403504739</stp>
        <tr r="D214" s="18"/>
      </tp>
      <tp t="e">
        <v>#N/A</v>
        <stp/>
        <stp>BDH|13364015560601320125</stp>
        <tr r="H25" s="13"/>
      </tp>
      <tp t="e">
        <v>#N/A</v>
        <stp/>
        <stp>BDH|13138550656323337522</stp>
        <tr r="S55" s="13"/>
        <tr r="Q37" s="11"/>
        <tr r="Q46" s="10"/>
        <tr r="Q53" s="4"/>
        <tr r="Q18" s="2"/>
      </tp>
      <tp t="e">
        <v>#N/A</v>
        <stp/>
        <stp>BDH|17689068207591427306</stp>
        <tr r="H11" s="14"/>
      </tp>
      <tp t="e">
        <v>#N/A</v>
        <stp/>
        <stp>BDH|15638110952035213143</stp>
        <tr r="P11" s="10"/>
        <tr r="P14" s="2"/>
      </tp>
      <tp t="e">
        <v>#N/A</v>
        <stp/>
        <stp>BDH|10223994519278021517</stp>
        <tr r="Y14" s="23"/>
      </tp>
      <tp t="e">
        <v>#N/A</v>
        <stp/>
        <stp>BDH|12197235607985236046</stp>
        <tr r="J11" s="29"/>
      </tp>
      <tp t="e">
        <v>#N/A</v>
        <stp/>
        <stp>BDH|18253180748471457954</stp>
        <tr r="P15" s="11"/>
      </tp>
      <tp t="e">
        <v>#N/A</v>
        <stp/>
        <stp>BDH|17589969060275503854</stp>
        <tr r="S50" s="34"/>
      </tp>
      <tp t="e">
        <v>#N/A</v>
        <stp/>
        <stp>BDH|14569722000446724035</stp>
        <tr r="G11" s="13"/>
      </tp>
      <tp t="e">
        <v>#N/A</v>
        <stp/>
        <stp>BDH|18308709725920155842</stp>
        <tr r="M70" s="34"/>
      </tp>
      <tp t="e">
        <v>#N/A</v>
        <stp/>
        <stp>BDH|13709204931286232172</stp>
        <tr r="X8" s="26"/>
        <tr r="U10" s="9"/>
      </tp>
      <tp t="e">
        <v>#N/A</v>
        <stp/>
        <stp>BDH|16288212254532318679</stp>
        <tr r="N67" s="21"/>
      </tp>
      <tp t="e">
        <v>#N/A</v>
        <stp/>
        <stp>BDH|17930507072528010887</stp>
        <tr r="J54" s="12"/>
      </tp>
      <tp t="e">
        <v>#N/A</v>
        <stp/>
        <stp>BDH|10977302707657509185</stp>
        <tr r="T93" s="18"/>
      </tp>
      <tp t="e">
        <v>#N/A</v>
        <stp/>
        <stp>BDH|15768166702154815586</stp>
        <tr r="M22" s="27"/>
      </tp>
      <tp t="e">
        <v>#N/A</v>
        <stp/>
        <stp>BDH|13615300603526439321</stp>
        <tr r="AA17" s="34"/>
      </tp>
      <tp t="e">
        <v>#N/A</v>
        <stp/>
        <stp>BDH|10123140921274758203</stp>
        <tr r="X113" s="18"/>
      </tp>
      <tp t="e">
        <v>#N/A</v>
        <stp/>
        <stp>BDH|17839771457318361882</stp>
        <tr r="G42" s="4"/>
      </tp>
      <tp t="e">
        <v>#N/A</v>
        <stp/>
        <stp>BDH|16619769733970835787</stp>
        <tr r="N34" s="24"/>
      </tp>
      <tp t="e">
        <v>#N/A</v>
        <stp/>
        <stp>BDH|14356082880331935812</stp>
        <tr r="J44" s="13"/>
        <tr r="H28" s="11"/>
        <tr r="H37" s="10"/>
      </tp>
      <tp t="e">
        <v>#N/A</v>
        <stp/>
        <stp>BDH|16551544827226341262</stp>
        <tr r="G97" s="12"/>
      </tp>
      <tp t="e">
        <v>#N/A</v>
        <stp/>
        <stp>BDH|11009078273620038378</stp>
        <tr r="X88" s="18"/>
      </tp>
      <tp t="e">
        <v>#N/A</v>
        <stp/>
        <stp>BDH|12411681438806794404</stp>
        <tr r="S94" s="17"/>
      </tp>
      <tp t="e">
        <v>#N/A</v>
        <stp/>
        <stp>BDH|12291913677801376841</stp>
        <tr r="Y46" s="12"/>
      </tp>
      <tp t="e">
        <v>#N/A</v>
        <stp/>
        <stp>BDH|14333565119542725785</stp>
        <tr r="F105" s="18"/>
      </tp>
      <tp t="e">
        <v>#N/A</v>
        <stp/>
        <stp>BDH|17773201795101116802</stp>
        <tr r="Q58" s="13"/>
        <tr r="O47" s="11"/>
        <tr r="O56" s="10"/>
        <tr r="O17" s="7"/>
        <tr r="O17" s="4"/>
        <tr r="Q10" s="3"/>
      </tp>
      <tp t="e">
        <v>#N/A</v>
        <stp/>
        <stp>BDH|13448628102003644303</stp>
        <tr r="Z40" s="24"/>
      </tp>
      <tp t="e">
        <v>#N/A</v>
        <stp/>
        <stp>BDH|13719795343242742789</stp>
        <tr r="G90" s="12"/>
      </tp>
      <tp t="e">
        <v>#N/A</v>
        <stp/>
        <stp>BDH|11078212434157763209</stp>
        <tr r="S76" s="12"/>
      </tp>
      <tp t="e">
        <v>#N/A</v>
        <stp/>
        <stp>BDH|14524264331423495340</stp>
        <tr r="P7" s="14"/>
      </tp>
      <tp t="e">
        <v>#N/A</v>
        <stp/>
        <stp>BDH|13176399880164975932</stp>
        <tr r="O26" s="7"/>
      </tp>
      <tp t="e">
        <v>#N/A</v>
        <stp/>
        <stp>BDH|17009912788961203291</stp>
        <tr r="Y42" s="12"/>
      </tp>
      <tp t="e">
        <v>#N/A</v>
        <stp/>
        <stp>BDH|10563868253460183838</stp>
        <tr r="D82" s="18"/>
      </tp>
      <tp t="e">
        <v>#N/A</v>
        <stp/>
        <stp>BDH|12066314805880252445</stp>
        <tr r="R69" s="18"/>
      </tp>
      <tp t="e">
        <v>#N/A</v>
        <stp/>
        <stp>BDH|14773168750733139623</stp>
        <tr r="Y120" s="12"/>
      </tp>
      <tp t="e">
        <v>#N/A</v>
        <stp/>
        <stp>BDH|10661771140853723545</stp>
        <tr r="D19" s="28"/>
        <tr r="D16" s="17"/>
      </tp>
      <tp t="e">
        <v>#N/A</v>
        <stp/>
        <stp>BDH|11344819132546610941</stp>
        <tr r="W75" s="12"/>
      </tp>
      <tp t="e">
        <v>#N/A</v>
        <stp/>
        <stp>BDH|16633590247267996530</stp>
        <tr r="H74" s="17"/>
      </tp>
      <tp t="e">
        <v>#N/A</v>
        <stp/>
        <stp>BDH|12559858503107641877</stp>
        <tr r="D211" s="18"/>
      </tp>
      <tp t="e">
        <v>#N/A</v>
        <stp/>
        <stp>BDH|16248014037100674009</stp>
        <tr r="R22" s="6"/>
      </tp>
      <tp t="e">
        <v>#N/A</v>
        <stp/>
        <stp>BDH|16330446225163028609</stp>
        <tr r="C9" s="25"/>
        <tr r="C44" s="17"/>
      </tp>
      <tp t="e">
        <v>#N/A</v>
        <stp/>
        <stp>BDH|13496441807145531705</stp>
        <tr r="I49" s="24"/>
      </tp>
      <tp t="e">
        <v>#N/A</v>
        <stp/>
        <stp>BDH|13310692149023087714</stp>
        <tr r="U62" s="21"/>
        <tr r="S25" s="2"/>
      </tp>
      <tp t="e">
        <v>#N/A</v>
        <stp/>
        <stp>BDH|11188256307834218238</stp>
        <tr r="M60" s="18"/>
      </tp>
      <tp t="e">
        <v>#N/A</v>
        <stp/>
        <stp>BDH|13216052528474984041</stp>
        <tr r="R102" s="18"/>
      </tp>
      <tp t="e">
        <v>#N/A</v>
        <stp/>
        <stp>BDH|10893437238485502747</stp>
        <tr r="D73" s="12"/>
      </tp>
      <tp t="e">
        <v>#N/A</v>
        <stp/>
        <stp>BDH|14430706001700460639</stp>
        <tr r="N11" s="29"/>
      </tp>
      <tp t="e">
        <v>#N/A</v>
        <stp/>
        <stp>BDH|10972383233314183112</stp>
        <tr r="J10" s="18"/>
      </tp>
      <tp t="e">
        <v>#N/A</v>
        <stp/>
        <stp>BDH|14296781878187644660</stp>
        <tr r="Y45" s="21"/>
      </tp>
      <tp t="e">
        <v>#N/A</v>
        <stp/>
        <stp>BDH|13621424311851413233</stp>
        <tr r="Q60" s="11"/>
      </tp>
      <tp t="e">
        <v>#N/A</v>
        <stp/>
        <stp>BDH|17703751730785238329</stp>
        <tr r="Y35" s="25"/>
      </tp>
      <tp t="e">
        <v>#N/A</v>
        <stp/>
        <stp>BDH|10270692187172604988</stp>
        <tr r="I15" s="30"/>
      </tp>
      <tp t="e">
        <v>#N/A</v>
        <stp/>
        <stp>BDH|11313286949706372434</stp>
        <tr r="S11" s="22"/>
      </tp>
      <tp t="e">
        <v>#N/A</v>
        <stp/>
        <stp>BDH|15464224561500734427</stp>
        <tr r="H13" s="5"/>
      </tp>
      <tp t="e">
        <v>#N/A</v>
        <stp/>
        <stp>BDH|14623512044197207733</stp>
        <tr r="K38" s="25"/>
      </tp>
      <tp t="e">
        <v>#N/A</v>
        <stp/>
        <stp>BDH|10263314655034559715</stp>
        <tr r="Q42" s="34"/>
      </tp>
      <tp t="e">
        <v>#N/A</v>
        <stp/>
        <stp>BDH|18063037397495611106</stp>
        <tr r="R20" s="24"/>
      </tp>
      <tp t="e">
        <v>#N/A</v>
        <stp/>
        <stp>BDH|11635844451630659976</stp>
        <tr r="J12" s="25"/>
      </tp>
      <tp t="e">
        <v>#N/A</v>
        <stp/>
        <stp>BDH|16269223643560502542</stp>
        <tr r="X78" s="18"/>
      </tp>
      <tp t="e">
        <v>#N/A</v>
        <stp/>
        <stp>BDH|16243627718066265287</stp>
        <tr r="J28" s="24"/>
      </tp>
      <tp t="e">
        <v>#N/A</v>
        <stp/>
        <stp>BDH|16576336124410555252</stp>
        <tr r="T210" s="18"/>
      </tp>
      <tp t="e">
        <v>#N/A</v>
        <stp/>
        <stp>BDH|18166272077598072037</stp>
        <tr r="L63" s="12"/>
      </tp>
      <tp t="e">
        <v>#N/A</v>
        <stp/>
        <stp>BDH|16023602331225038330</stp>
        <tr r="J60" s="21"/>
        <tr r="H54" s="11"/>
      </tp>
      <tp t="e">
        <v>#N/A</v>
        <stp/>
        <stp>BDH|10058742671216243351</stp>
        <tr r="N66" s="13"/>
      </tp>
      <tp t="e">
        <v>#N/A</v>
        <stp/>
        <stp>BDH|13071074167201349115</stp>
        <tr r="U22" s="18"/>
      </tp>
      <tp t="e">
        <v>#N/A</v>
        <stp/>
        <stp>BDH|10168063245724413543</stp>
        <tr r="R95" s="18"/>
      </tp>
      <tp t="e">
        <v>#N/A</v>
        <stp/>
        <stp>BDH|10009507067686384069</stp>
        <tr r="F29" s="17"/>
      </tp>
      <tp t="e">
        <v>#N/A</v>
        <stp/>
        <stp>BDH|14059008888661230888</stp>
        <tr r="O136" s="18"/>
      </tp>
      <tp t="e">
        <v>#N/A</v>
        <stp/>
        <stp>BDH|12512501503555624727</stp>
        <tr r="D25" s="7"/>
      </tp>
      <tp t="e">
        <v>#N/A</v>
        <stp/>
        <stp>BDH|16460050841734654343</stp>
        <tr r="N183" s="18"/>
      </tp>
      <tp t="e">
        <v>#N/A</v>
        <stp/>
        <stp>BDH|15262893393860820128</stp>
        <tr r="U16" s="34"/>
      </tp>
      <tp t="e">
        <v>#N/A</v>
        <stp/>
        <stp>BDH|13066410551363677445</stp>
        <tr r="M40" s="29"/>
        <tr r="M17" s="29"/>
      </tp>
      <tp t="e">
        <v>#N/A</v>
        <stp/>
        <stp>BDH|12259974553279122257</stp>
        <tr r="N15" s="25"/>
      </tp>
      <tp t="e">
        <v>#N/A</v>
        <stp/>
        <stp>BDH|14864787306540146656</stp>
        <tr r="D9" s="6"/>
      </tp>
      <tp t="e">
        <v>#N/A</v>
        <stp/>
        <stp>BDH|15695787974397980713</stp>
        <tr r="M63" s="18"/>
      </tp>
      <tp t="e">
        <v>#N/A</v>
        <stp/>
        <stp>BDH|16471390164661358781</stp>
        <tr r="V155" s="18"/>
      </tp>
      <tp t="e">
        <v>#N/A</v>
        <stp/>
        <stp>BDH|18272802884358266565</stp>
        <tr r="J73" s="18"/>
      </tp>
      <tp t="e">
        <v>#N/A</v>
        <stp/>
        <stp>BDH|13123372945618413952</stp>
        <tr r="D49" s="24"/>
      </tp>
      <tp t="e">
        <v>#N/A</v>
        <stp/>
        <stp>BDH|10916445211575909574</stp>
        <tr r="W72" s="34"/>
      </tp>
      <tp t="e">
        <v>#N/A</v>
        <stp/>
        <stp>BDH|11217353452775457735</stp>
        <tr r="K13" s="24"/>
      </tp>
      <tp t="e">
        <v>#N/A</v>
        <stp/>
        <stp>BDH|10893975039986117950</stp>
        <tr r="F34" s="18"/>
      </tp>
      <tp t="e">
        <v>#N/A</v>
        <stp/>
        <stp>BDH|13044434452803589464</stp>
        <tr r="V39" s="6"/>
      </tp>
      <tp t="e">
        <v>#N/A</v>
        <stp/>
        <stp>BDH|14548661104843010427</stp>
        <tr r="S46" s="11"/>
        <tr r="S55" s="10"/>
        <tr r="S7" s="7"/>
        <tr r="U12" s="3"/>
      </tp>
      <tp t="e">
        <v>#N/A</v>
        <stp/>
        <stp>BDH|10186720176211721473</stp>
        <tr r="K66" s="12"/>
      </tp>
      <tp t="e">
        <v>#N/A</v>
        <stp/>
        <stp>BDH|15409985158464689872</stp>
        <tr r="U52" s="13"/>
      </tp>
      <tp t="e">
        <v>#N/A</v>
        <stp/>
        <stp>BDH|16713574245021977398</stp>
        <tr r="C64" s="21"/>
      </tp>
      <tp t="e">
        <v>#N/A</v>
        <stp/>
        <stp>BDH|10382347554357325454</stp>
        <tr r="V13" s="26"/>
      </tp>
      <tp t="e">
        <v>#N/A</v>
        <stp/>
        <stp>BDH|10605227021861976491</stp>
        <tr r="I20" s="5"/>
      </tp>
      <tp t="e">
        <v>#N/A</v>
        <stp/>
        <stp>BDH|10465827477382135859</stp>
        <tr r="AA13" s="22"/>
      </tp>
      <tp t="e">
        <v>#N/A</v>
        <stp/>
        <stp>BDH|14453180970144055399</stp>
        <tr r="N46" s="17"/>
      </tp>
      <tp t="e">
        <v>#N/A</v>
        <stp/>
        <stp>BDH|12285695948685503033</stp>
        <tr r="P91" s="24"/>
      </tp>
      <tp t="e">
        <v>#N/A</v>
        <stp/>
        <stp>BDH|13196749712009480960</stp>
        <tr r="T33" s="13"/>
        <tr r="R26" s="10"/>
      </tp>
      <tp t="e">
        <v>#N/A</v>
        <stp/>
        <stp>BDH|13808134078634350458</stp>
        <tr r="Z58" s="17"/>
      </tp>
      <tp t="e">
        <v>#N/A</v>
        <stp/>
        <stp>BDH|10956117429532184450</stp>
        <tr r="P67" s="34"/>
      </tp>
      <tp t="e">
        <v>#N/A</v>
        <stp/>
        <stp>BDH|13275347550020665059</stp>
        <tr r="S74" s="34"/>
      </tp>
      <tp t="e">
        <v>#N/A</v>
        <stp/>
        <stp>BDH|15361729852360272245</stp>
        <tr r="AA44" s="12"/>
      </tp>
      <tp t="e">
        <v>#N/A</v>
        <stp/>
        <stp>BDH|15522626945861144365</stp>
        <tr r="D187" s="18"/>
      </tp>
      <tp t="e">
        <v>#N/A</v>
        <stp/>
        <stp>BDH|10383916260419227355</stp>
        <tr r="Y47" s="21"/>
      </tp>
      <tp t="e">
        <v>#N/A</v>
        <stp/>
        <stp>BDH|17766028623751773143</stp>
        <tr r="Z26" s="22"/>
      </tp>
      <tp t="e">
        <v>#N/A</v>
        <stp/>
        <stp>BDH|12942335753952901355</stp>
        <tr r="H22" s="20"/>
      </tp>
      <tp t="e">
        <v>#N/A</v>
        <stp/>
        <stp>BDH|14873729532571900447</stp>
        <tr r="Z13" s="13"/>
      </tp>
      <tp t="e">
        <v>#N/A</v>
        <stp/>
        <stp>BDH|15750655799526605989</stp>
        <tr r="Y46" s="18"/>
      </tp>
      <tp t="e">
        <v>#N/A</v>
        <stp/>
        <stp>BDH|11877526313091811143</stp>
        <tr r="L57" s="18"/>
      </tp>
      <tp t="e">
        <v>#N/A</v>
        <stp/>
        <stp>BDH|14776383770797843224</stp>
        <tr r="N8" s="11"/>
      </tp>
      <tp t="e">
        <v>#N/A</v>
        <stp/>
        <stp>BDH|10708611370713220717</stp>
        <tr r="T34" s="6"/>
      </tp>
      <tp t="e">
        <v>#N/A</v>
        <stp/>
        <stp>BDH|17812783510027138343</stp>
        <tr r="AA173" s="18"/>
      </tp>
      <tp t="e">
        <v>#N/A</v>
        <stp/>
        <stp>BDH|11676391910114934236</stp>
        <tr r="Y23" s="23"/>
      </tp>
      <tp t="e">
        <v>#N/A</v>
        <stp/>
        <stp>BDH|17225383006774002594</stp>
        <tr r="W42" s="18"/>
      </tp>
      <tp t="e">
        <v>#N/A</v>
        <stp/>
        <stp>BDH|16551931980831757348</stp>
        <tr r="AA6" s="20"/>
        <tr r="AA116" s="18"/>
      </tp>
      <tp t="e">
        <v>#N/A</v>
        <stp/>
        <stp>BDH|11744486358093111632</stp>
        <tr r="T69" s="34"/>
      </tp>
      <tp t="e">
        <v>#N/A</v>
        <stp/>
        <stp>BDH|17962538809336781114</stp>
        <tr r="Y31" s="29"/>
      </tp>
      <tp t="e">
        <v>#N/A</v>
        <stp/>
        <stp>BDH|15947691571222655323</stp>
        <tr r="Q30" s="12"/>
      </tp>
      <tp t="e">
        <v>#N/A</v>
        <stp/>
        <stp>BDH|11544595556341764585</stp>
        <tr r="W87" s="24"/>
      </tp>
      <tp t="e">
        <v>#N/A</v>
        <stp/>
        <stp>BDH|11301792098359618310</stp>
        <tr r="S7" s="9"/>
        <tr r="S7" s="5"/>
        <tr r="V14" s="3"/>
        <tr r="T7" s="2"/>
      </tp>
      <tp t="e">
        <v>#N/A</v>
        <stp/>
        <stp>BDH|16595296307642617388</stp>
        <tr r="G69" s="13"/>
      </tp>
      <tp t="e">
        <v>#N/A</v>
        <stp/>
        <stp>BDH|15880511138953385578</stp>
        <tr r="K95" s="12"/>
      </tp>
      <tp t="e">
        <v>#N/A</v>
        <stp/>
        <stp>BDH|17021263120153585168</stp>
        <tr r="F48" s="18"/>
      </tp>
      <tp t="e">
        <v>#N/A</v>
        <stp/>
        <stp>BDH|10410388898178381727</stp>
        <tr r="AA25" s="34"/>
      </tp>
      <tp t="e">
        <v>#N/A</v>
        <stp/>
        <stp>BDH|17424770924020358710</stp>
        <tr r="Q92" s="24"/>
      </tp>
      <tp t="e">
        <v>#N/A</v>
        <stp/>
        <stp>BDH|18400336741293008933</stp>
        <tr r="D68" s="12"/>
      </tp>
      <tp t="e">
        <v>#N/A</v>
        <stp/>
        <stp>BDH|10499178837021802696</stp>
        <tr r="U80" s="34"/>
      </tp>
      <tp t="e">
        <v>#N/A</v>
        <stp/>
        <stp>BDH|16110016994199050314</stp>
        <tr r="P8" s="18"/>
      </tp>
      <tp t="e">
        <v>#N/A</v>
        <stp/>
        <stp>BDH|14753998796561480097</stp>
        <tr r="T149" s="18"/>
      </tp>
      <tp t="e">
        <v>#N/A</v>
        <stp/>
        <stp>BDH|12557724846751514511</stp>
        <tr r="F212" s="18"/>
      </tp>
      <tp t="e">
        <v>#N/A</v>
        <stp/>
        <stp>BDH|14677783939723766653</stp>
        <tr r="C30" s="24"/>
      </tp>
      <tp t="e">
        <v>#N/A</v>
        <stp/>
        <stp>BDH|15771397418750084239</stp>
        <tr r="C75" s="24"/>
      </tp>
      <tp t="e">
        <v>#N/A</v>
        <stp/>
        <stp>BDH|12619076771040479015</stp>
        <tr r="P46" s="17"/>
      </tp>
      <tp t="e">
        <v>#N/A</v>
        <stp/>
        <stp>BDH|15561180732432306097</stp>
        <tr r="G8" s="34"/>
      </tp>
      <tp t="e">
        <v>#N/A</v>
        <stp/>
        <stp>BDH|10773438054696581205</stp>
        <tr r="J45" s="21"/>
      </tp>
      <tp t="e">
        <v>#N/A</v>
        <stp/>
        <stp>BDH|13592138907653474404</stp>
        <tr r="J135" s="18"/>
      </tp>
      <tp t="e">
        <v>#N/A</v>
        <stp/>
        <stp>BDH|13446048733785380048</stp>
        <tr r="T175" s="18"/>
      </tp>
      <tp t="e">
        <v>#N/A</v>
        <stp/>
        <stp>BDH|15612065212204589535</stp>
        <tr r="C8" s="8"/>
      </tp>
      <tp t="e">
        <v>#N/A</v>
        <stp/>
        <stp>BDH|14388254901254771742</stp>
        <tr r="M64" s="13"/>
      </tp>
      <tp t="e">
        <v>#N/A</v>
        <stp/>
        <stp>BDH|11512160311463799716</stp>
        <tr r="M15" s="22"/>
      </tp>
      <tp t="e">
        <v>#N/A</v>
        <stp/>
        <stp>BDH|10613201052397083501</stp>
        <tr r="J64" s="34"/>
      </tp>
      <tp t="e">
        <v>#N/A</v>
        <stp/>
        <stp>BDH|12060681820473884041</stp>
        <tr r="Z34" s="25"/>
        <tr r="Z93" s="17"/>
      </tp>
      <tp t="e">
        <v>#N/A</v>
        <stp/>
        <stp>BDH|11277011190848536527</stp>
        <tr r="C7" s="34"/>
      </tp>
      <tp t="e">
        <v>#N/A</v>
        <stp/>
        <stp>BDH|11213865385272544608</stp>
        <tr r="Q36" s="18"/>
      </tp>
      <tp t="e">
        <v>#N/A</v>
        <stp/>
        <stp>BDH|17462996239321536959</stp>
        <tr r="AA82" s="24"/>
      </tp>
      <tp t="e">
        <v>#N/A</v>
        <stp/>
        <stp>BDH|14316298181733632894</stp>
        <tr r="N30" s="24"/>
      </tp>
      <tp t="e">
        <v>#N/A</v>
        <stp/>
        <stp>BDH|15551746045826373535</stp>
        <tr r="W30" s="22"/>
      </tp>
      <tp t="e">
        <v>#N/A</v>
        <stp/>
        <stp>BDH|13604739446456132366</stp>
        <tr r="O34" s="14"/>
      </tp>
      <tp t="e">
        <v>#N/A</v>
        <stp/>
        <stp>BDH|11350658681633478973</stp>
        <tr r="I13" s="5"/>
      </tp>
      <tp t="e">
        <v>#N/A</v>
        <stp/>
        <stp>BDH|14515769570991167068</stp>
        <tr r="P152" s="18"/>
      </tp>
      <tp t="e">
        <v>#N/A</v>
        <stp/>
        <stp>BDH|13190716186138610141</stp>
        <tr r="AA50" s="13"/>
      </tp>
      <tp t="e">
        <v>#N/A</v>
        <stp/>
        <stp>BDH|11353369672108249814</stp>
        <tr r="F182" s="18"/>
      </tp>
      <tp t="e">
        <v>#N/A</v>
        <stp/>
        <stp>BDH|14303465026631579629</stp>
        <tr r="Q210" s="18"/>
      </tp>
      <tp t="e">
        <v>#N/A</v>
        <stp/>
        <stp>BDH|13659939591755671361</stp>
        <tr r="S54" s="24"/>
      </tp>
      <tp t="e">
        <v>#N/A</v>
        <stp/>
        <stp>BDH|13684482545635689399</stp>
        <tr r="X55" s="12"/>
      </tp>
      <tp t="e">
        <v>#N/A</v>
        <stp/>
        <stp>BDH|10972892640800221962</stp>
        <tr r="Z55" s="34"/>
      </tp>
      <tp t="e">
        <v>#N/A</v>
        <stp/>
        <stp>BDH|11508932383096075318</stp>
        <tr r="R33" s="5"/>
      </tp>
      <tp t="e">
        <v>#N/A</v>
        <stp/>
        <stp>BDH|15068487316313365698</stp>
        <tr r="X41" s="34"/>
      </tp>
      <tp t="e">
        <v>#N/A</v>
        <stp/>
        <stp>BDH|14353614363095667434</stp>
        <tr r="N143" s="18"/>
      </tp>
      <tp t="e">
        <v>#N/A</v>
        <stp/>
        <stp>BDH|17904231930925786693</stp>
        <tr r="I98" s="18"/>
      </tp>
      <tp t="e">
        <v>#N/A</v>
        <stp/>
        <stp>BDH|13212311878912830079</stp>
        <tr r="O80" s="12"/>
      </tp>
      <tp t="e">
        <v>#N/A</v>
        <stp/>
        <stp>BDH|15427976604559445076</stp>
        <tr r="J50" s="34"/>
      </tp>
      <tp t="e">
        <v>#N/A</v>
        <stp/>
        <stp>BDH|11244708536733285321</stp>
        <tr r="D54" s="12"/>
      </tp>
      <tp t="e">
        <v>#N/A</v>
        <stp/>
        <stp>BDH|16490585517887760083</stp>
        <tr r="T16" s="21"/>
      </tp>
      <tp t="e">
        <v>#N/A</v>
        <stp/>
        <stp>BDH|15859157623520222384</stp>
        <tr r="D18" s="23"/>
      </tp>
      <tp t="e">
        <v>#N/A</v>
        <stp/>
        <stp>BDH|16957031758583583538</stp>
        <tr r="F65" s="21"/>
        <tr r="D23" s="7"/>
      </tp>
      <tp t="e">
        <v>#N/A</v>
        <stp/>
        <stp>BDH|17061765670931431368</stp>
        <tr r="C39" s="26"/>
      </tp>
      <tp t="e">
        <v>#N/A</v>
        <stp/>
        <stp>BDH|18156992719657060256</stp>
        <tr r="F62" s="11"/>
        <tr r="F71" s="10"/>
      </tp>
      <tp t="e">
        <v>#N/A</v>
        <stp/>
        <stp>BDH|11377666641016771077</stp>
        <tr r="E81" s="17"/>
      </tp>
      <tp t="e">
        <v>#N/A</v>
        <stp/>
        <stp>BDH|17758551224057542270</stp>
        <tr r="M51" s="24"/>
      </tp>
      <tp t="e">
        <v>#N/A</v>
        <stp/>
        <stp>BDH|16608477618533975545</stp>
        <tr r="S35" s="22"/>
      </tp>
      <tp t="e">
        <v>#N/A</v>
        <stp/>
        <stp>BDH|12845690400578643935</stp>
        <tr r="R13" s="2"/>
      </tp>
      <tp t="e">
        <v>#N/A</v>
        <stp/>
        <stp>BDH|11366280579503462225</stp>
        <tr r="R8" s="20"/>
        <tr r="R118" s="18"/>
      </tp>
      <tp t="e">
        <v>#N/A</v>
        <stp/>
        <stp>BDH|10913577104315833566</stp>
        <tr r="N10" s="10"/>
      </tp>
      <tp t="e">
        <v>#N/A</v>
        <stp/>
        <stp>BDH|11002443543010546467</stp>
        <tr r="N12" s="6"/>
      </tp>
      <tp t="e">
        <v>#N/A</v>
        <stp/>
        <stp>BDH|14469445217031560562</stp>
        <tr r="H19" s="18"/>
      </tp>
      <tp t="e">
        <v>#N/A</v>
        <stp/>
        <stp>BDH|12622864535379146506</stp>
        <tr r="L82" s="18"/>
      </tp>
      <tp t="e">
        <v>#N/A</v>
        <stp/>
        <stp>BDH|17681541405680182721</stp>
        <tr r="L139" s="18"/>
      </tp>
      <tp t="e">
        <v>#N/A</v>
        <stp/>
        <stp>BDH|13838295909007940357</stp>
        <tr r="V194" s="18"/>
      </tp>
      <tp t="e">
        <v>#N/A</v>
        <stp/>
        <stp>BDH|11523779627815806496</stp>
        <tr r="C12" s="24"/>
      </tp>
      <tp t="e">
        <v>#N/A</v>
        <stp/>
        <stp>BDH|12975392804267455346</stp>
        <tr r="C160" s="18"/>
      </tp>
      <tp t="e">
        <v>#N/A</v>
        <stp/>
        <stp>BDH|13461742226237548476</stp>
        <tr r="I19" s="20"/>
      </tp>
      <tp t="e">
        <v>#N/A</v>
        <stp/>
        <stp>BDH|11315196743808588983</stp>
        <tr r="E46" s="18"/>
      </tp>
      <tp t="e">
        <v>#N/A</v>
        <stp/>
        <stp>BDH|16325754071565047633</stp>
        <tr r="L74" s="17"/>
      </tp>
      <tp t="e">
        <v>#N/A</v>
        <stp/>
        <stp>BDH|13582229464603374144</stp>
        <tr r="T47" s="6"/>
      </tp>
      <tp t="e">
        <v>#N/A</v>
        <stp/>
        <stp>BDH|14014521144248400859</stp>
        <tr r="X7" s="30"/>
      </tp>
      <tp t="e">
        <v>#N/A</v>
        <stp/>
        <stp>BDH|13471537434816534610</stp>
        <tr r="G12" s="12"/>
      </tp>
      <tp t="e">
        <v>#N/A</v>
        <stp/>
        <stp>BDH|14608682131940095488</stp>
        <tr r="AA23" s="20"/>
      </tp>
      <tp t="e">
        <v>#N/A</v>
        <stp/>
        <stp>BDH|16715673018591994564</stp>
        <tr r="E24" s="6"/>
      </tp>
      <tp t="e">
        <v>#N/A</v>
        <stp/>
        <stp>BDH|13097079891819277637</stp>
        <tr r="D60" s="21"/>
      </tp>
      <tp t="e">
        <v>#N/A</v>
        <stp/>
        <stp>BDH|14757119216769319842</stp>
        <tr r="Y22" s="4"/>
      </tp>
      <tp t="e">
        <v>#N/A</v>
        <stp/>
        <stp>BDH|10302068667036710521</stp>
        <tr r="Z16" s="34"/>
      </tp>
      <tp t="e">
        <v>#N/A</v>
        <stp/>
        <stp>BDH|12498158305592480474</stp>
        <tr r="O28" s="12"/>
      </tp>
      <tp t="e">
        <v>#N/A</v>
        <stp/>
        <stp>BDH|10976526936261390295</stp>
        <tr r="J171" s="18"/>
      </tp>
      <tp t="e">
        <v>#N/A</v>
        <stp/>
        <stp>BDH|11880694421453219356</stp>
        <tr r="E64" s="13"/>
      </tp>
      <tp t="e">
        <v>#N/A</v>
        <stp/>
        <stp>BDH|13455651240462581637</stp>
        <tr r="S66" s="21"/>
        <tr r="P31" s="6"/>
      </tp>
      <tp t="e">
        <v>#N/A</v>
        <stp/>
        <stp>BDH|15274067174440299753</stp>
        <tr r="W14" s="18"/>
      </tp>
      <tp t="e">
        <v>#N/A</v>
        <stp/>
        <stp>BDH|13554468063597527327</stp>
        <tr r="I16" s="28"/>
        <tr r="I13" s="17"/>
      </tp>
      <tp t="e">
        <v>#N/A</v>
        <stp/>
        <stp>BDH|17861051650190329799</stp>
        <tr r="AA62" s="17"/>
      </tp>
      <tp t="e">
        <v>#N/A</v>
        <stp/>
        <stp>BDH|12434163896487005839</stp>
        <tr r="L57" s="34"/>
      </tp>
      <tp t="e">
        <v>#N/A</v>
        <stp/>
        <stp>BDH|16117293380960810977</stp>
        <tr r="O46" s="6"/>
        <tr r="O19" s="5"/>
      </tp>
      <tp t="e">
        <v>#N/A</v>
        <stp/>
        <stp>BDH|13252208135973799471</stp>
        <tr r="W75" s="17"/>
      </tp>
      <tp t="e">
        <v>#N/A</v>
        <stp/>
        <stp>BDH|11978083336802275527</stp>
        <tr r="G41" s="24"/>
      </tp>
      <tp t="e">
        <v>#N/A</v>
        <stp/>
        <stp>BDH|16029569419723025482</stp>
        <tr r="K29" s="13"/>
        <tr r="K16" s="13"/>
        <tr r="I17" s="10"/>
      </tp>
      <tp t="e">
        <v>#N/A</v>
        <stp/>
        <stp>BDH|16088914771955717807</stp>
        <tr r="AA170" s="18"/>
      </tp>
      <tp t="e">
        <v>#N/A</v>
        <stp/>
        <stp>BDH|17918738765022127198</stp>
        <tr r="J174" s="18"/>
      </tp>
      <tp t="e">
        <v>#N/A</v>
        <stp/>
        <stp>BDH|11579580424995895664</stp>
        <tr r="D20" s="26"/>
      </tp>
      <tp t="e">
        <v>#N/A</v>
        <stp/>
        <stp>BDH|10061150967283609136</stp>
        <tr r="F46" s="17"/>
      </tp>
      <tp t="e">
        <v>#N/A</v>
        <stp/>
        <stp>BDH|10262125523506144050</stp>
        <tr r="L39" s="25"/>
        <tr r="L22" s="13"/>
        <tr r="L7" s="13"/>
        <tr r="J17" s="11"/>
        <tr r="L7" s="3"/>
      </tp>
      <tp t="e">
        <v>#N/A</v>
        <stp/>
        <stp>BDH|18349446599587858713</stp>
        <tr r="AA11" s="22"/>
      </tp>
      <tp t="e">
        <v>#N/A</v>
        <stp/>
        <stp>BDH|17453611237761109642</stp>
        <tr r="H22" s="14"/>
      </tp>
      <tp t="e">
        <v>#N/A</v>
        <stp/>
        <stp>BDH|13925035628844174049</stp>
        <tr r="D8" s="12"/>
      </tp>
      <tp t="e">
        <v>#N/A</v>
        <stp/>
        <stp>BDH|12682951692297523039</stp>
        <tr r="F68" s="24"/>
      </tp>
      <tp t="e">
        <v>#N/A</v>
        <stp/>
        <stp>BDH|12097379121270370625</stp>
        <tr r="U58" s="12"/>
      </tp>
      <tp t="e">
        <v>#N/A</v>
        <stp/>
        <stp>BDH|14265077902482458347</stp>
        <tr r="L12" s="12"/>
      </tp>
      <tp t="e">
        <v>#N/A</v>
        <stp/>
        <stp>BDH|13441233850160596158</stp>
        <tr r="V71" s="34"/>
      </tp>
      <tp t="e">
        <v>#N/A</v>
        <stp/>
        <stp>BDH|17501160540352204564</stp>
        <tr r="G10" s="27"/>
        <tr r="G25" s="25"/>
      </tp>
      <tp t="e">
        <v>#N/A</v>
        <stp/>
        <stp>BDH|17996724158649497905</stp>
        <tr r="F13" s="23"/>
        <tr r="D57" s="11"/>
        <tr r="D38" s="4"/>
      </tp>
      <tp t="e">
        <v>#N/A</v>
        <stp/>
        <stp>BDH|17893617112520947558</stp>
        <tr r="E19" s="26"/>
      </tp>
      <tp t="e">
        <v>#N/A</v>
        <stp/>
        <stp>BDH|16075310460371237740</stp>
        <tr r="Z97" s="17"/>
      </tp>
      <tp t="e">
        <v>#N/A</v>
        <stp/>
        <stp>BDH|18030723603303536937</stp>
        <tr r="R55" s="13"/>
        <tr r="P37" s="11"/>
        <tr r="P46" s="10"/>
        <tr r="P53" s="4"/>
        <tr r="P18" s="2"/>
      </tp>
      <tp t="e">
        <v>#N/A</v>
        <stp/>
        <stp>BDH|10303311581656729833</stp>
        <tr r="S88" s="24"/>
      </tp>
      <tp t="e">
        <v>#N/A</v>
        <stp/>
        <stp>BDH|12010098761761794081</stp>
        <tr r="O78" s="12"/>
      </tp>
      <tp t="e">
        <v>#N/A</v>
        <stp/>
        <stp>BDH|11251060966262388069</stp>
        <tr r="K8" s="23"/>
      </tp>
      <tp t="e">
        <v>#N/A</v>
        <stp/>
        <stp>BDH|14556195446053811757</stp>
        <tr r="X41" s="24"/>
      </tp>
      <tp t="e">
        <v>#N/A</v>
        <stp/>
        <stp>BDH|10772720621389092938</stp>
        <tr r="P15" s="21"/>
      </tp>
      <tp t="e">
        <v>#N/A</v>
        <stp/>
        <stp>BDH|13064503662085663036</stp>
        <tr r="P72" s="34"/>
      </tp>
      <tp t="e">
        <v>#N/A</v>
        <stp/>
        <stp>BDH|12089162735825074040</stp>
        <tr r="U17" s="12"/>
      </tp>
      <tp t="e">
        <v>#N/A</v>
        <stp/>
        <stp>BDH|11673912280692426745</stp>
        <tr r="D39" s="22"/>
      </tp>
      <tp t="e">
        <v>#N/A</v>
        <stp/>
        <stp>BDH|14175163931444162702</stp>
        <tr r="R28" s="34"/>
      </tp>
      <tp t="e">
        <v>#N/A</v>
        <stp/>
        <stp>BDH|16985919323060864843</stp>
        <tr r="R67" s="12"/>
      </tp>
      <tp t="e">
        <v>#N/A</v>
        <stp/>
        <stp>BDH|13781750172542305449</stp>
        <tr r="T56" s="18"/>
      </tp>
      <tp t="e">
        <v>#N/A</v>
        <stp/>
        <stp>BDH|15202653468379871903</stp>
        <tr r="L208" s="18"/>
      </tp>
      <tp t="e">
        <v>#N/A</v>
        <stp/>
        <stp>BDH|15343483440162802242</stp>
        <tr r="P47" s="24"/>
      </tp>
      <tp t="e">
        <v>#N/A</v>
        <stp/>
        <stp>BDH|13099565166602747715</stp>
        <tr r="K31" s="17"/>
      </tp>
      <tp t="e">
        <v>#N/A</v>
        <stp/>
        <stp>BDH|13245734857111294523</stp>
        <tr r="O98" s="18"/>
      </tp>
      <tp t="e">
        <v>#N/A</v>
        <stp/>
        <stp>BDH|13343535331466383646</stp>
        <tr r="Q31" s="21"/>
      </tp>
      <tp t="e">
        <v>#N/A</v>
        <stp/>
        <stp>BDH|11682822632299729671</stp>
        <tr r="U6" s="6"/>
      </tp>
      <tp t="e">
        <v>#N/A</v>
        <stp/>
        <stp>BDH|10883398460049784903</stp>
        <tr r="H37" s="21"/>
      </tp>
      <tp t="e">
        <v>#N/A</v>
        <stp/>
        <stp>BDH|11172932688972914756</stp>
        <tr r="P18" s="10"/>
      </tp>
      <tp t="e">
        <v>#N/A</v>
        <stp/>
        <stp>BDH|16873497222750542508</stp>
        <tr r="Q6" s="16"/>
        <tr r="R6" s="11"/>
        <tr r="R10" s="4"/>
        <tr r="T6" s="3"/>
      </tp>
      <tp t="e">
        <v>#N/A</v>
        <stp/>
        <stp>BDH|17970485625851625543</stp>
        <tr r="AA42" s="21"/>
      </tp>
      <tp t="e">
        <v>#N/A</v>
        <stp/>
        <stp>BDH|14325573064857544537</stp>
        <tr r="L23" s="12"/>
      </tp>
      <tp t="e">
        <v>#N/A</v>
        <stp/>
        <stp>BDH|14474013853893374731</stp>
        <tr r="F11" s="28"/>
      </tp>
      <tp t="e">
        <v>#N/A</v>
        <stp/>
        <stp>BDH|13334129336336947287</stp>
        <tr r="V49" s="4"/>
      </tp>
      <tp t="e">
        <v>#N/A</v>
        <stp/>
        <stp>BDH|14444427214094233069</stp>
        <tr r="J53" s="18"/>
      </tp>
      <tp t="e">
        <v>#N/A</v>
        <stp/>
        <stp>BDH|14728635998258898625</stp>
        <tr r="C121" s="12"/>
      </tp>
      <tp t="e">
        <v>#N/A</v>
        <stp/>
        <stp>BDH|12542391691755325889</stp>
        <tr r="T66" s="10"/>
        <tr r="T39" s="4"/>
      </tp>
      <tp t="e">
        <v>#N/A</v>
        <stp/>
        <stp>BDH|16324758440068952896</stp>
        <tr r="H115" s="12"/>
      </tp>
      <tp t="e">
        <v>#N/A</v>
        <stp/>
        <stp>BDH|17047583074082276288</stp>
        <tr r="O55" s="24"/>
      </tp>
      <tp t="e">
        <v>#N/A</v>
        <stp/>
        <stp>BDH|16294551577106484729</stp>
        <tr r="E86" s="17"/>
      </tp>
      <tp t="e">
        <v>#N/A</v>
        <stp/>
        <stp>BDH|12730253330371034748</stp>
        <tr r="M11" s="22"/>
      </tp>
      <tp t="e">
        <v>#N/A</v>
        <stp/>
        <stp>BDH|16718362826433209138</stp>
        <tr r="G13" s="9"/>
      </tp>
      <tp t="e">
        <v>#N/A</v>
        <stp/>
        <stp>BDH|12964164129616784273</stp>
        <tr r="N7" s="10"/>
      </tp>
      <tp t="e">
        <v>#N/A</v>
        <stp/>
        <stp>BDH|17661828605928615219</stp>
        <tr r="R62" s="13"/>
      </tp>
      <tp t="e">
        <v>#N/A</v>
        <stp/>
        <stp>BDH|14270012503355602409</stp>
        <tr r="I8" s="25"/>
        <tr r="F10" s="5"/>
        <tr r="G9" s="2"/>
      </tp>
      <tp t="e">
        <v>#N/A</v>
        <stp/>
        <stp>BDH|15807407340568880865</stp>
        <tr r="N188" s="18"/>
      </tp>
      <tp t="e">
        <v>#N/A</v>
        <stp/>
        <stp>BDH|18110146582170880491</stp>
        <tr r="L61" s="11"/>
        <tr r="L70" s="10"/>
        <tr r="L20" s="7"/>
      </tp>
      <tp t="e">
        <v>#N/A</v>
        <stp/>
        <stp>BDH|10914438113201658190</stp>
        <tr r="V87" s="18"/>
      </tp>
      <tp t="e">
        <v>#N/A</v>
        <stp/>
        <stp>BDH|17153688915774261182</stp>
        <tr r="K37" s="34"/>
      </tp>
      <tp t="e">
        <v>#N/A</v>
        <stp/>
        <stp>BDH|12650680809370697171</stp>
        <tr r="O48" s="18"/>
      </tp>
      <tp t="e">
        <v>#N/A</v>
        <stp/>
        <stp>BDH|16457509109352964427</stp>
        <tr r="U7" s="23"/>
      </tp>
      <tp t="e">
        <v>#N/A</v>
        <stp/>
        <stp>BDH|18260932453602683324</stp>
        <tr r="E13" s="34"/>
      </tp>
      <tp t="e">
        <v>#N/A</v>
        <stp/>
        <stp>BDH|12357268603214165114</stp>
        <tr r="C18" s="9"/>
      </tp>
      <tp t="e">
        <v>#N/A</v>
        <stp/>
        <stp>BDH|15672649974680847181</stp>
        <tr r="I42" s="4"/>
      </tp>
      <tp t="e">
        <v>#N/A</v>
        <stp/>
        <stp>BDH|10393931728257712998</stp>
        <tr r="D8" s="14"/>
      </tp>
      <tp t="e">
        <v>#N/A</v>
        <stp/>
        <stp>BDH|13570725705787210666</stp>
        <tr r="S30" s="9"/>
        <tr r="S30" s="5"/>
      </tp>
      <tp t="e">
        <v>#N/A</v>
        <stp/>
        <stp>BDH|11678629452790931798</stp>
        <tr r="Y35" s="26"/>
      </tp>
      <tp t="e">
        <v>#N/A</v>
        <stp/>
        <stp>BDH|16272665273701036314</stp>
        <tr r="C89" s="12"/>
      </tp>
      <tp t="e">
        <v>#N/A</v>
        <stp/>
        <stp>BDH|14484432126962002571</stp>
        <tr r="T33" s="11"/>
        <tr r="T42" s="10"/>
      </tp>
      <tp t="e">
        <v>#N/A</v>
        <stp/>
        <stp>BDH|14857505967236857416</stp>
        <tr r="L44" s="18"/>
      </tp>
      <tp t="e">
        <v>#N/A</v>
        <stp/>
        <stp>BDH|12272164550294626743</stp>
        <tr r="T37" s="22"/>
      </tp>
      <tp t="e">
        <v>#N/A</v>
        <stp/>
        <stp>BDH|10076922843408288059</stp>
        <tr r="K145" s="18"/>
      </tp>
      <tp t="e">
        <v>#N/A</v>
        <stp/>
        <stp>BDH|17115940496433331166</stp>
        <tr r="R44" s="13"/>
        <tr r="P28" s="11"/>
        <tr r="P37" s="10"/>
      </tp>
      <tp t="e">
        <v>#N/A</v>
        <stp/>
        <stp>BDH|12245731166394370226</stp>
        <tr r="P65" s="18"/>
      </tp>
      <tp t="e">
        <v>#N/A</v>
        <stp/>
        <stp>BDH|17462343700023248246</stp>
        <tr r="I18" s="28"/>
        <tr r="I15" s="17"/>
      </tp>
      <tp t="e">
        <v>#N/A</v>
        <stp/>
        <stp>BDH|17666695278062333127</stp>
        <tr r="H7" s="28"/>
      </tp>
      <tp t="e">
        <v>#N/A</v>
        <stp/>
        <stp>BDH|17065576904181127644</stp>
        <tr r="J85" s="24"/>
      </tp>
      <tp t="e">
        <v>#N/A</v>
        <stp/>
        <stp>BDH|16901409308575197262</stp>
        <tr r="C22" s="21"/>
      </tp>
      <tp t="e">
        <v>#N/A</v>
        <stp/>
        <stp>BDH|11805776198833793961</stp>
        <tr r="X20" s="29"/>
      </tp>
      <tp t="e">
        <v>#N/A</v>
        <stp/>
        <stp>BDH|15262209950883397478</stp>
        <tr r="V25" s="24"/>
      </tp>
      <tp t="e">
        <v>#N/A</v>
        <stp/>
        <stp>BDH|16659718309237986312</stp>
        <tr r="U185" s="18"/>
      </tp>
      <tp t="e">
        <v>#N/A</v>
        <stp/>
        <stp>BDH|17319885579399052447</stp>
        <tr r="R32" s="21"/>
      </tp>
      <tp t="e">
        <v>#N/A</v>
        <stp/>
        <stp>BDH|12736988468299482155</stp>
        <tr r="D137" s="18"/>
      </tp>
      <tp t="e">
        <v>#N/A</v>
        <stp/>
        <stp>BDH|16470307907673047356</stp>
        <tr r="K27" s="14"/>
      </tp>
      <tp t="e">
        <v>#N/A</v>
        <stp/>
        <stp>BDH|14750865423378439304</stp>
        <tr r="C29" s="12"/>
      </tp>
      <tp t="e">
        <v>#N/A</v>
        <stp/>
        <stp>BDH|17804862581220383253</stp>
        <tr r="S48" s="24"/>
      </tp>
      <tp t="e">
        <v>#N/A</v>
        <stp/>
        <stp>BDH|17430198803127196469</stp>
        <tr r="P47" s="13"/>
      </tp>
      <tp t="e">
        <v>#N/A</v>
        <stp/>
        <stp>BDH|15267887073866705973</stp>
        <tr r="S58" s="13"/>
        <tr r="Q47" s="11"/>
        <tr r="Q56" s="10"/>
        <tr r="Q17" s="7"/>
        <tr r="Q17" s="4"/>
        <tr r="S10" s="3"/>
      </tp>
      <tp t="e">
        <v>#N/A</v>
        <stp/>
        <stp>BDH|15878229274427636210</stp>
        <tr r="N59" s="17"/>
      </tp>
      <tp t="e">
        <v>#N/A</v>
        <stp/>
        <stp>BDH|12825638861287135022</stp>
        <tr r="Q43" s="6"/>
      </tp>
      <tp t="e">
        <v>#N/A</v>
        <stp/>
        <stp>BDH|16653655710631369598</stp>
        <tr r="R17" s="18"/>
      </tp>
      <tp t="e">
        <v>#N/A</v>
        <stp/>
        <stp>BDH|14926245763933759603</stp>
        <tr r="Z9" s="26"/>
      </tp>
      <tp t="e">
        <v>#N/A</v>
        <stp/>
        <stp>BDH|11101718649260457747</stp>
        <tr r="Y43" s="12"/>
      </tp>
      <tp t="e">
        <v>#N/A</v>
        <stp/>
        <stp>BDH|13438097873897305643</stp>
        <tr r="P29" s="12"/>
      </tp>
      <tp t="e">
        <v>#N/A</v>
        <stp/>
        <stp>BDH|17267456409400126669</stp>
        <tr r="K58" s="17"/>
      </tp>
      <tp t="e">
        <v>#N/A</v>
        <stp/>
        <stp>BDH|17653228004950022099</stp>
        <tr r="I24" s="24"/>
      </tp>
      <tp t="e">
        <v>#N/A</v>
        <stp/>
        <stp>BDH|11350863299763263679</stp>
        <tr r="S61" s="34"/>
      </tp>
      <tp t="e">
        <v>#N/A</v>
        <stp/>
        <stp>BDH|11040839989121507561</stp>
        <tr r="Y195" s="18"/>
      </tp>
      <tp t="e">
        <v>#N/A</v>
        <stp/>
        <stp>BDH|17025047742451791785</stp>
        <tr r="O27" s="24"/>
      </tp>
      <tp t="e">
        <v>#N/A</v>
        <stp/>
        <stp>BDH|16556338629260155277</stp>
        <tr r="Q88" s="18"/>
      </tp>
      <tp t="e">
        <v>#N/A</v>
        <stp/>
        <stp>BDH|16193355901748525895</stp>
        <tr r="S97" s="18"/>
      </tp>
      <tp t="e">
        <v>#N/A</v>
        <stp/>
        <stp>BDH|11928471036053377028</stp>
        <tr r="K7" s="4"/>
      </tp>
      <tp t="e">
        <v>#N/A</v>
        <stp/>
        <stp>BDH|17044274763931931746</stp>
        <tr r="N151" s="18"/>
      </tp>
      <tp t="e">
        <v>#N/A</v>
        <stp/>
        <stp>BDH|13718023464052974216</stp>
        <tr r="C34" s="22"/>
      </tp>
      <tp t="e">
        <v>#N/A</v>
        <stp/>
        <stp>BDH|16417191205014250636</stp>
        <tr r="I14" s="22"/>
      </tp>
      <tp t="e">
        <v>#N/A</v>
        <stp/>
        <stp>BDH|17590278409432631245</stp>
        <tr r="J70" s="18"/>
      </tp>
      <tp t="e">
        <v>#N/A</v>
        <stp/>
        <stp>BDH|16559233908614730500</stp>
        <tr r="Q38" s="29"/>
        <tr r="Q15" s="29"/>
      </tp>
      <tp t="e">
        <v>#N/A</v>
        <stp/>
        <stp>BDH|12816001221291466446</stp>
        <tr r="I44" s="24"/>
      </tp>
      <tp t="e">
        <v>#N/A</v>
        <stp/>
        <stp>BDH|15257388003372954199</stp>
        <tr r="H24" s="20"/>
      </tp>
      <tp t="e">
        <v>#N/A</v>
        <stp/>
        <stp>BDH|10860552009165811556</stp>
        <tr r="T13" s="28"/>
        <tr r="T96" s="17"/>
      </tp>
      <tp t="e">
        <v>#N/A</v>
        <stp/>
        <stp>BDH|15122115896381762980</stp>
        <tr r="AA162" s="18"/>
      </tp>
      <tp t="e">
        <v>#N/A</v>
        <stp/>
        <stp>BDH|10796020307952853737</stp>
        <tr r="D67" s="10"/>
      </tp>
      <tp t="e">
        <v>#N/A</v>
        <stp/>
        <stp>BDH|12207031200583902415</stp>
        <tr r="P30" s="11"/>
        <tr r="P39" s="10"/>
      </tp>
      <tp t="e">
        <v>#N/A</v>
        <stp/>
        <stp>BDH|15905712318901137789</stp>
        <tr r="W33" s="18"/>
      </tp>
      <tp t="e">
        <v>#N/A</v>
        <stp/>
        <stp>BDH|18016804388628718562</stp>
        <tr r="P87" s="12"/>
      </tp>
      <tp t="e">
        <v>#N/A</v>
        <stp/>
        <stp>BDH|14456235418512423027</stp>
        <tr r="E130" s="18"/>
      </tp>
      <tp t="e">
        <v>#N/A</v>
        <stp/>
        <stp>BDH|15329427669347387529</stp>
        <tr r="H39" s="11"/>
        <tr r="H27" s="11"/>
        <tr r="H48" s="10"/>
        <tr r="H36" s="10"/>
      </tp>
      <tp t="e">
        <v>#N/A</v>
        <stp/>
        <stp>BDH|15844901593475667540</stp>
        <tr r="L75" s="18"/>
      </tp>
      <tp t="e">
        <v>#N/A</v>
        <stp/>
        <stp>BDH|17002165842881833659</stp>
        <tr r="E154" s="18"/>
      </tp>
      <tp t="e">
        <v>#N/A</v>
        <stp/>
        <stp>BDH|15146099457962459727</stp>
        <tr r="W15" s="22"/>
      </tp>
      <tp t="e">
        <v>#N/A</v>
        <stp/>
        <stp>BDH|11945300743333626053</stp>
        <tr r="R9" s="8"/>
        <tr r="P52" s="6"/>
      </tp>
      <tp t="e">
        <v>#N/A</v>
        <stp/>
        <stp>BDH|14620116067167866115</stp>
        <tr r="V45" s="22"/>
      </tp>
      <tp t="e">
        <v>#N/A</v>
        <stp/>
        <stp>BDH|16184349941094944043</stp>
        <tr r="O43" s="6"/>
      </tp>
      <tp t="e">
        <v>#N/A</v>
        <stp/>
        <stp>BDH|15684509679640462224</stp>
        <tr r="T13" s="10"/>
      </tp>
      <tp t="e">
        <v>#N/A</v>
        <stp/>
        <stp>BDH|15456464534106957161</stp>
        <tr r="G185" s="18"/>
      </tp>
      <tp t="e">
        <v>#N/A</v>
        <stp/>
        <stp>BDH|13073702588270811992</stp>
        <tr r="I32" s="11"/>
        <tr r="I41" s="10"/>
      </tp>
      <tp t="e">
        <v>#N/A</v>
        <stp/>
        <stp>BDH|11358432069016046018</stp>
        <tr r="Q78" s="34"/>
      </tp>
      <tp t="e">
        <v>#N/A</v>
        <stp/>
        <stp>BDH|12110535879760486570</stp>
        <tr r="Y67" s="12"/>
      </tp>
      <tp t="e">
        <v>#N/A</v>
        <stp/>
        <stp>BDH|17293572449421474203</stp>
        <tr r="R110" s="18"/>
      </tp>
      <tp t="e">
        <v>#N/A</v>
        <stp/>
        <stp>BDH|10346476602753876269</stp>
        <tr r="C9" s="6"/>
      </tp>
      <tp t="e">
        <v>#N/A</v>
        <stp/>
        <stp>BDH|17696111327497019687</stp>
        <tr r="J46" s="6"/>
        <tr r="J19" s="5"/>
      </tp>
      <tp t="e">
        <v>#N/A</v>
        <stp/>
        <stp>BDH|13335034171366973709</stp>
        <tr r="Q15" s="23"/>
        <tr r="O58" s="11"/>
      </tp>
      <tp t="e">
        <v>#N/A</v>
        <stp/>
        <stp>BDH|13338279363075659796</stp>
        <tr r="D190" s="18"/>
      </tp>
      <tp t="e">
        <v>#N/A</v>
        <stp/>
        <stp>BDH|17205561548860794339</stp>
        <tr r="E66" s="12"/>
      </tp>
      <tp t="e">
        <v>#N/A</v>
        <stp/>
        <stp>BDH|17795744074186940460</stp>
        <tr r="W32" s="13"/>
        <tr r="U24" s="11"/>
        <tr r="U33" s="10"/>
        <tr r="U45" s="4"/>
      </tp>
      <tp t="e">
        <v>#N/A</v>
        <stp/>
        <stp>BDH|16153787311994003103</stp>
        <tr r="T79" s="17"/>
        <tr r="Q9" s="9"/>
        <tr r="Q9" s="5"/>
      </tp>
      <tp t="e">
        <v>#N/A</v>
        <stp/>
        <stp>BDH|10009278400160731785</stp>
        <tr r="G18" s="13"/>
      </tp>
      <tp t="e">
        <v>#N/A</v>
        <stp/>
        <stp>BDH|10498605137291910120</stp>
        <tr r="C67" s="18"/>
      </tp>
      <tp t="e">
        <v>#N/A</v>
        <stp/>
        <stp>BDH|11354988890535515167</stp>
        <tr r="V10" s="18"/>
      </tp>
      <tp t="e">
        <v>#N/A</v>
        <stp/>
        <stp>BDH|11040091602537791347</stp>
        <tr r="I71" s="17"/>
        <tr r="F8" s="9"/>
        <tr r="F8" s="5"/>
      </tp>
      <tp t="e">
        <v>#N/A</v>
        <stp/>
        <stp>BDH|17455180507985167627</stp>
        <tr r="I69" s="12"/>
      </tp>
      <tp t="e">
        <v>#N/A</v>
        <stp/>
        <stp>BDH|15193557075214155684</stp>
        <tr r="X12" s="18"/>
      </tp>
      <tp t="e">
        <v>#N/A</v>
        <stp/>
        <stp>BDH|15596647902163329580</stp>
        <tr r="F68" s="18"/>
      </tp>
      <tp t="e">
        <v>#N/A</v>
        <stp/>
        <stp>BDH|14230143319827363643</stp>
        <tr r="K24" s="17"/>
      </tp>
      <tp t="e">
        <v>#N/A</v>
        <stp/>
        <stp>BDH|14211691663186683765</stp>
        <tr r="G10" s="12"/>
      </tp>
      <tp t="e">
        <v>#N/A</v>
        <stp/>
        <stp>BDH|10898529310965190433</stp>
        <tr r="P38" s="21"/>
        <tr r="P24" s="3"/>
      </tp>
      <tp t="e">
        <v>#N/A</v>
        <stp/>
        <stp>BDH|12830133943031823381</stp>
        <tr r="G10" s="24"/>
      </tp>
      <tp t="e">
        <v>#N/A</v>
        <stp/>
        <stp>BDH|13314655047171925504</stp>
        <tr r="G36" s="4"/>
      </tp>
      <tp t="e">
        <v>#N/A</v>
        <stp/>
        <stp>BDH|12251238724306957148</stp>
        <tr r="W34" s="13"/>
        <tr r="U27" s="10"/>
      </tp>
      <tp t="e">
        <v>#N/A</v>
        <stp/>
        <stp>BDH|14657017423527478482</stp>
        <tr r="D49" s="12"/>
      </tp>
      <tp t="e">
        <v>#N/A</v>
        <stp/>
        <stp>BDH|11918714312037762551</stp>
        <tr r="U34" s="12"/>
      </tp>
      <tp t="e">
        <v>#N/A</v>
        <stp/>
        <stp>BDH|10445412019643461307</stp>
        <tr r="L18" s="22"/>
      </tp>
      <tp t="e">
        <v>#N/A</v>
        <stp/>
        <stp>BDH|17872947917018518260</stp>
        <tr r="C162" s="18"/>
      </tp>
      <tp t="e">
        <v>#N/A</v>
        <stp/>
        <stp>BDH|14563474564457839465</stp>
        <tr r="Q29" s="34"/>
      </tp>
      <tp t="e">
        <v>#N/A</v>
        <stp/>
        <stp>BDH|15347146120233940064</stp>
        <tr r="U19" s="6"/>
      </tp>
      <tp t="e">
        <v>#N/A</v>
        <stp/>
        <stp>BDH|16144450010657810143</stp>
        <tr r="R96" s="18"/>
      </tp>
      <tp t="e">
        <v>#N/A</v>
        <stp/>
        <stp>BDH|12543254472013831124</stp>
        <tr r="Z58" s="24"/>
      </tp>
      <tp t="e">
        <v>#N/A</v>
        <stp/>
        <stp>BDH|15547595672543515132</stp>
        <tr r="S13" s="13"/>
      </tp>
      <tp t="e">
        <v>#N/A</v>
        <stp/>
        <stp>BDH|10790047900022386780</stp>
        <tr r="C65" s="24"/>
      </tp>
      <tp t="e">
        <v>#N/A</v>
        <stp/>
        <stp>BDH|16496380944931339535</stp>
        <tr r="S22" s="22"/>
      </tp>
      <tp t="e">
        <v>#N/A</v>
        <stp/>
        <stp>BDH|17788393447107749268</stp>
        <tr r="P62" s="24"/>
      </tp>
      <tp t="e">
        <v>#N/A</v>
        <stp/>
        <stp>BDH|10537430016777142796</stp>
        <tr r="F77" s="17"/>
      </tp>
      <tp t="e">
        <v>#N/A</v>
        <stp/>
        <stp>BDH|11943370655766231416</stp>
        <tr r="X19" s="13"/>
        <tr r="V62" s="10"/>
        <tr r="V32" s="4"/>
        <tr r="V16" s="2"/>
      </tp>
      <tp t="e">
        <v>#N/A</v>
        <stp/>
        <stp>BDH|15194521920917950021</stp>
        <tr r="AA150" s="18"/>
      </tp>
      <tp t="e">
        <v>#N/A</v>
        <stp/>
        <stp>BDH|13865406772552479767</stp>
        <tr r="G101" s="18"/>
      </tp>
      <tp t="e">
        <v>#N/A</v>
        <stp/>
        <stp>BDH|16844494302244947323</stp>
        <tr r="O61" s="24"/>
      </tp>
      <tp t="e">
        <v>#N/A</v>
        <stp/>
        <stp>BDH|17528669774030798387</stp>
        <tr r="E13" s="20"/>
        <tr r="E122" s="18"/>
      </tp>
      <tp t="e">
        <v>#N/A</v>
        <stp/>
        <stp>BDH|11761163728363425450</stp>
        <tr r="P18" s="20"/>
      </tp>
      <tp t="e">
        <v>#N/A</v>
        <stp/>
        <stp>BDH|12064452238529521907</stp>
        <tr r="H80" s="17"/>
        <tr r="H19" s="3"/>
      </tp>
      <tp t="e">
        <v>#N/A</v>
        <stp/>
        <stp>BDH|11865341705460640773</stp>
        <tr r="T16" s="6"/>
      </tp>
      <tp t="e">
        <v>#N/A</v>
        <stp/>
        <stp>BDH|14457194700617547707</stp>
        <tr r="L19" s="20"/>
      </tp>
      <tp t="e">
        <v>#N/A</v>
        <stp/>
        <stp>BDH|17710204521326816463</stp>
        <tr r="F198" s="18"/>
      </tp>
      <tp t="e">
        <v>#N/A</v>
        <stp/>
        <stp>BDH|12870515028741892127</stp>
        <tr r="K63" s="11"/>
        <tr r="K72" s="10"/>
      </tp>
      <tp t="e">
        <v>#N/A</v>
        <stp/>
        <stp>BDH|10908938890525762060</stp>
        <tr r="Y21" s="11"/>
      </tp>
      <tp t="e">
        <v>#N/A</v>
        <stp/>
        <stp>BDH|12461195397916028912</stp>
        <tr r="U34" s="11"/>
        <tr r="U43" s="10"/>
      </tp>
      <tp t="e">
        <v>#N/A</v>
        <stp/>
        <stp>BDH|15160313335340897065</stp>
        <tr r="M49" s="13"/>
      </tp>
      <tp t="e">
        <v>#N/A</v>
        <stp/>
        <stp>BDH|14548990275777433869</stp>
        <tr r="P28" s="14"/>
      </tp>
      <tp t="e">
        <v>#N/A</v>
        <stp/>
        <stp>BDH|17922312831735460768</stp>
        <tr r="T81" s="18"/>
      </tp>
      <tp t="e">
        <v>#N/A</v>
        <stp/>
        <stp>BDH|15684052640705900114</stp>
        <tr r="Y177" s="18"/>
      </tp>
      <tp t="e">
        <v>#N/A</v>
        <stp/>
        <stp>BDH|10047518503702059296</stp>
        <tr r="C23" s="24"/>
      </tp>
      <tp t="e">
        <v>#N/A</v>
        <stp/>
        <stp>BDH|13089884200437583968</stp>
        <tr r="O27" s="12"/>
      </tp>
      <tp t="e">
        <v>#N/A</v>
        <stp/>
        <stp>BDH|17297845653208616787</stp>
        <tr r="J10" s="27"/>
        <tr r="J25" s="25"/>
      </tp>
      <tp t="e">
        <v>#N/A</v>
        <stp/>
        <stp>BDH|10026211401960256797</stp>
        <tr r="X32" s="9"/>
      </tp>
      <tp t="e">
        <v>#N/A</v>
        <stp/>
        <stp>BDH|11151258744392801031</stp>
        <tr r="S57" s="6"/>
      </tp>
      <tp t="e">
        <v>#N/A</v>
        <stp/>
        <stp>BDH|13939463625972556243</stp>
        <tr r="F7" s="20"/>
        <tr r="F117" s="18"/>
      </tp>
      <tp t="e">
        <v>#N/A</v>
        <stp/>
        <stp>BDH|11462144903066097384</stp>
        <tr r="K25" s="10"/>
      </tp>
      <tp t="e">
        <v>#N/A</v>
        <stp/>
        <stp>BDH|15577585664434698740</stp>
        <tr r="Y9" s="34"/>
      </tp>
      <tp t="e">
        <v>#N/A</v>
        <stp/>
        <stp>BDH|17865328031842289020</stp>
        <tr r="O11" s="14"/>
      </tp>
      <tp t="e">
        <v>#N/A</v>
        <stp/>
        <stp>BDH|14295105044083494796</stp>
        <tr r="N122" s="12"/>
      </tp>
      <tp t="e">
        <v>#N/A</v>
        <stp/>
        <stp>BDH|13182270556625851439</stp>
        <tr r="H65" s="12"/>
      </tp>
      <tp t="e">
        <v>#N/A</v>
        <stp/>
        <stp>BDH|17854720253404001423</stp>
        <tr r="D43" s="24"/>
      </tp>
      <tp t="e">
        <v>#N/A</v>
        <stp/>
        <stp>BDH|11091849432659836657</stp>
        <tr r="Q61" s="18"/>
      </tp>
      <tp t="e">
        <v>#N/A</v>
        <stp/>
        <stp>BDH|17867454156411326236</stp>
        <tr r="P37" s="13"/>
        <tr r="N30" s="10"/>
      </tp>
      <tp t="e">
        <v>#N/A</v>
        <stp/>
        <stp>BDH|17651748808867952281</stp>
        <tr r="L10" s="10"/>
      </tp>
      <tp t="e">
        <v>#N/A</v>
        <stp/>
        <stp>BDH|10764415879054120250</stp>
        <tr r="S9" s="25"/>
        <tr r="S44" s="17"/>
      </tp>
      <tp t="e">
        <v>#N/A</v>
        <stp/>
        <stp>BDH|13788783725226899591</stp>
        <tr r="V7" s="30"/>
      </tp>
      <tp t="e">
        <v>#N/A</v>
        <stp/>
        <stp>BDH|13473481535041462061</stp>
        <tr r="Y12" s="22"/>
      </tp>
      <tp t="e">
        <v>#N/A</v>
        <stp/>
        <stp>BDH|13214340543539700895</stp>
        <tr r="D32" s="24"/>
      </tp>
      <tp t="e">
        <v>#N/A</v>
        <stp/>
        <stp>BDH|11321110717707663383</stp>
        <tr r="U87" s="18"/>
      </tp>
      <tp t="e">
        <v>#N/A</v>
        <stp/>
        <stp>BDH|17531291725196159431</stp>
        <tr r="P43" s="18"/>
      </tp>
      <tp t="e">
        <v>#N/A</v>
        <stp/>
        <stp>BDH|15082566331944467286</stp>
        <tr r="I11" s="22"/>
      </tp>
      <tp t="e">
        <v>#N/A</v>
        <stp/>
        <stp>BDH|15563826064167929915</stp>
        <tr r="F82" s="18"/>
      </tp>
      <tp t="e">
        <v>#N/A</v>
        <stp/>
        <stp>BDH|17422262135057509496</stp>
        <tr r="V16" s="34"/>
      </tp>
      <tp t="e">
        <v>#N/A</v>
        <stp/>
        <stp>BDH|11530756976052434690</stp>
        <tr r="F20" s="23"/>
      </tp>
      <tp t="e">
        <v>#N/A</v>
        <stp/>
        <stp>BDH|17055818790983288089</stp>
        <tr r="V59" s="34"/>
      </tp>
      <tp t="e">
        <v>#N/A</v>
        <stp/>
        <stp>BDH|14465266039509299937</stp>
        <tr r="P64" s="10"/>
      </tp>
      <tp t="e">
        <v>#N/A</v>
        <stp/>
        <stp>BDH|17621209939796038554</stp>
        <tr r="U70" s="18"/>
      </tp>
      <tp t="e">
        <v>#N/A</v>
        <stp/>
        <stp>BDH|17902608370562661150</stp>
        <tr r="M68" s="13"/>
      </tp>
      <tp t="e">
        <v>#N/A</v>
        <stp/>
        <stp>BDH|11036701279860672456</stp>
        <tr r="AA34" s="17"/>
      </tp>
      <tp t="e">
        <v>#N/A</v>
        <stp/>
        <stp>BDH|10639854037979930777</stp>
        <tr r="AA24" s="12"/>
      </tp>
      <tp t="e">
        <v>#N/A</v>
        <stp/>
        <stp>BDH|13015296350172688354</stp>
        <tr r="E51" s="21"/>
      </tp>
      <tp t="e">
        <v>#N/A</v>
        <stp/>
        <stp>BDH|15258799310522430450</stp>
        <tr r="Z70" s="34"/>
      </tp>
      <tp t="e">
        <v>#N/A</v>
        <stp/>
        <stp>BDH|14326929229462405865</stp>
        <tr r="S30" s="24"/>
      </tp>
      <tp t="e">
        <v>#N/A</v>
        <stp/>
        <stp>BDH|15842245776446682367</stp>
        <tr r="O11" s="28"/>
      </tp>
      <tp t="e">
        <v>#N/A</v>
        <stp/>
        <stp>BDH|12437588572592376770</stp>
        <tr r="Q68" s="12"/>
      </tp>
      <tp t="e">
        <v>#N/A</v>
        <stp/>
        <stp>BDH|10283655189472449904</stp>
        <tr r="F56" s="11"/>
        <tr r="F24" s="4"/>
      </tp>
      <tp t="e">
        <v>#N/A</v>
        <stp/>
        <stp>BDH|13578053720257865329</stp>
        <tr r="O50" s="4"/>
      </tp>
      <tp t="e">
        <v>#N/A</v>
        <stp/>
        <stp>BDH|10006990995424192175</stp>
        <tr r="L17" s="14"/>
      </tp>
      <tp t="e">
        <v>#N/A</v>
        <stp/>
        <stp>BDH|12619261356097568799</stp>
        <tr r="X10" s="13"/>
      </tp>
      <tp t="e">
        <v>#N/A</v>
        <stp/>
        <stp>BDH|15619369866042932754</stp>
        <tr r="C11" s="17"/>
      </tp>
      <tp t="e">
        <v>#N/A</v>
        <stp/>
        <stp>BDH|13445061209056390023</stp>
        <tr r="T45" s="21"/>
      </tp>
      <tp t="e">
        <v>#N/A</v>
        <stp/>
        <stp>BDH|11902660142632039478</stp>
        <tr r="F174" s="18"/>
      </tp>
      <tp t="e">
        <v>#N/A</v>
        <stp/>
        <stp>BDH|14135190411737774640</stp>
        <tr r="W139" s="18"/>
      </tp>
      <tp t="e">
        <v>#N/A</v>
        <stp/>
        <stp>BDH|11756890509288441491</stp>
        <tr r="W30" s="34"/>
      </tp>
      <tp t="e">
        <v>#N/A</v>
        <stp/>
        <stp>BDH|10860143392278133556</stp>
        <tr r="H81" s="34"/>
      </tp>
      <tp t="e">
        <v>#N/A</v>
        <stp/>
        <stp>BDH|12298808391592134485</stp>
        <tr r="W8" s="34"/>
      </tp>
      <tp t="e">
        <v>#N/A</v>
        <stp/>
        <stp>BDH|11929732818636821406</stp>
        <tr r="Z93" s="18"/>
      </tp>
      <tp t="e">
        <v>#N/A</v>
        <stp/>
        <stp>BDH|15829134652093025736</stp>
        <tr r="N40" s="17"/>
      </tp>
      <tp t="e">
        <v>#N/A</v>
        <stp/>
        <stp>BDH|17956397119112435272</stp>
        <tr r="W126" s="12"/>
      </tp>
      <tp t="e">
        <v>#N/A</v>
        <stp/>
        <stp>BDH|13369174474270837022</stp>
        <tr r="H8" s="11"/>
      </tp>
      <tp t="e">
        <v>#N/A</v>
        <stp/>
        <stp>BDH|12979905742548465250</stp>
        <tr r="Y18" s="28"/>
        <tr r="Y15" s="17"/>
      </tp>
      <tp t="e">
        <v>#N/A</v>
        <stp/>
        <stp>BDH|12518367029231225727</stp>
        <tr r="AA115" s="18"/>
      </tp>
      <tp t="e">
        <v>#N/A</v>
        <stp/>
        <stp>BDH|13249584906623149073</stp>
        <tr r="W48" s="13"/>
      </tp>
      <tp t="e">
        <v>#N/A</v>
        <stp/>
        <stp>BDH|13698732117956069684</stp>
        <tr r="I44" s="34"/>
      </tp>
      <tp t="e">
        <v>#N/A</v>
        <stp/>
        <stp>BDH|17922226463090348610</stp>
        <tr r="P42" s="12"/>
      </tp>
      <tp t="e">
        <v>#N/A</v>
        <stp/>
        <stp>BDH|14589158682371927917</stp>
        <tr r="W112" s="18"/>
      </tp>
      <tp t="e">
        <v>#N/A</v>
        <stp/>
        <stp>BDH|11122312044601678287</stp>
        <tr r="K26" s="24"/>
      </tp>
      <tp t="e">
        <v>#N/A</v>
        <stp/>
        <stp>BDH|12029691563500886788</stp>
        <tr r="K20" s="18"/>
      </tp>
      <tp t="e">
        <v>#N/A</v>
        <stp/>
        <stp>BDH|16662325825287368581</stp>
        <tr r="W104" s="12"/>
      </tp>
      <tp t="e">
        <v>#N/A</v>
        <stp/>
        <stp>BDH|17826840238018723196</stp>
        <tr r="N34" s="34"/>
      </tp>
      <tp t="e">
        <v>#N/A</v>
        <stp/>
        <stp>BDH|17718186916035693758</stp>
        <tr r="Q75" s="18"/>
      </tp>
      <tp t="e">
        <v>#N/A</v>
        <stp/>
        <stp>BDH|10225047652057952775</stp>
        <tr r="M80" s="12"/>
      </tp>
      <tp t="e">
        <v>#N/A</v>
        <stp/>
        <stp>BDH|11776922186743012696</stp>
        <tr r="J11" s="17"/>
      </tp>
      <tp t="e">
        <v>#N/A</v>
        <stp/>
        <stp>BDH|12963395789675410971</stp>
        <tr r="O77" s="24"/>
      </tp>
      <tp t="e">
        <v>#N/A</v>
        <stp/>
        <stp>BDH|11162487021375207707</stp>
        <tr r="T52" s="17"/>
      </tp>
      <tp t="e">
        <v>#N/A</v>
        <stp/>
        <stp>BDH|13872469622690283044</stp>
        <tr r="H19" s="11"/>
      </tp>
      <tp t="e">
        <v>#N/A</v>
        <stp/>
        <stp>BDH|15306373673894326092</stp>
        <tr r="J13" s="28"/>
        <tr r="J96" s="17"/>
      </tp>
      <tp t="e">
        <v>#N/A</v>
        <stp/>
        <stp>BDH|14878351006851056360</stp>
        <tr r="Y31" s="11"/>
        <tr r="Y40" s="10"/>
      </tp>
      <tp t="e">
        <v>#N/A</v>
        <stp/>
        <stp>BDH|17421916767878625595</stp>
        <tr r="Y140" s="18"/>
      </tp>
      <tp t="e">
        <v>#N/A</v>
        <stp/>
        <stp>BDH|12966222824535096222</stp>
        <tr r="P171" s="18"/>
      </tp>
      <tp t="e">
        <v>#N/A</v>
        <stp/>
        <stp>BDH|14446021208423735248</stp>
        <tr r="K63" s="18"/>
      </tp>
      <tp t="e">
        <v>#N/A</v>
        <stp/>
        <stp>BDH|11574583732561180330</stp>
        <tr r="R6" s="27"/>
      </tp>
      <tp t="e">
        <v>#N/A</v>
        <stp/>
        <stp>BDH|13797089156071494200</stp>
        <tr r="J71" s="24"/>
      </tp>
      <tp t="e">
        <v>#N/A</v>
        <stp/>
        <stp>BDH|16136680730923471504</stp>
        <tr r="Q14" s="10"/>
      </tp>
      <tp t="e">
        <v>#N/A</v>
        <stp/>
        <stp>BDH|15960563976164147658</stp>
        <tr r="F62" s="24"/>
      </tp>
      <tp t="e">
        <v>#N/A</v>
        <stp/>
        <stp>BDH|16829065726547284675</stp>
        <tr r="F32" s="6"/>
      </tp>
      <tp t="e">
        <v>#N/A</v>
        <stp/>
        <stp>BDH|13226145669370134138</stp>
        <tr r="T78" s="18"/>
      </tp>
      <tp t="e">
        <v>#N/A</v>
        <stp/>
        <stp>BDH|14928644260568797974</stp>
        <tr r="O137" s="18"/>
      </tp>
      <tp t="e">
        <v>#N/A</v>
        <stp/>
        <stp>BDH|13487734655270996469</stp>
        <tr r="O166" s="18"/>
      </tp>
      <tp t="e">
        <v>#N/A</v>
        <stp/>
        <stp>BDH|13807079245635186769</stp>
        <tr r="Q25" s="13"/>
      </tp>
      <tp t="e">
        <v>#N/A</v>
        <stp/>
        <stp>BDH|16936817790075025758</stp>
        <tr r="I17" s="24"/>
      </tp>
      <tp t="e">
        <v>#N/A</v>
        <stp/>
        <stp>BDH|15643156415019299996</stp>
        <tr r="P24" s="24"/>
      </tp>
      <tp t="e">
        <v>#N/A</v>
        <stp/>
        <stp>BDH|11539298735217155251</stp>
        <tr r="F73" s="17"/>
      </tp>
      <tp t="e">
        <v>#N/A</v>
        <stp/>
        <stp>BDH|12181524117502115185</stp>
        <tr r="H23" s="26"/>
      </tp>
      <tp t="e">
        <v>#N/A</v>
        <stp/>
        <stp>BDH|10121941248849000106</stp>
        <tr r="X28" s="21"/>
      </tp>
      <tp t="e">
        <v>#N/A</v>
        <stp/>
        <stp>BDH|11582300709012543541</stp>
        <tr r="Q9" s="26"/>
      </tp>
      <tp t="e">
        <v>#N/A</v>
        <stp/>
        <stp>BDH|11362010658317596621</stp>
        <tr r="P33" s="9"/>
      </tp>
      <tp t="e">
        <v>#N/A</v>
        <stp/>
        <stp>BDH|14039678821615873037</stp>
        <tr r="S28" s="12"/>
      </tp>
      <tp t="e">
        <v>#N/A</v>
        <stp/>
        <stp>BDH|12896478081863375802</stp>
        <tr r="W11" s="30"/>
      </tp>
      <tp t="e">
        <v>#N/A</v>
        <stp/>
        <stp>BDH|14049110015877179687</stp>
        <tr r="M14" s="12"/>
      </tp>
      <tp t="e">
        <v>#N/A</v>
        <stp/>
        <stp>BDH|12238592493119742227</stp>
        <tr r="E12" s="13"/>
      </tp>
      <tp t="e">
        <v>#N/A</v>
        <stp/>
        <stp>BDH|16026492058361983358</stp>
        <tr r="L61" s="18"/>
      </tp>
      <tp t="e">
        <v>#N/A</v>
        <stp/>
        <stp>BDH|18018138071633948868</stp>
        <tr r="Q68" s="17"/>
      </tp>
      <tp t="e">
        <v>#N/A</v>
        <stp/>
        <stp>BDH|10451585203553510376</stp>
        <tr r="L19" s="30"/>
      </tp>
      <tp t="e">
        <v>#N/A</v>
        <stp/>
        <stp>BDH|14015756936331959473</stp>
        <tr r="T43" s="4"/>
      </tp>
      <tp t="e">
        <v>#N/A</v>
        <stp/>
        <stp>BDH|14151102077310213797</stp>
        <tr r="P50" s="18"/>
      </tp>
      <tp t="e">
        <v>#N/A</v>
        <stp/>
        <stp>BDH|15218299910287327459</stp>
        <tr r="Y14" s="4"/>
      </tp>
      <tp t="e">
        <v>#N/A</v>
        <stp/>
        <stp>BDH|16816471643751276230</stp>
        <tr r="K53" s="21"/>
      </tp>
      <tp t="e">
        <v>#N/A</v>
        <stp/>
        <stp>BDH|17982540091988037615</stp>
        <tr r="Q211" s="18"/>
      </tp>
      <tp t="e">
        <v>#N/A</v>
        <stp/>
        <stp>BDH|17920797687538334594</stp>
        <tr r="T81" s="12"/>
      </tp>
      <tp t="e">
        <v>#N/A</v>
        <stp/>
        <stp>BDH|13813226654890591160</stp>
        <tr r="E206" s="18"/>
      </tp>
      <tp t="e">
        <v>#N/A</v>
        <stp/>
        <stp>BDH|14881652160268469948</stp>
        <tr r="L18" s="18"/>
      </tp>
      <tp t="e">
        <v>#N/A</v>
        <stp/>
        <stp>BDH|15640607812356163180</stp>
        <tr r="X18" s="26"/>
      </tp>
      <tp t="e">
        <v>#N/A</v>
        <stp/>
        <stp>BDH|15420813388122830285</stp>
        <tr r="C58" s="24"/>
      </tp>
      <tp t="e">
        <v>#N/A</v>
        <stp/>
        <stp>BDH|17987233839395893664</stp>
        <tr r="U125" s="18"/>
      </tp>
      <tp t="e">
        <v>#N/A</v>
        <stp/>
        <stp>BDH|10953405057820393404</stp>
        <tr r="G69" s="10"/>
      </tp>
      <tp t="e">
        <v>#N/A</v>
        <stp/>
        <stp>BDH|14981758466357122764</stp>
        <tr r="N194" s="18"/>
      </tp>
      <tp t="e">
        <v>#N/A</v>
        <stp/>
        <stp>BDH|15654880998449964823</stp>
        <tr r="O91" s="18"/>
      </tp>
      <tp t="e">
        <v>#N/A</v>
        <stp/>
        <stp>BDH|16013793043692377247</stp>
        <tr r="V20" s="24"/>
      </tp>
      <tp t="e">
        <v>#N/A</v>
        <stp/>
        <stp>BDH|16019509813850929776</stp>
        <tr r="V90" s="18"/>
      </tp>
      <tp t="e">
        <v>#N/A</v>
        <stp/>
        <stp>BDH|14541466142897892647</stp>
        <tr r="P66" s="18"/>
      </tp>
      <tp t="e">
        <v>#N/A</v>
        <stp/>
        <stp>BDH|18211925846180384089</stp>
        <tr r="Q67" s="12"/>
      </tp>
      <tp t="e">
        <v>#N/A</v>
        <stp/>
        <stp>BDH|13262425435856173798</stp>
        <tr r="R10" s="11"/>
      </tp>
      <tp t="e">
        <v>#N/A</v>
        <stp/>
        <stp>BDH|12710711100462274297</stp>
        <tr r="M107" s="18"/>
      </tp>
      <tp t="e">
        <v>#N/A</v>
        <stp/>
        <stp>BDH|17220066636243960264</stp>
        <tr r="D7" s="9"/>
        <tr r="D7" s="5"/>
        <tr r="G14" s="3"/>
        <tr r="E7" s="2"/>
      </tp>
      <tp t="e">
        <v>#N/A</v>
        <stp/>
        <stp>BDH|10576607669605993094</stp>
        <tr r="I38" s="24"/>
      </tp>
      <tp t="e">
        <v>#N/A</v>
        <stp/>
        <stp>BDH|16213579668634944481</stp>
        <tr r="U71" s="12"/>
      </tp>
      <tp t="e">
        <v>#N/A</v>
        <stp/>
        <stp>BDH|11499967727489133681</stp>
        <tr r="E79" s="34"/>
      </tp>
      <tp t="e">
        <v>#N/A</v>
        <stp/>
        <stp>BDH|17403301870444899204</stp>
        <tr r="K53" s="17"/>
      </tp>
      <tp t="e">
        <v>#N/A</v>
        <stp/>
        <stp>BDH|12524719678747646060</stp>
        <tr r="F60" s="21"/>
        <tr r="D54" s="11"/>
      </tp>
      <tp t="e">
        <v>#N/A</v>
        <stp/>
        <stp>BDH|16922133956763883480</stp>
        <tr r="X14" s="21"/>
      </tp>
      <tp t="e">
        <v>#N/A</v>
        <stp/>
        <stp>BDH|17668476701456984052</stp>
        <tr r="S19" s="23"/>
        <tr r="Q59" s="11"/>
      </tp>
      <tp t="e">
        <v>#N/A</v>
        <stp/>
        <stp>BDH|12830917809877917953</stp>
        <tr r="P41" s="18"/>
      </tp>
      <tp t="e">
        <v>#N/A</v>
        <stp/>
        <stp>BDH|11816210152036395546</stp>
        <tr r="X19" s="6"/>
      </tp>
      <tp t="e">
        <v>#N/A</v>
        <stp/>
        <stp>BDH|15196575510357287389</stp>
        <tr r="R175" s="18"/>
      </tp>
      <tp t="e">
        <v>#N/A</v>
        <stp/>
        <stp>BDH|11063878782801039598</stp>
        <tr r="H95" s="12"/>
      </tp>
      <tp t="e">
        <v>#N/A</v>
        <stp/>
        <stp>BDH|12146190424430845489</stp>
        <tr r="AA185" s="18"/>
      </tp>
      <tp t="e">
        <v>#N/A</v>
        <stp/>
        <stp>BDH|14565211284799498284</stp>
        <tr r="H65" s="24"/>
      </tp>
      <tp t="e">
        <v>#N/A</v>
        <stp/>
        <stp>BDH|12503623990839924125</stp>
        <tr r="W79" s="24"/>
      </tp>
      <tp t="e">
        <v>#N/A</v>
        <stp/>
        <stp>BDH|13324679310153004286</stp>
        <tr r="H23" s="12"/>
      </tp>
      <tp t="e">
        <v>#N/A</v>
        <stp/>
        <stp>BDH|14325868428362611974</stp>
        <tr r="K72" s="18"/>
      </tp>
      <tp t="e">
        <v>#N/A</v>
        <stp/>
        <stp>BDH|15390186138896966462</stp>
        <tr r="X36" s="18"/>
      </tp>
      <tp t="e">
        <v>#N/A</v>
        <stp/>
        <stp>BDH|17820758611386699263</stp>
        <tr r="P48" s="17"/>
      </tp>
      <tp t="e">
        <v>#N/A</v>
        <stp/>
        <stp>BDH|11091522932520855249</stp>
        <tr r="Q13" s="25"/>
      </tp>
      <tp t="e">
        <v>#N/A</v>
        <stp/>
        <stp>BDH|18005916908184137046</stp>
        <tr r="J9" s="21"/>
      </tp>
      <tp t="e">
        <v>#N/A</v>
        <stp/>
        <stp>BDH|13040001579704658536</stp>
        <tr r="Y59" s="24"/>
      </tp>
      <tp t="e">
        <v>#N/A</v>
        <stp/>
        <stp>BDH|11293221671999504880</stp>
        <tr r="G26" s="24"/>
      </tp>
      <tp t="e">
        <v>#N/A</v>
        <stp/>
        <stp>BDH|15658855810330639991</stp>
        <tr r="N7" s="6"/>
      </tp>
      <tp t="e">
        <v>#N/A</v>
        <stp/>
        <stp>BDH|10855712104034341622</stp>
        <tr r="F169" s="18"/>
      </tp>
      <tp t="e">
        <v>#N/A</v>
        <stp/>
        <stp>BDH|11064926620717732894</stp>
        <tr r="I21" s="34"/>
      </tp>
      <tp t="e">
        <v>#N/A</v>
        <stp/>
        <stp>BDH|14798189665384747217</stp>
        <tr r="E47" s="24"/>
      </tp>
      <tp t="e">
        <v>#N/A</v>
        <stp/>
        <stp>BDH|15100103261217482089</stp>
        <tr r="I115" s="12"/>
      </tp>
      <tp t="e">
        <v>#N/A</v>
        <stp/>
        <stp>BDH|14479672944545909627</stp>
        <tr r="S36" s="22"/>
      </tp>
      <tp t="e">
        <v>#N/A</v>
        <stp/>
        <stp>BDH|14204323424892042289</stp>
        <tr r="E195" s="18"/>
      </tp>
      <tp t="e">
        <v>#N/A</v>
        <stp/>
        <stp>BDH|11811417790729369062</stp>
        <tr r="M88" s="17"/>
      </tp>
      <tp t="e">
        <v>#N/A</v>
        <stp/>
        <stp>BDH|13230683343295745123</stp>
        <tr r="R48" s="21"/>
      </tp>
      <tp t="e">
        <v>#N/A</v>
        <stp/>
        <stp>BDH|17125509828113699636</stp>
        <tr r="O7" s="10"/>
      </tp>
      <tp t="e">
        <v>#N/A</v>
        <stp/>
        <stp>BDH|12980224188219824479</stp>
        <tr r="U62" s="34"/>
      </tp>
      <tp t="e">
        <v>#N/A</v>
        <stp/>
        <stp>BDH|10882172850166676758</stp>
        <tr r="L71" s="34"/>
      </tp>
      <tp t="e">
        <v>#N/A</v>
        <stp/>
        <stp>BDH|13380308553072567292</stp>
        <tr r="I36" s="13"/>
        <tr r="G29" s="10"/>
      </tp>
      <tp t="e">
        <v>#N/A</v>
        <stp/>
        <stp>BDH|13061256019870742547</stp>
        <tr r="V43" s="4"/>
      </tp>
      <tp t="e">
        <v>#N/A</v>
        <stp/>
        <stp>BDH|17601199031953684373</stp>
        <tr r="C64" s="10"/>
      </tp>
      <tp t="e">
        <v>#N/A</v>
        <stp/>
        <stp>BDH|10581980607244581809</stp>
        <tr r="W79" s="12"/>
      </tp>
      <tp t="e">
        <v>#N/A</v>
        <stp/>
        <stp>BDH|13686584834625207570</stp>
        <tr r="L26" s="26"/>
      </tp>
      <tp t="e">
        <v>#N/A</v>
        <stp/>
        <stp>BDH|16178597961330309059</stp>
        <tr r="W19" s="12"/>
      </tp>
      <tp t="e">
        <v>#N/A</v>
        <stp/>
        <stp>BDH|10272696324249682861</stp>
        <tr r="R75" s="24"/>
      </tp>
      <tp t="e">
        <v>#N/A</v>
        <stp/>
        <stp>BDH|14286135750416695389</stp>
        <tr r="I65" s="13"/>
      </tp>
      <tp t="e">
        <v>#N/A</v>
        <stp/>
        <stp>BDH|17150367368762681564</stp>
        <tr r="H49" s="18"/>
      </tp>
      <tp t="e">
        <v>#N/A</v>
        <stp/>
        <stp>BDH|10852053559677982721</stp>
        <tr r="AA172" s="18"/>
      </tp>
      <tp t="e">
        <v>#N/A</v>
        <stp/>
        <stp>BDH|16452206627481977258</stp>
        <tr r="X88" s="12"/>
      </tp>
      <tp t="e">
        <v>#N/A</v>
        <stp/>
        <stp>BDH|17374295935006986592</stp>
        <tr r="Y64" s="24"/>
      </tp>
      <tp t="e">
        <v>#N/A</v>
        <stp/>
        <stp>BDH|12103326387939236594</stp>
        <tr r="U53" s="18"/>
      </tp>
      <tp t="e">
        <v>#N/A</v>
        <stp/>
        <stp>BDH|11567668121548465895</stp>
        <tr r="I24" s="6"/>
      </tp>
      <tp t="e">
        <v>#N/A</v>
        <stp/>
        <stp>BDH|10909871781952737774</stp>
        <tr r="S43" s="13"/>
        <tr r="Q35" s="11"/>
        <tr r="Q44" s="10"/>
        <tr r="Q52" s="4"/>
        <tr r="S8" s="3"/>
      </tp>
      <tp t="e">
        <v>#N/A</v>
        <stp/>
        <stp>BDH|17903707991929005570</stp>
        <tr r="O130" s="18"/>
      </tp>
      <tp t="e">
        <v>#N/A</v>
        <stp/>
        <stp>BDH|13431032161591093190</stp>
        <tr r="Y92" s="12"/>
      </tp>
      <tp t="e">
        <v>#N/A</v>
        <stp/>
        <stp>BDH|14716090327902304155</stp>
        <tr r="H23" s="18"/>
      </tp>
      <tp t="e">
        <v>#N/A</v>
        <stp/>
        <stp>BDH|16937558470769797848</stp>
        <tr r="Y60" s="21"/>
        <tr r="W54" s="11"/>
      </tp>
      <tp t="e">
        <v>#N/A</v>
        <stp/>
        <stp>BDH|14808299859327136165</stp>
        <tr r="U11" s="13"/>
      </tp>
      <tp t="e">
        <v>#N/A</v>
        <stp/>
        <stp>BDH|16150185595599671251</stp>
        <tr r="O21" s="18"/>
      </tp>
      <tp t="e">
        <v>#N/A</v>
        <stp/>
        <stp>BDH|10952768661187599346</stp>
        <tr r="T22" s="24"/>
      </tp>
      <tp t="e">
        <v>#N/A</v>
        <stp/>
        <stp>BDH|13913380134504345293</stp>
        <tr r="J61" s="11"/>
        <tr r="J70" s="10"/>
        <tr r="J20" s="7"/>
      </tp>
      <tp t="e">
        <v>#N/A</v>
        <stp/>
        <stp>BDH|17895913180814272746</stp>
        <tr r="E24" s="17"/>
      </tp>
      <tp t="e">
        <v>#N/A</v>
        <stp/>
        <stp>BDH|12810801520724161962</stp>
        <tr r="R91" s="24"/>
      </tp>
      <tp t="e">
        <v>#N/A</v>
        <stp/>
        <stp>BDH|14036394911652278155</stp>
        <tr r="N18" s="27"/>
        <tr r="N32" s="25"/>
      </tp>
      <tp t="e">
        <v>#N/A</v>
        <stp/>
        <stp>BDH|13900388045199983823</stp>
        <tr r="G136" s="18"/>
      </tp>
      <tp t="e">
        <v>#N/A</v>
        <stp/>
        <stp>BDH|14833263019640811205</stp>
        <tr r="G36" s="22"/>
      </tp>
      <tp t="e">
        <v>#N/A</v>
        <stp/>
        <stp>BDH|14812297659975742309</stp>
        <tr r="I123" s="12"/>
      </tp>
      <tp t="e">
        <v>#N/A</v>
        <stp/>
        <stp>BDH|13646336815692877671</stp>
        <tr r="L24" s="21"/>
      </tp>
      <tp t="e">
        <v>#N/A</v>
        <stp/>
        <stp>BDH|14432525681364870800</stp>
        <tr r="X27" s="13"/>
      </tp>
      <tp t="e">
        <v>#N/A</v>
        <stp/>
        <stp>BDH|12596866849719480211</stp>
        <tr r="I55" s="34"/>
      </tp>
      <tp t="e">
        <v>#N/A</v>
        <stp/>
        <stp>BDH|11841123221196422105</stp>
        <tr r="Q10" s="26"/>
      </tp>
      <tp t="e">
        <v>#N/A</v>
        <stp/>
        <stp>BDH|16744065940130935772</stp>
        <tr r="N28" s="6"/>
      </tp>
      <tp t="e">
        <v>#N/A</v>
        <stp/>
        <stp>BDH|17410437443976997427</stp>
        <tr r="Y33" s="17"/>
      </tp>
      <tp t="e">
        <v>#N/A</v>
        <stp/>
        <stp>BDH|15933430711153147657</stp>
        <tr r="V58" s="13"/>
        <tr r="T47" s="11"/>
        <tr r="T56" s="10"/>
        <tr r="T17" s="7"/>
        <tr r="T17" s="4"/>
        <tr r="V10" s="3"/>
      </tp>
      <tp t="e">
        <v>#N/A</v>
        <stp/>
        <stp>BDH|12472745810013969265</stp>
        <tr r="V16" s="22"/>
      </tp>
      <tp t="e">
        <v>#N/A</v>
        <stp/>
        <stp>BDH|10662453612373949372</stp>
        <tr r="J18" s="34"/>
      </tp>
      <tp t="e">
        <v>#N/A</v>
        <stp/>
        <stp>BDH|17703236711806366798</stp>
        <tr r="U33" s="17"/>
      </tp>
      <tp t="e">
        <v>#N/A</v>
        <stp/>
        <stp>BDH|11577607825765637593</stp>
        <tr r="M20" s="23"/>
      </tp>
      <tp t="e">
        <v>#N/A</v>
        <stp/>
        <stp>BDH|13285267744954929463</stp>
        <tr r="K111" s="18"/>
      </tp>
      <tp t="e">
        <v>#N/A</v>
        <stp/>
        <stp>BDH|18026821918045535107</stp>
        <tr r="E25" s="34"/>
      </tp>
      <tp t="e">
        <v>#N/A</v>
        <stp/>
        <stp>BDH|11008096596878391530</stp>
        <tr r="AA74" s="17"/>
      </tp>
      <tp t="e">
        <v>#N/A</v>
        <stp/>
        <stp>BDH|15318469329620582661</stp>
        <tr r="O30" s="12"/>
      </tp>
      <tp t="e">
        <v>#N/A</v>
        <stp/>
        <stp>BDH|15192794437800450447</stp>
        <tr r="H28" s="13"/>
      </tp>
      <tp t="e">
        <v>#N/A</v>
        <stp/>
        <stp>BDH|13015450253170848712</stp>
        <tr r="V181" s="18"/>
      </tp>
      <tp t="e">
        <v>#N/A</v>
        <stp/>
        <stp>BDH|18119550890629854834</stp>
        <tr r="G45" s="24"/>
      </tp>
      <tp t="e">
        <v>#N/A</v>
        <stp/>
        <stp>BDH|11212311277236262692</stp>
        <tr r="E13" s="30"/>
      </tp>
      <tp t="e">
        <v>#N/A</v>
        <stp/>
        <stp>BDH|13579294942324961480</stp>
        <tr r="N76" s="17"/>
      </tp>
      <tp t="e">
        <v>#N/A</v>
        <stp/>
        <stp>BDH|17214085475471544452</stp>
        <tr r="W30" s="17"/>
      </tp>
      <tp t="e">
        <v>#N/A</v>
        <stp/>
        <stp>BDH|11479255333200545581</stp>
        <tr r="T125" s="18"/>
      </tp>
      <tp t="e">
        <v>#N/A</v>
        <stp/>
        <stp>BDH|11053693327550665070</stp>
        <tr r="F45" s="18"/>
      </tp>
      <tp t="e">
        <v>#N/A</v>
        <stp/>
        <stp>BDH|16612752778756798539</stp>
        <tr r="R11" s="20"/>
        <tr r="R120" s="18"/>
      </tp>
      <tp t="e">
        <v>#N/A</v>
        <stp/>
        <stp>BDH|11971764332772242204</stp>
        <tr r="C59" s="24"/>
      </tp>
      <tp t="e">
        <v>#N/A</v>
        <stp/>
        <stp>BDH|14950707559501912262</stp>
        <tr r="M91" s="17"/>
      </tp>
      <tp t="e">
        <v>#N/A</v>
        <stp/>
        <stp>BDH|12665094891579580754</stp>
        <tr r="I77" s="34"/>
      </tp>
      <tp t="e">
        <v>#N/A</v>
        <stp/>
        <stp>BDH|14255890415800275821</stp>
        <tr r="N21" s="6"/>
      </tp>
      <tp t="e">
        <v>#N/A</v>
        <stp/>
        <stp>BDH|11643265359976167564</stp>
        <tr r="R47" s="24"/>
      </tp>
      <tp t="e">
        <v>#N/A</v>
        <stp/>
        <stp>BDH|13216382733645798305</stp>
        <tr r="H87" s="24"/>
      </tp>
      <tp t="e">
        <v>#N/A</v>
        <stp/>
        <stp>BDH|14932098218926085663</stp>
        <tr r="E22" s="22"/>
      </tp>
      <tp t="e">
        <v>#N/A</v>
        <stp/>
        <stp>BDH|17471309701308367982</stp>
        <tr r="N10" s="24"/>
      </tp>
      <tp t="e">
        <v>#N/A</v>
        <stp/>
        <stp>BDH|13214521990328821269</stp>
        <tr r="Y58" s="12"/>
      </tp>
      <tp t="e">
        <v>#N/A</v>
        <stp/>
        <stp>BDH|13734273559850771107</stp>
        <tr r="L69" s="12"/>
      </tp>
      <tp t="e">
        <v>#N/A</v>
        <stp/>
        <stp>BDH|12191202039221744715</stp>
        <tr r="G48" s="6"/>
      </tp>
      <tp t="e">
        <v>#N/A</v>
        <stp/>
        <stp>BDH|10781482076055077372</stp>
        <tr r="K22" s="34"/>
      </tp>
      <tp t="e">
        <v>#N/A</v>
        <stp/>
        <stp>BDH|17000990832598280073</stp>
        <tr r="M46" s="18"/>
      </tp>
      <tp t="e">
        <v>#N/A</v>
        <stp/>
        <stp>BDH|16405165866803917731</stp>
        <tr r="D19" s="34"/>
      </tp>
      <tp t="e">
        <v>#N/A</v>
        <stp/>
        <stp>BDH|15887240570173299603</stp>
        <tr r="T9" s="26"/>
      </tp>
      <tp t="e">
        <v>#N/A</v>
        <stp/>
        <stp>BDH|17861154862732824794</stp>
        <tr r="D6" s="15"/>
        <tr r="D6" s="10"/>
        <tr r="D11" s="4"/>
        <tr r="D12" s="2"/>
      </tp>
      <tp t="e">
        <v>#N/A</v>
        <stp/>
        <stp>BDH|17965344234017308541</stp>
        <tr r="J43" s="11"/>
        <tr r="J52" s="10"/>
        <tr r="J15" s="7"/>
      </tp>
      <tp t="e">
        <v>#N/A</v>
        <stp/>
        <stp>BDH|15804863634492620926</stp>
        <tr r="D8" s="23"/>
      </tp>
      <tp t="e">
        <v>#N/A</v>
        <stp/>
        <stp>BDH|11539434243286356283</stp>
        <tr r="G37" s="29"/>
        <tr r="G23" s="29"/>
        <tr r="G14" s="29"/>
      </tp>
      <tp t="e">
        <v>#N/A</v>
        <stp/>
        <stp>BDH|11044067142705822525</stp>
        <tr r="L72" s="24"/>
      </tp>
      <tp t="e">
        <v>#N/A</v>
        <stp/>
        <stp>BDH|10149114499945097872</stp>
        <tr r="X66" s="17"/>
      </tp>
      <tp t="e">
        <v>#N/A</v>
        <stp/>
        <stp>BDH|10393444161390980714</stp>
        <tr r="S15" s="14"/>
      </tp>
      <tp t="e">
        <v>#N/A</v>
        <stp/>
        <stp>BDH|11165393177747381728</stp>
        <tr r="C46" s="12"/>
      </tp>
      <tp t="e">
        <v>#N/A</v>
        <stp/>
        <stp>BDH|10516687863255658063</stp>
        <tr r="S64" s="17"/>
      </tp>
      <tp t="e">
        <v>#N/A</v>
        <stp/>
        <stp>BDH|14046390928914987464</stp>
        <tr r="E198" s="18"/>
      </tp>
      <tp t="e">
        <v>#N/A</v>
        <stp/>
        <stp>BDH|15714876914330368993</stp>
        <tr r="M67" s="17"/>
      </tp>
      <tp t="e">
        <v>#N/A</v>
        <stp/>
        <stp>BDH|10833132829213579595</stp>
        <tr r="AA12" s="18"/>
      </tp>
      <tp t="e">
        <v>#N/A</v>
        <stp/>
        <stp>BDH|12916854485905791204</stp>
        <tr r="J15" s="12"/>
      </tp>
      <tp t="e">
        <v>#N/A</v>
        <stp/>
        <stp>BDH|13515391778192354094</stp>
        <tr r="AA12" s="22"/>
      </tp>
      <tp t="e">
        <v>#N/A</v>
        <stp/>
        <stp>BDH|13395603029864138651</stp>
        <tr r="I18" s="9"/>
      </tp>
      <tp t="e">
        <v>#N/A</v>
        <stp/>
        <stp>BDH|10983768321355250526</stp>
        <tr r="Y55" s="18"/>
      </tp>
      <tp t="e">
        <v>#N/A</v>
        <stp/>
        <stp>BDH|10292415970490566689</stp>
        <tr r="AA30" s="24"/>
      </tp>
      <tp t="e">
        <v>#N/A</v>
        <stp/>
        <stp>BDH|12781096824222297763</stp>
        <tr r="T61" s="12"/>
      </tp>
      <tp t="e">
        <v>#N/A</v>
        <stp/>
        <stp>BDH|15649234367901964559</stp>
        <tr r="H41" s="29"/>
        <tr r="H18" s="29"/>
      </tp>
      <tp t="e">
        <v>#N/A</v>
        <stp/>
        <stp>BDH|14388338030781911070</stp>
        <tr r="E62" s="18"/>
      </tp>
      <tp t="e">
        <v>#N/A</v>
        <stp/>
        <stp>BDH|17725994793336140427</stp>
        <tr r="I8" s="11"/>
      </tp>
      <tp t="e">
        <v>#N/A</v>
        <stp/>
        <stp>BDH|11951861593407004226</stp>
        <tr r="AA55" s="34"/>
      </tp>
      <tp t="e">
        <v>#N/A</v>
        <stp/>
        <stp>BDH|14023571344458445896</stp>
        <tr r="Q165" s="18"/>
      </tp>
      <tp t="e">
        <v>#N/A</v>
        <stp/>
        <stp>BDH|14329812890202803247</stp>
        <tr r="D32" s="21"/>
      </tp>
      <tp t="e">
        <v>#N/A</v>
        <stp/>
        <stp>BDH|17382387711422188257</stp>
        <tr r="I189" s="18"/>
      </tp>
      <tp t="e">
        <v>#N/A</v>
        <stp/>
        <stp>BDH|17948834081533110140</stp>
        <tr r="T20" s="34"/>
      </tp>
      <tp t="e">
        <v>#N/A</v>
        <stp/>
        <stp>BDH|14584408204405786088</stp>
        <tr r="M13" s="18"/>
      </tp>
      <tp t="e">
        <v>#N/A</v>
        <stp/>
        <stp>BDH|15497519516083568782</stp>
        <tr r="M124" s="12"/>
      </tp>
    </main>
    <main first="bofaddin.rtdserver">
      <tp t="e">
        <v>#N/A</v>
        <stp/>
        <stp>BDH|8907363734355329</stp>
        <tr r="T42" s="21"/>
      </tp>
      <tp t="e">
        <v>#N/A</v>
        <stp/>
        <stp>BDH|4399082030407590</stp>
        <tr r="J67" s="17"/>
      </tp>
      <tp t="e">
        <v>#N/A</v>
        <stp/>
        <stp>BDH|7544747787855866</stp>
        <tr r="W32" s="6"/>
      </tp>
      <tp t="e">
        <v>#N/A</v>
        <stp/>
        <stp>BDH|8588911249141364</stp>
        <tr r="AA31" s="24"/>
      </tp>
      <tp t="e">
        <v>#N/A</v>
        <stp/>
        <stp>BDH|9373814248769535</stp>
        <tr r="C94" s="18"/>
      </tp>
      <tp t="e">
        <v>#N/A</v>
        <stp/>
        <stp>BDH|2991546375028705</stp>
        <tr r="X50" s="21"/>
      </tp>
      <tp t="e">
        <v>#N/A</v>
        <stp/>
        <stp>BDH|1781530163184584</stp>
        <tr r="Z61" s="21"/>
      </tp>
      <tp t="e">
        <v>#N/A</v>
        <stp/>
        <stp>BDH|2716504365650133</stp>
        <tr r="F32" s="24"/>
      </tp>
      <tp t="e">
        <v>#N/A</v>
        <stp/>
        <stp>BDH|1751444495636539</stp>
        <tr r="E13" s="6"/>
      </tp>
      <tp t="e">
        <v>#N/A</v>
        <stp/>
        <stp>BDH|2016611917906551</stp>
        <tr r="S53" s="12"/>
      </tp>
      <tp t="e">
        <v>#N/A</v>
        <stp/>
        <stp>BDH|4760872542249201</stp>
        <tr r="E157" s="18"/>
      </tp>
      <tp t="e">
        <v>#N/A</v>
        <stp/>
        <stp>BDH|8761545317916534</stp>
        <tr r="P70" s="12"/>
      </tp>
      <tp t="e">
        <v>#N/A</v>
        <stp/>
        <stp>BDH|5669819277993774</stp>
        <tr r="S20" s="34"/>
      </tp>
      <tp t="e">
        <v>#N/A</v>
        <stp/>
        <stp>BDH|7574327981074364</stp>
        <tr r="Q88" s="17"/>
      </tp>
      <tp t="e">
        <v>#N/A</v>
        <stp/>
        <stp>BDH|9206474178034538226</stp>
        <tr r="AA36" s="13"/>
        <tr r="Y29" s="10"/>
      </tp>
      <tp t="e">
        <v>#N/A</v>
        <stp/>
        <stp>BDH|5894816669864817326</stp>
        <tr r="I80" s="34"/>
      </tp>
      <tp t="e">
        <v>#N/A</v>
        <stp/>
        <stp>BDH|4213694211716464946</stp>
        <tr r="AA108" s="18"/>
      </tp>
      <tp t="e">
        <v>#N/A</v>
        <stp/>
        <stp>BDH|7442407481382676595</stp>
        <tr r="X36" s="6"/>
        <tr r="X17" s="5"/>
      </tp>
      <tp t="e">
        <v>#N/A</v>
        <stp/>
        <stp>BDH|7567834513407703583</stp>
        <tr r="C21" s="6"/>
      </tp>
      <tp t="e">
        <v>#N/A</v>
        <stp/>
        <stp>BDH|6344264530373615897</stp>
        <tr r="S200" s="18"/>
      </tp>
      <tp t="e">
        <v>#N/A</v>
        <stp/>
        <stp>BDH|8880774347913551475</stp>
        <tr r="U66" s="17"/>
      </tp>
      <tp t="e">
        <v>#N/A</v>
        <stp/>
        <stp>BDH|3559123541869493382</stp>
        <tr r="F59" s="17"/>
      </tp>
      <tp t="e">
        <v>#N/A</v>
        <stp/>
        <stp>BDH|6827106186270066344</stp>
        <tr r="Y37" s="26"/>
      </tp>
      <tp t="e">
        <v>#N/A</v>
        <stp/>
        <stp>BDH|7034249957245958909</stp>
        <tr r="O9" s="8"/>
        <tr r="M52" s="6"/>
      </tp>
      <tp t="e">
        <v>#N/A</v>
        <stp/>
        <stp>BDH|7942547077798476147</stp>
        <tr r="E15" s="26"/>
      </tp>
      <tp t="e">
        <v>#N/A</v>
        <stp/>
        <stp>BDH|7161182841437314915</stp>
        <tr r="E96" s="18"/>
      </tp>
      <tp t="e">
        <v>#N/A</v>
        <stp/>
        <stp>BDH|1497434098573596306</stp>
        <tr r="H16" s="26"/>
      </tp>
      <tp t="e">
        <v>#N/A</v>
        <stp/>
        <stp>BDH|1578480538788603296</stp>
        <tr r="H20" s="23"/>
      </tp>
      <tp t="e">
        <v>#N/A</v>
        <stp/>
        <stp>BDH|1339541756998845539</stp>
        <tr r="U11" s="21"/>
      </tp>
      <tp t="e">
        <v>#N/A</v>
        <stp/>
        <stp>BDH|5022239482635264693</stp>
        <tr r="J33" s="9"/>
      </tp>
      <tp t="e">
        <v>#N/A</v>
        <stp/>
        <stp>BDH|9975529539141835204</stp>
        <tr r="L42" s="34"/>
      </tp>
      <tp t="e">
        <v>#N/A</v>
        <stp/>
        <stp>BDH|3985552505272079837</stp>
        <tr r="AA58" s="24"/>
      </tp>
      <tp t="e">
        <v>#N/A</v>
        <stp/>
        <stp>BDH|6668368278379133736</stp>
        <tr r="Y29" s="17"/>
      </tp>
      <tp t="e">
        <v>#N/A</v>
        <stp/>
        <stp>BDH|7857402829815217896</stp>
        <tr r="Q12" s="7"/>
      </tp>
      <tp t="e">
        <v>#N/A</v>
        <stp/>
        <stp>BDH|2875157936465988987</stp>
        <tr r="V31" s="21"/>
      </tp>
      <tp t="e">
        <v>#N/A</v>
        <stp/>
        <stp>BDH|9336379304090296688</stp>
        <tr r="K168" s="18"/>
      </tp>
      <tp t="e">
        <v>#N/A</v>
        <stp/>
        <stp>BDH|1582792683402134047</stp>
        <tr r="AA18" s="20"/>
      </tp>
      <tp t="e">
        <v>#N/A</v>
        <stp/>
        <stp>BDH|7944657983150391566</stp>
        <tr r="C43" s="24"/>
      </tp>
      <tp t="e">
        <v>#N/A</v>
        <stp/>
        <stp>BDH|6537498051403772804</stp>
        <tr r="H9" s="17"/>
      </tp>
      <tp t="e">
        <v>#N/A</v>
        <stp/>
        <stp>BDH|6563853137357436699</stp>
        <tr r="E42" s="29"/>
        <tr r="E33" s="29"/>
        <tr r="C55" s="6"/>
        <tr r="C11" s="5"/>
        <tr r="D10" s="2"/>
      </tp>
      <tp t="e">
        <v>#N/A</v>
        <stp/>
        <stp>BDH|3544949445663766192</stp>
        <tr r="V21" s="2"/>
      </tp>
      <tp t="e">
        <v>#N/A</v>
        <stp/>
        <stp>BDH|8215493730591485251</stp>
        <tr r="S50" s="24"/>
      </tp>
      <tp t="e">
        <v>#N/A</v>
        <stp/>
        <stp>BDH|1126480659169903522</stp>
        <tr r="Q32" s="6"/>
      </tp>
      <tp t="e">
        <v>#N/A</v>
        <stp/>
        <stp>BDH|9396237126820942543</stp>
        <tr r="F126" s="18"/>
      </tp>
      <tp t="e">
        <v>#N/A</v>
        <stp/>
        <stp>BDH|9978442770691444726</stp>
        <tr r="J166" s="18"/>
      </tp>
      <tp t="e">
        <v>#N/A</v>
        <stp/>
        <stp>BDH|5614846949553766675</stp>
        <tr r="T81" s="34"/>
      </tp>
      <tp t="e">
        <v>#N/A</v>
        <stp/>
        <stp>BDH|1106116859868161139</stp>
        <tr r="O92" s="17"/>
      </tp>
      <tp t="e">
        <v>#N/A</v>
        <stp/>
        <stp>BDH|3314319950858845114</stp>
        <tr r="Y6" s="20"/>
        <tr r="Y116" s="18"/>
      </tp>
      <tp t="e">
        <v>#N/A</v>
        <stp/>
        <stp>BDH|5202406511718838402</stp>
        <tr r="G18" s="12"/>
      </tp>
      <tp t="e">
        <v>#N/A</v>
        <stp/>
        <stp>BDH|9966794110440802335</stp>
        <tr r="J65" s="18"/>
      </tp>
      <tp t="e">
        <v>#N/A</v>
        <stp/>
        <stp>BDH|2988545497963746163</stp>
        <tr r="V87" s="12"/>
      </tp>
      <tp t="e">
        <v>#N/A</v>
        <stp/>
        <stp>BDH|9126735206664916662</stp>
        <tr r="P16" s="28"/>
        <tr r="P13" s="17"/>
      </tp>
      <tp t="e">
        <v>#N/A</v>
        <stp/>
        <stp>BDH|9253474432150944251</stp>
        <tr r="L58" s="13"/>
        <tr r="J47" s="11"/>
        <tr r="J56" s="10"/>
        <tr r="J17" s="7"/>
        <tr r="J17" s="4"/>
        <tr r="L10" s="3"/>
      </tp>
      <tp t="e">
        <v>#N/A</v>
        <stp/>
        <stp>BDH|8525881755788793148</stp>
        <tr r="R21" s="4"/>
      </tp>
      <tp t="e">
        <v>#N/A</v>
        <stp/>
        <stp>BDH|5649924688701255957</stp>
        <tr r="W16" s="21"/>
      </tp>
      <tp t="e">
        <v>#N/A</v>
        <stp/>
        <stp>BDH|6002645981566813265</stp>
        <tr r="F30" s="21"/>
      </tp>
      <tp t="e">
        <v>#N/A</v>
        <stp/>
        <stp>BDH|6918140450368749611</stp>
        <tr r="N139" s="18"/>
      </tp>
      <tp t="e">
        <v>#N/A</v>
        <stp/>
        <stp>BDH|7218627094432760683</stp>
        <tr r="E21" s="20"/>
      </tp>
      <tp t="e">
        <v>#N/A</v>
        <stp/>
        <stp>BDH|4195726493432887435</stp>
        <tr r="Y70" s="34"/>
      </tp>
      <tp t="e">
        <v>#N/A</v>
        <stp/>
        <stp>BDH|9511690560530251557</stp>
        <tr r="W84" s="18"/>
      </tp>
      <tp t="e">
        <v>#N/A</v>
        <stp/>
        <stp>BDH|5343357498115031657</stp>
        <tr r="C51" s="13"/>
      </tp>
      <tp t="e">
        <v>#N/A</v>
        <stp/>
        <stp>BDH|2003117097032910440</stp>
        <tr r="Z145" s="18"/>
      </tp>
      <tp t="e">
        <v>#N/A</v>
        <stp/>
        <stp>BDH|8648283578538536987</stp>
        <tr r="L58" s="12"/>
      </tp>
      <tp t="e">
        <v>#N/A</v>
        <stp/>
        <stp>BDH|7987031004428775323</stp>
        <tr r="R34" s="14"/>
      </tp>
      <tp t="e">
        <v>#N/A</v>
        <stp/>
        <stp>BDH|6498869178517385224</stp>
        <tr r="L11" s="21"/>
      </tp>
      <tp t="e">
        <v>#N/A</v>
        <stp/>
        <stp>BDH|6023140278844717803</stp>
        <tr r="I26" s="34"/>
      </tp>
      <tp t="e">
        <v>#N/A</v>
        <stp/>
        <stp>BDH|8840665007197181530</stp>
        <tr r="K18" s="26"/>
      </tp>
      <tp t="e">
        <v>#N/A</v>
        <stp/>
        <stp>BDH|2820806569453989330</stp>
        <tr r="Y19" s="20"/>
      </tp>
      <tp t="e">
        <v>#N/A</v>
        <stp/>
        <stp>BDH|5979850955812255601</stp>
        <tr r="AA36" s="12"/>
      </tp>
      <tp t="e">
        <v>#N/A</v>
        <stp/>
        <stp>BDH|1752782274665336839</stp>
        <tr r="O34" s="34"/>
      </tp>
      <tp t="e">
        <v>#N/A</v>
        <stp/>
        <stp>BDH|5095463289201117452</stp>
        <tr r="E47" s="13"/>
      </tp>
      <tp t="e">
        <v>#N/A</v>
        <stp/>
        <stp>BDH|4088656884762344496</stp>
        <tr r="U34" s="21"/>
      </tp>
      <tp t="e">
        <v>#N/A</v>
        <stp/>
        <stp>BDH|6193905429753658255</stp>
        <tr r="D62" s="21"/>
      </tp>
      <tp t="e">
        <v>#N/A</v>
        <stp/>
        <stp>BDH|5793361302513993919</stp>
        <tr r="T35" s="13"/>
        <tr r="R28" s="10"/>
      </tp>
      <tp t="e">
        <v>#N/A</v>
        <stp/>
        <stp>BDH|1344860724435847228</stp>
        <tr r="X81" s="12"/>
      </tp>
      <tp t="e">
        <v>#N/A</v>
        <stp/>
        <stp>BDH|9923700201225058739</stp>
        <tr r="U41" s="21"/>
      </tp>
      <tp t="e">
        <v>#N/A</v>
        <stp/>
        <stp>BDH|9355322069870610051</stp>
        <tr r="S41" s="6"/>
        <tr r="S18" s="5"/>
      </tp>
      <tp t="e">
        <v>#N/A</v>
        <stp/>
        <stp>BDH|1291325598687072032</stp>
        <tr r="AA22" s="24"/>
      </tp>
      <tp t="e">
        <v>#N/A</v>
        <stp/>
        <stp>BDH|2196499587897221565</stp>
        <tr r="J23" s="21"/>
      </tp>
      <tp t="e">
        <v>#N/A</v>
        <stp/>
        <stp>BDH|1436795317823703860</stp>
        <tr r="Z204" s="18"/>
      </tp>
      <tp t="e">
        <v>#N/A</v>
        <stp/>
        <stp>BDH|3526989950227035464</stp>
        <tr r="I14" s="6"/>
      </tp>
      <tp t="e">
        <v>#N/A</v>
        <stp/>
        <stp>BDH|8587846833516976902</stp>
        <tr r="Q111" s="18"/>
      </tp>
      <tp t="e">
        <v>#N/A</v>
        <stp/>
        <stp>BDH|1881710671554586954</stp>
        <tr r="F117" s="12"/>
      </tp>
      <tp t="e">
        <v>#N/A</v>
        <stp/>
        <stp>BDH|3100132509999122728</stp>
        <tr r="N16" s="12"/>
      </tp>
      <tp t="e">
        <v>#N/A</v>
        <stp/>
        <stp>BDH|5389246954178387687</stp>
        <tr r="D27" s="24"/>
      </tp>
      <tp t="e">
        <v>#N/A</v>
        <stp/>
        <stp>BDH|1966021024247056873</stp>
        <tr r="K6" s="6"/>
      </tp>
      <tp t="e">
        <v>#N/A</v>
        <stp/>
        <stp>BDH|9420373420424953023</stp>
        <tr r="K38" s="22"/>
      </tp>
      <tp t="e">
        <v>#N/A</v>
        <stp/>
        <stp>BDH|2863625988768261887</stp>
        <tr r="U60" s="12"/>
      </tp>
      <tp t="e">
        <v>#N/A</v>
        <stp/>
        <stp>BDH|2100700509120700975</stp>
        <tr r="I23" s="10"/>
      </tp>
      <tp t="e">
        <v>#N/A</v>
        <stp/>
        <stp>BDH|7198812039019179908</stp>
        <tr r="N46" s="18"/>
      </tp>
      <tp t="e">
        <v>#N/A</v>
        <stp/>
        <stp>BDH|2087894953732482167</stp>
        <tr r="V43" s="24"/>
      </tp>
      <tp t="e">
        <v>#N/A</v>
        <stp/>
        <stp>BDH|8027557301998912959</stp>
        <tr r="C19" s="28"/>
        <tr r="C16" s="17"/>
      </tp>
      <tp t="e">
        <v>#N/A</v>
        <stp/>
        <stp>BDH|1913752282393041160</stp>
        <tr r="H79" s="12"/>
      </tp>
      <tp t="e">
        <v>#N/A</v>
        <stp/>
        <stp>BDH|2886969646892952198</stp>
        <tr r="G96" s="12"/>
      </tp>
      <tp t="e">
        <v>#N/A</v>
        <stp/>
        <stp>BDH|4667754635584942874</stp>
        <tr r="X59" s="13"/>
      </tp>
      <tp t="e">
        <v>#N/A</v>
        <stp/>
        <stp>BDH|3506017025254935900</stp>
        <tr r="S20" s="22"/>
      </tp>
      <tp t="e">
        <v>#N/A</v>
        <stp/>
        <stp>BDH|2177155165039809014</stp>
        <tr r="Y41" s="17"/>
      </tp>
      <tp t="e">
        <v>#N/A</v>
        <stp/>
        <stp>BDH|8725394861911749002</stp>
        <tr r="M28" s="17"/>
      </tp>
      <tp t="e">
        <v>#N/A</v>
        <stp/>
        <stp>BDH|8820432389990299889</stp>
        <tr r="E68" s="12"/>
      </tp>
      <tp t="e">
        <v>#N/A</v>
        <stp/>
        <stp>BDH|6496394968336815956</stp>
        <tr r="N211" s="18"/>
      </tp>
      <tp t="e">
        <v>#N/A</v>
        <stp/>
        <stp>BDH|8196516462010238785</stp>
        <tr r="E66" s="21"/>
      </tp>
      <tp t="e">
        <v>#N/A</v>
        <stp/>
        <stp>BDH|4523610548253793931</stp>
        <tr r="Q18" s="9"/>
      </tp>
      <tp t="e">
        <v>#N/A</v>
        <stp/>
        <stp>BDH|8495937801319824467</stp>
        <tr r="S156" s="18"/>
      </tp>
      <tp t="e">
        <v>#N/A</v>
        <stp/>
        <stp>BDH|1127571988309184970</stp>
        <tr r="Q38" s="22"/>
      </tp>
      <tp t="e">
        <v>#N/A</v>
        <stp/>
        <stp>BDH|3394883412335056317</stp>
        <tr r="K8" s="18"/>
      </tp>
      <tp t="e">
        <v>#N/A</v>
        <stp/>
        <stp>BDH|3577878295347871970</stp>
        <tr r="F23" s="10"/>
      </tp>
      <tp t="e">
        <v>#N/A</v>
        <stp/>
        <stp>BDH|6730291981495145568</stp>
        <tr r="G8" s="14"/>
      </tp>
      <tp t="e">
        <v>#N/A</v>
        <stp/>
        <stp>BDH|8643629662564605082</stp>
        <tr r="S61" s="17"/>
      </tp>
      <tp t="e">
        <v>#N/A</v>
        <stp/>
        <stp>BDH|8101317874118444888</stp>
        <tr r="S15" s="22"/>
      </tp>
      <tp t="e">
        <v>#N/A</v>
        <stp/>
        <stp>BDH|9693412937602006080</stp>
        <tr r="N192" s="18"/>
      </tp>
      <tp t="e">
        <v>#N/A</v>
        <stp/>
        <stp>BDH|2112628332368022394</stp>
        <tr r="T77" s="34"/>
      </tp>
      <tp t="e">
        <v>#N/A</v>
        <stp/>
        <stp>BDH|7340898002111491248</stp>
        <tr r="R66" s="10"/>
        <tr r="R39" s="4"/>
      </tp>
      <tp t="e">
        <v>#N/A</v>
        <stp/>
        <stp>BDH|3479592973979088468</stp>
        <tr r="E45" s="24"/>
      </tp>
      <tp t="e">
        <v>#N/A</v>
        <stp/>
        <stp>BDH|7296557738039674416</stp>
        <tr r="H16" s="20"/>
      </tp>
      <tp t="e">
        <v>#N/A</v>
        <stp/>
        <stp>BDH|1921743551228382775</stp>
        <tr r="L134" s="18"/>
      </tp>
      <tp t="e">
        <v>#N/A</v>
        <stp/>
        <stp>BDH|2878455085441519359</stp>
        <tr r="S100" s="12"/>
      </tp>
      <tp t="e">
        <v>#N/A</v>
        <stp/>
        <stp>BDH|9063264353633922148</stp>
        <tr r="O102" s="18"/>
      </tp>
      <tp t="e">
        <v>#N/A</v>
        <stp/>
        <stp>BDH|4865710340243946891</stp>
        <tr r="H9" s="14"/>
      </tp>
      <tp t="e">
        <v>#N/A</v>
        <stp/>
        <stp>BDH|8491575277851932746</stp>
        <tr r="E24" s="21"/>
      </tp>
      <tp t="e">
        <v>#N/A</v>
        <stp/>
        <stp>BDH|8940080057427864677</stp>
        <tr r="N207" s="18"/>
      </tp>
      <tp t="e">
        <v>#N/A</v>
        <stp/>
        <stp>BDH|2963794589053834280</stp>
        <tr r="L50" s="4"/>
      </tp>
      <tp t="e">
        <v>#N/A</v>
        <stp/>
        <stp>BDH|3364435866614933967</stp>
        <tr r="N68" s="24"/>
      </tp>
      <tp t="e">
        <v>#N/A</v>
        <stp/>
        <stp>BDH|2489148448249663275</stp>
        <tr r="Q114" s="12"/>
      </tp>
      <tp t="e">
        <v>#N/A</v>
        <stp/>
        <stp>BDH|2639843106830802658</stp>
        <tr r="G13" s="24"/>
      </tp>
      <tp t="e">
        <v>#N/A</v>
        <stp/>
        <stp>BDH|1579110888497787328</stp>
        <tr r="X30" s="12"/>
      </tp>
      <tp t="e">
        <v>#N/A</v>
        <stp/>
        <stp>BDH|5639661801606139994</stp>
        <tr r="K39" s="26"/>
      </tp>
      <tp t="e">
        <v>#N/A</v>
        <stp/>
        <stp>BDH|1024342614768035796</stp>
        <tr r="P6" s="28"/>
      </tp>
      <tp t="e">
        <v>#N/A</v>
        <stp/>
        <stp>BDH|8857641184383216934</stp>
        <tr r="I94" s="18"/>
      </tp>
      <tp t="e">
        <v>#N/A</v>
        <stp/>
        <stp>BDH|1370641838029411125</stp>
        <tr r="U41" s="22"/>
      </tp>
      <tp t="e">
        <v>#N/A</v>
        <stp/>
        <stp>BDH|3061990437050011572</stp>
        <tr r="N90" s="17"/>
      </tp>
      <tp t="e">
        <v>#N/A</v>
        <stp/>
        <stp>BDH|8566967881405387088</stp>
        <tr r="E45" s="18"/>
      </tp>
      <tp t="e">
        <v>#N/A</v>
        <stp/>
        <stp>BDH|5629932310260928154</stp>
        <tr r="H96" s="12"/>
      </tp>
      <tp t="e">
        <v>#N/A</v>
        <stp/>
        <stp>BDH|9282685083148192311</stp>
        <tr r="M28" s="21"/>
      </tp>
      <tp t="e">
        <v>#N/A</v>
        <stp/>
        <stp>BDH|1949026591377215314</stp>
        <tr r="V30" s="11"/>
        <tr r="V39" s="10"/>
      </tp>
      <tp t="e">
        <v>#N/A</v>
        <stp/>
        <stp>BDH|8434206351901529299</stp>
        <tr r="L200" s="18"/>
      </tp>
      <tp t="e">
        <v>#N/A</v>
        <stp/>
        <stp>BDH|1957949033367214058</stp>
        <tr r="H38" s="11"/>
        <tr r="H47" s="10"/>
      </tp>
      <tp t="e">
        <v>#N/A</v>
        <stp/>
        <stp>BDH|2561594521289651023</stp>
        <tr r="I53" s="12"/>
      </tp>
      <tp t="e">
        <v>#N/A</v>
        <stp/>
        <stp>BDH|9958520102662540251</stp>
        <tr r="C19" s="13"/>
      </tp>
      <tp t="e">
        <v>#N/A</v>
        <stp/>
        <stp>BDH|8423828739088629700</stp>
        <tr r="F67" s="17"/>
      </tp>
      <tp t="e">
        <v>#N/A</v>
        <stp/>
        <stp>BDH|5598764138764058927</stp>
        <tr r="AA7" s="14"/>
      </tp>
      <tp t="e">
        <v>#N/A</v>
        <stp/>
        <stp>BDH|3308899520034553167</stp>
        <tr r="I10" s="22"/>
      </tp>
      <tp t="e">
        <v>#N/A</v>
        <stp/>
        <stp>BDH|7165650165913010884</stp>
        <tr r="V88" s="17"/>
      </tp>
      <tp t="e">
        <v>#N/A</v>
        <stp/>
        <stp>BDH|8593737149240501736</stp>
        <tr r="F31" s="22"/>
      </tp>
      <tp t="e">
        <v>#N/A</v>
        <stp/>
        <stp>BDH|5405583655790370939</stp>
        <tr r="X82" s="12"/>
      </tp>
      <tp t="e">
        <v>#N/A</v>
        <stp/>
        <stp>BDH|6084670566388932212</stp>
        <tr r="K67" s="34"/>
      </tp>
      <tp t="e">
        <v>#N/A</v>
        <stp/>
        <stp>BDH|8911326251603742148</stp>
        <tr r="P154" s="18"/>
      </tp>
      <tp t="e">
        <v>#N/A</v>
        <stp/>
        <stp>BDH|4899793021034938904</stp>
        <tr r="X21" s="24"/>
      </tp>
      <tp t="e">
        <v>#N/A</v>
        <stp/>
        <stp>BDH|9498265456625562781</stp>
        <tr r="J9" s="27"/>
      </tp>
      <tp t="e">
        <v>#N/A</v>
        <stp/>
        <stp>BDH|6078639994022941776</stp>
        <tr r="G16" s="26"/>
      </tp>
      <tp t="e">
        <v>#N/A</v>
        <stp/>
        <stp>BDH|1394707748098463664</stp>
        <tr r="L29" s="34"/>
      </tp>
      <tp t="e">
        <v>#N/A</v>
        <stp/>
        <stp>BDH|4491185752018141467</stp>
        <tr r="J112" s="18"/>
      </tp>
      <tp t="e">
        <v>#N/A</v>
        <stp/>
        <stp>BDH|9012791815291054258</stp>
        <tr r="U59" s="18"/>
      </tp>
      <tp t="e">
        <v>#N/A</v>
        <stp/>
        <stp>BDH|1779035655499114198</stp>
        <tr r="F102" s="12"/>
      </tp>
      <tp t="e">
        <v>#N/A</v>
        <stp/>
        <stp>BDH|2320798182072014314</stp>
        <tr r="I68" s="34"/>
      </tp>
      <tp t="e">
        <v>#N/A</v>
        <stp/>
        <stp>BDH|9287391969247325786</stp>
        <tr r="S15" s="25"/>
      </tp>
      <tp t="e">
        <v>#N/A</v>
        <stp/>
        <stp>BDH|7264698892435316135</stp>
        <tr r="G43" s="11"/>
        <tr r="G52" s="10"/>
        <tr r="G15" s="7"/>
      </tp>
      <tp t="e">
        <v>#N/A</v>
        <stp/>
        <stp>BDH|8875201633516471315</stp>
        <tr r="I139" s="18"/>
      </tp>
      <tp t="e">
        <v>#N/A</v>
        <stp/>
        <stp>BDH|4228694576151216817</stp>
        <tr r="G22" s="6"/>
      </tp>
      <tp t="e">
        <v>#N/A</v>
        <stp/>
        <stp>BDH|2690966394248286685</stp>
        <tr r="L31" s="5"/>
      </tp>
      <tp t="e">
        <v>#N/A</v>
        <stp/>
        <stp>BDH|2738925668766527763</stp>
        <tr r="D62" s="34"/>
      </tp>
      <tp t="e">
        <v>#N/A</v>
        <stp/>
        <stp>BDH|9071545748927001328</stp>
        <tr r="S72" s="12"/>
      </tp>
      <tp t="e">
        <v>#N/A</v>
        <stp/>
        <stp>BDH|7242022148576492929</stp>
        <tr r="M81" s="24"/>
      </tp>
      <tp t="e">
        <v>#N/A</v>
        <stp/>
        <stp>BDH|8369692671745286078</stp>
        <tr r="Q41" s="6"/>
        <tr r="Q18" s="5"/>
      </tp>
      <tp t="e">
        <v>#N/A</v>
        <stp/>
        <stp>BDH|8765571167544834313</stp>
        <tr r="M42" s="18"/>
      </tp>
      <tp t="e">
        <v>#N/A</v>
        <stp/>
        <stp>BDH|2125979851337180582</stp>
        <tr r="M23" s="9"/>
        <tr r="M23" s="5"/>
      </tp>
      <tp t="e">
        <v>#N/A</v>
        <stp/>
        <stp>BDH|1063396620309419537</stp>
        <tr r="M25" s="34"/>
      </tp>
      <tp t="e">
        <v>#N/A</v>
        <stp/>
        <stp>BDH|2302043755352408985</stp>
        <tr r="Z16" s="21"/>
      </tp>
      <tp t="e">
        <v>#N/A</v>
        <stp/>
        <stp>BDH|6631517012387260994</stp>
        <tr r="L182" s="18"/>
      </tp>
      <tp t="e">
        <v>#N/A</v>
        <stp/>
        <stp>BDH|1735308428375253939</stp>
        <tr r="X20" s="28"/>
        <tr r="X17" s="17"/>
      </tp>
      <tp t="e">
        <v>#N/A</v>
        <stp/>
        <stp>BDH|2636143445849093295</stp>
        <tr r="U25" s="10"/>
      </tp>
      <tp t="e">
        <v>#N/A</v>
        <stp/>
        <stp>BDH|4783165707829081089</stp>
        <tr r="N10" s="13"/>
      </tp>
      <tp t="e">
        <v>#N/A</v>
        <stp/>
        <stp>BDH|1208367933535136886</stp>
        <tr r="E24" s="20"/>
      </tp>
      <tp t="e">
        <v>#N/A</v>
        <stp/>
        <stp>BDH|2143719071869869774</stp>
        <tr r="R33" s="11"/>
        <tr r="R42" s="10"/>
      </tp>
      <tp t="e">
        <v>#N/A</v>
        <stp/>
        <stp>BDH|6355131199103536120</stp>
        <tr r="P63" s="11"/>
        <tr r="P72" s="10"/>
      </tp>
      <tp t="e">
        <v>#N/A</v>
        <stp/>
        <stp>BDH|5907809817080572057</stp>
        <tr r="K24" s="13"/>
      </tp>
      <tp t="e">
        <v>#N/A</v>
        <stp/>
        <stp>BDH|9805180497179181480</stp>
        <tr r="X76" s="34"/>
      </tp>
      <tp t="e">
        <v>#N/A</v>
        <stp/>
        <stp>BDH|5955071377447406938</stp>
        <tr r="AA15" s="26"/>
      </tp>
      <tp t="e">
        <v>#N/A</v>
        <stp/>
        <stp>BDH|7129970869313185701</stp>
        <tr r="M143" s="18"/>
      </tp>
      <tp t="e">
        <v>#N/A</v>
        <stp/>
        <stp>BDH|7233747487317990366</stp>
        <tr r="X42" s="29"/>
        <tr r="X33" s="29"/>
        <tr r="V55" s="6"/>
        <tr r="V11" s="5"/>
        <tr r="W10" s="2"/>
      </tp>
      <tp t="e">
        <v>#N/A</v>
        <stp/>
        <stp>BDH|8099329689888415711</stp>
        <tr r="R43" s="22"/>
      </tp>
      <tp t="e">
        <v>#N/A</v>
        <stp/>
        <stp>BDH|6207369628808099320</stp>
        <tr r="E8" s="2"/>
      </tp>
      <tp t="e">
        <v>#N/A</v>
        <stp/>
        <stp>BDH|3908672390540194016</stp>
        <tr r="O29" s="17"/>
      </tp>
      <tp t="e">
        <v>#N/A</v>
        <stp/>
        <stp>BDH|2412919750116336481</stp>
        <tr r="G49" s="21"/>
      </tp>
      <tp t="e">
        <v>#N/A</v>
        <stp/>
        <stp>BDH|4562518531609805733</stp>
        <tr r="G201" s="18"/>
      </tp>
      <tp t="e">
        <v>#N/A</v>
        <stp/>
        <stp>BDH|2998937177512603250</stp>
        <tr r="M56" s="24"/>
      </tp>
      <tp t="e">
        <v>#N/A</v>
        <stp/>
        <stp>BDH|2239018778618779127</stp>
        <tr r="D17" s="30"/>
      </tp>
      <tp t="e">
        <v>#N/A</v>
        <stp/>
        <stp>BDH|9486285367452356361</stp>
        <tr r="K178" s="18"/>
      </tp>
      <tp t="e">
        <v>#N/A</v>
        <stp/>
        <stp>BDH|1866008795700213415</stp>
        <tr r="Y61" s="18"/>
      </tp>
      <tp t="e">
        <v>#N/A</v>
        <stp/>
        <stp>BDH|4048234249836737836</stp>
        <tr r="AA81" s="12"/>
      </tp>
      <tp t="e">
        <v>#N/A</v>
        <stp/>
        <stp>BDH|4637124807510991946</stp>
        <tr r="P26" s="22"/>
      </tp>
      <tp t="e">
        <v>#N/A</v>
        <stp/>
        <stp>BDH|4086797074519100126</stp>
        <tr r="W17" s="28"/>
        <tr r="W14" s="17"/>
      </tp>
      <tp t="e">
        <v>#N/A</v>
        <stp/>
        <stp>BDH|9023597932980570307</stp>
        <tr r="N176" s="18"/>
      </tp>
      <tp t="e">
        <v>#N/A</v>
        <stp/>
        <stp>BDH|1817826125243486452</stp>
        <tr r="Y38" s="34"/>
      </tp>
      <tp t="e">
        <v>#N/A</v>
        <stp/>
        <stp>BDH|2938249858119829036</stp>
        <tr r="Q9" s="27"/>
      </tp>
      <tp t="e">
        <v>#N/A</v>
        <stp/>
        <stp>BDH|2382065477178429180</stp>
        <tr r="O67" s="34"/>
      </tp>
      <tp t="e">
        <v>#N/A</v>
        <stp/>
        <stp>BDH|2623482396262520121</stp>
        <tr r="V53" s="12"/>
      </tp>
      <tp t="e">
        <v>#N/A</v>
        <stp/>
        <stp>BDH|8667831591562275794</stp>
        <tr r="F12" s="24"/>
      </tp>
      <tp t="e">
        <v>#N/A</v>
        <stp/>
        <stp>BDH|8173173519080574452</stp>
        <tr r="D62" s="12"/>
      </tp>
      <tp t="e">
        <v>#N/A</v>
        <stp/>
        <stp>BDH|5565789201198268618</stp>
        <tr r="Q105" s="18"/>
      </tp>
      <tp t="e">
        <v>#N/A</v>
        <stp/>
        <stp>BDH|3562513138119132027</stp>
        <tr r="T23" s="20"/>
      </tp>
      <tp t="e">
        <v>#N/A</v>
        <stp/>
        <stp>BDH|3949846680066036921</stp>
        <tr r="V43" s="29"/>
      </tp>
      <tp t="e">
        <v>#N/A</v>
        <stp/>
        <stp>BDH|1207616726401361897</stp>
        <tr r="S122" s="12"/>
      </tp>
      <tp t="e">
        <v>#N/A</v>
        <stp/>
        <stp>BDH|5562785292746729175</stp>
        <tr r="C36" s="6"/>
        <tr r="C17" s="5"/>
      </tp>
      <tp t="e">
        <v>#N/A</v>
        <stp/>
        <stp>BDH|4558195014660030876</stp>
        <tr r="AA18" s="26"/>
      </tp>
      <tp t="e">
        <v>#N/A</v>
        <stp/>
        <stp>BDH|3109311538619118664</stp>
        <tr r="L9" s="14"/>
      </tp>
      <tp t="e">
        <v>#N/A</v>
        <stp/>
        <stp>BDH|7815227497149229907</stp>
        <tr r="M89" s="18"/>
      </tp>
      <tp t="e">
        <v>#N/A</v>
        <stp/>
        <stp>BDH|1985847607361768428</stp>
        <tr r="U21" s="22"/>
      </tp>
      <tp t="e">
        <v>#N/A</v>
        <stp/>
        <stp>BDH|2839225157420305910</stp>
        <tr r="E20" s="5"/>
      </tp>
      <tp t="e">
        <v>#N/A</v>
        <stp/>
        <stp>BDH|5620265211408745292</stp>
        <tr r="N93" s="12"/>
      </tp>
      <tp t="e">
        <v>#N/A</v>
        <stp/>
        <stp>BDH|7912351794968546929</stp>
        <tr r="S16" s="10"/>
      </tp>
      <tp t="e">
        <v>#N/A</v>
        <stp/>
        <stp>BDH|2668784694183223376</stp>
        <tr r="L65" s="18"/>
      </tp>
      <tp t="e">
        <v>#N/A</v>
        <stp/>
        <stp>BDH|2681863391776622987</stp>
        <tr r="K15" s="30"/>
      </tp>
      <tp t="e">
        <v>#N/A</v>
        <stp/>
        <stp>BDH|8245825715755966839</stp>
        <tr r="Q27" s="34"/>
      </tp>
      <tp t="e">
        <v>#N/A</v>
        <stp/>
        <stp>BDH|8301210666833275396</stp>
        <tr r="W13" s="5"/>
      </tp>
      <tp t="e">
        <v>#N/A</v>
        <stp/>
        <stp>BDH|2680418964304886842</stp>
        <tr r="D81" s="17"/>
      </tp>
      <tp t="e">
        <v>#N/A</v>
        <stp/>
        <stp>BDH|8165552999521511979</stp>
        <tr r="J9" s="22"/>
      </tp>
      <tp t="e">
        <v>#N/A</v>
        <stp/>
        <stp>BDH|1639639599775330706</stp>
        <tr r="D47" s="13"/>
      </tp>
      <tp t="e">
        <v>#N/A</v>
        <stp/>
        <stp>BDH|1692625193417027581</stp>
        <tr r="R49" s="6"/>
      </tp>
      <tp t="e">
        <v>#N/A</v>
        <stp/>
        <stp>BDH|2648978408044558334</stp>
        <tr r="X75" s="17"/>
      </tp>
      <tp t="e">
        <v>#N/A</v>
        <stp/>
        <stp>BDH|7210143120298848018</stp>
        <tr r="I11" s="9"/>
      </tp>
      <tp t="e">
        <v>#N/A</v>
        <stp/>
        <stp>BDH|9436830538618611668</stp>
        <tr r="U14" s="20"/>
        <tr r="U123" s="18"/>
      </tp>
      <tp t="e">
        <v>#N/A</v>
        <stp/>
        <stp>BDH|6870395780107799696</stp>
        <tr r="AA24" s="17"/>
      </tp>
      <tp t="e">
        <v>#N/A</v>
        <stp/>
        <stp>BDH|8096238214872017587</stp>
        <tr r="T11" s="30"/>
      </tp>
      <tp t="e">
        <v>#N/A</v>
        <stp/>
        <stp>BDH|8172773238771993185</stp>
        <tr r="M35" s="24"/>
      </tp>
      <tp t="e">
        <v>#N/A</v>
        <stp/>
        <stp>BDH|8621482575990641722</stp>
        <tr r="T145" s="18"/>
      </tp>
      <tp t="e">
        <v>#N/A</v>
        <stp/>
        <stp>BDH|5597233585296946553</stp>
        <tr r="L51" s="18"/>
      </tp>
      <tp t="e">
        <v>#N/A</v>
        <stp/>
        <stp>BDH|8278003439301181650</stp>
        <tr r="L72" s="17"/>
      </tp>
      <tp t="e">
        <v>#N/A</v>
        <stp/>
        <stp>BDH|4294403129596126852</stp>
        <tr r="K120" s="12"/>
      </tp>
      <tp t="e">
        <v>#N/A</v>
        <stp/>
        <stp>BDH|5598537615329957457</stp>
        <tr r="M73" s="18"/>
      </tp>
      <tp t="e">
        <v>#N/A</v>
        <stp/>
        <stp>BDH|4499884011364218501</stp>
        <tr r="I9" s="23"/>
      </tp>
      <tp t="e">
        <v>#N/A</v>
        <stp/>
        <stp>BDH|3176818121846619388</stp>
        <tr r="P95" s="18"/>
      </tp>
      <tp t="e">
        <v>#N/A</v>
        <stp/>
        <stp>BDH|8987221570890074177</stp>
        <tr r="D68" s="17"/>
      </tp>
      <tp t="e">
        <v>#N/A</v>
        <stp/>
        <stp>BDH|2399854429410305408</stp>
        <tr r="R70" s="17"/>
        <tr r="R18" s="3"/>
      </tp>
      <tp t="e">
        <v>#N/A</v>
        <stp/>
        <stp>BDH|4858480378602330971</stp>
        <tr r="Q112" s="18"/>
      </tp>
      <tp t="e">
        <v>#N/A</v>
        <stp/>
        <stp>BDH|4268024296272810322</stp>
        <tr r="O155" s="18"/>
      </tp>
      <tp t="e">
        <v>#N/A</v>
        <stp/>
        <stp>BDH|5275363706298860263</stp>
        <tr r="U187" s="18"/>
      </tp>
      <tp t="e">
        <v>#N/A</v>
        <stp/>
        <stp>BDH|4345735191647415194</stp>
        <tr r="Z15" s="14"/>
      </tp>
      <tp t="e">
        <v>#N/A</v>
        <stp/>
        <stp>BDH|4442247201278802253</stp>
        <tr r="L148" s="18"/>
      </tp>
      <tp t="e">
        <v>#N/A</v>
        <stp/>
        <stp>BDH|7984067452909765762</stp>
        <tr r="J13" s="6"/>
      </tp>
      <tp t="e">
        <v>#N/A</v>
        <stp/>
        <stp>BDH|8359568453884805027</stp>
        <tr r="U36" s="14"/>
      </tp>
      <tp t="e">
        <v>#N/A</v>
        <stp/>
        <stp>BDH|8067012829123119551</stp>
        <tr r="P21" s="9"/>
      </tp>
      <tp t="e">
        <v>#N/A</v>
        <stp/>
        <stp>BDH|8329799695848107226</stp>
        <tr r="V62" s="17"/>
      </tp>
      <tp t="e">
        <v>#N/A</v>
        <stp/>
        <stp>BDH|9373450931281986329</stp>
        <tr r="Y190" s="18"/>
      </tp>
      <tp t="e">
        <v>#N/A</v>
        <stp/>
        <stp>BDH|7323411280500600782</stp>
        <tr r="T25" s="27"/>
      </tp>
      <tp t="e">
        <v>#N/A</v>
        <stp/>
        <stp>BDH|9782673317005970728</stp>
        <tr r="N9" s="25"/>
        <tr r="N44" s="17"/>
      </tp>
      <tp t="e">
        <v>#N/A</v>
        <stp/>
        <stp>BDH|4126692924708361435</stp>
        <tr r="J18" s="6"/>
      </tp>
      <tp t="e">
        <v>#N/A</v>
        <stp/>
        <stp>BDH|6541197575095565901</stp>
        <tr r="L33" s="9"/>
      </tp>
      <tp t="e">
        <v>#N/A</v>
        <stp/>
        <stp>BDH|8806561975575101360</stp>
        <tr r="D153" s="18"/>
      </tp>
      <tp t="e">
        <v>#N/A</v>
        <stp/>
        <stp>BDH|2349595880365153670</stp>
        <tr r="P31" s="11"/>
        <tr r="P40" s="10"/>
      </tp>
      <tp t="e">
        <v>#N/A</v>
        <stp/>
        <stp>BDH|9850184615461941406</stp>
        <tr r="Y165" s="18"/>
      </tp>
      <tp t="e">
        <v>#N/A</v>
        <stp/>
        <stp>BDH|1970780247316831820</stp>
        <tr r="U203" s="18"/>
      </tp>
      <tp t="e">
        <v>#N/A</v>
        <stp/>
        <stp>BDH|2471250042139854175</stp>
        <tr r="G86" s="18"/>
      </tp>
      <tp t="e">
        <v>#N/A</v>
        <stp/>
        <stp>BDH|8531982082077400277</stp>
        <tr r="E56" s="12"/>
      </tp>
      <tp t="e">
        <v>#N/A</v>
        <stp/>
        <stp>BDH|4153882285268135010</stp>
        <tr r="T13" s="24"/>
      </tp>
      <tp t="e">
        <v>#N/A</v>
        <stp/>
        <stp>BDH|6220793827478926791</stp>
        <tr r="O48" s="34"/>
      </tp>
      <tp t="e">
        <v>#N/A</v>
        <stp/>
        <stp>BDH|1673354816066889912</stp>
        <tr r="E61" s="11"/>
        <tr r="E70" s="10"/>
        <tr r="E20" s="7"/>
      </tp>
      <tp t="e">
        <v>#N/A</v>
        <stp/>
        <stp>BDH|6420629655051977864</stp>
        <tr r="I85" s="17"/>
        <tr r="G6" s="7"/>
        <tr r="I20" s="3"/>
      </tp>
      <tp t="e">
        <v>#N/A</v>
        <stp/>
        <stp>BDH|8996102604935727068</stp>
        <tr r="E99" s="12"/>
      </tp>
      <tp t="e">
        <v>#N/A</v>
        <stp/>
        <stp>BDH|1747329953592311991</stp>
        <tr r="G69" s="17"/>
      </tp>
      <tp t="e">
        <v>#N/A</v>
        <stp/>
        <stp>BDH|4797147256364125887</stp>
        <tr r="U98" s="18"/>
      </tp>
      <tp t="e">
        <v>#N/A</v>
        <stp/>
        <stp>BDH|3959455404133212868</stp>
        <tr r="F30" s="11"/>
        <tr r="F39" s="10"/>
      </tp>
      <tp t="e">
        <v>#N/A</v>
        <stp/>
        <stp>BDH|4342739271321958943</stp>
        <tr r="K69" s="18"/>
      </tp>
      <tp t="e">
        <v>#N/A</v>
        <stp/>
        <stp>BDH|7629931149007692162</stp>
        <tr r="Y34" s="22"/>
      </tp>
      <tp t="e">
        <v>#N/A</v>
        <stp/>
        <stp>BDH|4817918572742566423</stp>
        <tr r="R20" s="14"/>
      </tp>
      <tp t="e">
        <v>#N/A</v>
        <stp/>
        <stp>BDH|9262411634212276099</stp>
        <tr r="S214" s="18"/>
      </tp>
      <tp t="e">
        <v>#N/A</v>
        <stp/>
        <stp>BDH|6464674309295121979</stp>
        <tr r="C57" s="24"/>
      </tp>
      <tp t="e">
        <v>#N/A</v>
        <stp/>
        <stp>BDH|8872217730805473015</stp>
        <tr r="H76" s="18"/>
      </tp>
      <tp t="e">
        <v>#N/A</v>
        <stp/>
        <stp>BDH|8130291380439459709</stp>
        <tr r="K22" s="17"/>
        <tr r="K15" s="3"/>
      </tp>
      <tp t="e">
        <v>#N/A</v>
        <stp/>
        <stp>BDH|9384639630700559099</stp>
        <tr r="J10" s="34"/>
      </tp>
      <tp t="e">
        <v>#N/A</v>
        <stp/>
        <stp>BDH|6386033486166361491</stp>
        <tr r="Y40" s="18"/>
      </tp>
      <tp t="e">
        <v>#N/A</v>
        <stp/>
        <stp>BDH|1841852020701447658</stp>
        <tr r="S15" s="21"/>
      </tp>
      <tp t="e">
        <v>#N/A</v>
        <stp/>
        <stp>BDH|1303748690765900622</stp>
        <tr r="U14" s="13"/>
      </tp>
      <tp t="e">
        <v>#N/A</v>
        <stp/>
        <stp>BDH|5954725039429999470</stp>
        <tr r="N71" s="34"/>
      </tp>
      <tp t="e">
        <v>#N/A</v>
        <stp/>
        <stp>BDH|9630467947780865539</stp>
        <tr r="T49" s="6"/>
      </tp>
      <tp t="e">
        <v>#N/A</v>
        <stp/>
        <stp>BDH|7083299565718497743</stp>
        <tr r="E34" s="17"/>
      </tp>
      <tp t="e">
        <v>#N/A</v>
        <stp/>
        <stp>BDH|5461309039159833092</stp>
        <tr r="I14" s="21"/>
      </tp>
      <tp t="e">
        <v>#N/A</v>
        <stp/>
        <stp>BDH|3656459484591320285</stp>
        <tr r="T7" s="11"/>
      </tp>
      <tp t="e">
        <v>#N/A</v>
        <stp/>
        <stp>BDH|7672600448820689954</stp>
        <tr r="J21" s="17"/>
      </tp>
      <tp t="e">
        <v>#N/A</v>
        <stp/>
        <stp>BDH|7120184314612828981</stp>
        <tr r="T15" s="14"/>
      </tp>
      <tp t="e">
        <v>#N/A</v>
        <stp/>
        <stp>BDH|9533782040101166713</stp>
        <tr r="L114" s="18"/>
      </tp>
      <tp t="e">
        <v>#N/A</v>
        <stp/>
        <stp>BDH|1551826148502560375</stp>
        <tr r="Z36" s="22"/>
      </tp>
      <tp t="e">
        <v>#N/A</v>
        <stp/>
        <stp>BDH|2781899789727324991</stp>
        <tr r="D20" s="10"/>
      </tp>
      <tp t="e">
        <v>#N/A</v>
        <stp/>
        <stp>BDH|9043603439870031049</stp>
        <tr r="S41" s="11"/>
        <tr r="S50" s="10"/>
        <tr r="S8" s="7"/>
        <tr r="U11" s="3"/>
      </tp>
      <tp t="e">
        <v>#N/A</v>
        <stp/>
        <stp>BDH|7077029207252013988</stp>
        <tr r="N161" s="18"/>
      </tp>
      <tp t="e">
        <v>#N/A</v>
        <stp/>
        <stp>BDH|7358902508384568637</stp>
        <tr r="V33" s="34"/>
      </tp>
      <tp t="e">
        <v>#N/A</v>
        <stp/>
        <stp>BDH|2807114590346382078</stp>
        <tr r="I32" s="17"/>
      </tp>
      <tp t="e">
        <v>#N/A</v>
        <stp/>
        <stp>BDH|6645054320818796096</stp>
        <tr r="X161" s="18"/>
      </tp>
      <tp t="e">
        <v>#N/A</v>
        <stp/>
        <stp>BDH|9761065556633339391</stp>
        <tr r="R41" s="17"/>
      </tp>
      <tp t="e">
        <v>#N/A</v>
        <stp/>
        <stp>BDH|2134447891512035195</stp>
        <tr r="S69" s="10"/>
      </tp>
      <tp t="e">
        <v>#N/A</v>
        <stp/>
        <stp>BDH|5293434267469251294</stp>
        <tr r="I26" s="17"/>
      </tp>
      <tp t="e">
        <v>#N/A</v>
        <stp/>
        <stp>BDH|4483675339355064870</stp>
        <tr r="G35" s="21"/>
      </tp>
      <tp t="e">
        <v>#N/A</v>
        <stp/>
        <stp>BDH|6238732630617587997</stp>
        <tr r="N48" s="12"/>
      </tp>
      <tp t="e">
        <v>#N/A</v>
        <stp/>
        <stp>BDH|5365628614006867803</stp>
        <tr r="E76" s="12"/>
      </tp>
      <tp t="e">
        <v>#N/A</v>
        <stp/>
        <stp>BDH|2828837860349584935</stp>
        <tr r="F8" s="6"/>
      </tp>
      <tp t="e">
        <v>#N/A</v>
        <stp/>
        <stp>BDH|7798884242505855286</stp>
        <tr r="V71" s="12"/>
      </tp>
      <tp t="e">
        <v>#N/A</v>
        <stp/>
        <stp>BDH|7986046994843753139</stp>
        <tr r="W34" s="18"/>
      </tp>
      <tp t="e">
        <v>#N/A</v>
        <stp/>
        <stp>BDH|1534912541444092481</stp>
        <tr r="R49" s="34"/>
      </tp>
      <tp t="e">
        <v>#N/A</v>
        <stp/>
        <stp>BDH|3108951720371068599</stp>
        <tr r="F108" s="12"/>
      </tp>
      <tp t="e">
        <v>#N/A</v>
        <stp/>
        <stp>BDH|9587441838342467001</stp>
        <tr r="H169" s="18"/>
      </tp>
      <tp t="e">
        <v>#N/A</v>
        <stp/>
        <stp>BDH|1055689023169449024</stp>
        <tr r="X74" s="12"/>
      </tp>
      <tp t="e">
        <v>#N/A</v>
        <stp/>
        <stp>BDH|5935004374139831789</stp>
        <tr r="J34" s="26"/>
      </tp>
      <tp t="e">
        <v>#N/A</v>
        <stp/>
        <stp>BDH|9212363790057886815</stp>
        <tr r="Q58" s="18"/>
      </tp>
      <tp t="e">
        <v>#N/A</v>
        <stp/>
        <stp>BDH|4606194737973147946</stp>
        <tr r="L10" s="26"/>
      </tp>
      <tp t="e">
        <v>#N/A</v>
        <stp/>
        <stp>BDH|6592045099810732328</stp>
        <tr r="Q62" s="24"/>
      </tp>
      <tp t="e">
        <v>#N/A</v>
        <stp/>
        <stp>BDH|8816175574722482024</stp>
        <tr r="E166" s="18"/>
      </tp>
      <tp t="e">
        <v>#N/A</v>
        <stp/>
        <stp>BDH|6293840694572906962</stp>
        <tr r="S92" s="18"/>
      </tp>
      <tp t="e">
        <v>#N/A</v>
        <stp/>
        <stp>BDH|1710005137766140836</stp>
        <tr r="D105" s="18"/>
      </tp>
      <tp t="e">
        <v>#N/A</v>
        <stp/>
        <stp>BDH|6481988516473063183</stp>
        <tr r="Z69" s="13"/>
      </tp>
      <tp t="e">
        <v>#N/A</v>
        <stp/>
        <stp>BDH|8567326621785538015</stp>
        <tr r="R107" s="12"/>
      </tp>
      <tp t="e">
        <v>#N/A</v>
        <stp/>
        <stp>BDH|9246749446691332719</stp>
        <tr r="Y209" s="18"/>
      </tp>
      <tp t="e">
        <v>#N/A</v>
        <stp/>
        <stp>BDH|4420136001351767831</stp>
        <tr r="Q97" s="12"/>
      </tp>
      <tp t="e">
        <v>#N/A</v>
        <stp/>
        <stp>BDH|2060237893532275703</stp>
        <tr r="Q46" s="18"/>
      </tp>
      <tp t="e">
        <v>#N/A</v>
        <stp/>
        <stp>BDH|5179116648335925930</stp>
        <tr r="P39" s="29"/>
        <tr r="P16" s="29"/>
      </tp>
      <tp t="e">
        <v>#N/A</v>
        <stp/>
        <stp>BDH|8995461804940182089</stp>
        <tr r="AA99" s="12"/>
      </tp>
      <tp t="e">
        <v>#N/A</v>
        <stp/>
        <stp>BDH|5162294038429433166</stp>
        <tr r="J6" s="6"/>
      </tp>
      <tp t="e">
        <v>#N/A</v>
        <stp/>
        <stp>BDH|2023197759753545974</stp>
        <tr r="Q26" s="11"/>
        <tr r="Q35" s="10"/>
      </tp>
      <tp t="e">
        <v>#N/A</v>
        <stp/>
        <stp>BDH|6354255545734113804</stp>
        <tr r="O62" s="34"/>
      </tp>
      <tp t="e">
        <v>#N/A</v>
        <stp/>
        <stp>BDH|7681110870295294876</stp>
        <tr r="C56" s="34"/>
      </tp>
      <tp t="e">
        <v>#N/A</v>
        <stp/>
        <stp>BDH|7280173016863410857</stp>
        <tr r="U62" s="24"/>
      </tp>
      <tp t="e">
        <v>#N/A</v>
        <stp/>
        <stp>BDH|8881487711904736540</stp>
        <tr r="S53" s="24"/>
      </tp>
      <tp t="e">
        <v>#N/A</v>
        <stp/>
        <stp>BDH|5316326593526860581</stp>
        <tr r="C65" s="17"/>
      </tp>
      <tp t="e">
        <v>#N/A</v>
        <stp/>
        <stp>BDH|1520503297091953091</stp>
        <tr r="Y54" s="24"/>
      </tp>
      <tp t="e">
        <v>#N/A</v>
        <stp/>
        <stp>BDH|9179669201132393173</stp>
        <tr r="W111" s="18"/>
      </tp>
      <tp t="e">
        <v>#N/A</v>
        <stp/>
        <stp>BDH|5618100355294822995</stp>
        <tr r="G66" s="10"/>
        <tr r="G39" s="4"/>
      </tp>
      <tp t="e">
        <v>#N/A</v>
        <stp/>
        <stp>BDH|7737144162679578562</stp>
        <tr r="N19" s="26"/>
      </tp>
      <tp t="e">
        <v>#N/A</v>
        <stp/>
        <stp>BDH|9023166073144052777</stp>
        <tr r="L7" s="10"/>
      </tp>
      <tp t="e">
        <v>#N/A</v>
        <stp/>
        <stp>BDH|5395854761776749129</stp>
        <tr r="I15" s="21"/>
      </tp>
      <tp t="e">
        <v>#N/A</v>
        <stp/>
        <stp>BDH|8138075010716136355</stp>
        <tr r="N15" s="9"/>
      </tp>
      <tp t="e">
        <v>#N/A</v>
        <stp/>
        <stp>BDH|2607531691673201141</stp>
        <tr r="J188" s="18"/>
      </tp>
      <tp t="e">
        <v>#N/A</v>
        <stp/>
        <stp>BDH|4698909931122350062</stp>
        <tr r="K9" s="11"/>
      </tp>
      <tp t="e">
        <v>#N/A</v>
        <stp/>
        <stp>BDH|7246185709389624376</stp>
        <tr r="Q8" s="28"/>
      </tp>
      <tp t="e">
        <v>#N/A</v>
        <stp/>
        <stp>BDH|8309122666202645132</stp>
        <tr r="D82" s="12"/>
      </tp>
      <tp t="e">
        <v>#N/A</v>
        <stp/>
        <stp>BDH|9130337743814031637</stp>
        <tr r="K50" s="34"/>
      </tp>
      <tp t="e">
        <v>#N/A</v>
        <stp/>
        <stp>BDH|1986499477829378766</stp>
        <tr r="U131" s="18"/>
      </tp>
      <tp t="e">
        <v>#N/A</v>
        <stp/>
        <stp>BDH|4279645740153284960</stp>
        <tr r="N124" s="18"/>
      </tp>
      <tp t="e">
        <v>#N/A</v>
        <stp/>
        <stp>BDH|8912868426848982623</stp>
        <tr r="M18" s="10"/>
      </tp>
      <tp t="e">
        <v>#N/A</v>
        <stp/>
        <stp>BDH|9289217983076229907</stp>
        <tr r="V53" s="13"/>
      </tp>
      <tp t="e">
        <v>#N/A</v>
        <stp/>
        <stp>BDH|9766596892690899965</stp>
        <tr r="L24" s="9"/>
      </tp>
      <tp t="e">
        <v>#N/A</v>
        <stp/>
        <stp>BDH|1949554804048852028</stp>
        <tr r="M41" s="11"/>
        <tr r="M50" s="10"/>
        <tr r="M8" s="7"/>
        <tr r="O11" s="3"/>
      </tp>
      <tp t="e">
        <v>#N/A</v>
        <stp/>
        <stp>BDH|5229075796928233830</stp>
        <tr r="H11" s="30"/>
      </tp>
      <tp t="e">
        <v>#N/A</v>
        <stp/>
        <stp>BDH|5519859492411674966</stp>
        <tr r="C95" s="12"/>
      </tp>
      <tp t="e">
        <v>#N/A</v>
        <stp/>
        <stp>BDH|1259961854195089421</stp>
        <tr r="Y76" s="12"/>
      </tp>
      <tp t="e">
        <v>#N/A</v>
        <stp/>
        <stp>BDH|4504550668753229889</stp>
        <tr r="Z23" s="25"/>
        <tr r="X20" s="11"/>
      </tp>
      <tp t="e">
        <v>#N/A</v>
        <stp/>
        <stp>BDH|5145561825047407949</stp>
        <tr r="R78" s="18"/>
      </tp>
      <tp t="e">
        <v>#N/A</v>
        <stp/>
        <stp>BDH|7276952586979323301</stp>
        <tr r="N29" s="22"/>
      </tp>
      <tp t="e">
        <v>#N/A</v>
        <stp/>
        <stp>BDH|7340650563422180967</stp>
        <tr r="Y22" s="7"/>
      </tp>
      <tp t="e">
        <v>#N/A</v>
        <stp/>
        <stp>BDH|1153694703763182881</stp>
        <tr r="E31" s="22"/>
      </tp>
      <tp t="e">
        <v>#N/A</v>
        <stp/>
        <stp>BDH|4216259775788568556</stp>
        <tr r="Y51" s="17"/>
      </tp>
      <tp t="e">
        <v>#N/A</v>
        <stp/>
        <stp>BDH|3280171273300050940</stp>
        <tr r="H181" s="18"/>
      </tp>
      <tp t="e">
        <v>#N/A</v>
        <stp/>
        <stp>BDH|8823953729208146778</stp>
        <tr r="R67" s="18"/>
      </tp>
      <tp t="e">
        <v>#N/A</v>
        <stp/>
        <stp>BDH|7930334866958721693</stp>
        <tr r="P13" s="5"/>
      </tp>
      <tp t="e">
        <v>#N/A</v>
        <stp/>
        <stp>BDH|9806888582585911093</stp>
        <tr r="N166" s="18"/>
      </tp>
      <tp t="e">
        <v>#N/A</v>
        <stp/>
        <stp>BDH|1530291272861930957</stp>
        <tr r="Z112" s="12"/>
      </tp>
      <tp t="e">
        <v>#N/A</v>
        <stp/>
        <stp>BDH|6646359382956181722</stp>
        <tr r="C23" s="13"/>
      </tp>
      <tp t="e">
        <v>#N/A</v>
        <stp/>
        <stp>BDH|1325704001619928383</stp>
        <tr r="R12" s="27"/>
        <tr r="R26" s="25"/>
      </tp>
      <tp t="e">
        <v>#N/A</v>
        <stp/>
        <stp>BDH|8626901945488701177</stp>
        <tr r="X9" s="21"/>
      </tp>
      <tp t="e">
        <v>#N/A</v>
        <stp/>
        <stp>BDH|2642464421351270904</stp>
        <tr r="N23" s="18"/>
      </tp>
      <tp t="e">
        <v>#N/A</v>
        <stp/>
        <stp>BDH|3757867042574173710</stp>
        <tr r="N214" s="18"/>
      </tp>
      <tp t="e">
        <v>#N/A</v>
        <stp/>
        <stp>BDH|3037118681863129521</stp>
        <tr r="X171" s="18"/>
      </tp>
      <tp t="e">
        <v>#N/A</v>
        <stp/>
        <stp>BDH|8529264237642416731</stp>
        <tr r="P99" s="18"/>
      </tp>
      <tp t="e">
        <v>#N/A</v>
        <stp/>
        <stp>BDH|4357972501533353254</stp>
        <tr r="R18" s="28"/>
        <tr r="R15" s="17"/>
      </tp>
      <tp t="e">
        <v>#N/A</v>
        <stp/>
        <stp>BDH|2914498296424581707</stp>
        <tr r="L90" s="17"/>
      </tp>
      <tp t="e">
        <v>#N/A</v>
        <stp/>
        <stp>BDH|3338994386366938865</stp>
        <tr r="T11" s="18"/>
      </tp>
      <tp t="e">
        <v>#N/A</v>
        <stp/>
        <stp>BDH|6731697564412910803</stp>
        <tr r="H7" s="8"/>
      </tp>
      <tp t="e">
        <v>#N/A</v>
        <stp/>
        <stp>BDH|3176792289138436865</stp>
        <tr r="M25" s="14"/>
      </tp>
      <tp t="e">
        <v>#N/A</v>
        <stp/>
        <stp>BDH|9613151010386767377</stp>
        <tr r="S21" s="12"/>
      </tp>
      <tp t="e">
        <v>#N/A</v>
        <stp/>
        <stp>BDH|1242717583287534560</stp>
        <tr r="P207" s="18"/>
      </tp>
      <tp t="e">
        <v>#N/A</v>
        <stp/>
        <stp>BDH|3242855420544475106</stp>
        <tr r="P33" s="12"/>
      </tp>
      <tp t="e">
        <v>#N/A</v>
        <stp/>
        <stp>BDH|4303952764664554345</stp>
        <tr r="M20" s="9"/>
      </tp>
      <tp t="e">
        <v>#N/A</v>
        <stp/>
        <stp>BDH|9741959971972481948</stp>
        <tr r="AA94" s="18"/>
      </tp>
      <tp t="e">
        <v>#N/A</v>
        <stp/>
        <stp>BDH|1675864064786456535</stp>
        <tr r="I77" s="18"/>
      </tp>
      <tp t="e">
        <v>#N/A</v>
        <stp/>
        <stp>BDH|3799891878424018459</stp>
        <tr r="V200" s="18"/>
      </tp>
      <tp t="e">
        <v>#N/A</v>
        <stp/>
        <stp>BDH|1707340375059145043</stp>
        <tr r="C29" s="13"/>
        <tr r="C16" s="13"/>
      </tp>
      <tp t="e">
        <v>#N/A</v>
        <stp/>
        <stp>BDH|6370343801260608931</stp>
        <tr r="X29" s="21"/>
      </tp>
      <tp t="e">
        <v>#N/A</v>
        <stp/>
        <stp>BDH|9158858303925122851</stp>
        <tr r="J25" s="34"/>
      </tp>
      <tp t="e">
        <v>#N/A</v>
        <stp/>
        <stp>BDH|7428472340153449843</stp>
        <tr r="D207" s="18"/>
      </tp>
      <tp t="e">
        <v>#N/A</v>
        <stp/>
        <stp>BDH|4246860665037628140</stp>
        <tr r="W32" s="18"/>
      </tp>
      <tp t="e">
        <v>#N/A</v>
        <stp/>
        <stp>BDH|4083204691502200100</stp>
        <tr r="O18" s="12"/>
      </tp>
      <tp t="e">
        <v>#N/A</v>
        <stp/>
        <stp>BDH|9067604113401180317</stp>
        <tr r="Z8" s="17"/>
      </tp>
      <tp t="e">
        <v>#N/A</v>
        <stp/>
        <stp>BDH|5980266279479057556</stp>
        <tr r="E79" s="17"/>
      </tp>
      <tp t="e">
        <v>#N/A</v>
        <stp/>
        <stp>BDH|9383445660296763130</stp>
        <tr r="V36" s="6"/>
        <tr r="V17" s="5"/>
      </tp>
      <tp t="e">
        <v>#N/A</v>
        <stp/>
        <stp>BDH|6625604963902412825</stp>
        <tr r="U26" s="29"/>
      </tp>
      <tp t="e">
        <v>#N/A</v>
        <stp/>
        <stp>BDH|6898007559397451862</stp>
        <tr r="G39" s="6"/>
      </tp>
      <tp t="e">
        <v>#N/A</v>
        <stp/>
        <stp>BDH|1933769182063815161</stp>
        <tr r="E24" s="13"/>
      </tp>
      <tp t="e">
        <v>#N/A</v>
        <stp/>
        <stp>BDH|4929726528765383831</stp>
        <tr r="W25" s="34"/>
      </tp>
      <tp t="e">
        <v>#N/A</v>
        <stp/>
        <stp>BDH|4691843005219175952</stp>
        <tr r="L34" s="26"/>
      </tp>
      <tp t="e">
        <v>#N/A</v>
        <stp/>
        <stp>BDH|6425819411950678318</stp>
        <tr r="T56" s="6"/>
      </tp>
      <tp t="e">
        <v>#N/A</v>
        <stp/>
        <stp>BDH|7385387007658764083</stp>
        <tr r="W29" s="21"/>
      </tp>
      <tp t="e">
        <v>#N/A</v>
        <stp/>
        <stp>BDH|9043751127915897599</stp>
        <tr r="AA47" s="17"/>
      </tp>
      <tp t="e">
        <v>#N/A</v>
        <stp/>
        <stp>BDH|3802659579396458833</stp>
        <tr r="W27" s="26"/>
      </tp>
      <tp t="e">
        <v>#N/A</v>
        <stp/>
        <stp>BDH|5259546867262440869</stp>
        <tr r="M48" s="13"/>
      </tp>
      <tp t="e">
        <v>#N/A</v>
        <stp/>
        <stp>BDH|2297174134479559570</stp>
        <tr r="X105" s="12"/>
      </tp>
      <tp t="e">
        <v>#N/A</v>
        <stp/>
        <stp>BDH|1461806342524182542</stp>
        <tr r="W154" s="18"/>
      </tp>
      <tp t="e">
        <v>#N/A</v>
        <stp/>
        <stp>BDH|1649487472309977768</stp>
        <tr r="Z17" s="27"/>
        <tr r="Z31" s="25"/>
        <tr r="W14" s="5"/>
      </tp>
      <tp t="e">
        <v>#N/A</v>
        <stp/>
        <stp>BDH|7182431762738681158</stp>
        <tr r="T101" s="18"/>
      </tp>
      <tp t="e">
        <v>#N/A</v>
        <stp/>
        <stp>BDH|9579682219907218553</stp>
        <tr r="X50" s="4"/>
      </tp>
      <tp t="e">
        <v>#N/A</v>
        <stp/>
        <stp>BDH|6125624883912410670</stp>
        <tr r="G57" s="17"/>
      </tp>
      <tp t="e">
        <v>#N/A</v>
        <stp/>
        <stp>BDH|6094956636946089600</stp>
        <tr r="M32" s="21"/>
      </tp>
      <tp t="e">
        <v>#N/A</v>
        <stp/>
        <stp>BDH|6284874444412328414</stp>
        <tr r="L35" s="4"/>
      </tp>
      <tp t="e">
        <v>#N/A</v>
        <stp/>
        <stp>BDH|5625784578371241840</stp>
        <tr r="U36" s="29"/>
        <tr r="U22" s="29"/>
        <tr r="U13" s="29"/>
      </tp>
      <tp t="e">
        <v>#N/A</v>
        <stp/>
        <stp>BDH|9664765247477247152</stp>
        <tr r="L8" s="28"/>
      </tp>
      <tp t="e">
        <v>#N/A</v>
        <stp/>
        <stp>BDH|1044904946180337053</stp>
        <tr r="Q19" s="21"/>
        <tr r="Q23" s="3"/>
        <tr r="O23" s="2"/>
      </tp>
      <tp t="e">
        <v>#N/A</v>
        <stp/>
        <stp>BDH|2361989916294859259</stp>
        <tr r="E24" s="22"/>
      </tp>
      <tp t="e">
        <v>#N/A</v>
        <stp/>
        <stp>BDH|6202077483960091267</stp>
        <tr r="M209" s="18"/>
      </tp>
      <tp t="e">
        <v>#N/A</v>
        <stp/>
        <stp>BDH|9146497469271007611</stp>
        <tr r="Q28" s="26"/>
      </tp>
      <tp t="e">
        <v>#N/A</v>
        <stp/>
        <stp>BDH|4597727127909562452</stp>
        <tr r="T31" s="22"/>
      </tp>
      <tp t="e">
        <v>#N/A</v>
        <stp/>
        <stp>BDH|9924637128201050021</stp>
        <tr r="O21" s="9"/>
      </tp>
      <tp t="e">
        <v>#N/A</v>
        <stp/>
        <stp>BDH|9595588479266300170</stp>
        <tr r="AA123" s="12"/>
      </tp>
      <tp t="e">
        <v>#N/A</v>
        <stp/>
        <stp>BDH|3252017652178532243</stp>
        <tr r="V51" s="24"/>
      </tp>
      <tp t="e">
        <v>#N/A</v>
        <stp/>
        <stp>BDH|5254868650101788537</stp>
        <tr r="L48" s="21"/>
      </tp>
      <tp t="e">
        <v>#N/A</v>
        <stp/>
        <stp>BDH|2138037900646042824</stp>
        <tr r="U30" s="9"/>
        <tr r="U30" s="5"/>
      </tp>
      <tp t="e">
        <v>#N/A</v>
        <stp/>
        <stp>BDH|2690023096463196435</stp>
        <tr r="P26" s="29"/>
      </tp>
      <tp t="e">
        <v>#N/A</v>
        <stp/>
        <stp>BDH|7171667821227539833</stp>
        <tr r="G77" s="24"/>
      </tp>
      <tp t="e">
        <v>#N/A</v>
        <stp/>
        <stp>BDH|1674924415992284730</stp>
        <tr r="J43" s="21"/>
      </tp>
      <tp t="e">
        <v>#N/A</v>
        <stp/>
        <stp>BDH|5750906052003708621</stp>
        <tr r="AA8" s="22"/>
      </tp>
      <tp t="e">
        <v>#N/A</v>
        <stp/>
        <stp>BDH|8738833997162016735</stp>
        <tr r="V209" s="18"/>
      </tp>
      <tp t="e">
        <v>#N/A</v>
        <stp/>
        <stp>BDH|3291613597822704237</stp>
        <tr r="F60" s="13"/>
      </tp>
      <tp t="e">
        <v>#N/A</v>
        <stp/>
        <stp>BDH|1024051891373367773</stp>
        <tr r="E34" s="25"/>
        <tr r="E93" s="17"/>
      </tp>
      <tp t="e">
        <v>#N/A</v>
        <stp/>
        <stp>BDH|1959291654042161857</stp>
        <tr r="F33" s="13"/>
        <tr r="D26" s="10"/>
      </tp>
      <tp t="e">
        <v>#N/A</v>
        <stp/>
        <stp>BDH|8521618721414296473</stp>
        <tr r="Z30" s="14"/>
      </tp>
      <tp t="e">
        <v>#N/A</v>
        <stp/>
        <stp>BDH|9185509427606420421</stp>
        <tr r="F11" s="9"/>
      </tp>
      <tp t="e">
        <v>#N/A</v>
        <stp/>
        <stp>BDH|9540259397406372849</stp>
        <tr r="T10" s="23"/>
      </tp>
      <tp t="e">
        <v>#N/A</v>
        <stp/>
        <stp>BDH|3260060052378229240</stp>
        <tr r="G13" s="27"/>
        <tr r="G27" s="25"/>
      </tp>
      <tp t="e">
        <v>#N/A</v>
        <stp/>
        <stp>BDH|4452447667129630316</stp>
        <tr r="U35" s="18"/>
      </tp>
      <tp t="e">
        <v>#N/A</v>
        <stp/>
        <stp>BDH|1667403895676504665</stp>
        <tr r="G31" s="5"/>
      </tp>
      <tp t="e">
        <v>#N/A</v>
        <stp/>
        <stp>BDH|6914890769747191386</stp>
        <tr r="X15" s="5"/>
      </tp>
      <tp t="e">
        <v>#N/A</v>
        <stp/>
        <stp>BDH|5495173020318583268</stp>
        <tr r="R9" s="14"/>
      </tp>
      <tp t="e">
        <v>#N/A</v>
        <stp/>
        <stp>BDH|8053909044969793034</stp>
        <tr r="T69" s="10"/>
      </tp>
      <tp t="e">
        <v>#N/A</v>
        <stp/>
        <stp>BDH|7494564985091727704</stp>
        <tr r="Y88" s="18"/>
      </tp>
      <tp t="e">
        <v>#N/A</v>
        <stp/>
        <stp>BDH|6948952092503800968</stp>
        <tr r="Q8" s="21"/>
      </tp>
      <tp t="e">
        <v>#N/A</v>
        <stp/>
        <stp>BDH|5550114284664852488</stp>
        <tr r="M14" s="6"/>
      </tp>
      <tp t="e">
        <v>#N/A</v>
        <stp/>
        <stp>BDH|8167981599812634666</stp>
        <tr r="O141" s="18"/>
      </tp>
      <tp t="e">
        <v>#N/A</v>
        <stp/>
        <stp>BDH|4173253247208790645</stp>
        <tr r="C19" s="12"/>
      </tp>
      <tp t="e">
        <v>#N/A</v>
        <stp/>
        <stp>BDH|6752338501228604135</stp>
        <tr r="X22" s="11"/>
      </tp>
      <tp t="e">
        <v>#N/A</v>
        <stp/>
        <stp>BDH|1673886663661890254</stp>
        <tr r="H88" s="18"/>
      </tp>
      <tp t="e">
        <v>#N/A</v>
        <stp/>
        <stp>BDH|6135014365219594506</stp>
        <tr r="AA59" s="17"/>
      </tp>
      <tp t="e">
        <v>#N/A</v>
        <stp/>
        <stp>BDH|2228520687072100168</stp>
        <tr r="V49" s="21"/>
      </tp>
      <tp t="e">
        <v>#N/A</v>
        <stp/>
        <stp>BDH|5127268506329139200</stp>
        <tr r="T12" s="17"/>
      </tp>
      <tp t="e">
        <v>#N/A</v>
        <stp/>
        <stp>BDH|6843191894547042559</stp>
        <tr r="S20" s="14"/>
      </tp>
      <tp t="e">
        <v>#N/A</v>
        <stp/>
        <stp>BDH|9584814891150610431</stp>
        <tr r="D59" s="24"/>
      </tp>
      <tp t="e">
        <v>#N/A</v>
        <stp/>
        <stp>BDH|1549787866225986925</stp>
        <tr r="E40" s="24"/>
      </tp>
      <tp t="e">
        <v>#N/A</v>
        <stp/>
        <stp>BDH|1980471188002162373</stp>
        <tr r="E168" s="18"/>
      </tp>
      <tp t="e">
        <v>#N/A</v>
        <stp/>
        <stp>BDH|1122144932917146867</stp>
        <tr r="E18" s="12"/>
      </tp>
      <tp t="e">
        <v>#N/A</v>
        <stp/>
        <stp>BDH|3654017914999429775</stp>
        <tr r="T77" s="17"/>
      </tp>
      <tp t="e">
        <v>#N/A</v>
        <stp/>
        <stp>BDH|2968874316874062380</stp>
        <tr r="S89" s="12"/>
      </tp>
      <tp t="e">
        <v>#N/A</v>
        <stp/>
        <stp>BDH|9606572534410788321</stp>
        <tr r="Y41" s="18"/>
      </tp>
      <tp t="e">
        <v>#N/A</v>
        <stp/>
        <stp>BDH|6887647593235850076</stp>
        <tr r="L23" s="10"/>
      </tp>
      <tp t="e">
        <v>#N/A</v>
        <stp/>
        <stp>BDH|4226325279605079998</stp>
        <tr r="I10" s="8"/>
        <tr r="G53" s="6"/>
      </tp>
      <tp t="e">
        <v>#N/A</v>
        <stp/>
        <stp>BDH|9874294845834314774</stp>
        <tr r="C63" s="17"/>
      </tp>
      <tp t="e">
        <v>#N/A</v>
        <stp/>
        <stp>BDH|5595535138036891974</stp>
        <tr r="R55" s="24"/>
      </tp>
      <tp t="e">
        <v>#N/A</v>
        <stp/>
        <stp>BDH|7494213275468062619</stp>
        <tr r="N35" s="17"/>
      </tp>
      <tp t="e">
        <v>#N/A</v>
        <stp/>
        <stp>BDH|9968996687785214147</stp>
        <tr r="J20" s="18"/>
      </tp>
      <tp t="e">
        <v>#N/A</v>
        <stp/>
        <stp>BDH|7742224383992414339</stp>
        <tr r="AA99" s="18"/>
      </tp>
      <tp t="e">
        <v>#N/A</v>
        <stp/>
        <stp>BDH|9375777321137021743</stp>
        <tr r="P21" s="17"/>
      </tp>
      <tp t="e">
        <v>#N/A</v>
        <stp/>
        <stp>BDH|7337704962382609864</stp>
        <tr r="Z159" s="18"/>
      </tp>
      <tp t="e">
        <v>#N/A</v>
        <stp/>
        <stp>BDH|3951859374798093892</stp>
        <tr r="Y14" s="13"/>
      </tp>
      <tp t="e">
        <v>#N/A</v>
        <stp/>
        <stp>BDH|9053635870236321210</stp>
        <tr r="L18" s="10"/>
      </tp>
      <tp t="e">
        <v>#N/A</v>
        <stp/>
        <stp>BDH|7511853686588748300</stp>
        <tr r="L8" s="2"/>
      </tp>
      <tp t="e">
        <v>#N/A</v>
        <stp/>
        <stp>BDH|2704716793676147657</stp>
        <tr r="E78" s="12"/>
      </tp>
      <tp t="e">
        <v>#N/A</v>
        <stp/>
        <stp>BDH|7477903932219312844</stp>
        <tr r="E37" s="18"/>
      </tp>
      <tp t="e">
        <v>#N/A</v>
        <stp/>
        <stp>BDH|7658813261464247154</stp>
        <tr r="U18" s="22"/>
      </tp>
      <tp t="e">
        <v>#N/A</v>
        <stp/>
        <stp>BDH|9133110639070077781</stp>
        <tr r="D18" s="25"/>
      </tp>
      <tp t="e">
        <v>#N/A</v>
        <stp/>
        <stp>BDH|1740425346354069921</stp>
        <tr r="I95" s="18"/>
      </tp>
      <tp t="e">
        <v>#N/A</v>
        <stp/>
        <stp>BDH|5336111553589273425</stp>
        <tr r="C42" s="4"/>
      </tp>
      <tp t="e">
        <v>#N/A</v>
        <stp/>
        <stp>BDH|8027574808741613085</stp>
        <tr r="P34" s="13"/>
        <tr r="N27" s="10"/>
      </tp>
      <tp t="e">
        <v>#N/A</v>
        <stp/>
        <stp>BDH|2445342764373775825</stp>
        <tr r="U88" s="12"/>
      </tp>
      <tp t="e">
        <v>#N/A</v>
        <stp/>
        <stp>BDH|4929859319632325378</stp>
        <tr r="I10" s="14"/>
      </tp>
      <tp t="e">
        <v>#N/A</v>
        <stp/>
        <stp>BDH|4036057616170639941</stp>
        <tr r="W103" s="12"/>
      </tp>
      <tp t="e">
        <v>#N/A</v>
        <stp/>
        <stp>BDH|4527316187044732751</stp>
        <tr r="D91" s="24"/>
      </tp>
      <tp t="e">
        <v>#N/A</v>
        <stp/>
        <stp>BDH|6263351157144004810</stp>
        <tr r="U28" s="12"/>
      </tp>
      <tp t="e">
        <v>#N/A</v>
        <stp/>
        <stp>BDH|4528849157591250452</stp>
        <tr r="H117" s="12"/>
      </tp>
      <tp t="e">
        <v>#N/A</v>
        <stp/>
        <stp>BDH|3860818846023759092</stp>
        <tr r="H58" s="12"/>
      </tp>
      <tp t="e">
        <v>#N/A</v>
        <stp/>
        <stp>BDH|7197450417478251600</stp>
        <tr r="AA47" s="21"/>
      </tp>
      <tp t="e">
        <v>#N/A</v>
        <stp/>
        <stp>BDH|9551858985591532413</stp>
        <tr r="G55" s="24"/>
      </tp>
      <tp t="e">
        <v>#N/A</v>
        <stp/>
        <stp>BDH|9156246362901419023</stp>
        <tr r="K38" s="11"/>
        <tr r="K47" s="10"/>
      </tp>
      <tp t="e">
        <v>#N/A</v>
        <stp/>
        <stp>BDH|9738605236926758671</stp>
        <tr r="V97" s="12"/>
      </tp>
      <tp t="e">
        <v>#N/A</v>
        <stp/>
        <stp>BDH|1929205200807169892</stp>
        <tr r="R53" s="12"/>
      </tp>
      <tp t="e">
        <v>#N/A</v>
        <stp/>
        <stp>BDH|8838655549607087153</stp>
        <tr r="L24" s="29"/>
      </tp>
      <tp t="e">
        <v>#N/A</v>
        <stp/>
        <stp>BDH|4788356392395727765</stp>
        <tr r="S78" s="34"/>
      </tp>
      <tp t="e">
        <v>#N/A</v>
        <stp/>
        <stp>BDH|9197692339880689061</stp>
        <tr r="H35" s="17"/>
      </tp>
      <tp t="e">
        <v>#N/A</v>
        <stp/>
        <stp>BDH|1143729291066097539</stp>
        <tr r="T50" s="13"/>
      </tp>
      <tp t="e">
        <v>#N/A</v>
        <stp/>
        <stp>BDH|4651302788816929560</stp>
        <tr r="F42" s="18"/>
      </tp>
      <tp t="e">
        <v>#N/A</v>
        <stp/>
        <stp>BDH|4084567984142203713</stp>
        <tr r="K45" s="24"/>
      </tp>
      <tp t="e">
        <v>#N/A</v>
        <stp/>
        <stp>BDH|2247561399562481084</stp>
        <tr r="H22" s="7"/>
      </tp>
      <tp t="e">
        <v>#N/A</v>
        <stp/>
        <stp>BDH|7578452585066005149</stp>
        <tr r="P19" s="11"/>
      </tp>
      <tp t="e">
        <v>#N/A</v>
        <stp/>
        <stp>BDH|2973567726840928916</stp>
        <tr r="Z10" s="27"/>
        <tr r="Z25" s="25"/>
      </tp>
      <tp t="e">
        <v>#N/A</v>
        <stp/>
        <stp>BDH|7489408076250498874</stp>
        <tr r="Q7" s="17"/>
      </tp>
      <tp t="e">
        <v>#N/A</v>
        <stp/>
        <stp>BDH|9472834620256297947</stp>
        <tr r="K30" s="17"/>
      </tp>
      <tp t="e">
        <v>#N/A</v>
        <stp/>
        <stp>BDH|2296121930358520446</stp>
        <tr r="H67" s="13"/>
      </tp>
      <tp t="e">
        <v>#N/A</v>
        <stp/>
        <stp>BDH|5603742937514180950</stp>
        <tr r="O37" s="21"/>
      </tp>
      <tp t="e">
        <v>#N/A</v>
        <stp/>
        <stp>BDH|3125089638548243424</stp>
        <tr r="S15" s="12"/>
      </tp>
      <tp t="e">
        <v>#N/A</v>
        <stp/>
        <stp>BDH|1421653112838124235</stp>
        <tr r="R88" s="17"/>
      </tp>
      <tp t="e">
        <v>#N/A</v>
        <stp/>
        <stp>BDH|5838794383155303308</stp>
        <tr r="T80" s="17"/>
        <tr r="T19" s="3"/>
      </tp>
      <tp t="e">
        <v>#N/A</v>
        <stp/>
        <stp>BDH|9822900785044925021</stp>
        <tr r="Z45" s="22"/>
      </tp>
      <tp t="e">
        <v>#N/A</v>
        <stp/>
        <stp>BDH|2573368678749887351</stp>
        <tr r="M73" s="17"/>
      </tp>
      <tp t="e">
        <v>#N/A</v>
        <stp/>
        <stp>BDH|8945649743950871602</stp>
        <tr r="K21" s="30"/>
      </tp>
      <tp t="e">
        <v>#N/A</v>
        <stp/>
        <stp>BDH|3529927874782668335</stp>
        <tr r="C13" s="2"/>
      </tp>
      <tp t="e">
        <v>#N/A</v>
        <stp/>
        <stp>BDH|6405209996515196454</stp>
        <tr r="L13" s="18"/>
      </tp>
      <tp t="e">
        <v>#N/A</v>
        <stp/>
        <stp>BDH|9727162750380163164</stp>
        <tr r="R12" s="22"/>
      </tp>
      <tp t="e">
        <v>#N/A</v>
        <stp/>
        <stp>BDH|9507613374007712312</stp>
        <tr r="O151" s="18"/>
      </tp>
      <tp t="e">
        <v>#N/A</v>
        <stp/>
        <stp>BDH|3812299125757265809</stp>
        <tr r="E60" s="12"/>
      </tp>
      <tp t="e">
        <v>#N/A</v>
        <stp/>
        <stp>BDH|3514832710324317232</stp>
        <tr r="R51" s="24"/>
      </tp>
      <tp t="e">
        <v>#N/A</v>
        <stp/>
        <stp>BDH|9163609821216287746</stp>
        <tr r="F47" s="21"/>
      </tp>
      <tp t="e">
        <v>#N/A</v>
        <stp/>
        <stp>BDH|4441648305949648752</stp>
        <tr r="Q23" s="24"/>
      </tp>
      <tp t="e">
        <v>#N/A</v>
        <stp/>
        <stp>BDH|7548247917461234926</stp>
        <tr r="W14" s="34"/>
      </tp>
      <tp t="e">
        <v>#N/A</v>
        <stp/>
        <stp>BDH|9702200072295151525</stp>
        <tr r="I36" s="21"/>
      </tp>
      <tp t="e">
        <v>#N/A</v>
        <stp/>
        <stp>BDH|5251834753093064745</stp>
        <tr r="W205" s="18"/>
      </tp>
      <tp t="e">
        <v>#N/A</v>
        <stp/>
        <stp>BDH|8079912525379528671</stp>
        <tr r="H52" s="24"/>
      </tp>
      <tp t="e">
        <v>#N/A</v>
        <stp/>
        <stp>BDH|6132541990354153221</stp>
        <tr r="L40" s="17"/>
      </tp>
      <tp t="e">
        <v>#N/A</v>
        <stp/>
        <stp>BDH|8475806673513134803</stp>
        <tr r="F190" s="18"/>
      </tp>
      <tp t="e">
        <v>#N/A</v>
        <stp/>
        <stp>BDH|9530015442354730572</stp>
        <tr r="C32" s="12"/>
      </tp>
      <tp t="e">
        <v>#N/A</v>
        <stp/>
        <stp>BDH|6642723477968092253</stp>
        <tr r="E21" s="9"/>
      </tp>
      <tp t="e">
        <v>#N/A</v>
        <stp/>
        <stp>BDH|7379463492263607572</stp>
        <tr r="C149" s="18"/>
      </tp>
      <tp t="e">
        <v>#N/A</v>
        <stp/>
        <stp>BDH|8286175475690387257</stp>
        <tr r="Z13" s="24"/>
      </tp>
      <tp t="e">
        <v>#N/A</v>
        <stp/>
        <stp>BDH|5897308951249707687</stp>
        <tr r="H11" s="20"/>
        <tr r="H120" s="18"/>
      </tp>
      <tp t="e">
        <v>#N/A</v>
        <stp/>
        <stp>BDH|1519576534979025208</stp>
        <tr r="G17" s="18"/>
      </tp>
      <tp t="e">
        <v>#N/A</v>
        <stp/>
        <stp>BDH|4240727907266721967</stp>
        <tr r="AA49" s="12"/>
      </tp>
      <tp t="e">
        <v>#N/A</v>
        <stp/>
        <stp>BDH|2052274827357050963</stp>
        <tr r="D32" s="6"/>
      </tp>
      <tp t="e">
        <v>#N/A</v>
        <stp/>
        <stp>BDH|5959979018585463449</stp>
        <tr r="T39" s="11"/>
        <tr r="T27" s="11"/>
        <tr r="T48" s="10"/>
        <tr r="T36" s="10"/>
      </tp>
      <tp t="e">
        <v>#N/A</v>
        <stp/>
        <stp>BDH|6567132881102407153</stp>
        <tr r="X69" s="24"/>
      </tp>
      <tp t="e">
        <v>#N/A</v>
        <stp/>
        <stp>BDH|8605636303591074302</stp>
        <tr r="W112" s="12"/>
      </tp>
      <tp t="e">
        <v>#N/A</v>
        <stp/>
        <stp>BDH|6384452662059710152</stp>
        <tr r="W26" s="17"/>
      </tp>
      <tp t="e">
        <v>#N/A</v>
        <stp/>
        <stp>BDH|8314434932980764333</stp>
        <tr r="E25" s="3"/>
      </tp>
      <tp t="e">
        <v>#N/A</v>
        <stp/>
        <stp>BDH|7781898621315994403</stp>
        <tr r="C44" s="13"/>
      </tp>
      <tp t="e">
        <v>#N/A</v>
        <stp/>
        <stp>BDH|4150619457313500847</stp>
        <tr r="Q191" s="18"/>
      </tp>
      <tp t="e">
        <v>#N/A</v>
        <stp/>
        <stp>BDH|6912501547609076289</stp>
        <tr r="J30" s="11"/>
        <tr r="J39" s="10"/>
      </tp>
      <tp t="e">
        <v>#N/A</v>
        <stp/>
        <stp>BDH|8352029377527841485</stp>
        <tr r="D8" s="11"/>
      </tp>
      <tp t="e">
        <v>#N/A</v>
        <stp/>
        <stp>BDH|7269867989989320282</stp>
        <tr r="L8" s="13"/>
      </tp>
      <tp t="e">
        <v>#N/A</v>
        <stp/>
        <stp>BDH|6084309277779386725</stp>
        <tr r="C20" s="26"/>
      </tp>
      <tp t="e">
        <v>#N/A</v>
        <stp/>
        <stp>BDH|6710306114661284972</stp>
        <tr r="R196" s="18"/>
      </tp>
      <tp t="e">
        <v>#N/A</v>
        <stp/>
        <stp>BDH|5096696005777203882</stp>
        <tr r="J81" s="17"/>
      </tp>
      <tp t="e">
        <v>#N/A</v>
        <stp/>
        <stp>BDH|6718558280106306172</stp>
        <tr r="E43" s="17"/>
      </tp>
      <tp t="e">
        <v>#N/A</v>
        <stp/>
        <stp>BDH|4788521806114366962</stp>
        <tr r="Q63" s="24"/>
      </tp>
      <tp t="e">
        <v>#N/A</v>
        <stp/>
        <stp>BDH|3132864249202101199</stp>
        <tr r="R18" s="21"/>
      </tp>
      <tp t="e">
        <v>#N/A</v>
        <stp/>
        <stp>BDH|8350474573883034416</stp>
        <tr r="R91" s="12"/>
      </tp>
      <tp t="e">
        <v>#N/A</v>
        <stp/>
        <stp>BDH|1570482096159892952</stp>
        <tr r="G46" s="17"/>
      </tp>
      <tp t="e">
        <v>#N/A</v>
        <stp/>
        <stp>BDH|7107227066826377907</stp>
        <tr r="K84" s="18"/>
      </tp>
      <tp t="e">
        <v>#N/A</v>
        <stp/>
        <stp>BDH|2067638296851288011</stp>
        <tr r="K48" s="6"/>
      </tp>
      <tp t="e">
        <v>#N/A</v>
        <stp/>
        <stp>BDH|9878792213733343079</stp>
        <tr r="AA61" s="21"/>
      </tp>
      <tp t="e">
        <v>#N/A</v>
        <stp/>
        <stp>BDH|9338234859964927662</stp>
        <tr r="Y202" s="18"/>
      </tp>
      <tp t="e">
        <v>#N/A</v>
        <stp/>
        <stp>BDH|9791677221483549220</stp>
        <tr r="C35" s="21"/>
      </tp>
      <tp t="e">
        <v>#N/A</v>
        <stp/>
        <stp>BDH|2006434997724329700</stp>
        <tr r="X103" s="18"/>
      </tp>
      <tp t="e">
        <v>#N/A</v>
        <stp/>
        <stp>BDH|9259534656222825780</stp>
        <tr r="F67" s="18"/>
      </tp>
      <tp t="e">
        <v>#N/A</v>
        <stp/>
        <stp>BDH|3319797786923887336</stp>
        <tr r="H20" s="26"/>
      </tp>
      <tp t="e">
        <v>#N/A</v>
        <stp/>
        <stp>BDH|5369544791830799563</stp>
        <tr r="O33" s="5"/>
      </tp>
      <tp t="e">
        <v>#N/A</v>
        <stp/>
        <stp>BDH|7324584098766561117</stp>
        <tr r="N9" s="22"/>
      </tp>
      <tp t="e">
        <v>#N/A</v>
        <stp/>
        <stp>BDH|9412440757253263725</stp>
        <tr r="L60" s="12"/>
      </tp>
      <tp t="e">
        <v>#N/A</v>
        <stp/>
        <stp>BDH|1719220941299443277</stp>
        <tr r="H26" s="13"/>
      </tp>
      <tp t="e">
        <v>#N/A</v>
        <stp/>
        <stp>BDH|3124666326463566835</stp>
        <tr r="Q43" s="17"/>
      </tp>
      <tp t="e">
        <v>#N/A</v>
        <stp/>
        <stp>BDH|9016289844656993524</stp>
        <tr r="N55" s="11"/>
      </tp>
      <tp t="e">
        <v>#N/A</v>
        <stp/>
        <stp>BDH|9228732515323605050</stp>
        <tr r="W172" s="18"/>
      </tp>
      <tp t="e">
        <v>#N/A</v>
        <stp/>
        <stp>BDH|3445312886791655526</stp>
        <tr r="P15" s="12"/>
      </tp>
      <tp t="e">
        <v>#N/A</v>
        <stp/>
        <stp>BDH|6347901694543211924</stp>
        <tr r="D44" s="13"/>
      </tp>
      <tp t="e">
        <v>#N/A</v>
        <stp/>
        <stp>BDH|8969586122653462005</stp>
        <tr r="E73" s="18"/>
      </tp>
      <tp t="e">
        <v>#N/A</v>
        <stp/>
        <stp>BDH|9679441033384699609</stp>
        <tr r="S24" s="2"/>
      </tp>
      <tp t="e">
        <v>#N/A</v>
        <stp/>
        <stp>BDH|4617817899541031895</stp>
        <tr r="J176" s="18"/>
      </tp>
      <tp t="e">
        <v>#N/A</v>
        <stp/>
        <stp>BDH|6305700094193036707</stp>
        <tr r="Z90" s="17"/>
      </tp>
      <tp t="e">
        <v>#N/A</v>
        <stp/>
        <stp>BDH|8008135561107466417</stp>
        <tr r="I88" s="18"/>
      </tp>
      <tp t="e">
        <v>#N/A</v>
        <stp/>
        <stp>BDH|5445241035838585071</stp>
        <tr r="AA12" s="12"/>
      </tp>
      <tp t="e">
        <v>#N/A</v>
        <stp/>
        <stp>BDH|7509623151008476050</stp>
        <tr r="Z70" s="18"/>
      </tp>
      <tp t="e">
        <v>#N/A</v>
        <stp/>
        <stp>BDH|4006235644206535853</stp>
        <tr r="Q45" s="34"/>
      </tp>
      <tp t="e">
        <v>#N/A</v>
        <stp/>
        <stp>BDH|3122803225602156725</stp>
        <tr r="I47" s="12"/>
      </tp>
      <tp t="e">
        <v>#N/A</v>
        <stp/>
        <stp>BDH|8227347631387969397</stp>
        <tr r="S101" s="12"/>
      </tp>
      <tp t="e">
        <v>#N/A</v>
        <stp/>
        <stp>BDH|2442842210226471134</stp>
        <tr r="Q12" s="20"/>
        <tr r="Q121" s="18"/>
      </tp>
      <tp t="e">
        <v>#N/A</v>
        <stp/>
        <stp>BDH|5495617529745269898</stp>
        <tr r="K19" s="20"/>
      </tp>
      <tp t="e">
        <v>#N/A</v>
        <stp/>
        <stp>BDH|3741616669379178691</stp>
        <tr r="U22" s="22"/>
      </tp>
      <tp t="e">
        <v>#N/A</v>
        <stp/>
        <stp>BDH|5684683206297676899</stp>
        <tr r="W203" s="18"/>
      </tp>
      <tp t="e">
        <v>#N/A</v>
        <stp/>
        <stp>BDH|6637626851598470161</stp>
        <tr r="Z24" s="27"/>
      </tp>
      <tp t="e">
        <v>#N/A</v>
        <stp/>
        <stp>BDH|1277238027809386429</stp>
        <tr r="J195" s="18"/>
      </tp>
      <tp t="e">
        <v>#N/A</v>
        <stp/>
        <stp>BDH|2694776130323024968</stp>
        <tr r="N52" s="17"/>
      </tp>
      <tp t="e">
        <v>#N/A</v>
        <stp/>
        <stp>BDH|8117563363951441676</stp>
        <tr r="D99" s="18"/>
      </tp>
      <tp t="e">
        <v>#N/A</v>
        <stp/>
        <stp>BDH|2883098345942125822</stp>
        <tr r="S65" s="24"/>
      </tp>
      <tp t="e">
        <v>#N/A</v>
        <stp/>
        <stp>BDH|3145757680973639350</stp>
        <tr r="F17" s="30"/>
      </tp>
      <tp t="e">
        <v>#N/A</v>
        <stp/>
        <stp>BDH|2339669905520561821</stp>
        <tr r="N45" s="18"/>
      </tp>
      <tp t="e">
        <v>#N/A</v>
        <stp/>
        <stp>BDH|3170439114128659271</stp>
        <tr r="Q52" s="18"/>
      </tp>
      <tp t="e">
        <v>#N/A</v>
        <stp/>
        <stp>BDH|9657477610009504938</stp>
        <tr r="T9" s="13"/>
      </tp>
      <tp t="e">
        <v>#N/A</v>
        <stp/>
        <stp>BDH|3141735029753886944</stp>
        <tr r="H32" s="21"/>
      </tp>
      <tp t="e">
        <v>#N/A</v>
        <stp/>
        <stp>BDH|9260615478861977551</stp>
        <tr r="W46" s="21"/>
      </tp>
      <tp t="e">
        <v>#N/A</v>
        <stp/>
        <stp>BDH|2829704209341388850</stp>
        <tr r="T87" s="24"/>
      </tp>
      <tp t="e">
        <v>#N/A</v>
        <stp/>
        <stp>BDH|7181770505784711833</stp>
        <tr r="V19" s="21"/>
        <tr r="V23" s="3"/>
        <tr r="T23" s="2"/>
      </tp>
      <tp t="e">
        <v>#N/A</v>
        <stp/>
        <stp>BDH|2439439585006423415</stp>
        <tr r="U18" s="23"/>
      </tp>
      <tp t="e">
        <v>#N/A</v>
        <stp/>
        <stp>BDH|9287961773288767370</stp>
        <tr r="N9" s="14"/>
      </tp>
      <tp t="e">
        <v>#N/A</v>
        <stp/>
        <stp>BDH|7530649076013810987</stp>
        <tr r="U189" s="18"/>
      </tp>
      <tp t="e">
        <v>#N/A</v>
        <stp/>
        <stp>BDH|8116479311394111516</stp>
        <tr r="I37" s="6"/>
      </tp>
      <tp t="e">
        <v>#N/A</v>
        <stp/>
        <stp>BDH|8545751607330298323</stp>
        <tr r="E19" s="24"/>
      </tp>
      <tp t="e">
        <v>#N/A</v>
        <stp/>
        <stp>BDH|2449760734548691274</stp>
        <tr r="H27" s="34"/>
      </tp>
      <tp t="e">
        <v>#N/A</v>
        <stp/>
        <stp>BDH|8888586203757517617</stp>
        <tr r="T50" s="18"/>
      </tp>
      <tp t="e">
        <v>#N/A</v>
        <stp/>
        <stp>BDH|9703112457979508834</stp>
        <tr r="E36" s="22"/>
      </tp>
      <tp t="e">
        <v>#N/A</v>
        <stp/>
        <stp>BDH|1657178255068744147</stp>
        <tr r="E49" s="34"/>
      </tp>
      <tp t="e">
        <v>#N/A</v>
        <stp/>
        <stp>BDH|9605311308935157393</stp>
        <tr r="G10" s="13"/>
      </tp>
      <tp t="e">
        <v>#N/A</v>
        <stp/>
        <stp>BDH|7168378500270431851</stp>
        <tr r="C93" s="12"/>
      </tp>
      <tp t="e">
        <v>#N/A</v>
        <stp/>
        <stp>BDH|9544771318474836763</stp>
        <tr r="X33" s="13"/>
        <tr r="V26" s="10"/>
      </tp>
      <tp t="e">
        <v>#N/A</v>
        <stp/>
        <stp>BDH|8323444606619658934</stp>
        <tr r="O39" s="22"/>
      </tp>
      <tp t="e">
        <v>#N/A</v>
        <stp/>
        <stp>BDH|1642934259561842001</stp>
        <tr r="N12" s="21"/>
      </tp>
      <tp t="e">
        <v>#N/A</v>
        <stp/>
        <stp>BDH|4687676262918721005</stp>
        <tr r="E12" s="14"/>
      </tp>
      <tp t="e">
        <v>#N/A</v>
        <stp/>
        <stp>BDH|4444445825029239732</stp>
        <tr r="AA25" s="13"/>
      </tp>
      <tp t="e">
        <v>#N/A</v>
        <stp/>
        <stp>BDH|8713238308490099684</stp>
        <tr r="N13" s="20"/>
        <tr r="N122" s="18"/>
      </tp>
      <tp t="e">
        <v>#N/A</v>
        <stp/>
        <stp>BDH|2559589250839846710</stp>
        <tr r="AA34" s="12"/>
      </tp>
      <tp t="e">
        <v>#N/A</v>
        <stp/>
        <stp>BDH|8214020545002627270</stp>
        <tr r="S123" s="12"/>
      </tp>
      <tp t="e">
        <v>#N/A</v>
        <stp/>
        <stp>BDH|8603639130872759367</stp>
        <tr r="AA38" s="26"/>
      </tp>
      <tp t="e">
        <v>#N/A</v>
        <stp/>
        <stp>BDH|1673005990030477466</stp>
        <tr r="K82" s="18"/>
      </tp>
      <tp t="e">
        <v>#N/A</v>
        <stp/>
        <stp>BDH|6548166803763552812</stp>
        <tr r="D92" s="18"/>
      </tp>
      <tp t="e">
        <v>#N/A</v>
        <stp/>
        <stp>BDH|9143314195578772760</stp>
        <tr r="P43" s="11"/>
        <tr r="P52" s="10"/>
        <tr r="P15" s="7"/>
      </tp>
      <tp t="e">
        <v>#N/A</v>
        <stp/>
        <stp>BDH|1243536660206465814</stp>
        <tr r="X27" s="18"/>
      </tp>
      <tp t="e">
        <v>#N/A</v>
        <stp/>
        <stp>BDH|5210913543345170154</stp>
        <tr r="S188" s="18"/>
      </tp>
      <tp t="e">
        <v>#N/A</v>
        <stp/>
        <stp>BDH|1621195605054848861</stp>
        <tr r="N21" s="10"/>
      </tp>
      <tp t="e">
        <v>#N/A</v>
        <stp/>
        <stp>BDH|7920723855028910132</stp>
        <tr r="M28" s="24"/>
      </tp>
      <tp t="e">
        <v>#N/A</v>
        <stp/>
        <stp>BDH|4337694081516645093</stp>
        <tr r="L45" s="34"/>
      </tp>
      <tp t="e">
        <v>#N/A</v>
        <stp/>
        <stp>BDH|9452019575272598012</stp>
        <tr r="R38" s="11"/>
        <tr r="R47" s="10"/>
      </tp>
      <tp t="e">
        <v>#N/A</v>
        <stp/>
        <stp>BDH|1722532132349062221</stp>
        <tr r="T60" s="21"/>
        <tr r="R54" s="11"/>
      </tp>
      <tp t="e">
        <v>#N/A</v>
        <stp/>
        <stp>BDH|9085641076347280346</stp>
        <tr r="T20" s="29"/>
      </tp>
      <tp t="e">
        <v>#N/A</v>
        <stp/>
        <stp>BDH|6128305092077761705</stp>
        <tr r="R62" s="21"/>
        <tr r="P25" s="2"/>
      </tp>
      <tp t="e">
        <v>#N/A</v>
        <stp/>
        <stp>BDH|5554015592647792758</stp>
        <tr r="L13" s="24"/>
      </tp>
      <tp t="e">
        <v>#N/A</v>
        <stp/>
        <stp>BDH|6480835405926601403</stp>
        <tr r="S56" s="6"/>
      </tp>
      <tp t="e">
        <v>#N/A</v>
        <stp/>
        <stp>BDH|5445534799144814127</stp>
        <tr r="C64" s="18"/>
      </tp>
      <tp t="e">
        <v>#N/A</v>
        <stp/>
        <stp>BDH|4186861908219251999</stp>
        <tr r="I16" s="21"/>
      </tp>
      <tp t="e">
        <v>#N/A</v>
        <stp/>
        <stp>BDH|1441440445565068810</stp>
        <tr r="L7" s="4"/>
      </tp>
      <tp t="e">
        <v>#N/A</v>
        <stp/>
        <stp>BDH|3700880764564954566</stp>
        <tr r="L16" s="14"/>
      </tp>
      <tp t="e">
        <v>#N/A</v>
        <stp/>
        <stp>BDH|4408839175573387452</stp>
        <tr r="X55" s="11"/>
      </tp>
      <tp t="e">
        <v>#N/A</v>
        <stp/>
        <stp>BDH|5205906564351256709</stp>
        <tr r="R48" s="6"/>
      </tp>
      <tp t="e">
        <v>#N/A</v>
        <stp/>
        <stp>BDH|5600686215717719989</stp>
        <tr r="R125" s="18"/>
      </tp>
      <tp t="e">
        <v>#N/A</v>
        <stp/>
        <stp>BDH|9808705762963847760</stp>
        <tr r="M66" s="21"/>
        <tr r="J31" s="6"/>
      </tp>
      <tp t="e">
        <v>#N/A</v>
        <stp/>
        <stp>BDH|4397922425773061001</stp>
        <tr r="T10" s="13"/>
      </tp>
      <tp t="e">
        <v>#N/A</v>
        <stp/>
        <stp>BDH|9775645399519845368</stp>
        <tr r="T44" s="21"/>
      </tp>
      <tp t="e">
        <v>#N/A</v>
        <stp/>
        <stp>BDH|3074964536515559018</stp>
        <tr r="M43" s="24"/>
      </tp>
      <tp t="e">
        <v>#N/A</v>
        <stp/>
        <stp>BDH|8784746112251535305</stp>
        <tr r="AA63" s="17"/>
      </tp>
      <tp t="e">
        <v>#N/A</v>
        <stp/>
        <stp>BDH|4409169012700654821</stp>
        <tr r="O8" s="13"/>
      </tp>
      <tp t="e">
        <v>#N/A</v>
        <stp/>
        <stp>BDH|8651963033877769902</stp>
        <tr r="E69" s="10"/>
      </tp>
      <tp t="e">
        <v>#N/A</v>
        <stp/>
        <stp>BDH|1145201134655475958</stp>
        <tr r="F23" s="26"/>
      </tp>
      <tp t="e">
        <v>#N/A</v>
        <stp/>
        <stp>BDH|2293869631866942380</stp>
        <tr r="F10" s="11"/>
      </tp>
      <tp t="e">
        <v>#N/A</v>
        <stp/>
        <stp>BDH|6121378799449823930</stp>
        <tr r="Q183" s="18"/>
      </tp>
      <tp t="e">
        <v>#N/A</v>
        <stp/>
        <stp>BDH|2608879694249334624</stp>
        <tr r="AA31" s="22"/>
      </tp>
      <tp t="e">
        <v>#N/A</v>
        <stp/>
        <stp>BDH|7218088497325909705</stp>
        <tr r="S17" s="27"/>
        <tr r="S31" s="25"/>
        <tr r="P14" s="5"/>
      </tp>
      <tp t="e">
        <v>#N/A</v>
        <stp/>
        <stp>BDH|9088516841431353570</stp>
        <tr r="Y95" s="12"/>
      </tp>
      <tp t="e">
        <v>#N/A</v>
        <stp/>
        <stp>BDH|7321860556245489337</stp>
        <tr r="H39" s="22"/>
      </tp>
      <tp t="e">
        <v>#N/A</v>
        <stp/>
        <stp>BDH|6580582324534466997</stp>
        <tr r="W23" s="10"/>
      </tp>
      <tp t="e">
        <v>#N/A</v>
        <stp/>
        <stp>BDH|4077782688902562514</stp>
        <tr r="M9" s="12"/>
      </tp>
      <tp t="e">
        <v>#N/A</v>
        <stp/>
        <stp>BDH|5098132013598372177</stp>
        <tr r="G120" s="12"/>
      </tp>
      <tp t="e">
        <v>#N/A</v>
        <stp/>
        <stp>BDH|1265373177920041979</stp>
        <tr r="O18" s="14"/>
      </tp>
      <tp t="e">
        <v>#N/A</v>
        <stp/>
        <stp>BDH|1647665626548216114</stp>
        <tr r="N91" s="18"/>
      </tp>
      <tp t="e">
        <v>#N/A</v>
        <stp/>
        <stp>BDH|9925391964796376622</stp>
        <tr r="M10" s="24"/>
      </tp>
      <tp t="e">
        <v>#N/A</v>
        <stp/>
        <stp>BDH|2149732067027817886</stp>
        <tr r="H22" s="4"/>
      </tp>
      <tp t="e">
        <v>#N/A</v>
        <stp/>
        <stp>BDH|2205922920391081459</stp>
        <tr r="J41" s="24"/>
      </tp>
      <tp t="e">
        <v>#N/A</v>
        <stp/>
        <stp>BDH|9053561350043116625</stp>
        <tr r="V13" s="9"/>
      </tp>
      <tp t="e">
        <v>#N/A</v>
        <stp/>
        <stp>BDH|3052607706818387102</stp>
        <tr r="E44" s="13"/>
        <tr r="C28" s="11"/>
        <tr r="C37" s="10"/>
      </tp>
      <tp t="e">
        <v>#N/A</v>
        <stp/>
        <stp>BDH|1327554984587018772</stp>
        <tr r="R207" s="18"/>
      </tp>
      <tp t="e">
        <v>#N/A</v>
        <stp/>
        <stp>BDH|1597801905055194041</stp>
        <tr r="AA80" s="12"/>
      </tp>
      <tp t="e">
        <v>#N/A</v>
        <stp/>
        <stp>BDH|1121877870880799244</stp>
        <tr r="C63" s="24"/>
      </tp>
      <tp t="e">
        <v>#N/A</v>
        <stp/>
        <stp>BDH|5959867318617263701</stp>
        <tr r="C65" s="13"/>
      </tp>
      <tp t="e">
        <v>#N/A</v>
        <stp/>
        <stp>BDH|9814580502913637319</stp>
        <tr r="Y163" s="18"/>
      </tp>
      <tp t="e">
        <v>#N/A</v>
        <stp/>
        <stp>BDH|7883987685338692260</stp>
        <tr r="AA18" s="23"/>
      </tp>
      <tp t="e">
        <v>#N/A</v>
        <stp/>
        <stp>BDH|1233882198504215850</stp>
        <tr r="O35" s="26"/>
      </tp>
      <tp t="e">
        <v>#N/A</v>
        <stp/>
        <stp>BDH|7180479933218568450</stp>
        <tr r="M44" s="22"/>
      </tp>
      <tp t="e">
        <v>#N/A</v>
        <stp/>
        <stp>BDH|6087419698721429681</stp>
        <tr r="G36" s="12"/>
      </tp>
      <tp t="e">
        <v>#N/A</v>
        <stp/>
        <stp>BDH|2435042962181530927</stp>
        <tr r="L9" s="20"/>
        <tr r="L119" s="18"/>
      </tp>
      <tp t="e">
        <v>#N/A</v>
        <stp/>
        <stp>BDH|5324762476011635807</stp>
        <tr r="S77" s="24"/>
      </tp>
      <tp t="e">
        <v>#N/A</v>
        <stp/>
        <stp>BDH|7075671382475804086</stp>
        <tr r="E35" s="12"/>
      </tp>
      <tp t="e">
        <v>#N/A</v>
        <stp/>
        <stp>BDH|8726917234047485939</stp>
        <tr r="R37" s="18"/>
      </tp>
      <tp t="e">
        <v>#N/A</v>
        <stp/>
        <stp>BDH|6182584869288490113</stp>
        <tr r="C31" s="12"/>
      </tp>
      <tp t="e">
        <v>#N/A</v>
        <stp/>
        <stp>BDH|5681955060067509139</stp>
        <tr r="O75" s="17"/>
      </tp>
      <tp t="e">
        <v>#N/A</v>
        <stp/>
        <stp>BDH|4469246940578027650</stp>
        <tr r="T19" s="28"/>
        <tr r="T16" s="17"/>
      </tp>
      <tp t="e">
        <v>#N/A</v>
        <stp/>
        <stp>BDH|1092885658265319568</stp>
        <tr r="D90" s="12"/>
      </tp>
      <tp t="e">
        <v>#N/A</v>
        <stp/>
        <stp>BDH|6385950390939736344</stp>
        <tr r="N112" s="12"/>
      </tp>
      <tp t="e">
        <v>#N/A</v>
        <stp/>
        <stp>BDH|8018814137439017636</stp>
        <tr r="H15" s="26"/>
      </tp>
      <tp t="e">
        <v>#N/A</v>
        <stp/>
        <stp>BDH|7020028690072747007</stp>
        <tr r="T51" s="12"/>
      </tp>
      <tp t="e">
        <v>#N/A</v>
        <stp/>
        <stp>BDH|1552521011440116928</stp>
        <tr r="H30" s="21"/>
      </tp>
      <tp t="e">
        <v>#N/A</v>
        <stp/>
        <stp>BDH|2248410915348663359</stp>
        <tr r="H18" s="26"/>
      </tp>
      <tp t="e">
        <v>#N/A</v>
        <stp/>
        <stp>BDH|4955805325546948409</stp>
        <tr r="Z52" s="17"/>
      </tp>
      <tp t="e">
        <v>#N/A</v>
        <stp/>
        <stp>BDH|3244576006868475226</stp>
        <tr r="J10" s="17"/>
      </tp>
      <tp t="e">
        <v>#N/A</v>
        <stp/>
        <stp>BDH|1543218744128007356</stp>
        <tr r="O9" s="29"/>
      </tp>
      <tp t="e">
        <v>#N/A</v>
        <stp/>
        <stp>BDH|3478551155947649871</stp>
        <tr r="K23" s="10"/>
      </tp>
      <tp t="e">
        <v>#N/A</v>
        <stp/>
        <stp>BDH|4053671452868914397</stp>
        <tr r="O69" s="34"/>
      </tp>
      <tp t="e">
        <v>#N/A</v>
        <stp/>
        <stp>BDH|9173823680933536634</stp>
        <tr r="M9" s="34"/>
      </tp>
      <tp t="e">
        <v>#N/A</v>
        <stp/>
        <stp>BDH|6402966100820600314</stp>
        <tr r="V42" s="24"/>
      </tp>
      <tp t="e">
        <v>#N/A</v>
        <stp/>
        <stp>BDH|3947217892780964468</stp>
        <tr r="W34" s="24"/>
      </tp>
      <tp t="e">
        <v>#N/A</v>
        <stp/>
        <stp>BDH|3118408266275348812</stp>
        <tr r="H33" s="24"/>
      </tp>
      <tp t="e">
        <v>#N/A</v>
        <stp/>
        <stp>BDH|8685615332224873585</stp>
        <tr r="Y158" s="18"/>
      </tp>
      <tp t="e">
        <v>#N/A</v>
        <stp/>
        <stp>BDH|5226043023662589952</stp>
        <tr r="F149" s="18"/>
      </tp>
      <tp t="e">
        <v>#N/A</v>
        <stp/>
        <stp>BDH|2643248365622119836</stp>
        <tr r="H28" s="22"/>
      </tp>
      <tp t="e">
        <v>#N/A</v>
        <stp/>
        <stp>BDH|7250670729668093796</stp>
        <tr r="H8" s="4"/>
      </tp>
      <tp t="e">
        <v>#N/A</v>
        <stp/>
        <stp>BDH|4441261968308922468</stp>
        <tr r="T30" s="21"/>
      </tp>
      <tp t="e">
        <v>#N/A</v>
        <stp/>
        <stp>BDH|4506473691950171573</stp>
        <tr r="M118" s="12"/>
      </tp>
      <tp t="e">
        <v>#N/A</v>
        <stp/>
        <stp>BDH|1580106747230024870</stp>
        <tr r="AA61" s="24"/>
      </tp>
      <tp t="e">
        <v>#N/A</v>
        <stp/>
        <stp>BDH|7288023540569517601</stp>
        <tr r="Q94" s="17"/>
      </tp>
      <tp t="e">
        <v>#N/A</v>
        <stp/>
        <stp>BDH|39593244009339985</stp>
        <tr r="K34" s="22"/>
      </tp>
      <tp t="e">
        <v>#N/A</v>
        <stp/>
        <stp>BDH|11418254585080505</stp>
        <tr r="Y84" s="24"/>
      </tp>
      <tp t="e">
        <v>#N/A</v>
        <stp/>
        <stp>BDH|61777347316509442</stp>
        <tr r="W35" s="17"/>
      </tp>
      <tp t="e">
        <v>#N/A</v>
        <stp/>
        <stp>BDH|40983716650599958</stp>
        <tr r="U206" s="18"/>
      </tp>
      <tp t="e">
        <v>#N/A</v>
        <stp/>
        <stp>BDH|40952574339210687</stp>
        <tr r="G26" s="21"/>
      </tp>
      <tp t="e">
        <v>#N/A</v>
        <stp/>
        <stp>BDH|20401288615120815</stp>
        <tr r="I214" s="18"/>
      </tp>
      <tp t="e">
        <v>#N/A</v>
        <stp/>
        <stp>BDH|96797324223406703</stp>
        <tr r="T26" s="11"/>
        <tr r="T35" s="10"/>
      </tp>
      <tp t="e">
        <v>#N/A</v>
        <stp/>
        <stp>BDH|31709673579339896</stp>
        <tr r="M21" s="9"/>
      </tp>
      <tp t="e">
        <v>#N/A</v>
        <stp/>
        <stp>BDH|1939770910772722837</stp>
        <tr r="S110" s="12"/>
      </tp>
      <tp t="e">
        <v>#N/A</v>
        <stp/>
        <stp>BDH|2970778604701391930</stp>
        <tr r="Y13" s="22"/>
      </tp>
      <tp t="e">
        <v>#N/A</v>
        <stp/>
        <stp>BDH|1863481967477832951</stp>
        <tr r="Q35" s="21"/>
      </tp>
      <tp t="e">
        <v>#N/A</v>
        <stp/>
        <stp>BDH|9442334744183004090</stp>
        <tr r="T25" s="21"/>
      </tp>
      <tp t="e">
        <v>#N/A</v>
        <stp/>
        <stp>BDH|8952613854052764411</stp>
        <tr r="E23" s="11"/>
      </tp>
      <tp t="e">
        <v>#N/A</v>
        <stp/>
        <stp>BDH|2439195788785822373</stp>
        <tr r="S8" s="27"/>
      </tp>
      <tp t="e">
        <v>#N/A</v>
        <stp/>
        <stp>BDH|3892559611559255340</stp>
        <tr r="O39" s="13"/>
        <tr r="M32" s="10"/>
      </tp>
      <tp t="e">
        <v>#N/A</v>
        <stp/>
        <stp>BDH|7451205257048003590</stp>
        <tr r="Y48" s="21"/>
      </tp>
      <tp t="e">
        <v>#N/A</v>
        <stp/>
        <stp>BDH|4481225468035193857</stp>
        <tr r="E199" s="18"/>
      </tp>
      <tp t="e">
        <v>#N/A</v>
        <stp/>
        <stp>BDH|4741512315325848812</stp>
        <tr r="L43" s="21"/>
      </tp>
      <tp t="e">
        <v>#N/A</v>
        <stp/>
        <stp>BDH|1858049307674005819</stp>
        <tr r="C80" s="34"/>
      </tp>
      <tp t="e">
        <v>#N/A</v>
        <stp/>
        <stp>BDH|2458286402144452904</stp>
        <tr r="K14" s="21"/>
      </tp>
      <tp t="e">
        <v>#N/A</v>
        <stp/>
        <stp>BDH|9615340616266607081</stp>
        <tr r="Y18" s="18"/>
      </tp>
      <tp t="e">
        <v>#N/A</v>
        <stp/>
        <stp>BDH|6907614243620534944</stp>
        <tr r="K47" s="12"/>
      </tp>
      <tp t="e">
        <v>#N/A</v>
        <stp/>
        <stp>BDH|9882166357089134928</stp>
        <tr r="U79" s="34"/>
      </tp>
      <tp t="e">
        <v>#N/A</v>
        <stp/>
        <stp>BDH|3782971599377769949</stp>
        <tr r="F30" s="17"/>
      </tp>
      <tp t="e">
        <v>#N/A</v>
        <stp/>
        <stp>BDH|7145098558516894924</stp>
        <tr r="F76" s="12"/>
      </tp>
      <tp t="e">
        <v>#N/A</v>
        <stp/>
        <stp>BDH|9772466729701637341</stp>
        <tr r="D9" s="25"/>
        <tr r="D44" s="17"/>
      </tp>
      <tp t="e">
        <v>#N/A</v>
        <stp/>
        <stp>BDH|3630502017349919327</stp>
        <tr r="G24" s="6"/>
      </tp>
      <tp t="e">
        <v>#N/A</v>
        <stp/>
        <stp>BDH|3924359468959635286</stp>
        <tr r="G8" s="22"/>
      </tp>
      <tp t="e">
        <v>#N/A</v>
        <stp/>
        <stp>BDH|1847686284244860661</stp>
        <tr r="H15" s="14"/>
      </tp>
      <tp t="e">
        <v>#N/A</v>
        <stp/>
        <stp>BDH|1245304952768261286</stp>
        <tr r="W38" s="26"/>
      </tp>
      <tp t="e">
        <v>#N/A</v>
        <stp/>
        <stp>BDH|4852594499641725453</stp>
        <tr r="F53" s="12"/>
      </tp>
      <tp t="e">
        <v>#N/A</v>
        <stp/>
        <stp>BDH|6458652254880800879</stp>
        <tr r="H96" s="18"/>
      </tp>
      <tp t="e">
        <v>#N/A</v>
        <stp/>
        <stp>BDH|8933904878913318889</stp>
        <tr r="H108" s="12"/>
      </tp>
      <tp t="e">
        <v>#N/A</v>
        <stp/>
        <stp>BDH|6171635809055951881</stp>
        <tr r="Q21" s="34"/>
      </tp>
      <tp t="e">
        <v>#N/A</v>
        <stp/>
        <stp>BDH|7856354991153077361</stp>
        <tr r="E85" s="12"/>
      </tp>
      <tp t="e">
        <v>#N/A</v>
        <stp/>
        <stp>BDH|3176311949698010139</stp>
        <tr r="V182" s="18"/>
      </tp>
      <tp t="e">
        <v>#N/A</v>
        <stp/>
        <stp>BDH|2733568489796471463</stp>
        <tr r="T50" s="21"/>
      </tp>
      <tp t="e">
        <v>#N/A</v>
        <stp/>
        <stp>BDH|1008875475101991216</stp>
        <tr r="W26" s="27"/>
      </tp>
      <tp t="e">
        <v>#N/A</v>
        <stp/>
        <stp>BDH|7741713079999411314</stp>
        <tr r="H29" s="18"/>
      </tp>
      <tp t="e">
        <v>#N/A</v>
        <stp/>
        <stp>BDH|3299006371078019194</stp>
        <tr r="Y7" s="8"/>
      </tp>
      <tp t="e">
        <v>#N/A</v>
        <stp/>
        <stp>BDH|6562484981446156179</stp>
        <tr r="Q80" s="18"/>
      </tp>
      <tp t="e">
        <v>#N/A</v>
        <stp/>
        <stp>BDH|6340549036775957822</stp>
        <tr r="I70" s="24"/>
      </tp>
      <tp t="e">
        <v>#N/A</v>
        <stp/>
        <stp>BDH|9349064677086969519</stp>
        <tr r="W9" s="28"/>
      </tp>
      <tp t="e">
        <v>#N/A</v>
        <stp/>
        <stp>BDH|8903729243161032725</stp>
        <tr r="O19" s="12"/>
      </tp>
      <tp t="e">
        <v>#N/A</v>
        <stp/>
        <stp>BDH|9733964590402884635</stp>
        <tr r="H13" s="24"/>
      </tp>
      <tp t="e">
        <v>#N/A</v>
        <stp/>
        <stp>BDH|9914793469616122328</stp>
        <tr r="Q50" s="12"/>
      </tp>
      <tp t="e">
        <v>#N/A</v>
        <stp/>
        <stp>BDH|7979835306573279151</stp>
        <tr r="O31" s="12"/>
      </tp>
      <tp t="e">
        <v>#N/A</v>
        <stp/>
        <stp>BDH|2180406398945311717</stp>
        <tr r="S99" s="18"/>
      </tp>
      <tp t="e">
        <v>#N/A</v>
        <stp/>
        <stp>BDH|7075717168479434266</stp>
        <tr r="Y118" s="12"/>
      </tp>
      <tp t="e">
        <v>#N/A</v>
        <stp/>
        <stp>BDH|3332530213133012983</stp>
        <tr r="AA13" s="27"/>
        <tr r="AA27" s="25"/>
      </tp>
      <tp t="e">
        <v>#N/A</v>
        <stp/>
        <stp>BDH|2532664491195133585</stp>
        <tr r="Z49" s="12"/>
      </tp>
      <tp t="e">
        <v>#N/A</v>
        <stp/>
        <stp>BDH|8226212428414953192</stp>
        <tr r="C16" s="23"/>
      </tp>
      <tp t="e">
        <v>#N/A</v>
        <stp/>
        <stp>BDH|9451702268411553425</stp>
        <tr r="C45" s="21"/>
      </tp>
      <tp t="e">
        <v>#N/A</v>
        <stp/>
        <stp>BDH|9008695375231075473</stp>
        <tr r="L49" s="4"/>
      </tp>
      <tp t="e">
        <v>#N/A</v>
        <stp/>
        <stp>BDH|9578895178452857970</stp>
        <tr r="U21" s="18"/>
      </tp>
      <tp t="e">
        <v>#N/A</v>
        <stp/>
        <stp>BDH|4521067248399152411</stp>
        <tr r="H79" s="17"/>
        <tr r="E9" s="9"/>
        <tr r="E9" s="5"/>
      </tp>
      <tp t="e">
        <v>#N/A</v>
        <stp/>
        <stp>BDH|8240073828103659406</stp>
        <tr r="R76" s="34"/>
      </tp>
      <tp t="e">
        <v>#N/A</v>
        <stp/>
        <stp>BDH|6152517458413623850</stp>
        <tr r="O30" s="22"/>
      </tp>
      <tp t="e">
        <v>#N/A</v>
        <stp/>
        <stp>BDH|3351042801697511984</stp>
        <tr r="G63" s="11"/>
        <tr r="G72" s="10"/>
      </tp>
      <tp t="e">
        <v>#N/A</v>
        <stp/>
        <stp>BDH|3390552124199096097</stp>
        <tr r="E50" s="17"/>
      </tp>
      <tp t="e">
        <v>#N/A</v>
        <stp/>
        <stp>BDH|5269697081216567041</stp>
        <tr r="G57" s="12"/>
      </tp>
      <tp t="e">
        <v>#N/A</v>
        <stp/>
        <stp>BDH|9330081866246125476</stp>
        <tr r="Q18" s="20"/>
      </tp>
      <tp t="e">
        <v>#N/A</v>
        <stp/>
        <stp>BDH|3030187876060778824</stp>
        <tr r="E187" s="18"/>
      </tp>
      <tp t="e">
        <v>#N/A</v>
        <stp/>
        <stp>BDH|8037082306323635636</stp>
        <tr r="W166" s="18"/>
      </tp>
      <tp t="e">
        <v>#N/A</v>
        <stp/>
        <stp>BDH|4117003701361910826</stp>
        <tr r="F15" s="9"/>
      </tp>
      <tp t="e">
        <v>#N/A</v>
        <stp/>
        <stp>BDH|4970762181092308463</stp>
        <tr r="D46" s="17"/>
      </tp>
      <tp t="e">
        <v>#N/A</v>
        <stp/>
        <stp>BDH|3013289482812284631</stp>
        <tr r="Y12" s="21"/>
      </tp>
      <tp t="e">
        <v>#N/A</v>
        <stp/>
        <stp>BDH|5615845739142693164</stp>
        <tr r="U10" s="24"/>
      </tp>
      <tp t="e">
        <v>#N/A</v>
        <stp/>
        <stp>BDH|3378380446418533138</stp>
        <tr r="AA72" s="34"/>
      </tp>
      <tp t="e">
        <v>#N/A</v>
        <stp/>
        <stp>BDH|8414601529448169979</stp>
        <tr r="Q88" s="12"/>
      </tp>
      <tp t="e">
        <v>#N/A</v>
        <stp/>
        <stp>BDH|9964275110955598208</stp>
        <tr r="AA17" s="28"/>
        <tr r="AA14" s="17"/>
      </tp>
      <tp t="e">
        <v>#N/A</v>
        <stp/>
        <stp>BDH|5172317102809905202</stp>
        <tr r="J10" s="23"/>
      </tp>
      <tp t="e">
        <v>#N/A</v>
        <stp/>
        <stp>BDH|3171422464615519998</stp>
        <tr r="M69" s="12"/>
      </tp>
      <tp t="e">
        <v>#N/A</v>
        <stp/>
        <stp>BDH|9202508359344158014</stp>
        <tr r="N35" s="26"/>
      </tp>
      <tp t="e">
        <v>#N/A</v>
        <stp/>
        <stp>BDH|9472189934296563067</stp>
        <tr r="C61" s="12"/>
      </tp>
      <tp t="e">
        <v>#N/A</v>
        <stp/>
        <stp>BDH|5275289828629023197</stp>
        <tr r="D57" s="17"/>
      </tp>
      <tp t="e">
        <v>#N/A</v>
        <stp/>
        <stp>BDH|6651465875571902978</stp>
        <tr r="V123" s="12"/>
      </tp>
      <tp t="e">
        <v>#N/A</v>
        <stp/>
        <stp>BDH|2008877721852953747</stp>
        <tr r="H24" s="12"/>
      </tp>
      <tp t="e">
        <v>#N/A</v>
        <stp/>
        <stp>BDH|5782722956742146894</stp>
        <tr r="N105" s="18"/>
      </tp>
      <tp t="e">
        <v>#N/A</v>
        <stp/>
        <stp>BDH|6927436094305522309</stp>
        <tr r="Y48" s="24"/>
      </tp>
      <tp t="e">
        <v>#N/A</v>
        <stp/>
        <stp>BDH|8587043617124432095</stp>
        <tr r="Q20" s="24"/>
      </tp>
      <tp t="e">
        <v>#N/A</v>
        <stp/>
        <stp>BDH|5973348161558054573</stp>
        <tr r="Y152" s="18"/>
      </tp>
      <tp t="e">
        <v>#N/A</v>
        <stp/>
        <stp>BDH|2004689432478045216</stp>
        <tr r="C31" s="17"/>
      </tp>
      <tp t="e">
        <v>#N/A</v>
        <stp/>
        <stp>BDH|9860082298834313903</stp>
        <tr r="V29" s="18"/>
      </tp>
      <tp t="e">
        <v>#N/A</v>
        <stp/>
        <stp>BDH|7915921289069335292</stp>
        <tr r="M75" s="34"/>
      </tp>
      <tp t="e">
        <v>#N/A</v>
        <stp/>
        <stp>BDH|8824612350014543245</stp>
        <tr r="O10" s="21"/>
      </tp>
      <tp t="e">
        <v>#N/A</v>
        <stp/>
        <stp>BDH|5956293067745891979</stp>
        <tr r="Q25" s="29"/>
        <tr r="Q19" s="29"/>
        <tr r="Q10" s="29"/>
        <tr r="O6" s="9"/>
        <tr r="Q12" s="8"/>
        <tr r="O6" s="5"/>
        <tr r="P6" s="2"/>
      </tp>
      <tp t="e">
        <v>#N/A</v>
        <stp/>
        <stp>BDH|2059184983444674252</stp>
        <tr r="W37" s="21"/>
      </tp>
      <tp t="e">
        <v>#N/A</v>
        <stp/>
        <stp>BDH|1559215390273459484</stp>
        <tr r="Z16" s="23"/>
      </tp>
      <tp t="e">
        <v>#N/A</v>
        <stp/>
        <stp>BDH|7392839533100917123</stp>
        <tr r="D49" s="17"/>
      </tp>
      <tp t="e">
        <v>#N/A</v>
        <stp/>
        <stp>BDH|6667401601168816774</stp>
        <tr r="S127" s="12"/>
      </tp>
      <tp t="e">
        <v>#N/A</v>
        <stp/>
        <stp>BDH|9416140266327625483</stp>
        <tr r="V24" s="20"/>
      </tp>
      <tp t="e">
        <v>#N/A</v>
        <stp/>
        <stp>BDH|9419627029581277156</stp>
        <tr r="K29" s="22"/>
      </tp>
      <tp t="e">
        <v>#N/A</v>
        <stp/>
        <stp>BDH|5223862112924622589</stp>
        <tr r="V48" s="6"/>
      </tp>
      <tp t="e">
        <v>#N/A</v>
        <stp/>
        <stp>BDH|1815823207221606535</stp>
        <tr r="R11" s="17"/>
      </tp>
      <tp t="e">
        <v>#N/A</v>
        <stp/>
        <stp>BDH|5369075602169617186</stp>
        <tr r="S56" s="18"/>
      </tp>
      <tp t="e">
        <v>#N/A</v>
        <stp/>
        <stp>BDH|4050282483053528060</stp>
        <tr r="W14" s="20"/>
        <tr r="W123" s="18"/>
      </tp>
      <tp t="e">
        <v>#N/A</v>
        <stp/>
        <stp>BDH|5254069816951260887</stp>
        <tr r="M13" s="20"/>
        <tr r="M122" s="18"/>
      </tp>
      <tp t="e">
        <v>#N/A</v>
        <stp/>
        <stp>BDH|5991956512767396756</stp>
        <tr r="M55" s="34"/>
      </tp>
      <tp t="e">
        <v>#N/A</v>
        <stp/>
        <stp>BDH|4119557333386871975</stp>
        <tr r="U29" s="18"/>
      </tp>
      <tp t="e">
        <v>#N/A</v>
        <stp/>
        <stp>BDH|9927887839408217727</stp>
        <tr r="K31" s="9"/>
      </tp>
      <tp t="e">
        <v>#N/A</v>
        <stp/>
        <stp>BDH|9929285071158044985</stp>
        <tr r="E156" s="18"/>
      </tp>
      <tp t="e">
        <v>#N/A</v>
        <stp/>
        <stp>BDH|4707165502301357985</stp>
        <tr r="M197" s="18"/>
      </tp>
      <tp t="e">
        <v>#N/A</v>
        <stp/>
        <stp>BDH|5148617545933858959</stp>
        <tr r="H41" s="12"/>
      </tp>
      <tp t="e">
        <v>#N/A</v>
        <stp/>
        <stp>BDH|7956216725812158848</stp>
        <tr r="O18" s="18"/>
      </tp>
      <tp t="e">
        <v>#N/A</v>
        <stp/>
        <stp>BDH|8363601225289601883</stp>
        <tr r="T43" s="22"/>
      </tp>
      <tp t="e">
        <v>#N/A</v>
        <stp/>
        <stp>BDH|3337932024372927759</stp>
        <tr r="U20" s="29"/>
      </tp>
      <tp t="e">
        <v>#N/A</v>
        <stp/>
        <stp>BDH|8167850647071982826</stp>
        <tr r="P85" s="17"/>
        <tr r="N6" s="7"/>
        <tr r="P20" s="3"/>
      </tp>
      <tp t="e">
        <v>#N/A</v>
        <stp/>
        <stp>BDH|4196125331052271983</stp>
        <tr r="D73" s="24"/>
      </tp>
      <tp t="e">
        <v>#N/A</v>
        <stp/>
        <stp>BDH|7237597627668024548</stp>
        <tr r="W44" s="6"/>
      </tp>
      <tp t="e">
        <v>#N/A</v>
        <stp/>
        <stp>BDH|8420293946143016039</stp>
        <tr r="C143" s="18"/>
      </tp>
      <tp t="e">
        <v>#N/A</v>
        <stp/>
        <stp>BDH|1625427598029782836</stp>
        <tr r="W25" s="24"/>
      </tp>
      <tp t="e">
        <v>#N/A</v>
        <stp/>
        <stp>BDH|1693245209528663654</stp>
        <tr r="J75" s="12"/>
      </tp>
      <tp t="e">
        <v>#N/A</v>
        <stp/>
        <stp>BDH|5971941854305198107</stp>
        <tr r="H8" s="6"/>
      </tp>
      <tp t="e">
        <v>#N/A</v>
        <stp/>
        <stp>BDH|8132385826630087473</stp>
        <tr r="U23" s="12"/>
      </tp>
      <tp t="e">
        <v>#N/A</v>
        <stp/>
        <stp>BDH|4707177417539718088</stp>
        <tr r="P17" s="14"/>
      </tp>
      <tp t="e">
        <v>#N/A</v>
        <stp/>
        <stp>BDH|5858694878239783061</stp>
        <tr r="F33" s="21"/>
      </tp>
      <tp t="e">
        <v>#N/A</v>
        <stp/>
        <stp>BDH|7642179188285549641</stp>
        <tr r="J7" s="34"/>
      </tp>
      <tp t="e">
        <v>#N/A</v>
        <stp/>
        <stp>BDH|7681992816524928687</stp>
        <tr r="X139" s="18"/>
      </tp>
      <tp t="e">
        <v>#N/A</v>
        <stp/>
        <stp>BDH|7689692997742690769</stp>
        <tr r="N94" s="24"/>
      </tp>
      <tp t="e">
        <v>#N/A</v>
        <stp/>
        <stp>BDH|8995438165851355641</stp>
        <tr r="N31" s="12"/>
      </tp>
      <tp t="e">
        <v>#N/A</v>
        <stp/>
        <stp>BDH|6391220566038601794</stp>
        <tr r="M10" s="26"/>
      </tp>
      <tp t="e">
        <v>#N/A</v>
        <stp/>
        <stp>BDH|6223484094926066064</stp>
        <tr r="AA16" s="22"/>
      </tp>
      <tp t="e">
        <v>#N/A</v>
        <stp/>
        <stp>BDH|2621487420648287147</stp>
        <tr r="Y135" s="18"/>
      </tp>
      <tp t="e">
        <v>#N/A</v>
        <stp/>
        <stp>BDH|5192520603479033482</stp>
        <tr r="T9" s="17"/>
      </tp>
      <tp t="e">
        <v>#N/A</v>
        <stp/>
        <stp>BDH|6670493394851566766</stp>
        <tr r="M22" s="11"/>
      </tp>
      <tp t="e">
        <v>#N/A</v>
        <stp/>
        <stp>BDH|8468586748694506099</stp>
        <tr r="Q23" s="20"/>
      </tp>
      <tp t="e">
        <v>#N/A</v>
        <stp/>
        <stp>BDH|8908824270328519269</stp>
        <tr r="M9" s="26"/>
      </tp>
      <tp t="e">
        <v>#N/A</v>
        <stp/>
        <stp>BDH|2838384193194218198</stp>
        <tr r="E45" s="34"/>
      </tp>
      <tp t="e">
        <v>#N/A</v>
        <stp/>
        <stp>BDH|9355621884572463899</stp>
        <tr r="H58" s="13"/>
        <tr r="F47" s="11"/>
        <tr r="F56" s="10"/>
        <tr r="F17" s="7"/>
        <tr r="F17" s="4"/>
        <tr r="H10" s="3"/>
      </tp>
      <tp t="e">
        <v>#N/A</v>
        <stp/>
        <stp>BDH|9608094122415173356</stp>
        <tr r="C78" s="12"/>
      </tp>
      <tp t="e">
        <v>#N/A</v>
        <stp/>
        <stp>BDH|8409846708099030415</stp>
        <tr r="V43" s="6"/>
      </tp>
      <tp t="e">
        <v>#N/A</v>
        <stp/>
        <stp>BDH|9482590944980570556</stp>
        <tr r="M80" s="24"/>
      </tp>
      <tp t="e">
        <v>#N/A</v>
        <stp/>
        <stp>BDH|1134710062614368983</stp>
        <tr r="N34" s="14"/>
      </tp>
      <tp t="e">
        <v>#N/A</v>
        <stp/>
        <stp>BDH|3862711366179376652</stp>
        <tr r="I13" s="30"/>
      </tp>
      <tp t="e">
        <v>#N/A</v>
        <stp/>
        <stp>BDH|1453601889243637126</stp>
        <tr r="U8" s="14"/>
      </tp>
      <tp t="e">
        <v>#N/A</v>
        <stp/>
        <stp>BDH|1125924910262340693</stp>
        <tr r="I68" s="18"/>
      </tp>
      <tp t="e">
        <v>#N/A</v>
        <stp/>
        <stp>BDH|5848156282505640400</stp>
        <tr r="I7" s="28"/>
      </tp>
      <tp t="e">
        <v>#N/A</v>
        <stp/>
        <stp>BDH|4094984447460632408</stp>
        <tr r="S212" s="18"/>
      </tp>
      <tp t="e">
        <v>#N/A</v>
        <stp/>
        <stp>BDH|7320437636534925960</stp>
        <tr r="K188" s="18"/>
      </tp>
      <tp t="e">
        <v>#N/A</v>
        <stp/>
        <stp>BDH|9813048904942874695</stp>
        <tr r="M33" s="9"/>
      </tp>
      <tp t="e">
        <v>#N/A</v>
        <stp/>
        <stp>BDH|9950129764490224348</stp>
        <tr r="X10" s="12"/>
      </tp>
      <tp t="e">
        <v>#N/A</v>
        <stp/>
        <stp>BDH|6770138678418183546</stp>
        <tr r="H13" s="2"/>
      </tp>
      <tp t="e">
        <v>#N/A</v>
        <stp/>
        <stp>BDH|2756057526798852555</stp>
        <tr r="C11" s="10"/>
        <tr r="C14" s="2"/>
      </tp>
      <tp t="e">
        <v>#N/A</v>
        <stp/>
        <stp>BDH|8766660109441230235</stp>
        <tr r="X130" s="18"/>
      </tp>
      <tp t="e">
        <v>#N/A</v>
        <stp/>
        <stp>BDH|8467197066250442260</stp>
        <tr r="V8" s="28"/>
      </tp>
      <tp t="e">
        <v>#N/A</v>
        <stp/>
        <stp>BDH|9397541257736099291</stp>
        <tr r="T10" s="17"/>
      </tp>
      <tp t="e">
        <v>#N/A</v>
        <stp/>
        <stp>BDH|6489952171143857619</stp>
        <tr r="S64" s="12"/>
      </tp>
      <tp t="e">
        <v>#N/A</v>
        <stp/>
        <stp>BDH|9929460457281000416</stp>
        <tr r="K11" s="18"/>
      </tp>
      <tp t="e">
        <v>#N/A</v>
        <stp/>
        <stp>BDH|5914074595299639842</stp>
        <tr r="L96" s="18"/>
      </tp>
      <tp t="e">
        <v>#N/A</v>
        <stp/>
        <stp>BDH|3410670792766919711</stp>
        <tr r="Q59" s="18"/>
      </tp>
      <tp t="e">
        <v>#N/A</v>
        <stp/>
        <stp>BDH|1297237443393933928</stp>
        <tr r="C17" s="12"/>
      </tp>
      <tp t="e">
        <v>#N/A</v>
        <stp/>
        <stp>BDH|7105941338260221068</stp>
        <tr r="S27" s="14"/>
      </tp>
      <tp t="e">
        <v>#N/A</v>
        <stp/>
        <stp>BDH|3023913439927588349</stp>
        <tr r="H77" s="12"/>
      </tp>
      <tp t="e">
        <v>#N/A</v>
        <stp/>
        <stp>BDH|8071993784236368279</stp>
        <tr r="T46" s="13"/>
      </tp>
      <tp t="e">
        <v>#N/A</v>
        <stp/>
        <stp>BDH|6134991832675148428</stp>
        <tr r="R163" s="18"/>
      </tp>
      <tp t="e">
        <v>#N/A</v>
        <stp/>
        <stp>BDH|7163347784955009483</stp>
        <tr r="N74" s="12"/>
      </tp>
      <tp t="e">
        <v>#N/A</v>
        <stp/>
        <stp>BDH|3131429099685210617</stp>
        <tr r="W49" s="24"/>
      </tp>
      <tp t="e">
        <v>#N/A</v>
        <stp/>
        <stp>BDH|9493439519949727806</stp>
        <tr r="E82" s="18"/>
      </tp>
      <tp t="e">
        <v>#N/A</v>
        <stp/>
        <stp>BDH|7689137421288444194</stp>
        <tr r="Y75" s="34"/>
      </tp>
      <tp t="e">
        <v>#N/A</v>
        <stp/>
        <stp>BDH|4198933461063978530</stp>
        <tr r="E61" s="18"/>
      </tp>
      <tp t="e">
        <v>#N/A</v>
        <stp/>
        <stp>BDH|5087881801845983594</stp>
        <tr r="C36" s="21"/>
      </tp>
      <tp t="e">
        <v>#N/A</v>
        <stp/>
        <stp>BDH|6073108295995538699</stp>
        <tr r="I62" s="17"/>
      </tp>
      <tp t="e">
        <v>#N/A</v>
        <stp/>
        <stp>BDH|1843797309659014218</stp>
        <tr r="C73" s="34"/>
      </tp>
      <tp t="e">
        <v>#N/A</v>
        <stp/>
        <stp>BDH|9153306340411998212</stp>
        <tr r="Y34" s="11"/>
        <tr r="Y43" s="10"/>
      </tp>
      <tp t="e">
        <v>#N/A</v>
        <stp/>
        <stp>BDH|9644690035240095130</stp>
        <tr r="T27" s="26"/>
      </tp>
      <tp t="e">
        <v>#N/A</v>
        <stp/>
        <stp>BDH|6172269170529733796</stp>
        <tr r="L35" s="12"/>
      </tp>
      <tp t="e">
        <v>#N/A</v>
        <stp/>
        <stp>BDH|9269560328353530008</stp>
        <tr r="D57" s="12"/>
      </tp>
      <tp t="e">
        <v>#N/A</v>
        <stp/>
        <stp>BDH|3868648903508729017</stp>
        <tr r="Q167" s="18"/>
      </tp>
      <tp t="e">
        <v>#N/A</v>
        <stp/>
        <stp>BDH|6725950465515032195</stp>
        <tr r="K19" s="11"/>
      </tp>
      <tp t="e">
        <v>#N/A</v>
        <stp/>
        <stp>BDH|6637845911805471798</stp>
        <tr r="I78" s="17"/>
      </tp>
      <tp t="e">
        <v>#N/A</v>
        <stp/>
        <stp>BDH|3430425783696344485</stp>
        <tr r="K42" s="34"/>
      </tp>
      <tp t="e">
        <v>#N/A</v>
        <stp/>
        <stp>BDH|8460160449221443110</stp>
        <tr r="AA28" s="24"/>
      </tp>
      <tp t="e">
        <v>#N/A</v>
        <stp/>
        <stp>BDH|3373099483505197362</stp>
        <tr r="M20" s="10"/>
      </tp>
      <tp t="e">
        <v>#N/A</v>
        <stp/>
        <stp>BDH|8878933328606818853</stp>
        <tr r="C62" s="18"/>
      </tp>
      <tp t="e">
        <v>#N/A</v>
        <stp/>
        <stp>BDH|1471868937361972628</stp>
        <tr r="C64" s="13"/>
      </tp>
      <tp t="e">
        <v>#N/A</v>
        <stp/>
        <stp>BDH|1612854045288856801</stp>
        <tr r="V23" s="13"/>
      </tp>
      <tp t="e">
        <v>#N/A</v>
        <stp/>
        <stp>BDH|9774277981407971961</stp>
        <tr r="O44" s="11"/>
        <tr r="O53" s="10"/>
        <tr r="O16" s="7"/>
      </tp>
      <tp t="e">
        <v>#N/A</v>
        <stp/>
        <stp>BDH|9719786108835842619</stp>
        <tr r="Z26" s="17"/>
      </tp>
      <tp t="e">
        <v>#N/A</v>
        <stp/>
        <stp>BDH|5396085454855893898</stp>
        <tr r="F42" s="24"/>
      </tp>
      <tp t="e">
        <v>#N/A</v>
        <stp/>
        <stp>BDH|3546138202319820628</stp>
        <tr r="Y25" s="7"/>
      </tp>
      <tp t="e">
        <v>#N/A</v>
        <stp/>
        <stp>BDH|3636919088457133808</stp>
        <tr r="J18" s="17"/>
      </tp>
      <tp t="e">
        <v>#N/A</v>
        <stp/>
        <stp>BDH|1633981505211075452</stp>
        <tr r="Q34" s="34"/>
      </tp>
      <tp t="e">
        <v>#N/A</v>
        <stp/>
        <stp>BDH|1732231341148370283</stp>
        <tr r="T32" s="26"/>
      </tp>
      <tp t="e">
        <v>#N/A</v>
        <stp/>
        <stp>BDH|7152482566019911181</stp>
        <tr r="P22" s="12"/>
      </tp>
      <tp t="e">
        <v>#N/A</v>
        <stp/>
        <stp>BDH|8306967945538663083</stp>
        <tr r="P24" s="5"/>
      </tp>
      <tp t="e">
        <v>#N/A</v>
        <stp/>
        <stp>BDH|2268631845628879521</stp>
        <tr r="K55" s="24"/>
      </tp>
      <tp t="e">
        <v>#N/A</v>
        <stp/>
        <stp>BDH|9113896634039023623</stp>
        <tr r="K69" s="10"/>
      </tp>
      <tp t="e">
        <v>#N/A</v>
        <stp/>
        <stp>BDH|9204382198449922752</stp>
        <tr r="P205" s="18"/>
      </tp>
      <tp t="e">
        <v>#N/A</v>
        <stp/>
        <stp>BDH|5185847228885544765</stp>
        <tr r="L9" s="23"/>
      </tp>
      <tp t="e">
        <v>#N/A</v>
        <stp/>
        <stp>BDH|8168257139882295619</stp>
        <tr r="S56" s="34"/>
      </tp>
      <tp t="e">
        <v>#N/A</v>
        <stp/>
        <stp>BDH|8292444241132117784</stp>
        <tr r="H34" s="6"/>
      </tp>
      <tp t="e">
        <v>#N/A</v>
        <stp/>
        <stp>BDH|4313171998450448169</stp>
        <tr r="Y23" s="26"/>
      </tp>
      <tp t="e">
        <v>#N/A</v>
        <stp/>
        <stp>BDH|4563987004950041075</stp>
        <tr r="V18" s="18"/>
      </tp>
      <tp t="e">
        <v>#N/A</v>
        <stp/>
        <stp>BDH|9129439762725623387</stp>
        <tr r="O201" s="18"/>
      </tp>
      <tp t="e">
        <v>#N/A</v>
        <stp/>
        <stp>BDH|6976248515519512133</stp>
        <tr r="T106" s="12"/>
      </tp>
      <tp t="e">
        <v>#N/A</v>
        <stp/>
        <stp>BDH|3857949091119358700</stp>
        <tr r="J25" s="13"/>
      </tp>
      <tp t="e">
        <v>#N/A</v>
        <stp/>
        <stp>BDH|7123559391834329289</stp>
        <tr r="H79" s="34"/>
      </tp>
      <tp t="e">
        <v>#N/A</v>
        <stp/>
        <stp>BDH|6483061748348184759</stp>
        <tr r="Q65" s="12"/>
      </tp>
      <tp t="e">
        <v>#N/A</v>
        <stp/>
        <stp>BDH|8975748636521719020</stp>
        <tr r="R70" s="18"/>
      </tp>
      <tp t="e">
        <v>#N/A</v>
        <stp/>
        <stp>BDH|1661229828985726959</stp>
        <tr r="Z9" s="24"/>
      </tp>
      <tp t="e">
        <v>#N/A</v>
        <stp/>
        <stp>BDH|7185729991283483786</stp>
        <tr r="V75" s="34"/>
      </tp>
      <tp t="e">
        <v>#N/A</v>
        <stp/>
        <stp>BDH|7286825758256045166</stp>
        <tr r="X6" s="20"/>
        <tr r="X116" s="18"/>
      </tp>
      <tp t="e">
        <v>#N/A</v>
        <stp/>
        <stp>BDH|5488190427428317370</stp>
        <tr r="K13" s="13"/>
      </tp>
      <tp t="e">
        <v>#N/A</v>
        <stp/>
        <stp>BDH|9261395773465737518</stp>
        <tr r="D6" s="27"/>
      </tp>
      <tp t="e">
        <v>#N/A</v>
        <stp/>
        <stp>BDH|5667206595564472783</stp>
        <tr r="F124" s="18"/>
      </tp>
      <tp t="e">
        <v>#N/A</v>
        <stp/>
        <stp>BDH|3480985834165098175</stp>
        <tr r="C22" s="4"/>
      </tp>
      <tp t="e">
        <v>#N/A</v>
        <stp/>
        <stp>BDH|2677142050683448897</stp>
        <tr r="O21" s="14"/>
      </tp>
      <tp t="e">
        <v>#N/A</v>
        <stp/>
        <stp>BDH|9821095155774275597</stp>
        <tr r="X27" s="21"/>
      </tp>
      <tp t="e">
        <v>#N/A</v>
        <stp/>
        <stp>BDH|4717889790329298122</stp>
        <tr r="G190" s="18"/>
      </tp>
      <tp t="e">
        <v>#N/A</v>
        <stp/>
        <stp>BDH|9350450216739745885</stp>
        <tr r="D78" s="18"/>
      </tp>
      <tp t="e">
        <v>#N/A</v>
        <stp/>
        <stp>BDH|3533049329439685515</stp>
        <tr r="T10" s="12"/>
      </tp>
      <tp t="e">
        <v>#N/A</v>
        <stp/>
        <stp>BDH|5252304485431066280</stp>
        <tr r="G25" s="13"/>
      </tp>
      <tp t="e">
        <v>#N/A</v>
        <stp/>
        <stp>BDH|8678790530730903193</stp>
        <tr r="P165" s="18"/>
      </tp>
      <tp t="e">
        <v>#N/A</v>
        <stp/>
        <stp>BDH|7243988518895910746</stp>
        <tr r="Z72" s="18"/>
      </tp>
      <tp t="e">
        <v>#N/A</v>
        <stp/>
        <stp>BDH|7572935905201901253</stp>
        <tr r="G25" s="26"/>
      </tp>
      <tp t="e">
        <v>#N/A</v>
        <stp/>
        <stp>BDH|4852351494126659502</stp>
        <tr r="E78" s="24"/>
      </tp>
      <tp t="e">
        <v>#N/A</v>
        <stp/>
        <stp>BDH|3800857561073616353</stp>
        <tr r="X86" s="18"/>
      </tp>
      <tp t="e">
        <v>#N/A</v>
        <stp/>
        <stp>BDH|1840578951904249834</stp>
        <tr r="K137" s="18"/>
      </tp>
      <tp t="e">
        <v>#N/A</v>
        <stp/>
        <stp>BDH|9936706286289521250</stp>
        <tr r="T42" s="12"/>
      </tp>
      <tp t="e">
        <v>#N/A</v>
        <stp/>
        <stp>BDH|7111632859518034142</stp>
        <tr r="U20" s="18"/>
      </tp>
      <tp t="e">
        <v>#N/A</v>
        <stp/>
        <stp>BDH|5831462476768317341</stp>
        <tr r="R9" s="24"/>
      </tp>
      <tp t="e">
        <v>#N/A</v>
        <stp/>
        <stp>BDH|6317741032169325695</stp>
        <tr r="U48" s="17"/>
      </tp>
      <tp t="e">
        <v>#N/A</v>
        <stp/>
        <stp>BDH|2231594904259863385</stp>
        <tr r="M24" s="9"/>
      </tp>
      <tp t="e">
        <v>#N/A</v>
        <stp/>
        <stp>BDH|4391893056384596066</stp>
        <tr r="R19" s="26"/>
      </tp>
      <tp t="e">
        <v>#N/A</v>
        <stp/>
        <stp>BDH|3140676878619896694</stp>
        <tr r="AA105" s="18"/>
      </tp>
      <tp t="e">
        <v>#N/A</v>
        <stp/>
        <stp>BDH|2993084365101360882</stp>
        <tr r="K23" s="13"/>
      </tp>
      <tp t="e">
        <v>#N/A</v>
        <stp/>
        <stp>BDH|3528170505228807708</stp>
        <tr r="L8" s="17"/>
      </tp>
      <tp t="e">
        <v>#N/A</v>
        <stp/>
        <stp>BDH|2943048082641461647</stp>
        <tr r="H105" s="12"/>
      </tp>
      <tp t="e">
        <v>#N/A</v>
        <stp/>
        <stp>BDH|2476397315289797400</stp>
        <tr r="M54" s="24"/>
      </tp>
      <tp t="e">
        <v>#N/A</v>
        <stp/>
        <stp>BDH|3622371198451156578</stp>
        <tr r="T23" s="6"/>
      </tp>
      <tp t="e">
        <v>#N/A</v>
        <stp/>
        <stp>BDH|3401038397550949763</stp>
        <tr r="H42" s="18"/>
      </tp>
      <tp t="e">
        <v>#N/A</v>
        <stp/>
        <stp>BDH|7080141875448903477</stp>
        <tr r="L25" s="3"/>
      </tp>
      <tp t="e">
        <v>#N/A</v>
        <stp/>
        <stp>BDH|8521090529202955539</stp>
        <tr r="S42" s="12"/>
      </tp>
      <tp t="e">
        <v>#N/A</v>
        <stp/>
        <stp>BDH|1173989331375146366</stp>
        <tr r="G77" s="18"/>
      </tp>
      <tp t="e">
        <v>#N/A</v>
        <stp/>
        <stp>BDH|6700985207005757731</stp>
        <tr r="K26" s="7"/>
      </tp>
      <tp t="e">
        <v>#N/A</v>
        <stp/>
        <stp>BDH|3763252246099805105</stp>
        <tr r="D70" s="17"/>
        <tr r="D18" s="3"/>
      </tp>
      <tp t="e">
        <v>#N/A</v>
        <stp/>
        <stp>BDH|6962643891541387539</stp>
        <tr r="U25" s="11"/>
        <tr r="U34" s="10"/>
      </tp>
      <tp t="e">
        <v>#N/A</v>
        <stp/>
        <stp>BDH|8239834659029334175</stp>
        <tr r="O46" s="22"/>
      </tp>
      <tp t="e">
        <v>#N/A</v>
        <stp/>
        <stp>BDH|5215246542788845604</stp>
        <tr r="AA181" s="18"/>
      </tp>
      <tp t="e">
        <v>#N/A</v>
        <stp/>
        <stp>BDH|2162605070726909844</stp>
        <tr r="G64" s="10"/>
      </tp>
      <tp t="e">
        <v>#N/A</v>
        <stp/>
        <stp>BDH|2642721681099934906</stp>
        <tr r="V33" s="21"/>
      </tp>
      <tp t="e">
        <v>#N/A</v>
        <stp/>
        <stp>BDH|5678987661220227710</stp>
        <tr r="M36" s="34"/>
      </tp>
      <tp t="e">
        <v>#N/A</v>
        <stp/>
        <stp>BDH|2710843169965313459</stp>
        <tr r="J189" s="18"/>
      </tp>
      <tp t="e">
        <v>#N/A</v>
        <stp/>
        <stp>BDH|4179470023156079992</stp>
        <tr r="E50" s="13"/>
      </tp>
      <tp t="e">
        <v>#N/A</v>
        <stp/>
        <stp>BDH|6112884352602782408</stp>
        <tr r="C41" s="29"/>
        <tr r="C18" s="29"/>
      </tp>
      <tp t="e">
        <v>#N/A</v>
        <stp/>
        <stp>BDH|6716439109887306823</stp>
        <tr r="W120" s="12"/>
      </tp>
      <tp t="e">
        <v>#N/A</v>
        <stp/>
        <stp>BDH|2528597398646919510</stp>
        <tr r="P9" s="11"/>
      </tp>
      <tp t="e">
        <v>#N/A</v>
        <stp/>
        <stp>BDH|2651576200303428997</stp>
        <tr r="V8" s="11"/>
      </tp>
      <tp t="e">
        <v>#N/A</v>
        <stp/>
        <stp>BDH|8320623443230932774</stp>
        <tr r="Z57" s="17"/>
      </tp>
      <tp t="e">
        <v>#N/A</v>
        <stp/>
        <stp>BDH|6712946522232827253</stp>
        <tr r="X55" s="13"/>
        <tr r="V37" s="11"/>
        <tr r="V46" s="10"/>
        <tr r="V53" s="4"/>
        <tr r="V18" s="2"/>
      </tp>
      <tp t="e">
        <v>#N/A</v>
        <stp/>
        <stp>BDH|8247121933605771280</stp>
        <tr r="R43" s="12"/>
      </tp>
      <tp t="e">
        <v>#N/A</v>
        <stp/>
        <stp>BDH|6072641179503907984</stp>
        <tr r="O104" s="18"/>
      </tp>
      <tp t="e">
        <v>#N/A</v>
        <stp/>
        <stp>BDH|9860562100524636545</stp>
        <tr r="K208" s="18"/>
      </tp>
      <tp t="e">
        <v>#N/A</v>
        <stp/>
        <stp>BDH|9300647724899892971</stp>
        <tr r="R98" s="18"/>
      </tp>
      <tp t="e">
        <v>#N/A</v>
        <stp/>
        <stp>BDH|7300647958331461875</stp>
        <tr r="P68" s="13"/>
      </tp>
      <tp t="e">
        <v>#N/A</v>
        <stp/>
        <stp>BDH|9026708826862948330</stp>
        <tr r="O79" s="34"/>
      </tp>
      <tp t="e">
        <v>#N/A</v>
        <stp/>
        <stp>BDH|6913518190902769530</stp>
        <tr r="U10" s="14"/>
      </tp>
      <tp t="e">
        <v>#N/A</v>
        <stp/>
        <stp>BDH|7585853964420948412</stp>
        <tr r="W28" s="14"/>
      </tp>
      <tp t="e">
        <v>#N/A</v>
        <stp/>
        <stp>BDH|6331136019283095857</stp>
        <tr r="X40" s="13"/>
        <tr r="V24" s="10"/>
        <tr r="V46" s="4"/>
      </tp>
      <tp t="e">
        <v>#N/A</v>
        <stp/>
        <stp>BDH|3653194190951182728</stp>
        <tr r="X36" s="34"/>
      </tp>
      <tp t="e">
        <v>#N/A</v>
        <stp/>
        <stp>BDH|1986583148068118542</stp>
        <tr r="I19" s="12"/>
      </tp>
      <tp t="e">
        <v>#N/A</v>
        <stp/>
        <stp>BDH|3069913989447430809</stp>
        <tr r="U92" s="17"/>
      </tp>
      <tp t="e">
        <v>#N/A</v>
        <stp/>
        <stp>BDH|2390596784154134636</stp>
        <tr r="M193" s="18"/>
      </tp>
      <tp t="e">
        <v>#N/A</v>
        <stp/>
        <stp>BDH|8583790105403150143</stp>
        <tr r="O19" s="25"/>
      </tp>
      <tp t="e">
        <v>#N/A</v>
        <stp/>
        <stp>BDH|7859394350945827950</stp>
        <tr r="X89" s="18"/>
      </tp>
      <tp t="e">
        <v>#N/A</v>
        <stp/>
        <stp>BDH|4394349799214696746</stp>
        <tr r="W60" s="34"/>
      </tp>
      <tp t="e">
        <v>#N/A</v>
        <stp/>
        <stp>BDH|7350921847772866528</stp>
        <tr r="N21" s="11"/>
      </tp>
      <tp t="e">
        <v>#N/A</v>
        <stp/>
        <stp>BDH|5218211624458901029</stp>
        <tr r="F57" s="6"/>
      </tp>
      <tp t="e">
        <v>#N/A</v>
        <stp/>
        <stp>BDH|7275992744911494679</stp>
        <tr r="O24" s="17"/>
      </tp>
      <tp t="e">
        <v>#N/A</v>
        <stp/>
        <stp>BDH|8342508544352252696</stp>
        <tr r="P61" s="17"/>
      </tp>
      <tp t="e">
        <v>#N/A</v>
        <stp/>
        <stp>BDH|7192208458368493517</stp>
        <tr r="R44" s="18"/>
      </tp>
      <tp t="e">
        <v>#N/A</v>
        <stp/>
        <stp>BDH|9199685962380151466</stp>
        <tr r="C64" s="12"/>
      </tp>
      <tp t="e">
        <v>#N/A</v>
        <stp/>
        <stp>BDH|5093132871137763990</stp>
        <tr r="Z46" s="21"/>
      </tp>
      <tp t="e">
        <v>#N/A</v>
        <stp/>
        <stp>BDH|8994525548255861177</stp>
        <tr r="AA35" s="26"/>
      </tp>
      <tp t="e">
        <v>#N/A</v>
        <stp/>
        <stp>BDH|8025099814961680575</stp>
        <tr r="D13" s="20"/>
        <tr r="D122" s="18"/>
      </tp>
      <tp t="e">
        <v>#N/A</v>
        <stp/>
        <stp>BDH|8183293110770420600</stp>
        <tr r="H103" s="12"/>
      </tp>
      <tp t="e">
        <v>#N/A</v>
        <stp/>
        <stp>BDH|8537121631804204384</stp>
        <tr r="R7" s="23"/>
      </tp>
      <tp t="e">
        <v>#N/A</v>
        <stp/>
        <stp>BDH|4395601691036756093</stp>
        <tr r="D57" s="18"/>
      </tp>
      <tp t="e">
        <v>#N/A</v>
        <stp/>
        <stp>BDH|1027642544468535699</stp>
        <tr r="X24" s="24"/>
      </tp>
      <tp t="e">
        <v>#N/A</v>
        <stp/>
        <stp>BDH|6302520998804478311</stp>
        <tr r="D63" s="21"/>
      </tp>
      <tp t="e">
        <v>#N/A</v>
        <stp/>
        <stp>BDH|2716840338270798404</stp>
        <tr r="O30" s="24"/>
      </tp>
      <tp t="e">
        <v>#N/A</v>
        <stp/>
        <stp>BDH|7319882850345671206</stp>
        <tr r="R58" s="24"/>
      </tp>
      <tp t="e">
        <v>#N/A</v>
        <stp/>
        <stp>BDH|5653309093833150191</stp>
        <tr r="AA83" s="24"/>
      </tp>
      <tp t="e">
        <v>#N/A</v>
        <stp/>
        <stp>BDH|6230490131414472833</stp>
        <tr r="Z100" s="12"/>
      </tp>
      <tp t="e">
        <v>#N/A</v>
        <stp/>
        <stp>BDH|5483489483567409367</stp>
        <tr r="V166" s="18"/>
      </tp>
      <tp t="e">
        <v>#N/A</v>
        <stp/>
        <stp>BDH|8957406599758908046</stp>
        <tr r="J26" s="11"/>
        <tr r="J35" s="10"/>
      </tp>
      <tp t="e">
        <v>#N/A</v>
        <stp/>
        <stp>BDH|6825247676178663617</stp>
        <tr r="U98" s="12"/>
      </tp>
      <tp t="e">
        <v>#N/A</v>
        <stp/>
        <stp>BDH|1457485193224154532</stp>
        <tr r="K47" s="6"/>
      </tp>
      <tp t="e">
        <v>#N/A</v>
        <stp/>
        <stp>BDH|9631693077252601735</stp>
        <tr r="J29" s="22"/>
      </tp>
      <tp t="e">
        <v>#N/A</v>
        <stp/>
        <stp>BDH|9036884094317550246</stp>
        <tr r="P196" s="18"/>
      </tp>
      <tp t="e">
        <v>#N/A</v>
        <stp/>
        <stp>BDH|7376792087135804083</stp>
        <tr r="G80" s="17"/>
        <tr r="G19" s="3"/>
      </tp>
      <tp t="e">
        <v>#N/A</v>
        <stp/>
        <stp>BDH|4025466960882936928</stp>
        <tr r="R20" s="22"/>
      </tp>
      <tp t="e">
        <v>#N/A</v>
        <stp/>
        <stp>BDH|3779129989364229338</stp>
        <tr r="K39" s="11"/>
        <tr r="K27" s="11"/>
        <tr r="K48" s="10"/>
        <tr r="K36" s="10"/>
      </tp>
      <tp t="e">
        <v>#N/A</v>
        <stp/>
        <stp>BDH|8756680510687366513</stp>
        <tr r="L74" s="18"/>
      </tp>
      <tp t="e">
        <v>#N/A</v>
        <stp/>
        <stp>BDH|2951870681836713955</stp>
        <tr r="I12" s="22"/>
      </tp>
      <tp t="e">
        <v>#N/A</v>
        <stp/>
        <stp>BDH|5362641624959673580</stp>
        <tr r="E28" s="24"/>
      </tp>
      <tp t="e">
        <v>#N/A</v>
        <stp/>
        <stp>BDH|2285399902929156554</stp>
        <tr r="C62" s="11"/>
        <tr r="C71" s="10"/>
      </tp>
      <tp t="e">
        <v>#N/A</v>
        <stp/>
        <stp>BDH|5554594095617663329</stp>
        <tr r="L76" s="17"/>
      </tp>
      <tp t="e">
        <v>#N/A</v>
        <stp/>
        <stp>BDH|9807402912119388843</stp>
        <tr r="K38" s="29"/>
        <tr r="K15" s="29"/>
      </tp>
      <tp t="e">
        <v>#N/A</v>
        <stp/>
        <stp>BDH|8392871056340943864</stp>
        <tr r="D80" s="12"/>
      </tp>
      <tp t="e">
        <v>#N/A</v>
        <stp/>
        <stp>BDH|6587951648526726024</stp>
        <tr r="I38" s="29"/>
        <tr r="I15" s="29"/>
      </tp>
      <tp t="e">
        <v>#N/A</v>
        <stp/>
        <stp>BDH|3940550413732285801</stp>
        <tr r="D38" s="29"/>
        <tr r="D15" s="29"/>
      </tp>
      <tp t="e">
        <v>#N/A</v>
        <stp/>
        <stp>BDH|8864283315094974218</stp>
        <tr r="V42" s="21"/>
      </tp>
      <tp t="e">
        <v>#N/A</v>
        <stp/>
        <stp>BDH|7981731478118801275</stp>
        <tr r="M27" s="13"/>
      </tp>
      <tp t="e">
        <v>#N/A</v>
        <stp/>
        <stp>BDH|4553229189427766443</stp>
        <tr r="I22" s="10"/>
      </tp>
      <tp t="e">
        <v>#N/A</v>
        <stp/>
        <stp>BDH|7863863566484048058</stp>
        <tr r="G6" s="28"/>
      </tp>
      <tp t="e">
        <v>#N/A</v>
        <stp/>
        <stp>BDH|1340690003742476808</stp>
        <tr r="R9" s="25"/>
        <tr r="R44" s="17"/>
      </tp>
      <tp t="e">
        <v>#N/A</v>
        <stp/>
        <stp>BDH|5464076926742885800</stp>
        <tr r="Q32" s="18"/>
      </tp>
      <tp t="e">
        <v>#N/A</v>
        <stp/>
        <stp>BDH|1260327619446096842</stp>
        <tr r="K103" s="18"/>
      </tp>
      <tp t="e">
        <v>#N/A</v>
        <stp/>
        <stp>BDH|1857231846298515259</stp>
        <tr r="AA126" s="18"/>
      </tp>
      <tp t="e">
        <v>#N/A</v>
        <stp/>
        <stp>BDH|1678835630650836709</stp>
        <tr r="W64" s="17"/>
      </tp>
      <tp t="e">
        <v>#N/A</v>
        <stp/>
        <stp>BDH|3384850098558885744</stp>
        <tr r="I82" s="18"/>
      </tp>
      <tp t="e">
        <v>#N/A</v>
        <stp/>
        <stp>BDH|8744481389741357876</stp>
        <tr r="G50" s="13"/>
      </tp>
      <tp t="e">
        <v>#N/A</v>
        <stp/>
        <stp>BDH|2626704283946570629</stp>
        <tr r="L103" s="12"/>
      </tp>
      <tp t="e">
        <v>#N/A</v>
        <stp/>
        <stp>BDH|7294728907285529800</stp>
        <tr r="O35" s="24"/>
      </tp>
      <tp t="e">
        <v>#N/A</v>
        <stp/>
        <stp>BDH|9084474534702638178</stp>
        <tr r="I180" s="18"/>
      </tp>
      <tp t="e">
        <v>#N/A</v>
        <stp/>
        <stp>BDH|3652341567118562320</stp>
        <tr r="L90" s="12"/>
      </tp>
      <tp t="e">
        <v>#N/A</v>
        <stp/>
        <stp>BDH|6364446484153540446</stp>
        <tr r="Z94" s="12"/>
      </tp>
      <tp t="e">
        <v>#N/A</v>
        <stp/>
        <stp>BDH|8655448326550796312</stp>
        <tr r="E43" s="12"/>
      </tp>
      <tp t="e">
        <v>#N/A</v>
        <stp/>
        <stp>BDH|9025507369242924526</stp>
        <tr r="O74" s="12"/>
      </tp>
      <tp t="e">
        <v>#N/A</v>
        <stp/>
        <stp>BDH|6674555763710015827</stp>
        <tr r="X14" s="10"/>
      </tp>
      <tp t="e">
        <v>#N/A</v>
        <stp/>
        <stp>BDH|6580767387557088361</stp>
        <tr r="V8" s="10"/>
      </tp>
      <tp t="e">
        <v>#N/A</v>
        <stp/>
        <stp>BDH|8877424000918009989</stp>
        <tr r="P9" s="21"/>
      </tp>
      <tp t="e">
        <v>#N/A</v>
        <stp/>
        <stp>BDH|9256907783732628754</stp>
        <tr r="R12" s="14"/>
      </tp>
      <tp t="e">
        <v>#N/A</v>
        <stp/>
        <stp>BDH|1337154847719605053</stp>
        <tr r="O10" s="17"/>
      </tp>
      <tp t="e">
        <v>#N/A</v>
        <stp/>
        <stp>BDH|2148076496157212100</stp>
        <tr r="W63" s="12"/>
      </tp>
      <tp t="e">
        <v>#N/A</v>
        <stp/>
        <stp>BDH|6082433135928707437</stp>
        <tr r="P164" s="18"/>
      </tp>
      <tp t="e">
        <v>#N/A</v>
        <stp/>
        <stp>BDH|4991887186779156049</stp>
        <tr r="P10" s="28"/>
      </tp>
      <tp t="e">
        <v>#N/A</v>
        <stp/>
        <stp>BDH|9380654443836379046</stp>
        <tr r="T46" s="18"/>
      </tp>
      <tp t="e">
        <v>#N/A</v>
        <stp/>
        <stp>BDH|6333661474262231817</stp>
        <tr r="C48" s="34"/>
      </tp>
      <tp t="e">
        <v>#N/A</v>
        <stp/>
        <stp>BDH|3569910313484060250</stp>
        <tr r="C67" s="34"/>
      </tp>
      <tp t="e">
        <v>#N/A</v>
        <stp/>
        <stp>BDH|7225944377023178725</stp>
        <tr r="G95" s="12"/>
      </tp>
      <tp t="e">
        <v>#N/A</v>
        <stp/>
        <stp>BDH|1381366225294794951</stp>
        <tr r="J10" s="21"/>
      </tp>
      <tp t="e">
        <v>#N/A</v>
        <stp/>
        <stp>BDH|6332406226688340543</stp>
        <tr r="I86" s="18"/>
      </tp>
      <tp t="e">
        <v>#N/A</v>
        <stp/>
        <stp>BDH|5436932804148373923</stp>
        <tr r="F15" s="30"/>
      </tp>
      <tp t="e">
        <v>#N/A</v>
        <stp/>
        <stp>BDH|1161267713467656807</stp>
        <tr r="AA19" s="34"/>
      </tp>
      <tp t="e">
        <v>#N/A</v>
        <stp/>
        <stp>BDH|2205287313028247494</stp>
        <tr r="S22" s="30"/>
        <tr r="S24" s="23"/>
      </tp>
      <tp t="e">
        <v>#N/A</v>
        <stp/>
        <stp>BDH|2818492712108363223</stp>
        <tr r="C62" s="17"/>
      </tp>
      <tp t="e">
        <v>#N/A</v>
        <stp/>
        <stp>BDH|7574251071787412877</stp>
        <tr r="I58" s="13"/>
        <tr r="G47" s="11"/>
        <tr r="G56" s="10"/>
        <tr r="G17" s="7"/>
        <tr r="G17" s="4"/>
        <tr r="I10" s="3"/>
      </tp>
      <tp t="e">
        <v>#N/A</v>
        <stp/>
        <stp>BDH|3614956967121274046</stp>
        <tr r="P13" s="6"/>
      </tp>
      <tp t="e">
        <v>#N/A</v>
        <stp/>
        <stp>BDH|7311641710624403910</stp>
        <tr r="F42" s="17"/>
      </tp>
      <tp t="e">
        <v>#N/A</v>
        <stp/>
        <stp>BDH|5654971752845295133</stp>
        <tr r="N89" s="18"/>
      </tp>
      <tp t="e">
        <v>#N/A</v>
        <stp/>
        <stp>BDH|1207626890042690149</stp>
        <tr r="N65" s="18"/>
      </tp>
      <tp t="e">
        <v>#N/A</v>
        <stp/>
        <stp>BDH|9576689653084513399</stp>
        <tr r="I68" s="13"/>
      </tp>
      <tp t="e">
        <v>#N/A</v>
        <stp/>
        <stp>BDH|3714448903922581871</stp>
        <tr r="M110" s="12"/>
      </tp>
      <tp t="e">
        <v>#N/A</v>
        <stp/>
        <stp>BDH|5329110902868358116</stp>
        <tr r="AA80" s="17"/>
        <tr r="AA19" s="3"/>
      </tp>
      <tp t="e">
        <v>#N/A</v>
        <stp/>
        <stp>BDH|3233308793156161224</stp>
        <tr r="O84" s="24"/>
      </tp>
      <tp t="e">
        <v>#N/A</v>
        <stp/>
        <stp>BDH|8825458104399271896</stp>
        <tr r="AA78" s="24"/>
      </tp>
      <tp t="e">
        <v>#N/A</v>
        <stp/>
        <stp>BDH|5531010560937608901</stp>
        <tr r="Y46" s="11"/>
        <tr r="Y55" s="10"/>
        <tr r="Y7" s="7"/>
        <tr r="AA12" s="3"/>
      </tp>
      <tp t="e">
        <v>#N/A</v>
        <stp/>
        <stp>BDH|5569607582556491016</stp>
        <tr r="M23" s="12"/>
      </tp>
      <tp t="e">
        <v>#N/A</v>
        <stp/>
        <stp>BDH|5469993303555999453</stp>
        <tr r="S81" s="18"/>
      </tp>
      <tp t="e">
        <v>#N/A</v>
        <stp/>
        <stp>BDH|1772492509809336164</stp>
        <tr r="P26" s="7"/>
      </tp>
      <tp t="e">
        <v>#N/A</v>
        <stp/>
        <stp>BDH|6937373865149995702</stp>
        <tr r="N137" s="18"/>
      </tp>
      <tp t="e">
        <v>#N/A</v>
        <stp/>
        <stp>BDH|3290373186317817295</stp>
        <tr r="U18" s="21"/>
      </tp>
      <tp t="e">
        <v>#N/A</v>
        <stp/>
        <stp>BDH|4536977640754266028</stp>
        <tr r="Y115" s="18"/>
      </tp>
      <tp t="e">
        <v>#N/A</v>
        <stp/>
        <stp>BDH|9536998653149531185</stp>
        <tr r="D38" s="26"/>
      </tp>
      <tp t="e">
        <v>#N/A</v>
        <stp/>
        <stp>BDH|1042865257038144929</stp>
        <tr r="J19" s="25"/>
      </tp>
      <tp t="e">
        <v>#N/A</v>
        <stp/>
        <stp>BDH|1022780951348383685</stp>
        <tr r="J13" s="10"/>
      </tp>
      <tp t="e">
        <v>#N/A</v>
        <stp/>
        <stp>BDH|5395713924769051444</stp>
        <tr r="V35" s="17"/>
      </tp>
      <tp t="e">
        <v>#N/A</v>
        <stp/>
        <stp>BDH|1622164074878253244</stp>
        <tr r="D20" s="27"/>
      </tp>
      <tp t="e">
        <v>#N/A</v>
        <stp/>
        <stp>BDH|4515459561712052935</stp>
        <tr r="Q12" s="22"/>
      </tp>
      <tp t="e">
        <v>#N/A</v>
        <stp/>
        <stp>BDH|5534324290422159049</stp>
        <tr r="G66" s="13"/>
      </tp>
      <tp t="e">
        <v>#N/A</v>
        <stp/>
        <stp>BDH|9898021356223754290</stp>
        <tr r="D57" s="6"/>
      </tp>
      <tp t="e">
        <v>#N/A</v>
        <stp/>
        <stp>BDH|5593754384554412327</stp>
        <tr r="AA26" s="27"/>
      </tp>
      <tp t="e">
        <v>#N/A</v>
        <stp/>
        <stp>BDH|3290112113208350612</stp>
        <tr r="O48" s="24"/>
      </tp>
      <tp t="e">
        <v>#N/A</v>
        <stp/>
        <stp>BDH|2801910208137344114</stp>
        <tr r="R26" s="7"/>
      </tp>
      <tp t="e">
        <v>#N/A</v>
        <stp/>
        <stp>BDH|7408963462224049134</stp>
        <tr r="C30" s="17"/>
      </tp>
      <tp t="e">
        <v>#N/A</v>
        <stp/>
        <stp>BDH|6902410116127515980</stp>
        <tr r="M172" s="18"/>
      </tp>
      <tp t="e">
        <v>#N/A</v>
        <stp/>
        <stp>BDH|5454949967972578512</stp>
        <tr r="W87" s="12"/>
      </tp>
      <tp t="e">
        <v>#N/A</v>
        <stp/>
        <stp>BDH|8946766802045697788</stp>
        <tr r="P213" s="18"/>
      </tp>
      <tp t="e">
        <v>#N/A</v>
        <stp/>
        <stp>BDH|4832311399007575467</stp>
        <tr r="AA68" s="12"/>
      </tp>
      <tp t="e">
        <v>#N/A</v>
        <stp/>
        <stp>BDH|4047352496114754770</stp>
        <tr r="Q60" s="34"/>
      </tp>
      <tp t="e">
        <v>#N/A</v>
        <stp/>
        <stp>BDH|5054565021748537716</stp>
        <tr r="W153" s="18"/>
      </tp>
      <tp t="e">
        <v>#N/A</v>
        <stp/>
        <stp>BDH|6259229773669314739</stp>
        <tr r="C24" s="5"/>
      </tp>
      <tp t="e">
        <v>#N/A</v>
        <stp/>
        <stp>BDH|4527813091710223841</stp>
        <tr r="O22" s="4"/>
      </tp>
      <tp t="e">
        <v>#N/A</v>
        <stp/>
        <stp>BDH|8154769711963523002</stp>
        <tr r="M41" s="24"/>
      </tp>
      <tp t="e">
        <v>#N/A</v>
        <stp/>
        <stp>BDH|4656947575056705137</stp>
        <tr r="W54" s="17"/>
        <tr r="W17" s="3"/>
      </tp>
      <tp t="e">
        <v>#N/A</v>
        <stp/>
        <stp>BDH|9764232146456704464</stp>
        <tr r="W45" s="34"/>
      </tp>
      <tp t="e">
        <v>#N/A</v>
        <stp/>
        <stp>BDH|9895037572545382697</stp>
        <tr r="K75" s="34"/>
      </tp>
      <tp t="e">
        <v>#N/A</v>
        <stp/>
        <stp>BDH|9946192958190920021</stp>
        <tr r="T16" s="20"/>
      </tp>
      <tp t="e">
        <v>#N/A</v>
        <stp/>
        <stp>BDH|4817034778906387830</stp>
        <tr r="N76" s="12"/>
      </tp>
      <tp t="e">
        <v>#N/A</v>
        <stp/>
        <stp>BDH|7157003282966632468</stp>
        <tr r="T61" s="21"/>
      </tp>
      <tp t="e">
        <v>#N/A</v>
        <stp/>
        <stp>BDH|3354323781803739649</stp>
        <tr r="K108" s="18"/>
      </tp>
      <tp t="e">
        <v>#N/A</v>
        <stp/>
        <stp>BDH|7402310086172730375</stp>
        <tr r="L127" s="18"/>
      </tp>
      <tp t="e">
        <v>#N/A</v>
        <stp/>
        <stp>BDH|5003107494279406932</stp>
        <tr r="Q11" s="17"/>
      </tp>
      <tp t="e">
        <v>#N/A</v>
        <stp/>
        <stp>BDH|3235044182266451037</stp>
        <tr r="M13" s="9"/>
      </tp>
      <tp t="e">
        <v>#N/A</v>
        <stp/>
        <stp>BDH|1047934670052541052</stp>
        <tr r="Q46" s="21"/>
      </tp>
      <tp t="e">
        <v>#N/A</v>
        <stp/>
        <stp>BDH|4519397884345350786</stp>
        <tr r="Z109" s="12"/>
      </tp>
      <tp t="e">
        <v>#N/A</v>
        <stp/>
        <stp>BDH|8961774201414502690</stp>
        <tr r="M19" s="25"/>
      </tp>
      <tp t="e">
        <v>#N/A</v>
        <stp/>
        <stp>BDH|8822780264615023170</stp>
        <tr r="N147" s="18"/>
      </tp>
      <tp t="e">
        <v>#N/A</v>
        <stp/>
        <stp>BDH|9775243675707320667</stp>
        <tr r="W190" s="18"/>
      </tp>
      <tp t="e">
        <v>#N/A</v>
        <stp/>
        <stp>BDH|7005187392803902106</stp>
        <tr r="K23" s="26"/>
      </tp>
      <tp t="e">
        <v>#N/A</v>
        <stp/>
        <stp>BDH|1055918484565071866</stp>
        <tr r="U13" s="12"/>
      </tp>
      <tp t="e">
        <v>#N/A</v>
        <stp/>
        <stp>BDH|2356702282719708959</stp>
        <tr r="L78" s="24"/>
      </tp>
      <tp t="e">
        <v>#N/A</v>
        <stp/>
        <stp>BDH|4408947912155781466</stp>
        <tr r="N55" s="13"/>
        <tr r="L37" s="11"/>
        <tr r="L46" s="10"/>
        <tr r="L53" s="4"/>
        <tr r="L18" s="2"/>
      </tp>
      <tp t="e">
        <v>#N/A</v>
        <stp/>
        <stp>BDH|7780968107515152648</stp>
        <tr r="O22" s="18"/>
      </tp>
      <tp t="e">
        <v>#N/A</v>
        <stp/>
        <stp>BDH|5818705399986562070</stp>
        <tr r="G19" s="26"/>
      </tp>
      <tp t="e">
        <v>#N/A</v>
        <stp/>
        <stp>BDH|5623077630402199933</stp>
        <tr r="W73" s="24"/>
      </tp>
      <tp t="e">
        <v>#N/A</v>
        <stp/>
        <stp>BDH|6150933728097051798</stp>
        <tr r="I31" s="24"/>
      </tp>
      <tp t="e">
        <v>#N/A</v>
        <stp/>
        <stp>BDH|8206743206980523263</stp>
        <tr r="P43" s="17"/>
      </tp>
      <tp t="e">
        <v>#N/A</v>
        <stp/>
        <stp>BDH|9112047197549712468</stp>
        <tr r="O9" s="6"/>
      </tp>
      <tp t="e">
        <v>#N/A</v>
        <stp/>
        <stp>BDH|1281537005578240154</stp>
        <tr r="J13" s="23"/>
        <tr r="H57" s="11"/>
        <tr r="H38" s="4"/>
      </tp>
      <tp t="e">
        <v>#N/A</v>
        <stp/>
        <stp>BDH|2789380864763166993</stp>
        <tr r="I102" s="12"/>
      </tp>
      <tp t="e">
        <v>#N/A</v>
        <stp/>
        <stp>BDH|1534953646153029259</stp>
        <tr r="S209" s="18"/>
      </tp>
      <tp t="e">
        <v>#N/A</v>
        <stp/>
        <stp>BDH|5694830834537771451</stp>
        <tr r="AA12" s="24"/>
      </tp>
      <tp t="e">
        <v>#N/A</v>
        <stp/>
        <stp>BDH|7859879952304674385</stp>
        <tr r="Z23" s="24"/>
      </tp>
      <tp t="e">
        <v>#N/A</v>
        <stp/>
        <stp>BDH|8274837682646534358</stp>
        <tr r="X183" s="18"/>
      </tp>
      <tp t="e">
        <v>#N/A</v>
        <stp/>
        <stp>BDH|2937263654821146990</stp>
        <tr r="J24" s="20"/>
      </tp>
      <tp t="e">
        <v>#N/A</v>
        <stp/>
        <stp>BDH|9621697666635397196</stp>
        <tr r="D63" s="11"/>
        <tr r="D72" s="10"/>
      </tp>
      <tp t="e">
        <v>#N/A</v>
        <stp/>
        <stp>BDH|3682481828930187844</stp>
        <tr r="H9" s="18"/>
      </tp>
      <tp t="e">
        <v>#N/A</v>
        <stp/>
        <stp>BDH|2680895418821696723</stp>
        <tr r="L23" s="6"/>
      </tp>
      <tp t="e">
        <v>#N/A</v>
        <stp/>
        <stp>BDH|4032967211301598011</stp>
        <tr r="I43" s="13"/>
        <tr r="G35" s="11"/>
        <tr r="G44" s="10"/>
        <tr r="G52" s="4"/>
        <tr r="I8" s="3"/>
      </tp>
      <tp t="e">
        <v>#N/A</v>
        <stp/>
        <stp>BDH|8171748512561714235</stp>
        <tr r="L30" s="34"/>
      </tp>
      <tp t="e">
        <v>#N/A</v>
        <stp/>
        <stp>BDH|3136905467819154845</stp>
        <tr r="Z28" s="18"/>
      </tp>
      <tp t="e">
        <v>#N/A</v>
        <stp/>
        <stp>BDH|1341869946920718044</stp>
        <tr r="C35" s="24"/>
      </tp>
      <tp t="e">
        <v>#N/A</v>
        <stp/>
        <stp>BDH|4059942706813494367</stp>
        <tr r="E30" s="29"/>
        <tr r="E8" s="29"/>
      </tp>
      <tp t="e">
        <v>#N/A</v>
        <stp/>
        <stp>BDH|1405463112101341836</stp>
        <tr r="M88" s="12"/>
      </tp>
      <tp t="e">
        <v>#N/A</v>
        <stp/>
        <stp>BDH|1478787532301893969</stp>
        <tr r="F67" s="34"/>
      </tp>
      <tp t="e">
        <v>#N/A</v>
        <stp/>
        <stp>BDH|6755166114042138943</stp>
        <tr r="R37" s="21"/>
      </tp>
      <tp t="e">
        <v>#N/A</v>
        <stp/>
        <stp>BDH|7778790711449691599</stp>
        <tr r="T86" s="18"/>
      </tp>
      <tp t="e">
        <v>#N/A</v>
        <stp/>
        <stp>BDH|3149027211297209802</stp>
        <tr r="G6" s="16"/>
        <tr r="H6" s="11"/>
        <tr r="H10" s="4"/>
        <tr r="J6" s="3"/>
      </tp>
      <tp t="e">
        <v>#N/A</v>
        <stp/>
        <stp>BDH|3181990766441689087</stp>
        <tr r="Q76" s="12"/>
      </tp>
      <tp t="e">
        <v>#N/A</v>
        <stp/>
        <stp>BDH|6727206916478529040</stp>
        <tr r="K172" s="18"/>
      </tp>
      <tp t="e">
        <v>#N/A</v>
        <stp/>
        <stp>BDH|4780197135853805835</stp>
        <tr r="O39" s="18"/>
      </tp>
      <tp t="e">
        <v>#N/A</v>
        <stp/>
        <stp>BDH|5180096793199280895</stp>
        <tr r="G22" s="20"/>
      </tp>
      <tp t="e">
        <v>#N/A</v>
        <stp/>
        <stp>BDH|2505843051742730072</stp>
        <tr r="P13" s="30"/>
      </tp>
      <tp t="e">
        <v>#N/A</v>
        <stp/>
        <stp>BDH|5585748094551603730</stp>
        <tr r="P64" s="12"/>
      </tp>
      <tp t="e">
        <v>#N/A</v>
        <stp/>
        <stp>BDH|8242115867404116651</stp>
        <tr r="S31" s="21"/>
      </tp>
      <tp t="e">
        <v>#N/A</v>
        <stp/>
        <stp>BDH|2840193260761569943</stp>
        <tr r="AA125" s="18"/>
      </tp>
      <tp t="e">
        <v>#N/A</v>
        <stp/>
        <stp>BDH|9004652014586676575</stp>
        <tr r="O23" s="26"/>
      </tp>
      <tp t="e">
        <v>#N/A</v>
        <stp/>
        <stp>BDH|3749299838968352755</stp>
        <tr r="X9" s="34"/>
      </tp>
      <tp t="e">
        <v>#N/A</v>
        <stp/>
        <stp>BDH|4885371905523291981</stp>
        <tr r="Q27" s="22"/>
      </tp>
      <tp t="e">
        <v>#N/A</v>
        <stp/>
        <stp>BDH|9928745460660952540</stp>
        <tr r="K23" s="17"/>
      </tp>
      <tp t="e">
        <v>#N/A</v>
        <stp/>
        <stp>BDH|8411810149151924855</stp>
        <tr r="Y8" s="34"/>
      </tp>
      <tp t="e">
        <v>#N/A</v>
        <stp/>
        <stp>BDH|2277296529416470965</stp>
        <tr r="L36" s="34"/>
      </tp>
      <tp t="e">
        <v>#N/A</v>
        <stp/>
        <stp>BDH|8759562730970702369</stp>
        <tr r="Q17" s="20"/>
      </tp>
      <tp t="e">
        <v>#N/A</v>
        <stp/>
        <stp>BDH|8139451420681706232</stp>
        <tr r="W150" s="18"/>
      </tp>
      <tp t="e">
        <v>#N/A</v>
        <stp/>
        <stp>BDH|9249066389444453895</stp>
        <tr r="W211" s="18"/>
      </tp>
      <tp t="e">
        <v>#N/A</v>
        <stp/>
        <stp>BDH|3527289498821585402</stp>
        <tr r="V64" s="21"/>
      </tp>
      <tp t="e">
        <v>#N/A</v>
        <stp/>
        <stp>BDH|3448328702535779837</stp>
        <tr r="N9" s="34"/>
      </tp>
      <tp t="e">
        <v>#N/A</v>
        <stp/>
        <stp>BDH|4711897165336851139</stp>
        <tr r="P11" s="13"/>
      </tp>
      <tp t="e">
        <v>#N/A</v>
        <stp/>
        <stp>BDH|5587346681195510657</stp>
        <tr r="M87" s="17"/>
      </tp>
      <tp t="e">
        <v>#N/A</v>
        <stp/>
        <stp>BDH|4756418806174240921</stp>
        <tr r="S34" s="34"/>
      </tp>
      <tp t="e">
        <v>#N/A</v>
        <stp/>
        <stp>BDH|9450135401443693605</stp>
        <tr r="C27" s="26"/>
      </tp>
      <tp t="e">
        <v>#N/A</v>
        <stp/>
        <stp>BDH|9566424304541745148</stp>
        <tr r="P7" s="24"/>
      </tp>
      <tp t="e">
        <v>#N/A</v>
        <stp/>
        <stp>BDH|6413961231867051636</stp>
        <tr r="H154" s="18"/>
      </tp>
      <tp t="e">
        <v>#N/A</v>
        <stp/>
        <stp>BDH|2826884024254272168</stp>
        <tr r="I28" s="6"/>
      </tp>
      <tp t="e">
        <v>#N/A</v>
        <stp/>
        <stp>BDH|1153555781733289274</stp>
        <tr r="S196" s="18"/>
      </tp>
      <tp t="e">
        <v>#N/A</v>
        <stp/>
        <stp>BDH|9611439327475304716</stp>
        <tr r="V9" s="8"/>
        <tr r="T52" s="6"/>
      </tp>
      <tp t="e">
        <v>#N/A</v>
        <stp/>
        <stp>BDH|8779415945286594363</stp>
        <tr r="N113" s="18"/>
      </tp>
      <tp t="e">
        <v>#N/A</v>
        <stp/>
        <stp>BDH|3314840023000794435</stp>
        <tr r="M14" s="28"/>
      </tp>
      <tp t="e">
        <v>#N/A</v>
        <stp/>
        <stp>BDH|1501739867528418550</stp>
        <tr r="I39" s="29"/>
        <tr r="I16" s="29"/>
      </tp>
      <tp t="e">
        <v>#N/A</v>
        <stp/>
        <stp>BDH|7892091026648355046</stp>
        <tr r="F23" s="25"/>
        <tr r="D20" s="11"/>
      </tp>
      <tp t="e">
        <v>#N/A</v>
        <stp/>
        <stp>BDH|5005136895726773619</stp>
        <tr r="P12" s="12"/>
      </tp>
      <tp t="e">
        <v>#N/A</v>
        <stp/>
        <stp>BDH|3774507140139168668</stp>
        <tr r="Z71" s="24"/>
      </tp>
      <tp t="e">
        <v>#N/A</v>
        <stp/>
        <stp>BDH|1366801946093312368</stp>
        <tr r="V12" s="12"/>
      </tp>
      <tp t="e">
        <v>#N/A</v>
        <stp/>
        <stp>BDH|6054659395240505450</stp>
        <tr r="F31" s="29"/>
      </tp>
      <tp t="e">
        <v>#N/A</v>
        <stp/>
        <stp>BDH|3645862636895234043</stp>
        <tr r="O73" s="18"/>
      </tp>
      <tp t="e">
        <v>#N/A</v>
        <stp/>
        <stp>BDH|2596816695299931780</stp>
        <tr r="P83" s="18"/>
      </tp>
      <tp t="e">
        <v>#N/A</v>
        <stp/>
        <stp>BDH|8038731909324936623</stp>
        <tr r="W23" s="20"/>
      </tp>
      <tp t="e">
        <v>#N/A</v>
        <stp/>
        <stp>BDH|5011811477461418634</stp>
        <tr r="J28" s="26"/>
      </tp>
      <tp t="e">
        <v>#N/A</v>
        <stp/>
        <stp>BDH|1231149207005121818</stp>
        <tr r="D25" s="17"/>
      </tp>
      <tp t="e">
        <v>#N/A</v>
        <stp/>
        <stp>BDH|7458707177729074322</stp>
        <tr r="G51" s="13"/>
      </tp>
      <tp t="e">
        <v>#N/A</v>
        <stp/>
        <stp>BDH|3598987206966377190</stp>
        <tr r="D14" s="23"/>
      </tp>
      <tp t="e">
        <v>#N/A</v>
        <stp/>
        <stp>BDH|6929201518518978092</stp>
        <tr r="S75" s="18"/>
      </tp>
      <tp t="e">
        <v>#N/A</v>
        <stp/>
        <stp>BDH|4539764338754203983</stp>
        <tr r="T22" s="6"/>
      </tp>
      <tp t="e">
        <v>#N/A</v>
        <stp/>
        <stp>BDH|1779965046060668106</stp>
        <tr r="H23" s="13"/>
      </tp>
      <tp t="e">
        <v>#N/A</v>
        <stp/>
        <stp>BDH|4442338381023563128</stp>
        <tr r="U7" s="11"/>
      </tp>
      <tp t="e">
        <v>#N/A</v>
        <stp/>
        <stp>BDH|6400392819918698130</stp>
        <tr r="E11" s="10"/>
        <tr r="E14" s="2"/>
      </tp>
      <tp t="e">
        <v>#N/A</v>
        <stp/>
        <stp>BDH|3035634207918784024</stp>
        <tr r="U31" s="29"/>
      </tp>
      <tp t="e">
        <v>#N/A</v>
        <stp/>
        <stp>BDH|4764599280800944461</stp>
        <tr r="F17" s="12"/>
      </tp>
      <tp t="e">
        <v>#N/A</v>
        <stp/>
        <stp>BDH|4609693398375235341</stp>
        <tr r="O35" s="25"/>
      </tp>
      <tp t="e">
        <v>#N/A</v>
        <stp/>
        <stp>BDH|3676103709289725691</stp>
        <tr r="K34" s="14"/>
      </tp>
      <tp t="e">
        <v>#N/A</v>
        <stp/>
        <stp>BDH|3987501869959266433</stp>
        <tr r="R25" s="10"/>
      </tp>
      <tp t="e">
        <v>#N/A</v>
        <stp/>
        <stp>BDH|8445885850109861153</stp>
        <tr r="Q21" s="11"/>
      </tp>
      <tp t="e">
        <v>#N/A</v>
        <stp/>
        <stp>BDH|9010020619421381499</stp>
        <tr r="Y94" s="24"/>
      </tp>
      <tp t="e">
        <v>#N/A</v>
        <stp/>
        <stp>BDH|8166122711474525166</stp>
        <tr r="K49" s="24"/>
      </tp>
      <tp t="e">
        <v>#N/A</v>
        <stp/>
        <stp>BDH|3667972054291157357</stp>
        <tr r="C73" s="18"/>
      </tp>
      <tp t="e">
        <v>#N/A</v>
        <stp/>
        <stp>BDH|6624435046602300916</stp>
        <tr r="T132" s="18"/>
      </tp>
      <tp t="e">
        <v>#N/A</v>
        <stp/>
        <stp>BDH|6733006493903738128</stp>
        <tr r="V7" s="23"/>
      </tp>
      <tp t="e">
        <v>#N/A</v>
        <stp/>
        <stp>BDH|5583580969793216878</stp>
        <tr r="X38" s="21"/>
        <tr r="X24" s="3"/>
      </tp>
      <tp t="e">
        <v>#N/A</v>
        <stp/>
        <stp>BDH|4579986485291978902</stp>
        <tr r="T29" s="17"/>
      </tp>
      <tp t="e">
        <v>#N/A</v>
        <stp/>
        <stp>BDH|9922300862230883121</stp>
        <tr r="I57" s="6"/>
      </tp>
      <tp t="e">
        <v>#N/A</v>
        <stp/>
        <stp>BDH|7250816660296388211</stp>
        <tr r="K78" s="12"/>
      </tp>
      <tp t="e">
        <v>#N/A</v>
        <stp/>
        <stp>BDH|6063657583722787706</stp>
        <tr r="AA46" s="22"/>
      </tp>
      <tp t="e">
        <v>#N/A</v>
        <stp/>
        <stp>BDH|2283781574348849776</stp>
        <tr r="K16" s="27"/>
        <tr r="K30" s="25"/>
      </tp>
      <tp t="e">
        <v>#N/A</v>
        <stp/>
        <stp>BDH|7354340494239486965</stp>
        <tr r="V23" s="18"/>
      </tp>
      <tp t="e">
        <v>#N/A</v>
        <stp/>
        <stp>BDH|5110889699480376926</stp>
        <tr r="K198" s="18"/>
      </tp>
      <tp t="e">
        <v>#N/A</v>
        <stp/>
        <stp>BDH|8919436633583094187</stp>
        <tr r="G11" s="10"/>
        <tr r="G14" s="2"/>
      </tp>
      <tp t="e">
        <v>#N/A</v>
        <stp/>
        <stp>BDH|7144129338649918136</stp>
        <tr r="E19" s="6"/>
      </tp>
      <tp t="e">
        <v>#N/A</v>
        <stp/>
        <stp>BDH|3672865445141452309</stp>
        <tr r="L95" s="12"/>
      </tp>
      <tp t="e">
        <v>#N/A</v>
        <stp/>
        <stp>BDH|6784851030517574764</stp>
        <tr r="N12" s="26"/>
      </tp>
      <tp t="e">
        <v>#N/A</v>
        <stp/>
        <stp>BDH|8231484358895413171</stp>
        <tr r="J105" s="12"/>
      </tp>
      <tp t="e">
        <v>#N/A</v>
        <stp/>
        <stp>BDH|8955521639392401178</stp>
        <tr r="Z136" s="18"/>
      </tp>
      <tp t="e">
        <v>#N/A</v>
        <stp/>
        <stp>BDH|9092953713424077877</stp>
        <tr r="X9" s="12"/>
      </tp>
      <tp t="e">
        <v>#N/A</v>
        <stp/>
        <stp>BDH|2803502699673180012</stp>
        <tr r="J27" s="13"/>
      </tp>
      <tp t="e">
        <v>#N/A</v>
        <stp/>
        <stp>BDH|1643975228812601598</stp>
        <tr r="E21" s="27"/>
      </tp>
      <tp t="e">
        <v>#N/A</v>
        <stp/>
        <stp>BDH|6283357176078272758</stp>
        <tr r="F86" s="18"/>
      </tp>
      <tp t="e">
        <v>#N/A</v>
        <stp/>
        <stp>BDH|8704781363350875425</stp>
        <tr r="C166" s="18"/>
      </tp>
      <tp t="e">
        <v>#N/A</v>
        <stp/>
        <stp>BDH|2876625164279980618</stp>
        <tr r="P81" s="12"/>
      </tp>
      <tp t="e">
        <v>#N/A</v>
        <stp/>
        <stp>BDH|6316277692786704671</stp>
        <tr r="F30" s="29"/>
        <tr r="F8" s="29"/>
      </tp>
      <tp t="e">
        <v>#N/A</v>
        <stp/>
        <stp>BDH|5348932827504574747</stp>
        <tr r="V75" s="24"/>
      </tp>
      <tp t="e">
        <v>#N/A</v>
        <stp/>
        <stp>BDH|8825687984662536973</stp>
        <tr r="C41" s="11"/>
        <tr r="C50" s="10"/>
        <tr r="C8" s="7"/>
        <tr r="E11" s="3"/>
      </tp>
      <tp t="e">
        <v>#N/A</v>
        <stp/>
        <stp>BDH|4023463044791064843</stp>
        <tr r="I213" s="18"/>
      </tp>
      <tp t="e">
        <v>#N/A</v>
        <stp/>
        <stp>BDH|5671034589584322497</stp>
        <tr r="O12" s="6"/>
      </tp>
      <tp t="e">
        <v>#N/A</v>
        <stp/>
        <stp>BDH|8028234805336656162</stp>
        <tr r="D9" s="13"/>
      </tp>
      <tp t="e">
        <v>#N/A</v>
        <stp/>
        <stp>BDH|4397700687226204009</stp>
        <tr r="U196" s="18"/>
      </tp>
      <tp t="e">
        <v>#N/A</v>
        <stp/>
        <stp>BDH|8240906727397269915</stp>
        <tr r="S170" s="18"/>
      </tp>
      <tp t="e">
        <v>#N/A</v>
        <stp/>
        <stp>BDH|3642227770649700257</stp>
        <tr r="M23" s="23"/>
      </tp>
      <tp t="e">
        <v>#N/A</v>
        <stp/>
        <stp>BDH|4946886813897705738</stp>
        <tr r="G26" s="22"/>
      </tp>
      <tp t="e">
        <v>#N/A</v>
        <stp/>
        <stp>BDH|4678553039938878748</stp>
        <tr r="S67" s="12"/>
      </tp>
      <tp t="e">
        <v>#N/A</v>
        <stp/>
        <stp>BDH|5603881062152313494</stp>
        <tr r="Y39" s="18"/>
      </tp>
      <tp t="e">
        <v>#N/A</v>
        <stp/>
        <stp>BDH|2337491293572664094</stp>
        <tr r="S35" s="25"/>
      </tp>
      <tp t="e">
        <v>#N/A</v>
        <stp/>
        <stp>BDH|5377150058139055586</stp>
        <tr r="T43" s="11"/>
        <tr r="T52" s="10"/>
        <tr r="T15" s="7"/>
      </tp>
      <tp t="e">
        <v>#N/A</v>
        <stp/>
        <stp>BDH|2678851373127174775</stp>
        <tr r="X20" s="25"/>
      </tp>
      <tp t="e">
        <v>#N/A</v>
        <stp/>
        <stp>BDH|1059247056162737935</stp>
        <tr r="Q208" s="18"/>
      </tp>
      <tp t="e">
        <v>#N/A</v>
        <stp/>
        <stp>BDH|6549225083503662247</stp>
        <tr r="AA198" s="18"/>
      </tp>
      <tp t="e">
        <v>#N/A</v>
        <stp/>
        <stp>BDH|8338866529346362995</stp>
        <tr r="X50" s="12"/>
      </tp>
      <tp t="e">
        <v>#N/A</v>
        <stp/>
        <stp>BDH|9075718146284013318</stp>
        <tr r="V45" s="17"/>
      </tp>
      <tp t="e">
        <v>#N/A</v>
        <stp/>
        <stp>BDH|4385084418141630939</stp>
        <tr r="N38" s="22"/>
      </tp>
      <tp t="e">
        <v>#N/A</v>
        <stp/>
        <stp>BDH|4632552851130427905</stp>
        <tr r="E57" s="18"/>
      </tp>
      <tp t="e">
        <v>#N/A</v>
        <stp/>
        <stp>BDH|6884088116619990399</stp>
        <tr r="S7" s="8"/>
      </tp>
      <tp t="e">
        <v>#N/A</v>
        <stp/>
        <stp>BDH|5478511992344554046</stp>
        <tr r="Y19" s="21"/>
        <tr r="Y23" s="3"/>
        <tr r="W23" s="2"/>
      </tp>
      <tp t="e">
        <v>#N/A</v>
        <stp/>
        <stp>BDH|9902082941117279742</stp>
        <tr r="I33" s="6"/>
      </tp>
      <tp t="e">
        <v>#N/A</v>
        <stp/>
        <stp>BDH|2195088586965823213</stp>
        <tr r="X27" s="17"/>
      </tp>
      <tp t="e">
        <v>#N/A</v>
        <stp/>
        <stp>BDH|2392504188744872654</stp>
        <tr r="R51" s="12"/>
      </tp>
      <tp t="e">
        <v>#N/A</v>
        <stp/>
        <stp>BDH|4884620178511571913</stp>
        <tr r="V89" s="12"/>
      </tp>
      <tp t="e">
        <v>#N/A</v>
        <stp/>
        <stp>BDH|4919927778852211576</stp>
        <tr r="L38" s="12"/>
      </tp>
      <tp t="e">
        <v>#N/A</v>
        <stp/>
        <stp>BDH|5497601392134991398</stp>
        <tr r="V9" s="27"/>
      </tp>
      <tp t="e">
        <v>#N/A</v>
        <stp/>
        <stp>BDH|8967859381810995526</stp>
        <tr r="M98" s="18"/>
      </tp>
      <tp t="e">
        <v>#N/A</v>
        <stp/>
        <stp>BDH|1869808818233244643</stp>
        <tr r="H11" s="7"/>
      </tp>
      <tp t="e">
        <v>#N/A</v>
        <stp/>
        <stp>BDH|1371027683554781036</stp>
        <tr r="D72" s="18"/>
      </tp>
      <tp t="e">
        <v>#N/A</v>
        <stp/>
        <stp>BDH|9115318752393319171</stp>
        <tr r="F7" s="4"/>
      </tp>
      <tp t="e">
        <v>#N/A</v>
        <stp/>
        <stp>BDH|6710770677798752369</stp>
        <tr r="M34" s="13"/>
        <tr r="K27" s="10"/>
      </tp>
      <tp t="e">
        <v>#N/A</v>
        <stp/>
        <stp>BDH|8917354209325199325</stp>
        <tr r="Y48" s="34"/>
      </tp>
      <tp t="e">
        <v>#N/A</v>
        <stp/>
        <stp>BDH|6853998605944478669</stp>
        <tr r="F24" s="5"/>
      </tp>
      <tp t="e">
        <v>#N/A</v>
        <stp/>
        <stp>BDH|8750309067223263345</stp>
        <tr r="I58" s="34"/>
      </tp>
      <tp t="e">
        <v>#N/A</v>
        <stp/>
        <stp>BDH|8477202723181705469</stp>
        <tr r="Q73" s="24"/>
      </tp>
      <tp t="e">
        <v>#N/A</v>
        <stp/>
        <stp>BDH|3911210884355975138</stp>
        <tr r="W65" s="12"/>
      </tp>
      <tp t="e">
        <v>#N/A</v>
        <stp/>
        <stp>BDH|9294998657431291980</stp>
        <tr r="E82" s="24"/>
      </tp>
      <tp t="e">
        <v>#N/A</v>
        <stp/>
        <stp>BDH|3292086198997336079</stp>
        <tr r="H28" s="24"/>
      </tp>
      <tp t="e">
        <v>#N/A</v>
        <stp/>
        <stp>BDH|1105986158435593524</stp>
        <tr r="Y63" s="34"/>
      </tp>
      <tp t="e">
        <v>#N/A</v>
        <stp/>
        <stp>BDH|4399161739099953232</stp>
        <tr r="R43" s="18"/>
      </tp>
      <tp t="e">
        <v>#N/A</v>
        <stp/>
        <stp>BDH|4651572182416741228</stp>
        <tr r="O32" s="17"/>
      </tp>
      <tp t="e">
        <v>#N/A</v>
        <stp/>
        <stp>BDH|8295178593508981593</stp>
        <tr r="X15" s="26"/>
      </tp>
      <tp t="e">
        <v>#N/A</v>
        <stp/>
        <stp>BDH|8315145462924371605</stp>
        <tr r="K92" s="12"/>
      </tp>
      <tp t="e">
        <v>#N/A</v>
        <stp/>
        <stp>BDH|7529948608490757385</stp>
        <tr r="Q52" s="12"/>
      </tp>
      <tp t="e">
        <v>#N/A</v>
        <stp/>
        <stp>BDH|9570632021396890691</stp>
        <tr r="D61" s="11"/>
        <tr r="D70" s="10"/>
        <tr r="D20" s="7"/>
      </tp>
      <tp t="e">
        <v>#N/A</v>
        <stp/>
        <stp>BDH|3083604841654024876</stp>
        <tr r="Q107" s="12"/>
      </tp>
      <tp t="e">
        <v>#N/A</v>
        <stp/>
        <stp>BDH|2541742580338520836</stp>
        <tr r="U87" s="12"/>
      </tp>
      <tp t="e">
        <v>#N/A</v>
        <stp/>
        <stp>BDH|3818205427077949911</stp>
        <tr r="H40" s="24"/>
      </tp>
      <tp t="e">
        <v>#N/A</v>
        <stp/>
        <stp>BDH|6692532170918551176</stp>
        <tr r="L55" s="24"/>
      </tp>
      <tp t="e">
        <v>#N/A</v>
        <stp/>
        <stp>BDH|3765053864491028912</stp>
        <tr r="F91" s="24"/>
      </tp>
      <tp t="e">
        <v>#N/A</v>
        <stp/>
        <stp>BDH|6508276900188520104</stp>
        <tr r="C36" s="29"/>
        <tr r="C22" s="29"/>
        <tr r="C13" s="29"/>
      </tp>
      <tp t="e">
        <v>#N/A</v>
        <stp/>
        <stp>BDH|6515785289872188624</stp>
        <tr r="H92" s="12"/>
      </tp>
      <tp t="e">
        <v>#N/A</v>
        <stp/>
        <stp>BDH|5476518950069388114</stp>
        <tr r="E22" s="4"/>
      </tp>
      <tp t="e">
        <v>#N/A</v>
        <stp/>
        <stp>BDH|4778320779489208490</stp>
        <tr r="O14" s="18"/>
      </tp>
      <tp t="e">
        <v>#N/A</v>
        <stp/>
        <stp>BDH|3736533857209175756</stp>
        <tr r="J9" s="29"/>
      </tp>
      <tp t="e">
        <v>#N/A</v>
        <stp/>
        <stp>BDH|9898092790269539438</stp>
        <tr r="V32" s="21"/>
      </tp>
      <tp t="e">
        <v>#N/A</v>
        <stp/>
        <stp>BDH|8295751608062997013</stp>
        <tr r="S31" s="24"/>
      </tp>
      <tp t="e">
        <v>#N/A</v>
        <stp/>
        <stp>BDH|6629205661286069901</stp>
        <tr r="R57" s="34"/>
      </tp>
      <tp t="e">
        <v>#N/A</v>
        <stp/>
        <stp>BDH|8485798629097603752</stp>
        <tr r="X87" s="17"/>
      </tp>
      <tp t="e">
        <v>#N/A</v>
        <stp/>
        <stp>BDH|9270927587162553751</stp>
        <tr r="T42" s="34"/>
      </tp>
      <tp t="e">
        <v>#N/A</v>
        <stp/>
        <stp>BDH|3085199333779823551</stp>
        <tr r="J46" s="13"/>
      </tp>
      <tp t="e">
        <v>#N/A</v>
        <stp/>
        <stp>BDH|5001090232592453985</stp>
        <tr r="M6" s="20"/>
        <tr r="M116" s="18"/>
      </tp>
      <tp t="e">
        <v>#N/A</v>
        <stp/>
        <stp>BDH|8016719037568982981</stp>
        <tr r="Z108" s="18"/>
      </tp>
      <tp t="e">
        <v>#N/A</v>
        <stp/>
        <stp>BDH|9101132383359504435</stp>
        <tr r="AA42" s="12"/>
      </tp>
      <tp t="e">
        <v>#N/A</v>
        <stp/>
        <stp>BDH|2707977708157608192</stp>
        <tr r="W10" s="11"/>
      </tp>
      <tp t="e">
        <v>#N/A</v>
        <stp/>
        <stp>BDH|5722205926421127975</stp>
        <tr r="L43" s="12"/>
      </tp>
      <tp t="e">
        <v>#N/A</v>
        <stp/>
        <stp>BDH|9890415873166596180</stp>
        <tr r="F47" s="6"/>
      </tp>
      <tp t="e">
        <v>#N/A</v>
        <stp/>
        <stp>BDH|2376923370887687600</stp>
        <tr r="Z34" s="34"/>
      </tp>
      <tp t="e">
        <v>#N/A</v>
        <stp/>
        <stp>BDH|5217822113362575310</stp>
        <tr r="K8" s="26"/>
        <tr r="H10" s="9"/>
      </tp>
      <tp t="e">
        <v>#N/A</v>
        <stp/>
        <stp>BDH|6511676605344324931</stp>
        <tr r="C114" s="18"/>
      </tp>
      <tp t="e">
        <v>#N/A</v>
        <stp/>
        <stp>BDH|7669449362049099171</stp>
        <tr r="G19" s="22"/>
      </tp>
      <tp t="e">
        <v>#N/A</v>
        <stp/>
        <stp>BDH|6962565555723823850</stp>
        <tr r="N35" s="13"/>
        <tr r="L28" s="10"/>
      </tp>
      <tp t="e">
        <v>#N/A</v>
        <stp/>
        <stp>BDH|9427108974996250450</stp>
        <tr r="D173" s="18"/>
      </tp>
      <tp t="e">
        <v>#N/A</v>
        <stp/>
        <stp>BDH|9902267970258819902</stp>
        <tr r="T49" s="17"/>
      </tp>
      <tp t="e">
        <v>#N/A</v>
        <stp/>
        <stp>BDH|1143960564140312372</stp>
        <tr r="P19" s="13"/>
        <tr r="N62" s="10"/>
        <tr r="N32" s="4"/>
        <tr r="N16" s="2"/>
      </tp>
      <tp t="e">
        <v>#N/A</v>
        <stp/>
        <stp>BDH|8802205577194016483</stp>
        <tr r="L64" s="21"/>
      </tp>
      <tp t="e">
        <v>#N/A</v>
        <stp/>
        <stp>BDH|4655322084771505329</stp>
        <tr r="L27" s="7"/>
      </tp>
      <tp t="e">
        <v>#N/A</v>
        <stp/>
        <stp>BDH|8415005611995478163</stp>
        <tr r="Z40" s="29"/>
        <tr r="Z17" s="29"/>
      </tp>
      <tp t="e">
        <v>#N/A</v>
        <stp/>
        <stp>BDH|8472721264603012758</stp>
        <tr r="N199" s="18"/>
      </tp>
      <tp t="e">
        <v>#N/A</v>
        <stp/>
        <stp>BDH|2679869771370664002</stp>
        <tr r="W6" s="16"/>
        <tr r="X6" s="11"/>
        <tr r="X10" s="4"/>
        <tr r="Z6" s="3"/>
      </tp>
      <tp t="e">
        <v>#N/A</v>
        <stp/>
        <stp>BDH|9387412956807393202</stp>
        <tr r="M203" s="18"/>
      </tp>
      <tp t="e">
        <v>#N/A</v>
        <stp/>
        <stp>BDH|5443278224778352036</stp>
        <tr r="Y188" s="18"/>
      </tp>
      <tp t="e">
        <v>#N/A</v>
        <stp/>
        <stp>BDH|9033191302536897345</stp>
        <tr r="H14" s="28"/>
      </tp>
      <tp t="e">
        <v>#N/A</v>
        <stp/>
        <stp>BDH|7975934995513988915</stp>
        <tr r="H44" s="21"/>
      </tp>
      <tp t="e">
        <v>#N/A</v>
        <stp/>
        <stp>BDH|8173652626669193841</stp>
        <tr r="K10" s="21"/>
      </tp>
      <tp t="e">
        <v>#N/A</v>
        <stp/>
        <stp>BDH|8886194330736776117</stp>
        <tr r="W56" s="6"/>
      </tp>
      <tp t="e">
        <v>#N/A</v>
        <stp/>
        <stp>BDH|7556438715069031644</stp>
        <tr r="L41" s="18"/>
      </tp>
      <tp t="e">
        <v>#N/A</v>
        <stp/>
        <stp>BDH|1481708587512016149</stp>
        <tr r="Q62" s="13"/>
      </tp>
      <tp t="e">
        <v>#N/A</v>
        <stp/>
        <stp>BDH|7089415320504249841</stp>
        <tr r="P79" s="12"/>
      </tp>
      <tp t="e">
        <v>#N/A</v>
        <stp/>
        <stp>BDH|7370904685783317828</stp>
        <tr r="V23" s="24"/>
      </tp>
      <tp t="e">
        <v>#N/A</v>
        <stp/>
        <stp>BDH|9062748850214270216</stp>
        <tr r="T11" s="13"/>
      </tp>
      <tp t="e">
        <v>#N/A</v>
        <stp/>
        <stp>BDH|6241790892382937778</stp>
        <tr r="G103" s="12"/>
      </tp>
      <tp t="e">
        <v>#N/A</v>
        <stp/>
        <stp>BDH|9584178653355671508</stp>
        <tr r="Y44" s="24"/>
      </tp>
      <tp t="e">
        <v>#N/A</v>
        <stp/>
        <stp>BDH|7624553280752280561</stp>
        <tr r="O72" s="18"/>
      </tp>
      <tp t="e">
        <v>#N/A</v>
        <stp/>
        <stp>BDH|9666048847160493069</stp>
        <tr r="E103" s="18"/>
      </tp>
      <tp t="e">
        <v>#N/A</v>
        <stp/>
        <stp>BDH|2735545313618783306</stp>
        <tr r="L8" s="8"/>
      </tp>
      <tp t="e">
        <v>#N/A</v>
        <stp/>
        <stp>BDH|3461009389607276180</stp>
        <tr r="P45" s="12"/>
      </tp>
      <tp t="e">
        <v>#N/A</v>
        <stp/>
        <stp>BDH|3590255360742252850</stp>
        <tr r="G206" s="18"/>
      </tp>
      <tp t="e">
        <v>#N/A</v>
        <stp/>
        <stp>BDH|3463505368055243899</stp>
        <tr r="M19" s="30"/>
      </tp>
      <tp t="e">
        <v>#N/A</v>
        <stp/>
        <stp>BDH|5136481705734866802</stp>
        <tr r="U78" s="12"/>
      </tp>
      <tp t="e">
        <v>#N/A</v>
        <stp/>
        <stp>BDH|4441133401201758951</stp>
        <tr r="AA102" s="18"/>
      </tp>
      <tp t="e">
        <v>#N/A</v>
        <stp/>
        <stp>BDH|2121075592422979495</stp>
        <tr r="H11" s="21"/>
      </tp>
      <tp t="e">
        <v>#N/A</v>
        <stp/>
        <stp>BDH|4596730967489283175</stp>
        <tr r="X70" s="34"/>
      </tp>
      <tp t="e">
        <v>#N/A</v>
        <stp/>
        <stp>BDH|4081220900882486928</stp>
        <tr r="U35" s="17"/>
      </tp>
      <tp t="e">
        <v>#N/A</v>
        <stp/>
        <stp>BDH|2570519012213183834</stp>
        <tr r="G73" s="18"/>
      </tp>
      <tp t="e">
        <v>#N/A</v>
        <stp/>
        <stp>BDH|3068177323395700872</stp>
        <tr r="U8" s="23"/>
      </tp>
      <tp t="e">
        <v>#N/A</v>
        <stp/>
        <stp>BDH|3460413646128507624</stp>
        <tr r="V14" s="12"/>
      </tp>
      <tp t="e">
        <v>#N/A</v>
        <stp/>
        <stp>BDH|8010160814671270440</stp>
        <tr r="L22" s="24"/>
      </tp>
      <tp t="e">
        <v>#N/A</v>
        <stp/>
        <stp>BDH|1452562692152509216</stp>
        <tr r="P6" s="8"/>
        <tr r="N51" s="6"/>
      </tp>
      <tp t="e">
        <v>#N/A</v>
        <stp/>
        <stp>BDH|5322656031904588965</stp>
        <tr r="W9" s="13"/>
      </tp>
      <tp t="e">
        <v>#N/A</v>
        <stp/>
        <stp>BDH|6364826531175010543</stp>
        <tr r="M69" s="18"/>
      </tp>
      <tp t="e">
        <v>#N/A</v>
        <stp/>
        <stp>BDH|5451021435733305840</stp>
        <tr r="C16" s="26"/>
      </tp>
      <tp t="e">
        <v>#N/A</v>
        <stp/>
        <stp>BDH|4123928488890671896</stp>
        <tr r="Q74" s="18"/>
      </tp>
      <tp t="e">
        <v>#N/A</v>
        <stp/>
        <stp>BDH|5818175017718411081</stp>
        <tr r="X6" s="19"/>
        <tr r="X37" s="17"/>
        <tr r="X16" s="3"/>
      </tp>
      <tp t="e">
        <v>#N/A</v>
        <stp/>
        <stp>BDH|5234890671112651585</stp>
        <tr r="P31" s="29"/>
      </tp>
      <tp t="e">
        <v>#N/A</v>
        <stp/>
        <stp>BDH|4580397102182395895</stp>
        <tr r="T12" s="12"/>
      </tp>
      <tp t="e">
        <v>#N/A</v>
        <stp/>
        <stp>BDH|9637598807915837443</stp>
        <tr r="O13" s="6"/>
      </tp>
      <tp t="e">
        <v>#N/A</v>
        <stp/>
        <stp>BDH|1945748399892844082</stp>
        <tr r="H79" s="18"/>
      </tp>
      <tp t="e">
        <v>#N/A</v>
        <stp/>
        <stp>BDH|9518161475786734451</stp>
        <tr r="O11" s="17"/>
      </tp>
      <tp t="e">
        <v>#N/A</v>
        <stp/>
        <stp>BDH|2322479874164492806</stp>
        <tr r="N41" s="12"/>
      </tp>
      <tp t="e">
        <v>#N/A</v>
        <stp/>
        <stp>BDH|6280278099553064387</stp>
        <tr r="P48" s="13"/>
      </tp>
      <tp t="e">
        <v>#N/A</v>
        <stp/>
        <stp>BDH|3010565686463002044</stp>
        <tr r="H98" s="12"/>
      </tp>
      <tp t="e">
        <v>#N/A</v>
        <stp/>
        <stp>BDH|4949491505178886598</stp>
        <tr r="AA68" s="24"/>
      </tp>
      <tp t="e">
        <v>#N/A</v>
        <stp/>
        <stp>BDH|9892115824146900109</stp>
        <tr r="M65" s="13"/>
      </tp>
      <tp t="e">
        <v>#N/A</v>
        <stp/>
        <stp>BDH|1403082284297537397</stp>
        <tr r="M39" s="18"/>
      </tp>
      <tp t="e">
        <v>#N/A</v>
        <stp/>
        <stp>BDH|7347703968033924861</stp>
        <tr r="M45" s="24"/>
      </tp>
      <tp t="e">
        <v>#N/A</v>
        <stp/>
        <stp>BDH|8331427975703928596</stp>
        <tr r="W77" s="34"/>
      </tp>
      <tp t="e">
        <v>#N/A</v>
        <stp/>
        <stp>BDH|9440479017438973999</stp>
        <tr r="O67" s="17"/>
      </tp>
      <tp t="e">
        <v>#N/A</v>
        <stp/>
        <stp>BDH|3463233457099606022</stp>
        <tr r="Q68" s="10"/>
      </tp>
      <tp t="e">
        <v>#N/A</v>
        <stp/>
        <stp>BDH|1022383029498320560</stp>
        <tr r="Z72" s="17"/>
      </tp>
      <tp t="e">
        <v>#N/A</v>
        <stp/>
        <stp>BDH|8508479620884040763</stp>
        <tr r="L33" s="34"/>
      </tp>
      <tp t="e">
        <v>#N/A</v>
        <stp/>
        <stp>BDH|4893404900808413582</stp>
        <tr r="I19" s="22"/>
      </tp>
      <tp t="e">
        <v>#N/A</v>
        <stp/>
        <stp>BDH|7272974787988794315</stp>
        <tr r="AA78" s="12"/>
      </tp>
      <tp t="e">
        <v>#N/A</v>
        <stp/>
        <stp>BDH|4832390326151034938</stp>
        <tr r="O43" s="11"/>
        <tr r="O52" s="10"/>
        <tr r="O15" s="7"/>
      </tp>
      <tp t="e">
        <v>#N/A</v>
        <stp/>
        <stp>BDH|9485636553010821785</stp>
        <tr r="S36" s="17"/>
      </tp>
      <tp t="e">
        <v>#N/A</v>
        <stp/>
        <stp>BDH|9247669531362229335</stp>
        <tr r="I198" s="18"/>
      </tp>
      <tp t="e">
        <v>#N/A</v>
        <stp/>
        <stp>BDH|8235655092729699371</stp>
        <tr r="D8" s="4"/>
      </tp>
      <tp t="e">
        <v>#N/A</v>
        <stp/>
        <stp>BDH|9969177050207985733</stp>
        <tr r="H86" s="12"/>
      </tp>
      <tp t="e">
        <v>#N/A</v>
        <stp/>
        <stp>BDH|1258610289162853069</stp>
        <tr r="D43" s="4"/>
      </tp>
      <tp t="e">
        <v>#N/A</v>
        <stp/>
        <stp>BDH|5997500678579151342</stp>
        <tr r="Z39" s="13"/>
        <tr r="X32" s="10"/>
      </tp>
      <tp t="e">
        <v>#N/A</v>
        <stp/>
        <stp>BDH|9766824295494328179</stp>
        <tr r="M208" s="18"/>
      </tp>
      <tp t="e">
        <v>#N/A</v>
        <stp/>
        <stp>BDH|7938224409849620100</stp>
        <tr r="R64" s="17"/>
      </tp>
      <tp t="e">
        <v>#N/A</v>
        <stp/>
        <stp>BDH|2806594575998041504</stp>
        <tr r="K212" s="18"/>
      </tp>
      <tp t="e">
        <v>#N/A</v>
        <stp/>
        <stp>BDH|6584234544379304453</stp>
        <tr r="I110" s="18"/>
      </tp>
      <tp t="e">
        <v>#N/A</v>
        <stp/>
        <stp>BDH|1890488031419182241</stp>
        <tr r="D20" s="23"/>
      </tp>
      <tp t="e">
        <v>#N/A</v>
        <stp/>
        <stp>BDH|1430124804419765419</stp>
        <tr r="M207" s="18"/>
      </tp>
      <tp t="e">
        <v>#N/A</v>
        <stp/>
        <stp>BDH|4737056983839684839</stp>
        <tr r="S17" s="13"/>
      </tp>
      <tp t="e">
        <v>#N/A</v>
        <stp/>
        <stp>BDH|8057457920433814098</stp>
        <tr r="Y27" s="12"/>
      </tp>
      <tp t="e">
        <v>#N/A</v>
        <stp/>
        <stp>BDH|4286084859019534520</stp>
        <tr r="M81" s="17"/>
      </tp>
      <tp t="e">
        <v>#N/A</v>
        <stp/>
        <stp>BDH|9307714243563385467</stp>
        <tr r="O15" s="9"/>
      </tp>
      <tp t="e">
        <v>#N/A</v>
        <stp/>
        <stp>BDH|1038845952546352718</stp>
        <tr r="W49" s="12"/>
      </tp>
      <tp t="e">
        <v>#N/A</v>
        <stp/>
        <stp>BDH|5458749717287380908</stp>
        <tr r="F38" s="21"/>
        <tr r="F24" s="3"/>
      </tp>
      <tp t="e">
        <v>#N/A</v>
        <stp/>
        <stp>BDH|4906759624759845544</stp>
        <tr r="R24" s="13"/>
      </tp>
      <tp t="e">
        <v>#N/A</v>
        <stp/>
        <stp>BDH|4637856831854319652</stp>
        <tr r="F89" s="12"/>
      </tp>
      <tp t="e">
        <v>#N/A</v>
        <stp/>
        <stp>BDH|4830434587440052588</stp>
        <tr r="U38" s="24"/>
      </tp>
      <tp t="e">
        <v>#N/A</v>
        <stp/>
        <stp>BDH|8213192549735373542</stp>
        <tr r="E12" s="27"/>
        <tr r="E26" s="25"/>
      </tp>
      <tp t="e">
        <v>#N/A</v>
        <stp/>
        <stp>BDH|8326831252139000173</stp>
        <tr r="T121" s="12"/>
      </tp>
      <tp t="e">
        <v>#N/A</v>
        <stp/>
        <stp>BDH|3671456835480011935</stp>
        <tr r="H48" s="17"/>
      </tp>
      <tp t="e">
        <v>#N/A</v>
        <stp/>
        <stp>BDH|7381473387193731518</stp>
        <tr r="G46" s="22"/>
      </tp>
      <tp t="e">
        <v>#N/A</v>
        <stp/>
        <stp>BDH|2949994765450475043</stp>
        <tr r="W13" s="28"/>
        <tr r="W96" s="17"/>
      </tp>
      <tp t="e">
        <v>#N/A</v>
        <stp/>
        <stp>BDH|1294628369078867444</stp>
        <tr r="Z38" s="13"/>
        <tr r="X31" s="10"/>
      </tp>
      <tp t="e">
        <v>#N/A</v>
        <stp/>
        <stp>BDH|5506840401221763127</stp>
        <tr r="E9" s="30"/>
      </tp>
      <tp t="e">
        <v>#N/A</v>
        <stp/>
        <stp>BDH|8063242111611888789</stp>
        <tr r="X13" s="8"/>
      </tp>
      <tp t="e">
        <v>#N/A</v>
        <stp/>
        <stp>BDH|8928789953050105769</stp>
        <tr r="F62" s="34"/>
      </tp>
      <tp t="e">
        <v>#N/A</v>
        <stp/>
        <stp>BDH|5621849232132713129</stp>
        <tr r="V21" s="34"/>
      </tp>
      <tp t="e">
        <v>#N/A</v>
        <stp/>
        <stp>BDH|8619127665534311670</stp>
        <tr r="S109" s="18"/>
      </tp>
      <tp t="e">
        <v>#N/A</v>
        <stp/>
        <stp>BDH|7198551381944924391</stp>
        <tr r="R60" s="13"/>
      </tp>
      <tp t="e">
        <v>#N/A</v>
        <stp/>
        <stp>BDH|3725315687316566317</stp>
        <tr r="L133" s="18"/>
      </tp>
      <tp t="e">
        <v>#N/A</v>
        <stp/>
        <stp>BDH|5082144890781973189</stp>
        <tr r="E17" s="24"/>
      </tp>
      <tp t="e">
        <v>#N/A</v>
        <stp/>
        <stp>BDH|6809747729758067603</stp>
        <tr r="W36" s="17"/>
      </tp>
      <tp t="e">
        <v>#N/A</v>
        <stp/>
        <stp>BDH|4043452186180727510</stp>
        <tr r="U10" s="12"/>
      </tp>
      <tp t="e">
        <v>#N/A</v>
        <stp/>
        <stp>BDH|8621067504157774267</stp>
        <tr r="N55" s="24"/>
      </tp>
      <tp t="e">
        <v>#N/A</v>
        <stp/>
        <stp>BDH|2256224933267149973</stp>
        <tr r="P45" s="17"/>
      </tp>
      <tp t="e">
        <v>#N/A</v>
        <stp/>
        <stp>BDH|9862317438861683525</stp>
        <tr r="D45" s="13"/>
      </tp>
      <tp t="e">
        <v>#N/A</v>
        <stp/>
        <stp>BDH|1922523569798346746</stp>
        <tr r="U9" s="26"/>
      </tp>
      <tp t="e">
        <v>#N/A</v>
        <stp/>
        <stp>BDH|9432494229172887099</stp>
        <tr r="J138" s="18"/>
      </tp>
      <tp t="e">
        <v>#N/A</v>
        <stp/>
        <stp>BDH|3696856603856668036</stp>
        <tr r="I73" s="12"/>
      </tp>
      <tp t="e">
        <v>#N/A</v>
        <stp/>
        <stp>BDH|1419424224342171866</stp>
        <tr r="Q72" s="18"/>
      </tp>
      <tp t="e">
        <v>#N/A</v>
        <stp/>
        <stp>BDH|3228464415572612925</stp>
        <tr r="K68" s="18"/>
      </tp>
      <tp t="e">
        <v>#N/A</v>
        <stp/>
        <stp>BDH|2685548099023752093</stp>
        <tr r="F33" s="11"/>
        <tr r="F42" s="10"/>
      </tp>
      <tp t="e">
        <v>#N/A</v>
        <stp/>
        <stp>BDH|4741419860989246216</stp>
        <tr r="N6" s="15"/>
        <tr r="N6" s="10"/>
        <tr r="N11" s="4"/>
        <tr r="N12" s="2"/>
      </tp>
      <tp t="e">
        <v>#N/A</v>
        <stp/>
        <stp>BDH|8668369787367308915</stp>
        <tr r="C34" s="13"/>
      </tp>
      <tp t="e">
        <v>#N/A</v>
        <stp/>
        <stp>BDH|2424270896276110218</stp>
        <tr r="U19" s="23"/>
        <tr r="S59" s="11"/>
      </tp>
      <tp t="e">
        <v>#N/A</v>
        <stp/>
        <stp>BDH|3515267986935608167</stp>
        <tr r="C115" s="18"/>
      </tp>
      <tp t="e">
        <v>#N/A</v>
        <stp/>
        <stp>BDH|8183706414291949290</stp>
        <tr r="P15" s="18"/>
      </tp>
      <tp t="e">
        <v>#N/A</v>
        <stp/>
        <stp>BDH|4746723249822068891</stp>
        <tr r="Q13" s="6"/>
      </tp>
      <tp t="e">
        <v>#N/A</v>
        <stp/>
        <stp>BDH|6851989784398477253</stp>
        <tr r="G105" s="12"/>
      </tp>
      <tp t="e">
        <v>#N/A</v>
        <stp/>
        <stp>BDH|7309187557776892812</stp>
        <tr r="G74" s="17"/>
      </tp>
      <tp t="e">
        <v>#N/A</v>
        <stp/>
        <stp>BDH|6685546089763919573</stp>
        <tr r="V178" s="18"/>
      </tp>
      <tp t="e">
        <v>#N/A</v>
        <stp/>
        <stp>BDH|9397773219067993519</stp>
        <tr r="K22" s="20"/>
      </tp>
      <tp t="e">
        <v>#N/A</v>
        <stp/>
        <stp>BDH|9135065529546966028</stp>
        <tr r="P14" s="10"/>
      </tp>
      <tp t="e">
        <v>#N/A</v>
        <stp/>
        <stp>BDH|5165269005238355245</stp>
        <tr r="F76" s="18"/>
      </tp>
      <tp t="e">
        <v>#N/A</v>
        <stp/>
        <stp>BDH|8228836985846506341</stp>
        <tr r="P19" s="28"/>
        <tr r="P16" s="17"/>
      </tp>
      <tp t="e">
        <v>#N/A</v>
        <stp/>
        <stp>BDH|2148120916359788672</stp>
        <tr r="T53" s="18"/>
      </tp>
      <tp t="e">
        <v>#N/A</v>
        <stp/>
        <stp>BDH|9120443488411898901</stp>
        <tr r="W11" s="9"/>
      </tp>
      <tp t="e">
        <v>#N/A</v>
        <stp/>
        <stp>BDH|6345843842452367538</stp>
        <tr r="N41" s="17"/>
      </tp>
      <tp t="e">
        <v>#N/A</v>
        <stp/>
        <stp>BDH|2423099519126736865</stp>
        <tr r="K133" s="18"/>
      </tp>
      <tp t="e">
        <v>#N/A</v>
        <stp/>
        <stp>BDH|2193421867728011512</stp>
        <tr r="Q16" s="27"/>
        <tr r="Q30" s="25"/>
      </tp>
      <tp t="e">
        <v>#N/A</v>
        <stp/>
        <stp>BDH|7778892050925282298</stp>
        <tr r="D70" s="34"/>
      </tp>
      <tp t="e">
        <v>#N/A</v>
        <stp/>
        <stp>BDH|4520018677166413825</stp>
        <tr r="U74" s="17"/>
      </tp>
      <tp t="e">
        <v>#N/A</v>
        <stp/>
        <stp>BDH|4928960488858765053</stp>
        <tr r="X39" s="26"/>
      </tp>
      <tp t="e">
        <v>#N/A</v>
        <stp/>
        <stp>BDH|2416610944398454509</stp>
        <tr r="D61" s="12"/>
      </tp>
      <tp t="e">
        <v>#N/A</v>
        <stp/>
        <stp>BDH|43106314450620065</stp>
        <tr r="D12" s="27"/>
        <tr r="D26" s="25"/>
      </tp>
      <tp t="e">
        <v>#N/A</v>
        <stp/>
        <stp>BDH|17605431833534612</stp>
        <tr r="J8" s="27"/>
      </tp>
      <tp t="e">
        <v>#N/A</v>
        <stp/>
        <stp>BDH|13524400910717578</stp>
        <tr r="Z10" s="25"/>
        <tr r="Z55" s="17"/>
      </tp>
      <tp t="e">
        <v>#N/A</v>
        <stp/>
        <stp>BDH|76632960286051600</stp>
        <tr r="O8" s="14"/>
      </tp>
      <tp t="e">
        <v>#N/A</v>
        <stp/>
        <stp>BDH|56166796259301125</stp>
        <tr r="C168" s="18"/>
      </tp>
      <tp t="e">
        <v>#N/A</v>
        <stp/>
        <stp>BDH|75221459332310562</stp>
        <tr r="C97" s="12"/>
      </tp>
      <tp t="e">
        <v>#N/A</v>
        <stp/>
        <stp>BDH|76297372513620602</stp>
        <tr r="J67" s="18"/>
      </tp>
      <tp t="e">
        <v>#N/A</v>
        <stp/>
        <stp>BDH|27774538083117731</stp>
        <tr r="W20" s="28"/>
        <tr r="W17" s="17"/>
      </tp>
      <tp t="e">
        <v>#N/A</v>
        <stp/>
        <stp>BDH|34024569845494355</stp>
        <tr r="N42" s="24"/>
      </tp>
      <tp t="e">
        <v>#N/A</v>
        <stp/>
        <stp>BDH|7879100947759181549</stp>
        <tr r="Z13" s="8"/>
      </tp>
      <tp t="e">
        <v>#N/A</v>
        <stp/>
        <stp>BDH|9798066498557220918</stp>
        <tr r="M129" s="18"/>
      </tp>
      <tp t="e">
        <v>#N/A</v>
        <stp/>
        <stp>BDH|4899455999927836065</stp>
        <tr r="M42" s="29"/>
        <tr r="M33" s="29"/>
        <tr r="K55" s="6"/>
        <tr r="K11" s="5"/>
        <tr r="L10" s="2"/>
      </tp>
      <tp t="e">
        <v>#N/A</v>
        <stp/>
        <stp>BDH|8091183630911171537</stp>
        <tr r="M190" s="18"/>
      </tp>
      <tp t="e">
        <v>#N/A</v>
        <stp/>
        <stp>BDH|2105928047764651589</stp>
        <tr r="H19" s="13"/>
        <tr r="F62" s="10"/>
        <tr r="F32" s="4"/>
        <tr r="F16" s="2"/>
      </tp>
      <tp t="e">
        <v>#N/A</v>
        <stp/>
        <stp>BDH|3778744029100465847</stp>
        <tr r="N64" s="21"/>
      </tp>
      <tp t="e">
        <v>#N/A</v>
        <stp/>
        <stp>BDH|4812502494634663201</stp>
        <tr r="S27" s="34"/>
      </tp>
      <tp t="e">
        <v>#N/A</v>
        <stp/>
        <stp>BDH|3560575601578026096</stp>
        <tr r="V46" s="17"/>
      </tp>
      <tp t="e">
        <v>#N/A</v>
        <stp/>
        <stp>BDH|7353113264678968654</stp>
        <tr r="J44" s="11"/>
        <tr r="J53" s="10"/>
        <tr r="J16" s="7"/>
      </tp>
      <tp t="e">
        <v>#N/A</v>
        <stp/>
        <stp>BDH|7636720322489449586</stp>
        <tr r="N100" s="12"/>
      </tp>
      <tp t="e">
        <v>#N/A</v>
        <stp/>
        <stp>BDH|9765911553759731286</stp>
        <tr r="X16" s="34"/>
      </tp>
      <tp t="e">
        <v>#N/A</v>
        <stp/>
        <stp>BDH|1623303725409834713</stp>
        <tr r="E50" s="18"/>
      </tp>
      <tp t="e">
        <v>#N/A</v>
        <stp/>
        <stp>BDH|1731773389974345408</stp>
        <tr r="N22" s="30"/>
        <tr r="N24" s="23"/>
      </tp>
      <tp t="e">
        <v>#N/A</v>
        <stp/>
        <stp>BDH|8733085779224864547</stp>
        <tr r="Y25" s="10"/>
      </tp>
      <tp t="e">
        <v>#N/A</v>
        <stp/>
        <stp>BDH|8947042242886792422</stp>
        <tr r="O18" s="13"/>
      </tp>
      <tp t="e">
        <v>#N/A</v>
        <stp/>
        <stp>BDH|8207183361726995789</stp>
        <tr r="M81" s="34"/>
      </tp>
      <tp t="e">
        <v>#N/A</v>
        <stp/>
        <stp>BDH|6599399305589638252</stp>
        <tr r="G63" s="13"/>
      </tp>
      <tp t="e">
        <v>#N/A</v>
        <stp/>
        <stp>BDH|8934781767627511092</stp>
        <tr r="G86" s="12"/>
      </tp>
      <tp t="e">
        <v>#N/A</v>
        <stp/>
        <stp>BDH|1975638822828760356</stp>
        <tr r="J63" s="18"/>
      </tp>
      <tp t="e">
        <v>#N/A</v>
        <stp/>
        <stp>BDH|3370723663585931915</stp>
        <tr r="T76" s="34"/>
      </tp>
      <tp t="e">
        <v>#N/A</v>
        <stp/>
        <stp>BDH|8036676338390041354</stp>
        <tr r="K48" s="13"/>
      </tp>
      <tp t="e">
        <v>#N/A</v>
        <stp/>
        <stp>BDH|7892507447641547905</stp>
        <tr r="D181" s="18"/>
      </tp>
      <tp t="e">
        <v>#N/A</v>
        <stp/>
        <stp>BDH|8507072849440390226</stp>
        <tr r="D8" s="34"/>
      </tp>
      <tp t="e">
        <v>#N/A</v>
        <stp/>
        <stp>BDH|9927451232472595216</stp>
        <tr r="L34" s="34"/>
      </tp>
      <tp t="e">
        <v>#N/A</v>
        <stp/>
        <stp>BDH|4860359144459577464</stp>
        <tr r="O34" s="22"/>
      </tp>
      <tp t="e">
        <v>#N/A</v>
        <stp/>
        <stp>BDH|1023851920845751086</stp>
        <tr r="R68" s="12"/>
      </tp>
      <tp t="e">
        <v>#N/A</v>
        <stp/>
        <stp>BDH|3379182501584231828</stp>
        <tr r="Y13" s="21"/>
      </tp>
      <tp t="e">
        <v>#N/A</v>
        <stp/>
        <stp>BDH|5731441369740990997</stp>
        <tr r="U181" s="18"/>
      </tp>
      <tp t="e">
        <v>#N/A</v>
        <stp/>
        <stp>BDH|3584574647779650594</stp>
        <tr r="V26" s="22"/>
      </tp>
      <tp t="e">
        <v>#N/A</v>
        <stp/>
        <stp>BDH|1416505178964000967</stp>
        <tr r="X95" s="12"/>
      </tp>
      <tp t="e">
        <v>#N/A</v>
        <stp/>
        <stp>BDH|8048560925532885314</stp>
        <tr r="H12" s="10"/>
      </tp>
      <tp t="e">
        <v>#N/A</v>
        <stp/>
        <stp>BDH|1062777322073995965</stp>
        <tr r="R20" s="5"/>
      </tp>
      <tp t="e">
        <v>#N/A</v>
        <stp/>
        <stp>BDH|1722018093676656094</stp>
        <tr r="O44" s="21"/>
      </tp>
      <tp t="e">
        <v>#N/A</v>
        <stp/>
        <stp>BDH|4219864499828583328</stp>
        <tr r="H9" s="20"/>
        <tr r="H119" s="18"/>
      </tp>
      <tp t="e">
        <v>#N/A</v>
        <stp/>
        <stp>BDH|8836934226909409433</stp>
        <tr r="R48" s="13"/>
      </tp>
      <tp t="e">
        <v>#N/A</v>
        <stp/>
        <stp>BDH|3811711797813106054</stp>
        <tr r="Q65" s="21"/>
        <tr r="O23" s="7"/>
      </tp>
      <tp t="e">
        <v>#N/A</v>
        <stp/>
        <stp>BDH|9364125338792406778</stp>
        <tr r="F22" s="14"/>
      </tp>
      <tp t="e">
        <v>#N/A</v>
        <stp/>
        <stp>BDH|9379267548388481934</stp>
        <tr r="O7" s="20"/>
        <tr r="O117" s="18"/>
      </tp>
      <tp t="e">
        <v>#N/A</v>
        <stp/>
        <stp>BDH|3052360258052434909</stp>
        <tr r="J12" s="26"/>
      </tp>
      <tp t="e">
        <v>#N/A</v>
        <stp/>
        <stp>BDH|9795641445637510290</stp>
        <tr r="G61" s="18"/>
      </tp>
      <tp t="e">
        <v>#N/A</v>
        <stp/>
        <stp>BDH|8575013156977840406</stp>
        <tr r="O74" s="34"/>
      </tp>
      <tp t="e">
        <v>#N/A</v>
        <stp/>
        <stp>BDH|6769329787034135793</stp>
        <tr r="H83" s="18"/>
      </tp>
      <tp t="e">
        <v>#N/A</v>
        <stp/>
        <stp>BDH|5363598845998697230</stp>
        <tr r="D127" s="12"/>
      </tp>
      <tp t="e">
        <v>#N/A</v>
        <stp/>
        <stp>BDH|3210202664609862052</stp>
        <tr r="M8" s="25"/>
        <tr r="J10" s="5"/>
        <tr r="K9" s="2"/>
      </tp>
      <tp t="e">
        <v>#N/A</v>
        <stp/>
        <stp>BDH|6400408178959527222</stp>
        <tr r="E63" s="17"/>
      </tp>
      <tp t="e">
        <v>#N/A</v>
        <stp/>
        <stp>BDH|9254466977121821501</stp>
        <tr r="Z95" s="12"/>
      </tp>
      <tp t="e">
        <v>#N/A</v>
        <stp/>
        <stp>BDH|5549527217339213690</stp>
        <tr r="M45" s="18"/>
      </tp>
      <tp t="e">
        <v>#N/A</v>
        <stp/>
        <stp>BDH|2791122018638396454</stp>
        <tr r="G26" s="14"/>
      </tp>
      <tp t="e">
        <v>#N/A</v>
        <stp/>
        <stp>BDH|7297929898761540863</stp>
        <tr r="E127" s="18"/>
      </tp>
      <tp t="e">
        <v>#N/A</v>
        <stp/>
        <stp>BDH|2541699537848064100</stp>
        <tr r="R64" s="21"/>
      </tp>
      <tp t="e">
        <v>#N/A</v>
        <stp/>
        <stp>BDH|4897706165879747210</stp>
        <tr r="K36" s="13"/>
        <tr r="I29" s="10"/>
      </tp>
      <tp t="e">
        <v>#N/A</v>
        <stp/>
        <stp>BDH|7937154610349277050</stp>
        <tr r="W61" s="34"/>
      </tp>
      <tp t="e">
        <v>#N/A</v>
        <stp/>
        <stp>BDH|2116566058255639925</stp>
        <tr r="W102" s="12"/>
      </tp>
      <tp t="e">
        <v>#N/A</v>
        <stp/>
        <stp>BDH|8190743275502355488</stp>
        <tr r="J13" s="26"/>
      </tp>
      <tp t="e">
        <v>#N/A</v>
        <stp/>
        <stp>BDH|1529781986114370437</stp>
        <tr r="F86" s="24"/>
      </tp>
      <tp t="e">
        <v>#N/A</v>
        <stp/>
        <stp>BDH|7357345996602201184</stp>
        <tr r="O164" s="18"/>
      </tp>
      <tp t="e">
        <v>#N/A</v>
        <stp/>
        <stp>BDH|3352330693294874302</stp>
        <tr r="M22" s="14"/>
      </tp>
      <tp t="e">
        <v>#N/A</v>
        <stp/>
        <stp>BDH|1719697192661203155</stp>
        <tr r="F58" s="12"/>
      </tp>
      <tp t="e">
        <v>#N/A</v>
        <stp/>
        <stp>BDH|1251418350809821703</stp>
        <tr r="G9" s="18"/>
      </tp>
      <tp t="e">
        <v>#N/A</v>
        <stp/>
        <stp>BDH|3210167957938086180</stp>
        <tr r="I75" s="34"/>
      </tp>
      <tp t="e">
        <v>#N/A</v>
        <stp/>
        <stp>BDH|1789935148607781504</stp>
        <tr r="L12" s="24"/>
      </tp>
      <tp t="e">
        <v>#N/A</v>
        <stp/>
        <stp>BDH|5978554762941344968</stp>
        <tr r="F41" s="24"/>
      </tp>
      <tp t="e">
        <v>#N/A</v>
        <stp/>
        <stp>BDH|7097261568165305860</stp>
        <tr r="X20" s="10"/>
      </tp>
      <tp t="e">
        <v>#N/A</v>
        <stp/>
        <stp>BDH|7450292047726703969</stp>
        <tr r="I167" s="18"/>
      </tp>
      <tp t="e">
        <v>#N/A</v>
        <stp/>
        <stp>BDH|9312762682659456188</stp>
        <tr r="V28" s="26"/>
      </tp>
      <tp t="e">
        <v>#N/A</v>
        <stp/>
        <stp>BDH|6109228917249777285</stp>
        <tr r="F110" s="12"/>
      </tp>
      <tp t="e">
        <v>#N/A</v>
        <stp/>
        <stp>BDH|9080177553627673495</stp>
        <tr r="J76" s="12"/>
      </tp>
      <tp t="e">
        <v>#N/A</v>
        <stp/>
        <stp>BDH|9414715465557930129</stp>
        <tr r="H20" s="29"/>
      </tp>
      <tp t="e">
        <v>#N/A</v>
        <stp/>
        <stp>BDH|4462975547033687491</stp>
        <tr r="C7" s="28"/>
      </tp>
      <tp t="e">
        <v>#N/A</v>
        <stp/>
        <stp>BDH|3625325485405364398</stp>
        <tr r="D23" s="25"/>
      </tp>
      <tp t="e">
        <v>#N/A</v>
        <stp/>
        <stp>BDH|8557092447243405148</stp>
        <tr r="H45" s="17"/>
      </tp>
      <tp t="e">
        <v>#N/A</v>
        <stp/>
        <stp>BDH|3393503204388550093</stp>
        <tr r="O18" s="26"/>
      </tp>
      <tp t="e">
        <v>#N/A</v>
        <stp/>
        <stp>BDH|1344595473445534878</stp>
        <tr r="J10" s="13"/>
      </tp>
      <tp t="e">
        <v>#N/A</v>
        <stp/>
        <stp>BDH|8558710279831728711</stp>
        <tr r="Y29" s="22"/>
      </tp>
      <tp t="e">
        <v>#N/A</v>
        <stp/>
        <stp>BDH|6734807752562521782</stp>
        <tr r="M26" s="14"/>
      </tp>
      <tp t="e">
        <v>#N/A</v>
        <stp/>
        <stp>BDH|5547378030112252988</stp>
        <tr r="Y161" s="18"/>
      </tp>
      <tp t="e">
        <v>#N/A</v>
        <stp/>
        <stp>BDH|7948976445502534664</stp>
        <tr r="J36" s="34"/>
      </tp>
      <tp t="e">
        <v>#N/A</v>
        <stp/>
        <stp>BDH|2926770000253232841</stp>
        <tr r="Q20" s="22"/>
      </tp>
      <tp t="e">
        <v>#N/A</v>
        <stp/>
        <stp>BDH|8105041678129125847</stp>
        <tr r="G28" s="13"/>
      </tp>
      <tp t="e">
        <v>#N/A</v>
        <stp/>
        <stp>BDH|5315868746890977723</stp>
        <tr r="R21" s="34"/>
      </tp>
      <tp t="e">
        <v>#N/A</v>
        <stp/>
        <stp>BDH|3897434542285094813</stp>
        <tr r="F61" s="34"/>
      </tp>
      <tp t="e">
        <v>#N/A</v>
        <stp/>
        <stp>BDH|8350041602677429195</stp>
        <tr r="Q101" s="18"/>
      </tp>
      <tp t="e">
        <v>#N/A</v>
        <stp/>
        <stp>BDH|5958984137717763695</stp>
        <tr r="Y90" s="17"/>
      </tp>
      <tp t="e">
        <v>#N/A</v>
        <stp/>
        <stp>BDH|4024132155488818661</stp>
        <tr r="R46" s="12"/>
      </tp>
      <tp t="e">
        <v>#N/A</v>
        <stp/>
        <stp>BDH|7982814494410046848</stp>
        <tr r="K39" s="18"/>
      </tp>
      <tp t="e">
        <v>#N/A</v>
        <stp/>
        <stp>BDH|4906700720238368720</stp>
        <tr r="M20" s="5"/>
      </tp>
      <tp t="e">
        <v>#N/A</v>
        <stp/>
        <stp>BDH|8201861190027459080</stp>
        <tr r="W26" s="6"/>
      </tp>
      <tp t="e">
        <v>#N/A</v>
        <stp/>
        <stp>BDH|2502332274268976030</stp>
        <tr r="H116" s="12"/>
      </tp>
      <tp t="e">
        <v>#N/A</v>
        <stp/>
        <stp>BDH|4639840946066544090</stp>
        <tr r="Q13" s="2"/>
      </tp>
      <tp t="e">
        <v>#N/A</v>
        <stp/>
        <stp>BDH|1630777461108968614</stp>
        <tr r="T64" s="34"/>
      </tp>
      <tp t="e">
        <v>#N/A</v>
        <stp/>
        <stp>BDH|8172799361080068711</stp>
        <tr r="N9" s="26"/>
      </tp>
      <tp t="e">
        <v>#N/A</v>
        <stp/>
        <stp>BDH|8404568624943987270</stp>
        <tr r="J51" s="17"/>
      </tp>
      <tp t="e">
        <v>#N/A</v>
        <stp/>
        <stp>BDH|8981362508861912468</stp>
        <tr r="L25" s="7"/>
      </tp>
      <tp t="e">
        <v>#N/A</v>
        <stp/>
        <stp>BDH|4440129612238807244</stp>
        <tr r="C125" s="18"/>
      </tp>
      <tp t="e">
        <v>#N/A</v>
        <stp/>
        <stp>BDH|8692851702797146980</stp>
        <tr r="Q19" s="11"/>
      </tp>
      <tp t="e">
        <v>#N/A</v>
        <stp/>
        <stp>BDH|2332697245076290850</stp>
        <tr r="N56" s="17"/>
      </tp>
      <tp t="e">
        <v>#N/A</v>
        <stp/>
        <stp>BDH|8644536668846116346</stp>
        <tr r="X6" s="6"/>
      </tp>
      <tp t="e">
        <v>#N/A</v>
        <stp/>
        <stp>BDH|7024664199276015079</stp>
        <tr r="W51" s="12"/>
      </tp>
      <tp t="e">
        <v>#N/A</v>
        <stp/>
        <stp>BDH|5646341405850714880</stp>
        <tr r="P44" s="11"/>
        <tr r="P53" s="10"/>
        <tr r="P16" s="7"/>
      </tp>
      <tp t="e">
        <v>#N/A</v>
        <stp/>
        <stp>BDH|6364312683963016092</stp>
        <tr r="O150" s="18"/>
      </tp>
      <tp t="e">
        <v>#N/A</v>
        <stp/>
        <stp>BDH|7317038135549530381</stp>
        <tr r="Y19" s="26"/>
      </tp>
      <tp t="e">
        <v>#N/A</v>
        <stp/>
        <stp>BDH|3923073852479430108</stp>
        <tr r="H84" s="18"/>
      </tp>
      <tp t="e">
        <v>#N/A</v>
        <stp/>
        <stp>BDH|4060011566998901460</stp>
        <tr r="W105" s="12"/>
      </tp>
      <tp t="e">
        <v>#N/A</v>
        <stp/>
        <stp>BDH|8735217144652945226</stp>
        <tr r="H21" s="3"/>
      </tp>
      <tp t="e">
        <v>#N/A</v>
        <stp/>
        <stp>BDH|4942717045631026847</stp>
        <tr r="S55" s="12"/>
      </tp>
      <tp t="e">
        <v>#N/A</v>
        <stp/>
        <stp>BDH|4832222872526063912</stp>
        <tr r="S184" s="18"/>
      </tp>
      <tp t="e">
        <v>#N/A</v>
        <stp/>
        <stp>BDH|4202997571355571160</stp>
        <tr r="N40" s="18"/>
      </tp>
      <tp t="e">
        <v>#N/A</v>
        <stp/>
        <stp>BDH|6409610899495542202</stp>
        <tr r="C49" s="6"/>
      </tp>
      <tp t="e">
        <v>#N/A</v>
        <stp/>
        <stp>BDH|2281138197244612096</stp>
        <tr r="I36" s="29"/>
        <tr r="I22" s="29"/>
        <tr r="I13" s="29"/>
      </tp>
      <tp t="e">
        <v>#N/A</v>
        <stp/>
        <stp>BDH|8209048429706520238</stp>
        <tr r="Y17" s="24"/>
      </tp>
      <tp t="e">
        <v>#N/A</v>
        <stp/>
        <stp>BDH|4749521331669466591</stp>
        <tr r="I9" s="27"/>
      </tp>
      <tp t="e">
        <v>#N/A</v>
        <stp/>
        <stp>BDH|2085925397478485486</stp>
        <tr r="Q61" s="21"/>
      </tp>
      <tp t="e">
        <v>#N/A</v>
        <stp/>
        <stp>BDH|3157248006096939939</stp>
        <tr r="M39" s="11"/>
        <tr r="M27" s="11"/>
        <tr r="M48" s="10"/>
        <tr r="M36" s="10"/>
      </tp>
      <tp t="e">
        <v>#N/A</v>
        <stp/>
        <stp>BDH|9380578839555172454</stp>
        <tr r="J95" s="12"/>
      </tp>
      <tp t="e">
        <v>#N/A</v>
        <stp/>
        <stp>BDH|8977436271622297705</stp>
        <tr r="D20" s="29"/>
      </tp>
      <tp t="e">
        <v>#N/A</v>
        <stp/>
        <stp>BDH|5035955756514201388</stp>
        <tr r="Y187" s="18"/>
      </tp>
      <tp t="e">
        <v>#N/A</v>
        <stp/>
        <stp>BDH|1331458314299932320</stp>
        <tr r="G7" s="6"/>
      </tp>
      <tp t="e">
        <v>#N/A</v>
        <stp/>
        <stp>BDH|7780492753551525910</stp>
        <tr r="H37" s="25"/>
        <tr r="H59" s="21"/>
        <tr r="F53" s="11"/>
        <tr r="F31" s="4"/>
      </tp>
      <tp t="e">
        <v>#N/A</v>
        <stp/>
        <stp>BDH|2492985024415429257</stp>
        <tr r="E33" s="11"/>
        <tr r="E42" s="10"/>
      </tp>
      <tp t="e">
        <v>#N/A</v>
        <stp/>
        <stp>BDH|9519789900972383275</stp>
        <tr r="Y45" s="17"/>
      </tp>
      <tp t="e">
        <v>#N/A</v>
        <stp/>
        <stp>BDH|9446493810374781630</stp>
        <tr r="F67" s="13"/>
      </tp>
      <tp t="e">
        <v>#N/A</v>
        <stp/>
        <stp>BDH|4031982118817811517</stp>
        <tr r="O89" s="18"/>
      </tp>
      <tp t="e">
        <v>#N/A</v>
        <stp/>
        <stp>BDH|3555749458996439949</stp>
        <tr r="O9" s="13"/>
      </tp>
      <tp t="e">
        <v>#N/A</v>
        <stp/>
        <stp>BDH|7964539110984091930</stp>
        <tr r="J101" s="18"/>
      </tp>
      <tp t="e">
        <v>#N/A</v>
        <stp/>
        <stp>BDH|2898751192361545330</stp>
        <tr r="C47" s="6"/>
      </tp>
      <tp t="e">
        <v>#N/A</v>
        <stp/>
        <stp>BDH|9282182161114309415</stp>
        <tr r="L19" s="17"/>
      </tp>
      <tp t="e">
        <v>#N/A</v>
        <stp/>
        <stp>BDH|9924665749807728283</stp>
        <tr r="K58" s="12"/>
      </tp>
      <tp t="e">
        <v>#N/A</v>
        <stp/>
        <stp>BDH|8394993336345797951</stp>
        <tr r="H192" s="18"/>
      </tp>
      <tp t="e">
        <v>#N/A</v>
        <stp/>
        <stp>BDH|1876375310025461855</stp>
        <tr r="L19" s="6"/>
      </tp>
      <tp t="e">
        <v>#N/A</v>
        <stp/>
        <stp>BDH|6412784793334600277</stp>
        <tr r="T23" s="30"/>
        <tr r="T25" s="23"/>
      </tp>
      <tp t="e">
        <v>#N/A</v>
        <stp/>
        <stp>BDH|8691451139805360477</stp>
        <tr r="J151" s="18"/>
      </tp>
      <tp t="e">
        <v>#N/A</v>
        <stp/>
        <stp>BDH|8278707403763769280</stp>
        <tr r="T94" s="18"/>
      </tp>
      <tp t="e">
        <v>#N/A</v>
        <stp/>
        <stp>BDH|8858542525496057777</stp>
        <tr r="H57" s="18"/>
      </tp>
      <tp t="e">
        <v>#N/A</v>
        <stp/>
        <stp>BDH|5859941231778572965</stp>
        <tr r="T12" s="13"/>
      </tp>
      <tp t="e">
        <v>#N/A</v>
        <stp/>
        <stp>BDH|9986139220606313276</stp>
        <tr r="E17" s="22"/>
      </tp>
      <tp t="e">
        <v>#N/A</v>
        <stp/>
        <stp>BDH|6092452309888679447</stp>
        <tr r="H23" s="6"/>
      </tp>
      <tp t="e">
        <v>#N/A</v>
        <stp/>
        <stp>BDH|9275536601022670085</stp>
        <tr r="D33" s="12"/>
      </tp>
      <tp t="e">
        <v>#N/A</v>
        <stp/>
        <stp>BDH|5814851964323471637</stp>
        <tr r="U83" s="18"/>
      </tp>
      <tp t="e">
        <v>#N/A</v>
        <stp/>
        <stp>BDH|3249618820369498095</stp>
        <tr r="O78" s="18"/>
      </tp>
      <tp t="e">
        <v>#N/A</v>
        <stp/>
        <stp>BDH|8966480578801641418</stp>
        <tr r="T35" s="18"/>
      </tp>
      <tp t="e">
        <v>#N/A</v>
        <stp/>
        <stp>BDH|4242180475199270530</stp>
        <tr r="S43" s="21"/>
      </tp>
      <tp t="e">
        <v>#N/A</v>
        <stp/>
        <stp>BDH|8266135499566571835</stp>
        <tr r="W11" s="13"/>
      </tp>
      <tp t="e">
        <v>#N/A</v>
        <stp/>
        <stp>BDH|2275317748772323961</stp>
        <tr r="V23" s="17"/>
      </tp>
      <tp t="e">
        <v>#N/A</v>
        <stp/>
        <stp>BDH|2121184292037751327</stp>
        <tr r="P49" s="12"/>
      </tp>
      <tp t="e">
        <v>#N/A</v>
        <stp/>
        <stp>BDH|8858217930770319740</stp>
        <tr r="U84" s="12"/>
      </tp>
      <tp t="e">
        <v>#N/A</v>
        <stp/>
        <stp>BDH|6138910206006872703</stp>
        <tr r="F88" s="24"/>
      </tp>
      <tp t="e">
        <v>#N/A</v>
        <stp/>
        <stp>BDH|7231159934419901249</stp>
        <tr r="N69" s="34"/>
      </tp>
      <tp t="e">
        <v>#N/A</v>
        <stp/>
        <stp>BDH|7371951491591066892</stp>
        <tr r="X18" s="17"/>
      </tp>
      <tp t="e">
        <v>#N/A</v>
        <stp/>
        <stp>BDH|3661261074630329894</stp>
        <tr r="N92" s="17"/>
      </tp>
      <tp t="e">
        <v>#N/A</v>
        <stp/>
        <stp>BDH|5821843404681648205</stp>
        <tr r="W64" s="10"/>
      </tp>
      <tp t="e">
        <v>#N/A</v>
        <stp/>
        <stp>BDH|3126013048148052163</stp>
        <tr r="M10" s="14"/>
      </tp>
      <tp t="e">
        <v>#N/A</v>
        <stp/>
        <stp>BDH|1666900838975392030</stp>
        <tr r="Z149" s="18"/>
      </tp>
      <tp t="e">
        <v>#N/A</v>
        <stp/>
        <stp>BDH|6808609982806416009</stp>
        <tr r="O81" s="17"/>
      </tp>
      <tp t="e">
        <v>#N/A</v>
        <stp/>
        <stp>BDH|5571294607119590000</stp>
        <tr r="O60" s="17"/>
      </tp>
      <tp t="e">
        <v>#N/A</v>
        <stp/>
        <stp>BDH|9274165768576783654</stp>
        <tr r="P47" s="6"/>
      </tp>
      <tp t="e">
        <v>#N/A</v>
        <stp/>
        <stp>BDH|2775979422187409084</stp>
        <tr r="X67" s="13"/>
      </tp>
      <tp t="e">
        <v>#N/A</v>
        <stp/>
        <stp>BDH|9115130879418475919</stp>
        <tr r="C31" s="26"/>
      </tp>
      <tp t="e">
        <v>#N/A</v>
        <stp/>
        <stp>BDH|6990112709309803072</stp>
        <tr r="X112" s="18"/>
      </tp>
      <tp t="e">
        <v>#N/A</v>
        <stp/>
        <stp>BDH|9592239698759090504</stp>
        <tr r="S51" s="17"/>
      </tp>
      <tp t="e">
        <v>#N/A</v>
        <stp/>
        <stp>BDH|3070725842826669886</stp>
        <tr r="M26" s="17"/>
      </tp>
      <tp t="e">
        <v>#N/A</v>
        <stp/>
        <stp>BDH|3448719407028546294</stp>
        <tr r="S42" s="24"/>
      </tp>
      <tp t="e">
        <v>#N/A</v>
        <stp/>
        <stp>BDH|2907384440889676297</stp>
        <tr r="D39" s="6"/>
      </tp>
      <tp t="e">
        <v>#N/A</v>
        <stp/>
        <stp>BDH|2280497307178126033</stp>
        <tr r="J43" s="18"/>
      </tp>
      <tp t="e">
        <v>#N/A</v>
        <stp/>
        <stp>BDH|4641388281387285639</stp>
        <tr r="E14" s="28"/>
      </tp>
      <tp t="e">
        <v>#N/A</v>
        <stp/>
        <stp>BDH|4635842403897637594</stp>
        <tr r="J200" s="18"/>
      </tp>
      <tp t="e">
        <v>#N/A</v>
        <stp/>
        <stp>BDH|7806019382276069753</stp>
        <tr r="Q145" s="18"/>
      </tp>
      <tp t="e">
        <v>#N/A</v>
        <stp/>
        <stp>BDH|4006047318242316905</stp>
        <tr r="M86" s="24"/>
      </tp>
      <tp t="e">
        <v>#N/A</v>
        <stp/>
        <stp>BDH|5558971489998358278</stp>
        <tr r="W66" s="17"/>
      </tp>
      <tp t="e">
        <v>#N/A</v>
        <stp/>
        <stp>BDH|6371383624380212926</stp>
        <tr r="G11" s="7"/>
      </tp>
      <tp t="e">
        <v>#N/A</v>
        <stp/>
        <stp>BDH|1017896800700004762</stp>
        <tr r="H13" s="18"/>
      </tp>
      <tp t="e">
        <v>#N/A</v>
        <stp/>
        <stp>BDH|6719455239486015944</stp>
        <tr r="U75" s="34"/>
      </tp>
      <tp t="e">
        <v>#N/A</v>
        <stp/>
        <stp>BDH|3041492087373681278</stp>
        <tr r="Y13" s="27"/>
        <tr r="Y27" s="25"/>
      </tp>
      <tp t="e">
        <v>#N/A</v>
        <stp/>
        <stp>BDH|9840498095773386986</stp>
        <tr r="C82" s="12"/>
      </tp>
      <tp t="e">
        <v>#N/A</v>
        <stp/>
        <stp>BDH|2322581494601553154</stp>
        <tr r="I158" s="18"/>
      </tp>
      <tp t="e">
        <v>#N/A</v>
        <stp/>
        <stp>BDH|4884187093913832143</stp>
        <tr r="Z35" s="12"/>
      </tp>
      <tp t="e">
        <v>#N/A</v>
        <stp/>
        <stp>BDH|9826457705146159567</stp>
        <tr r="M108" s="12"/>
      </tp>
      <tp t="e">
        <v>#N/A</v>
        <stp/>
        <stp>BDH|3393133545621251980</stp>
        <tr r="R7" s="11"/>
      </tp>
      <tp t="e">
        <v>#N/A</v>
        <stp/>
        <stp>BDH|8743370214864369083</stp>
        <tr r="V9" s="21"/>
      </tp>
      <tp t="e">
        <v>#N/A</v>
        <stp/>
        <stp>BDH|9003664009863771270</stp>
        <tr r="H52" s="17"/>
      </tp>
      <tp t="e">
        <v>#N/A</v>
        <stp/>
        <stp>BDH|5243990461935131145</stp>
        <tr r="S16" s="22"/>
      </tp>
      <tp t="e">
        <v>#N/A</v>
        <stp/>
        <stp>BDH|5760860439825235556</stp>
        <tr r="I75" s="18"/>
      </tp>
      <tp t="e">
        <v>#N/A</v>
        <stp/>
        <stp>BDH|9942893719556608809</stp>
        <tr r="K203" s="18"/>
      </tp>
      <tp t="e">
        <v>#N/A</v>
        <stp/>
        <stp>BDH|1401366148821578902</stp>
        <tr r="AA62" s="12"/>
      </tp>
      <tp t="e">
        <v>#N/A</v>
        <stp/>
        <stp>BDH|8289719784231880801</stp>
        <tr r="AA50" s="34"/>
      </tp>
      <tp t="e">
        <v>#N/A</v>
        <stp/>
        <stp>BDH|7789053616780379886</stp>
        <tr r="W24" s="21"/>
      </tp>
      <tp t="e">
        <v>#N/A</v>
        <stp/>
        <stp>BDH|2437688419002950932</stp>
        <tr r="I14" s="23"/>
      </tp>
      <tp t="e">
        <v>#N/A</v>
        <stp/>
        <stp>BDH|1876276786894743111</stp>
        <tr r="F25" s="17"/>
      </tp>
      <tp t="e">
        <v>#N/A</v>
        <stp/>
        <stp>BDH|6810770403857571861</stp>
        <tr r="K66" s="17"/>
      </tp>
      <tp t="e">
        <v>#N/A</v>
        <stp/>
        <stp>BDH|9950085628037775218</stp>
        <tr r="S11" s="30"/>
      </tp>
      <tp t="e">
        <v>#N/A</v>
        <stp/>
        <stp>BDH|8264045523991816524</stp>
        <tr r="T174" s="18"/>
      </tp>
      <tp t="e">
        <v>#N/A</v>
        <stp/>
        <stp>BDH|2271833118971708412</stp>
        <tr r="V22" s="14"/>
      </tp>
      <tp t="e">
        <v>#N/A</v>
        <stp/>
        <stp>BDH|2532200729174095835</stp>
        <tr r="J31" s="11"/>
        <tr r="J40" s="10"/>
      </tp>
      <tp t="e">
        <v>#N/A</v>
        <stp/>
        <stp>BDH|9434538629054429457</stp>
        <tr r="F60" s="34"/>
      </tp>
      <tp t="e">
        <v>#N/A</v>
        <stp/>
        <stp>BDH|5209180736549535068</stp>
        <tr r="U123" s="12"/>
      </tp>
      <tp t="e">
        <v>#N/A</v>
        <stp/>
        <stp>BDH|6376280536801372829</stp>
        <tr r="V189" s="18"/>
      </tp>
      <tp t="e">
        <v>#N/A</v>
        <stp/>
        <stp>BDH|7172425974279262397</stp>
        <tr r="R25" s="34"/>
      </tp>
      <tp t="e">
        <v>#N/A</v>
        <stp/>
        <stp>BDH|5079944203350275296</stp>
        <tr r="T14" s="28"/>
      </tp>
      <tp t="e">
        <v>#N/A</v>
        <stp/>
        <stp>BDH|8571450008390373272</stp>
        <tr r="L99" s="18"/>
      </tp>
      <tp t="e">
        <v>#N/A</v>
        <stp/>
        <stp>BDH|1902827754454316602</stp>
        <tr r="V24" s="27"/>
      </tp>
      <tp t="e">
        <v>#N/A</v>
        <stp/>
        <stp>BDH|2161680742039762700</stp>
        <tr r="O59" s="24"/>
      </tp>
      <tp t="e">
        <v>#N/A</v>
        <stp/>
        <stp>BDH|8271313272576930441</stp>
        <tr r="H8" s="8"/>
      </tp>
      <tp t="e">
        <v>#N/A</v>
        <stp/>
        <stp>BDH|3365081594143723747</stp>
        <tr r="U8" s="28"/>
      </tp>
      <tp t="e">
        <v>#N/A</v>
        <stp/>
        <stp>BDH|7656883045231502427</stp>
        <tr r="Z173" s="18"/>
      </tp>
      <tp t="e">
        <v>#N/A</v>
        <stp/>
        <stp>BDH|3553750178535150857</stp>
        <tr r="U171" s="18"/>
      </tp>
      <tp t="e">
        <v>#N/A</v>
        <stp/>
        <stp>BDH|6899870854090139568</stp>
        <tr r="L48" s="17"/>
      </tp>
      <tp t="e">
        <v>#N/A</v>
        <stp/>
        <stp>BDH|9471026863989199883</stp>
        <tr r="U62" s="11"/>
        <tr r="U71" s="10"/>
      </tp>
      <tp t="e">
        <v>#N/A</v>
        <stp/>
        <stp>BDH|8051584748277424084</stp>
        <tr r="D12" s="7"/>
      </tp>
      <tp t="e">
        <v>#N/A</v>
        <stp/>
        <stp>BDH|8460883270009780078</stp>
        <tr r="V41" s="6"/>
        <tr r="V18" s="5"/>
      </tp>
      <tp t="e">
        <v>#N/A</v>
        <stp/>
        <stp>BDH|3096658995381578390</stp>
        <tr r="T111" s="18"/>
      </tp>
      <tp t="e">
        <v>#N/A</v>
        <stp/>
        <stp>BDH|8811463849236902025</stp>
        <tr r="H71" s="17"/>
        <tr r="E8" s="9"/>
        <tr r="E8" s="5"/>
      </tp>
      <tp t="e">
        <v>#N/A</v>
        <stp/>
        <stp>BDH|4297693767558032208</stp>
        <tr r="U44" s="21"/>
      </tp>
      <tp t="e">
        <v>#N/A</v>
        <stp/>
        <stp>BDH|5739806230729930925</stp>
        <tr r="G58" s="13"/>
        <tr r="E47" s="11"/>
        <tr r="E56" s="10"/>
        <tr r="E17" s="7"/>
        <tr r="E17" s="4"/>
        <tr r="G10" s="3"/>
      </tp>
      <tp t="e">
        <v>#N/A</v>
        <stp/>
        <stp>BDH|8446015841056072482</stp>
        <tr r="U27" s="18"/>
      </tp>
      <tp t="e">
        <v>#N/A</v>
        <stp/>
        <stp>BDH|6943198518859746137</stp>
        <tr r="Q48" s="13"/>
      </tp>
      <tp t="e">
        <v>#N/A</v>
        <stp/>
        <stp>BDH|1157788995171299022</stp>
        <tr r="E33" s="14"/>
      </tp>
      <tp t="e">
        <v>#N/A</v>
        <stp/>
        <stp>BDH|8492330546986455793</stp>
        <tr r="W26" s="14"/>
      </tp>
      <tp t="e">
        <v>#N/A</v>
        <stp/>
        <stp>BDH|8952808230579437412</stp>
        <tr r="J48" s="17"/>
      </tp>
      <tp t="e">
        <v>#N/A</v>
        <stp/>
        <stp>BDH|3269590253714287960</stp>
        <tr r="I21" s="20"/>
      </tp>
      <tp t="e">
        <v>#N/A</v>
        <stp/>
        <stp>BDH|4934778440530346912</stp>
        <tr r="V75" s="12"/>
      </tp>
      <tp t="e">
        <v>#N/A</v>
        <stp/>
        <stp>BDH|6588947417706261686</stp>
        <tr r="P181" s="18"/>
      </tp>
      <tp t="e">
        <v>#N/A</v>
        <stp/>
        <stp>BDH|5365868707831682285</stp>
        <tr r="T50" s="24"/>
      </tp>
      <tp t="e">
        <v>#N/A</v>
        <stp/>
        <stp>BDH|9103002309805467206</stp>
        <tr r="S205" s="18"/>
      </tp>
      <tp t="e">
        <v>#N/A</v>
        <stp/>
        <stp>BDH|6144851917987815677</stp>
        <tr r="L16" s="6"/>
      </tp>
      <tp t="e">
        <v>#N/A</v>
        <stp/>
        <stp>BDH|8489391931086552056</stp>
        <tr r="C38" s="29"/>
        <tr r="C15" s="29"/>
      </tp>
      <tp t="e">
        <v>#N/A</v>
        <stp/>
        <stp>BDH|8036558985483872845</stp>
        <tr r="R77" s="18"/>
      </tp>
      <tp t="e">
        <v>#N/A</v>
        <stp/>
        <stp>BDH|9609892189125895227</stp>
        <tr r="S127" s="18"/>
      </tp>
      <tp t="e">
        <v>#N/A</v>
        <stp/>
        <stp>BDH|4698227055775415895</stp>
        <tr r="H25" s="29"/>
        <tr r="H19" s="29"/>
        <tr r="H10" s="29"/>
        <tr r="F6" s="9"/>
        <tr r="H12" s="8"/>
        <tr r="F6" s="5"/>
        <tr r="G6" s="2"/>
      </tp>
      <tp t="e">
        <v>#N/A</v>
        <stp/>
        <stp>BDH|2423925395875752986</stp>
        <tr r="R8" s="4"/>
      </tp>
      <tp t="e">
        <v>#N/A</v>
        <stp/>
        <stp>BDH|1327995564994425460</stp>
        <tr r="P21" s="2"/>
      </tp>
      <tp t="e">
        <v>#N/A</v>
        <stp/>
        <stp>BDH|7918474627317537809</stp>
        <tr r="L24" s="20"/>
      </tp>
      <tp t="e">
        <v>#N/A</v>
        <stp/>
        <stp>BDH|8012582131569514908</stp>
        <tr r="W86" s="24"/>
      </tp>
      <tp t="e">
        <v>#N/A</v>
        <stp/>
        <stp>BDH|6368760676991751984</stp>
        <tr r="F15" s="26"/>
      </tp>
      <tp t="e">
        <v>#N/A</v>
        <stp/>
        <stp>BDH|7711529499575604063</stp>
        <tr r="N50" s="18"/>
      </tp>
      <tp t="e">
        <v>#N/A</v>
        <stp/>
        <stp>BDH|8969933693983571505</stp>
        <tr r="N18" s="11"/>
      </tp>
      <tp t="e">
        <v>#N/A</v>
        <stp/>
        <stp>BDH|7024898900026150741</stp>
        <tr r="S13" s="23"/>
        <tr r="Q57" s="11"/>
        <tr r="Q38" s="4"/>
      </tp>
      <tp t="e">
        <v>#N/A</v>
        <stp/>
        <stp>BDH|9164553623099292992</stp>
        <tr r="G23" s="30"/>
        <tr r="G25" s="23"/>
      </tp>
      <tp t="e">
        <v>#N/A</v>
        <stp/>
        <stp>BDH|5578461179631108961</stp>
        <tr r="R7" s="34"/>
      </tp>
      <tp t="e">
        <v>#N/A</v>
        <stp/>
        <stp>BDH|7611979298279390073</stp>
        <tr r="O190" s="18"/>
      </tp>
      <tp t="e">
        <v>#N/A</v>
        <stp/>
        <stp>BDH|4264868750963953402</stp>
        <tr r="Q41" s="29"/>
        <tr r="Q18" s="29"/>
      </tp>
      <tp t="e">
        <v>#N/A</v>
        <stp/>
        <stp>BDH|9245475208546055501</stp>
        <tr r="R38" s="26"/>
      </tp>
      <tp t="e">
        <v>#N/A</v>
        <stp/>
        <stp>BDH|8292057738805644042</stp>
        <tr r="M19" s="34"/>
      </tp>
      <tp t="e">
        <v>#N/A</v>
        <stp/>
        <stp>BDH|3533850460377835456</stp>
        <tr r="F8" s="14"/>
      </tp>
      <tp t="e">
        <v>#N/A</v>
        <stp/>
        <stp>BDH|2199856387199736599</stp>
        <tr r="T19" s="10"/>
      </tp>
      <tp t="e">
        <v>#N/A</v>
        <stp/>
        <stp>BDH|8746687973672521543</stp>
        <tr r="W55" s="12"/>
      </tp>
      <tp t="e">
        <v>#N/A</v>
        <stp/>
        <stp>BDH|9263083027414763170</stp>
        <tr r="E93" s="18"/>
      </tp>
      <tp t="e">
        <v>#N/A</v>
        <stp/>
        <stp>BDH|8278790331105414730</stp>
        <tr r="W39" s="13"/>
        <tr r="U32" s="10"/>
      </tp>
      <tp t="e">
        <v>#N/A</v>
        <stp/>
        <stp>BDH|3490547785731084187</stp>
        <tr r="N27" s="7"/>
      </tp>
      <tp t="e">
        <v>#N/A</v>
        <stp/>
        <stp>BDH|7820627813186020840</stp>
        <tr r="M74" s="17"/>
      </tp>
      <tp t="e">
        <v>#N/A</v>
        <stp/>
        <stp>BDH|9007042322662973725</stp>
        <tr r="P41" s="12"/>
      </tp>
      <tp t="e">
        <v>#N/A</v>
        <stp/>
        <stp>BDH|9166291685059266427</stp>
        <tr r="N19" s="11"/>
      </tp>
      <tp t="e">
        <v>#N/A</v>
        <stp/>
        <stp>BDH|9502104648734774672</stp>
        <tr r="K32" s="13"/>
        <tr r="I24" s="11"/>
        <tr r="I33" s="10"/>
        <tr r="I45" s="4"/>
      </tp>
      <tp t="e">
        <v>#N/A</v>
        <stp/>
        <stp>BDH|5629787767712143850</stp>
        <tr r="D80" s="24"/>
      </tp>
      <tp t="e">
        <v>#N/A</v>
        <stp/>
        <stp>BDH|5741213301320290984</stp>
        <tr r="M26" s="7"/>
      </tp>
      <tp t="e">
        <v>#N/A</v>
        <stp/>
        <stp>BDH|6079269610173348882</stp>
        <tr r="P58" s="18"/>
      </tp>
      <tp t="e">
        <v>#N/A</v>
        <stp/>
        <stp>BDH|6694744298775711302</stp>
        <tr r="H10" s="26"/>
      </tp>
      <tp t="e">
        <v>#N/A</v>
        <stp/>
        <stp>BDH|4982551589132145595</stp>
        <tr r="Y54" s="17"/>
        <tr r="Y17" s="3"/>
      </tp>
      <tp t="e">
        <v>#N/A</v>
        <stp/>
        <stp>BDH|6097234725620377884</stp>
        <tr r="Y86" s="17"/>
      </tp>
      <tp t="e">
        <v>#N/A</v>
        <stp/>
        <stp>BDH|3125949857766936767</stp>
        <tr r="T87" s="12"/>
      </tp>
      <tp t="e">
        <v>#N/A</v>
        <stp/>
        <stp>BDH|6180119189106724739</stp>
        <tr r="N61" s="24"/>
      </tp>
      <tp t="e">
        <v>#N/A</v>
        <stp/>
        <stp>BDH|8588271905344904031</stp>
        <tr r="Z27" s="24"/>
      </tp>
      <tp t="e">
        <v>#N/A</v>
        <stp/>
        <stp>BDH|5124956699819469241</stp>
        <tr r="M25" s="26"/>
      </tp>
      <tp t="e">
        <v>#N/A</v>
        <stp/>
        <stp>BDH|2855028939007717897</stp>
        <tr r="S44" s="12"/>
      </tp>
      <tp t="e">
        <v>#N/A</v>
        <stp/>
        <stp>BDH|1131688090640451002</stp>
        <tr r="V72" s="34"/>
      </tp>
      <tp t="e">
        <v>#N/A</v>
        <stp/>
        <stp>BDH|6127161758858071426</stp>
        <tr r="D10" s="14"/>
      </tp>
      <tp t="e">
        <v>#N/A</v>
        <stp/>
        <stp>BDH|8488255833665878276</stp>
        <tr r="X74" s="34"/>
      </tp>
      <tp t="e">
        <v>#N/A</v>
        <stp/>
        <stp>BDH|3314182674089291200</stp>
        <tr r="S18" s="22"/>
      </tp>
      <tp t="e">
        <v>#N/A</v>
        <stp/>
        <stp>BDH|9179881865649693074</stp>
        <tr r="C180" s="18"/>
      </tp>
      <tp t="e">
        <v>#N/A</v>
        <stp/>
        <stp>BDH|7612061498403491310</stp>
        <tr r="T42" s="4"/>
      </tp>
      <tp t="e">
        <v>#N/A</v>
        <stp/>
        <stp>BDH|5698146950966635998</stp>
        <tr r="X18" s="28"/>
        <tr r="X15" s="17"/>
      </tp>
      <tp t="e">
        <v>#N/A</v>
        <stp/>
        <stp>BDH|4968395590053961348</stp>
        <tr r="X92" s="18"/>
      </tp>
      <tp t="e">
        <v>#N/A</v>
        <stp/>
        <stp>BDH|4601951469066196364</stp>
        <tr r="H23" s="22"/>
      </tp>
      <tp t="e">
        <v>#N/A</v>
        <stp/>
        <stp>BDH|5830816030916368676</stp>
        <tr r="W17" s="34"/>
      </tp>
      <tp t="e">
        <v>#N/A</v>
        <stp/>
        <stp>BDH|6874919634203476144</stp>
        <tr r="S15" s="23"/>
        <tr r="Q58" s="11"/>
      </tp>
      <tp t="e">
        <v>#N/A</v>
        <stp/>
        <stp>BDH|9530520525269986966</stp>
        <tr r="N152" s="18"/>
      </tp>
      <tp t="e">
        <v>#N/A</v>
        <stp/>
        <stp>BDH|9859916743688635219</stp>
        <tr r="T18" s="20"/>
      </tp>
      <tp t="e">
        <v>#N/A</v>
        <stp/>
        <stp>BDH|3454373798622384556</stp>
        <tr r="X43" s="24"/>
      </tp>
      <tp t="e">
        <v>#N/A</v>
        <stp/>
        <stp>BDH|8091656733342837131</stp>
        <tr r="T40" s="24"/>
      </tp>
      <tp t="e">
        <v>#N/A</v>
        <stp/>
        <stp>BDH|6812679419096820934</stp>
        <tr r="N63" s="21"/>
      </tp>
      <tp t="e">
        <v>#N/A</v>
        <stp/>
        <stp>BDH|8527176856520368256</stp>
        <tr r="P8" s="14"/>
      </tp>
      <tp t="e">
        <v>#N/A</v>
        <stp/>
        <stp>BDH|7423303056507435846</stp>
        <tr r="U19" s="24"/>
      </tp>
      <tp t="e">
        <v>#N/A</v>
        <stp/>
        <stp>BDH|4847916031257245785</stp>
        <tr r="N52" s="12"/>
      </tp>
      <tp t="e">
        <v>#N/A</v>
        <stp/>
        <stp>BDH|9172135167082767205</stp>
        <tr r="T48" s="17"/>
      </tp>
      <tp t="e">
        <v>#N/A</v>
        <stp/>
        <stp>BDH|6534002057438049500</stp>
        <tr r="L53" s="17"/>
      </tp>
      <tp t="e">
        <v>#N/A</v>
        <stp/>
        <stp>BDH|2286992944423874258</stp>
        <tr r="T187" s="18"/>
      </tp>
      <tp t="e">
        <v>#N/A</v>
        <stp/>
        <stp>BDH|3871876838706624034</stp>
        <tr r="T33" s="5"/>
      </tp>
      <tp t="e">
        <v>#N/A</v>
        <stp/>
        <stp>BDH|6610326607223820894</stp>
        <tr r="Q38" s="6"/>
      </tp>
      <tp t="e">
        <v>#N/A</v>
        <stp/>
        <stp>BDH|2293546553025586924</stp>
        <tr r="P45" s="24"/>
      </tp>
      <tp t="e">
        <v>#N/A</v>
        <stp/>
        <stp>BDH|2443526596428246801</stp>
        <tr r="Y92" s="17"/>
      </tp>
      <tp t="e">
        <v>#N/A</v>
        <stp/>
        <stp>BDH|6766906554542455653</stp>
        <tr r="V7" s="8"/>
      </tp>
      <tp t="e">
        <v>#N/A</v>
        <stp/>
        <stp>BDH|2118254560021077961</stp>
        <tr r="C56" s="12"/>
      </tp>
      <tp t="e">
        <v>#N/A</v>
        <stp/>
        <stp>BDH|8268186068326970797</stp>
        <tr r="I33" s="9"/>
      </tp>
      <tp t="e">
        <v>#N/A</v>
        <stp/>
        <stp>BDH|4386578954733349911</stp>
        <tr r="F172" s="18"/>
      </tp>
      <tp t="e">
        <v>#N/A</v>
        <stp/>
        <stp>BDH|8981388767500187358</stp>
        <tr r="R190" s="18"/>
      </tp>
      <tp t="e">
        <v>#N/A</v>
        <stp/>
        <stp>BDH|8068103275852217259</stp>
        <tr r="I15" s="14"/>
      </tp>
      <tp t="e">
        <v>#N/A</v>
        <stp/>
        <stp>BDH|4141695182520922412</stp>
        <tr r="H29" s="6"/>
      </tp>
      <tp t="e">
        <v>#N/A</v>
        <stp/>
        <stp>BDH|8600123301826191166</stp>
        <tr r="N157" s="18"/>
      </tp>
      <tp t="e">
        <v>#N/A</v>
        <stp/>
        <stp>BDH|5246307334002327975</stp>
        <tr r="X29" s="6"/>
      </tp>
      <tp t="e">
        <v>#N/A</v>
        <stp/>
        <stp>BDH|8403767940304777177</stp>
        <tr r="W42" s="34"/>
      </tp>
      <tp t="e">
        <v>#N/A</v>
        <stp/>
        <stp>BDH|3582786973379407489</stp>
        <tr r="F31" s="26"/>
        <tr r="C14" s="9"/>
      </tp>
      <tp t="e">
        <v>#N/A</v>
        <stp/>
        <stp>BDH|7612325560834295842</stp>
        <tr r="X22" s="24"/>
      </tp>
      <tp t="e">
        <v>#N/A</v>
        <stp/>
        <stp>BDH|3860793095715202645</stp>
        <tr r="Z43" s="22"/>
      </tp>
      <tp t="e">
        <v>#N/A</v>
        <stp/>
        <stp>BDH|1725819560892725336</stp>
        <tr r="U17" s="30"/>
      </tp>
      <tp t="e">
        <v>#N/A</v>
        <stp/>
        <stp>BDH|6694202135888174103</stp>
        <tr r="N59" s="24"/>
      </tp>
      <tp t="e">
        <v>#N/A</v>
        <stp/>
        <stp>BDH|6173427583154040023</stp>
        <tr r="I23" s="18"/>
      </tp>
      <tp t="e">
        <v>#N/A</v>
        <stp/>
        <stp>BDH|4269948382772598939</stp>
        <tr r="S18" s="21"/>
      </tp>
      <tp t="e">
        <v>#N/A</v>
        <stp/>
        <stp>BDH|4706707293706301259</stp>
        <tr r="N24" s="9"/>
      </tp>
      <tp t="e">
        <v>#N/A</v>
        <stp/>
        <stp>BDH|3870208255738630292</stp>
        <tr r="E32" s="11"/>
        <tr r="E41" s="10"/>
      </tp>
      <tp t="e">
        <v>#N/A</v>
        <stp/>
        <stp>BDH|3775815348575878449</stp>
        <tr r="N103" s="18"/>
      </tp>
      <tp t="e">
        <v>#N/A</v>
        <stp/>
        <stp>BDH|1628196069368686027</stp>
        <tr r="Y113" s="18"/>
      </tp>
      <tp t="e">
        <v>#N/A</v>
        <stp/>
        <stp>BDH|9108933991487891096</stp>
        <tr r="K40" s="18"/>
      </tp>
      <tp t="e">
        <v>#N/A</v>
        <stp/>
        <stp>BDH|7852474138807354966</stp>
        <tr r="H72" s="18"/>
      </tp>
      <tp t="e">
        <v>#N/A</v>
        <stp/>
        <stp>BDH|1328131946198319279</stp>
        <tr r="N14" s="12"/>
      </tp>
      <tp t="e">
        <v>#N/A</v>
        <stp/>
        <stp>BDH|3663854650462334228</stp>
        <tr r="D17" s="22"/>
      </tp>
      <tp t="e">
        <v>#N/A</v>
        <stp/>
        <stp>BDH|5157147861024092866</stp>
        <tr r="W22" s="11"/>
      </tp>
      <tp t="e">
        <v>#N/A</v>
        <stp/>
        <stp>BDH|2524250510277351819</stp>
        <tr r="K76" s="17"/>
      </tp>
      <tp t="e">
        <v>#N/A</v>
        <stp/>
        <stp>BDH|2661443692939119831</stp>
        <tr r="K31" s="26"/>
        <tr r="H14" s="9"/>
      </tp>
      <tp t="e">
        <v>#N/A</v>
        <stp/>
        <stp>BDH|5768978147447704126</stp>
        <tr r="X8" s="2"/>
      </tp>
      <tp t="e">
        <v>#N/A</v>
        <stp/>
        <stp>BDH|9682720207525708561</stp>
        <tr r="J51" s="18"/>
      </tp>
      <tp t="e">
        <v>#N/A</v>
        <stp/>
        <stp>BDH|9520478693543297919</stp>
        <tr r="X19" s="22"/>
      </tp>
      <tp t="e">
        <v>#N/A</v>
        <stp/>
        <stp>BDH|9786210307487278214</stp>
        <tr r="N168" s="18"/>
      </tp>
      <tp t="e">
        <v>#N/A</v>
        <stp/>
        <stp>BDH|7397000596263366342</stp>
        <tr r="J32" s="26"/>
      </tp>
      <tp t="e">
        <v>#N/A</v>
        <stp/>
        <stp>BDH|8285017936784638114</stp>
        <tr r="S23" s="9"/>
        <tr r="S23" s="5"/>
      </tp>
      <tp t="e">
        <v>#N/A</v>
        <stp/>
        <stp>BDH|3912843224881802635</stp>
        <tr r="F44" s="18"/>
      </tp>
      <tp t="e">
        <v>#N/A</v>
        <stp/>
        <stp>BDH|6581830341093350762</stp>
        <tr r="G29" s="6"/>
      </tp>
      <tp t="e">
        <v>#N/A</v>
        <stp/>
        <stp>BDH|4142660667732140839</stp>
        <tr r="O103" s="18"/>
      </tp>
      <tp t="e">
        <v>#N/A</v>
        <stp/>
        <stp>BDH|1111650436352188814</stp>
        <tr r="I34" s="24"/>
      </tp>
      <tp t="e">
        <v>#N/A</v>
        <stp/>
        <stp>BDH|9092532562984046038</stp>
        <tr r="C43" s="21"/>
      </tp>
      <tp t="e">
        <v>#N/A</v>
        <stp/>
        <stp>BDH|3363188919545305835</stp>
        <tr r="C69" s="13"/>
      </tp>
      <tp t="e">
        <v>#N/A</v>
        <stp/>
        <stp>BDH|7426548799291989431</stp>
        <tr r="X54" s="17"/>
        <tr r="X17" s="3"/>
      </tp>
      <tp t="e">
        <v>#N/A</v>
        <stp/>
        <stp>BDH|7764852573096335016</stp>
        <tr r="M116" s="12"/>
      </tp>
      <tp t="e">
        <v>#N/A</v>
        <stp/>
        <stp>BDH|8374426870805113039</stp>
        <tr r="L25" s="26"/>
      </tp>
      <tp t="e">
        <v>#N/A</v>
        <stp/>
        <stp>BDH|3147932270162516146</stp>
        <tr r="V20" s="14"/>
      </tp>
      <tp t="e">
        <v>#N/A</v>
        <stp/>
        <stp>BDH|5779804239239999948</stp>
        <tr r="N22" s="6"/>
      </tp>
      <tp t="e">
        <v>#N/A</v>
        <stp/>
        <stp>BDH|3828163289483260763</stp>
        <tr r="AA58" s="34"/>
      </tp>
      <tp t="e">
        <v>#N/A</v>
        <stp/>
        <stp>BDH|4139045835561055836</stp>
        <tr r="R143" s="18"/>
      </tp>
      <tp t="e">
        <v>#N/A</v>
        <stp/>
        <stp>BDH|7498668432715030935</stp>
        <tr r="Y15" s="12"/>
      </tp>
      <tp t="e">
        <v>#N/A</v>
        <stp/>
        <stp>BDH|8176072228184878050</stp>
        <tr r="L66" s="21"/>
        <tr r="I31" s="6"/>
      </tp>
      <tp t="e">
        <v>#N/A</v>
        <stp/>
        <stp>BDH|9666438252745596313</stp>
        <tr r="V60" s="34"/>
      </tp>
      <tp t="e">
        <v>#N/A</v>
        <stp/>
        <stp>BDH|6623291169744535804</stp>
        <tr r="O64" s="21"/>
      </tp>
      <tp t="e">
        <v>#N/A</v>
        <stp/>
        <stp>BDH|4927197489356917535</stp>
        <tr r="U29" s="17"/>
      </tp>
      <tp t="e">
        <v>#N/A</v>
        <stp/>
        <stp>BDH|5395016702162130928</stp>
        <tr r="F32" s="18"/>
      </tp>
      <tp t="e">
        <v>#N/A</v>
        <stp/>
        <stp>BDH|8602267762245944784</stp>
        <tr r="D55" s="34"/>
      </tp>
      <tp t="e">
        <v>#N/A</v>
        <stp/>
        <stp>BDH|5831304747575816946</stp>
        <tr r="K41" s="12"/>
      </tp>
      <tp t="e">
        <v>#N/A</v>
        <stp/>
        <stp>BDH|8041624720211813397</stp>
        <tr r="C50" s="12"/>
      </tp>
      <tp t="e">
        <v>#N/A</v>
        <stp/>
        <stp>BDH|3075875039861995747</stp>
        <tr r="Q95" s="24"/>
      </tp>
      <tp t="e">
        <v>#N/A</v>
        <stp/>
        <stp>BDH|4517674994340302562</stp>
        <tr r="AA149" s="18"/>
      </tp>
      <tp t="e">
        <v>#N/A</v>
        <stp/>
        <stp>BDH|8211393508451687469</stp>
        <tr r="G77" s="17"/>
      </tp>
      <tp t="e">
        <v>#N/A</v>
        <stp/>
        <stp>BDH|7257924824565055776</stp>
        <tr r="L20" s="17"/>
      </tp>
      <tp t="e">
        <v>#N/A</v>
        <stp/>
        <stp>BDH|3626782133200857961</stp>
        <tr r="L16" s="34"/>
      </tp>
      <tp t="e">
        <v>#N/A</v>
        <stp/>
        <stp>BDH|3350163593200739521</stp>
        <tr r="M13" s="10"/>
      </tp>
      <tp t="e">
        <v>#N/A</v>
        <stp/>
        <stp>BDH|8629069151064043729</stp>
        <tr r="P24" s="22"/>
      </tp>
      <tp t="e">
        <v>#N/A</v>
        <stp/>
        <stp>BDH|4074529638028816416</stp>
        <tr r="T20" s="17"/>
      </tp>
      <tp t="e">
        <v>#N/A</v>
        <stp/>
        <stp>BDH|6765918247505726050</stp>
        <tr r="R162" s="18"/>
      </tp>
      <tp t="e">
        <v>#N/A</v>
        <stp/>
        <stp>BDH|9997803381127855037</stp>
        <tr r="Q42" s="22"/>
      </tp>
      <tp t="e">
        <v>#N/A</v>
        <stp/>
        <stp>BDH|3580214004056360902</stp>
        <tr r="H63" s="10"/>
      </tp>
      <tp t="e">
        <v>#N/A</v>
        <stp/>
        <stp>BDH|4569999639217238746</stp>
        <tr r="I114" s="18"/>
      </tp>
      <tp t="e">
        <v>#N/A</v>
        <stp/>
        <stp>BDH|9757611312137751708</stp>
        <tr r="T11" s="11"/>
      </tp>
      <tp t="e">
        <v>#N/A</v>
        <stp/>
        <stp>BDH|7521234508792800959</stp>
        <tr r="U16" s="25"/>
      </tp>
      <tp t="e">
        <v>#N/A</v>
        <stp/>
        <stp>BDH|9768758400160861091</stp>
        <tr r="D76" s="12"/>
      </tp>
      <tp t="e">
        <v>#N/A</v>
        <stp/>
        <stp>BDH|5042872027740685152</stp>
        <tr r="Z11" s="13"/>
      </tp>
      <tp t="e">
        <v>#N/A</v>
        <stp/>
        <stp>BDH|3616970433022183503</stp>
        <tr r="O20" s="23"/>
      </tp>
      <tp t="e">
        <v>#N/A</v>
        <stp/>
        <stp>BDH|5367524707277539909</stp>
        <tr r="I22" s="34"/>
      </tp>
      <tp t="e">
        <v>#N/A</v>
        <stp/>
        <stp>BDH|1866789469858393693</stp>
        <tr r="G56" s="17"/>
      </tp>
      <tp t="e">
        <v>#N/A</v>
        <stp/>
        <stp>BDH|9888686197301060946</stp>
        <tr r="D100" s="12"/>
      </tp>
      <tp t="e">
        <v>#N/A</v>
        <stp/>
        <stp>BDH|3963450115709392194</stp>
        <tr r="P38" s="6"/>
      </tp>
      <tp t="e">
        <v>#N/A</v>
        <stp/>
        <stp>BDH|4380047253138668714</stp>
        <tr r="H48" s="24"/>
      </tp>
      <tp t="e">
        <v>#N/A</v>
        <stp/>
        <stp>BDH|2252421307589352178</stp>
        <tr r="C13" s="6"/>
      </tp>
      <tp t="e">
        <v>#N/A</v>
        <stp/>
        <stp>BDH|4192125854716009844</stp>
        <tr r="D16" s="22"/>
      </tp>
      <tp t="e">
        <v>#N/A</v>
        <stp/>
        <stp>BDH|4167456876598225138</stp>
        <tr r="R62" s="24"/>
      </tp>
      <tp t="e">
        <v>#N/A</v>
        <stp/>
        <stp>BDH|8689037457481502245</stp>
        <tr r="V25" s="3"/>
      </tp>
      <tp t="e">
        <v>#N/A</v>
        <stp/>
        <stp>BDH|9615312165981701364</stp>
        <tr r="M29" s="12"/>
      </tp>
      <tp t="e">
        <v>#N/A</v>
        <stp/>
        <stp>BDH|6434811454680322518</stp>
        <tr r="V49" s="17"/>
      </tp>
      <tp t="e">
        <v>#N/A</v>
        <stp/>
        <stp>BDH|2791971763805314600</stp>
        <tr r="AA51" s="21"/>
      </tp>
      <tp t="e">
        <v>#N/A</v>
        <stp/>
        <stp>BDH|6053607546769708314</stp>
        <tr r="W53" s="17"/>
      </tp>
      <tp t="e">
        <v>#N/A</v>
        <stp/>
        <stp>BDH|5019312937209019261</stp>
        <tr r="Z29" s="34"/>
      </tp>
      <tp t="e">
        <v>#N/A</v>
        <stp/>
        <stp>BDH|1279314107648667422</stp>
        <tr r="F147" s="18"/>
      </tp>
      <tp t="e">
        <v>#N/A</v>
        <stp/>
        <stp>BDH|6294035055605582811</stp>
        <tr r="H43" s="21"/>
      </tp>
      <tp t="e">
        <v>#N/A</v>
        <stp/>
        <stp>BDH|9705182413670917757</stp>
        <tr r="L60" s="34"/>
      </tp>
      <tp t="e">
        <v>#N/A</v>
        <stp/>
        <stp>BDH|4233733090981529549</stp>
        <tr r="C20" s="17"/>
      </tp>
      <tp t="e">
        <v>#N/A</v>
        <stp/>
        <stp>BDH|5201151936240304921</stp>
        <tr r="AA101" s="12"/>
      </tp>
      <tp t="e">
        <v>#N/A</v>
        <stp/>
        <stp>BDH|4576810675073405652</stp>
        <tr r="J80" s="12"/>
      </tp>
      <tp t="e">
        <v>#N/A</v>
        <stp/>
        <stp>BDH|1138134233928239539</stp>
        <tr r="H78" s="17"/>
      </tp>
      <tp t="e">
        <v>#N/A</v>
        <stp/>
        <stp>BDH|1544902526442426674</stp>
        <tr r="C70" s="18"/>
      </tp>
      <tp t="e">
        <v>#N/A</v>
        <stp/>
        <stp>BDH|7199368946766709862</stp>
        <tr r="N154" s="18"/>
      </tp>
      <tp t="e">
        <v>#N/A</v>
        <stp/>
        <stp>BDH|2317051261718194269</stp>
        <tr r="F10" s="18"/>
      </tp>
      <tp t="e">
        <v>#N/A</v>
        <stp/>
        <stp>BDH|7302700801516505872</stp>
        <tr r="M35" s="12"/>
      </tp>
      <tp t="e">
        <v>#N/A</v>
        <stp/>
        <stp>BDH|8072469854744460368</stp>
        <tr r="W58" s="24"/>
      </tp>
      <tp t="e">
        <v>#N/A</v>
        <stp/>
        <stp>BDH|2141508321842070905</stp>
        <tr r="U53" s="13"/>
      </tp>
      <tp t="e">
        <v>#N/A</v>
        <stp/>
        <stp>BDH|5057035793567431540</stp>
        <tr r="AA61" s="13"/>
        <tr r="Y48" s="11"/>
        <tr r="Y57" s="10"/>
        <tr r="Y18" s="7"/>
      </tp>
      <tp t="e">
        <v>#N/A</v>
        <stp/>
        <stp>BDH|9947669875315219389</stp>
        <tr r="R57" s="12"/>
      </tp>
      <tp t="e">
        <v>#N/A</v>
        <stp/>
        <stp>BDH|6555030697609661873</stp>
        <tr r="Y16" s="14"/>
      </tp>
      <tp t="e">
        <v>#N/A</v>
        <stp/>
        <stp>BDH|8325176618986427089</stp>
        <tr r="D157" s="18"/>
      </tp>
      <tp t="e">
        <v>#N/A</v>
        <stp/>
        <stp>BDH|5650998813535466688</stp>
        <tr r="C26" s="27"/>
      </tp>
      <tp t="e">
        <v>#N/A</v>
        <stp/>
        <stp>BDH|2647558082478968987</stp>
        <tr r="C42" s="11"/>
        <tr r="C51" s="10"/>
        <tr r="C14" s="7"/>
        <tr r="E9" s="3"/>
      </tp>
      <tp t="e">
        <v>#N/A</v>
        <stp/>
        <stp>BDH|3019208163108263116</stp>
        <tr r="F17" s="27"/>
        <tr r="F31" s="25"/>
        <tr r="C14" s="5"/>
      </tp>
      <tp t="e">
        <v>#N/A</v>
        <stp/>
        <stp>BDH|6020250248068904649</stp>
        <tr r="U39" s="22"/>
      </tp>
      <tp t="e">
        <v>#N/A</v>
        <stp/>
        <stp>BDH|5986011518628728276</stp>
        <tr r="F30" s="12"/>
      </tp>
      <tp t="e">
        <v>#N/A</v>
        <stp/>
        <stp>BDH|9721670807531641018</stp>
        <tr r="C90" s="18"/>
      </tp>
      <tp t="e">
        <v>#N/A</v>
        <stp/>
        <stp>BDH|7988157889260466011</stp>
        <tr r="L75" s="34"/>
      </tp>
      <tp t="e">
        <v>#N/A</v>
        <stp/>
        <stp>BDH|2454888820745990359</stp>
        <tr r="E48" s="34"/>
      </tp>
      <tp t="e">
        <v>#N/A</v>
        <stp/>
        <stp>BDH|5317968563912229648</stp>
        <tr r="Y111" s="18"/>
      </tp>
      <tp t="e">
        <v>#N/A</v>
        <stp/>
        <stp>BDH|6887010086967997765</stp>
        <tr r="Q182" s="18"/>
      </tp>
      <tp t="e">
        <v>#N/A</v>
        <stp/>
        <stp>BDH|6095825105613752302</stp>
        <tr r="E114" s="18"/>
      </tp>
      <tp t="e">
        <v>#N/A</v>
        <stp/>
        <stp>BDH|2378724075119469509</stp>
        <tr r="Y17" s="23"/>
      </tp>
      <tp t="e">
        <v>#N/A</v>
        <stp/>
        <stp>BDH|4446618620299737720</stp>
        <tr r="V55" s="11"/>
      </tp>
      <tp t="e">
        <v>#N/A</v>
        <stp/>
        <stp>BDH|4919014497980898379</stp>
        <tr r="Z31" s="12"/>
      </tp>
      <tp t="e">
        <v>#N/A</v>
        <stp/>
        <stp>BDH|3782970663795223711</stp>
        <tr r="X54" s="24"/>
      </tp>
      <tp t="e">
        <v>#N/A</v>
        <stp/>
        <stp>BDH|8581258481705700968</stp>
        <tr r="M69" s="13"/>
      </tp>
      <tp t="e">
        <v>#N/A</v>
        <stp/>
        <stp>BDH|5809359438588733320</stp>
        <tr r="I23" s="26"/>
      </tp>
      <tp t="e">
        <v>#N/A</v>
        <stp/>
        <stp>BDH|9575446890998050213</stp>
        <tr r="K25" s="27"/>
      </tp>
      <tp t="e">
        <v>#N/A</v>
        <stp/>
        <stp>BDH|7989445399474634024</stp>
        <tr r="I49" s="17"/>
      </tp>
      <tp t="e">
        <v>#N/A</v>
        <stp/>
        <stp>BDH|4164780028189049602</stp>
        <tr r="J9" s="8"/>
        <tr r="H52" s="6"/>
      </tp>
      <tp t="e">
        <v>#N/A</v>
        <stp/>
        <stp>BDH|3292401595933293349</stp>
        <tr r="X115" s="18"/>
      </tp>
      <tp t="e">
        <v>#N/A</v>
        <stp/>
        <stp>BDH|5719688710224825868</stp>
        <tr r="P57" s="17"/>
      </tp>
      <tp t="e">
        <v>#N/A</v>
        <stp/>
        <stp>BDH|8265363466886192525</stp>
        <tr r="X13" s="30"/>
      </tp>
      <tp t="e">
        <v>#N/A</v>
        <stp/>
        <stp>BDH|1922366593624970145</stp>
        <tr r="X49" s="18"/>
      </tp>
      <tp t="e">
        <v>#N/A</v>
        <stp/>
        <stp>BDH|1615304984052771642</stp>
        <tr r="G9" s="21"/>
      </tp>
      <tp t="e">
        <v>#N/A</v>
        <stp/>
        <stp>BDH|9715324300446258264</stp>
        <tr r="Z89" s="18"/>
      </tp>
      <tp t="e">
        <v>#N/A</v>
        <stp/>
        <stp>BDH|7750711234889764449</stp>
        <tr r="N82" s="18"/>
      </tp>
      <tp t="e">
        <v>#N/A</v>
        <stp/>
        <stp>BDH|9547579701975531775</stp>
        <tr r="G97" s="17"/>
      </tp>
      <tp t="e">
        <v>#N/A</v>
        <stp/>
        <stp>BDH|9153215243035270405</stp>
        <tr r="Y89" s="17"/>
      </tp>
      <tp t="e">
        <v>#N/A</v>
        <stp/>
        <stp>BDH|1067244582237608212</stp>
        <tr r="AA21" s="20"/>
      </tp>
      <tp t="e">
        <v>#N/A</v>
        <stp/>
        <stp>BDH|7513241789931943208</stp>
        <tr r="L21" s="5"/>
      </tp>
      <tp t="e">
        <v>#N/A</v>
        <stp/>
        <stp>BDH|1400888178755293573</stp>
        <tr r="Q53" s="21"/>
      </tp>
      <tp t="e">
        <v>#N/A</v>
        <stp/>
        <stp>BDH|7682056383687049619</stp>
        <tr r="C9" s="8"/>
      </tp>
      <tp t="e">
        <v>#N/A</v>
        <stp/>
        <stp>BDH|4318201753635801893</stp>
        <tr r="I61" s="11"/>
        <tr r="I70" s="10"/>
        <tr r="I20" s="7"/>
      </tp>
      <tp t="e">
        <v>#N/A</v>
        <stp/>
        <stp>BDH|3420572433688028310</stp>
        <tr r="P103" s="18"/>
      </tp>
      <tp t="e">
        <v>#N/A</v>
        <stp/>
        <stp>BDH|4415140716273272950</stp>
        <tr r="T26" s="17"/>
      </tp>
      <tp t="e">
        <v>#N/A</v>
        <stp/>
        <stp>BDH|7699574525026292870</stp>
        <tr r="G83" s="18"/>
      </tp>
      <tp t="e">
        <v>#N/A</v>
        <stp/>
        <stp>BDH|7688284485443985034</stp>
        <tr r="R25" s="11"/>
        <tr r="R34" s="10"/>
      </tp>
      <tp t="e">
        <v>#N/A</v>
        <stp/>
        <stp>BDH|3418920530734638312</stp>
        <tr r="J34" s="18"/>
      </tp>
      <tp t="e">
        <v>#N/A</v>
        <stp/>
        <stp>BDH|1515331481626642205</stp>
        <tr r="I9" s="18"/>
      </tp>
      <tp t="e">
        <v>#N/A</v>
        <stp/>
        <stp>BDH|7757747294641523631</stp>
        <tr r="I77" s="17"/>
      </tp>
      <tp t="e">
        <v>#N/A</v>
        <stp/>
        <stp>BDH|4827932424955668488</stp>
        <tr r="M33" s="21"/>
      </tp>
      <tp t="e">
        <v>#N/A</v>
        <stp/>
        <stp>BDH|7122032402441804892</stp>
        <tr r="X29" s="4"/>
      </tp>
      <tp t="e">
        <v>#N/A</v>
        <stp/>
        <stp>BDH|3890484307938753117</stp>
        <tr r="N48" s="17"/>
      </tp>
      <tp t="e">
        <v>#N/A</v>
        <stp/>
        <stp>BDH|7670200420069659014</stp>
        <tr r="Z42" s="34"/>
      </tp>
      <tp t="e">
        <v>#N/A</v>
        <stp/>
        <stp>BDH|8260006527147193351</stp>
        <tr r="P89" s="12"/>
      </tp>
      <tp t="e">
        <v>#N/A</v>
        <stp/>
        <stp>BDH|5718665337328186666</stp>
        <tr r="R19" s="13"/>
        <tr r="P62" s="10"/>
        <tr r="P32" s="4"/>
        <tr r="P16" s="2"/>
      </tp>
      <tp t="e">
        <v>#N/A</v>
        <stp/>
        <stp>BDH|4042320643994543951</stp>
        <tr r="K62" s="34"/>
      </tp>
      <tp t="e">
        <v>#N/A</v>
        <stp/>
        <stp>BDH|5212753957730957988</stp>
        <tr r="S49" s="4"/>
      </tp>
      <tp t="e">
        <v>#N/A</v>
        <stp/>
        <stp>BDH|5504047392792594071</stp>
        <tr r="Y107" s="12"/>
      </tp>
      <tp t="e">
        <v>#N/A</v>
        <stp/>
        <stp>BDH|8553465512745952699</stp>
        <tr r="E12" s="21"/>
      </tp>
      <tp t="e">
        <v>#N/A</v>
        <stp/>
        <stp>BDH|2169924539554380284</stp>
        <tr r="T46" s="17"/>
      </tp>
      <tp t="e">
        <v>#N/A</v>
        <stp/>
        <stp>BDH|4796943727358176944</stp>
        <tr r="N18" s="12"/>
      </tp>
      <tp t="e">
        <v>#N/A</v>
        <stp/>
        <stp>BDH|5523132687613790172</stp>
        <tr r="R109" s="12"/>
      </tp>
      <tp t="e">
        <v>#N/A</v>
        <stp/>
        <stp>BDH|3197982047620865076</stp>
        <tr r="G28" s="4"/>
      </tp>
      <tp t="e">
        <v>#N/A</v>
        <stp/>
        <stp>BDH|9804097375143331368</stp>
        <tr r="O42" s="6"/>
      </tp>
      <tp t="e">
        <v>#N/A</v>
        <stp/>
        <stp>BDH|3420400787086792756</stp>
        <tr r="Y84" s="12"/>
      </tp>
      <tp t="e">
        <v>#N/A</v>
        <stp/>
        <stp>BDH|7039770751289484235</stp>
        <tr r="Y67" s="10"/>
      </tp>
      <tp t="e">
        <v>#N/A</v>
        <stp/>
        <stp>BDH|8179402641744086216</stp>
        <tr r="T46" s="21"/>
      </tp>
      <tp t="e">
        <v>#N/A</v>
        <stp/>
        <stp>BDH|2307540082913765230</stp>
        <tr r="U208" s="18"/>
      </tp>
      <tp t="e">
        <v>#N/A</v>
        <stp/>
        <stp>BDH|7451248194296037453</stp>
        <tr r="V25" s="13"/>
      </tp>
      <tp t="e">
        <v>#N/A</v>
        <stp/>
        <stp>BDH|3356865038585882343</stp>
        <tr r="G16" s="6"/>
      </tp>
      <tp t="e">
        <v>#N/A</v>
        <stp/>
        <stp>BDH|4537743342711599870</stp>
        <tr r="F50" s="21"/>
      </tp>
      <tp t="e">
        <v>#N/A</v>
        <stp/>
        <stp>BDH|4812990622654534505</stp>
        <tr r="V199" s="18"/>
      </tp>
      <tp t="e">
        <v>#N/A</v>
        <stp/>
        <stp>BDH|5030201157125235931</stp>
        <tr r="M27" s="26"/>
      </tp>
      <tp t="e">
        <v>#N/A</v>
        <stp/>
        <stp>BDH|3691035075902645801</stp>
        <tr r="V7" s="14"/>
      </tp>
      <tp t="e">
        <v>#N/A</v>
        <stp/>
        <stp>BDH|3845381793743465414</stp>
        <tr r="J158" s="18"/>
      </tp>
      <tp t="e">
        <v>#N/A</v>
        <stp/>
        <stp>BDH|5149711520547284948</stp>
        <tr r="V81" s="34"/>
      </tp>
      <tp t="e">
        <v>#N/A</v>
        <stp/>
        <stp>BDH|8052251778551955227</stp>
        <tr r="O72" s="34"/>
      </tp>
      <tp t="e">
        <v>#N/A</v>
        <stp/>
        <stp>BDH|7781659602018307752</stp>
        <tr r="E162" s="18"/>
      </tp>
      <tp t="e">
        <v>#N/A</v>
        <stp/>
        <stp>BDH|6431776963558146177</stp>
        <tr r="E19" s="20"/>
      </tp>
      <tp t="e">
        <v>#N/A</v>
        <stp/>
        <stp>BDH|5545818226728600929</stp>
        <tr r="S68" s="17"/>
      </tp>
      <tp t="e">
        <v>#N/A</v>
        <stp/>
        <stp>BDH|1641906715876096156</stp>
        <tr r="L52" s="24"/>
      </tp>
      <tp t="e">
        <v>#N/A</v>
        <stp/>
        <stp>BDH|3660003955481428916</stp>
        <tr r="X21" s="11"/>
      </tp>
      <tp t="e">
        <v>#N/A</v>
        <stp/>
        <stp>BDH|2070842806251509513</stp>
        <tr r="X24" s="21"/>
      </tp>
      <tp t="e">
        <v>#N/A</v>
        <stp/>
        <stp>BDH|4561617169359262390</stp>
        <tr r="L36" s="6"/>
        <tr r="L17" s="5"/>
      </tp>
      <tp t="e">
        <v>#N/A</v>
        <stp/>
        <stp>BDH|6431869122704280641</stp>
        <tr r="D62" s="17"/>
      </tp>
      <tp t="e">
        <v>#N/A</v>
        <stp/>
        <stp>BDH|4358413694375683269</stp>
        <tr r="Y14" s="22"/>
      </tp>
      <tp t="e">
        <v>#N/A</v>
        <stp/>
        <stp>BDH|7676085184753970255</stp>
        <tr r="K45" s="21"/>
      </tp>
      <tp t="e">
        <v>#N/A</v>
        <stp/>
        <stp>BDH|5108966243566155031</stp>
        <tr r="W11" s="22"/>
      </tp>
      <tp t="e">
        <v>#N/A</v>
        <stp/>
        <stp>BDH|5229815173612640602</stp>
        <tr r="G124" s="18"/>
      </tp>
      <tp t="e">
        <v>#N/A</v>
        <stp/>
        <stp>BDH|3789966732550052758</stp>
        <tr r="L49" s="21"/>
      </tp>
      <tp t="e">
        <v>#N/A</v>
        <stp/>
        <stp>BDH|4742340693862644201</stp>
        <tr r="J75" s="34"/>
      </tp>
      <tp t="e">
        <v>#N/A</v>
        <stp/>
        <stp>BDH|5499070240348119742</stp>
        <tr r="C12" s="7"/>
      </tp>
      <tp t="e">
        <v>#N/A</v>
        <stp/>
        <stp>BDH|7621418891195241126</stp>
        <tr r="H142" s="18"/>
      </tp>
      <tp t="e">
        <v>#N/A</v>
        <stp/>
        <stp>BDH|9893557578787523262</stp>
        <tr r="K95" s="24"/>
      </tp>
      <tp t="e">
        <v>#N/A</v>
        <stp/>
        <stp>BDH|2297535426833989885</stp>
        <tr r="X206" s="18"/>
      </tp>
      <tp t="e">
        <v>#N/A</v>
        <stp/>
        <stp>BDH|8063064115332595500</stp>
        <tr r="H32" s="11"/>
        <tr r="H41" s="10"/>
      </tp>
      <tp t="e">
        <v>#N/A</v>
        <stp/>
        <stp>BDH|5153306034813353806</stp>
        <tr r="L38" s="24"/>
      </tp>
      <tp t="e">
        <v>#N/A</v>
        <stp/>
        <stp>BDH|4990287401339243142</stp>
        <tr r="W61" s="13"/>
        <tr r="U48" s="11"/>
        <tr r="U57" s="10"/>
        <tr r="U18" s="7"/>
      </tp>
      <tp t="e">
        <v>#N/A</v>
        <stp/>
        <stp>BDH|7193440457298556015</stp>
        <tr r="I9" s="22"/>
      </tp>
      <tp t="e">
        <v>#N/A</v>
        <stp/>
        <stp>BDH|1263382990824947152</stp>
        <tr r="Q27" s="14"/>
      </tp>
      <tp t="e">
        <v>#N/A</v>
        <stp/>
        <stp>BDH|5522308871918281701</stp>
        <tr r="V47" s="24"/>
      </tp>
      <tp t="e">
        <v>#N/A</v>
        <stp/>
        <stp>BDH|1951101351493943879</stp>
        <tr r="J130" s="18"/>
      </tp>
      <tp t="e">
        <v>#N/A</v>
        <stp/>
        <stp>BDH|6812932614518135889</stp>
        <tr r="P188" s="18"/>
      </tp>
      <tp t="e">
        <v>#N/A</v>
        <stp/>
        <stp>BDH|7642230071879007520</stp>
        <tr r="S13" s="21"/>
      </tp>
      <tp t="e">
        <v>#N/A</v>
        <stp/>
        <stp>BDH|8688151178248415894</stp>
        <tr r="F14" s="13"/>
      </tp>
      <tp t="e">
        <v>#N/A</v>
        <stp/>
        <stp>BDH|2888182953030686823</stp>
        <tr r="H94" s="17"/>
      </tp>
      <tp t="e">
        <v>#N/A</v>
        <stp/>
        <stp>BDH|5862425899873535519</stp>
        <tr r="O12" s="25"/>
      </tp>
      <tp t="e">
        <v>#N/A</v>
        <stp/>
        <stp>BDH|1906099216789888796</stp>
        <tr r="Z65" s="12"/>
      </tp>
      <tp t="e">
        <v>#N/A</v>
        <stp/>
        <stp>BDH|4375612370359747222</stp>
        <tr r="L34" s="29"/>
      </tp>
      <tp t="e">
        <v>#N/A</v>
        <stp/>
        <stp>BDH|6719880840067883309</stp>
        <tr r="N92" s="18"/>
      </tp>
      <tp t="e">
        <v>#N/A</v>
        <stp/>
        <stp>BDH|8663032720627502372</stp>
        <tr r="E22" s="34"/>
      </tp>
      <tp t="e">
        <v>#N/A</v>
        <stp/>
        <stp>BDH|4419014309119858331</stp>
        <tr r="T30" s="9"/>
        <tr r="T30" s="5"/>
      </tp>
      <tp t="e">
        <v>#N/A</v>
        <stp/>
        <stp>BDH|1760968934840752553</stp>
        <tr r="X184" s="18"/>
      </tp>
      <tp t="e">
        <v>#N/A</v>
        <stp/>
        <stp>BDH|9215077220157217205</stp>
        <tr r="H28" s="34"/>
      </tp>
      <tp t="e">
        <v>#N/A</v>
        <stp/>
        <stp>BDH|2556447790863596230</stp>
        <tr r="K19" s="21"/>
        <tr r="K23" s="3"/>
        <tr r="I23" s="2"/>
      </tp>
      <tp t="e">
        <v>#N/A</v>
        <stp/>
        <stp>BDH|2253278653942875991</stp>
        <tr r="U36" s="18"/>
      </tp>
      <tp t="e">
        <v>#N/A</v>
        <stp/>
        <stp>BDH|9685597130577811609</stp>
        <tr r="P28" s="12"/>
      </tp>
      <tp t="e">
        <v>#N/A</v>
        <stp/>
        <stp>BDH|6014565297606618201</stp>
        <tr r="Y124" s="12"/>
      </tp>
      <tp t="e">
        <v>#N/A</v>
        <stp/>
        <stp>BDH|8637506715627703536</stp>
        <tr r="J21" s="27"/>
      </tp>
      <tp t="e">
        <v>#N/A</v>
        <stp/>
        <stp>BDH|5991306998894703512</stp>
        <tr r="L53" s="21"/>
      </tp>
      <tp t="e">
        <v>#N/A</v>
        <stp/>
        <stp>BDH|1273325007654638863</stp>
        <tr r="Z34" s="12"/>
      </tp>
      <tp t="e">
        <v>#N/A</v>
        <stp/>
        <stp>BDH|8658681792680849932</stp>
        <tr r="Q79" s="18"/>
      </tp>
      <tp t="e">
        <v>#N/A</v>
        <stp/>
        <stp>BDH|2677936955056073672</stp>
        <tr r="AA109" s="18"/>
      </tp>
      <tp t="e">
        <v>#N/A</v>
        <stp/>
        <stp>BDH|1461928378048802919</stp>
        <tr r="P7" s="8"/>
      </tp>
      <tp t="e">
        <v>#N/A</v>
        <stp/>
        <stp>BDH|5783820005462031178</stp>
        <tr r="P34" s="9"/>
      </tp>
      <tp t="e">
        <v>#N/A</v>
        <stp/>
        <stp>BDH|5793077722258322169</stp>
        <tr r="R36" s="4"/>
      </tp>
      <tp t="e">
        <v>#N/A</v>
        <stp/>
        <stp>BDH|1594856408650671798</stp>
        <tr r="R12" s="13"/>
      </tp>
      <tp t="e">
        <v>#N/A</v>
        <stp/>
        <stp>BDH|5324705455940500948</stp>
        <tr r="Q63" s="12"/>
      </tp>
      <tp t="e">
        <v>#N/A</v>
        <stp/>
        <stp>BDH|7343554339058835705</stp>
        <tr r="J30" s="9"/>
        <tr r="J30" s="5"/>
      </tp>
      <tp t="e">
        <v>#N/A</v>
        <stp/>
        <stp>BDH|9310425937764732466</stp>
        <tr r="L21" s="14"/>
      </tp>
      <tp t="e">
        <v>#N/A</v>
        <stp/>
        <stp>BDH|9488543742875396363</stp>
        <tr r="Q56" s="18"/>
      </tp>
      <tp t="e">
        <v>#N/A</v>
        <stp/>
        <stp>BDH|8684326508451323480</stp>
        <tr r="T41" s="29"/>
        <tr r="T18" s="29"/>
      </tp>
      <tp t="e">
        <v>#N/A</v>
        <stp/>
        <stp>BDH|7213354740157890985</stp>
        <tr r="S20" s="29"/>
      </tp>
      <tp t="e">
        <v>#N/A</v>
        <stp/>
        <stp>BDH|8752629806675623520</stp>
        <tr r="J88" s="12"/>
      </tp>
      <tp t="e">
        <v>#N/A</v>
        <stp/>
        <stp>BDH|9372410122762691312</stp>
        <tr r="W60" s="11"/>
      </tp>
      <tp t="e">
        <v>#N/A</v>
        <stp/>
        <stp>BDH|9728135782739231738</stp>
        <tr r="C50" s="18"/>
      </tp>
      <tp t="e">
        <v>#N/A</v>
        <stp/>
        <stp>BDH|6311456124117699934</stp>
        <tr r="S90" s="17"/>
      </tp>
      <tp t="e">
        <v>#N/A</v>
        <stp/>
        <stp>BDH|2284551080192054306</stp>
        <tr r="AA145" s="18"/>
      </tp>
      <tp t="e">
        <v>#N/A</v>
        <stp/>
        <stp>BDH|3407251686883400443</stp>
        <tr r="N33" s="13"/>
        <tr r="L26" s="10"/>
      </tp>
      <tp t="e">
        <v>#N/A</v>
        <stp/>
        <stp>BDH|6815842337921425285</stp>
        <tr r="Q33" s="9"/>
      </tp>
      <tp t="e">
        <v>#N/A</v>
        <stp/>
        <stp>BDH|1662365614499496473</stp>
        <tr r="E26" s="27"/>
      </tp>
      <tp t="e">
        <v>#N/A</v>
        <stp/>
        <stp>BDH|4353962212562572059</stp>
        <tr r="E21" s="2"/>
      </tp>
      <tp t="e">
        <v>#N/A</v>
        <stp/>
        <stp>BDH|3922746385977931562</stp>
        <tr r="Y20" s="10"/>
      </tp>
      <tp t="e">
        <v>#N/A</v>
        <stp/>
        <stp>BDH|7592305201999591360</stp>
        <tr r="Y49" s="12"/>
      </tp>
      <tp t="e">
        <v>#N/A</v>
        <stp/>
        <stp>BDH|2318661259387268899</stp>
        <tr r="K66" s="21"/>
        <tr r="H31" s="6"/>
      </tp>
      <tp t="e">
        <v>#N/A</v>
        <stp/>
        <stp>BDH|5011051101323179828</stp>
        <tr r="V198" s="18"/>
      </tp>
      <tp t="e">
        <v>#N/A</v>
        <stp/>
        <stp>BDH|5281917013350744307</stp>
        <tr r="E39" s="24"/>
      </tp>
      <tp t="e">
        <v>#N/A</v>
        <stp/>
        <stp>BDH|3773688566119736492</stp>
        <tr r="Y25" s="13"/>
      </tp>
      <tp t="e">
        <v>#N/A</v>
        <stp/>
        <stp>BDH|7336135383898540815</stp>
        <tr r="U23" s="17"/>
      </tp>
      <tp t="e">
        <v>#N/A</v>
        <stp/>
        <stp>BDH|9185537003466739417</stp>
        <tr r="M19" s="22"/>
      </tp>
      <tp t="e">
        <v>#N/A</v>
        <stp/>
        <stp>BDH|8382130933713764737</stp>
        <tr r="X15" s="22"/>
      </tp>
      <tp t="e">
        <v>#N/A</v>
        <stp/>
        <stp>BDH|6535849174123621478</stp>
        <tr r="D58" s="18"/>
      </tp>
      <tp t="e">
        <v>#N/A</v>
        <stp/>
        <stp>BDH|1344405515889088320</stp>
        <tr r="N26" s="14"/>
      </tp>
      <tp t="e">
        <v>#N/A</v>
        <stp/>
        <stp>BDH|6516566706764935982</stp>
        <tr r="C98" s="17"/>
      </tp>
      <tp t="e">
        <v>#N/A</v>
        <stp/>
        <stp>BDH|5408496841188102396</stp>
        <tr r="L31" s="11"/>
        <tr r="L40" s="10"/>
      </tp>
      <tp t="e">
        <v>#N/A</v>
        <stp/>
        <stp>BDH|9388247010913052732</stp>
        <tr r="F61" s="18"/>
      </tp>
      <tp t="e">
        <v>#N/A</v>
        <stp/>
        <stp>BDH|9199116836146280306</stp>
        <tr r="P57" s="24"/>
      </tp>
      <tp t="e">
        <v>#N/A</v>
        <stp/>
        <stp>BDH|5927170591460273391</stp>
        <tr r="R65" s="10"/>
        <tr r="R25" s="4"/>
      </tp>
      <tp t="e">
        <v>#N/A</v>
        <stp/>
        <stp>BDH|3740258699976810074</stp>
        <tr r="U38" s="29"/>
        <tr r="U15" s="29"/>
      </tp>
      <tp t="e">
        <v>#N/A</v>
        <stp/>
        <stp>BDH|8887784761945727227</stp>
        <tr r="M16" s="11"/>
      </tp>
      <tp t="e">
        <v>#N/A</v>
        <stp/>
        <stp>BDH|2311821636591263613</stp>
        <tr r="G12" s="13"/>
      </tp>
      <tp t="e">
        <v>#N/A</v>
        <stp/>
        <stp>BDH|7974460285836988377</stp>
        <tr r="J8" s="6"/>
      </tp>
      <tp t="e">
        <v>#N/A</v>
        <stp/>
        <stp>BDH|1670734984241632132</stp>
        <tr r="X14" s="11"/>
      </tp>
      <tp t="e">
        <v>#N/A</v>
        <stp/>
        <stp>BDH|9671712717142525315</stp>
        <tr r="AA33" s="34"/>
      </tp>
      <tp t="e">
        <v>#N/A</v>
        <stp/>
        <stp>BDH|6871445285152967646</stp>
        <tr r="Z207" s="18"/>
      </tp>
      <tp t="e">
        <v>#N/A</v>
        <stp/>
        <stp>BDH|1815738694133382283</stp>
        <tr r="G122" s="12"/>
      </tp>
      <tp t="e">
        <v>#N/A</v>
        <stp/>
        <stp>BDH|4332164305338168351</stp>
        <tr r="T64" s="10"/>
      </tp>
      <tp t="e">
        <v>#N/A</v>
        <stp/>
        <stp>BDH|6658876397878718158</stp>
        <tr r="O131" s="18"/>
      </tp>
      <tp t="e">
        <v>#N/A</v>
        <stp/>
        <stp>BDH|6259131183462074365</stp>
        <tr r="Q115" s="12"/>
      </tp>
      <tp t="e">
        <v>#N/A</v>
        <stp/>
        <stp>BDH|5071621290724325056</stp>
        <tr r="T192" s="18"/>
      </tp>
      <tp t="e">
        <v>#N/A</v>
        <stp/>
        <stp>BDH|6518976405416304706</stp>
        <tr r="U143" s="18"/>
      </tp>
      <tp t="e">
        <v>#N/A</v>
        <stp/>
        <stp>BDH|3456541817090211911</stp>
        <tr r="X69" s="18"/>
      </tp>
      <tp t="e">
        <v>#N/A</v>
        <stp/>
        <stp>BDH|8390418860484106071</stp>
        <tr r="Y93" s="12"/>
      </tp>
      <tp t="e">
        <v>#N/A</v>
        <stp/>
        <stp>BDH|6206485251640852972</stp>
        <tr r="D196" s="18"/>
      </tp>
      <tp t="e">
        <v>#N/A</v>
        <stp/>
        <stp>BDH|3368975141997888796</stp>
        <tr r="G22" s="7"/>
      </tp>
      <tp t="e">
        <v>#N/A</v>
        <stp/>
        <stp>BDH|5059366690686154737</stp>
        <tr r="S30" s="21"/>
      </tp>
      <tp t="e">
        <v>#N/A</v>
        <stp/>
        <stp>BDH|8694918662779148005</stp>
        <tr r="T51" s="24"/>
      </tp>
      <tp t="e">
        <v>#N/A</v>
        <stp/>
        <stp>BDH|4579076714093139834</stp>
        <tr r="W61" s="24"/>
      </tp>
      <tp t="e">
        <v>#N/A</v>
        <stp/>
        <stp>BDH|5992934475331826435</stp>
        <tr r="V62" s="18"/>
      </tp>
      <tp t="e">
        <v>#N/A</v>
        <stp/>
        <stp>BDH|3097603353626314845</stp>
        <tr r="E89" s="18"/>
      </tp>
      <tp t="e">
        <v>#N/A</v>
        <stp/>
        <stp>BDH|7552714569960003890</stp>
        <tr r="Q22" s="24"/>
      </tp>
      <tp t="e">
        <v>#N/A</v>
        <stp/>
        <stp>BDH|8053136251287628509</stp>
        <tr r="M56" s="17"/>
      </tp>
      <tp t="e">
        <v>#N/A</v>
        <stp/>
        <stp>BDH|9245804667181699872</stp>
        <tr r="M75" s="17"/>
      </tp>
      <tp t="e">
        <v>#N/A</v>
        <stp/>
        <stp>BDH|6010436753889345071</stp>
        <tr r="U31" s="24"/>
      </tp>
      <tp t="e">
        <v>#N/A</v>
        <stp/>
        <stp>BDH|4202434296905645254</stp>
        <tr r="R58" s="12"/>
      </tp>
      <tp t="e">
        <v>#N/A</v>
        <stp/>
        <stp>BDH|9115601505258577958</stp>
        <tr r="Y66" s="12"/>
      </tp>
      <tp t="e">
        <v>#N/A</v>
        <stp/>
        <stp>BDH|7136160729782286881</stp>
        <tr r="AA23" s="18"/>
      </tp>
      <tp t="e">
        <v>#N/A</v>
        <stp/>
        <stp>BDH|8983200905032011684</stp>
        <tr r="L24" s="18"/>
      </tp>
      <tp t="e">
        <v>#N/A</v>
        <stp/>
        <stp>BDH|7023029380031114076</stp>
        <tr r="P101" s="12"/>
      </tp>
      <tp t="e">
        <v>#N/A</v>
        <stp/>
        <stp>BDH|1889966260336976635</stp>
        <tr r="L78" s="12"/>
      </tp>
      <tp t="e">
        <v>#N/A</v>
        <stp/>
        <stp>BDH|3020115990181489411</stp>
        <tr r="O24" s="24"/>
      </tp>
      <tp t="e">
        <v>#N/A</v>
        <stp/>
        <stp>BDH|9461512724007423718</stp>
        <tr r="M26" s="26"/>
      </tp>
      <tp t="e">
        <v>#N/A</v>
        <stp/>
        <stp>BDH|7511279891031138365</stp>
        <tr r="Y8" s="4"/>
      </tp>
      <tp t="e">
        <v>#N/A</v>
        <stp/>
        <stp>BDH|3305978404734708031</stp>
        <tr r="C22" s="22"/>
      </tp>
      <tp t="e">
        <v>#N/A</v>
        <stp/>
        <stp>BDH|8128408531909370865</stp>
        <tr r="V11" s="14"/>
      </tp>
      <tp t="e">
        <v>#N/A</v>
        <stp/>
        <stp>BDH|8333686361427734182</stp>
        <tr r="J35" s="4"/>
      </tp>
      <tp t="e">
        <v>#N/A</v>
        <stp/>
        <stp>BDH|3837351589975880390</stp>
        <tr r="M8" s="18"/>
      </tp>
      <tp t="e">
        <v>#N/A</v>
        <stp/>
        <stp>BDH|8015060302447162100</stp>
        <tr r="M64" s="17"/>
      </tp>
      <tp t="e">
        <v>#N/A</v>
        <stp/>
        <stp>BDH|6819445315484511992</stp>
        <tr r="L63" s="34"/>
      </tp>
      <tp t="e">
        <v>#N/A</v>
        <stp/>
        <stp>BDH|4437184969959197414</stp>
        <tr r="L202" s="18"/>
      </tp>
      <tp t="e">
        <v>#N/A</v>
        <stp/>
        <stp>BDH|7976192306598379005</stp>
        <tr r="Q63" s="13"/>
      </tp>
      <tp t="e">
        <v>#N/A</v>
        <stp/>
        <stp>BDH|5822126641729945775</stp>
        <tr r="O33" s="18"/>
      </tp>
      <tp t="e">
        <v>#N/A</v>
        <stp/>
        <stp>BDH|8988529538722664202</stp>
        <tr r="R16" s="21"/>
      </tp>
      <tp t="e">
        <v>#N/A</v>
        <stp/>
        <stp>BDH|3465505955499720430</stp>
        <tr r="E31" s="29"/>
      </tp>
      <tp t="e">
        <v>#N/A</v>
        <stp/>
        <stp>BDH|8664271743215209550</stp>
        <tr r="U37" s="21"/>
      </tp>
      <tp t="e">
        <v>#N/A</v>
        <stp/>
        <stp>BDH|3660776157179343601</stp>
        <tr r="G124" s="12"/>
      </tp>
      <tp t="e">
        <v>#N/A</v>
        <stp/>
        <stp>BDH|5572536383004152210</stp>
        <tr r="Y62" s="24"/>
      </tp>
      <tp t="e">
        <v>#N/A</v>
        <stp/>
        <stp>BDH|4110167381507374403</stp>
        <tr r="S72" s="34"/>
      </tp>
      <tp t="e">
        <v>#N/A</v>
        <stp/>
        <stp>BDH|4584609426496229841</stp>
        <tr r="S49" s="13"/>
      </tp>
      <tp t="e">
        <v>#N/A</v>
        <stp/>
        <stp>BDH|8957467903405852715</stp>
        <tr r="Q28" s="6"/>
      </tp>
      <tp t="e">
        <v>#N/A</v>
        <stp/>
        <stp>BDH|2281347287042698520</stp>
        <tr r="V50" s="18"/>
      </tp>
      <tp t="e">
        <v>#N/A</v>
        <stp/>
        <stp>BDH|2181539942699518400</stp>
        <tr r="K30" s="14"/>
      </tp>
      <tp t="e">
        <v>#N/A</v>
        <stp/>
        <stp>BDH|3143982349616415618</stp>
        <tr r="N43" s="12"/>
      </tp>
      <tp t="e">
        <v>#N/A</v>
        <stp/>
        <stp>BDH|5649938866700324450</stp>
        <tr r="Z18" s="21"/>
      </tp>
      <tp t="e">
        <v>#N/A</v>
        <stp/>
        <stp>BDH|3104919091424219965</stp>
        <tr r="T47" s="18"/>
      </tp>
      <tp t="e">
        <v>#N/A</v>
        <stp/>
        <stp>BDH|7033798684945139398</stp>
        <tr r="Q198" s="18"/>
      </tp>
      <tp t="e">
        <v>#N/A</v>
        <stp/>
        <stp>BDH|3653349381137059161</stp>
        <tr r="J12" s="24"/>
      </tp>
      <tp t="e">
        <v>#N/A</v>
        <stp/>
        <stp>BDH|4385731144291236830</stp>
        <tr r="E95" s="24"/>
      </tp>
      <tp t="e">
        <v>#N/A</v>
        <stp/>
        <stp>BDH|4615837023107740748</stp>
        <tr r="O115" s="18"/>
      </tp>
      <tp t="e">
        <v>#N/A</v>
        <stp/>
        <stp>BDH|4642626045049310178</stp>
        <tr r="E34" s="9"/>
      </tp>
      <tp t="e">
        <v>#N/A</v>
        <stp/>
        <stp>BDH|4647546618067907969</stp>
        <tr r="P102" s="18"/>
      </tp>
      <tp t="e">
        <v>#N/A</v>
        <stp/>
        <stp>BDH|6389046990326342712</stp>
        <tr r="T61" s="34"/>
      </tp>
      <tp t="e">
        <v>#N/A</v>
        <stp/>
        <stp>BDH|9630779652023025663</stp>
        <tr r="K125" s="12"/>
      </tp>
      <tp t="e">
        <v>#N/A</v>
        <stp/>
        <stp>BDH|2970209139259367461</stp>
        <tr r="D80" s="18"/>
      </tp>
      <tp t="e">
        <v>#N/A</v>
        <stp/>
        <stp>BDH|5869188327751021920</stp>
        <tr r="U15" s="23"/>
        <tr r="S58" s="11"/>
      </tp>
      <tp t="e">
        <v>#N/A</v>
        <stp/>
        <stp>BDH|2219159159019261195</stp>
        <tr r="F152" s="18"/>
      </tp>
      <tp t="e">
        <v>#N/A</v>
        <stp/>
        <stp>BDH|3706300489661342788</stp>
        <tr r="M54" s="13"/>
      </tp>
      <tp t="e">
        <v>#N/A</v>
        <stp/>
        <stp>BDH|3667245720898511520</stp>
        <tr r="U24" s="24"/>
      </tp>
      <tp t="e">
        <v>#N/A</v>
        <stp/>
        <stp>BDH|8703250156832760363</stp>
        <tr r="O67" s="13"/>
      </tp>
      <tp t="e">
        <v>#N/A</v>
        <stp/>
        <stp>BDH|6767359763135111853</stp>
        <tr r="D7" s="24"/>
      </tp>
      <tp t="e">
        <v>#N/A</v>
        <stp/>
        <stp>BDH|9413302707783086760</stp>
        <tr r="Y200" s="18"/>
      </tp>
      <tp t="e">
        <v>#N/A</v>
        <stp/>
        <stp>BDH|8502499158734754364</stp>
        <tr r="K11" s="24"/>
      </tp>
      <tp t="e">
        <v>#N/A</v>
        <stp/>
        <stp>BDH|8086520098013768981</stp>
        <tr r="I35" s="12"/>
      </tp>
      <tp t="e">
        <v>#N/A</v>
        <stp/>
        <stp>BDH|3370431603990771916</stp>
        <tr r="X14" s="13"/>
      </tp>
      <tp t="e">
        <v>#N/A</v>
        <stp/>
        <stp>BDH|3814937568164009669</stp>
        <tr r="F154" s="18"/>
      </tp>
      <tp t="e">
        <v>#N/A</v>
        <stp/>
        <stp>BDH|69718215624334105</stp>
        <tr r="C17" s="18"/>
      </tp>
      <tp t="e">
        <v>#N/A</v>
        <stp/>
        <stp>BDH|32540768484917423</stp>
        <tr r="L6" s="15"/>
        <tr r="L6" s="10"/>
        <tr r="L11" s="4"/>
        <tr r="L12" s="2"/>
      </tp>
      <tp t="e">
        <v>#N/A</v>
        <stp/>
        <stp>BDH|65322235411330204</stp>
        <tr r="Z86" s="18"/>
      </tp>
      <tp t="e">
        <v>#N/A</v>
        <stp/>
        <stp>BDH|59809212789284359</stp>
        <tr r="F23" s="24"/>
      </tp>
      <tp t="e">
        <v>#N/A</v>
        <stp/>
        <stp>BDH|71307210726544704</stp>
        <tr r="E57" s="24"/>
      </tp>
      <tp t="e">
        <v>#N/A</v>
        <stp/>
        <stp>BDH|21420510623763576</stp>
        <tr r="N126" s="18"/>
      </tp>
      <tp t="e">
        <v>#N/A</v>
        <stp/>
        <stp>BDH|48837871454999885</stp>
        <tr r="T40" s="18"/>
      </tp>
      <tp t="e">
        <v>#N/A</v>
        <stp/>
        <stp>BDH|67572506141917789</stp>
        <tr r="S33" s="9"/>
      </tp>
      <tp t="e">
        <v>#N/A</v>
        <stp/>
        <stp>BDH|65013763076612349</stp>
        <tr r="D53" s="24"/>
      </tp>
      <tp t="e">
        <v>#N/A</v>
        <stp/>
        <stp>BDH|62032304634398740</stp>
        <tr r="H53" s="13"/>
      </tp>
      <tp t="e">
        <v>#N/A</v>
        <stp/>
        <stp>BDH|86417621197307225</stp>
        <tr r="W88" s="24"/>
      </tp>
      <tp t="e">
        <v>#N/A</v>
        <stp/>
        <stp>BDH|97387024146441465</stp>
        <tr r="T178" s="18"/>
      </tp>
      <tp t="e">
        <v>#N/A</v>
        <stp/>
        <stp>BDH|78275023676667585</stp>
        <tr r="R30" s="34"/>
      </tp>
      <tp t="e">
        <v>#N/A</v>
        <stp/>
        <stp>BDH|9888148107981517649</stp>
        <tr r="E47" s="12"/>
      </tp>
      <tp t="e">
        <v>#N/A</v>
        <stp/>
        <stp>BDH|1457546549769067633</stp>
        <tr r="Z71" s="34"/>
      </tp>
      <tp t="e">
        <v>#N/A</v>
        <stp/>
        <stp>BDH|3784886301587433309</stp>
        <tr r="Y60" s="17"/>
      </tp>
      <tp t="e">
        <v>#N/A</v>
        <stp/>
        <stp>BDH|7321557685486162386</stp>
        <tr r="M43" s="6"/>
      </tp>
      <tp t="e">
        <v>#N/A</v>
        <stp/>
        <stp>BDH|8092222978576291427</stp>
        <tr r="I201" s="18"/>
      </tp>
      <tp t="e">
        <v>#N/A</v>
        <stp/>
        <stp>BDH|6090444985531992421</stp>
        <tr r="W32" s="5"/>
      </tp>
      <tp t="e">
        <v>#N/A</v>
        <stp/>
        <stp>BDH|2144499162856103916</stp>
        <tr r="Q10" s="10"/>
      </tp>
      <tp t="e">
        <v>#N/A</v>
        <stp/>
        <stp>BDH|8158038682149379698</stp>
        <tr r="P30" s="12"/>
      </tp>
      <tp t="e">
        <v>#N/A</v>
        <stp/>
        <stp>BDH|9830314614740312443</stp>
        <tr r="P23" s="21"/>
      </tp>
      <tp t="e">
        <v>#N/A</v>
        <stp/>
        <stp>BDH|9203684226227142570</stp>
        <tr r="V18" s="20"/>
      </tp>
      <tp t="e">
        <v>#N/A</v>
        <stp/>
        <stp>BDH|4749714383534836074</stp>
        <tr r="E64" s="18"/>
      </tp>
      <tp t="e">
        <v>#N/A</v>
        <stp/>
        <stp>BDH|8008777916617378683</stp>
        <tr r="D40" s="17"/>
      </tp>
      <tp t="e">
        <v>#N/A</v>
        <stp/>
        <stp>BDH|4205494583734679341</stp>
        <tr r="Z19" s="30"/>
      </tp>
      <tp t="e">
        <v>#N/A</v>
        <stp/>
        <stp>BDH|1137912216705973355</stp>
        <tr r="E73" s="12"/>
      </tp>
      <tp t="e">
        <v>#N/A</v>
        <stp/>
        <stp>BDH|8488928095273008496</stp>
        <tr r="V63" s="12"/>
      </tp>
      <tp t="e">
        <v>#N/A</v>
        <stp/>
        <stp>BDH|7665583280241373474</stp>
        <tr r="AA104" s="18"/>
      </tp>
      <tp t="e">
        <v>#N/A</v>
        <stp/>
        <stp>BDH|9811492039626338712</stp>
        <tr r="O16" s="26"/>
      </tp>
      <tp t="e">
        <v>#N/A</v>
        <stp/>
        <stp>BDH|8675278229776084127</stp>
        <tr r="L19" s="12"/>
      </tp>
      <tp t="e">
        <v>#N/A</v>
        <stp/>
        <stp>BDH|3030433088368954881</stp>
        <tr r="Z191" s="18"/>
      </tp>
      <tp t="e">
        <v>#N/A</v>
        <stp/>
        <stp>BDH|7691242825821578983</stp>
        <tr r="O10" s="27"/>
        <tr r="O25" s="25"/>
      </tp>
      <tp t="e">
        <v>#N/A</v>
        <stp/>
        <stp>BDH|1249945557111949322</stp>
        <tr r="S16" s="20"/>
      </tp>
      <tp t="e">
        <v>#N/A</v>
        <stp/>
        <stp>BDH|8207063503213922445</stp>
        <tr r="K39" s="6"/>
      </tp>
      <tp t="e">
        <v>#N/A</v>
        <stp/>
        <stp>BDH|4822659364349089236</stp>
        <tr r="W76" s="18"/>
      </tp>
      <tp t="e">
        <v>#N/A</v>
        <stp/>
        <stp>BDH|4643795823109206746</stp>
        <tr r="N41" s="18"/>
      </tp>
      <tp t="e">
        <v>#N/A</v>
        <stp/>
        <stp>BDH|3214259324995054992</stp>
        <tr r="E12" s="26"/>
      </tp>
      <tp t="e">
        <v>#N/A</v>
        <stp/>
        <stp>BDH|8012376718742618738</stp>
        <tr r="D9" s="23"/>
      </tp>
      <tp t="e">
        <v>#N/A</v>
        <stp/>
        <stp>BDH|3025801128641740759</stp>
        <tr r="V29" s="4"/>
      </tp>
      <tp t="e">
        <v>#N/A</v>
        <stp/>
        <stp>BDH|6552987857776042309</stp>
        <tr r="U8" s="25"/>
        <tr r="R10" s="5"/>
        <tr r="S9" s="2"/>
      </tp>
      <tp t="e">
        <v>#N/A</v>
        <stp/>
        <stp>BDH|5272365666297836808</stp>
        <tr r="I55" s="11"/>
      </tp>
      <tp t="e">
        <v>#N/A</v>
        <stp/>
        <stp>BDH|5783422666308111082</stp>
        <tr r="P41" s="21"/>
      </tp>
      <tp t="e">
        <v>#N/A</v>
        <stp/>
        <stp>BDH|4989780082171009593</stp>
        <tr r="K22" s="24"/>
      </tp>
      <tp t="e">
        <v>#N/A</v>
        <stp/>
        <stp>BDH|4315858679576534205</stp>
        <tr r="S14" s="4"/>
      </tp>
      <tp t="e">
        <v>#N/A</v>
        <stp/>
        <stp>BDH|3564524679509789735</stp>
        <tr r="W8" s="4"/>
      </tp>
      <tp t="e">
        <v>#N/A</v>
        <stp/>
        <stp>BDH|5302976432106492683</stp>
        <tr r="V34" s="11"/>
        <tr r="V43" s="10"/>
      </tp>
      <tp t="e">
        <v>#N/A</v>
        <stp/>
        <stp>BDH|6477925602721617189</stp>
        <tr r="J39" s="26"/>
      </tp>
      <tp t="e">
        <v>#N/A</v>
        <stp/>
        <stp>BDH|9507157118674656249</stp>
        <tr r="AA20" s="28"/>
        <tr r="AA17" s="17"/>
      </tp>
      <tp t="e">
        <v>#N/A</v>
        <stp/>
        <stp>BDH|2587713109053329944</stp>
        <tr r="V13" s="25"/>
      </tp>
      <tp t="e">
        <v>#N/A</v>
        <stp/>
        <stp>BDH|6820381400323296985</stp>
        <tr r="O92" s="24"/>
      </tp>
      <tp t="e">
        <v>#N/A</v>
        <stp/>
        <stp>BDH|4383421656128465292</stp>
        <tr r="R22" s="11"/>
      </tp>
      <tp t="e">
        <v>#N/A</v>
        <stp/>
        <stp>BDH|5359095041256395827</stp>
        <tr r="I11" s="6"/>
      </tp>
      <tp t="e">
        <v>#N/A</v>
        <stp/>
        <stp>BDH|9886260740881293165</stp>
        <tr r="Q35" s="34"/>
      </tp>
      <tp t="e">
        <v>#N/A</v>
        <stp/>
        <stp>BDH|2390146291384426181</stp>
        <tr r="M177" s="18"/>
      </tp>
      <tp t="e">
        <v>#N/A</v>
        <stp/>
        <stp>BDH|9039043368958131875</stp>
        <tr r="Y69" s="13"/>
      </tp>
      <tp t="e">
        <v>#N/A</v>
        <stp/>
        <stp>BDH|1240889624591247562</stp>
        <tr r="K62" s="12"/>
      </tp>
      <tp t="e">
        <v>#N/A</v>
        <stp/>
        <stp>BDH|9281816039098850585</stp>
        <tr r="S73" s="12"/>
      </tp>
      <tp t="e">
        <v>#N/A</v>
        <stp/>
        <stp>BDH|9333150006097217093</stp>
        <tr r="I63" s="13"/>
      </tp>
      <tp t="e">
        <v>#N/A</v>
        <stp/>
        <stp>BDH|9323696947017025367</stp>
        <tr r="K94" s="17"/>
      </tp>
      <tp t="e">
        <v>#N/A</v>
        <stp/>
        <stp>BDH|1615555242799813622</stp>
        <tr r="C22" s="7"/>
      </tp>
      <tp t="e">
        <v>#N/A</v>
        <stp/>
        <stp>BDH|5665643726956689894</stp>
        <tr r="R12" s="7"/>
      </tp>
      <tp t="e">
        <v>#N/A</v>
        <stp/>
        <stp>BDH|1807295429416345806</stp>
        <tr r="Y44" s="22"/>
      </tp>
      <tp t="e">
        <v>#N/A</v>
        <stp/>
        <stp>BDH|9083288171661713254</stp>
        <tr r="U17" s="23"/>
      </tp>
      <tp t="e">
        <v>#N/A</v>
        <stp/>
        <stp>BDH|9874184318290438670</stp>
        <tr r="Q20" s="23"/>
      </tp>
      <tp t="e">
        <v>#N/A</v>
        <stp/>
        <stp>BDH|4264737680214824023</stp>
        <tr r="K136" s="18"/>
      </tp>
      <tp t="e">
        <v>#N/A</v>
        <stp/>
        <stp>BDH|1864572313473253957</stp>
        <tr r="V59" s="17"/>
      </tp>
      <tp t="e">
        <v>#N/A</v>
        <stp/>
        <stp>BDH|5085584901968712756</stp>
        <tr r="W22" s="24"/>
      </tp>
      <tp t="e">
        <v>#N/A</v>
        <stp/>
        <stp>BDH|7434668695426559198</stp>
        <tr r="Q14" s="8"/>
      </tp>
      <tp t="e">
        <v>#N/A</v>
        <stp/>
        <stp>BDH|9900604606278258861</stp>
        <tr r="S87" s="12"/>
      </tp>
      <tp t="e">
        <v>#N/A</v>
        <stp/>
        <stp>BDH|7239942607497990639</stp>
        <tr r="S63" s="10"/>
      </tp>
      <tp t="e">
        <v>#N/A</v>
        <stp/>
        <stp>BDH|9076956408247370850</stp>
        <tr r="O25" s="17"/>
      </tp>
      <tp t="e">
        <v>#N/A</v>
        <stp/>
        <stp>BDH|5412880257075839285</stp>
        <tr r="I34" s="29"/>
      </tp>
      <tp t="e">
        <v>#N/A</v>
        <stp/>
        <stp>BDH|8112886331494606854</stp>
        <tr r="L31" s="22"/>
      </tp>
      <tp t="e">
        <v>#N/A</v>
        <stp/>
        <stp>BDH|8450712505094305480</stp>
        <tr r="G172" s="18"/>
      </tp>
      <tp t="e">
        <v>#N/A</v>
        <stp/>
        <stp>BDH|1636005935604135994</stp>
        <tr r="C11" s="9"/>
      </tp>
      <tp t="e">
        <v>#N/A</v>
        <stp/>
        <stp>BDH|5022204481563804325</stp>
        <tr r="Z43" s="21"/>
      </tp>
      <tp t="e">
        <v>#N/A</v>
        <stp/>
        <stp>BDH|2835177274533659862</stp>
        <tr r="AA9" s="23"/>
      </tp>
      <tp t="e">
        <v>#N/A</v>
        <stp/>
        <stp>BDH|1306730848239345400</stp>
        <tr r="W68" s="10"/>
      </tp>
      <tp t="e">
        <v>#N/A</v>
        <stp/>
        <stp>BDH|1866201954351521820</stp>
        <tr r="AA19" s="12"/>
      </tp>
      <tp t="e">
        <v>#N/A</v>
        <stp/>
        <stp>BDH|5283391861799656672</stp>
        <tr r="G38" s="21"/>
        <tr r="G24" s="3"/>
      </tp>
      <tp t="e">
        <v>#N/A</v>
        <stp/>
        <stp>BDH|2533408183052927340</stp>
        <tr r="E51" s="18"/>
      </tp>
      <tp t="e">
        <v>#N/A</v>
        <stp/>
        <stp>BDH|9355541599889422317</stp>
        <tr r="Q164" s="18"/>
      </tp>
      <tp t="e">
        <v>#N/A</v>
        <stp/>
        <stp>BDH|8152632879783482543</stp>
        <tr r="Y21" s="30"/>
      </tp>
      <tp t="e">
        <v>#N/A</v>
        <stp/>
        <stp>BDH|1503791090884731401</stp>
        <tr r="Y49" s="18"/>
      </tp>
      <tp t="e">
        <v>#N/A</v>
        <stp/>
        <stp>BDH|5693312936683829924</stp>
        <tr r="Q60" s="18"/>
      </tp>
      <tp t="e">
        <v>#N/A</v>
        <stp/>
        <stp>BDH|2973049974252258803</stp>
        <tr r="Q159" s="18"/>
      </tp>
      <tp t="e">
        <v>#N/A</v>
        <stp/>
        <stp>BDH|5886876367556707241</stp>
        <tr r="AA30" s="21"/>
      </tp>
      <tp t="e">
        <v>#N/A</v>
        <stp/>
        <stp>BDH|7888700873259104110</stp>
        <tr r="F64" s="13"/>
      </tp>
      <tp t="e">
        <v>#N/A</v>
        <stp/>
        <stp>BDH|9846958964229747050</stp>
        <tr r="Y17" s="22"/>
      </tp>
      <tp t="e">
        <v>#N/A</v>
        <stp/>
        <stp>BDH|2580862618671814580</stp>
        <tr r="Q53" s="12"/>
      </tp>
      <tp t="e">
        <v>#N/A</v>
        <stp/>
        <stp>BDH|8009424216084790680</stp>
        <tr r="D24" s="20"/>
      </tp>
      <tp t="e">
        <v>#N/A</v>
        <stp/>
        <stp>BDH|9335495984572296877</stp>
        <tr r="X94" s="24"/>
      </tp>
      <tp t="e">
        <v>#N/A</v>
        <stp/>
        <stp>BDH|3781331240182814974</stp>
        <tr r="M16" s="21"/>
      </tp>
      <tp t="e">
        <v>#N/A</v>
        <stp/>
        <stp>BDH|7130329455198458692</stp>
        <tr r="X13" s="2"/>
      </tp>
      <tp t="e">
        <v>#N/A</v>
        <stp/>
        <stp>BDH|5348049769694029855</stp>
        <tr r="G130" s="18"/>
      </tp>
      <tp t="e">
        <v>#N/A</v>
        <stp/>
        <stp>BDH|1171881955446796507</stp>
        <tr r="D8" s="10"/>
      </tp>
      <tp t="e">
        <v>#N/A</v>
        <stp/>
        <stp>BDH|5963233285734368478</stp>
        <tr r="N85" s="17"/>
        <tr r="L6" s="7"/>
        <tr r="N20" s="3"/>
      </tp>
      <tp t="e">
        <v>#N/A</v>
        <stp/>
        <stp>BDH|5971594414048691695</stp>
        <tr r="M10" s="11"/>
      </tp>
      <tp t="e">
        <v>#N/A</v>
        <stp/>
        <stp>BDH|8665254995359999547</stp>
        <tr r="S7" s="30"/>
      </tp>
      <tp t="e">
        <v>#N/A</v>
        <stp/>
        <stp>BDH|3385929701822332785</stp>
        <tr r="M7" s="24"/>
      </tp>
      <tp t="e">
        <v>#N/A</v>
        <stp/>
        <stp>BDH|8740010986899978624</stp>
        <tr r="W8" s="8"/>
      </tp>
      <tp t="e">
        <v>#N/A</v>
        <stp/>
        <stp>BDH|3776741951208036698</stp>
        <tr r="L13" s="5"/>
      </tp>
      <tp t="e">
        <v>#N/A</v>
        <stp/>
        <stp>BDH|7160318471575971932</stp>
        <tr r="M153" s="18"/>
      </tp>
      <tp t="e">
        <v>#N/A</v>
        <stp/>
        <stp>BDH|8325044798776766839</stp>
        <tr r="H26" s="22"/>
      </tp>
      <tp t="e">
        <v>#N/A</v>
        <stp/>
        <stp>BDH|3039218288525095329</stp>
        <tr r="C62" s="24"/>
      </tp>
      <tp t="e">
        <v>#N/A</v>
        <stp/>
        <stp>BDH|7141358544288900720</stp>
        <tr r="I19" s="30"/>
      </tp>
      <tp t="e">
        <v>#N/A</v>
        <stp/>
        <stp>BDH|5654364018708799041</stp>
        <tr r="N22" s="17"/>
        <tr r="N15" s="3"/>
      </tp>
      <tp t="e">
        <v>#N/A</v>
        <stp/>
        <stp>BDH|9592387856261089135</stp>
        <tr r="T24" s="12"/>
      </tp>
      <tp t="e">
        <v>#N/A</v>
        <stp/>
        <stp>BDH|6391985012909211835</stp>
        <tr r="O47" s="6"/>
      </tp>
      <tp t="e">
        <v>#N/A</v>
        <stp/>
        <stp>BDH|6643257347167854846</stp>
        <tr r="M46" s="22"/>
      </tp>
      <tp t="e">
        <v>#N/A</v>
        <stp/>
        <stp>BDH|1618674599000966192</stp>
        <tr r="H80" s="24"/>
      </tp>
      <tp t="e">
        <v>#N/A</v>
        <stp/>
        <stp>BDH|8695384418226998377</stp>
        <tr r="T8" s="12"/>
      </tp>
      <tp t="e">
        <v>#N/A</v>
        <stp/>
        <stp>BDH|6637875514281854153</stp>
        <tr r="Z123" s="12"/>
      </tp>
      <tp t="e">
        <v>#N/A</v>
        <stp/>
        <stp>BDH|8800411820378411951</stp>
        <tr r="C74" s="24"/>
      </tp>
      <tp t="e">
        <v>#N/A</v>
        <stp/>
        <stp>BDH|2552635259466209856</stp>
        <tr r="I87" s="18"/>
      </tp>
      <tp t="e">
        <v>#N/A</v>
        <stp/>
        <stp>BDH|8997636814359662908</stp>
        <tr r="Z43" s="18"/>
      </tp>
      <tp t="e">
        <v>#N/A</v>
        <stp/>
        <stp>BDH|1290177619036425809</stp>
        <tr r="T8" s="34"/>
      </tp>
      <tp t="e">
        <v>#N/A</v>
        <stp/>
        <stp>BDH|5856315182779433871</stp>
        <tr r="Y42" s="11"/>
        <tr r="Y51" s="10"/>
        <tr r="Y14" s="7"/>
        <tr r="AA9" s="3"/>
      </tp>
      <tp t="e">
        <v>#N/A</v>
        <stp/>
        <stp>BDH|8160814068779620063</stp>
        <tr r="T176" s="18"/>
      </tp>
      <tp t="e">
        <v>#N/A</v>
        <stp/>
        <stp>BDH|3303995118525315197</stp>
        <tr r="H15" s="11"/>
      </tp>
      <tp t="e">
        <v>#N/A</v>
        <stp/>
        <stp>BDH|9912005452742613154</stp>
        <tr r="U12" s="14"/>
      </tp>
      <tp t="e">
        <v>#N/A</v>
        <stp/>
        <stp>BDH|7609147122448040381</stp>
        <tr r="G50" s="18"/>
      </tp>
      <tp t="e">
        <v>#N/A</v>
        <stp/>
        <stp>BDH|9915996214767486981</stp>
        <tr r="Y68" s="10"/>
      </tp>
      <tp t="e">
        <v>#N/A</v>
        <stp/>
        <stp>BDH|1699784205298469170</stp>
        <tr r="I35" s="21"/>
      </tp>
      <tp t="e">
        <v>#N/A</v>
        <stp/>
        <stp>BDH|8660666509673179208</stp>
        <tr r="J49" s="6"/>
      </tp>
      <tp t="e">
        <v>#N/A</v>
        <stp/>
        <stp>BDH|8910113929861878515</stp>
        <tr r="Y64" s="11"/>
        <tr r="Y73" s="10"/>
      </tp>
      <tp t="e">
        <v>#N/A</v>
        <stp/>
        <stp>BDH|2149758737479993029</stp>
        <tr r="C60" s="18"/>
      </tp>
      <tp t="e">
        <v>#N/A</v>
        <stp/>
        <stp>BDH|6855934308833963324</stp>
        <tr r="W17" s="21"/>
      </tp>
      <tp t="e">
        <v>#N/A</v>
        <stp/>
        <stp>BDH|4315891830983364314</stp>
        <tr r="D26" s="18"/>
      </tp>
      <tp t="e">
        <v>#N/A</v>
        <stp/>
        <stp>BDH|8187302057551973073</stp>
        <tr r="Z52" s="18"/>
      </tp>
      <tp t="e">
        <v>#N/A</v>
        <stp/>
        <stp>BDH|3941993469956764562</stp>
        <tr r="X21" s="18"/>
      </tp>
      <tp t="e">
        <v>#N/A</v>
        <stp/>
        <stp>BDH|6808896842807946220</stp>
        <tr r="O56" s="6"/>
      </tp>
      <tp t="e">
        <v>#N/A</v>
        <stp/>
        <stp>BDH|9655111355017876529</stp>
        <tr r="X32" s="29"/>
        <tr r="V34" s="5"/>
      </tp>
      <tp t="e">
        <v>#N/A</v>
        <stp/>
        <stp>BDH|5812072851109296641</stp>
        <tr r="V36" s="34"/>
      </tp>
      <tp t="e">
        <v>#N/A</v>
        <stp/>
        <stp>BDH|4277711336118586782</stp>
        <tr r="D31" s="12"/>
      </tp>
      <tp t="e">
        <v>#N/A</v>
        <stp/>
        <stp>BDH|4491096725490916997</stp>
        <tr r="I7" s="8"/>
      </tp>
      <tp t="e">
        <v>#N/A</v>
        <stp/>
        <stp>BDH|6689984072043325472</stp>
        <tr r="J14" s="27"/>
        <tr r="J28" s="25"/>
      </tp>
      <tp t="e">
        <v>#N/A</v>
        <stp/>
        <stp>BDH|3664460740878055484</stp>
        <tr r="Z37" s="22"/>
      </tp>
      <tp t="e">
        <v>#N/A</v>
        <stp/>
        <stp>BDH|7783979708363984294</stp>
        <tr r="S89" s="17"/>
      </tp>
      <tp t="e">
        <v>#N/A</v>
        <stp/>
        <stp>BDH|2628792277594091902</stp>
        <tr r="L9" s="18"/>
      </tp>
      <tp t="e">
        <v>#N/A</v>
        <stp/>
        <stp>BDH|6126485041639104000</stp>
        <tr r="T24" s="18"/>
      </tp>
      <tp t="e">
        <v>#N/A</v>
        <stp/>
        <stp>BDH|9114510979856997291</stp>
        <tr r="K48" s="18"/>
      </tp>
      <tp t="e">
        <v>#N/A</v>
        <stp/>
        <stp>BDH|3822109343641450868</stp>
        <tr r="I74" s="17"/>
      </tp>
      <tp t="e">
        <v>#N/A</v>
        <stp/>
        <stp>BDH|4714662318428576450</stp>
        <tr r="T49" s="34"/>
      </tp>
      <tp t="e">
        <v>#N/A</v>
        <stp/>
        <stp>BDH|3233281980523305507</stp>
        <tr r="Q43" s="21"/>
      </tp>
      <tp t="e">
        <v>#N/A</v>
        <stp/>
        <stp>BDH|5654113185243215096</stp>
        <tr r="D154" s="18"/>
      </tp>
      <tp t="e">
        <v>#N/A</v>
        <stp/>
        <stp>BDH|9885861302168425619</stp>
        <tr r="P10" s="8"/>
        <tr r="N53" s="6"/>
      </tp>
      <tp t="e">
        <v>#N/A</v>
        <stp/>
        <stp>BDH|1910551105088535350</stp>
        <tr r="D9" s="12"/>
      </tp>
      <tp t="e">
        <v>#N/A</v>
        <stp/>
        <stp>BDH|7210143906239075094</stp>
        <tr r="I95" s="12"/>
      </tp>
      <tp t="e">
        <v>#N/A</v>
        <stp/>
        <stp>BDH|2241864838474507207</stp>
        <tr r="AA182" s="18"/>
      </tp>
      <tp t="e">
        <v>#N/A</v>
        <stp/>
        <stp>BDH|1925147757309139326</stp>
        <tr r="G22" s="17"/>
        <tr r="G15" s="3"/>
      </tp>
      <tp t="e">
        <v>#N/A</v>
        <stp/>
        <stp>BDH|8710791911731374052</stp>
        <tr r="M43" s="17"/>
      </tp>
      <tp t="e">
        <v>#N/A</v>
        <stp/>
        <stp>BDH|1948527285404104762</stp>
        <tr r="R90" s="17"/>
      </tp>
      <tp t="e">
        <v>#N/A</v>
        <stp/>
        <stp>BDH|6575460629036068934</stp>
        <tr r="F20" s="27"/>
      </tp>
      <tp t="e">
        <v>#N/A</v>
        <stp/>
        <stp>BDH|7829222086707123540</stp>
        <tr r="N10" s="25"/>
        <tr r="N55" s="17"/>
      </tp>
      <tp t="e">
        <v>#N/A</v>
        <stp/>
        <stp>BDH|4341624189656576345</stp>
        <tr r="H71" s="24"/>
      </tp>
      <tp t="e">
        <v>#N/A</v>
        <stp/>
        <stp>BDH|7685507688500470539</stp>
        <tr r="C27" s="14"/>
      </tp>
      <tp t="e">
        <v>#N/A</v>
        <stp/>
        <stp>BDH|9239762158662373664</stp>
        <tr r="R53" s="21"/>
      </tp>
      <tp t="e">
        <v>#N/A</v>
        <stp/>
        <stp>BDH|4918973935911485064</stp>
        <tr r="K8" s="8"/>
      </tp>
      <tp t="e">
        <v>#N/A</v>
        <stp/>
        <stp>BDH|3370665277275326884</stp>
        <tr r="Y11" s="28"/>
      </tp>
      <tp t="e">
        <v>#N/A</v>
        <stp/>
        <stp>BDH|8939451205332505157</stp>
        <tr r="S8" s="13"/>
      </tp>
      <tp t="e">
        <v>#N/A</v>
        <stp/>
        <stp>BDH|2717619206502068992</stp>
        <tr r="O18" s="17"/>
      </tp>
      <tp t="e">
        <v>#N/A</v>
        <stp/>
        <stp>BDH|4864644725318337738</stp>
        <tr r="O15" s="11"/>
      </tp>
      <tp t="e">
        <v>#N/A</v>
        <stp/>
        <stp>BDH|9734373999425569958</stp>
        <tr r="I94" s="24"/>
      </tp>
      <tp t="e">
        <v>#N/A</v>
        <stp/>
        <stp>BDH|2032921052108903909</stp>
        <tr r="F10" s="26"/>
      </tp>
      <tp t="e">
        <v>#N/A</v>
        <stp/>
        <stp>BDH|4809979142821580716</stp>
        <tr r="I13" s="13"/>
      </tp>
      <tp t="e">
        <v>#N/A</v>
        <stp/>
        <stp>BDH|8399862249718062354</stp>
        <tr r="V9" s="12"/>
      </tp>
      <tp t="e">
        <v>#N/A</v>
        <stp/>
        <stp>BDH|4615851898369252308</stp>
        <tr r="E30" s="26"/>
      </tp>
      <tp t="e">
        <v>#N/A</v>
        <stp/>
        <stp>BDH|2192948283625903916</stp>
        <tr r="H70" s="18"/>
      </tp>
      <tp t="e">
        <v>#N/A</v>
        <stp/>
        <stp>BDH|1857361008525057885</stp>
        <tr r="H111" s="18"/>
      </tp>
      <tp t="e">
        <v>#N/A</v>
        <stp/>
        <stp>BDH|3271092885177262323</stp>
        <tr r="P47" s="17"/>
      </tp>
      <tp t="e">
        <v>#N/A</v>
        <stp/>
        <stp>BDH|7231167371799921720</stp>
        <tr r="Q163" s="18"/>
      </tp>
      <tp t="e">
        <v>#N/A</v>
        <stp/>
        <stp>BDH|4666822824448611980</stp>
        <tr r="F76" s="34"/>
      </tp>
      <tp t="e">
        <v>#N/A</v>
        <stp/>
        <stp>BDH|7506242821089914173</stp>
        <tr r="Z84" s="24"/>
      </tp>
      <tp t="e">
        <v>#N/A</v>
        <stp/>
        <stp>BDH|9922059936715051049</stp>
        <tr r="O90" s="24"/>
      </tp>
      <tp t="e">
        <v>#N/A</v>
        <stp/>
        <stp>BDH|3995170562829133231</stp>
        <tr r="I29" s="18"/>
      </tp>
      <tp t="e">
        <v>#N/A</v>
        <stp/>
        <stp>BDH|7341280715388303334</stp>
        <tr r="R15" s="23"/>
        <tr r="P58" s="11"/>
      </tp>
      <tp t="e">
        <v>#N/A</v>
        <stp/>
        <stp>BDH|4174835523169808871</stp>
        <tr r="C6" s="6"/>
      </tp>
      <tp t="e">
        <v>#N/A</v>
        <stp/>
        <stp>BDH|3455907554925875569</stp>
        <tr r="U18" s="34"/>
      </tp>
      <tp t="e">
        <v>#N/A</v>
        <stp/>
        <stp>BDH|8319168677085895445</stp>
        <tr r="N54" s="12"/>
      </tp>
      <tp t="e">
        <v>#N/A</v>
        <stp/>
        <stp>BDH|8852112805722255400</stp>
        <tr r="Q61" s="13"/>
        <tr r="O48" s="11"/>
        <tr r="O57" s="10"/>
        <tr r="O18" s="7"/>
      </tp>
      <tp t="e">
        <v>#N/A</v>
        <stp/>
        <stp>BDH|4059966711230875313</stp>
        <tr r="L43" s="17"/>
      </tp>
      <tp t="e">
        <v>#N/A</v>
        <stp/>
        <stp>BDH|9950747345700669506</stp>
        <tr r="K8" s="17"/>
      </tp>
      <tp t="e">
        <v>#N/A</v>
        <stp/>
        <stp>BDH|3561448298026701709</stp>
        <tr r="J52" s="24"/>
      </tp>
      <tp t="e">
        <v>#N/A</v>
        <stp/>
        <stp>BDH|7393447277333920878</stp>
        <tr r="I7" s="17"/>
      </tp>
      <tp t="e">
        <v>#N/A</v>
        <stp/>
        <stp>BDH|6693561687851124584</stp>
        <tr r="V18" s="23"/>
      </tp>
      <tp t="e">
        <v>#N/A</v>
        <stp/>
        <stp>BDH|6292758914726575987</stp>
        <tr r="C12" s="6"/>
      </tp>
      <tp t="e">
        <v>#N/A</v>
        <stp/>
        <stp>BDH|8218582159456440195</stp>
        <tr r="K17" s="9"/>
      </tp>
      <tp t="e">
        <v>#N/A</v>
        <stp/>
        <stp>BDH|4826255405718702119</stp>
        <tr r="O6" s="6"/>
      </tp>
      <tp t="e">
        <v>#N/A</v>
        <stp/>
        <stp>BDH|6596967885161800906</stp>
        <tr r="J119" s="12"/>
      </tp>
      <tp t="e">
        <v>#N/A</v>
        <stp/>
        <stp>BDH|8211168219080523762</stp>
        <tr r="Z85" s="24"/>
      </tp>
      <tp t="e">
        <v>#N/A</v>
        <stp/>
        <stp>BDH|9547458552686420181</stp>
        <tr r="T36" s="13"/>
        <tr r="R29" s="10"/>
      </tp>
      <tp t="e">
        <v>#N/A</v>
        <stp/>
        <stp>BDH|7872658741418020221</stp>
        <tr r="M12" s="14"/>
      </tp>
      <tp t="e">
        <v>#N/A</v>
        <stp/>
        <stp>BDH|6960249712519730362</stp>
        <tr r="O43" s="21"/>
      </tp>
      <tp t="e">
        <v>#N/A</v>
        <stp/>
        <stp>BDH|7093088495967036630</stp>
        <tr r="L24" s="27"/>
      </tp>
      <tp t="e">
        <v>#N/A</v>
        <stp/>
        <stp>BDH|9872568127761362045</stp>
        <tr r="I116" s="12"/>
      </tp>
      <tp t="e">
        <v>#N/A</v>
        <stp/>
        <stp>BDH|2701012656529640189</stp>
        <tr r="U18" s="27"/>
        <tr r="U32" s="25"/>
      </tp>
      <tp t="e">
        <v>#N/A</v>
        <stp/>
        <stp>BDH|1110755258149090526</stp>
        <tr r="K15" s="10"/>
      </tp>
      <tp t="e">
        <v>#N/A</v>
        <stp/>
        <stp>BDH|4478754169798677209</stp>
        <tr r="S70" s="24"/>
      </tp>
      <tp t="e">
        <v>#N/A</v>
        <stp/>
        <stp>BDH|5829630599765568099</stp>
        <tr r="D164" s="18"/>
      </tp>
      <tp t="e">
        <v>#N/A</v>
        <stp/>
        <stp>BDH|5988210096176346737</stp>
        <tr r="P91" s="17"/>
      </tp>
      <tp t="e">
        <v>#N/A</v>
        <stp/>
        <stp>BDH|8154313454243899220</stp>
        <tr r="H137" s="18"/>
      </tp>
      <tp t="e">
        <v>#N/A</v>
        <stp/>
        <stp>BDH|9651748861234542386</stp>
        <tr r="J48" s="21"/>
      </tp>
      <tp t="e">
        <v>#N/A</v>
        <stp/>
        <stp>BDH|9732786391219786173</stp>
        <tr r="X25" s="17"/>
      </tp>
      <tp t="e">
        <v>#N/A</v>
        <stp/>
        <stp>BDH|3445897511702201708</stp>
        <tr r="P103" s="12"/>
      </tp>
      <tp t="e">
        <v>#N/A</v>
        <stp/>
        <stp>BDH|9729716262564293384</stp>
        <tr r="T21" s="2"/>
      </tp>
      <tp t="e">
        <v>#N/A</v>
        <stp/>
        <stp>BDH|4768971228324087460</stp>
        <tr r="K77" s="18"/>
      </tp>
      <tp t="e">
        <v>#N/A</v>
        <stp/>
        <stp>BDH|9833073324107499314</stp>
        <tr r="C26" s="13"/>
      </tp>
      <tp t="e">
        <v>#N/A</v>
        <stp/>
        <stp>BDH|5142354290873352392</stp>
        <tr r="H46" s="22"/>
      </tp>
      <tp t="e">
        <v>#N/A</v>
        <stp/>
        <stp>BDH|2636044392026687280</stp>
        <tr r="K17" s="12"/>
      </tp>
      <tp t="e">
        <v>#N/A</v>
        <stp/>
        <stp>BDH|4592932949160418655</stp>
        <tr r="G59" s="13"/>
      </tp>
      <tp t="e">
        <v>#N/A</v>
        <stp/>
        <stp>BDH|5944921504826362525</stp>
        <tr r="X22" s="6"/>
      </tp>
      <tp t="e">
        <v>#N/A</v>
        <stp/>
        <stp>BDH|5682575538645659910</stp>
        <tr r="X26" s="24"/>
      </tp>
      <tp t="e">
        <v>#N/A</v>
        <stp/>
        <stp>BDH|1103253065362727893</stp>
        <tr r="I34" s="9"/>
      </tp>
      <tp t="e">
        <v>#N/A</v>
        <stp/>
        <stp>BDH|9671096622682571671</stp>
        <tr r="G54" s="17"/>
        <tr r="G17" s="3"/>
      </tp>
      <tp t="e">
        <v>#N/A</v>
        <stp/>
        <stp>BDH|9626164137591914513</stp>
        <tr r="L55" s="12"/>
      </tp>
      <tp t="e">
        <v>#N/A</v>
        <stp/>
        <stp>BDH|6738494040749048014</stp>
        <tr r="K9" s="13"/>
      </tp>
      <tp t="e">
        <v>#N/A</v>
        <stp/>
        <stp>BDH|7599909470310968635</stp>
        <tr r="V43" s="12"/>
      </tp>
      <tp t="e">
        <v>#N/A</v>
        <stp/>
        <stp>BDH|3808876936772243545</stp>
        <tr r="D202" s="18"/>
      </tp>
      <tp t="e">
        <v>#N/A</v>
        <stp/>
        <stp>BDH|9758000779613912282</stp>
        <tr r="O84" s="18"/>
      </tp>
      <tp t="e">
        <v>#N/A</v>
        <stp/>
        <stp>BDH|3850507881302045366</stp>
        <tr r="Q28" s="22"/>
      </tp>
      <tp t="e">
        <v>#N/A</v>
        <stp/>
        <stp>BDH|1579289784245694106</stp>
        <tr r="G63" s="17"/>
      </tp>
      <tp t="e">
        <v>#N/A</v>
        <stp/>
        <stp>BDH|3658258145668097291</stp>
        <tr r="H94" s="18"/>
      </tp>
      <tp t="e">
        <v>#N/A</v>
        <stp/>
        <stp>BDH|8949224461364389769</stp>
        <tr r="G7" s="11"/>
      </tp>
      <tp t="e">
        <v>#N/A</v>
        <stp/>
        <stp>BDH|3361199760642299972</stp>
        <tr r="U63" s="24"/>
      </tp>
      <tp t="e">
        <v>#N/A</v>
        <stp/>
        <stp>BDH|2963840335096249057</stp>
        <tr r="K32" s="9"/>
      </tp>
      <tp t="e">
        <v>#N/A</v>
        <stp/>
        <stp>BDH|6101877969325838282</stp>
        <tr r="E24" s="5"/>
      </tp>
      <tp t="e">
        <v>#N/A</v>
        <stp/>
        <stp>BDH|5390375308561050838</stp>
        <tr r="K205" s="18"/>
      </tp>
      <tp t="e">
        <v>#N/A</v>
        <stp/>
        <stp>BDH|3063844888439149526</stp>
        <tr r="O26" s="11"/>
        <tr r="O35" s="10"/>
      </tp>
      <tp t="e">
        <v>#N/A</v>
        <stp/>
        <stp>BDH|5337987121488747920</stp>
        <tr r="F10" s="10"/>
      </tp>
      <tp t="e">
        <v>#N/A</v>
        <stp/>
        <stp>BDH|6403294951397268915</stp>
        <tr r="Y22" s="30"/>
        <tr r="Y24" s="23"/>
      </tp>
      <tp t="e">
        <v>#N/A</v>
        <stp/>
        <stp>BDH|3599768469109772420</stp>
        <tr r="S12" s="6"/>
      </tp>
      <tp t="e">
        <v>#N/A</v>
        <stp/>
        <stp>BDH|8974642804628159970</stp>
        <tr r="S101" s="18"/>
      </tp>
      <tp t="e">
        <v>#N/A</v>
        <stp/>
        <stp>BDH|9194312425137988034</stp>
        <tr r="I146" s="18"/>
      </tp>
      <tp t="e">
        <v>#N/A</v>
        <stp/>
        <stp>BDH|5385316588338152940</stp>
        <tr r="P57" s="12"/>
      </tp>
      <tp t="e">
        <v>#N/A</v>
        <stp/>
        <stp>BDH|3908488306691131995</stp>
        <tr r="K50" s="13"/>
      </tp>
      <tp t="e">
        <v>#N/A</v>
        <stp/>
        <stp>BDH|6241076860546285987</stp>
        <tr r="O12" s="18"/>
      </tp>
      <tp t="e">
        <v>#N/A</v>
        <stp/>
        <stp>BDH|4945999356762013590</stp>
        <tr r="O68" s="17"/>
      </tp>
      <tp t="e">
        <v>#N/A</v>
        <stp/>
        <stp>BDH|2082266632149342581</stp>
        <tr r="N80" s="18"/>
      </tp>
      <tp t="e">
        <v>#N/A</v>
        <stp/>
        <stp>BDH|7379924124506394592</stp>
        <tr r="R30" s="12"/>
      </tp>
      <tp t="e">
        <v>#N/A</v>
        <stp/>
        <stp>BDH|9445786255022573639</stp>
        <tr r="G26" s="17"/>
      </tp>
      <tp t="e">
        <v>#N/A</v>
        <stp/>
        <stp>BDH|2718313280473020598</stp>
        <tr r="J12" s="17"/>
      </tp>
      <tp t="e">
        <v>#N/A</v>
        <stp/>
        <stp>BDH|9986575917393109172</stp>
        <tr r="Z135" s="18"/>
      </tp>
      <tp t="e">
        <v>#N/A</v>
        <stp/>
        <stp>BDH|7727488806439275545</stp>
        <tr r="Z36" s="34"/>
      </tp>
      <tp t="e">
        <v>#N/A</v>
        <stp/>
        <stp>BDH|7920015359744795996</stp>
        <tr r="U28" s="24"/>
      </tp>
      <tp t="e">
        <v>#N/A</v>
        <stp/>
        <stp>BDH|2900530915818874181</stp>
        <tr r="S13" s="34"/>
      </tp>
      <tp t="e">
        <v>#N/A</v>
        <stp/>
        <stp>BDH|1979818844092000031</stp>
        <tr r="N14" s="8"/>
      </tp>
      <tp t="e">
        <v>#N/A</v>
        <stp/>
        <stp>BDH|1136848965630457089</stp>
        <tr r="X22" s="4"/>
      </tp>
      <tp t="e">
        <v>#N/A</v>
        <stp/>
        <stp>BDH|3456932958791502160</stp>
        <tr r="E26" s="13"/>
      </tp>
      <tp t="e">
        <v>#N/A</v>
        <stp/>
        <stp>BDH|6872046217551231957</stp>
        <tr r="Q21" s="2"/>
      </tp>
      <tp t="e">
        <v>#N/A</v>
        <stp/>
        <stp>BDH|9936373984434459922</stp>
        <tr r="O110" s="12"/>
      </tp>
      <tp t="e">
        <v>#N/A</v>
        <stp/>
        <stp>BDH|7067491313455516831</stp>
        <tr r="O12" s="27"/>
        <tr r="O26" s="25"/>
      </tp>
      <tp t="e">
        <v>#N/A</v>
        <stp/>
        <stp>BDH|2192424631503899962</stp>
        <tr r="D11" s="18"/>
      </tp>
      <tp t="e">
        <v>#N/A</v>
        <stp/>
        <stp>BDH|3947709781682600128</stp>
        <tr r="H88" s="24"/>
      </tp>
      <tp t="e">
        <v>#N/A</v>
        <stp/>
        <stp>BDH|4549593363568019031</stp>
        <tr r="D16" s="6"/>
      </tp>
      <tp t="e">
        <v>#N/A</v>
        <stp/>
        <stp>BDH|6654278086895815631</stp>
        <tr r="Y38" s="12"/>
      </tp>
      <tp t="e">
        <v>#N/A</v>
        <stp/>
        <stp>BDH|8464370475023276085</stp>
        <tr r="E173" s="18"/>
      </tp>
      <tp t="e">
        <v>#N/A</v>
        <stp/>
        <stp>BDH|6951968630455693654</stp>
        <tr r="Q58" s="17"/>
      </tp>
      <tp t="e">
        <v>#N/A</v>
        <stp/>
        <stp>BDH|8948056882617134830</stp>
        <tr r="Q10" s="18"/>
      </tp>
      <tp t="e">
        <v>#N/A</v>
        <stp/>
        <stp>BDH|2507811859474468454</stp>
        <tr r="K134" s="18"/>
      </tp>
      <tp t="e">
        <v>#N/A</v>
        <stp/>
        <stp>BDH|3559494713381116824</stp>
        <tr r="I33" s="21"/>
      </tp>
      <tp t="e">
        <v>#N/A</v>
        <stp/>
        <stp>BDH|6527912663270259690</stp>
        <tr r="L136" s="18"/>
      </tp>
      <tp t="e">
        <v>#N/A</v>
        <stp/>
        <stp>BDH|2656952986939916508</stp>
        <tr r="T63" s="11"/>
        <tr r="T72" s="10"/>
      </tp>
      <tp t="e">
        <v>#N/A</v>
        <stp/>
        <stp>BDH|4341713994841962430</stp>
        <tr r="K9" s="24"/>
      </tp>
      <tp t="e">
        <v>#N/A</v>
        <stp/>
        <stp>BDH|9959343157967670701</stp>
        <tr r="Z65" s="24"/>
      </tp>
      <tp t="e">
        <v>#N/A</v>
        <stp/>
        <stp>BDH|5031008060098977455</stp>
        <tr r="U14" s="12"/>
      </tp>
      <tp t="e">
        <v>#N/A</v>
        <stp/>
        <stp>BDH|1610887061679213919</stp>
        <tr r="N37" s="13"/>
        <tr r="L30" s="10"/>
      </tp>
      <tp t="e">
        <v>#N/A</v>
        <stp/>
        <stp>BDH|2651401298742193231</stp>
        <tr r="F41" s="12"/>
      </tp>
      <tp t="e">
        <v>#N/A</v>
        <stp/>
        <stp>BDH|4298528499200298771</stp>
        <tr r="L20" s="34"/>
      </tp>
      <tp t="e">
        <v>#N/A</v>
        <stp/>
        <stp>BDH|8652450636142087297</stp>
        <tr r="G39" s="26"/>
      </tp>
      <tp t="e">
        <v>#N/A</v>
        <stp/>
        <stp>BDH|9487775808620565126</stp>
        <tr r="F18" s="6"/>
      </tp>
      <tp t="e">
        <v>#N/A</v>
        <stp/>
        <stp>BDH|8915341524922546407</stp>
        <tr r="S29" s="4"/>
      </tp>
      <tp t="e">
        <v>#N/A</v>
        <stp/>
        <stp>BDH|2511823806305585083</stp>
        <tr r="J15" s="14"/>
      </tp>
      <tp t="e">
        <v>#N/A</v>
        <stp/>
        <stp>BDH|5280594813426775835</stp>
        <tr r="D33" s="6"/>
      </tp>
      <tp t="e">
        <v>#N/A</v>
        <stp/>
        <stp>BDH|2704308789233011526</stp>
        <tr r="E201" s="18"/>
      </tp>
      <tp t="e">
        <v>#N/A</v>
        <stp/>
        <stp>BDH|6207169398058070903</stp>
        <tr r="R11" s="29"/>
      </tp>
      <tp t="e">
        <v>#N/A</v>
        <stp/>
        <stp>BDH|6912901640841479513</stp>
        <tr r="H63" s="18"/>
      </tp>
      <tp t="e">
        <v>#N/A</v>
        <stp/>
        <stp>BDH|2082976713504941110</stp>
        <tr r="AA103" s="18"/>
      </tp>
      <tp t="e">
        <v>#N/A</v>
        <stp/>
        <stp>BDH|7390161382564267595</stp>
        <tr r="C28" s="26"/>
      </tp>
      <tp t="e">
        <v>#N/A</v>
        <stp/>
        <stp>BDH|6908358570504323931</stp>
        <tr r="I53" s="21"/>
      </tp>
      <tp t="e">
        <v>#N/A</v>
        <stp/>
        <stp>BDH|1473141507367963832</stp>
        <tr r="J94" s="18"/>
      </tp>
      <tp t="e">
        <v>#N/A</v>
        <stp/>
        <stp>BDH|9728782460417512074</stp>
        <tr r="V38" s="26"/>
      </tp>
      <tp t="e">
        <v>#N/A</v>
        <stp/>
        <stp>BDH|5076631101594728881</stp>
        <tr r="R20" s="9"/>
      </tp>
      <tp t="e">
        <v>#N/A</v>
        <stp/>
        <stp>BDH|7399748392782932415</stp>
        <tr r="I26" s="21"/>
      </tp>
      <tp t="e">
        <v>#N/A</v>
        <stp/>
        <stp>BDH|4903916631459401802</stp>
        <tr r="V103" s="12"/>
      </tp>
      <tp t="e">
        <v>#N/A</v>
        <stp/>
        <stp>BDH|5174755889407215227</stp>
        <tr r="Q19" s="20"/>
      </tp>
      <tp t="e">
        <v>#N/A</v>
        <stp/>
        <stp>BDH|3816660142536719866</stp>
        <tr r="I36" s="4"/>
      </tp>
      <tp t="e">
        <v>#N/A</v>
        <stp/>
        <stp>BDH|2632997852854097506</stp>
        <tr r="W18" s="6"/>
      </tp>
      <tp t="e">
        <v>#N/A</v>
        <stp/>
        <stp>BDH|1990304597004393006</stp>
        <tr r="N70" s="17"/>
        <tr r="N18" s="3"/>
      </tp>
      <tp t="e">
        <v>#N/A</v>
        <stp/>
        <stp>BDH|2382025722546922978</stp>
        <tr r="H104" s="12"/>
      </tp>
      <tp t="e">
        <v>#N/A</v>
        <stp/>
        <stp>BDH|3851579963917164801</stp>
        <tr r="X19" s="30"/>
      </tp>
      <tp t="e">
        <v>#N/A</v>
        <stp/>
        <stp>BDH|8955336157052922394</stp>
        <tr r="W21" s="27"/>
      </tp>
      <tp t="e">
        <v>#N/A</v>
        <stp/>
        <stp>BDH|2583033083663819609</stp>
        <tr r="G20" s="18"/>
      </tp>
      <tp t="e">
        <v>#N/A</v>
        <stp/>
        <stp>BDH|5100192455688900691</stp>
        <tr r="AA44" s="18"/>
      </tp>
      <tp t="e">
        <v>#N/A</v>
        <stp/>
        <stp>BDH|4555389864457799935</stp>
        <tr r="Y55" s="12"/>
      </tp>
      <tp t="e">
        <v>#N/A</v>
        <stp/>
        <stp>BDH|1091537222279899041</stp>
        <tr r="F20" s="18"/>
      </tp>
      <tp t="e">
        <v>#N/A</v>
        <stp/>
        <stp>BDH|5834538683590286772</stp>
        <tr r="M7" s="6"/>
      </tp>
      <tp t="e">
        <v>#N/A</v>
        <stp/>
        <stp>BDH|9182985448639852249</stp>
        <tr r="S207" s="18"/>
      </tp>
      <tp t="e">
        <v>#N/A</v>
        <stp/>
        <stp>BDH|2432802907045733095</stp>
        <tr r="K21" s="22"/>
      </tp>
      <tp t="e">
        <v>#N/A</v>
        <stp/>
        <stp>BDH|2857611008483937855</stp>
        <tr r="U17" s="20"/>
      </tp>
      <tp t="e">
        <v>#N/A</v>
        <stp/>
        <stp>BDH|4490012281893932006</stp>
        <tr r="Y130" s="18"/>
      </tp>
      <tp t="e">
        <v>#N/A</v>
        <stp/>
        <stp>BDH|9175860292521133698</stp>
        <tr r="H16" s="23"/>
      </tp>
      <tp t="e">
        <v>#N/A</v>
        <stp/>
        <stp>BDH|4702863317314892630</stp>
        <tr r="H14" s="13"/>
      </tp>
      <tp t="e">
        <v>#N/A</v>
        <stp/>
        <stp>BDH|6316017839992175871</stp>
        <tr r="W56" s="12"/>
      </tp>
      <tp t="e">
        <v>#N/A</v>
        <stp/>
        <stp>BDH|6748713847853918957</stp>
        <tr r="L75" s="24"/>
      </tp>
      <tp t="e">
        <v>#N/A</v>
        <stp/>
        <stp>BDH|8666840449882170970</stp>
        <tr r="S195" s="18"/>
      </tp>
      <tp t="e">
        <v>#N/A</v>
        <stp/>
        <stp>BDH|3386955072683844117</stp>
        <tr r="C34" s="21"/>
      </tp>
      <tp t="e">
        <v>#N/A</v>
        <stp/>
        <stp>BDH|9939357332011680754</stp>
        <tr r="I36" s="14"/>
      </tp>
      <tp t="e">
        <v>#N/A</v>
        <stp/>
        <stp>BDH|5260332428719595211</stp>
        <tr r="R68" s="24"/>
      </tp>
      <tp t="e">
        <v>#N/A</v>
        <stp/>
        <stp>BDH|4488832284313653887</stp>
        <tr r="R30" s="14"/>
      </tp>
      <tp t="e">
        <v>#N/A</v>
        <stp/>
        <stp>BDH|5932158226398011172</stp>
        <tr r="J69" s="18"/>
      </tp>
      <tp t="e">
        <v>#N/A</v>
        <stp/>
        <stp>BDH|1754586655967306940</stp>
        <tr r="D66" s="21"/>
      </tp>
      <tp t="e">
        <v>#N/A</v>
        <stp/>
        <stp>BDH|4455882700507110409</stp>
        <tr r="K116" s="12"/>
      </tp>
      <tp t="e">
        <v>#N/A</v>
        <stp/>
        <stp>BDH|9340101328584183172</stp>
        <tr r="H27" s="6"/>
      </tp>
      <tp t="e">
        <v>#N/A</v>
        <stp/>
        <stp>BDH|8957177430015398006</stp>
        <tr r="G80" s="18"/>
      </tp>
      <tp t="e">
        <v>#N/A</v>
        <stp/>
        <stp>BDH|7939566114475159978</stp>
        <tr r="K29" s="29"/>
        <tr r="K7" s="29"/>
      </tp>
      <tp t="e">
        <v>#N/A</v>
        <stp/>
        <stp>BDH|6277993175974530362</stp>
        <tr r="E131" s="18"/>
      </tp>
      <tp t="e">
        <v>#N/A</v>
        <stp/>
        <stp>BDH|2194940106674760095</stp>
        <tr r="S109" s="12"/>
      </tp>
      <tp t="e">
        <v>#N/A</v>
        <stp/>
        <stp>BDH|7998429070962243941</stp>
        <tr r="Y34" s="34"/>
      </tp>
      <tp t="e">
        <v>#N/A</v>
        <stp/>
        <stp>BDH|2768993173807730472</stp>
        <tr r="X57" s="17"/>
      </tp>
      <tp t="e">
        <v>#N/A</v>
        <stp/>
        <stp>BDH|8092087704607832094</stp>
        <tr r="U44" s="13"/>
        <tr r="S28" s="11"/>
        <tr r="S37" s="10"/>
      </tp>
      <tp t="e">
        <v>#N/A</v>
        <stp/>
        <stp>BDH|6783407751519319184</stp>
        <tr r="U11" s="9"/>
      </tp>
      <tp t="e">
        <v>#N/A</v>
        <stp/>
        <stp>BDH|4594195990217675477</stp>
        <tr r="R27" s="14"/>
      </tp>
      <tp t="e">
        <v>#N/A</v>
        <stp/>
        <stp>BDH|4809303107850467863</stp>
        <tr r="X78" s="24"/>
      </tp>
      <tp t="e">
        <v>#N/A</v>
        <stp/>
        <stp>BDH|7543535974862099801</stp>
        <tr r="N66" s="18"/>
      </tp>
      <tp t="e">
        <v>#N/A</v>
        <stp/>
        <stp>BDH|1790336926879628664</stp>
        <tr r="F56" s="24"/>
      </tp>
      <tp t="e">
        <v>#N/A</v>
        <stp/>
        <stp>BDH|7147250251387031875</stp>
        <tr r="L38" s="34"/>
      </tp>
      <tp t="e">
        <v>#N/A</v>
        <stp/>
        <stp>BDH|2785131015004005939</stp>
        <tr r="W23" s="21"/>
      </tp>
      <tp t="e">
        <v>#N/A</v>
        <stp/>
        <stp>BDH|4699966323822718266</stp>
        <tr r="Z35" s="34"/>
      </tp>
      <tp t="e">
        <v>#N/A</v>
        <stp/>
        <stp>BDH|4373019292571229309</stp>
        <tr r="U54" s="17"/>
        <tr r="U17" s="3"/>
      </tp>
      <tp t="e">
        <v>#N/A</v>
        <stp/>
        <stp>BDH|5844831538709484859</stp>
        <tr r="L85" s="17"/>
        <tr r="J6" s="7"/>
        <tr r="L20" s="3"/>
      </tp>
      <tp t="e">
        <v>#N/A</v>
        <stp/>
        <stp>BDH|8753313265516785468</stp>
        <tr r="W29" s="13"/>
        <tr r="W16" s="13"/>
        <tr r="U17" s="10"/>
      </tp>
      <tp t="e">
        <v>#N/A</v>
        <stp/>
        <stp>BDH|2048407022479956291</stp>
        <tr r="T13" s="7"/>
      </tp>
      <tp t="e">
        <v>#N/A</v>
        <stp/>
        <stp>BDH|3346913854430537013</stp>
        <tr r="E167" s="18"/>
      </tp>
      <tp t="e">
        <v>#N/A</v>
        <stp/>
        <stp>BDH|5421496955973988837</stp>
        <tr r="I152" s="18"/>
      </tp>
      <tp t="e">
        <v>#N/A</v>
        <stp/>
        <stp>BDH|6452407901624508926</stp>
        <tr r="O13" s="2"/>
      </tp>
      <tp t="e">
        <v>#N/A</v>
        <stp/>
        <stp>BDH|2150223394293636535</stp>
        <tr r="AA24" s="27"/>
      </tp>
      <tp t="e">
        <v>#N/A</v>
        <stp/>
        <stp>BDH|8671163717780344765</stp>
        <tr r="L18" s="25"/>
      </tp>
      <tp t="e">
        <v>#N/A</v>
        <stp/>
        <stp>BDH|2966275021108964541</stp>
        <tr r="V32" s="17"/>
      </tp>
      <tp t="e">
        <v>#N/A</v>
        <stp/>
        <stp>BDH|5101811643491801790</stp>
        <tr r="K21" s="2"/>
      </tp>
      <tp t="e">
        <v>#N/A</v>
        <stp/>
        <stp>BDH|9605113807212164532</stp>
        <tr r="Z32" s="12"/>
      </tp>
      <tp t="e">
        <v>#N/A</v>
        <stp/>
        <stp>BDH|8739133780368431625</stp>
        <tr r="T52" s="13"/>
      </tp>
      <tp t="e">
        <v>#N/A</v>
        <stp/>
        <stp>BDH|7783473170088060328</stp>
        <tr r="D31" s="21"/>
      </tp>
      <tp t="e">
        <v>#N/A</v>
        <stp/>
        <stp>BDH|4931905934109852876</stp>
        <tr r="I7" s="24"/>
      </tp>
      <tp t="e">
        <v>#N/A</v>
        <stp/>
        <stp>BDH|7739840528027119585</stp>
        <tr r="K181" s="18"/>
      </tp>
      <tp t="e">
        <v>#N/A</v>
        <stp/>
        <stp>BDH|6136063295661280128</stp>
        <tr r="I155" s="18"/>
      </tp>
      <tp t="e">
        <v>#N/A</v>
        <stp/>
        <stp>BDH|9063538842511195624</stp>
        <tr r="W71" s="18"/>
      </tp>
      <tp t="e">
        <v>#N/A</v>
        <stp/>
        <stp>BDH|7755143454625384961</stp>
        <tr r="Q25" s="27"/>
      </tp>
      <tp t="e">
        <v>#N/A</v>
        <stp/>
        <stp>BDH|7393107387609132872</stp>
        <tr r="T85" s="18"/>
      </tp>
      <tp t="e">
        <v>#N/A</v>
        <stp/>
        <stp>BDH|5603924326642089303</stp>
        <tr r="H197" s="18"/>
      </tp>
      <tp t="e">
        <v>#N/A</v>
        <stp/>
        <stp>BDH|3996677079999467418</stp>
        <tr r="U10" s="18"/>
      </tp>
      <tp t="e">
        <v>#N/A</v>
        <stp/>
        <stp>BDH|9928436048855604365</stp>
        <tr r="E8" s="25"/>
        <tr r="C9" s="2"/>
      </tp>
      <tp t="e">
        <v>#N/A</v>
        <stp/>
        <stp>BDH|1997826944463429191</stp>
        <tr r="I38" s="21"/>
        <tr r="I24" s="3"/>
      </tp>
      <tp t="e">
        <v>#N/A</v>
        <stp/>
        <stp>BDH|9770029471137054662</stp>
        <tr r="R47" s="21"/>
      </tp>
      <tp t="e">
        <v>#N/A</v>
        <stp/>
        <stp>BDH|2362068357521660966</stp>
        <tr r="R9" s="34"/>
      </tp>
      <tp t="e">
        <v>#N/A</v>
        <stp/>
        <stp>BDH|6081863347911680451</stp>
        <tr r="X8" s="4"/>
      </tp>
      <tp t="e">
        <v>#N/A</v>
        <stp/>
        <stp>BDH|6069908102302006206</stp>
        <tr r="I9" s="6"/>
      </tp>
      <tp t="e">
        <v>#N/A</v>
        <stp/>
        <stp>BDH|4604645791064863099</stp>
        <tr r="Z87" s="24"/>
      </tp>
      <tp t="e">
        <v>#N/A</v>
        <stp/>
        <stp>BDH|4402659621069742657</stp>
        <tr r="W65" s="24"/>
      </tp>
      <tp t="e">
        <v>#N/A</v>
        <stp/>
        <stp>BDH|5061064774928364537</stp>
        <tr r="X7" s="27"/>
        <tr r="X95" s="17"/>
      </tp>
      <tp t="e">
        <v>#N/A</v>
        <stp/>
        <stp>BDH|6540704484757181125</stp>
        <tr r="Y35" s="4"/>
      </tp>
      <tp t="e">
        <v>#N/A</v>
        <stp/>
        <stp>BDH|4255837822833501240</stp>
        <tr r="F12" s="20"/>
        <tr r="F121" s="18"/>
      </tp>
      <tp t="e">
        <v>#N/A</v>
        <stp/>
        <stp>BDH|6248636718948932622</stp>
        <tr r="R8" s="18"/>
      </tp>
      <tp t="e">
        <v>#N/A</v>
        <stp/>
        <stp>BDH|9926823283314370298</stp>
        <tr r="Y21" s="12"/>
      </tp>
      <tp t="e">
        <v>#N/A</v>
        <stp/>
        <stp>BDH|5250458733084739913</stp>
        <tr r="M42" s="34"/>
      </tp>
      <tp t="e">
        <v>#N/A</v>
        <stp/>
        <stp>BDH|3647310881947649024</stp>
        <tr r="V77" s="24"/>
      </tp>
      <tp t="e">
        <v>#N/A</v>
        <stp/>
        <stp>BDH|8916426728170984183</stp>
        <tr r="AA52" s="12"/>
      </tp>
      <tp t="e">
        <v>#N/A</v>
        <stp/>
        <stp>BDH|3596552450619019521</stp>
        <tr r="R7" s="24"/>
      </tp>
      <tp t="e">
        <v>#N/A</v>
        <stp/>
        <stp>BDH|2758836511320584425</stp>
        <tr r="E29" s="21"/>
      </tp>
      <tp t="e">
        <v>#N/A</v>
        <stp/>
        <stp>BDH|8730889969131501816</stp>
        <tr r="K61" s="12"/>
      </tp>
      <tp t="e">
        <v>#N/A</v>
        <stp/>
        <stp>BDH|7519908972074475212</stp>
        <tr r="V22" s="30"/>
        <tr r="V24" s="23"/>
      </tp>
      <tp t="e">
        <v>#N/A</v>
        <stp/>
        <stp>BDH|1739981866317863638</stp>
        <tr r="O34" s="18"/>
      </tp>
      <tp t="e">
        <v>#N/A</v>
        <stp/>
        <stp>BDH|8242575084819147323</stp>
        <tr r="P28" s="13"/>
      </tp>
      <tp t="e">
        <v>#N/A</v>
        <stp/>
        <stp>BDH|6936227707963600883</stp>
        <tr r="J32" s="17"/>
      </tp>
      <tp t="e">
        <v>#N/A</v>
        <stp/>
        <stp>BDH|6780697878040145855</stp>
        <tr r="H21" s="27"/>
      </tp>
      <tp t="e">
        <v>#N/A</v>
        <stp/>
        <stp>BDH|8736397824292901407</stp>
        <tr r="F92" s="24"/>
      </tp>
      <tp t="e">
        <v>#N/A</v>
        <stp/>
        <stp>BDH|8866821870800969808</stp>
        <tr r="L21" s="22"/>
      </tp>
      <tp t="e">
        <v>#N/A</v>
        <stp/>
        <stp>BDH|8568346200443162733</stp>
        <tr r="Y22" s="10"/>
      </tp>
      <tp t="e">
        <v>#N/A</v>
        <stp/>
        <stp>BDH|8128098278041383103</stp>
        <tr r="M16" s="14"/>
      </tp>
      <tp t="e">
        <v>#N/A</v>
        <stp/>
        <stp>BDH|1298771293954547404</stp>
        <tr r="D18" s="21"/>
      </tp>
      <tp t="e">
        <v>#N/A</v>
        <stp/>
        <stp>BDH|8540983109449463735</stp>
        <tr r="Z33" s="24"/>
      </tp>
      <tp t="e">
        <v>#N/A</v>
        <stp/>
        <stp>BDH|8740293458575032551</stp>
        <tr r="I64" s="12"/>
      </tp>
      <tp t="e">
        <v>#N/A</v>
        <stp/>
        <stp>BDH|7596114129808624387</stp>
        <tr r="Z21" s="3"/>
      </tp>
      <tp t="e">
        <v>#N/A</v>
        <stp/>
        <stp>BDH|2069372285657153107</stp>
        <tr r="P88" s="24"/>
      </tp>
      <tp t="e">
        <v>#N/A</v>
        <stp/>
        <stp>BDH|4123724657681330843</stp>
        <tr r="J101" s="12"/>
      </tp>
      <tp t="e">
        <v>#N/A</v>
        <stp/>
        <stp>BDH|3534000011184708901</stp>
        <tr r="R13" s="21"/>
      </tp>
      <tp t="e">
        <v>#N/A</v>
        <stp/>
        <stp>BDH|1596889441853690192</stp>
        <tr r="I204" s="18"/>
      </tp>
      <tp t="e">
        <v>#N/A</v>
        <stp/>
        <stp>BDH|2673410771307732925</stp>
        <tr r="AA33" s="17"/>
      </tp>
      <tp t="e">
        <v>#N/A</v>
        <stp/>
        <stp>BDH|3835581349648264587</stp>
        <tr r="K33" s="5"/>
      </tp>
      <tp t="e">
        <v>#N/A</v>
        <stp/>
        <stp>BDH|2328601756649179777</stp>
        <tr r="L50" s="24"/>
      </tp>
      <tp t="e">
        <v>#N/A</v>
        <stp/>
        <stp>BDH|5301622751368103124</stp>
        <tr r="I12" s="14"/>
      </tp>
      <tp t="e">
        <v>#N/A</v>
        <stp/>
        <stp>BDH|3532216288026949064</stp>
        <tr r="P30" s="24"/>
      </tp>
      <tp t="e">
        <v>#N/A</v>
        <stp/>
        <stp>BDH|8287696870323816508</stp>
        <tr r="Z10" s="22"/>
      </tp>
      <tp t="e">
        <v>#N/A</v>
        <stp/>
        <stp>BDH|4358264647315058810</stp>
        <tr r="K17" s="24"/>
      </tp>
      <tp t="e">
        <v>#N/A</v>
        <stp/>
        <stp>BDH|4601377287733455313</stp>
        <tr r="U48" s="12"/>
      </tp>
      <tp t="e">
        <v>#N/A</v>
        <stp/>
        <stp>BDH|8335539010953657050</stp>
        <tr r="U8" s="24"/>
      </tp>
      <tp t="e">
        <v>#N/A</v>
        <stp/>
        <stp>BDH|2278716863454105823</stp>
        <tr r="D10" s="25"/>
        <tr r="D55" s="17"/>
      </tp>
      <tp t="e">
        <v>#N/A</v>
        <stp/>
        <stp>BDH|9580747585229224059</stp>
        <tr r="Z14" s="21"/>
      </tp>
      <tp t="e">
        <v>#N/A</v>
        <stp/>
        <stp>BDH|6865253713259888359</stp>
        <tr r="F71" s="18"/>
      </tp>
      <tp t="e">
        <v>#N/A</v>
        <stp/>
        <stp>BDH|4486752113988489552</stp>
        <tr r="P129" s="18"/>
      </tp>
      <tp t="e">
        <v>#N/A</v>
        <stp/>
        <stp>BDH|4386222927462759922</stp>
        <tr r="AA62" s="34"/>
      </tp>
      <tp t="e">
        <v>#N/A</v>
        <stp/>
        <stp>BDH|8204754371656080153</stp>
        <tr r="W102" s="18"/>
      </tp>
      <tp t="e">
        <v>#N/A</v>
        <stp/>
        <stp>BDH|2301259303208629700</stp>
        <tr r="U33" s="13"/>
        <tr r="S26" s="10"/>
      </tp>
      <tp t="e">
        <v>#N/A</v>
        <stp/>
        <stp>BDH|7158374432710365848</stp>
        <tr r="M41" s="29"/>
        <tr r="M18" s="29"/>
      </tp>
      <tp t="e">
        <v>#N/A</v>
        <stp/>
        <stp>BDH|3377429775689431633</stp>
        <tr r="Z96" s="18"/>
      </tp>
      <tp t="e">
        <v>#N/A</v>
        <stp/>
        <stp>BDH|2268645800853171847</stp>
        <tr r="P25" s="5"/>
      </tp>
      <tp t="e">
        <v>#N/A</v>
        <stp/>
        <stp>BDH|2279754160358439408</stp>
        <tr r="X49" s="21"/>
      </tp>
      <tp t="e">
        <v>#N/A</v>
        <stp/>
        <stp>BDH|3278521982457390620</stp>
        <tr r="U42" s="6"/>
      </tp>
      <tp t="e">
        <v>#N/A</v>
        <stp/>
        <stp>BDH|8197359367736083404</stp>
        <tr r="P21" s="30"/>
      </tp>
      <tp t="e">
        <v>#N/A</v>
        <stp/>
        <stp>BDH|7653011565157864998</stp>
        <tr r="O18" s="28"/>
        <tr r="O15" s="17"/>
      </tp>
      <tp t="e">
        <v>#N/A</v>
        <stp/>
        <stp>BDH|2246243470998705025</stp>
        <tr r="W30" s="21"/>
      </tp>
      <tp t="e">
        <v>#N/A</v>
        <stp/>
        <stp>BDH|6454646817747463909</stp>
        <tr r="M13" s="24"/>
      </tp>
      <tp t="e">
        <v>#N/A</v>
        <stp/>
        <stp>BDH|9974474473383798693</stp>
        <tr r="J47" s="17"/>
      </tp>
      <tp t="e">
        <v>#N/A</v>
        <stp/>
        <stp>BDH|3340902644803542217</stp>
        <tr r="O156" s="18"/>
      </tp>
      <tp t="e">
        <v>#N/A</v>
        <stp/>
        <stp>BDH|4641114036850616944</stp>
        <tr r="L12" s="7"/>
      </tp>
      <tp t="e">
        <v>#N/A</v>
        <stp/>
        <stp>BDH|2731969516652660726</stp>
        <tr r="J140" s="18"/>
      </tp>
      <tp t="e">
        <v>#N/A</v>
        <stp/>
        <stp>BDH|6320200846297793815</stp>
        <tr r="F94" s="17"/>
      </tp>
      <tp t="e">
        <v>#N/A</v>
        <stp/>
        <stp>BDH|8215369466854898695</stp>
        <tr r="E23" s="12"/>
      </tp>
      <tp t="e">
        <v>#N/A</v>
        <stp/>
        <stp>BDH|3277574576899821785</stp>
        <tr r="G21" s="34"/>
      </tp>
      <tp t="e">
        <v>#N/A</v>
        <stp/>
        <stp>BDH|3858035127848678690</stp>
        <tr r="AA37" s="18"/>
      </tp>
      <tp t="e">
        <v>#N/A</v>
        <stp/>
        <stp>BDH|3937292202899169700</stp>
        <tr r="D180" s="18"/>
      </tp>
      <tp t="e">
        <v>#N/A</v>
        <stp/>
        <stp>BDH|7714635906229792760</stp>
        <tr r="AA29" s="13"/>
        <tr r="AA16" s="13"/>
        <tr r="Y17" s="10"/>
      </tp>
      <tp t="e">
        <v>#N/A</v>
        <stp/>
        <stp>BDH|1578487699612508128</stp>
        <tr r="R22" s="7"/>
      </tp>
      <tp t="e">
        <v>#N/A</v>
        <stp/>
        <stp>BDH|7606578112655891989</stp>
        <tr r="I24" s="27"/>
      </tp>
      <tp t="e">
        <v>#N/A</v>
        <stp/>
        <stp>BDH|1190575257969536747</stp>
        <tr r="O31" s="24"/>
      </tp>
      <tp t="e">
        <v>#N/A</v>
        <stp/>
        <stp>BDH|4353436310176349837</stp>
        <tr r="G21" s="12"/>
      </tp>
      <tp t="e">
        <v>#N/A</v>
        <stp/>
        <stp>BDH|9418537728669709880</stp>
        <tr r="E29" s="13"/>
        <tr r="E16" s="13"/>
        <tr r="C17" s="10"/>
      </tp>
      <tp t="e">
        <v>#N/A</v>
        <stp/>
        <stp>BDH|1801899619123880403</stp>
        <tr r="X12" s="21"/>
      </tp>
      <tp t="e">
        <v>#N/A</v>
        <stp/>
        <stp>BDH|2222923161342620073</stp>
        <tr r="M12" s="13"/>
      </tp>
      <tp t="e">
        <v>#N/A</v>
        <stp/>
        <stp>BDH|9629568224647678628</stp>
        <tr r="W67" s="21"/>
      </tp>
      <tp t="e">
        <v>#N/A</v>
        <stp/>
        <stp>BDH|4422306720253472902</stp>
        <tr r="P62" s="34"/>
      </tp>
      <tp t="e">
        <v>#N/A</v>
        <stp/>
        <stp>BDH|6353854866736674162</stp>
        <tr r="O81" s="18"/>
      </tp>
      <tp t="e">
        <v>#N/A</v>
        <stp/>
        <stp>BDH|6847480850128251022</stp>
        <tr r="X71" s="34"/>
      </tp>
      <tp t="e">
        <v>#N/A</v>
        <stp/>
        <stp>BDH|7829798682003480470</stp>
        <tr r="K24" s="21"/>
      </tp>
      <tp t="e">
        <v>#N/A</v>
        <stp/>
        <stp>BDH|6819606334135871943</stp>
        <tr r="W110" s="12"/>
      </tp>
      <tp t="e">
        <v>#N/A</v>
        <stp/>
        <stp>BDH|2649003859390771881</stp>
        <tr r="K166" s="18"/>
      </tp>
      <tp t="e">
        <v>#N/A</v>
        <stp/>
        <stp>BDH|1322389482950173580</stp>
        <tr r="M15" s="14"/>
      </tp>
      <tp t="e">
        <v>#N/A</v>
        <stp/>
        <stp>BDH|5382853549306755088</stp>
        <tr r="N33" s="21"/>
      </tp>
      <tp t="e">
        <v>#N/A</v>
        <stp/>
        <stp>BDH|2725980703123559793</stp>
        <tr r="H34" s="14"/>
      </tp>
      <tp t="e">
        <v>#N/A</v>
        <stp/>
        <stp>BDH|9983067834896324381</stp>
        <tr r="D27" s="6"/>
      </tp>
      <tp t="e">
        <v>#N/A</v>
        <stp/>
        <stp>BDH|5664827172706335351</stp>
        <tr r="J49" s="13"/>
      </tp>
      <tp t="e">
        <v>#N/A</v>
        <stp/>
        <stp>BDH|5361264466638017631</stp>
        <tr r="D90" s="17"/>
      </tp>
      <tp t="e">
        <v>#N/A</v>
        <stp/>
        <stp>BDH|9440850888952080491</stp>
        <tr r="X7" s="23"/>
      </tp>
      <tp t="e">
        <v>#N/A</v>
        <stp/>
        <stp>BDH|2127112754631519813</stp>
        <tr r="H47" s="21"/>
      </tp>
      <tp t="e">
        <v>#N/A</v>
        <stp/>
        <stp>BDH|5174127983757924492</stp>
        <tr r="F36" s="13"/>
        <tr r="D29" s="10"/>
      </tp>
      <tp t="e">
        <v>#N/A</v>
        <stp/>
        <stp>BDH|5626248596658122958</stp>
        <tr r="Z40" s="18"/>
      </tp>
      <tp t="e">
        <v>#N/A</v>
        <stp/>
        <stp>BDH|4864586090652531553</stp>
        <tr r="O62" s="13"/>
      </tp>
      <tp t="e">
        <v>#N/A</v>
        <stp/>
        <stp>BDH|7088177853999368576</stp>
        <tr r="O60" s="21"/>
        <tr r="M54" s="11"/>
      </tp>
      <tp t="e">
        <v>#N/A</v>
        <stp/>
        <stp>BDH|9566542130864042411</stp>
        <tr r="X173" s="18"/>
      </tp>
      <tp t="e">
        <v>#N/A</v>
        <stp/>
        <stp>BDH|4210182272375989811</stp>
        <tr r="U9" s="12"/>
      </tp>
      <tp t="e">
        <v>#N/A</v>
        <stp/>
        <stp>BDH|5319315063428495750</stp>
        <tr r="C36" s="17"/>
      </tp>
      <tp t="e">
        <v>#N/A</v>
        <stp/>
        <stp>BDH|4284458880236436138</stp>
        <tr r="V19" s="34"/>
      </tp>
      <tp t="e">
        <v>#N/A</v>
        <stp/>
        <stp>BDH|6039492684164883151</stp>
        <tr r="U170" s="18"/>
      </tp>
      <tp t="e">
        <v>#N/A</v>
        <stp/>
        <stp>BDH|7791815163805052359</stp>
        <tr r="F23" s="17"/>
      </tp>
      <tp t="e">
        <v>#N/A</v>
        <stp/>
        <stp>BDH|2064488208379772072</stp>
        <tr r="L130" s="18"/>
      </tp>
      <tp t="e">
        <v>#N/A</v>
        <stp/>
        <stp>BDH|9367241983604084841</stp>
        <tr r="S23" s="21"/>
      </tp>
      <tp t="e">
        <v>#N/A</v>
        <stp/>
        <stp>BDH|8488356380969976588</stp>
        <tr r="I19" s="13"/>
        <tr r="G62" s="10"/>
        <tr r="G32" s="4"/>
        <tr r="G16" s="2"/>
      </tp>
      <tp t="e">
        <v>#N/A</v>
        <stp/>
        <stp>BDH|9976123103357189097</stp>
        <tr r="H66" s="12"/>
      </tp>
      <tp t="e">
        <v>#N/A</v>
        <stp/>
        <stp>BDH|4599360184541179160</stp>
        <tr r="Z16" s="28"/>
        <tr r="Z13" s="17"/>
      </tp>
      <tp t="e">
        <v>#N/A</v>
        <stp/>
        <stp>BDH|1562544180194186700</stp>
        <tr r="K60" s="12"/>
      </tp>
      <tp t="e">
        <v>#N/A</v>
        <stp/>
        <stp>BDH|4030572501837063965</stp>
        <tr r="D60" s="17"/>
      </tp>
      <tp t="e">
        <v>#N/A</v>
        <stp/>
        <stp>BDH|1479710398940838057</stp>
        <tr r="G214" s="18"/>
      </tp>
      <tp t="e">
        <v>#N/A</v>
        <stp/>
        <stp>BDH|4291473431408223461</stp>
        <tr r="D59" s="13"/>
      </tp>
      <tp t="e">
        <v>#N/A</v>
        <stp/>
        <stp>BDH|1501003546643187920</stp>
        <tr r="R113" s="18"/>
      </tp>
      <tp t="e">
        <v>#N/A</v>
        <stp/>
        <stp>BDH|2067962471754191767</stp>
        <tr r="R9" s="26"/>
      </tp>
      <tp t="e">
        <v>#N/A</v>
        <stp/>
        <stp>BDH|5157174285100245319</stp>
        <tr r="W21" s="6"/>
      </tp>
      <tp t="e">
        <v>#N/A</v>
        <stp/>
        <stp>BDH|5165439765630000874</stp>
        <tr r="L34" s="24"/>
      </tp>
      <tp t="e">
        <v>#N/A</v>
        <stp/>
        <stp>BDH|4177964813016071549</stp>
        <tr r="Y54" s="12"/>
      </tp>
      <tp t="e">
        <v>#N/A</v>
        <stp/>
        <stp>BDH|7684139999165453588</stp>
        <tr r="N67" s="18"/>
      </tp>
      <tp t="e">
        <v>#N/A</v>
        <stp/>
        <stp>BDH|4496178247217390976</stp>
        <tr r="D88" s="12"/>
      </tp>
      <tp t="e">
        <v>#N/A</v>
        <stp/>
        <stp>BDH|4545832151340396640</stp>
        <tr r="N15" s="23"/>
        <tr r="L58" s="11"/>
      </tp>
      <tp t="e">
        <v>#N/A</v>
        <stp/>
        <stp>BDH|5173783344100886951</stp>
        <tr r="W30" s="14"/>
      </tp>
      <tp t="e">
        <v>#N/A</v>
        <stp/>
        <stp>BDH|1811911138586695270</stp>
        <tr r="I61" s="34"/>
      </tp>
      <tp t="e">
        <v>#N/A</v>
        <stp/>
        <stp>BDH|4927685262268019338</stp>
        <tr r="N43" s="4"/>
      </tp>
      <tp t="e">
        <v>#N/A</v>
        <stp/>
        <stp>BDH|2933474075618280696</stp>
        <tr r="D14" s="3"/>
      </tp>
      <tp t="e">
        <v>#N/A</v>
        <stp/>
        <stp>BDH|8772426419931541392</stp>
        <tr r="E21" s="11"/>
      </tp>
      <tp t="e">
        <v>#N/A</v>
        <stp/>
        <stp>BDH|1549782263987833862</stp>
        <tr r="D21" s="5"/>
      </tp>
      <tp t="e">
        <v>#N/A</v>
        <stp/>
        <stp>BDH|5022467702087220969</stp>
        <tr r="G92" s="12"/>
      </tp>
      <tp t="e">
        <v>#N/A</v>
        <stp/>
        <stp>BDH|7559229635939018035</stp>
        <tr r="C18" s="6"/>
      </tp>
      <tp t="e">
        <v>#N/A</v>
        <stp/>
        <stp>BDH|8055545307497309515</stp>
        <tr r="V32" s="11"/>
        <tr r="V41" s="10"/>
      </tp>
      <tp t="e">
        <v>#N/A</v>
        <stp/>
        <stp>BDH|1389406643109665778</stp>
        <tr r="E16" s="6"/>
      </tp>
      <tp t="e">
        <v>#N/A</v>
        <stp/>
        <stp>BDH|8760501606255708774</stp>
        <tr r="G87" s="12"/>
      </tp>
      <tp t="e">
        <v>#N/A</v>
        <stp/>
        <stp>BDH|5919521402296068984</stp>
        <tr r="V11" s="30"/>
      </tp>
      <tp t="e">
        <v>#N/A</v>
        <stp/>
        <stp>BDH|9276407156884598302</stp>
        <tr r="J36" s="18"/>
      </tp>
      <tp t="e">
        <v>#N/A</v>
        <stp/>
        <stp>BDH|7450002510298541102</stp>
        <tr r="R18" s="12"/>
      </tp>
      <tp t="e">
        <v>#N/A</v>
        <stp/>
        <stp>BDH|1721604984358422864</stp>
        <tr r="G27" s="13"/>
      </tp>
      <tp t="e">
        <v>#N/A</v>
        <stp/>
        <stp>BDH|1568275217769266461</stp>
        <tr r="S62" s="24"/>
      </tp>
      <tp t="e">
        <v>#N/A</v>
        <stp/>
        <stp>BDH|6463269403903452841</stp>
        <tr r="Y43" s="29"/>
      </tp>
      <tp t="e">
        <v>#N/A</v>
        <stp/>
        <stp>BDH|4809399138592060988</stp>
        <tr r="Y53" s="21"/>
      </tp>
      <tp t="e">
        <v>#N/A</v>
        <stp/>
        <stp>BDH|8050469622278052959</stp>
        <tr r="AA8" s="34"/>
      </tp>
      <tp t="e">
        <v>#N/A</v>
        <stp/>
        <stp>BDH|8820314823233878531</stp>
        <tr r="V16" s="26"/>
      </tp>
      <tp t="e">
        <v>#N/A</v>
        <stp/>
        <stp>BDH|2938282344233266867</stp>
        <tr r="U87" s="17"/>
      </tp>
      <tp t="e">
        <v>#N/A</v>
        <stp/>
        <stp>BDH|8169600130675500752</stp>
        <tr r="G82" s="18"/>
      </tp>
      <tp t="e">
        <v>#N/A</v>
        <stp/>
        <stp>BDH|3844929454581682192</stp>
        <tr r="L6" s="16"/>
        <tr r="M6" s="11"/>
        <tr r="M10" s="4"/>
        <tr r="O6" s="3"/>
      </tp>
      <tp t="e">
        <v>#N/A</v>
        <stp/>
        <stp>BDH|9265669164915832390</stp>
        <tr r="T35" s="21"/>
      </tp>
      <tp t="e">
        <v>#N/A</v>
        <stp/>
        <stp>BDH|7193874007106690660</stp>
        <tr r="S15" s="9"/>
      </tp>
      <tp t="e">
        <v>#N/A</v>
        <stp/>
        <stp>BDH|5557430986700242633</stp>
        <tr r="T28" s="26"/>
      </tp>
      <tp t="e">
        <v>#N/A</v>
        <stp/>
        <stp>BDH|3130861446657498748</stp>
        <tr r="U33" s="9"/>
      </tp>
      <tp t="e">
        <v>#N/A</v>
        <stp/>
        <stp>BDH|7491148756438471436</stp>
        <tr r="Y119" s="12"/>
      </tp>
      <tp t="e">
        <v>#N/A</v>
        <stp/>
        <stp>BDH|8061140175742244321</stp>
        <tr r="K32" s="11"/>
        <tr r="K41" s="10"/>
      </tp>
      <tp t="e">
        <v>#N/A</v>
        <stp/>
        <stp>BDH|8411075216243326570</stp>
        <tr r="Q14" s="12"/>
      </tp>
      <tp t="e">
        <v>#N/A</v>
        <stp/>
        <stp>BDH|1894414382973949134</stp>
        <tr r="E21" s="18"/>
      </tp>
      <tp t="e">
        <v>#N/A</v>
        <stp/>
        <stp>BDH|4945783668698160293</stp>
        <tr r="N51" s="13"/>
      </tp>
      <tp t="e">
        <v>#N/A</v>
        <stp/>
        <stp>BDH|6420160565756246846</stp>
        <tr r="P43" s="13"/>
        <tr r="N35" s="11"/>
        <tr r="N44" s="10"/>
        <tr r="N52" s="4"/>
        <tr r="P8" s="3"/>
      </tp>
      <tp t="e">
        <v>#N/A</v>
        <stp/>
        <stp>BDH|2212728964434138849</stp>
        <tr r="W24" s="22"/>
      </tp>
      <tp t="e">
        <v>#N/A</v>
        <stp/>
        <stp>BDH|3165610656399432631</stp>
        <tr r="Z19" s="17"/>
      </tp>
      <tp t="e">
        <v>#N/A</v>
        <stp/>
        <stp>BDH|9160056964939372929</stp>
        <tr r="R32" s="26"/>
      </tp>
      <tp t="e">
        <v>#N/A</v>
        <stp/>
        <stp>BDH|4575558684744063258</stp>
        <tr r="Y97" s="17"/>
      </tp>
      <tp t="e">
        <v>#N/A</v>
        <stp/>
        <stp>BDH|1674418620178413029</stp>
        <tr r="Y12" s="27"/>
        <tr r="Y26" s="25"/>
      </tp>
      <tp t="e">
        <v>#N/A</v>
        <stp/>
        <stp>BDH|6701587119309410433</stp>
        <tr r="H56" s="34"/>
      </tp>
      <tp t="e">
        <v>#N/A</v>
        <stp/>
        <stp>BDH|1064872800211040764</stp>
        <tr r="Y32" s="21"/>
      </tp>
      <tp t="e">
        <v>#N/A</v>
        <stp/>
        <stp>BDH|2313036552890348802</stp>
        <tr r="N69" s="24"/>
      </tp>
      <tp t="e">
        <v>#N/A</v>
        <stp/>
        <stp>BDH|4011557039894908947</stp>
        <tr r="U15" s="26"/>
      </tp>
      <tp t="e">
        <v>#N/A</v>
        <stp/>
        <stp>BDH|1020100098613982505</stp>
        <tr r="C16" s="10"/>
      </tp>
      <tp t="e">
        <v>#N/A</v>
        <stp/>
        <stp>BDH|7606803524203000138</stp>
        <tr r="E18" s="10"/>
      </tp>
      <tp t="e">
        <v>#N/A</v>
        <stp/>
        <stp>BDH|7484836102685602521</stp>
        <tr r="L143" s="18"/>
      </tp>
      <tp t="e">
        <v>#N/A</v>
        <stp/>
        <stp>BDH|2730635485350199315</stp>
        <tr r="Y14" s="27"/>
        <tr r="Y28" s="25"/>
      </tp>
      <tp t="e">
        <v>#N/A</v>
        <stp/>
        <stp>BDH|5668521511538329678</stp>
        <tr r="K36" s="21"/>
      </tp>
      <tp t="e">
        <v>#N/A</v>
        <stp/>
        <stp>BDH|2483764495975292644</stp>
        <tr r="S48" s="18"/>
      </tp>
      <tp t="e">
        <v>#N/A</v>
        <stp/>
        <stp>BDH|6458695345118907309</stp>
        <tr r="R21" s="10"/>
      </tp>
      <tp t="e">
        <v>#N/A</v>
        <stp/>
        <stp>BDH|3501938106612536747</stp>
        <tr r="V38" s="21"/>
        <tr r="V24" s="3"/>
      </tp>
      <tp t="e">
        <v>#N/A</v>
        <stp/>
        <stp>BDH|7884134592456053687</stp>
        <tr r="D60" s="11"/>
      </tp>
      <tp t="e">
        <v>#N/A</v>
        <stp/>
        <stp>BDH|8508926386930559650</stp>
        <tr r="P85" s="18"/>
      </tp>
      <tp t="e">
        <v>#N/A</v>
        <stp/>
        <stp>BDH|6963354615219199293</stp>
        <tr r="J32" s="5"/>
      </tp>
      <tp t="e">
        <v>#N/A</v>
        <stp/>
        <stp>BDH|1386552393347766532</stp>
        <tr r="M28" s="14"/>
      </tp>
      <tp t="e">
        <v>#N/A</v>
        <stp/>
        <stp>BDH|9480556856253576536</stp>
        <tr r="H11" s="11"/>
      </tp>
      <tp t="e">
        <v>#N/A</v>
        <stp/>
        <stp>BDH|1189308013454180823</stp>
        <tr r="C56" s="11"/>
        <tr r="C24" s="4"/>
      </tp>
      <tp t="e">
        <v>#N/A</v>
        <stp/>
        <stp>BDH|9304465519533246085</stp>
        <tr r="D168" s="18"/>
      </tp>
      <tp t="e">
        <v>#N/A</v>
        <stp/>
        <stp>BDH|8834006168313032264</stp>
        <tr r="M32" s="13"/>
        <tr r="K24" s="11"/>
        <tr r="K33" s="10"/>
        <tr r="K45" s="4"/>
      </tp>
      <tp t="e">
        <v>#N/A</v>
        <stp/>
        <stp>BDH|7565010817458606133</stp>
        <tr r="S38" s="25"/>
      </tp>
      <tp t="e">
        <v>#N/A</v>
        <stp/>
        <stp>BDH|4731663274588659250</stp>
        <tr r="S10" s="25"/>
        <tr r="S55" s="17"/>
      </tp>
      <tp t="e">
        <v>#N/A</v>
        <stp/>
        <stp>BDH|7921181591339644904</stp>
        <tr r="Z19" s="26"/>
      </tp>
      <tp t="e">
        <v>#N/A</v>
        <stp/>
        <stp>BDH|9942192046716630562</stp>
        <tr r="G85" s="12"/>
      </tp>
      <tp t="e">
        <v>#N/A</v>
        <stp/>
        <stp>BDH|7695577218314848879</stp>
        <tr r="D124" s="18"/>
      </tp>
      <tp t="e">
        <v>#N/A</v>
        <stp/>
        <stp>BDH|8229130547231754376</stp>
        <tr r="T90" s="17"/>
      </tp>
      <tp t="e">
        <v>#N/A</v>
        <stp/>
        <stp>BDH|7090052892637115609</stp>
        <tr r="Q28" s="18"/>
      </tp>
      <tp t="e">
        <v>#N/A</v>
        <stp/>
        <stp>BDH|4633387066337623981</stp>
        <tr r="Z70" s="17"/>
        <tr r="Z18" s="3"/>
      </tp>
      <tp t="e">
        <v>#N/A</v>
        <stp/>
        <stp>BDH|6771136030873288805</stp>
        <tr r="J72" s="34"/>
      </tp>
      <tp t="e">
        <v>#N/A</v>
        <stp/>
        <stp>BDH|9055149807740467719</stp>
        <tr r="K14" s="24"/>
      </tp>
      <tp t="e">
        <v>#N/A</v>
        <stp/>
        <stp>BDH|4328532021378055472</stp>
        <tr r="N32" s="26"/>
      </tp>
      <tp t="e">
        <v>#N/A</v>
        <stp/>
        <stp>BDH|1717505580017338423</stp>
        <tr r="N101" s="18"/>
      </tp>
      <tp t="e">
        <v>#N/A</v>
        <stp/>
        <stp>BDH|9399818624559901590</stp>
        <tr r="J43" s="13"/>
        <tr r="H35" s="11"/>
        <tr r="H44" s="10"/>
        <tr r="H52" s="4"/>
        <tr r="J8" s="3"/>
      </tp>
      <tp t="e">
        <v>#N/A</v>
        <stp/>
        <stp>BDH|5471295127722425880</stp>
        <tr r="P55" s="12"/>
      </tp>
      <tp t="e">
        <v>#N/A</v>
        <stp/>
        <stp>BDH|4223797780367929343</stp>
        <tr r="M32" s="11"/>
        <tr r="M41" s="10"/>
      </tp>
      <tp t="e">
        <v>#N/A</v>
        <stp/>
        <stp>BDH|8375038559544651699</stp>
        <tr r="U75" s="17"/>
      </tp>
      <tp t="e">
        <v>#N/A</v>
        <stp/>
        <stp>BDH|8064612684630340900</stp>
        <tr r="C36" s="4"/>
      </tp>
      <tp t="e">
        <v>#N/A</v>
        <stp/>
        <stp>BDH|4001084363588412596</stp>
        <tr r="J63" s="21"/>
      </tp>
      <tp t="e">
        <v>#N/A</v>
        <stp/>
        <stp>BDH|5151638521508442615</stp>
        <tr r="U12" s="20"/>
        <tr r="U121" s="18"/>
      </tp>
      <tp t="e">
        <v>#N/A</v>
        <stp/>
        <stp>BDH|2084736250549661634</stp>
        <tr r="E65" s="17"/>
      </tp>
      <tp t="e">
        <v>#N/A</v>
        <stp/>
        <stp>BDH|8248969498422909531</stp>
        <tr r="X17" s="14"/>
      </tp>
      <tp t="e">
        <v>#N/A</v>
        <stp/>
        <stp>BDH|8133455490818649242</stp>
        <tr r="C91" s="12"/>
      </tp>
      <tp t="e">
        <v>#N/A</v>
        <stp/>
        <stp>BDH|7376211666488231409</stp>
        <tr r="T12" s="10"/>
      </tp>
      <tp t="e">
        <v>#N/A</v>
        <stp/>
        <stp>BDH|1734877823677181342</stp>
        <tr r="R22" s="34"/>
      </tp>
      <tp t="e">
        <v>#N/A</v>
        <stp/>
        <stp>BDH|4192310155035560864</stp>
        <tr r="D42" s="11"/>
        <tr r="D51" s="10"/>
        <tr r="D14" s="7"/>
        <tr r="F9" s="3"/>
      </tp>
      <tp t="e">
        <v>#N/A</v>
        <stp/>
        <stp>BDH|4834119584092288099</stp>
        <tr r="V201" s="18"/>
      </tp>
      <tp t="e">
        <v>#N/A</v>
        <stp/>
        <stp>BDH|9817689220527374551</stp>
        <tr r="U88" s="18"/>
      </tp>
      <tp t="e">
        <v>#N/A</v>
        <stp/>
        <stp>BDH|5356938654081734754</stp>
        <tr r="J7" s="9"/>
        <tr r="J7" s="5"/>
        <tr r="M14" s="3"/>
        <tr r="K7" s="2"/>
      </tp>
      <tp t="e">
        <v>#N/A</v>
        <stp/>
        <stp>BDH|8263826386697097005</stp>
        <tr r="V162" s="18"/>
      </tp>
      <tp t="e">
        <v>#N/A</v>
        <stp/>
        <stp>BDH|3142524673307071969</stp>
        <tr r="K41" s="21"/>
      </tp>
      <tp t="e">
        <v>#N/A</v>
        <stp/>
        <stp>BDH|5595994063862900708</stp>
        <tr r="Y21" s="14"/>
      </tp>
      <tp t="e">
        <v>#N/A</v>
        <stp/>
        <stp>BDH|5843437278891764820</stp>
        <tr r="N55" s="12"/>
      </tp>
      <tp t="e">
        <v>#N/A</v>
        <stp/>
        <stp>BDH|2039838120766378167</stp>
        <tr r="M10" s="13"/>
      </tp>
      <tp t="e">
        <v>#N/A</v>
        <stp/>
        <stp>BDH|8691566321469125965</stp>
        <tr r="V63" s="13"/>
      </tp>
      <tp t="e">
        <v>#N/A</v>
        <stp/>
        <stp>BDH|9043139532545645112</stp>
        <tr r="U151" s="18"/>
      </tp>
      <tp t="e">
        <v>#N/A</v>
        <stp/>
        <stp>BDH|1681166725729269411</stp>
        <tr r="H10" s="17"/>
      </tp>
      <tp t="e">
        <v>#N/A</v>
        <stp/>
        <stp>BDH|6328615422014104979</stp>
        <tr r="M11" s="21"/>
      </tp>
      <tp t="e">
        <v>#N/A</v>
        <stp/>
        <stp>BDH|7274940546122766701</stp>
        <tr r="H23" s="10"/>
      </tp>
      <tp t="e">
        <v>#N/A</v>
        <stp/>
        <stp>BDH|5734686092531847425</stp>
        <tr r="E18" s="11"/>
      </tp>
      <tp t="e">
        <v>#N/A</v>
        <stp/>
        <stp>BDH|5899875479065680075</stp>
        <tr r="H70" s="13"/>
        <tr r="F49" s="11"/>
        <tr r="F58" s="10"/>
        <tr r="F19" s="7"/>
        <tr r="F18" s="4"/>
        <tr r="F20" s="2"/>
      </tp>
      <tp t="e">
        <v>#N/A</v>
        <stp/>
        <stp>BDH|8817383027737073102</stp>
        <tr r="Y35" s="34"/>
      </tp>
      <tp t="e">
        <v>#N/A</v>
        <stp/>
        <stp>BDH|8331765734447103472</stp>
        <tr r="E68" s="34"/>
      </tp>
      <tp t="e">
        <v>#N/A</v>
        <stp/>
        <stp>BDH|9634201834332753524</stp>
        <tr r="Q8" s="26"/>
        <tr r="N10" s="9"/>
      </tp>
      <tp t="e">
        <v>#N/A</v>
        <stp/>
        <stp>BDH|6064340993563353036</stp>
        <tr r="G40" s="29"/>
        <tr r="G17" s="29"/>
      </tp>
      <tp t="e">
        <v>#N/A</v>
        <stp/>
        <stp>BDH|7769005881873682370</stp>
        <tr r="J22" s="11"/>
      </tp>
      <tp t="e">
        <v>#N/A</v>
        <stp/>
        <stp>BDH|1337678195072507338</stp>
        <tr r="Q33" s="11"/>
        <tr r="Q42" s="10"/>
      </tp>
      <tp t="e">
        <v>#N/A</v>
        <stp/>
        <stp>BDH|5405880755227647085</stp>
        <tr r="V18" s="34"/>
      </tp>
      <tp t="e">
        <v>#N/A</v>
        <stp/>
        <stp>BDH|5377079790120381304</stp>
        <tr r="V143" s="18"/>
      </tp>
      <tp t="e">
        <v>#N/A</v>
        <stp/>
        <stp>BDH|8226213649339450894</stp>
        <tr r="X26" s="18"/>
      </tp>
      <tp t="e">
        <v>#N/A</v>
        <stp/>
        <stp>BDH|4858777856100833962</stp>
        <tr r="V175" s="18"/>
      </tp>
      <tp t="e">
        <v>#N/A</v>
        <stp/>
        <stp>BDH|4441345891275197478</stp>
        <tr r="E15" s="4"/>
      </tp>
      <tp t="e">
        <v>#N/A</v>
        <stp/>
        <stp>BDH|8704435276151156544</stp>
        <tr r="Z23" s="13"/>
      </tp>
      <tp t="e">
        <v>#N/A</v>
        <stp/>
        <stp>BDH|8204502234616077716</stp>
        <tr r="T21" s="10"/>
      </tp>
      <tp t="e">
        <v>#N/A</v>
        <stp/>
        <stp>BDH|2338893115711919513</stp>
        <tr r="W12" s="17"/>
      </tp>
      <tp t="e">
        <v>#N/A</v>
        <stp/>
        <stp>BDH|7100675525659261560</stp>
        <tr r="C79" s="17"/>
      </tp>
      <tp t="e">
        <v>#N/A</v>
        <stp/>
        <stp>BDH|8022470254366344070</stp>
        <tr r="D8" s="25"/>
      </tp>
      <tp t="e">
        <v>#N/A</v>
        <stp/>
        <stp>BDH|2003379495042190545</stp>
        <tr r="F7" s="28"/>
      </tp>
      <tp t="e">
        <v>#N/A</v>
        <stp/>
        <stp>BDH|9444014074096762713</stp>
        <tr r="K87" s="18"/>
      </tp>
      <tp t="e">
        <v>#N/A</v>
        <stp/>
        <stp>BDH|5501691570259277290</stp>
        <tr r="I64" s="17"/>
      </tp>
      <tp t="e">
        <v>#N/A</v>
        <stp/>
        <stp>BDH|5436979663836032375</stp>
        <tr r="L9" s="12"/>
      </tp>
      <tp t="e">
        <v>#N/A</v>
        <stp/>
        <stp>BDH|8964925372308668182</stp>
        <tr r="Q74" s="24"/>
      </tp>
      <tp t="e">
        <v>#N/A</v>
        <stp/>
        <stp>BDH|2031449454268072478</stp>
        <tr r="I6" s="16"/>
        <tr r="J6" s="11"/>
        <tr r="J10" s="4"/>
        <tr r="L6" s="3"/>
      </tp>
      <tp t="e">
        <v>#N/A</v>
        <stp/>
        <stp>BDH|9614034576772558310</stp>
        <tr r="N65" s="10"/>
        <tr r="N25" s="4"/>
      </tp>
      <tp t="e">
        <v>#N/A</v>
        <stp/>
        <stp>BDH|7729527711365516961</stp>
        <tr r="Z22" s="27"/>
      </tp>
      <tp t="e">
        <v>#N/A</v>
        <stp/>
        <stp>BDH|9696119362086201709</stp>
        <tr r="W18" s="9"/>
      </tp>
      <tp t="e">
        <v>#N/A</v>
        <stp/>
        <stp>BDH|3098935969793805052</stp>
        <tr r="M24" s="5"/>
      </tp>
      <tp t="e">
        <v>#N/A</v>
        <stp/>
        <stp>BDH|7094555119689811533</stp>
        <tr r="R29" s="4"/>
      </tp>
      <tp t="e">
        <v>#N/A</v>
        <stp/>
        <stp>BDH|7190150956198269475</stp>
        <tr r="L80" s="17"/>
        <tr r="L19" s="3"/>
      </tp>
      <tp t="e">
        <v>#N/A</v>
        <stp/>
        <stp>BDH|7061988648341168460</stp>
        <tr r="S12" s="25"/>
      </tp>
      <tp t="e">
        <v>#N/A</v>
        <stp/>
        <stp>BDH|9033868881383762574</stp>
        <tr r="Y103" s="18"/>
      </tp>
      <tp t="e">
        <v>#N/A</v>
        <stp/>
        <stp>BDH|9746521128079881827</stp>
        <tr r="N73" s="34"/>
      </tp>
      <tp t="e">
        <v>#N/A</v>
        <stp/>
        <stp>BDH|3727861645881466177</stp>
        <tr r="X45" s="34"/>
      </tp>
      <tp t="e">
        <v>#N/A</v>
        <stp/>
        <stp>BDH|3437219670480002924</stp>
        <tr r="L74" s="24"/>
      </tp>
      <tp t="e">
        <v>#N/A</v>
        <stp/>
        <stp>BDH|2201974041791263118</stp>
        <tr r="H38" s="22"/>
      </tp>
      <tp t="e">
        <v>#N/A</v>
        <stp/>
        <stp>BDH|7434227594162302169</stp>
        <tr r="E23" s="20"/>
      </tp>
      <tp t="e">
        <v>#N/A</v>
        <stp/>
        <stp>BDH|5099788036086059898</stp>
        <tr r="V14" s="28"/>
      </tp>
      <tp t="e">
        <v>#N/A</v>
        <stp/>
        <stp>BDH|5613375071958201652</stp>
        <tr r="I25" s="13"/>
      </tp>
      <tp t="e">
        <v>#N/A</v>
        <stp/>
        <stp>BDH|7677832355060433539</stp>
        <tr r="S8" s="22"/>
      </tp>
      <tp t="e">
        <v>#N/A</v>
        <stp/>
        <stp>BDH|7957995887231544859</stp>
        <tr r="D56" s="17"/>
      </tp>
      <tp t="e">
        <v>#N/A</v>
        <stp/>
        <stp>BDH|1610837216611489607</stp>
        <tr r="E24" s="18"/>
      </tp>
      <tp t="e">
        <v>#N/A</v>
        <stp/>
        <stp>BDH|6944593434278490772</stp>
        <tr r="F49" s="12"/>
      </tp>
      <tp t="e">
        <v>#N/A</v>
        <stp/>
        <stp>BDH|7904385756207126924</stp>
        <tr r="F71" s="12"/>
      </tp>
      <tp t="e">
        <v>#N/A</v>
        <stp/>
        <stp>BDH|1961213241411858955</stp>
        <tr r="J49" s="4"/>
      </tp>
      <tp t="e">
        <v>#N/A</v>
        <stp/>
        <stp>BDH|1205942310947427169</stp>
        <tr r="P147" s="18"/>
      </tp>
      <tp t="e">
        <v>#N/A</v>
        <stp/>
        <stp>BDH|5812487763458447036</stp>
        <tr r="Q65" s="10"/>
        <tr r="Q25" s="4"/>
      </tp>
      <tp t="e">
        <v>#N/A</v>
        <stp/>
        <stp>BDH|3171892731332434595</stp>
        <tr r="W19" s="18"/>
      </tp>
      <tp t="e">
        <v>#N/A</v>
        <stp/>
        <stp>BDH|4465502384226236065</stp>
        <tr r="W9" s="6"/>
      </tp>
      <tp t="e">
        <v>#N/A</v>
        <stp/>
        <stp>BDH|9969439753742907548</stp>
        <tr r="AA16" s="14"/>
      </tp>
      <tp t="e">
        <v>#N/A</v>
        <stp/>
        <stp>BDH|7803083592515239445</stp>
        <tr r="S19" s="17"/>
      </tp>
      <tp t="e">
        <v>#N/A</v>
        <stp/>
        <stp>BDH|8412383509153019712</stp>
        <tr r="L70" s="34"/>
      </tp>
      <tp t="e">
        <v>#N/A</v>
        <stp/>
        <stp>BDH|4254951876703600630</stp>
        <tr r="K41" s="11"/>
        <tr r="K50" s="10"/>
        <tr r="K8" s="7"/>
        <tr r="M11" s="3"/>
      </tp>
      <tp t="e">
        <v>#N/A</v>
        <stp/>
        <stp>BDH|7112866988501886939</stp>
        <tr r="V43" s="13"/>
        <tr r="T35" s="11"/>
        <tr r="T44" s="10"/>
        <tr r="T52" s="4"/>
        <tr r="V8" s="3"/>
      </tp>
      <tp t="e">
        <v>#N/A</v>
        <stp/>
        <stp>BDH|2773866040023169244</stp>
        <tr r="F50" s="12"/>
      </tp>
      <tp t="e">
        <v>#N/A</v>
        <stp/>
        <stp>BDH|9564295373192965127</stp>
        <tr r="F213" s="18"/>
      </tp>
      <tp t="e">
        <v>#N/A</v>
        <stp/>
        <stp>BDH|5702314820399027227</stp>
        <tr r="S99" s="12"/>
      </tp>
      <tp t="e">
        <v>#N/A</v>
        <stp/>
        <stp>BDH|8878094155752269020</stp>
        <tr r="C9" s="23"/>
      </tp>
      <tp t="e">
        <v>#N/A</v>
        <stp/>
        <stp>BDH|6841213759428388679</stp>
        <tr r="L19" s="28"/>
        <tr r="L16" s="17"/>
      </tp>
      <tp t="e">
        <v>#N/A</v>
        <stp/>
        <stp>BDH|2784377488175932358</stp>
        <tr r="V42" s="22"/>
      </tp>
      <tp t="e">
        <v>#N/A</v>
        <stp/>
        <stp>BDH|3884498387220000027</stp>
        <tr r="E149" s="18"/>
      </tp>
      <tp t="e">
        <v>#N/A</v>
        <stp/>
        <stp>BDH|8112863257968190257</stp>
        <tr r="G117" s="12"/>
      </tp>
      <tp t="e">
        <v>#N/A</v>
        <stp/>
        <stp>BDH|7455189791491045199</stp>
        <tr r="M145" s="18"/>
      </tp>
      <tp t="e">
        <v>#N/A</v>
        <stp/>
        <stp>BDH|9945337488338738516</stp>
        <tr r="V40" s="18"/>
      </tp>
      <tp t="e">
        <v>#N/A</v>
        <stp/>
        <stp>BDH|5723514395162330440</stp>
        <tr r="N27" s="24"/>
      </tp>
      <tp t="e">
        <v>#N/A</v>
        <stp/>
        <stp>BDH|6253028774008893680</stp>
        <tr r="G49" s="4"/>
      </tp>
      <tp t="e">
        <v>#N/A</v>
        <stp/>
        <stp>BDH|8590344796939313401</stp>
        <tr r="L191" s="18"/>
      </tp>
      <tp t="e">
        <v>#N/A</v>
        <stp/>
        <stp>BDH|3649007004338415425</stp>
        <tr r="G15" s="14"/>
      </tp>
      <tp t="e">
        <v>#N/A</v>
        <stp/>
        <stp>BDH|6930967516167545686</stp>
        <tr r="U18" s="9"/>
      </tp>
      <tp t="e">
        <v>#N/A</v>
        <stp/>
        <stp>BDH|4136116973524555922</stp>
        <tr r="O192" s="18"/>
      </tp>
      <tp t="e">
        <v>#N/A</v>
        <stp/>
        <stp>BDH|5920680713369445423</stp>
        <tr r="V11" s="24"/>
      </tp>
      <tp t="e">
        <v>#N/A</v>
        <stp/>
        <stp>BDH|1204970965748190958</stp>
        <tr r="S17" s="9"/>
      </tp>
      <tp t="e">
        <v>#N/A</v>
        <stp/>
        <stp>BDH|7177415551169485012</stp>
        <tr r="P156" s="18"/>
      </tp>
      <tp t="e">
        <v>#N/A</v>
        <stp/>
        <stp>BDH|3822739490252691099</stp>
        <tr r="J21" s="20"/>
      </tp>
      <tp t="e">
        <v>#N/A</v>
        <stp/>
        <stp>BDH|1065360838576336899</stp>
        <tr r="Z30" s="26"/>
      </tp>
      <tp t="e">
        <v>#N/A</v>
        <stp/>
        <stp>BDH|8029523564400480464</stp>
        <tr r="AA203" s="18"/>
      </tp>
      <tp t="e">
        <v>#N/A</v>
        <stp/>
        <stp>BDH|3734642828928807071</stp>
        <tr r="R77" s="34"/>
      </tp>
      <tp t="e">
        <v>#N/A</v>
        <stp/>
        <stp>BDH|7726274395490491353</stp>
        <tr r="U44" s="34"/>
      </tp>
      <tp t="e">
        <v>#N/A</v>
        <stp/>
        <stp>BDH|7129362797901061347</stp>
        <tr r="C31" s="22"/>
      </tp>
      <tp t="e">
        <v>#N/A</v>
        <stp/>
        <stp>BDH|2946766345247985973</stp>
        <tr r="K44" s="18"/>
      </tp>
      <tp t="e">
        <v>#N/A</v>
        <stp/>
        <stp>BDH|7841794189362804548</stp>
        <tr r="M11" s="29"/>
      </tp>
      <tp t="e">
        <v>#N/A</v>
        <stp/>
        <stp>BDH|7375322161655602828</stp>
        <tr r="S158" s="18"/>
      </tp>
      <tp t="e">
        <v>#N/A</v>
        <stp/>
        <stp>BDH|1513587885963810045</stp>
        <tr r="K81" s="34"/>
      </tp>
      <tp t="e">
        <v>#N/A</v>
        <stp/>
        <stp>BDH|1229858240093258114</stp>
        <tr r="N12" s="22"/>
      </tp>
      <tp t="e">
        <v>#N/A</v>
        <stp/>
        <stp>BDH|9395239903845742107</stp>
        <tr r="S81" s="12"/>
      </tp>
      <tp t="e">
        <v>#N/A</v>
        <stp/>
        <stp>BDH|8916803448509397263</stp>
        <tr r="R19" s="24"/>
      </tp>
      <tp t="e">
        <v>#N/A</v>
        <stp/>
        <stp>BDH|6101067296127682732</stp>
        <tr r="H42" s="34"/>
      </tp>
      <tp t="e">
        <v>#N/A</v>
        <stp/>
        <stp>BDH|4886343688305167511</stp>
        <tr r="C139" s="18"/>
      </tp>
      <tp t="e">
        <v>#N/A</v>
        <stp/>
        <stp>BDH|4096420637738993488</stp>
        <tr r="W35" s="21"/>
      </tp>
      <tp t="e">
        <v>#N/A</v>
        <stp/>
        <stp>BDH|1779506794960345243</stp>
        <tr r="L8" s="21"/>
      </tp>
      <tp t="e">
        <v>#N/A</v>
        <stp/>
        <stp>BDH|1995322895184931037</stp>
        <tr r="Q75" s="12"/>
      </tp>
      <tp t="e">
        <v>#N/A</v>
        <stp/>
        <stp>BDH|1702324631829145716</stp>
        <tr r="K35" s="13"/>
        <tr r="I28" s="10"/>
      </tp>
      <tp t="e">
        <v>#N/A</v>
        <stp/>
        <stp>BDH|4372123986127065522</stp>
        <tr r="K30" s="26"/>
      </tp>
      <tp t="e">
        <v>#N/A</v>
        <stp/>
        <stp>BDH|4935897855127010104</stp>
        <tr r="G8" s="20"/>
        <tr r="G118" s="18"/>
      </tp>
      <tp t="e">
        <v>#N/A</v>
        <stp/>
        <stp>BDH|5081415494407921098</stp>
        <tr r="AA43" s="18"/>
      </tp>
      <tp t="e">
        <v>#N/A</v>
        <stp/>
        <stp>BDH|4194725684850210406</stp>
        <tr r="F145" s="18"/>
      </tp>
      <tp t="e">
        <v>#N/A</v>
        <stp/>
        <stp>BDH|3737272161378661027</stp>
        <tr r="E37" s="26"/>
      </tp>
      <tp t="e">
        <v>#N/A</v>
        <stp/>
        <stp>BDH|8216526341373078540</stp>
        <tr r="C41" s="18"/>
      </tp>
      <tp t="e">
        <v>#N/A</v>
        <stp/>
        <stp>BDH|7512357293503447125</stp>
        <tr r="E20" s="25"/>
      </tp>
      <tp t="e">
        <v>#N/A</v>
        <stp/>
        <stp>BDH|6667617953569128304</stp>
        <tr r="K35" s="25"/>
      </tp>
      <tp t="e">
        <v>#N/A</v>
        <stp/>
        <stp>BDH|8425236842744059504</stp>
        <tr r="M20" s="14"/>
      </tp>
      <tp t="e">
        <v>#N/A</v>
        <stp/>
        <stp>BDH|1277258799036240399</stp>
        <tr r="W9" s="29"/>
      </tp>
      <tp t="e">
        <v>#N/A</v>
        <stp/>
        <stp>BDH|2507357245999051309</stp>
        <tr r="W170" s="18"/>
      </tp>
      <tp t="e">
        <v>#N/A</v>
        <stp/>
        <stp>BDH|2423256382626476120</stp>
        <tr r="M35" s="17"/>
      </tp>
      <tp t="e">
        <v>#N/A</v>
        <stp/>
        <stp>BDH|7073102531752777830</stp>
        <tr r="G165" s="18"/>
      </tp>
      <tp t="e">
        <v>#N/A</v>
        <stp/>
        <stp>BDH|5611879754993269422</stp>
        <tr r="Z61" s="17"/>
      </tp>
      <tp t="e">
        <v>#N/A</v>
        <stp/>
        <stp>BDH|7791819212351620074</stp>
        <tr r="T51" s="17"/>
      </tp>
      <tp t="e">
        <v>#N/A</v>
        <stp/>
        <stp>BDH|8873215416353970733</stp>
        <tr r="Z22" s="20"/>
      </tp>
      <tp t="e">
        <v>#N/A</v>
        <stp/>
        <stp>BDH|4498348432619014273</stp>
        <tr r="X153" s="18"/>
      </tp>
      <tp t="e">
        <v>#N/A</v>
        <stp/>
        <stp>BDH|8896604378487051158</stp>
        <tr r="W13" s="22"/>
      </tp>
      <tp t="e">
        <v>#N/A</v>
        <stp/>
        <stp>BDH|2485287184831949647</stp>
        <tr r="H61" s="34"/>
      </tp>
      <tp t="e">
        <v>#N/A</v>
        <stp/>
        <stp>BDH|5640827289699183399</stp>
        <tr r="E54" s="13"/>
      </tp>
      <tp t="e">
        <v>#N/A</v>
        <stp/>
        <stp>BDH|3812982391298732435</stp>
        <tr r="C85" s="17"/>
        <tr r="C20" s="3"/>
      </tp>
      <tp t="e">
        <v>#N/A</v>
        <stp/>
        <stp>BDH|9516505265141256476</stp>
        <tr r="E25" s="24"/>
      </tp>
      <tp t="e">
        <v>#N/A</v>
        <stp/>
        <stp>BDH|9977594627662137330</stp>
        <tr r="V8" s="34"/>
      </tp>
      <tp t="e">
        <v>#N/A</v>
        <stp/>
        <stp>BDH|5519197309269034201</stp>
        <tr r="AA33" s="13"/>
        <tr r="Y26" s="10"/>
      </tp>
      <tp t="e">
        <v>#N/A</v>
        <stp/>
        <stp>BDH|3799547508091721895</stp>
        <tr r="R35" s="13"/>
        <tr r="P28" s="10"/>
      </tp>
      <tp t="e">
        <v>#N/A</v>
        <stp/>
        <stp>BDH|3164720303079789227</stp>
        <tr r="I13" s="6"/>
      </tp>
      <tp t="e">
        <v>#N/A</v>
        <stp/>
        <stp>BDH|8202073480038784773</stp>
        <tr r="O84" s="12"/>
      </tp>
      <tp t="e">
        <v>#N/A</v>
        <stp/>
        <stp>BDH|9226246039134856328</stp>
        <tr r="Z12" s="27"/>
        <tr r="Z26" s="25"/>
      </tp>
      <tp t="e">
        <v>#N/A</v>
        <stp/>
        <stp>BDH|7288887258742094779</stp>
        <tr r="U122" s="12"/>
      </tp>
      <tp t="e">
        <v>#N/A</v>
        <stp/>
        <stp>BDH|8764571410953205075</stp>
        <tr r="D135" s="18"/>
      </tp>
      <tp t="e">
        <v>#N/A</v>
        <stp/>
        <stp>BDH|2472966956965647477</stp>
        <tr r="M35" s="34"/>
      </tp>
      <tp t="e">
        <v>#N/A</v>
        <stp/>
        <stp>BDH|7142834217894007502</stp>
        <tr r="K39" s="29"/>
        <tr r="K16" s="29"/>
      </tp>
      <tp t="e">
        <v>#N/A</v>
        <stp/>
        <stp>BDH|3601348752562382868</stp>
        <tr r="U64" s="34"/>
      </tp>
      <tp t="e">
        <v>#N/A</v>
        <stp/>
        <stp>BDH|7062864360093581567</stp>
        <tr r="V151" s="18"/>
      </tp>
      <tp t="e">
        <v>#N/A</v>
        <stp/>
        <stp>BDH|3453456733879719207</stp>
        <tr r="U16" s="24"/>
      </tp>
      <tp t="e">
        <v>#N/A</v>
        <stp/>
        <stp>BDH|8931669956382858640</stp>
        <tr r="E58" s="12"/>
      </tp>
      <tp t="e">
        <v>#N/A</v>
        <stp/>
        <stp>BDH|7567179963538726734</stp>
        <tr r="P67" s="10"/>
      </tp>
      <tp t="e">
        <v>#N/A</v>
        <stp/>
        <stp>BDH|5566145727108190124</stp>
        <tr r="E71" s="34"/>
      </tp>
      <tp t="e">
        <v>#N/A</v>
        <stp/>
        <stp>BDH|9589067873183191248</stp>
        <tr r="T119" s="12"/>
      </tp>
      <tp t="e">
        <v>#N/A</v>
        <stp/>
        <stp>BDH|70420918757970065</stp>
        <tr r="I27" s="13"/>
      </tp>
      <tp t="e">
        <v>#N/A</v>
        <stp/>
        <stp>BDH|90179445055329241</stp>
        <tr r="N21" s="14"/>
      </tp>
      <tp t="e">
        <v>#N/A</v>
        <stp/>
        <stp>BDH|72400012595679240</stp>
        <tr r="T14" s="27"/>
        <tr r="T28" s="25"/>
      </tp>
      <tp t="e">
        <v>#N/A</v>
        <stp/>
        <stp>BDH|82674297358710583</stp>
        <tr r="AA72" s="24"/>
      </tp>
      <tp t="e">
        <v>#N/A</v>
        <stp/>
        <stp>BDH|10043291689099299</stp>
        <tr r="N25" s="27"/>
      </tp>
      <tp t="e">
        <v>#N/A</v>
        <stp/>
        <stp>BDH|30651070050455398</stp>
        <tr r="T15" s="25"/>
      </tp>
      <tp t="e">
        <v>#N/A</v>
        <stp/>
        <stp>BDH|74688351803456240</stp>
        <tr r="G18" s="25"/>
      </tp>
      <tp t="e">
        <v>#N/A</v>
        <stp/>
        <stp>BDH|6599006596210893715</stp>
        <tr r="N208" s="18"/>
      </tp>
      <tp t="e">
        <v>#N/A</v>
        <stp/>
        <stp>BDH|6032968819911564705</stp>
        <tr r="R164" s="18"/>
      </tp>
      <tp t="e">
        <v>#N/A</v>
        <stp/>
        <stp>BDH|9828664637497424370</stp>
        <tr r="F133" s="18"/>
      </tp>
      <tp t="e">
        <v>#N/A</v>
        <stp/>
        <stp>BDH|7946263032796779805</stp>
        <tr r="C15" s="25"/>
      </tp>
      <tp t="e">
        <v>#N/A</v>
        <stp/>
        <stp>BDH|9589528863787708595</stp>
        <tr r="Q91" s="12"/>
      </tp>
      <tp t="e">
        <v>#N/A</v>
        <stp/>
        <stp>BDH|4295728690384369696</stp>
        <tr r="D21" s="11"/>
      </tp>
      <tp t="e">
        <v>#N/A</v>
        <stp/>
        <stp>BDH|6655835378457210657</stp>
        <tr r="L34" s="11"/>
        <tr r="L43" s="10"/>
      </tp>
      <tp t="e">
        <v>#N/A</v>
        <stp/>
        <stp>BDH|2319843948783716526</stp>
        <tr r="K43" s="22"/>
      </tp>
      <tp t="e">
        <v>#N/A</v>
        <stp/>
        <stp>BDH|6173301302624176982</stp>
        <tr r="L54" s="24"/>
      </tp>
      <tp t="e">
        <v>#N/A</v>
        <stp/>
        <stp>BDH|7304360557441140895</stp>
        <tr r="H7" s="30"/>
      </tp>
      <tp t="e">
        <v>#N/A</v>
        <stp/>
        <stp>BDH|8125434941529969900</stp>
        <tr r="H10" s="21"/>
      </tp>
      <tp t="e">
        <v>#N/A</v>
        <stp/>
        <stp>BDH|1851006575846083876</stp>
        <tr r="Y28" s="18"/>
      </tp>
      <tp t="e">
        <v>#N/A</v>
        <stp/>
        <stp>BDH|3774084376584479875</stp>
        <tr r="V7" s="10"/>
      </tp>
      <tp t="e">
        <v>#N/A</v>
        <stp/>
        <stp>BDH|8651183418615953551</stp>
        <tr r="G8" s="8"/>
      </tp>
      <tp t="e">
        <v>#N/A</v>
        <stp/>
        <stp>BDH|9715690826604702153</stp>
        <tr r="T13" s="5"/>
      </tp>
      <tp t="e">
        <v>#N/A</v>
        <stp/>
        <stp>BDH|8209764950425624785</stp>
        <tr r="M52" s="24"/>
      </tp>
      <tp t="e">
        <v>#N/A</v>
        <stp/>
        <stp>BDH|7311282543529074026</stp>
        <tr r="R30" s="17"/>
      </tp>
      <tp t="e">
        <v>#N/A</v>
        <stp/>
        <stp>BDH|8374863378018312743</stp>
        <tr r="L50" s="34"/>
      </tp>
      <tp t="e">
        <v>#N/A</v>
        <stp/>
        <stp>BDH|6359743984104178586</stp>
        <tr r="H7" s="10"/>
      </tp>
      <tp t="e">
        <v>#N/A</v>
        <stp/>
        <stp>BDH|7826023037578468434</stp>
        <tr r="J30" s="18"/>
      </tp>
      <tp t="e">
        <v>#N/A</v>
        <stp/>
        <stp>BDH|5189723458448702769</stp>
        <tr r="W14" s="10"/>
      </tp>
      <tp t="e">
        <v>#N/A</v>
        <stp/>
        <stp>BDH|1743378072435186899</stp>
        <tr r="E63" s="11"/>
        <tr r="E72" s="10"/>
      </tp>
      <tp t="e">
        <v>#N/A</v>
        <stp/>
        <stp>BDH|8263528346691889049</stp>
        <tr r="AA8" s="26"/>
        <tr r="X10" s="9"/>
      </tp>
      <tp t="e">
        <v>#N/A</v>
        <stp/>
        <stp>BDH|2914713406108728538</stp>
        <tr r="K80" s="24"/>
      </tp>
      <tp t="e">
        <v>#N/A</v>
        <stp/>
        <stp>BDH|6158546398012686013</stp>
        <tr r="F72" s="17"/>
      </tp>
      <tp t="e">
        <v>#N/A</v>
        <stp/>
        <stp>BDH|1868057993290219069</stp>
        <tr r="Z81" s="17"/>
      </tp>
      <tp t="e">
        <v>#N/A</v>
        <stp/>
        <stp>BDH|1367178975757258897</stp>
        <tr r="C76" s="18"/>
      </tp>
      <tp t="e">
        <v>#N/A</v>
        <stp/>
        <stp>BDH|4200422688832517271</stp>
        <tr r="X175" s="18"/>
      </tp>
      <tp t="e">
        <v>#N/A</v>
        <stp/>
        <stp>BDH|9893613622475442057</stp>
        <tr r="D113" s="18"/>
      </tp>
      <tp t="e">
        <v>#N/A</v>
        <stp/>
        <stp>BDH|2880186590585303796</stp>
        <tr r="W43" s="17"/>
      </tp>
      <tp t="e">
        <v>#N/A</v>
        <stp/>
        <stp>BDH|1051449588966185371</stp>
        <tr r="K79" s="17"/>
        <tr r="H9" s="9"/>
        <tr r="H9" s="5"/>
      </tp>
      <tp t="e">
        <v>#N/A</v>
        <stp/>
        <stp>BDH|9525831451749481593</stp>
        <tr r="U14" s="34"/>
      </tp>
      <tp t="e">
        <v>#N/A</v>
        <stp/>
        <stp>BDH|6512794280919433820</stp>
        <tr r="I21" s="5"/>
      </tp>
      <tp t="e">
        <v>#N/A</v>
        <stp/>
        <stp>BDH|3211418071641930912</stp>
        <tr r="P172" s="18"/>
      </tp>
      <tp t="e">
        <v>#N/A</v>
        <stp/>
        <stp>BDH|8651067621072952029</stp>
        <tr r="AA107" s="18"/>
      </tp>
      <tp t="e">
        <v>#N/A</v>
        <stp/>
        <stp>BDH|7004827819962242434</stp>
        <tr r="F42" s="11"/>
        <tr r="F51" s="10"/>
        <tr r="F14" s="7"/>
        <tr r="H9" s="3"/>
      </tp>
      <tp t="e">
        <v>#N/A</v>
        <stp/>
        <stp>BDH|4820044959689920072</stp>
        <tr r="E36" s="6"/>
        <tr r="E17" s="5"/>
      </tp>
      <tp t="e">
        <v>#N/A</v>
        <stp/>
        <stp>BDH|1006047633042527895</stp>
        <tr r="V37" s="25"/>
        <tr r="V59" s="21"/>
        <tr r="T53" s="11"/>
        <tr r="T31" s="4"/>
      </tp>
      <tp t="e">
        <v>#N/A</v>
        <stp/>
        <stp>BDH|9482678527121616490</stp>
        <tr r="R33" s="18"/>
      </tp>
      <tp t="e">
        <v>#N/A</v>
        <stp/>
        <stp>BDH|6523063886183856567</stp>
        <tr r="Q26" s="29"/>
      </tp>
      <tp t="e">
        <v>#N/A</v>
        <stp/>
        <stp>BDH|1397565380416939279</stp>
        <tr r="M18" s="24"/>
      </tp>
      <tp t="e">
        <v>#N/A</v>
        <stp/>
        <stp>BDH|4357603238411478847</stp>
        <tr r="M92" s="24"/>
      </tp>
      <tp t="e">
        <v>#N/A</v>
        <stp/>
        <stp>BDH|2831682127697950950</stp>
        <tr r="X114" s="12"/>
      </tp>
      <tp t="e">
        <v>#N/A</v>
        <stp/>
        <stp>BDH|4560142022366051987</stp>
        <tr r="H158" s="18"/>
      </tp>
      <tp t="e">
        <v>#N/A</v>
        <stp/>
        <stp>BDH|1992927504903114353</stp>
        <tr r="T46" s="11"/>
        <tr r="T55" s="10"/>
        <tr r="T7" s="7"/>
        <tr r="V12" s="3"/>
      </tp>
      <tp t="e">
        <v>#N/A</v>
        <stp/>
        <stp>BDH|5914633209473018882</stp>
        <tr r="Q93" s="18"/>
      </tp>
      <tp t="e">
        <v>#N/A</v>
        <stp/>
        <stp>BDH|8740249406895734793</stp>
        <tr r="D76" s="18"/>
      </tp>
      <tp t="e">
        <v>#N/A</v>
        <stp/>
        <stp>BDH|2545310072566562883</stp>
        <tr r="X16" s="14"/>
      </tp>
      <tp t="e">
        <v>#N/A</v>
        <stp/>
        <stp>BDH|9129418228674504368</stp>
        <tr r="E46" s="21"/>
      </tp>
      <tp t="e">
        <v>#N/A</v>
        <stp/>
        <stp>BDH|8042630578548232925</stp>
        <tr r="R24" s="29"/>
      </tp>
      <tp t="e">
        <v>#N/A</v>
        <stp/>
        <stp>BDH|7610136506187001981</stp>
        <tr r="AA16" s="27"/>
        <tr r="AA30" s="25"/>
      </tp>
      <tp t="e">
        <v>#N/A</v>
        <stp/>
        <stp>BDH|8299771035377252399</stp>
        <tr r="K38" s="24"/>
      </tp>
      <tp t="e">
        <v>#N/A</v>
        <stp/>
        <stp>BDH|4406035594391095488</stp>
        <tr r="J37" s="13"/>
        <tr r="H30" s="10"/>
      </tp>
      <tp t="e">
        <v>#N/A</v>
        <stp/>
        <stp>BDH|2691387487381488063</stp>
        <tr r="H87" s="17"/>
      </tp>
      <tp t="e">
        <v>#N/A</v>
        <stp/>
        <stp>BDH|7760397031058156752</stp>
        <tr r="H11" s="18"/>
      </tp>
      <tp t="e">
        <v>#N/A</v>
        <stp/>
        <stp>BDH|8126077069811189753</stp>
        <tr r="M20" s="18"/>
      </tp>
      <tp t="e">
        <v>#N/A</v>
        <stp/>
        <stp>BDH|5193445004399215088</stp>
        <tr r="C20" s="25"/>
      </tp>
      <tp t="e">
        <v>#N/A</v>
        <stp/>
        <stp>BDH|2452833828316648628</stp>
        <tr r="Q13" s="28"/>
        <tr r="Q96" s="17"/>
      </tp>
      <tp t="e">
        <v>#N/A</v>
        <stp/>
        <stp>BDH|5479487570337533929</stp>
        <tr r="P8" s="27"/>
      </tp>
      <tp t="e">
        <v>#N/A</v>
        <stp/>
        <stp>BDH|8062998985596755706</stp>
        <tr r="V12" s="25"/>
      </tp>
      <tp t="e">
        <v>#N/A</v>
        <stp/>
        <stp>BDH|6376312998750924488</stp>
        <tr r="V119" s="12"/>
      </tp>
      <tp t="e">
        <v>#N/A</v>
        <stp/>
        <stp>BDH|8257448242449641996</stp>
        <tr r="X205" s="18"/>
      </tp>
      <tp t="e">
        <v>#N/A</v>
        <stp/>
        <stp>BDH|9209644475319994915</stp>
        <tr r="Q17" s="9"/>
      </tp>
      <tp t="e">
        <v>#N/A</v>
        <stp/>
        <stp>BDH|6777220348888212044</stp>
        <tr r="T92" s="24"/>
      </tp>
      <tp t="e">
        <v>#N/A</v>
        <stp/>
        <stp>BDH|2701925051930992668</stp>
        <tr r="D176" s="18"/>
      </tp>
      <tp t="e">
        <v>#N/A</v>
        <stp/>
        <stp>BDH|3507694923077285861</stp>
        <tr r="H170" s="18"/>
      </tp>
      <tp t="e">
        <v>#N/A</v>
        <stp/>
        <stp>BDH|3804035595213194142</stp>
        <tr r="U59" s="17"/>
      </tp>
      <tp t="e">
        <v>#N/A</v>
        <stp/>
        <stp>BDH|3449603974089235398</stp>
        <tr r="Q8" s="14"/>
      </tp>
      <tp t="e">
        <v>#N/A</v>
        <stp/>
        <stp>BDH|8326307684043999850</stp>
        <tr r="X20" s="27"/>
      </tp>
      <tp t="e">
        <v>#N/A</v>
        <stp/>
        <stp>BDH|3652275659528209419</stp>
        <tr r="I11" s="21"/>
      </tp>
      <tp t="e">
        <v>#N/A</v>
        <stp/>
        <stp>BDH|4849466755814926994</stp>
        <tr r="M61" s="17"/>
      </tp>
      <tp t="e">
        <v>#N/A</v>
        <stp/>
        <stp>BDH|9979049095308403071</stp>
        <tr r="H64" s="24"/>
      </tp>
      <tp t="e">
        <v>#N/A</v>
        <stp/>
        <stp>BDH|4132761092273777198</stp>
        <tr r="Y108" s="18"/>
      </tp>
      <tp t="e">
        <v>#N/A</v>
        <stp/>
        <stp>BDH|6267320897940418481</stp>
        <tr r="AA7" s="20"/>
        <tr r="AA117" s="18"/>
      </tp>
      <tp t="e">
        <v>#N/A</v>
        <stp/>
        <stp>BDH|4301870449221288145</stp>
        <tr r="D9" s="28"/>
      </tp>
      <tp t="e">
        <v>#N/A</v>
        <stp/>
        <stp>BDH|4938398791017839126</stp>
        <tr r="D26" s="24"/>
      </tp>
      <tp t="e">
        <v>#N/A</v>
        <stp/>
        <stp>BDH|4024154664933298888</stp>
        <tr r="Y73" s="18"/>
      </tp>
      <tp t="e">
        <v>#N/A</v>
        <stp/>
        <stp>BDH|2647960626408964977</stp>
        <tr r="H121" s="12"/>
      </tp>
      <tp t="e">
        <v>#N/A</v>
        <stp/>
        <stp>BDH|8827710033375512171</stp>
        <tr r="O59" s="12"/>
      </tp>
      <tp t="e">
        <v>#N/A</v>
        <stp/>
        <stp>BDH|1433342582054269686</stp>
        <tr r="D177" s="18"/>
      </tp>
      <tp t="e">
        <v>#N/A</v>
        <stp/>
        <stp>BDH|2033965918595528730</stp>
        <tr r="T102" s="12"/>
      </tp>
      <tp t="e">
        <v>#N/A</v>
        <stp/>
        <stp>BDH|3444819747962914535</stp>
        <tr r="W74" s="24"/>
      </tp>
      <tp t="e">
        <v>#N/A</v>
        <stp/>
        <stp>BDH|5469345498091184618</stp>
        <tr r="T30" s="22"/>
      </tp>
      <tp t="e">
        <v>#N/A</v>
        <stp/>
        <stp>BDH|5015042751371517982</stp>
        <tr r="W134" s="18"/>
      </tp>
      <tp t="e">
        <v>#N/A</v>
        <stp/>
        <stp>BDH|8939741551037462507</stp>
        <tr r="E40" s="13"/>
        <tr r="C24" s="10"/>
        <tr r="C46" s="4"/>
      </tp>
      <tp t="e">
        <v>#N/A</v>
        <stp/>
        <stp>BDH|1162811777026949060</stp>
        <tr r="V55" s="18"/>
      </tp>
      <tp t="e">
        <v>#N/A</v>
        <stp/>
        <stp>BDH|4797511992877473784</stp>
        <tr r="N76" s="34"/>
      </tp>
      <tp t="e">
        <v>#N/A</v>
        <stp/>
        <stp>BDH|9825679817280492642</stp>
        <tr r="E41" s="24"/>
      </tp>
      <tp t="e">
        <v>#N/A</v>
        <stp/>
        <stp>BDH|1026480140201435841</stp>
        <tr r="R15" s="5"/>
      </tp>
      <tp t="e">
        <v>#N/A</v>
        <stp/>
        <stp>BDH|2780180484570081337</stp>
        <tr r="U8" s="34"/>
      </tp>
      <tp t="e">
        <v>#N/A</v>
        <stp/>
        <stp>BDH|7438354408999789564</stp>
        <tr r="Z35" s="21"/>
      </tp>
      <tp t="e">
        <v>#N/A</v>
        <stp/>
        <stp>BDH|8783579808373545654</stp>
        <tr r="F33" s="5"/>
      </tp>
      <tp t="e">
        <v>#N/A</v>
        <stp/>
        <stp>BDH|9458537370390666392</stp>
        <tr r="C54" s="17"/>
        <tr r="C17" s="3"/>
      </tp>
      <tp t="e">
        <v>#N/A</v>
        <stp/>
        <stp>BDH|5982240345602894982</stp>
        <tr r="R104" s="18"/>
      </tp>
      <tp t="e">
        <v>#N/A</v>
        <stp/>
        <stp>BDH|8894461627587786161</stp>
        <tr r="H24" s="13"/>
      </tp>
      <tp t="e">
        <v>#N/A</v>
        <stp/>
        <stp>BDH|5138282181540322732</stp>
        <tr r="L7" s="8"/>
      </tp>
      <tp t="e">
        <v>#N/A</v>
        <stp/>
        <stp>BDH|9135560048857344748</stp>
        <tr r="M80" s="18"/>
      </tp>
      <tp t="e">
        <v>#N/A</v>
        <stp/>
        <stp>BDH|1828522962412926891</stp>
        <tr r="P21" s="27"/>
      </tp>
      <tp t="e">
        <v>#N/A</v>
        <stp/>
        <stp>BDH|8065453732176732180</stp>
        <tr r="T115" s="12"/>
      </tp>
      <tp t="e">
        <v>#N/A</v>
        <stp/>
        <stp>BDH|2648647129356052832</stp>
        <tr r="I31" s="5"/>
      </tp>
      <tp t="e">
        <v>#N/A</v>
        <stp/>
        <stp>BDH|6289832849062787074</stp>
        <tr r="F20" s="9"/>
      </tp>
      <tp t="e">
        <v>#N/A</v>
        <stp/>
        <stp>BDH|3465479933305191993</stp>
        <tr r="O17" s="12"/>
      </tp>
      <tp t="e">
        <v>#N/A</v>
        <stp/>
        <stp>BDH|4182755807013226899</stp>
        <tr r="N57" s="24"/>
      </tp>
      <tp t="e">
        <v>#N/A</v>
        <stp/>
        <stp>BDH|4829783049539570645</stp>
        <tr r="G25" s="34"/>
      </tp>
      <tp t="e">
        <v>#N/A</v>
        <stp/>
        <stp>BDH|9744586324075036338</stp>
        <tr r="V93" s="24"/>
      </tp>
      <tp t="e">
        <v>#N/A</v>
        <stp/>
        <stp>BDH|4388326595944960258</stp>
        <tr r="T8" s="18"/>
      </tp>
      <tp t="e">
        <v>#N/A</v>
        <stp/>
        <stp>BDH|8203600772806803703</stp>
        <tr r="Z38" s="25"/>
      </tp>
      <tp t="e">
        <v>#N/A</v>
        <stp/>
        <stp>BDH|4638829938610410706</stp>
        <tr r="D61" s="24"/>
      </tp>
      <tp t="e">
        <v>#N/A</v>
        <stp/>
        <stp>BDH|8831746282509423629</stp>
        <tr r="N81" s="34"/>
      </tp>
      <tp t="e">
        <v>#N/A</v>
        <stp/>
        <stp>BDH|5234183633636583945</stp>
        <tr r="H8" s="18"/>
      </tp>
      <tp t="e">
        <v>#N/A</v>
        <stp/>
        <stp>BDH|2510443929698298426</stp>
        <tr r="I24" s="2"/>
      </tp>
      <tp t="e">
        <v>#N/A</v>
        <stp/>
        <stp>BDH|8944377232155506518</stp>
        <tr r="M38" s="13"/>
        <tr r="K31" s="10"/>
      </tp>
      <tp t="e">
        <v>#N/A</v>
        <stp/>
        <stp>BDH|2995739091314482071</stp>
        <tr r="P41" s="29"/>
        <tr r="P18" s="29"/>
      </tp>
      <tp t="e">
        <v>#N/A</v>
        <stp/>
        <stp>BDH|1708888523207635423</stp>
        <tr r="O43" s="18"/>
      </tp>
      <tp t="e">
        <v>#N/A</v>
        <stp/>
        <stp>BDH|8341260913723611088</stp>
        <tr r="O99" s="12"/>
      </tp>
      <tp t="e">
        <v>#N/A</v>
        <stp/>
        <stp>BDH|4552445250065189885</stp>
        <tr r="D18" s="10"/>
      </tp>
      <tp t="e">
        <v>#N/A</v>
        <stp/>
        <stp>BDH|7746607488907502626</stp>
        <tr r="N8" s="25"/>
        <tr r="K10" s="5"/>
        <tr r="L9" s="2"/>
      </tp>
      <tp t="e">
        <v>#N/A</v>
        <stp/>
        <stp>BDH|6788253699436296319</stp>
        <tr r="P53" s="24"/>
      </tp>
      <tp t="e">
        <v>#N/A</v>
        <stp/>
        <stp>BDH|9180564139451770611</stp>
        <tr r="Q206" s="18"/>
      </tp>
      <tp t="e">
        <v>#N/A</v>
        <stp/>
        <stp>BDH|8978679860001791106</stp>
        <tr r="W8" s="12"/>
      </tp>
      <tp t="e">
        <v>#N/A</v>
        <stp/>
        <stp>BDH|9590227272303858749</stp>
        <tr r="N35" s="14"/>
      </tp>
      <tp t="e">
        <v>#N/A</v>
        <stp/>
        <stp>BDH|5907820734136025063</stp>
        <tr r="V55" s="21"/>
      </tp>
      <tp t="e">
        <v>#N/A</v>
        <stp/>
        <stp>BDH|1070486827658354752</stp>
        <tr r="O20" s="17"/>
      </tp>
      <tp t="e">
        <v>#N/A</v>
        <stp/>
        <stp>BDH|7662280964293318805</stp>
        <tr r="Z32" s="21"/>
      </tp>
      <tp t="e">
        <v>#N/A</v>
        <stp/>
        <stp>BDH|5692433547845896838</stp>
        <tr r="S23" s="11"/>
      </tp>
      <tp t="e">
        <v>#N/A</v>
        <stp/>
        <stp>BDH|7446217147770246993</stp>
        <tr r="F77" s="18"/>
      </tp>
      <tp t="e">
        <v>#N/A</v>
        <stp/>
        <stp>BDH|9314842506940092981</stp>
        <tr r="J11" s="18"/>
      </tp>
      <tp t="e">
        <v>#N/A</v>
        <stp/>
        <stp>BDH|2311211648509039534</stp>
        <tr r="Y26" s="24"/>
      </tp>
      <tp t="e">
        <v>#N/A</v>
        <stp/>
        <stp>BDH|8743018472292551589</stp>
        <tr r="Z116" s="12"/>
      </tp>
      <tp t="e">
        <v>#N/A</v>
        <stp/>
        <stp>BDH|3216278849905217873</stp>
        <tr r="W87" s="17"/>
      </tp>
      <tp t="e">
        <v>#N/A</v>
        <stp/>
        <stp>BDH|8585309917845255799</stp>
        <tr r="N175" s="18"/>
      </tp>
      <tp t="e">
        <v>#N/A</v>
        <stp/>
        <stp>BDH|6586311971263486986</stp>
        <tr r="Z82" s="18"/>
      </tp>
      <tp t="e">
        <v>#N/A</v>
        <stp/>
        <stp>BDH|3469240394730872053</stp>
        <tr r="V17" s="12"/>
      </tp>
      <tp t="e">
        <v>#N/A</v>
        <stp/>
        <stp>BDH|4688121317878838426</stp>
        <tr r="T31" s="12"/>
      </tp>
      <tp t="e">
        <v>#N/A</v>
        <stp/>
        <stp>BDH|2030575669529075070</stp>
        <tr r="I76" s="12"/>
      </tp>
      <tp t="e">
        <v>#N/A</v>
        <stp/>
        <stp>BDH|6612668101320141899</stp>
        <tr r="Z132" s="18"/>
      </tp>
      <tp t="e">
        <v>#N/A</v>
        <stp/>
        <stp>BDH|4875996528825280226</stp>
        <tr r="O18" s="27"/>
        <tr r="O32" s="25"/>
      </tp>
      <tp t="e">
        <v>#N/A</v>
        <stp/>
        <stp>BDH|4703354648822786942</stp>
        <tr r="U28" s="22"/>
      </tp>
      <tp t="e">
        <v>#N/A</v>
        <stp/>
        <stp>BDH|7261297631138036635</stp>
        <tr r="L28" s="4"/>
      </tp>
      <tp t="e">
        <v>#N/A</v>
        <stp/>
        <stp>BDH|7653869217493964578</stp>
        <tr r="G52" s="17"/>
      </tp>
      <tp t="e">
        <v>#N/A</v>
        <stp/>
        <stp>BDH|2855889443384391290</stp>
        <tr r="L70" s="13"/>
        <tr r="J49" s="11"/>
        <tr r="J58" s="10"/>
        <tr r="J19" s="7"/>
        <tr r="J18" s="4"/>
        <tr r="J20" s="2"/>
      </tp>
      <tp t="e">
        <v>#N/A</v>
        <stp/>
        <stp>BDH|5825680317892946878</stp>
        <tr r="Y8" s="13"/>
      </tp>
      <tp t="e">
        <v>#N/A</v>
        <stp/>
        <stp>BDH|9802512065030348260</stp>
        <tr r="X8" s="34"/>
      </tp>
      <tp t="e">
        <v>#N/A</v>
        <stp/>
        <stp>BDH|3820655469468982342</stp>
        <tr r="C66" s="10"/>
        <tr r="C39" s="4"/>
      </tp>
      <tp t="e">
        <v>#N/A</v>
        <stp/>
        <stp>BDH|1953304218182808909</stp>
        <tr r="G27" s="12"/>
      </tp>
      <tp t="e">
        <v>#N/A</v>
        <stp/>
        <stp>BDH|4801290123185910929</stp>
        <tr r="T44" s="6"/>
      </tp>
      <tp t="e">
        <v>#N/A</v>
        <stp/>
        <stp>BDH|6022053839834508901</stp>
        <tr r="Q119" s="12"/>
      </tp>
      <tp t="e">
        <v>#N/A</v>
        <stp/>
        <stp>BDH|8486387901051326275</stp>
        <tr r="J55" s="12"/>
      </tp>
      <tp t="e">
        <v>#N/A</v>
        <stp/>
        <stp>BDH|3037455717569988723</stp>
        <tr r="L22" s="20"/>
      </tp>
      <tp t="e">
        <v>#N/A</v>
        <stp/>
        <stp>BDH|5931320830618252508</stp>
        <tr r="U25" s="26"/>
      </tp>
      <tp t="e">
        <v>#N/A</v>
        <stp/>
        <stp>BDH|7393629376888904673</stp>
        <tr r="N21" s="34"/>
      </tp>
      <tp t="e">
        <v>#N/A</v>
        <stp/>
        <stp>BDH|6353859481978678689</stp>
        <tr r="D47" s="18"/>
      </tp>
      <tp t="e">
        <v>#N/A</v>
        <stp/>
        <stp>BDH|4980519913919242101</stp>
        <tr r="X12" s="13"/>
      </tp>
      <tp t="e">
        <v>#N/A</v>
        <stp/>
        <stp>BDH|6129290120948626674</stp>
        <tr r="R169" s="18"/>
      </tp>
      <tp t="e">
        <v>#N/A</v>
        <stp/>
        <stp>BDH|9437905251799597495</stp>
        <tr r="R25" s="24"/>
      </tp>
      <tp t="e">
        <v>#N/A</v>
        <stp/>
        <stp>BDH|9886782164343405395</stp>
        <tr r="E50" s="34"/>
      </tp>
      <tp t="e">
        <v>#N/A</v>
        <stp/>
        <stp>BDH|2532366451405851938</stp>
        <tr r="H33" s="17"/>
      </tp>
      <tp t="e">
        <v>#N/A</v>
        <stp/>
        <stp>BDH|7319598107313768930</stp>
        <tr r="O14" s="13"/>
      </tp>
      <tp t="e">
        <v>#N/A</v>
        <stp/>
        <stp>BDH|4363830836740853778</stp>
        <tr r="L21" s="9"/>
      </tp>
      <tp t="e">
        <v>#N/A</v>
        <stp/>
        <stp>BDH|6924072886807334124</stp>
        <tr r="D10" s="24"/>
      </tp>
      <tp t="e">
        <v>#N/A</v>
        <stp/>
        <stp>BDH|1567668127894905949</stp>
        <tr r="P214" s="18"/>
      </tp>
      <tp t="e">
        <v>#N/A</v>
        <stp/>
        <stp>BDH|4892123263498705370</stp>
        <tr r="C19" s="20"/>
      </tp>
      <tp t="e">
        <v>#N/A</v>
        <stp/>
        <stp>BDH|6808266662633293977</stp>
        <tr r="W18" s="27"/>
        <tr r="W32" s="25"/>
      </tp>
      <tp t="e">
        <v>#N/A</v>
        <stp/>
        <stp>BDH|3902988856365773292</stp>
        <tr r="U30" s="14"/>
      </tp>
      <tp t="e">
        <v>#N/A</v>
        <stp/>
        <stp>BDH|6934837442342519037</stp>
        <tr r="L17" s="21"/>
      </tp>
      <tp t="e">
        <v>#N/A</v>
        <stp/>
        <stp>BDH|2069781155080354802</stp>
        <tr r="H21" s="11"/>
      </tp>
      <tp t="e">
        <v>#N/A</v>
        <stp/>
        <stp>BDH|8771481150743222233</stp>
        <tr r="J27" s="34"/>
      </tp>
      <tp t="e">
        <v>#N/A</v>
        <stp/>
        <stp>BDH|9987168254330007553</stp>
        <tr r="K13" s="12"/>
      </tp>
      <tp t="e">
        <v>#N/A</v>
        <stp/>
        <stp>BDH|8783607176745794481</stp>
        <tr r="O45" s="13"/>
        <tr r="M29" s="11"/>
        <tr r="M38" s="10"/>
      </tp>
      <tp t="e">
        <v>#N/A</v>
        <stp/>
        <stp>BDH|9997427554418421858</stp>
        <tr r="P65" s="17"/>
      </tp>
      <tp t="e">
        <v>#N/A</v>
        <stp/>
        <stp>BDH|9238175768734261217</stp>
        <tr r="K20" s="29"/>
      </tp>
      <tp t="e">
        <v>#N/A</v>
        <stp/>
        <stp>BDH|2093268022748252280</stp>
        <tr r="C22" s="14"/>
      </tp>
      <tp t="e">
        <v>#N/A</v>
        <stp/>
        <stp>BDH|3243696692541252551</stp>
        <tr r="V21" s="22"/>
      </tp>
      <tp t="e">
        <v>#N/A</v>
        <stp/>
        <stp>BDH|6038995297826693864</stp>
        <tr r="X61" s="24"/>
      </tp>
      <tp t="e">
        <v>#N/A</v>
        <stp/>
        <stp>BDH|7076589968099781593</stp>
        <tr r="U45" s="17"/>
      </tp>
      <tp t="e">
        <v>#N/A</v>
        <stp/>
        <stp>BDH|9285543271471820218</stp>
        <tr r="G34" s="14"/>
      </tp>
      <tp t="e">
        <v>#N/A</v>
        <stp/>
        <stp>BDH|2393062789497481562</stp>
        <tr r="K22" s="6"/>
      </tp>
      <tp t="e">
        <v>#N/A</v>
        <stp/>
        <stp>BDH|3279541628518820484</stp>
        <tr r="O22" s="34"/>
      </tp>
      <tp t="e">
        <v>#N/A</v>
        <stp/>
        <stp>BDH|9878468654593496307</stp>
        <tr r="N13" s="27"/>
        <tr r="N27" s="25"/>
      </tp>
      <tp t="e">
        <v>#N/A</v>
        <stp/>
        <stp>BDH|9196059809469756845</stp>
        <tr r="G13" s="30"/>
      </tp>
      <tp t="e">
        <v>#N/A</v>
        <stp/>
        <stp>BDH|1279061997065829550</stp>
        <tr r="M28" s="13"/>
      </tp>
      <tp t="e">
        <v>#N/A</v>
        <stp/>
        <stp>BDH|8372362153383164594</stp>
        <tr r="L23" s="13"/>
      </tp>
      <tp t="e">
        <v>#N/A</v>
        <stp/>
        <stp>BDH|1671295991391867380</stp>
        <tr r="L188" s="18"/>
      </tp>
      <tp t="e">
        <v>#N/A</v>
        <stp/>
        <stp>BDH|4285745588665444648</stp>
        <tr r="T56" s="24"/>
      </tp>
      <tp t="e">
        <v>#N/A</v>
        <stp/>
        <stp>BDH|1735188893327382617</stp>
        <tr r="H62" s="12"/>
      </tp>
      <tp t="e">
        <v>#N/A</v>
        <stp/>
        <stp>BDH|9757805942145973821</stp>
        <tr r="W28" s="13"/>
      </tp>
      <tp t="e">
        <v>#N/A</v>
        <stp/>
        <stp>BDH|7686736887891972157</stp>
        <tr r="N75" s="34"/>
      </tp>
      <tp t="e">
        <v>#N/A</v>
        <stp/>
        <stp>BDH|8750702930145166189</stp>
        <tr r="D110" s="12"/>
      </tp>
      <tp t="e">
        <v>#N/A</v>
        <stp/>
        <stp>BDH|7415891446025586600</stp>
        <tr r="V22" s="12"/>
      </tp>
      <tp t="e">
        <v>#N/A</v>
        <stp/>
        <stp>BDH|7517925288816121805</stp>
        <tr r="V46" s="11"/>
        <tr r="V55" s="10"/>
        <tr r="V7" s="7"/>
        <tr r="X12" s="3"/>
      </tp>
      <tp t="e">
        <v>#N/A</v>
        <stp/>
        <stp>BDH|8419931608741987884</stp>
        <tr r="N102" s="12"/>
      </tp>
      <tp t="e">
        <v>#N/A</v>
        <stp/>
        <stp>BDH|9242292802813740001</stp>
        <tr r="R78" s="34"/>
      </tp>
      <tp t="e">
        <v>#N/A</v>
        <stp/>
        <stp>BDH|9208619441636437586</stp>
        <tr r="F186" s="18"/>
      </tp>
      <tp t="e">
        <v>#N/A</v>
        <stp/>
        <stp>BDH|9869719612814687335</stp>
        <tr r="N7" s="4"/>
      </tp>
      <tp t="e">
        <v>#N/A</v>
        <stp/>
        <stp>BDH|1745969041095626185</stp>
        <tr r="H36" s="12"/>
      </tp>
      <tp t="e">
        <v>#N/A</v>
        <stp/>
        <stp>BDH|1494994115175747415</stp>
        <tr r="P26" s="14"/>
      </tp>
      <tp t="e">
        <v>#N/A</v>
        <stp/>
        <stp>BDH|3000559086037851151</stp>
        <tr r="O13" s="27"/>
        <tr r="O27" s="25"/>
      </tp>
      <tp t="e">
        <v>#N/A</v>
        <stp/>
        <stp>BDH|7374389381400748433</stp>
        <tr r="O42" s="17"/>
      </tp>
      <tp t="e">
        <v>#N/A</v>
        <stp/>
        <stp>BDH|4785870600980750499</stp>
        <tr r="E23" s="21"/>
      </tp>
      <tp t="e">
        <v>#N/A</v>
        <stp/>
        <stp>BDH|4433449084590251086</stp>
        <tr r="D78" s="12"/>
      </tp>
      <tp t="e">
        <v>#N/A</v>
        <stp/>
        <stp>BDH|4411896862880935283</stp>
        <tr r="I15" s="34"/>
      </tp>
      <tp t="e">
        <v>#N/A</v>
        <stp/>
        <stp>BDH|9157288412073535101</stp>
        <tr r="T30" s="26"/>
      </tp>
      <tp t="e">
        <v>#N/A</v>
        <stp/>
        <stp>BDH|6028874465254436488</stp>
        <tr r="Y70" s="18"/>
      </tp>
      <tp t="e">
        <v>#N/A</v>
        <stp/>
        <stp>BDH|9271217282302732991</stp>
        <tr r="H39" s="29"/>
        <tr r="H16" s="29"/>
      </tp>
      <tp t="e">
        <v>#N/A</v>
        <stp/>
        <stp>BDH|6811801236740319527</stp>
        <tr r="L95" s="24"/>
      </tp>
      <tp t="e">
        <v>#N/A</v>
        <stp/>
        <stp>BDH|8343446279240595349</stp>
        <tr r="W13" s="11"/>
      </tp>
      <tp t="e">
        <v>#N/A</v>
        <stp/>
        <stp>BDH|9257779226826459281</stp>
        <tr r="T11" s="24"/>
      </tp>
      <tp t="e">
        <v>#N/A</v>
        <stp/>
        <stp>BDH|6406865105784146296</stp>
        <tr r="C70" s="24"/>
      </tp>
      <tp t="e">
        <v>#N/A</v>
        <stp/>
        <stp>BDH|9413213685763937864</stp>
        <tr r="K23" s="21"/>
      </tp>
      <tp t="e">
        <v>#N/A</v>
        <stp/>
        <stp>BDH|3163073956697824973</stp>
        <tr r="R23" s="11"/>
      </tp>
      <tp t="e">
        <v>#N/A</v>
        <stp/>
        <stp>BDH|2141839553414887363</stp>
        <tr r="K15" s="9"/>
      </tp>
      <tp t="e">
        <v>#N/A</v>
        <stp/>
        <stp>BDH|5830439492994523433</stp>
        <tr r="C56" s="17"/>
      </tp>
      <tp t="e">
        <v>#N/A</v>
        <stp/>
        <stp>BDH|2949577443752657943</stp>
        <tr r="Y31" s="22"/>
      </tp>
      <tp t="e">
        <v>#N/A</v>
        <stp/>
        <stp>BDH|7377898260107539608</stp>
        <tr r="W50" s="13"/>
      </tp>
      <tp t="e">
        <v>#N/A</v>
        <stp/>
        <stp>BDH|8840604015593370417</stp>
        <tr r="C93" s="18"/>
      </tp>
      <tp t="e">
        <v>#N/A</v>
        <stp/>
        <stp>BDH|8246338745835948225</stp>
        <tr r="Q34" s="22"/>
      </tp>
      <tp t="e">
        <v>#N/A</v>
        <stp/>
        <stp>BDH|3554664788076113354</stp>
        <tr r="O13" s="10"/>
      </tp>
      <tp t="e">
        <v>#N/A</v>
        <stp/>
        <stp>BDH|8759504318781322530</stp>
        <tr r="X46" s="12"/>
      </tp>
      <tp t="e">
        <v>#N/A</v>
        <stp/>
        <stp>BDH|4326980146607116631</stp>
        <tr r="V57" s="12"/>
      </tp>
      <tp t="e">
        <v>#N/A</v>
        <stp/>
        <stp>BDH|9855654472420430041</stp>
        <tr r="M90" s="17"/>
      </tp>
      <tp t="e">
        <v>#N/A</v>
        <stp/>
        <stp>BDH|5276101791553929656</stp>
        <tr r="Q11" s="6"/>
      </tp>
      <tp t="e">
        <v>#N/A</v>
        <stp/>
        <stp>BDH|7971072632129353507</stp>
        <tr r="Y29" s="4"/>
      </tp>
      <tp t="e">
        <v>#N/A</v>
        <stp/>
        <stp>BDH|6060991356096500451</stp>
        <tr r="C13" s="28"/>
        <tr r="C96" s="17"/>
      </tp>
      <tp t="e">
        <v>#N/A</v>
        <stp/>
        <stp>BDH|4462845876587994407</stp>
        <tr r="M48" s="17"/>
      </tp>
      <tp t="e">
        <v>#N/A</v>
        <stp/>
        <stp>BDH|6380721447395136881</stp>
        <tr r="V214" s="18"/>
      </tp>
      <tp t="e">
        <v>#N/A</v>
        <stp/>
        <stp>BDH|7481922937405724096</stp>
        <tr r="K70" s="34"/>
      </tp>
      <tp t="e">
        <v>#N/A</v>
        <stp/>
        <stp>BDH|7838608085652201307</stp>
        <tr r="F58" s="24"/>
      </tp>
      <tp t="e">
        <v>#N/A</v>
        <stp/>
        <stp>BDH|3951199678765559824</stp>
        <tr r="S22" s="17"/>
        <tr r="S15" s="3"/>
      </tp>
      <tp t="e">
        <v>#N/A</v>
        <stp/>
        <stp>BDH|9955501776334194713</stp>
        <tr r="Z42" s="12"/>
      </tp>
      <tp t="e">
        <v>#N/A</v>
        <stp/>
        <stp>BDH|5506689294541706311</stp>
        <tr r="W74" s="17"/>
      </tp>
      <tp t="e">
        <v>#N/A</v>
        <stp/>
        <stp>BDH|5958535396998415975</stp>
        <tr r="Q9" s="28"/>
      </tp>
      <tp t="e">
        <v>#N/A</v>
        <stp/>
        <stp>BDH|9271359856724969372</stp>
        <tr r="T212" s="18"/>
      </tp>
      <tp t="e">
        <v>#N/A</v>
        <stp/>
        <stp>BDH|6122461989831472351</stp>
        <tr r="L37" s="18"/>
      </tp>
      <tp t="e">
        <v>#N/A</v>
        <stp/>
        <stp>BDH|4868549678777952920</stp>
        <tr r="O10" s="28"/>
      </tp>
      <tp t="e">
        <v>#N/A</v>
        <stp/>
        <stp>BDH|5682776932088575195</stp>
        <tr r="T23" s="9"/>
        <tr r="T23" s="5"/>
      </tp>
      <tp t="e">
        <v>#N/A</v>
        <stp/>
        <stp>BDH|5677989392044171925</stp>
        <tr r="R19" s="9"/>
      </tp>
      <tp t="e">
        <v>#N/A</v>
        <stp/>
        <stp>BDH|8879811146094728878</stp>
        <tr r="X155" s="18"/>
      </tp>
      <tp t="e">
        <v>#N/A</v>
        <stp/>
        <stp>BDH|6127841369736229619</stp>
        <tr r="AA32" s="21"/>
      </tp>
      <tp t="e">
        <v>#N/A</v>
        <stp/>
        <stp>BDH|1431063209449198052</stp>
        <tr r="K101" s="18"/>
      </tp>
      <tp t="e">
        <v>#N/A</v>
        <stp/>
        <stp>BDH|3687847193788650283</stp>
        <tr r="E61" s="17"/>
      </tp>
      <tp t="e">
        <v>#N/A</v>
        <stp/>
        <stp>BDH|2175062903919232391</stp>
        <tr r="O63" s="18"/>
      </tp>
      <tp t="e">
        <v>#N/A</v>
        <stp/>
        <stp>BDH|3683450077588834030</stp>
        <tr r="C7" s="20"/>
        <tr r="C117" s="18"/>
      </tp>
      <tp t="e">
        <v>#N/A</v>
        <stp/>
        <stp>BDH|9802606285519713663</stp>
        <tr r="AA196" s="18"/>
      </tp>
      <tp t="e">
        <v>#N/A</v>
        <stp/>
        <stp>BDH|5228512493567574693</stp>
        <tr r="AA97" s="12"/>
      </tp>
      <tp t="e">
        <v>#N/A</v>
        <stp/>
        <stp>BDH|8858343401792020113</stp>
        <tr r="R59" s="12"/>
      </tp>
      <tp t="e">
        <v>#N/A</v>
        <stp/>
        <stp>BDH|4407807313206812334</stp>
        <tr r="Q77" s="34"/>
      </tp>
      <tp t="e">
        <v>#N/A</v>
        <stp/>
        <stp>BDH|6317944303536904110</stp>
        <tr r="Z63" s="24"/>
      </tp>
      <tp t="e">
        <v>#N/A</v>
        <stp/>
        <stp>BDH|3170769681236388294</stp>
        <tr r="O63" s="21"/>
      </tp>
      <tp t="e">
        <v>#N/A</v>
        <stp/>
        <stp>BDH|2307685890124244150</stp>
        <tr r="E12" s="18"/>
      </tp>
      <tp t="e">
        <v>#N/A</v>
        <stp/>
        <stp>BDH|9460285847341346644</stp>
        <tr r="V24" s="2"/>
      </tp>
      <tp t="e">
        <v>#N/A</v>
        <stp/>
        <stp>BDH|9674414709010624542</stp>
        <tr r="R55" s="21"/>
      </tp>
      <tp t="e">
        <v>#N/A</v>
        <stp/>
        <stp>BDH|9425017008403042216</stp>
        <tr r="M65" s="24"/>
      </tp>
      <tp t="e">
        <v>#N/A</v>
        <stp/>
        <stp>BDH|3527196931838769168</stp>
        <tr r="S23" s="26"/>
      </tp>
      <tp t="e">
        <v>#N/A</v>
        <stp/>
        <stp>BDH|8801012854517310224</stp>
        <tr r="C40" s="29"/>
        <tr r="C17" s="29"/>
      </tp>
      <tp t="e">
        <v>#N/A</v>
        <stp/>
        <stp>BDH|7049087520844098947</stp>
        <tr r="V13" s="7"/>
      </tp>
      <tp t="e">
        <v>#N/A</v>
        <stp/>
        <stp>BDH|1371390289345759784</stp>
        <tr r="Z7" s="28"/>
      </tp>
      <tp t="e">
        <v>#N/A</v>
        <stp/>
        <stp>BDH|7601689640984660943</stp>
        <tr r="AA25" s="17"/>
      </tp>
      <tp t="e">
        <v>#N/A</v>
        <stp/>
        <stp>BDH|5772250289061563625</stp>
        <tr r="V81" s="12"/>
      </tp>
      <tp t="e">
        <v>#N/A</v>
        <stp/>
        <stp>BDH|1762284968758348585</stp>
        <tr r="K148" s="18"/>
      </tp>
      <tp t="e">
        <v>#N/A</v>
        <stp/>
        <stp>BDH|9735444370255775786</stp>
        <tr r="Y30" s="14"/>
      </tp>
      <tp t="e">
        <v>#N/A</v>
        <stp/>
        <stp>BDH|5469192686064617011</stp>
        <tr r="Z8" s="21"/>
      </tp>
      <tp t="e">
        <v>#N/A</v>
        <stp/>
        <stp>BDH|2727545602046988948</stp>
        <tr r="E10" s="23"/>
      </tp>
      <tp t="e">
        <v>#N/A</v>
        <stp/>
        <stp>BDH|7924936198858925778</stp>
        <tr r="E11" s="9"/>
      </tp>
      <tp t="e">
        <v>#N/A</v>
        <stp/>
        <stp>BDH|3333808002980935347</stp>
        <tr r="L32" s="5"/>
      </tp>
      <tp t="e">
        <v>#N/A</v>
        <stp/>
        <stp>BDH|9910679103882283531</stp>
        <tr r="E14" s="20"/>
        <tr r="E123" s="18"/>
      </tp>
      <tp t="e">
        <v>#N/A</v>
        <stp/>
        <stp>BDH|5856203751099783327</stp>
        <tr r="P20" s="10"/>
      </tp>
      <tp t="e">
        <v>#N/A</v>
        <stp/>
        <stp>BDH|2290033315113972814</stp>
        <tr r="I17" s="18"/>
      </tp>
      <tp t="e">
        <v>#N/A</v>
        <stp/>
        <stp>BDH|5785359203909556785</stp>
        <tr r="V124" s="12"/>
      </tp>
      <tp t="e">
        <v>#N/A</v>
        <stp/>
        <stp>BDH|8041787857183691150</stp>
        <tr r="F23" s="18"/>
      </tp>
      <tp t="e">
        <v>#N/A</v>
        <stp/>
        <stp>BDH|2483674622418926641</stp>
        <tr r="H37" s="6"/>
      </tp>
      <tp t="e">
        <v>#N/A</v>
        <stp/>
        <stp>BDH|5854058290130655473</stp>
        <tr r="J168" s="18"/>
      </tp>
      <tp t="e">
        <v>#N/A</v>
        <stp/>
        <stp>BDH|8712689633155812082</stp>
        <tr r="G142" s="18"/>
      </tp>
      <tp t="e">
        <v>#N/A</v>
        <stp/>
        <stp>BDH|3589980610452252133</stp>
        <tr r="U22" s="6"/>
      </tp>
      <tp t="e">
        <v>#N/A</v>
        <stp/>
        <stp>BDH|7959671465126474938</stp>
        <tr r="X150" s="18"/>
      </tp>
      <tp t="e">
        <v>#N/A</v>
        <stp/>
        <stp>BDH|3197060623259930015</stp>
        <tr r="N33" s="6"/>
      </tp>
      <tp t="e">
        <v>#N/A</v>
        <stp/>
        <stp>BDH|7977028276211685978</stp>
        <tr r="O18" s="10"/>
      </tp>
      <tp t="e">
        <v>#N/A</v>
        <stp/>
        <stp>BDH|2888157295735430706</stp>
        <tr r="O15" s="5"/>
      </tp>
      <tp t="e">
        <v>#N/A</v>
        <stp/>
        <stp>BDH|1924849082580210913</stp>
        <tr r="F26" s="17"/>
      </tp>
      <tp t="e">
        <v>#N/A</v>
        <stp/>
        <stp>BDH|9138782943704088661</stp>
        <tr r="G94" s="12"/>
      </tp>
      <tp t="e">
        <v>#N/A</v>
        <stp/>
        <stp>BDH|9252379137845699483</stp>
        <tr r="Q86" s="17"/>
      </tp>
      <tp t="e">
        <v>#N/A</v>
        <stp/>
        <stp>BDH|2523240669997025947</stp>
        <tr r="P51" s="13"/>
      </tp>
      <tp t="e">
        <v>#N/A</v>
        <stp/>
        <stp>BDH|2437298830238357322</stp>
        <tr r="G11" s="21"/>
      </tp>
      <tp t="e">
        <v>#N/A</v>
        <stp/>
        <stp>BDH|4210833644377807700</stp>
        <tr r="J41" s="17"/>
      </tp>
      <tp t="e">
        <v>#N/A</v>
        <stp/>
        <stp>BDH|6748396592527319327</stp>
        <tr r="E34" s="24"/>
      </tp>
      <tp t="e">
        <v>#N/A</v>
        <stp/>
        <stp>BDH|4916536082446725720</stp>
        <tr r="F39" s="18"/>
      </tp>
      <tp t="e">
        <v>#N/A</v>
        <stp/>
        <stp>BDH|9079580174602448154</stp>
        <tr r="T135" s="18"/>
      </tp>
      <tp t="e">
        <v>#N/A</v>
        <stp/>
        <stp>BDH|8616565509034073142</stp>
        <tr r="D139" s="18"/>
      </tp>
      <tp t="e">
        <v>#N/A</v>
        <stp/>
        <stp>BDH|5104968364707699587</stp>
        <tr r="Y87" s="17"/>
      </tp>
      <tp t="e">
        <v>#N/A</v>
        <stp/>
        <stp>BDH|9539218390363892910</stp>
        <tr r="Y10" s="18"/>
      </tp>
      <tp t="e">
        <v>#N/A</v>
        <stp/>
        <stp>BDH|3379526709048575607</stp>
        <tr r="I121" s="12"/>
      </tp>
      <tp t="e">
        <v>#N/A</v>
        <stp/>
        <stp>BDH|8332386469697746286</stp>
        <tr r="O17" s="6"/>
      </tp>
      <tp t="e">
        <v>#N/A</v>
        <stp/>
        <stp>BDH|2123872742230852617</stp>
        <tr r="X160" s="18"/>
      </tp>
      <tp t="e">
        <v>#N/A</v>
        <stp/>
        <stp>BDH|7658185234154288959</stp>
        <tr r="O20" s="18"/>
      </tp>
      <tp t="e">
        <v>#N/A</v>
        <stp/>
        <stp>BDH|9212536885798954405</stp>
        <tr r="V13" s="28"/>
        <tr r="V96" s="17"/>
      </tp>
      <tp t="e">
        <v>#N/A</v>
        <stp/>
        <stp>BDH|8915517577582049024</stp>
        <tr r="C120" s="12"/>
      </tp>
      <tp t="e">
        <v>#N/A</v>
        <stp/>
        <stp>BDH|1731594676832047958</stp>
        <tr r="Z42" s="29"/>
        <tr r="Z33" s="29"/>
        <tr r="X55" s="6"/>
        <tr r="X11" s="5"/>
        <tr r="Y10" s="2"/>
      </tp>
      <tp t="e">
        <v>#N/A</v>
        <stp/>
        <stp>BDH|9183342569392492653</stp>
        <tr r="Y100" s="18"/>
      </tp>
      <tp t="e">
        <v>#N/A</v>
        <stp/>
        <stp>BDH|1358998037925950692</stp>
        <tr r="AA8" s="23"/>
      </tp>
      <tp t="e">
        <v>#N/A</v>
        <stp/>
        <stp>BDH|7923122155079201212</stp>
        <tr r="C31" s="29"/>
      </tp>
      <tp t="e">
        <v>#N/A</v>
        <stp/>
        <stp>BDH|5186859787199758491</stp>
        <tr r="F35" s="24"/>
      </tp>
      <tp t="e">
        <v>#N/A</v>
        <stp/>
        <stp>BDH|8457833815569664091</stp>
        <tr r="Z22" s="22"/>
      </tp>
      <tp t="e">
        <v>#N/A</v>
        <stp/>
        <stp>BDH|7529385287676273252</stp>
        <tr r="O11" s="24"/>
      </tp>
      <tp t="e">
        <v>#N/A</v>
        <stp/>
        <stp>BDH|9956415190274300865</stp>
        <tr r="L149" s="18"/>
      </tp>
      <tp t="e">
        <v>#N/A</v>
        <stp/>
        <stp>BDH|8935562185948691516</stp>
        <tr r="T66" s="12"/>
      </tp>
      <tp t="e">
        <v>#N/A</v>
        <stp/>
        <stp>BDH|3510293494537275777</stp>
        <tr r="F19" s="18"/>
      </tp>
      <tp t="e">
        <v>#N/A</v>
        <stp/>
        <stp>BDH|9277432872654816665</stp>
        <tr r="C78" s="34"/>
      </tp>
      <tp t="e">
        <v>#N/A</v>
        <stp/>
        <stp>BDH|9057042827077612481</stp>
        <tr r="G9" s="25"/>
        <tr r="G44" s="17"/>
      </tp>
      <tp t="e">
        <v>#N/A</v>
        <stp/>
        <stp>BDH|2635948776904066092</stp>
        <tr r="S43" s="34"/>
      </tp>
      <tp t="e">
        <v>#N/A</v>
        <stp/>
        <stp>BDH|4228915928365241246</stp>
        <tr r="D58" s="12"/>
      </tp>
      <tp t="e">
        <v>#N/A</v>
        <stp/>
        <stp>BDH|8845827352659072454</stp>
        <tr r="E95" s="12"/>
      </tp>
      <tp t="e">
        <v>#N/A</v>
        <stp/>
        <stp>BDH|4663430684386842647</stp>
        <tr r="V19" s="12"/>
      </tp>
      <tp t="e">
        <v>#N/A</v>
        <stp/>
        <stp>BDH|5617542782313569380</stp>
        <tr r="F18" s="9"/>
      </tp>
      <tp t="e">
        <v>#N/A</v>
        <stp/>
        <stp>BDH|9988078801705087426</stp>
        <tr r="H57" s="24"/>
      </tp>
      <tp t="e">
        <v>#N/A</v>
        <stp/>
        <stp>BDH|6859333263892139944</stp>
        <tr r="R74" s="24"/>
      </tp>
      <tp t="e">
        <v>#N/A</v>
        <stp/>
        <stp>BDH|6262168898643878594</stp>
        <tr r="O39" s="6"/>
      </tp>
      <tp t="e">
        <v>#N/A</v>
        <stp/>
        <stp>BDH|1805839065724718345</stp>
        <tr r="X197" s="18"/>
      </tp>
      <tp t="e">
        <v>#N/A</v>
        <stp/>
        <stp>BDH|4462452993934779587</stp>
        <tr r="E8" s="12"/>
      </tp>
      <tp t="e">
        <v>#N/A</v>
        <stp/>
        <stp>BDH|5159342898906645166</stp>
        <tr r="I6" s="19"/>
        <tr r="I37" s="17"/>
        <tr r="I16" s="3"/>
      </tp>
      <tp t="e">
        <v>#N/A</v>
        <stp/>
        <stp>BDH|4188192714524568845</stp>
        <tr r="C212" s="18"/>
      </tp>
      <tp t="e">
        <v>#N/A</v>
        <stp/>
        <stp>BDH|4868471843609881595</stp>
        <tr r="R49" s="12"/>
      </tp>
      <tp t="e">
        <v>#N/A</v>
        <stp/>
        <stp>BDH|7690642330539833371</stp>
        <tr r="O32" s="22"/>
      </tp>
      <tp t="e">
        <v>#N/A</v>
        <stp/>
        <stp>BDH|9329461205216587385</stp>
        <tr r="AA34" s="21"/>
      </tp>
      <tp t="e">
        <v>#N/A</v>
        <stp/>
        <stp>BDH|1346783038154800969</stp>
        <tr r="N11" s="11"/>
      </tp>
      <tp t="e">
        <v>#N/A</v>
        <stp/>
        <stp>BDH|8288659848540288203</stp>
        <tr r="N23" s="22"/>
      </tp>
      <tp t="e">
        <v>#N/A</v>
        <stp/>
        <stp>BDH|5436823229191660648</stp>
        <tr r="H175" s="18"/>
      </tp>
      <tp t="e">
        <v>#N/A</v>
        <stp/>
        <stp>BDH|4482102768772758967</stp>
        <tr r="K138" s="18"/>
      </tp>
      <tp t="e">
        <v>#N/A</v>
        <stp/>
        <stp>BDH|2245792996514758078</stp>
        <tr r="R125" s="12"/>
      </tp>
      <tp t="e">
        <v>#N/A</v>
        <stp/>
        <stp>BDH|2321959217457829543</stp>
        <tr r="D107" s="18"/>
      </tp>
      <tp t="e">
        <v>#N/A</v>
        <stp/>
        <stp>BDH|2684662551759085034</stp>
        <tr r="U211" s="18"/>
      </tp>
      <tp t="e">
        <v>#N/A</v>
        <stp/>
        <stp>BDH|3291684664122584995</stp>
        <tr r="E38" s="34"/>
      </tp>
      <tp t="e">
        <v>#N/A</v>
        <stp/>
        <stp>BDH|5972295391267716140</stp>
        <tr r="C32" s="24"/>
      </tp>
      <tp t="e">
        <v>#N/A</v>
        <stp/>
        <stp>BDH|4345937549173224291</stp>
        <tr r="D50" s="4"/>
      </tp>
      <tp t="e">
        <v>#N/A</v>
        <stp/>
        <stp>BDH|9966786406191226772</stp>
        <tr r="W46" s="6"/>
        <tr r="W19" s="5"/>
      </tp>
      <tp t="e">
        <v>#N/A</v>
        <stp/>
        <stp>BDH|1636057685913388274</stp>
        <tr r="Z35" s="24"/>
      </tp>
      <tp t="e">
        <v>#N/A</v>
        <stp/>
        <stp>BDH|2845382209490314982</stp>
        <tr r="U79" s="24"/>
      </tp>
      <tp t="e">
        <v>#N/A</v>
        <stp/>
        <stp>BDH|6596668609549962112</stp>
        <tr r="Z163" s="18"/>
      </tp>
      <tp t="e">
        <v>#N/A</v>
        <stp/>
        <stp>BDH|7374548611849448203</stp>
        <tr r="S9" s="20"/>
        <tr r="S119" s="18"/>
      </tp>
      <tp t="e">
        <v>#N/A</v>
        <stp/>
        <stp>BDH|2947396869417261890</stp>
        <tr r="E23" s="9"/>
        <tr r="E23" s="5"/>
      </tp>
      <tp t="e">
        <v>#N/A</v>
        <stp/>
        <stp>BDH|8573961599397138795</stp>
        <tr r="L42" s="6"/>
      </tp>
      <tp t="e">
        <v>#N/A</v>
        <stp/>
        <stp>BDH|9050742105445092339</stp>
        <tr r="N44" s="18"/>
      </tp>
      <tp t="e">
        <v>#N/A</v>
        <stp/>
        <stp>BDH|2147784409259067427</stp>
        <tr r="W26" s="13"/>
      </tp>
      <tp t="e">
        <v>#N/A</v>
        <stp/>
        <stp>BDH|1943690179188373081</stp>
        <tr r="J58" s="34"/>
      </tp>
      <tp t="e">
        <v>#N/A</v>
        <stp/>
        <stp>BDH|7624991605203956516</stp>
        <tr r="Z20" s="24"/>
      </tp>
      <tp t="e">
        <v>#N/A</v>
        <stp/>
        <stp>BDH|3567479395023390564</stp>
        <tr r="U16" s="10"/>
      </tp>
      <tp t="e">
        <v>#N/A</v>
        <stp/>
        <stp>BDH|6352826052761609276</stp>
        <tr r="I32" s="6"/>
      </tp>
      <tp t="e">
        <v>#N/A</v>
        <stp/>
        <stp>BDH|4440356592581646771</stp>
        <tr r="M13" s="8"/>
      </tp>
      <tp t="e">
        <v>#N/A</v>
        <stp/>
        <stp>BDH|9955294639605271595</stp>
        <tr r="X13" s="13"/>
      </tp>
      <tp t="e">
        <v>#N/A</v>
        <stp/>
        <stp>BDH|4302607908358066297</stp>
        <tr r="I105" s="18"/>
      </tp>
      <tp t="e">
        <v>#N/A</v>
        <stp/>
        <stp>BDH|2256422747728370263</stp>
        <tr r="U86" s="17"/>
      </tp>
      <tp t="e">
        <v>#N/A</v>
        <stp/>
        <stp>BDH|7138964360730746020</stp>
        <tr r="Y45" s="24"/>
      </tp>
      <tp t="e">
        <v>#N/A</v>
        <stp/>
        <stp>BDH|3537290296382175293</stp>
        <tr r="R19" s="34"/>
      </tp>
      <tp t="e">
        <v>#N/A</v>
        <stp/>
        <stp>BDH|1253109866808470627</stp>
        <tr r="N9" s="21"/>
      </tp>
      <tp t="e">
        <v>#N/A</v>
        <stp/>
        <stp>BDH|8719572473714167606</stp>
        <tr r="O25" s="13"/>
      </tp>
      <tp t="e">
        <v>#N/A</v>
        <stp/>
        <stp>BDH|5451032509124403981</stp>
        <tr r="S41" s="24"/>
      </tp>
      <tp t="e">
        <v>#N/A</v>
        <stp/>
        <stp>BDH|3956031806373754895</stp>
        <tr r="I26" s="18"/>
      </tp>
      <tp t="e">
        <v>#N/A</v>
        <stp/>
        <stp>BDH|4033973823663236442</stp>
        <tr r="O113" s="12"/>
      </tp>
      <tp t="e">
        <v>#N/A</v>
        <stp/>
        <stp>BDH|6082657255685083826</stp>
        <tr r="I21" s="24"/>
      </tp>
      <tp t="e">
        <v>#N/A</v>
        <stp/>
        <stp>BDH|9435710034282572760</stp>
        <tr r="X164" s="18"/>
      </tp>
      <tp t="e">
        <v>#N/A</v>
        <stp/>
        <stp>BDH|9914642166158186983</stp>
        <tr r="F37" s="25"/>
        <tr r="F59" s="21"/>
        <tr r="D53" s="11"/>
        <tr r="D31" s="4"/>
      </tp>
      <tp t="e">
        <v>#N/A</v>
        <stp/>
        <stp>BDH|8857731030977146381</stp>
        <tr r="I83" s="12"/>
      </tp>
      <tp t="e">
        <v>#N/A</v>
        <stp/>
        <stp>BDH|2805321984086592793</stp>
        <tr r="AA18" s="22"/>
      </tp>
      <tp t="e">
        <v>#N/A</v>
        <stp/>
        <stp>BDH|9948726668984886498</stp>
        <tr r="S28" s="14"/>
      </tp>
      <tp t="e">
        <v>#N/A</v>
        <stp/>
        <stp>BDH|2380994803677232492</stp>
        <tr r="M51" s="12"/>
      </tp>
      <tp t="e">
        <v>#N/A</v>
        <stp/>
        <stp>BDH|2997687273173703875</stp>
        <tr r="M189" s="18"/>
      </tp>
      <tp t="e">
        <v>#N/A</v>
        <stp/>
        <stp>BDH|6072434874958392569</stp>
        <tr r="P73" s="18"/>
      </tp>
      <tp t="e">
        <v>#N/A</v>
        <stp/>
        <stp>BDH|1004015120038178328</stp>
        <tr r="X92" s="24"/>
      </tp>
      <tp t="e">
        <v>#N/A</v>
        <stp/>
        <stp>BDH|4187164710675518901</stp>
        <tr r="X65" s="17"/>
      </tp>
      <tp t="e">
        <v>#N/A</v>
        <stp/>
        <stp>BDH|5421756861184210809</stp>
        <tr r="X110" s="18"/>
      </tp>
      <tp t="e">
        <v>#N/A</v>
        <stp/>
        <stp>BDH|3866254694672805239</stp>
        <tr r="O86" s="17"/>
      </tp>
      <tp t="e">
        <v>#N/A</v>
        <stp/>
        <stp>BDH|5298216812877485972</stp>
        <tr r="H46" s="11"/>
        <tr r="H55" s="10"/>
        <tr r="H7" s="7"/>
        <tr r="J12" s="3"/>
      </tp>
      <tp t="e">
        <v>#N/A</v>
        <stp/>
        <stp>BDH|4146721283113196030</stp>
        <tr r="S11" s="29"/>
      </tp>
      <tp t="e">
        <v>#N/A</v>
        <stp/>
        <stp>BDH|5721118167572638851</stp>
        <tr r="R15" s="14"/>
      </tp>
      <tp t="e">
        <v>#N/A</v>
        <stp/>
        <stp>BDH|8836618671563204282</stp>
        <tr r="Q37" s="26"/>
      </tp>
      <tp t="e">
        <v>#N/A</v>
        <stp/>
        <stp>BDH|7664031124899451476</stp>
        <tr r="H191" s="18"/>
      </tp>
      <tp t="e">
        <v>#N/A</v>
        <stp/>
        <stp>BDH|3740147028591180982</stp>
        <tr r="Y21" s="10"/>
      </tp>
      <tp t="e">
        <v>#N/A</v>
        <stp/>
        <stp>BDH|1506837405009807898</stp>
        <tr r="W86" s="18"/>
      </tp>
      <tp t="e">
        <v>#N/A</v>
        <stp/>
        <stp>BDH|3524134086945447764</stp>
        <tr r="L27" s="34"/>
      </tp>
      <tp t="e">
        <v>#N/A</v>
        <stp/>
        <stp>BDH|9261854468767932849</stp>
        <tr r="W15" s="9"/>
      </tp>
      <tp t="e">
        <v>#N/A</v>
        <stp/>
        <stp>BDH|2982818202992863000</stp>
        <tr r="W20" s="34"/>
      </tp>
      <tp t="e">
        <v>#N/A</v>
        <stp/>
        <stp>BDH|7623692860827423895</stp>
        <tr r="M8" s="34"/>
      </tp>
      <tp t="e">
        <v>#N/A</v>
        <stp/>
        <stp>BDH|7742306980896701224</stp>
        <tr r="P51" s="12"/>
      </tp>
      <tp t="e">
        <v>#N/A</v>
        <stp/>
        <stp>BDH|8248497521882948411</stp>
        <tr r="P69" s="10"/>
      </tp>
      <tp t="e">
        <v>#N/A</v>
        <stp/>
        <stp>BDH|3619094096305287790</stp>
        <tr r="Q45" s="17"/>
      </tp>
      <tp t="e">
        <v>#N/A</v>
        <stp/>
        <stp>BDH|6272625493009942897</stp>
        <tr r="Q47" s="13"/>
      </tp>
      <tp t="e">
        <v>#N/A</v>
        <stp/>
        <stp>BDH|2232645144061467951</stp>
        <tr r="P95" s="12"/>
      </tp>
      <tp t="e">
        <v>#N/A</v>
        <stp/>
        <stp>BDH|8238480620651957701</stp>
        <tr r="Z25" s="34"/>
      </tp>
      <tp t="e">
        <v>#N/A</v>
        <stp/>
        <stp>BDH|6893396504934168970</stp>
        <tr r="L38" s="26"/>
      </tp>
      <tp t="e">
        <v>#N/A</v>
        <stp/>
        <stp>BDH|4278795044368410780</stp>
        <tr r="V91" s="18"/>
      </tp>
      <tp t="e">
        <v>#N/A</v>
        <stp/>
        <stp>BDH|5570153502168865490</stp>
        <tr r="J25" s="10"/>
      </tp>
      <tp t="e">
        <v>#N/A</v>
        <stp/>
        <stp>BDH|2411710501144267955</stp>
        <tr r="Q194" s="18"/>
      </tp>
      <tp t="e">
        <v>#N/A</v>
        <stp/>
        <stp>BDH|3435994121993895374</stp>
        <tr r="V55" s="34"/>
      </tp>
      <tp t="e">
        <v>#N/A</v>
        <stp/>
        <stp>BDH|1680861464244319349</stp>
        <tr r="J15" s="30"/>
      </tp>
      <tp t="e">
        <v>#N/A</v>
        <stp/>
        <stp>BDH|3210804500894686776</stp>
        <tr r="G51" s="18"/>
      </tp>
      <tp t="e">
        <v>#N/A</v>
        <stp/>
        <stp>BDH|8999822092266933738</stp>
        <tr r="X81" s="17"/>
      </tp>
      <tp t="e">
        <v>#N/A</v>
        <stp/>
        <stp>BDH|5863582262017238935</stp>
        <tr r="R49" s="24"/>
      </tp>
      <tp t="e">
        <v>#N/A</v>
        <stp/>
        <stp>BDH|7224507885951461308</stp>
        <tr r="N8" s="28"/>
      </tp>
      <tp t="e">
        <v>#N/A</v>
        <stp/>
        <stp>BDH|6168862563560610012</stp>
        <tr r="K32" s="5"/>
      </tp>
      <tp t="e">
        <v>#N/A</v>
        <stp/>
        <stp>BDH|8315480039023626476</stp>
        <tr r="P47" s="21"/>
      </tp>
      <tp t="e">
        <v>#N/A</v>
        <stp/>
        <stp>BDH|6661304356489757146</stp>
        <tr r="F19" s="25"/>
      </tp>
      <tp t="e">
        <v>#N/A</v>
        <stp/>
        <stp>BDH|8749350750037610170</stp>
        <tr r="G27" s="34"/>
      </tp>
      <tp t="e">
        <v>#N/A</v>
        <stp/>
        <stp>BDH|3013756394195073025</stp>
        <tr r="C58" s="18"/>
      </tp>
      <tp t="e">
        <v>#N/A</v>
        <stp/>
        <stp>BDH|5831851342985881447</stp>
        <tr r="Y50" s="4"/>
      </tp>
      <tp t="e">
        <v>#N/A</v>
        <stp/>
        <stp>BDH|9301871756425830991</stp>
        <tr r="S57" s="34"/>
      </tp>
      <tp t="e">
        <v>#N/A</v>
        <stp/>
        <stp>BDH|5257159766842612842</stp>
        <tr r="J52" s="17"/>
      </tp>
      <tp t="e">
        <v>#N/A</v>
        <stp/>
        <stp>BDH|1244131512490938995</stp>
        <tr r="Q184" s="18"/>
      </tp>
      <tp t="e">
        <v>#N/A</v>
        <stp/>
        <stp>BDH|4136900713582923683</stp>
        <tr r="K79" s="12"/>
      </tp>
      <tp t="e">
        <v>#N/A</v>
        <stp/>
        <stp>BDH|7209965412313448414</stp>
        <tr r="H31" s="9"/>
      </tp>
      <tp t="e">
        <v>#N/A</v>
        <stp/>
        <stp>BDH|9715634749541744292</stp>
        <tr r="H12" s="18"/>
      </tp>
      <tp t="e">
        <v>#N/A</v>
        <stp/>
        <stp>BDH|3846774847001966920</stp>
        <tr r="Y77" s="17"/>
      </tp>
      <tp t="e">
        <v>#N/A</v>
        <stp/>
        <stp>BDH|4450695870758736592</stp>
        <tr r="Q20" s="18"/>
      </tp>
      <tp t="e">
        <v>#N/A</v>
        <stp/>
        <stp>BDH|8389720411511787743</stp>
        <tr r="R6" s="15"/>
        <tr r="R6" s="10"/>
        <tr r="R11" s="4"/>
        <tr r="R12" s="2"/>
      </tp>
      <tp t="e">
        <v>#N/A</v>
        <stp/>
        <stp>BDH|9972672554360173289</stp>
        <tr r="Z66" s="18"/>
      </tp>
      <tp t="e">
        <v>#N/A</v>
        <stp/>
        <stp>BDH|7074658686873766279</stp>
        <tr r="C42" s="6"/>
      </tp>
      <tp t="e">
        <v>#N/A</v>
        <stp/>
        <stp>BDH|7965045112267526998</stp>
        <tr r="C10" s="25"/>
        <tr r="C55" s="17"/>
      </tp>
      <tp t="e">
        <v>#N/A</v>
        <stp/>
        <stp>BDH|1518020910389009149</stp>
        <tr r="S204" s="18"/>
      </tp>
      <tp t="e">
        <v>#N/A</v>
        <stp/>
        <stp>BDH|6505569878238082488</stp>
        <tr r="V18" s="25"/>
      </tp>
      <tp t="e">
        <v>#N/A</v>
        <stp/>
        <stp>BDH|3915509976949895043</stp>
        <tr r="H97" s="18"/>
      </tp>
      <tp t="e">
        <v>#N/A</v>
        <stp/>
        <stp>BDH|3634263382942308322</stp>
        <tr r="C138" s="18"/>
      </tp>
      <tp t="e">
        <v>#N/A</v>
        <stp/>
        <stp>BDH|8721215597768329318</stp>
        <tr r="O10" s="11"/>
      </tp>
      <tp t="e">
        <v>#N/A</v>
        <stp/>
        <stp>BDH|4680761302259623274</stp>
        <tr r="E23" s="26"/>
      </tp>
      <tp t="e">
        <v>#N/A</v>
        <stp/>
        <stp>BDH|7772364584571636508</stp>
        <tr r="Z107" s="18"/>
      </tp>
      <tp t="e">
        <v>#N/A</v>
        <stp/>
        <stp>BDH|6342658780198130843</stp>
        <tr r="K22" s="12"/>
      </tp>
      <tp t="e">
        <v>#N/A</v>
        <stp/>
        <stp>BDH|8194271624382461250</stp>
        <tr r="AA47" s="24"/>
      </tp>
      <tp t="e">
        <v>#N/A</v>
        <stp/>
        <stp>BDH|5581836325456060100</stp>
        <tr r="S30" s="14"/>
      </tp>
      <tp t="e">
        <v>#N/A</v>
        <stp/>
        <stp>BDH|4061028512304307901</stp>
        <tr r="X71" s="17"/>
        <tr r="U8" s="9"/>
        <tr r="U8" s="5"/>
      </tp>
      <tp t="e">
        <v>#N/A</v>
        <stp/>
        <stp>BDH|4477376569240865919</stp>
        <tr r="C67" s="10"/>
      </tp>
      <tp t="e">
        <v>#N/A</v>
        <stp/>
        <stp>BDH|3200975591663287854</stp>
        <tr r="K19" s="26"/>
      </tp>
      <tp t="e">
        <v>#N/A</v>
        <stp/>
        <stp>BDH|9722197207975837520</stp>
        <tr r="I20" s="23"/>
      </tp>
      <tp t="e">
        <v>#N/A</v>
        <stp/>
        <stp>BDH|7631993429791010559</stp>
        <tr r="O32" s="9"/>
      </tp>
      <tp t="e">
        <v>#N/A</v>
        <stp/>
        <stp>BDH|8932400331345272299</stp>
        <tr r="N18" s="25"/>
      </tp>
      <tp t="e">
        <v>#N/A</v>
        <stp/>
        <stp>BDH|3719377715978088169</stp>
        <tr r="G32" s="9"/>
      </tp>
      <tp t="e">
        <v>#N/A</v>
        <stp/>
        <stp>BDH|4261514107439502028</stp>
        <tr r="P10" s="23"/>
      </tp>
      <tp t="e">
        <v>#N/A</v>
        <stp/>
        <stp>BDH|7473921240651767328</stp>
        <tr r="C50" s="21"/>
      </tp>
      <tp t="e">
        <v>#N/A</v>
        <stp/>
        <stp>BDH|2528907243003022459</stp>
        <tr r="J123" s="12"/>
      </tp>
      <tp t="e">
        <v>#N/A</v>
        <stp/>
        <stp>BDH|9097566122595181353</stp>
        <tr r="N67" s="13"/>
      </tp>
      <tp t="e">
        <v>#N/A</v>
        <stp/>
        <stp>BDH|1723953038144904730</stp>
        <tr r="I21" s="4"/>
      </tp>
      <tp t="e">
        <v>#N/A</v>
        <stp/>
        <stp>BDH|8076841370876071949</stp>
        <tr r="I10" s="21"/>
      </tp>
      <tp t="e">
        <v>#N/A</v>
        <stp/>
        <stp>BDH|8491133224225634658</stp>
        <tr r="I43" s="34"/>
      </tp>
      <tp t="e">
        <v>#N/A</v>
        <stp/>
        <stp>BDH|9140532415795465034</stp>
        <tr r="T9" s="20"/>
        <tr r="T119" s="18"/>
      </tp>
      <tp t="e">
        <v>#N/A</v>
        <stp/>
        <stp>BDH|1434946850555763075</stp>
        <tr r="S62" s="34"/>
      </tp>
      <tp t="e">
        <v>#N/A</v>
        <stp/>
        <stp>BDH|1595309933930598935</stp>
        <tr r="V67" s="13"/>
      </tp>
      <tp t="e">
        <v>#N/A</v>
        <stp/>
        <stp>BDH|3477505454712523952</stp>
        <tr r="L14" s="28"/>
      </tp>
      <tp t="e">
        <v>#N/A</v>
        <stp/>
        <stp>BDH|6123637173047979886</stp>
        <tr r="O8" s="20"/>
        <tr r="O118" s="18"/>
      </tp>
      <tp t="e">
        <v>#N/A</v>
        <stp/>
        <stp>BDH|9167906998307821615</stp>
        <tr r="C7" s="10"/>
      </tp>
      <tp t="e">
        <v>#N/A</v>
        <stp/>
        <stp>BDH|1027526849040242894</stp>
        <tr r="Y69" s="34"/>
      </tp>
      <tp t="e">
        <v>#N/A</v>
        <stp/>
        <stp>BDH|8315151322775638620</stp>
        <tr r="L14" s="11"/>
      </tp>
      <tp t="e">
        <v>#N/A</v>
        <stp/>
        <stp>BDH|8429985149724770923</stp>
        <tr r="R7" s="28"/>
      </tp>
      <tp t="e">
        <v>#N/A</v>
        <stp/>
        <stp>BDH|4731919404337692247</stp>
        <tr r="M78" s="17"/>
      </tp>
      <tp t="e">
        <v>#N/A</v>
        <stp/>
        <stp>BDH|6741276995182125746</stp>
        <tr r="G8" s="21"/>
      </tp>
      <tp t="e">
        <v>#N/A</v>
        <stp/>
        <stp>BDH|3821713510119802417</stp>
        <tr r="T6" s="16"/>
        <tr r="U6" s="11"/>
        <tr r="U10" s="4"/>
        <tr r="W6" s="3"/>
      </tp>
      <tp t="e">
        <v>#N/A</v>
        <stp/>
        <stp>BDH|6193254897757151228</stp>
        <tr r="Q10" s="17"/>
      </tp>
      <tp t="e">
        <v>#N/A</v>
        <stp/>
        <stp>BDH|4980478907951087996</stp>
        <tr r="U10" s="25"/>
        <tr r="U55" s="17"/>
      </tp>
      <tp t="e">
        <v>#N/A</v>
        <stp/>
        <stp>BDH|4164160465223606842</stp>
        <tr r="W73" s="18"/>
      </tp>
      <tp t="e">
        <v>#N/A</v>
        <stp/>
        <stp>BDH|6385206523666962898</stp>
        <tr r="Q125" s="12"/>
      </tp>
      <tp t="e">
        <v>#N/A</v>
        <stp/>
        <stp>BDH|4906212598753247427</stp>
        <tr r="V6" s="20"/>
        <tr r="V116" s="18"/>
      </tp>
      <tp t="e">
        <v>#N/A</v>
        <stp/>
        <stp>BDH|9466257051192655463</stp>
        <tr r="I38" s="12"/>
      </tp>
      <tp t="e">
        <v>#N/A</v>
        <stp/>
        <stp>BDH|4479036632637472819</stp>
        <tr r="X57" s="24"/>
      </tp>
      <tp t="e">
        <v>#N/A</v>
        <stp/>
        <stp>BDH|9596458622394731358</stp>
        <tr r="C90" s="12"/>
      </tp>
      <tp t="e">
        <v>#N/A</v>
        <stp/>
        <stp>BDH|3679702033408080750</stp>
        <tr r="Z10" s="21"/>
      </tp>
      <tp t="e">
        <v>#N/A</v>
        <stp/>
        <stp>BDH|2684724860248605326</stp>
        <tr r="X59" s="18"/>
      </tp>
      <tp t="e">
        <v>#N/A</v>
        <stp/>
        <stp>BDH|8979744729206283361</stp>
        <tr r="D25" s="10"/>
      </tp>
      <tp t="e">
        <v>#N/A</v>
        <stp/>
        <stp>BDH|3246662857989103124</stp>
        <tr r="E109" s="12"/>
      </tp>
      <tp t="e">
        <v>#N/A</v>
        <stp/>
        <stp>BDH|7422816440221051258</stp>
        <tr r="T144" s="18"/>
      </tp>
      <tp t="e">
        <v>#N/A</v>
        <stp/>
        <stp>BDH|6769758921102756941</stp>
        <tr r="R36" s="21"/>
      </tp>
      <tp t="e">
        <v>#N/A</v>
        <stp/>
        <stp>BDH|5180962017340509552</stp>
        <tr r="D131" s="18"/>
      </tp>
      <tp t="e">
        <v>#N/A</v>
        <stp/>
        <stp>BDH|8692763704682705537</stp>
        <tr r="V77" s="34"/>
      </tp>
      <tp t="e">
        <v>#N/A</v>
        <stp/>
        <stp>BDH|5199662644218517763</stp>
        <tr r="W27" s="34"/>
      </tp>
      <tp t="e">
        <v>#N/A</v>
        <stp/>
        <stp>BDH|5782898907211192486</stp>
        <tr r="E48" s="6"/>
      </tp>
      <tp t="e">
        <v>#N/A</v>
        <stp/>
        <stp>BDH|6098381059369614177</stp>
        <tr r="W62" s="12"/>
      </tp>
      <tp t="e">
        <v>#N/A</v>
        <stp/>
        <stp>BDH|6958687023762405868</stp>
        <tr r="Y102" s="18"/>
      </tp>
      <tp t="e">
        <v>#N/A</v>
        <stp/>
        <stp>BDH|6409258387722432620</stp>
        <tr r="N70" s="24"/>
      </tp>
      <tp t="e">
        <v>#N/A</v>
        <stp/>
        <stp>BDH|3899675181186808362</stp>
        <tr r="H15" s="25"/>
      </tp>
      <tp t="e">
        <v>#N/A</v>
        <stp/>
        <stp>BDH|1066142902568280047</stp>
        <tr r="X154" s="18"/>
      </tp>
      <tp t="e">
        <v>#N/A</v>
        <stp/>
        <stp>BDH|4112486282155920535</stp>
        <tr r="I14" s="13"/>
      </tp>
      <tp t="e">
        <v>#N/A</v>
        <stp/>
        <stp>BDH|3488940304607192546</stp>
        <tr r="I8" s="27"/>
      </tp>
      <tp t="e">
        <v>#N/A</v>
        <stp/>
        <stp>BDH|8265005601591643143</stp>
        <tr r="S124" s="12"/>
      </tp>
      <tp t="e">
        <v>#N/A</v>
        <stp/>
        <stp>BDH|1391115567277466908</stp>
        <tr r="O15" s="34"/>
      </tp>
      <tp t="e">
        <v>#N/A</v>
        <stp/>
        <stp>BDH|8761507031900086670</stp>
        <tr r="E30" s="24"/>
      </tp>
      <tp t="e">
        <v>#N/A</v>
        <stp/>
        <stp>BDH|3683959252645075200</stp>
        <tr r="O33" s="17"/>
      </tp>
      <tp t="e">
        <v>#N/A</v>
        <stp/>
        <stp>BDH|5676317884744148233</stp>
        <tr r="D34" s="9"/>
      </tp>
      <tp t="e">
        <v>#N/A</v>
        <stp/>
        <stp>BDH|7741864664201077046</stp>
        <tr r="V30" s="26"/>
      </tp>
      <tp t="e">
        <v>#N/A</v>
        <stp/>
        <stp>BDH|7688976231545216039</stp>
        <tr r="W32" s="22"/>
      </tp>
      <tp t="e">
        <v>#N/A</v>
        <stp/>
        <stp>BDH|2312860636359274807</stp>
        <tr r="E39" s="13"/>
        <tr r="C32" s="10"/>
      </tp>
      <tp t="e">
        <v>#N/A</v>
        <stp/>
        <stp>BDH|3326686562858963318</stp>
        <tr r="Z19" s="34"/>
      </tp>
      <tp t="e">
        <v>#N/A</v>
        <stp/>
        <stp>BDH|4803396017607356947</stp>
        <tr r="T22" s="22"/>
      </tp>
      <tp t="e">
        <v>#N/A</v>
        <stp/>
        <stp>BDH|6616533977825188920</stp>
        <tr r="W67" s="18"/>
      </tp>
      <tp t="e">
        <v>#N/A</v>
        <stp/>
        <stp>BDH|2117722844350738911</stp>
        <tr r="M9" s="24"/>
      </tp>
      <tp t="e">
        <v>#N/A</v>
        <stp/>
        <stp>BDH|4668688986486996401</stp>
        <tr r="C33" s="6"/>
      </tp>
      <tp t="e">
        <v>#N/A</v>
        <stp/>
        <stp>BDH|8619735205611995689</stp>
        <tr r="V26" s="21"/>
      </tp>
      <tp t="e">
        <v>#N/A</v>
        <stp/>
        <stp>BDH|3710281448554595939</stp>
        <tr r="J9" s="34"/>
      </tp>
      <tp t="e">
        <v>#N/A</v>
        <stp/>
        <stp>BDH|8571500260705106655</stp>
        <tr r="D182" s="18"/>
      </tp>
      <tp t="e">
        <v>#N/A</v>
        <stp/>
        <stp>BDH|7059926402274347220</stp>
        <tr r="W10" s="24"/>
      </tp>
      <tp t="e">
        <v>#N/A</v>
        <stp/>
        <stp>BDH|4707723300068119357</stp>
        <tr r="X6" s="27"/>
      </tp>
      <tp t="e">
        <v>#N/A</v>
        <stp/>
        <stp>BDH|2552250487564762412</stp>
        <tr r="K6" s="20"/>
        <tr r="K116" s="18"/>
      </tp>
      <tp t="e">
        <v>#N/A</v>
        <stp/>
        <stp>BDH|6373355241121277843</stp>
        <tr r="W8" s="14"/>
      </tp>
      <tp t="e">
        <v>#N/A</v>
        <stp/>
        <stp>BDH|9860188774610082757</stp>
        <tr r="V29" s="29"/>
        <tr r="V7" s="29"/>
      </tp>
      <tp t="e">
        <v>#N/A</v>
        <stp/>
        <stp>BDH|7301244667268067317</stp>
        <tr r="J41" s="11"/>
        <tr r="J50" s="10"/>
        <tr r="J8" s="7"/>
        <tr r="L11" s="3"/>
      </tp>
      <tp t="e">
        <v>#N/A</v>
        <stp/>
        <stp>BDH|7346984687399429796</stp>
        <tr r="H40" s="18"/>
      </tp>
      <tp t="e">
        <v>#N/A</v>
        <stp/>
        <stp>BDH|2839297363546405876</stp>
        <tr r="W14" s="23"/>
      </tp>
      <tp t="e">
        <v>#N/A</v>
        <stp/>
        <stp>BDH|6097680799607987691</stp>
        <tr r="Y14" s="12"/>
      </tp>
      <tp t="e">
        <v>#N/A</v>
        <stp/>
        <stp>BDH|7308272192662371645</stp>
        <tr r="U20" s="34"/>
      </tp>
      <tp t="e">
        <v>#N/A</v>
        <stp/>
        <stp>BDH|9860389671731354434</stp>
        <tr r="X42" s="24"/>
      </tp>
      <tp t="e">
        <v>#N/A</v>
        <stp/>
        <stp>BDH|2602637908849873541</stp>
        <tr r="V66" s="21"/>
        <tr r="S31" s="6"/>
      </tp>
      <tp t="e">
        <v>#N/A</v>
        <stp/>
        <stp>BDH|9232033019127881711</stp>
        <tr r="J25" s="17"/>
      </tp>
      <tp t="e">
        <v>#N/A</v>
        <stp/>
        <stp>BDH|3905287892072685247</stp>
        <tr r="X40" s="22"/>
      </tp>
      <tp t="e">
        <v>#N/A</v>
        <stp/>
        <stp>BDH|2700929890339543316</stp>
        <tr r="W43" s="29"/>
      </tp>
      <tp t="e">
        <v>#N/A</v>
        <stp/>
        <stp>BDH|6066107728228198582</stp>
        <tr r="P30" s="14"/>
      </tp>
      <tp t="e">
        <v>#N/A</v>
        <stp/>
        <stp>BDH|4094871927804688272</stp>
        <tr r="I33" s="11"/>
        <tr r="I42" s="10"/>
      </tp>
      <tp t="e">
        <v>#N/A</v>
        <stp/>
        <stp>BDH|3134845263914270152</stp>
        <tr r="X24" s="27"/>
      </tp>
      <tp t="e">
        <v>#N/A</v>
        <stp/>
        <stp>BDH|8921162679822614413</stp>
        <tr r="O11" s="7"/>
      </tp>
      <tp t="e">
        <v>#N/A</v>
        <stp/>
        <stp>BDH|9733749630510466563</stp>
        <tr r="D14" s="8"/>
      </tp>
      <tp t="e">
        <v>#N/A</v>
        <stp/>
        <stp>BDH|5334843636954858286</stp>
        <tr r="Y81" s="24"/>
      </tp>
      <tp t="e">
        <v>#N/A</v>
        <stp/>
        <stp>BDH|1632893399960377843</stp>
        <tr r="M28" s="22"/>
      </tp>
      <tp t="e">
        <v>#N/A</v>
        <stp/>
        <stp>BDH|8814806011911978815</stp>
        <tr r="AA24" s="13"/>
      </tp>
      <tp t="e">
        <v>#N/A</v>
        <stp/>
        <stp>BDH|1680503485934498067</stp>
        <tr r="C77" s="12"/>
      </tp>
      <tp t="e">
        <v>#N/A</v>
        <stp/>
        <stp>BDH|3561872742892316521</stp>
        <tr r="G10" s="11"/>
      </tp>
      <tp t="e">
        <v>#N/A</v>
        <stp/>
        <stp>BDH|7888752345259926505</stp>
        <tr r="C84" s="12"/>
      </tp>
      <tp t="e">
        <v>#N/A</v>
        <stp/>
        <stp>BDH|9543613742176782500</stp>
        <tr r="Y8" s="23"/>
      </tp>
      <tp t="e">
        <v>#N/A</v>
        <stp/>
        <stp>BDH|7017548437939076056</stp>
        <tr r="J51" s="21"/>
      </tp>
      <tp t="e">
        <v>#N/A</v>
        <stp/>
        <stp>BDH|9096410377982725073</stp>
        <tr r="Q26" s="17"/>
      </tp>
      <tp t="e">
        <v>#N/A</v>
        <stp/>
        <stp>BDH|1560516982400577453</stp>
        <tr r="C15" s="13"/>
      </tp>
      <tp t="e">
        <v>#N/A</v>
        <stp/>
        <stp>BDH|4536240495852599572</stp>
        <tr r="L7" s="30"/>
      </tp>
      <tp t="e">
        <v>#N/A</v>
        <stp/>
        <stp>BDH|1410353093521540210</stp>
        <tr r="U41" s="17"/>
      </tp>
      <tp t="e">
        <v>#N/A</v>
        <stp/>
        <stp>BDH|8784946915989537157</stp>
        <tr r="F24" s="18"/>
      </tp>
      <tp t="e">
        <v>#N/A</v>
        <stp/>
        <stp>BDH|8551667647046360417</stp>
        <tr r="H60" s="34"/>
      </tp>
      <tp t="e">
        <v>#N/A</v>
        <stp/>
        <stp>BDH|5827936399305658821</stp>
        <tr r="S77" s="18"/>
      </tp>
      <tp t="e">
        <v>#N/A</v>
        <stp/>
        <stp>BDH|9996154946543921759</stp>
        <tr r="O184" s="18"/>
      </tp>
      <tp t="e">
        <v>#N/A</v>
        <stp/>
        <stp>BDH|2546912748587362096</stp>
        <tr r="K38" s="34"/>
      </tp>
      <tp t="e">
        <v>#N/A</v>
        <stp/>
        <stp>BDH|3169633345559231031</stp>
        <tr r="Y40" s="13"/>
        <tr r="W24" s="10"/>
        <tr r="W46" s="4"/>
      </tp>
      <tp t="e">
        <v>#N/A</v>
        <stp/>
        <stp>BDH|5144310874371045821</stp>
        <tr r="P32" s="21"/>
      </tp>
      <tp t="e">
        <v>#N/A</v>
        <stp/>
        <stp>BDH|2106972242256716154</stp>
        <tr r="Z26" s="27"/>
      </tp>
      <tp t="e">
        <v>#N/A</v>
        <stp/>
        <stp>BDH|7353477462615305831</stp>
        <tr r="U51" s="17"/>
      </tp>
      <tp t="e">
        <v>#N/A</v>
        <stp/>
        <stp>BDH|3797699968092967992</stp>
        <tr r="T8" s="10"/>
      </tp>
      <tp t="e">
        <v>#N/A</v>
        <stp/>
        <stp>BDH|1285647862068338118</stp>
        <tr r="E58" s="17"/>
      </tp>
      <tp t="e">
        <v>#N/A</v>
        <stp/>
        <stp>BDH|2608463571731470837</stp>
        <tr r="Q16" s="12"/>
      </tp>
      <tp t="e">
        <v>#N/A</v>
        <stp/>
        <stp>BDH|6685867430776289344</stp>
        <tr r="X62" s="34"/>
      </tp>
      <tp t="e">
        <v>#N/A</v>
        <stp/>
        <stp>BDH|2966784099273829766</stp>
        <tr r="R20" s="10"/>
      </tp>
      <tp t="e">
        <v>#N/A</v>
        <stp/>
        <stp>BDH|9584930241559309529</stp>
        <tr r="T48" s="13"/>
      </tp>
      <tp t="e">
        <v>#N/A</v>
        <stp/>
        <stp>BDH|4627726090855287703</stp>
        <tr r="J63" s="24"/>
      </tp>
      <tp t="e">
        <v>#N/A</v>
        <stp/>
        <stp>BDH|7794857762806116770</stp>
        <tr r="W29" s="18"/>
      </tp>
      <tp t="e">
        <v>#N/A</v>
        <stp/>
        <stp>BDH|2286458982271729747</stp>
        <tr r="AA124" s="18"/>
      </tp>
      <tp t="e">
        <v>#N/A</v>
        <stp/>
        <stp>BDH|5248002346618325115</stp>
        <tr r="I187" s="18"/>
      </tp>
      <tp t="e">
        <v>#N/A</v>
        <stp/>
        <stp>BDH|8375306144175665270</stp>
        <tr r="L18" s="12"/>
      </tp>
      <tp t="e">
        <v>#N/A</v>
        <stp/>
        <stp>BDH|1507863811188155851</stp>
        <tr r="L142" s="18"/>
      </tp>
      <tp t="e">
        <v>#N/A</v>
        <stp/>
        <stp>BDH|3045853824140342144</stp>
        <tr r="F33" s="24"/>
      </tp>
      <tp t="e">
        <v>#N/A</v>
        <stp/>
        <stp>BDH|1715014296847740711</stp>
        <tr r="Z14" s="23"/>
      </tp>
      <tp t="e">
        <v>#N/A</v>
        <stp/>
        <stp>BDH|2242878605236664400</stp>
        <tr r="S46" s="6"/>
        <tr r="S19" s="5"/>
      </tp>
      <tp t="e">
        <v>#N/A</v>
        <stp/>
        <stp>BDH|4618625253816304924</stp>
        <tr r="I207" s="18"/>
      </tp>
      <tp t="e">
        <v>#N/A</v>
        <stp/>
        <stp>BDH|9711518321232087418</stp>
        <tr r="M21" s="2"/>
      </tp>
      <tp t="e">
        <v>#N/A</v>
        <stp/>
        <stp>BDH|6067752675969038765</stp>
        <tr r="W20" s="26"/>
      </tp>
      <tp t="e">
        <v>#N/A</v>
        <stp/>
        <stp>BDH|9368027701948703913</stp>
        <tr r="X31" s="17"/>
      </tp>
      <tp t="e">
        <v>#N/A</v>
        <stp/>
        <stp>BDH|9788011027036259556</stp>
        <tr r="J83" s="18"/>
      </tp>
      <tp t="e">
        <v>#N/A</v>
        <stp/>
        <stp>BDH|7277440474614198852</stp>
        <tr r="K78" s="17"/>
      </tp>
      <tp t="e">
        <v>#N/A</v>
        <stp/>
        <stp>BDH|3697997223020320091</stp>
        <tr r="AA53" s="12"/>
      </tp>
      <tp t="e">
        <v>#N/A</v>
        <stp/>
        <stp>BDH|1173439561803092853</stp>
        <tr r="H44" s="11"/>
        <tr r="H53" s="10"/>
        <tr r="H16" s="7"/>
      </tp>
      <tp t="e">
        <v>#N/A</v>
        <stp/>
        <stp>BDH|6873674780167886716</stp>
        <tr r="H60" s="21"/>
        <tr r="F54" s="11"/>
      </tp>
      <tp t="e">
        <v>#N/A</v>
        <stp/>
        <stp>BDH|4457866466021296306</stp>
        <tr r="I30" s="17"/>
      </tp>
      <tp t="e">
        <v>#N/A</v>
        <stp/>
        <stp>BDH|7976826371802866243</stp>
        <tr r="P25" s="24"/>
      </tp>
      <tp t="e">
        <v>#N/A</v>
        <stp/>
        <stp>BDH|8286113183198644102</stp>
        <tr r="F35" s="17"/>
      </tp>
      <tp t="e">
        <v>#N/A</v>
        <stp/>
        <stp>BDH|5098162290470491549</stp>
        <tr r="W53" s="21"/>
      </tp>
      <tp t="e">
        <v>#N/A</v>
        <stp/>
        <stp>BDH|4400814915082139778</stp>
        <tr r="G89" s="12"/>
      </tp>
      <tp t="e">
        <v>#N/A</v>
        <stp/>
        <stp>BDH|5582352616578579757</stp>
        <tr r="C6" s="19"/>
        <tr r="C37" s="17"/>
        <tr r="C16" s="3"/>
      </tp>
      <tp t="e">
        <v>#N/A</v>
        <stp/>
        <stp>BDH|8137157374801005762</stp>
        <tr r="Q58" s="24"/>
      </tp>
      <tp t="e">
        <v>#N/A</v>
        <stp/>
        <stp>BDH|5725766375029722447</stp>
        <tr r="F97" s="12"/>
      </tp>
      <tp t="e">
        <v>#N/A</v>
        <stp/>
        <stp>BDH|5625702579918801508</stp>
        <tr r="U26" s="11"/>
        <tr r="U35" s="10"/>
      </tp>
      <tp t="e">
        <v>#N/A</v>
        <stp/>
        <stp>BDH|1792030270966194828</stp>
        <tr r="Q38" s="12"/>
      </tp>
      <tp t="e">
        <v>#N/A</v>
        <stp/>
        <stp>BDH|3918844967606962344</stp>
        <tr r="L33" s="13"/>
        <tr r="J26" s="10"/>
      </tp>
      <tp t="e">
        <v>#N/A</v>
        <stp/>
        <stp>BDH|7853850124482652785</stp>
        <tr r="V208" s="18"/>
      </tp>
      <tp t="e">
        <v>#N/A</v>
        <stp/>
        <stp>BDH|8771102780371558852</stp>
        <tr r="C71" s="24"/>
      </tp>
      <tp t="e">
        <v>#N/A</v>
        <stp/>
        <stp>BDH|5023806044368011936</stp>
        <tr r="Z17" s="22"/>
      </tp>
      <tp t="e">
        <v>#N/A</v>
        <stp/>
        <stp>BDH|4064452291735060435</stp>
        <tr r="J17" s="6"/>
      </tp>
      <tp t="e">
        <v>#N/A</v>
        <stp/>
        <stp>BDH|7411536130659332032</stp>
        <tr r="O9" s="23"/>
      </tp>
      <tp t="e">
        <v>#N/A</v>
        <stp/>
        <stp>BDH|7182528096642330116</stp>
        <tr r="T7" s="23"/>
      </tp>
      <tp t="e">
        <v>#N/A</v>
        <stp/>
        <stp>BDH|5593771517129784252</stp>
        <tr r="R8" s="10"/>
      </tp>
      <tp t="e">
        <v>#N/A</v>
        <stp/>
        <stp>BDH|6942072014266876950</stp>
        <tr r="Q30" s="11"/>
        <tr r="Q39" s="10"/>
      </tp>
      <tp t="e">
        <v>#N/A</v>
        <stp/>
        <stp>BDH|2499118717022510803</stp>
        <tr r="Z102" s="18"/>
      </tp>
      <tp t="e">
        <v>#N/A</v>
        <stp/>
        <stp>BDH|1721420988136936333</stp>
        <tr r="G25" s="29"/>
        <tr r="G19" s="29"/>
        <tr r="G10" s="29"/>
        <tr r="E6" s="9"/>
        <tr r="G12" s="8"/>
        <tr r="E6" s="5"/>
        <tr r="F6" s="2"/>
      </tp>
      <tp t="e">
        <v>#N/A</v>
        <stp/>
        <stp>BDH|1218661876799163142</stp>
        <tr r="N60" s="18"/>
      </tp>
      <tp t="e">
        <v>#N/A</v>
        <stp/>
        <stp>BDH|4308072661083310911</stp>
        <tr r="N15" s="5"/>
      </tp>
      <tp t="e">
        <v>#N/A</v>
        <stp/>
        <stp>BDH|7152903650610374355</stp>
        <tr r="Y43" s="17"/>
      </tp>
      <tp t="e">
        <v>#N/A</v>
        <stp/>
        <stp>BDH|1718745383343343541</stp>
        <tr r="R64" s="11"/>
        <tr r="R73" s="10"/>
      </tp>
      <tp t="e">
        <v>#N/A</v>
        <stp/>
        <stp>BDH|9017959043918209433</stp>
        <tr r="K74" s="34"/>
      </tp>
      <tp t="e">
        <v>#N/A</v>
        <stp/>
        <stp>BDH|2632370811490373845</stp>
        <tr r="K40" s="17"/>
      </tp>
      <tp t="e">
        <v>#N/A</v>
        <stp/>
        <stp>BDH|7640880475092565297</stp>
        <tr r="V92" s="17"/>
      </tp>
      <tp t="e">
        <v>#N/A</v>
        <stp/>
        <stp>BDH|8512661052082160173</stp>
        <tr r="K55" s="13"/>
        <tr r="I37" s="11"/>
        <tr r="I46" s="10"/>
        <tr r="I53" s="4"/>
        <tr r="I18" s="2"/>
      </tp>
      <tp t="e">
        <v>#N/A</v>
        <stp/>
        <stp>BDH|9003271335245409517</stp>
        <tr r="I8" s="18"/>
      </tp>
      <tp t="e">
        <v>#N/A</v>
        <stp/>
        <stp>BDH|7157876291558948696</stp>
        <tr r="I60" s="13"/>
      </tp>
      <tp t="e">
        <v>#N/A</v>
        <stp/>
        <stp>BDH|2783246760778782636</stp>
        <tr r="Y144" s="18"/>
      </tp>
      <tp t="e">
        <v>#N/A</v>
        <stp/>
        <stp>BDH|2824033197033344082</stp>
        <tr r="F75" s="12"/>
      </tp>
      <tp t="e">
        <v>#N/A</v>
        <stp/>
        <stp>BDH|1930655517797530995</stp>
        <tr r="N24" s="13"/>
      </tp>
      <tp t="e">
        <v>#N/A</v>
        <stp/>
        <stp>BDH|5890283686336371128</stp>
        <tr r="J113" s="18"/>
      </tp>
      <tp t="e">
        <v>#N/A</v>
        <stp/>
        <stp>BDH|5473877662171524235</stp>
        <tr r="M33" s="5"/>
      </tp>
      <tp t="e">
        <v>#N/A</v>
        <stp/>
        <stp>BDH|2005194536278950015</stp>
        <tr r="Y25" s="21"/>
      </tp>
      <tp t="e">
        <v>#N/A</v>
        <stp/>
        <stp>BDH|2708754432779571722</stp>
        <tr r="F68" s="17"/>
      </tp>
      <tp t="e">
        <v>#N/A</v>
        <stp/>
        <stp>BDH|2595785693354944002</stp>
        <tr r="J17" s="24"/>
      </tp>
      <tp t="e">
        <v>#N/A</v>
        <stp/>
        <stp>BDH|5070491989776614718</stp>
        <tr r="V107" s="12"/>
      </tp>
      <tp t="e">
        <v>#N/A</v>
        <stp/>
        <stp>BDH|8696002617420107174</stp>
        <tr r="T52" s="18"/>
      </tp>
      <tp t="e">
        <v>#N/A</v>
        <stp/>
        <stp>BDH|5603034895146079279</stp>
        <tr r="E35" s="17"/>
      </tp>
      <tp t="e">
        <v>#N/A</v>
        <stp/>
        <stp>BDH|6299174466438163154</stp>
        <tr r="W42" s="22"/>
      </tp>
      <tp t="e">
        <v>#N/A</v>
        <stp/>
        <stp>BDH|8344477100771670559</stp>
        <tr r="S13" s="20"/>
        <tr r="S122" s="18"/>
      </tp>
      <tp t="e">
        <v>#N/A</v>
        <stp/>
        <stp>BDH|5064814750850195079</stp>
        <tr r="E38" s="26"/>
      </tp>
      <tp t="e">
        <v>#N/A</v>
        <stp/>
        <stp>BDH|7552846957261023319</stp>
        <tr r="E42" s="34"/>
      </tp>
      <tp t="e">
        <v>#N/A</v>
        <stp/>
        <stp>BDH|2992914738558654810</stp>
        <tr r="P168" s="18"/>
      </tp>
      <tp t="e">
        <v>#N/A</v>
        <stp/>
        <stp>BDH|9083823895457439741</stp>
        <tr r="E56" s="34"/>
      </tp>
      <tp t="e">
        <v>#N/A</v>
        <stp/>
        <stp>BDH|2876946103136982514</stp>
        <tr r="U105" s="18"/>
      </tp>
      <tp t="e">
        <v>#N/A</v>
        <stp/>
        <stp>BDH|4922706796803905110</stp>
        <tr r="M53" s="21"/>
      </tp>
      <tp t="e">
        <v>#N/A</v>
        <stp/>
        <stp>BDH|8245966401189279008</stp>
        <tr r="E142" s="18"/>
      </tp>
      <tp t="e">
        <v>#N/A</v>
        <stp/>
        <stp>BDH|5035873446940156170</stp>
        <tr r="W53" s="13"/>
      </tp>
      <tp t="e">
        <v>#N/A</v>
        <stp/>
        <stp>BDH|9434292215904672690</stp>
        <tr r="AA60" s="13"/>
      </tp>
      <tp t="e">
        <v>#N/A</v>
        <stp/>
        <stp>BDH|1258414304595938898</stp>
        <tr r="H22" s="17"/>
        <tr r="H15" s="3"/>
      </tp>
      <tp t="e">
        <v>#N/A</v>
        <stp/>
        <stp>BDH|3639821315894757611</stp>
        <tr r="F183" s="18"/>
      </tp>
      <tp t="e">
        <v>#N/A</v>
        <stp/>
        <stp>BDH|1658636580830023727</stp>
        <tr r="H32" s="17"/>
      </tp>
      <tp t="e">
        <v>#N/A</v>
        <stp/>
        <stp>BDH|9578692230945241196</stp>
        <tr r="S10" s="22"/>
      </tp>
      <tp t="e">
        <v>#N/A</v>
        <stp/>
        <stp>BDH|5488735164945225957</stp>
        <tr r="J24" s="17"/>
      </tp>
      <tp t="e">
        <v>#N/A</v>
        <stp/>
        <stp>BDH|7888809332375825161</stp>
        <tr r="Y81" s="17"/>
      </tp>
      <tp t="e">
        <v>#N/A</v>
        <stp/>
        <stp>BDH|8304579294409043549</stp>
        <tr r="Q60" s="21"/>
        <tr r="O54" s="11"/>
      </tp>
      <tp t="e">
        <v>#N/A</v>
        <stp/>
        <stp>BDH|9150642620224503145</stp>
        <tr r="Z13" s="18"/>
      </tp>
      <tp t="e">
        <v>#N/A</v>
        <stp/>
        <stp>BDH|4642395547512807944</stp>
        <tr r="H17" s="18"/>
      </tp>
      <tp t="e">
        <v>#N/A</v>
        <stp/>
        <stp>BDH|7805006549782354964</stp>
        <tr r="C9" s="3"/>
      </tp>
      <tp t="e">
        <v>#N/A</v>
        <stp/>
        <stp>BDH|4310853400717128337</stp>
        <tr r="Y45" s="18"/>
      </tp>
      <tp t="e">
        <v>#N/A</v>
        <stp/>
        <stp>BDH|9235082255476826234</stp>
        <tr r="V56" s="18"/>
      </tp>
      <tp t="e">
        <v>#N/A</v>
        <stp/>
        <stp>BDH|1946248113908330295</stp>
        <tr r="T32" s="22"/>
      </tp>
      <tp t="e">
        <v>#N/A</v>
        <stp/>
        <stp>BDH|9415126940791355516</stp>
        <tr r="P26" s="11"/>
        <tr r="P35" s="10"/>
      </tp>
      <tp t="e">
        <v>#N/A</v>
        <stp/>
        <stp>BDH|3662847198422872861</stp>
        <tr r="W23" s="22"/>
      </tp>
      <tp t="e">
        <v>#N/A</v>
        <stp/>
        <stp>BDH|3614427860620669964</stp>
        <tr r="R28" s="21"/>
      </tp>
      <tp t="e">
        <v>#N/A</v>
        <stp/>
        <stp>BDH|7966241209454986999</stp>
        <tr r="X10" s="24"/>
      </tp>
      <tp t="e">
        <v>#N/A</v>
        <stp/>
        <stp>BDH|3304865210276417453</stp>
        <tr r="Q11" s="18"/>
      </tp>
      <tp t="e">
        <v>#N/A</v>
        <stp/>
        <stp>BDH|2053778297195298160</stp>
        <tr r="W45" s="18"/>
      </tp>
      <tp t="e">
        <v>#N/A</v>
        <stp/>
        <stp>BDH|6755656890651746014</stp>
        <tr r="T12" s="18"/>
      </tp>
      <tp t="e">
        <v>#N/A</v>
        <stp/>
        <stp>BDH|3011306630648137356</stp>
        <tr r="U30" s="34"/>
      </tp>
      <tp t="e">
        <v>#N/A</v>
        <stp/>
        <stp>BDH|7380958869989396984</stp>
        <tr r="C94" s="24"/>
      </tp>
      <tp t="e">
        <v>#N/A</v>
        <stp/>
        <stp>BDH|5573928076854306763</stp>
        <tr r="O65" s="18"/>
      </tp>
      <tp t="e">
        <v>#N/A</v>
        <stp/>
        <stp>BDH|5558252892673026567</stp>
        <tr r="Z44" s="18"/>
      </tp>
      <tp t="e">
        <v>#N/A</v>
        <stp/>
        <stp>BDH|1262298384165338688</stp>
        <tr r="G31" s="21"/>
      </tp>
      <tp t="e">
        <v>#N/A</v>
        <stp/>
        <stp>BDH|3821325914081948837</stp>
        <tr r="D81" s="12"/>
      </tp>
      <tp t="e">
        <v>#N/A</v>
        <stp/>
        <stp>BDH|8526174363775578202</stp>
        <tr r="F69" s="24"/>
      </tp>
      <tp t="e">
        <v>#N/A</v>
        <stp/>
        <stp>BDH|9810094606186438771</stp>
        <tr r="K7" s="14"/>
      </tp>
      <tp t="e">
        <v>#N/A</v>
        <stp/>
        <stp>BDH|3052672497613667721</stp>
        <tr r="X30" s="22"/>
      </tp>
      <tp t="e">
        <v>#N/A</v>
        <stp/>
        <stp>BDH|9443765060619681909</stp>
        <tr r="Q190" s="18"/>
      </tp>
      <tp t="e">
        <v>#N/A</v>
        <stp/>
        <stp>BDH|1130654932228515472</stp>
        <tr r="M21" s="20"/>
      </tp>
      <tp t="e">
        <v>#N/A</v>
        <stp/>
        <stp>BDH|3184403985647916095</stp>
        <tr r="E7" s="9"/>
        <tr r="E7" s="5"/>
        <tr r="H14" s="3"/>
        <tr r="F7" s="2"/>
      </tp>
      <tp t="e">
        <v>#N/A</v>
        <stp/>
        <stp>BDH|4615852064381714348</stp>
        <tr r="P20" s="34"/>
      </tp>
      <tp t="e">
        <v>#N/A</v>
        <stp/>
        <stp>BDH|1670928277961780606</stp>
        <tr r="H6" s="28"/>
      </tp>
      <tp t="e">
        <v>#N/A</v>
        <stp/>
        <stp>BDH|5451023712909240523</stp>
        <tr r="C117" s="12"/>
      </tp>
      <tp t="e">
        <v>#N/A</v>
        <stp/>
        <stp>BDH|9308213094088537278</stp>
        <tr r="F26" s="7"/>
      </tp>
      <tp t="e">
        <v>#N/A</v>
        <stp/>
        <stp>BDH|9389353436316602720</stp>
        <tr r="W65" s="21"/>
        <tr r="U23" s="7"/>
      </tp>
      <tp t="e">
        <v>#N/A</v>
        <stp/>
        <stp>BDH|5751978760772310070</stp>
        <tr r="N29" s="13"/>
        <tr r="N16" s="13"/>
        <tr r="L17" s="10"/>
      </tp>
      <tp t="e">
        <v>#N/A</v>
        <stp/>
        <stp>BDH|7312373297600383547</stp>
        <tr r="P38" s="24"/>
      </tp>
      <tp t="e">
        <v>#N/A</v>
        <stp/>
        <stp>BDH|8576146383961629801</stp>
        <tr r="W22" s="21"/>
      </tp>
      <tp t="e">
        <v>#N/A</v>
        <stp/>
        <stp>BDH|5284999699268594530</stp>
        <tr r="N63" s="10"/>
      </tp>
      <tp t="e">
        <v>#N/A</v>
        <stp/>
        <stp>BDH|1078483588975546013</stp>
        <tr r="W13" s="34"/>
      </tp>
      <tp t="e">
        <v>#N/A</v>
        <stp/>
        <stp>BDH|6130516052489636708</stp>
        <tr r="X32" s="22"/>
      </tp>
      <tp t="e">
        <v>#N/A</v>
        <stp/>
        <stp>BDH|3005616902944741901</stp>
        <tr r="R61" s="34"/>
      </tp>
      <tp t="e">
        <v>#N/A</v>
        <stp/>
        <stp>BDH|5282940643633248337</stp>
        <tr r="E31" s="9"/>
      </tp>
      <tp t="e">
        <v>#N/A</v>
        <stp/>
        <stp>BDH|7432689236193700996</stp>
        <tr r="U156" s="18"/>
      </tp>
      <tp t="e">
        <v>#N/A</v>
        <stp/>
        <stp>BDH|5666479585317439642</stp>
        <tr r="C20" s="24"/>
      </tp>
      <tp t="e">
        <v>#N/A</v>
        <stp/>
        <stp>BDH|6237068541273915984</stp>
        <tr r="Y30" s="11"/>
        <tr r="Y39" s="10"/>
      </tp>
      <tp t="e">
        <v>#N/A</v>
        <stp/>
        <stp>BDH|4814943504162988757</stp>
        <tr r="Y34" s="25"/>
        <tr r="Y93" s="17"/>
      </tp>
      <tp t="e">
        <v>#N/A</v>
        <stp/>
        <stp>BDH|8126130525705224618</stp>
        <tr r="X9" s="10"/>
      </tp>
      <tp t="e">
        <v>#N/A</v>
        <stp/>
        <stp>BDH|3165686618835623935</stp>
        <tr r="X26" s="21"/>
      </tp>
      <tp t="e">
        <v>#N/A</v>
        <stp/>
        <stp>BDH|3093498948818025354</stp>
        <tr r="M117" s="12"/>
      </tp>
      <tp t="e">
        <v>#N/A</v>
        <stp/>
        <stp>BDH|8231643153025123613</stp>
        <tr r="L65" s="10"/>
        <tr r="L25" s="4"/>
      </tp>
      <tp t="e">
        <v>#N/A</v>
        <stp/>
        <stp>BDH|9074025726715871693</stp>
        <tr r="R43" s="17"/>
      </tp>
      <tp t="e">
        <v>#N/A</v>
        <stp/>
        <stp>BDH|8256220731230776130</stp>
        <tr r="O178" s="18"/>
      </tp>
      <tp t="e">
        <v>#N/A</v>
        <stp/>
        <stp>BDH|1455305508698967200</stp>
        <tr r="C45" s="24"/>
      </tp>
      <tp t="e">
        <v>#N/A</v>
        <stp/>
        <stp>BDH|4081231066988761076</stp>
        <tr r="V103" s="18"/>
      </tp>
      <tp t="e">
        <v>#N/A</v>
        <stp/>
        <stp>BDH|5239154538459250685</stp>
        <tr r="U64" s="24"/>
      </tp>
      <tp t="e">
        <v>#N/A</v>
        <stp/>
        <stp>BDH|2033830577582555740</stp>
        <tr r="G137" s="18"/>
      </tp>
      <tp t="e">
        <v>#N/A</v>
        <stp/>
        <stp>BDH|3012344796149017877</stp>
        <tr r="H93" s="18"/>
      </tp>
      <tp t="e">
        <v>#N/A</v>
        <stp/>
        <stp>BDH|5160686415558977200</stp>
        <tr r="M36" s="12"/>
      </tp>
      <tp t="e">
        <v>#N/A</v>
        <stp/>
        <stp>BDH|7654719587421221178</stp>
        <tr r="N60" s="11"/>
      </tp>
      <tp t="e">
        <v>#N/A</v>
        <stp/>
        <stp>BDH|2597213566856094879</stp>
        <tr r="Y7" s="34"/>
      </tp>
      <tp t="e">
        <v>#N/A</v>
        <stp/>
        <stp>BDH|6559508481905941682</stp>
        <tr r="N28" s="24"/>
      </tp>
      <tp t="e">
        <v>#N/A</v>
        <stp/>
        <stp>BDH|8221529761682566119</stp>
        <tr r="M53" s="17"/>
      </tp>
      <tp t="e">
        <v>#N/A</v>
        <stp/>
        <stp>BDH|7733526635311104843</stp>
        <tr r="C12" s="12"/>
      </tp>
      <tp t="e">
        <v>#N/A</v>
        <stp/>
        <stp>BDH|2925990089362401984</stp>
        <tr r="G19" s="9"/>
      </tp>
      <tp t="e">
        <v>#N/A</v>
        <stp/>
        <stp>BDH|8788788345723624090</stp>
        <tr r="T32" s="6"/>
      </tp>
      <tp t="e">
        <v>#N/A</v>
        <stp/>
        <stp>BDH|5789515931289522278</stp>
        <tr r="V11" s="9"/>
      </tp>
      <tp t="e">
        <v>#N/A</v>
        <stp/>
        <stp>BDH|3528106483965286711</stp>
        <tr r="Q37" s="25"/>
        <tr r="Q59" s="21"/>
        <tr r="O53" s="11"/>
        <tr r="O31" s="4"/>
      </tp>
      <tp t="e">
        <v>#N/A</v>
        <stp/>
        <stp>BDH|5894817846394308599</stp>
        <tr r="AA195" s="18"/>
      </tp>
      <tp t="e">
        <v>#N/A</v>
        <stp/>
        <stp>BDH|8390015121535386756</stp>
        <tr r="M35" s="26"/>
      </tp>
      <tp t="e">
        <v>#N/A</v>
        <stp/>
        <stp>BDH|5102195656101361885</stp>
        <tr r="R44" s="24"/>
      </tp>
      <tp t="e">
        <v>#N/A</v>
        <stp/>
        <stp>BDH|7459297988005836086</stp>
        <tr r="E10" s="10"/>
      </tp>
      <tp t="e">
        <v>#N/A</v>
        <stp/>
        <stp>BDH|8704524655294197449</stp>
        <tr r="W57" s="17"/>
      </tp>
      <tp t="e">
        <v>#N/A</v>
        <stp/>
        <stp>BDH|4326336949852837949</stp>
        <tr r="L34" s="22"/>
      </tp>
      <tp t="e">
        <v>#N/A</v>
        <stp/>
        <stp>BDH|8635921598770895015</stp>
        <tr r="Q74" s="34"/>
      </tp>
      <tp t="e">
        <v>#N/A</v>
        <stp/>
        <stp>BDH|3907594694944361323</stp>
        <tr r="W64" s="18"/>
      </tp>
      <tp t="e">
        <v>#N/A</v>
        <stp/>
        <stp>BDH|6838521999141298342</stp>
        <tr r="P96" s="12"/>
      </tp>
      <tp t="e">
        <v>#N/A</v>
        <stp/>
        <stp>BDH|8211024335934041703</stp>
        <tr r="U22" s="30"/>
        <tr r="U24" s="23"/>
      </tp>
      <tp t="e">
        <v>#N/A</v>
        <stp/>
        <stp>BDH|8983287049345514386</stp>
        <tr r="V50" s="4"/>
      </tp>
      <tp t="e">
        <v>#N/A</v>
        <stp/>
        <stp>BDH|1238274338981816905</stp>
        <tr r="W48" s="6"/>
      </tp>
      <tp t="e">
        <v>#N/A</v>
        <stp/>
        <stp>BDH|3092405681143727435</stp>
        <tr r="U175" s="18"/>
      </tp>
      <tp t="e">
        <v>#N/A</v>
        <stp/>
        <stp>BDH|8417534701862531763</stp>
        <tr r="Q9" s="22"/>
      </tp>
      <tp t="e">
        <v>#N/A</v>
        <stp/>
        <stp>BDH|9095298862395965079</stp>
        <tr r="S119" s="12"/>
      </tp>
      <tp t="e">
        <v>#N/A</v>
        <stp/>
        <stp>BDH|7181419854318891696</stp>
        <tr r="F100" s="12"/>
      </tp>
      <tp t="e">
        <v>#N/A</v>
        <stp/>
        <stp>BDH|1743033608199826019</stp>
        <tr r="L40" s="18"/>
      </tp>
      <tp t="e">
        <v>#N/A</v>
        <stp/>
        <stp>BDH|5290537784381894189</stp>
        <tr r="Q12" s="10"/>
      </tp>
      <tp t="e">
        <v>#N/A</v>
        <stp/>
        <stp>BDH|5443360295956250107</stp>
        <tr r="T9" s="21"/>
      </tp>
      <tp t="e">
        <v>#N/A</v>
        <stp/>
        <stp>BDH|3230164844979412710</stp>
        <tr r="X14" s="28"/>
      </tp>
      <tp t="e">
        <v>#N/A</v>
        <stp/>
        <stp>BDH|5084503873376345953</stp>
        <tr r="U30" s="11"/>
        <tr r="U39" s="10"/>
      </tp>
      <tp t="e">
        <v>#N/A</v>
        <stp/>
        <stp>BDH|8839648198537333822</stp>
        <tr r="K155" s="18"/>
      </tp>
      <tp t="e">
        <v>#N/A</v>
        <stp/>
        <stp>BDH|6864487311262093944</stp>
        <tr r="AA34" s="13"/>
        <tr r="Y27" s="10"/>
      </tp>
      <tp t="e">
        <v>#N/A</v>
        <stp/>
        <stp>BDH|77785235485888425</stp>
        <tr r="D69" s="24"/>
      </tp>
      <tp t="e">
        <v>#N/A</v>
        <stp/>
        <stp>BDH|27345235451280449</stp>
        <tr r="C23" s="26"/>
      </tp>
      <tp t="e">
        <v>#N/A</v>
        <stp/>
        <stp>BDH|27642061372251729</stp>
        <tr r="D61" s="18"/>
      </tp>
      <tp t="e">
        <v>#N/A</v>
        <stp/>
        <stp>BDH|50580402800973062</stp>
        <tr r="J109" s="12"/>
      </tp>
      <tp t="e">
        <v>#N/A</v>
        <stp/>
        <stp>BDH|34584218437378661</stp>
        <tr r="X30" s="17"/>
      </tp>
      <tp t="e">
        <v>#N/A</v>
        <stp/>
        <stp>BDH|47960274092763945</stp>
        <tr r="V60" s="18"/>
      </tp>
      <tp t="e">
        <v>#N/A</v>
        <stp/>
        <stp>BDH|74079449995666450</stp>
        <tr r="T35" s="4"/>
      </tp>
      <tp t="e">
        <v>#N/A</v>
        <stp/>
        <stp>BDH|24526969543800590</stp>
        <tr r="P22" s="21"/>
      </tp>
      <tp t="e">
        <v>#N/A</v>
        <stp/>
        <stp>BDH|43422089720073903</stp>
        <tr r="W21" s="5"/>
      </tp>
      <tp t="e">
        <v>#N/A</v>
        <stp/>
        <stp>BDH|77173754104919513</stp>
        <tr r="H9" s="26"/>
      </tp>
      <tp t="e">
        <v>#N/A</v>
        <stp/>
        <stp>BDH|12182920332578465</stp>
        <tr r="X30" s="29"/>
        <tr r="X8" s="29"/>
      </tp>
      <tp t="e">
        <v>#N/A</v>
        <stp/>
        <stp>BDH|12660247810233789</stp>
        <tr r="W21" s="9"/>
      </tp>
      <tp t="e">
        <v>#N/A</v>
        <stp/>
        <stp>BDH|33867993860488498</stp>
        <tr r="N44" s="11"/>
        <tr r="N53" s="10"/>
        <tr r="N16" s="7"/>
      </tp>
      <tp t="e">
        <v>#N/A</v>
        <stp/>
        <stp>BDH|39899193567232301</stp>
        <tr r="L9" s="34"/>
      </tp>
      <tp t="e">
        <v>#N/A</v>
        <stp/>
        <stp>BDH|42258674636079684</stp>
        <tr r="AA64" s="34"/>
      </tp>
      <tp t="e">
        <v>#N/A</v>
        <stp/>
        <stp>BDH|8670856653534211884</stp>
        <tr r="M53" s="13"/>
      </tp>
      <tp t="e">
        <v>#N/A</v>
        <stp/>
        <stp>BDH|6608828238895305151</stp>
        <tr r="M23" s="26"/>
      </tp>
      <tp t="e">
        <v>#N/A</v>
        <stp/>
        <stp>BDH|2946154463054487819</stp>
        <tr r="O205" s="18"/>
      </tp>
      <tp t="e">
        <v>#N/A</v>
        <stp/>
        <stp>BDH|1927750191527406136</stp>
        <tr r="S35" s="34"/>
      </tp>
      <tp t="e">
        <v>#N/A</v>
        <stp/>
        <stp>BDH|2325157349596645835</stp>
        <tr r="M95" s="18"/>
      </tp>
      <tp t="e">
        <v>#N/A</v>
        <stp/>
        <stp>BDH|5879603090374105736</stp>
        <tr r="I96" s="12"/>
      </tp>
      <tp t="e">
        <v>#N/A</v>
        <stp/>
        <stp>BDH|1963606076040472917</stp>
        <tr r="Y11" s="17"/>
      </tp>
      <tp t="e">
        <v>#N/A</v>
        <stp/>
        <stp>BDH|9918835949479820512</stp>
        <tr r="Q10" s="28"/>
      </tp>
      <tp t="e">
        <v>#N/A</v>
        <stp/>
        <stp>BDH|9053255171133806661</stp>
        <tr r="X15" s="14"/>
      </tp>
      <tp t="e">
        <v>#N/A</v>
        <stp/>
        <stp>BDH|7559682776206708966</stp>
        <tr r="T7" s="10"/>
      </tp>
      <tp t="e">
        <v>#N/A</v>
        <stp/>
        <stp>BDH|7619936870948785885</stp>
        <tr r="R131" s="18"/>
      </tp>
      <tp t="e">
        <v>#N/A</v>
        <stp/>
        <stp>BDH|2137499183833883498</stp>
        <tr r="N34" s="6"/>
      </tp>
      <tp t="e">
        <v>#N/A</v>
        <stp/>
        <stp>BDH|1647378617723502999</stp>
        <tr r="X85" s="18"/>
      </tp>
      <tp t="e">
        <v>#N/A</v>
        <stp/>
        <stp>BDH|9844415179551302296</stp>
        <tr r="H16" s="21"/>
      </tp>
      <tp t="e">
        <v>#N/A</v>
        <stp/>
        <stp>BDH|3529320040695813857</stp>
        <tr r="D29" s="21"/>
      </tp>
      <tp t="e">
        <v>#N/A</v>
        <stp/>
        <stp>BDH|4822473595194821480</stp>
        <tr r="Q32" s="17"/>
      </tp>
      <tp t="e">
        <v>#N/A</v>
        <stp/>
        <stp>BDH|8550041412274129486</stp>
        <tr r="W70" s="12"/>
      </tp>
      <tp t="e">
        <v>#N/A</v>
        <stp/>
        <stp>BDH|5071571279056671824</stp>
        <tr r="U17" s="14"/>
      </tp>
      <tp t="e">
        <v>#N/A</v>
        <stp/>
        <stp>BDH|2765888762137637218</stp>
        <tr r="Y43" s="24"/>
      </tp>
      <tp t="e">
        <v>#N/A</v>
        <stp/>
        <stp>BDH|9103022525935967759</stp>
        <tr r="AA80" s="34"/>
      </tp>
      <tp t="e">
        <v>#N/A</v>
        <stp/>
        <stp>BDH|4756102107449377593</stp>
        <tr r="D8" s="6"/>
      </tp>
      <tp t="e">
        <v>#N/A</v>
        <stp/>
        <stp>BDH|1242251682286751485</stp>
        <tr r="L10" s="11"/>
      </tp>
      <tp t="e">
        <v>#N/A</v>
        <stp/>
        <stp>BDH|3735059698924335736</stp>
        <tr r="J144" s="18"/>
      </tp>
      <tp t="e">
        <v>#N/A</v>
        <stp/>
        <stp>BDH|4487574191877875605</stp>
        <tr r="S59" s="24"/>
      </tp>
      <tp t="e">
        <v>#N/A</v>
        <stp/>
        <stp>BDH|6247855316071976720</stp>
        <tr r="AA55" s="12"/>
      </tp>
      <tp t="e">
        <v>#N/A</v>
        <stp/>
        <stp>BDH|2909870217521767345</stp>
        <tr r="F44" s="11"/>
        <tr r="F53" s="10"/>
        <tr r="F16" s="7"/>
      </tp>
      <tp t="e">
        <v>#N/A</v>
        <stp/>
        <stp>BDH|8594686468651830073</stp>
        <tr r="V73" s="34"/>
      </tp>
      <tp t="e">
        <v>#N/A</v>
        <stp/>
        <stp>BDH|7920418846537672921</stp>
        <tr r="T61" s="13"/>
        <tr r="R48" s="11"/>
        <tr r="R57" s="10"/>
        <tr r="R18" s="7"/>
      </tp>
      <tp t="e">
        <v>#N/A</v>
        <stp/>
        <stp>BDH|3260255356969201492</stp>
        <tr r="R7" s="17"/>
      </tp>
      <tp t="e">
        <v>#N/A</v>
        <stp/>
        <stp>BDH|9290473038084728300</stp>
        <tr r="W138" s="18"/>
      </tp>
      <tp t="e">
        <v>#N/A</v>
        <stp/>
        <stp>BDH|2899664515404885899</stp>
        <tr r="O37" s="29"/>
        <tr r="O23" s="29"/>
        <tr r="O14" s="29"/>
      </tp>
      <tp t="e">
        <v>#N/A</v>
        <stp/>
        <stp>BDH|8984556257572007310</stp>
        <tr r="U15" s="12"/>
      </tp>
      <tp t="e">
        <v>#N/A</v>
        <stp/>
        <stp>BDH|1821131809088111199</stp>
        <tr r="J62" s="17"/>
      </tp>
      <tp t="e">
        <v>#N/A</v>
        <stp/>
        <stp>BDH|1854373734620133808</stp>
        <tr r="AA56" s="17"/>
      </tp>
      <tp t="e">
        <v>#N/A</v>
        <stp/>
        <stp>BDH|9843638393777553874</stp>
        <tr r="O43" s="4"/>
      </tp>
      <tp t="e">
        <v>#N/A</v>
        <stp/>
        <stp>BDH|2551473587842845570</stp>
        <tr r="G211" s="18"/>
      </tp>
      <tp t="e">
        <v>#N/A</v>
        <stp/>
        <stp>BDH|2696501396217811021</stp>
        <tr r="N177" s="18"/>
      </tp>
      <tp t="e">
        <v>#N/A</v>
        <stp/>
        <stp>BDH|1558488777662193918</stp>
        <tr r="V12" s="20"/>
        <tr r="V121" s="18"/>
      </tp>
      <tp t="e">
        <v>#N/A</v>
        <stp/>
        <stp>BDH|4063217990224293290</stp>
        <tr r="U16" s="20"/>
      </tp>
      <tp t="e">
        <v>#N/A</v>
        <stp/>
        <stp>BDH|8861952315298790155</stp>
        <tr r="W159" s="18"/>
      </tp>
      <tp t="e">
        <v>#N/A</v>
        <stp/>
        <stp>BDH|3495977798179547346</stp>
        <tr r="W7" s="28"/>
      </tp>
      <tp t="e">
        <v>#N/A</v>
        <stp/>
        <stp>BDH|3053398090035378507</stp>
        <tr r="O55" s="18"/>
      </tp>
      <tp t="e">
        <v>#N/A</v>
        <stp/>
        <stp>BDH|6720948441190125294</stp>
        <tr r="F45" s="21"/>
      </tp>
      <tp t="e">
        <v>#N/A</v>
        <stp/>
        <stp>BDH|7794810618463320473</stp>
        <tr r="M13" s="12"/>
      </tp>
      <tp t="e">
        <v>#N/A</v>
        <stp/>
        <stp>BDH|1428756348123305809</stp>
        <tr r="AA18" s="14"/>
      </tp>
      <tp t="e">
        <v>#N/A</v>
        <stp/>
        <stp>BDH|7884070685141038706</stp>
        <tr r="N29" s="12"/>
      </tp>
      <tp t="e">
        <v>#N/A</v>
        <stp/>
        <stp>BDH|7563835054835829605</stp>
        <tr r="P13" s="7"/>
      </tp>
      <tp t="e">
        <v>#N/A</v>
        <stp/>
        <stp>BDH|7248837095979714697</stp>
        <tr r="E60" s="17"/>
      </tp>
      <tp t="e">
        <v>#N/A</v>
        <stp/>
        <stp>BDH|4036592135238347358</stp>
        <tr r="W28" s="22"/>
      </tp>
      <tp t="e">
        <v>#N/A</v>
        <stp/>
        <stp>BDH|3725823069187370358</stp>
        <tr r="N10" s="11"/>
      </tp>
      <tp t="e">
        <v>#N/A</v>
        <stp/>
        <stp>BDH|9665517544898109998</stp>
        <tr r="S16" s="34"/>
      </tp>
      <tp t="e">
        <v>#N/A</v>
        <stp/>
        <stp>BDH|9938263765526409255</stp>
        <tr r="J68" s="13"/>
      </tp>
      <tp t="e">
        <v>#N/A</v>
        <stp/>
        <stp>BDH|4431826453302773291</stp>
        <tr r="P13" s="27"/>
        <tr r="P27" s="25"/>
      </tp>
      <tp t="e">
        <v>#N/A</v>
        <stp/>
        <stp>BDH|1991420985292736628</stp>
        <tr r="K51" s="18"/>
      </tp>
      <tp t="e">
        <v>#N/A</v>
        <stp/>
        <stp>BDH|4868404288307882639</stp>
        <tr r="D7" s="21"/>
      </tp>
      <tp t="e">
        <v>#N/A</v>
        <stp/>
        <stp>BDH|7889625115158357179</stp>
        <tr r="W37" s="18"/>
      </tp>
      <tp t="e">
        <v>#N/A</v>
        <stp/>
        <stp>BDH|2080096236709299160</stp>
        <tr r="P32" s="24"/>
      </tp>
      <tp t="e">
        <v>#N/A</v>
        <stp/>
        <stp>BDH|3521404797950897715</stp>
        <tr r="I44" s="21"/>
      </tp>
      <tp t="e">
        <v>#N/A</v>
        <stp/>
        <stp>BDH|8834144230332568121</stp>
        <tr r="D12" s="12"/>
      </tp>
      <tp t="e">
        <v>#N/A</v>
        <stp/>
        <stp>BDH|5845150303678290579</stp>
        <tr r="R32" s="18"/>
      </tp>
      <tp t="e">
        <v>#N/A</v>
        <stp/>
        <stp>BDH|6650680081156732732</stp>
        <tr r="C13" s="21"/>
      </tp>
      <tp t="e">
        <v>#N/A</v>
        <stp/>
        <stp>BDH|2484519223014869852</stp>
        <tr r="K32" s="29"/>
        <tr r="I34" s="5"/>
      </tp>
      <tp t="e">
        <v>#N/A</v>
        <stp/>
        <stp>BDH|7428754080033343297</stp>
        <tr r="H24" s="18"/>
      </tp>
      <tp t="e">
        <v>#N/A</v>
        <stp/>
        <stp>BDH|5563831141883993353</stp>
        <tr r="N96" s="12"/>
      </tp>
      <tp t="e">
        <v>#N/A</v>
        <stp/>
        <stp>BDH|5210900904747441296</stp>
        <tr r="E7" s="24"/>
      </tp>
      <tp t="e">
        <v>#N/A</v>
        <stp/>
        <stp>BDH|1933137330638036216</stp>
        <tr r="J30" s="12"/>
      </tp>
      <tp t="e">
        <v>#N/A</v>
        <stp/>
        <stp>BDH|3637279790030355198</stp>
        <tr r="L56" s="12"/>
      </tp>
      <tp t="e">
        <v>#N/A</v>
        <stp/>
        <stp>BDH|1447910424725816625</stp>
        <tr r="I52" s="24"/>
      </tp>
      <tp t="e">
        <v>#N/A</v>
        <stp/>
        <stp>BDH|9858545844236244711</stp>
        <tr r="T99" s="18"/>
      </tp>
      <tp t="e">
        <v>#N/A</v>
        <stp/>
        <stp>BDH|8749606209127346060</stp>
        <tr r="O13" s="18"/>
      </tp>
      <tp t="e">
        <v>#N/A</v>
        <stp/>
        <stp>BDH|7811375885851635478</stp>
        <tr r="E100" s="12"/>
      </tp>
      <tp t="e">
        <v>#N/A</v>
        <stp/>
        <stp>BDH|5830864412391447437</stp>
        <tr r="Q11" s="28"/>
      </tp>
      <tp t="e">
        <v>#N/A</v>
        <stp/>
        <stp>BDH|8862238778104097080</stp>
        <tr r="U49" s="34"/>
      </tp>
      <tp t="e">
        <v>#N/A</v>
        <stp/>
        <stp>BDH|5810144691445604108</stp>
        <tr r="L21" s="34"/>
      </tp>
      <tp t="e">
        <v>#N/A</v>
        <stp/>
        <stp>BDH|8445429847584233582</stp>
        <tr r="O47" s="21"/>
      </tp>
      <tp t="e">
        <v>#N/A</v>
        <stp/>
        <stp>BDH|5295166128607533823</stp>
        <tr r="P182" s="18"/>
      </tp>
      <tp t="e">
        <v>#N/A</v>
        <stp/>
        <stp>BDH|2353685408554153999</stp>
        <tr r="H10" s="14"/>
      </tp>
      <tp t="e">
        <v>#N/A</v>
        <stp/>
        <stp>BDH|4691868047837933653</stp>
        <tr r="W9" s="20"/>
        <tr r="W119" s="18"/>
      </tp>
      <tp t="e">
        <v>#N/A</v>
        <stp/>
        <stp>BDH|2759943760260940419</stp>
        <tr r="U45" s="12"/>
      </tp>
      <tp t="e">
        <v>#N/A</v>
        <stp/>
        <stp>BDH|6287072588727440021</stp>
        <tr r="D188" s="18"/>
      </tp>
      <tp t="e">
        <v>#N/A</v>
        <stp/>
        <stp>BDH|6513778879789959693</stp>
        <tr r="O40" s="22"/>
      </tp>
      <tp t="e">
        <v>#N/A</v>
        <stp/>
        <stp>BDH|6045919157225865652</stp>
        <tr r="T21" s="22"/>
      </tp>
      <tp t="e">
        <v>#N/A</v>
        <stp/>
        <stp>BDH|9915249176777230227</stp>
        <tr r="E48" s="21"/>
      </tp>
      <tp t="e">
        <v>#N/A</v>
        <stp/>
        <stp>BDH|6220026428909248412</stp>
        <tr r="X25" s="10"/>
      </tp>
      <tp t="e">
        <v>#N/A</v>
        <stp/>
        <stp>BDH|8371591480044895895</stp>
        <tr r="W124" s="12"/>
      </tp>
      <tp t="e">
        <v>#N/A</v>
        <stp/>
        <stp>BDH|1742809791250864954</stp>
        <tr r="T21" s="4"/>
      </tp>
      <tp t="e">
        <v>#N/A</v>
        <stp/>
        <stp>BDH|5380049199553395660</stp>
        <tr r="L85" s="18"/>
      </tp>
      <tp t="e">
        <v>#N/A</v>
        <stp/>
        <stp>BDH|4702949336263875460</stp>
        <tr r="AA11" s="17"/>
      </tp>
      <tp t="e">
        <v>#N/A</v>
        <stp/>
        <stp>BDH|4593505497488811915</stp>
        <tr r="K34" s="12"/>
      </tp>
      <tp t="e">
        <v>#N/A</v>
        <stp/>
        <stp>BDH|4097323388717601172</stp>
        <tr r="W40" s="22"/>
      </tp>
      <tp t="e">
        <v>#N/A</v>
        <stp/>
        <stp>BDH|2689622458811180965</stp>
        <tr r="Z60" s="13"/>
      </tp>
      <tp t="e">
        <v>#N/A</v>
        <stp/>
        <stp>BDH|8445704410667988061</stp>
        <tr r="U78" s="17"/>
      </tp>
      <tp t="e">
        <v>#N/A</v>
        <stp/>
        <stp>BDH|9833903556764182841</stp>
        <tr r="AA80" s="18"/>
      </tp>
      <tp t="e">
        <v>#N/A</v>
        <stp/>
        <stp>BDH|6702866323076270380</stp>
        <tr r="S63" s="11"/>
        <tr r="S72" s="10"/>
      </tp>
      <tp t="e">
        <v>#N/A</v>
        <stp/>
        <stp>BDH|1176932218319207907</stp>
        <tr r="J33" s="17"/>
      </tp>
      <tp t="e">
        <v>#N/A</v>
        <stp/>
        <stp>BDH|3493912867835354097</stp>
        <tr r="S21" s="24"/>
      </tp>
      <tp t="e">
        <v>#N/A</v>
        <stp/>
        <stp>BDH|8345760328766260275</stp>
        <tr r="C85" s="12"/>
      </tp>
      <tp t="e">
        <v>#N/A</v>
        <stp/>
        <stp>BDH|2363586228425933924</stp>
        <tr r="O26" s="24"/>
      </tp>
      <tp t="e">
        <v>#N/A</v>
        <stp/>
        <stp>BDH|9605347535040635097</stp>
        <tr r="N38" s="26"/>
      </tp>
      <tp t="e">
        <v>#N/A</v>
        <stp/>
        <stp>BDH|8820321440151218700</stp>
        <tr r="X208" s="18"/>
      </tp>
      <tp t="e">
        <v>#N/A</v>
        <stp/>
        <stp>BDH|1381825890549896013</stp>
        <tr r="I39" s="22"/>
      </tp>
      <tp t="e">
        <v>#N/A</v>
        <stp/>
        <stp>BDH|7568236308565644904</stp>
        <tr r="Z20" s="18"/>
      </tp>
      <tp t="e">
        <v>#N/A</v>
        <stp/>
        <stp>BDH|5956110789946098391</stp>
        <tr r="Z28" s="17"/>
      </tp>
      <tp t="e">
        <v>#N/A</v>
        <stp/>
        <stp>BDH|5526509792141841179</stp>
        <tr r="P8" s="20"/>
        <tr r="P118" s="18"/>
      </tp>
      <tp t="e">
        <v>#N/A</v>
        <stp/>
        <stp>BDH|6701087594154247215</stp>
        <tr r="K43" s="11"/>
        <tr r="K52" s="10"/>
        <tr r="K15" s="7"/>
      </tp>
      <tp t="e">
        <v>#N/A</v>
        <stp/>
        <stp>BDH|3695128740859897647</stp>
        <tr r="U30" s="12"/>
      </tp>
      <tp t="e">
        <v>#N/A</v>
        <stp/>
        <stp>BDH|8878673172566024654</stp>
        <tr r="N15" s="21"/>
      </tp>
      <tp t="e">
        <v>#N/A</v>
        <stp/>
        <stp>BDH|4842538622059787362</stp>
        <tr r="C207" s="18"/>
      </tp>
      <tp t="e">
        <v>#N/A</v>
        <stp/>
        <stp>BDH|4066083197037040378</stp>
        <tr r="L112" s="18"/>
      </tp>
      <tp t="e">
        <v>#N/A</v>
        <stp/>
        <stp>BDH|2242879135057030787</stp>
        <tr r="W207" s="18"/>
      </tp>
      <tp t="e">
        <v>#N/A</v>
        <stp/>
        <stp>BDH|1463858202853386387</stp>
        <tr r="S27" s="18"/>
      </tp>
      <tp t="e">
        <v>#N/A</v>
        <stp/>
        <stp>BDH|1017960049585349048</stp>
        <tr r="Q48" s="17"/>
      </tp>
      <tp t="e">
        <v>#N/A</v>
        <stp/>
        <stp>BDH|7227262554969003081</stp>
        <tr r="F23" s="12"/>
      </tp>
      <tp t="e">
        <v>#N/A</v>
        <stp/>
        <stp>BDH|4240637983317804428</stp>
        <tr r="Y110" s="12"/>
      </tp>
      <tp t="e">
        <v>#N/A</v>
        <stp/>
        <stp>BDH|6669589480624455624</stp>
        <tr r="G26" s="18"/>
      </tp>
      <tp t="e">
        <v>#N/A</v>
        <stp/>
        <stp>BDH|3531371243054192980</stp>
        <tr r="D55" s="24"/>
      </tp>
      <tp t="e">
        <v>#N/A</v>
        <stp/>
        <stp>BDH|1263759908986252958</stp>
        <tr r="W38" s="34"/>
      </tp>
      <tp t="e">
        <v>#N/A</v>
        <stp/>
        <stp>BDH|1219961896948237081</stp>
        <tr r="D46" s="18"/>
      </tp>
      <tp t="e">
        <v>#N/A</v>
        <stp/>
        <stp>BDH|7590522393113419180</stp>
        <tr r="Q117" s="12"/>
      </tp>
      <tp t="e">
        <v>#N/A</v>
        <stp/>
        <stp>BDH|8285255405270813324</stp>
        <tr r="P90" s="18"/>
      </tp>
      <tp t="e">
        <v>#N/A</v>
        <stp/>
        <stp>BDH|9116062554825806031</stp>
        <tr r="L13" s="34"/>
      </tp>
      <tp t="e">
        <v>#N/A</v>
        <stp/>
        <stp>BDH|3036171573379894542</stp>
        <tr r="G27" s="7"/>
      </tp>
      <tp t="e">
        <v>#N/A</v>
        <stp/>
        <stp>BDH|4886189549310788860</stp>
        <tr r="Y7" s="23"/>
      </tp>
      <tp t="e">
        <v>#N/A</v>
        <stp/>
        <stp>BDH|8986480275276545493</stp>
        <tr r="T113" s="12"/>
      </tp>
      <tp t="e">
        <v>#N/A</v>
        <stp/>
        <stp>BDH|9856022905289290951</stp>
        <tr r="L111" s="18"/>
      </tp>
      <tp t="e">
        <v>#N/A</v>
        <stp/>
        <stp>BDH|2898036576378309460</stp>
        <tr r="L204" s="18"/>
      </tp>
      <tp t="e">
        <v>#N/A</v>
        <stp/>
        <stp>BDH|8536906935198988310</stp>
        <tr r="Z85" s="17"/>
        <tr r="X6" s="7"/>
        <tr r="Z20" s="3"/>
      </tp>
      <tp t="e">
        <v>#N/A</v>
        <stp/>
        <stp>BDH|9978041648961926541</stp>
        <tr r="S14" s="10"/>
      </tp>
      <tp t="e">
        <v>#N/A</v>
        <stp/>
        <stp>BDH|8277138169362811482</stp>
        <tr r="F10" s="28"/>
      </tp>
      <tp t="e">
        <v>#N/A</v>
        <stp/>
        <stp>BDH|3134227291526387796</stp>
        <tr r="C38" s="24"/>
      </tp>
      <tp t="e">
        <v>#N/A</v>
        <stp/>
        <stp>BDH|7090691651504526951</stp>
        <tr r="Y9" s="10"/>
      </tp>
      <tp t="e">
        <v>#N/A</v>
        <stp/>
        <stp>BDH|2555771661678885234</stp>
        <tr r="J115" s="12"/>
      </tp>
      <tp t="e">
        <v>#N/A</v>
        <stp/>
        <stp>BDH|3669812259146738107</stp>
        <tr r="X51" s="18"/>
      </tp>
      <tp t="e">
        <v>#N/A</v>
        <stp/>
        <stp>BDH|4747443389714757544</stp>
        <tr r="X56" s="12"/>
      </tp>
      <tp t="e">
        <v>#N/A</v>
        <stp/>
        <stp>BDH|3662627641481935957</stp>
        <tr r="F42" s="6"/>
      </tp>
      <tp t="e">
        <v>#N/A</v>
        <stp/>
        <stp>BDH|2732355184445704582</stp>
        <tr r="Q8" s="18"/>
      </tp>
      <tp t="e">
        <v>#N/A</v>
        <stp/>
        <stp>BDH|1946230300793621951</stp>
        <tr r="O13" s="20"/>
        <tr r="O122" s="18"/>
      </tp>
      <tp t="e">
        <v>#N/A</v>
        <stp/>
        <stp>BDH|7351278391680583593</stp>
        <tr r="Z47" s="21"/>
      </tp>
      <tp t="e">
        <v>#N/A</v>
        <stp/>
        <stp>BDH|6238001339278376417</stp>
        <tr r="R11" s="14"/>
      </tp>
      <tp t="e">
        <v>#N/A</v>
        <stp/>
        <stp>BDH|4451935049134306442</stp>
        <tr r="D17" s="23"/>
      </tp>
      <tp t="e">
        <v>#N/A</v>
        <stp/>
        <stp>BDH|6752298285736794350</stp>
        <tr r="R13" s="27"/>
        <tr r="R27" s="25"/>
      </tp>
      <tp t="e">
        <v>#N/A</v>
        <stp/>
        <stp>BDH|5924706005148060350</stp>
        <tr r="F16" s="25"/>
      </tp>
      <tp t="e">
        <v>#N/A</v>
        <stp/>
        <stp>BDH|4834996237013733484</stp>
        <tr r="N86" s="24"/>
      </tp>
      <tp t="e">
        <v>#N/A</v>
        <stp/>
        <stp>BDH|8809811521098863395</stp>
        <tr r="O19" s="28"/>
        <tr r="O16" s="17"/>
      </tp>
      <tp t="e">
        <v>#N/A</v>
        <stp/>
        <stp>BDH|4042588920239348328</stp>
        <tr r="N67" s="12"/>
      </tp>
      <tp t="e">
        <v>#N/A</v>
        <stp/>
        <stp>BDH|9530824439713555827</stp>
        <tr r="G45" s="17"/>
      </tp>
      <tp t="e">
        <v>#N/A</v>
        <stp/>
        <stp>BDH|7005797653049236516</stp>
        <tr r="G8" s="17"/>
      </tp>
      <tp t="e">
        <v>#N/A</v>
        <stp/>
        <stp>BDH|4609511439998438339</stp>
        <tr r="X44" s="6"/>
      </tp>
      <tp t="e">
        <v>#N/A</v>
        <stp/>
        <stp>BDH|6677411290381952372</stp>
        <tr r="H44" s="24"/>
      </tp>
      <tp t="e">
        <v>#N/A</v>
        <stp/>
        <stp>BDH|3181853836568838938</stp>
        <tr r="F136" s="18"/>
      </tp>
      <tp t="e">
        <v>#N/A</v>
        <stp/>
        <stp>BDH|8824737342470263222</stp>
        <tr r="AA21" s="24"/>
      </tp>
      <tp t="e">
        <v>#N/A</v>
        <stp/>
        <stp>BDH|9849013137474632715</stp>
        <tr r="W186" s="18"/>
      </tp>
      <tp t="e">
        <v>#N/A</v>
        <stp/>
        <stp>BDH|3842376286269309835</stp>
        <tr r="H164" s="18"/>
      </tp>
      <tp t="e">
        <v>#N/A</v>
        <stp/>
        <stp>BDH|6965553990373603033</stp>
        <tr r="E8" s="20"/>
        <tr r="E118" s="18"/>
      </tp>
      <tp t="e">
        <v>#N/A</v>
        <stp/>
        <stp>BDH|6227681693516009603</stp>
        <tr r="K14" s="27"/>
        <tr r="K28" s="25"/>
      </tp>
      <tp t="e">
        <v>#N/A</v>
        <stp/>
        <stp>BDH|7135805191468166780</stp>
        <tr r="L68" s="18"/>
      </tp>
      <tp t="e">
        <v>#N/A</v>
        <stp/>
        <stp>BDH|8074286100614426751</stp>
        <tr r="R12" s="26"/>
      </tp>
      <tp t="e">
        <v>#N/A</v>
        <stp/>
        <stp>BDH|2965233692227536743</stp>
        <tr r="Q133" s="18"/>
      </tp>
      <tp t="e">
        <v>#N/A</v>
        <stp/>
        <stp>BDH|7935866232324005141</stp>
        <tr r="E190" s="18"/>
      </tp>
      <tp t="e">
        <v>#N/A</v>
        <stp/>
        <stp>BDH|2762192283774508614</stp>
        <tr r="C9" s="29"/>
      </tp>
      <tp t="e">
        <v>#N/A</v>
        <stp/>
        <stp>BDH|4076444693527839762</stp>
        <tr r="Q34" s="6"/>
      </tp>
      <tp t="e">
        <v>#N/A</v>
        <stp/>
        <stp>BDH|1464353395937926547</stp>
        <tr r="H37" s="22"/>
      </tp>
      <tp t="e">
        <v>#N/A</v>
        <stp/>
        <stp>BDH|3298977661975990047</stp>
        <tr r="R22" s="14"/>
      </tp>
      <tp t="e">
        <v>#N/A</v>
        <stp/>
        <stp>BDH|7409605600818938046</stp>
        <tr r="K20" s="26"/>
      </tp>
      <tp t="e">
        <v>#N/A</v>
        <stp/>
        <stp>BDH|7949096418058394723</stp>
        <tr r="G57" s="24"/>
      </tp>
      <tp t="e">
        <v>#N/A</v>
        <stp/>
        <stp>BDH|6980727488676213683</stp>
        <tr r="N127" s="18"/>
      </tp>
      <tp t="e">
        <v>#N/A</v>
        <stp/>
        <stp>BDH|9133968466017186898</stp>
        <tr r="K9" s="8"/>
        <tr r="I52" s="6"/>
      </tp>
      <tp t="e">
        <v>#N/A</v>
        <stp/>
        <stp>BDH|9413543347801923073</stp>
        <tr r="O7" s="8"/>
      </tp>
      <tp t="e">
        <v>#N/A</v>
        <stp/>
        <stp>BDH|5932489709671673971</stp>
        <tr r="J26" s="14"/>
      </tp>
      <tp t="e">
        <v>#N/A</v>
        <stp/>
        <stp>BDH|7914452369518482483</stp>
        <tr r="Z22" s="24"/>
      </tp>
      <tp t="e">
        <v>#N/A</v>
        <stp/>
        <stp>BDH|8368680350935468764</stp>
        <tr r="J54" s="24"/>
      </tp>
      <tp t="e">
        <v>#N/A</v>
        <stp/>
        <stp>BDH|9778974342329396484</stp>
        <tr r="E174" s="18"/>
      </tp>
      <tp t="e">
        <v>#N/A</v>
        <stp/>
        <stp>BDH|1806577536789983795</stp>
        <tr r="V10" s="27"/>
        <tr r="V25" s="25"/>
      </tp>
      <tp t="e">
        <v>#N/A</v>
        <stp/>
        <stp>BDH|1283108486106479799</stp>
        <tr r="U102" s="12"/>
      </tp>
      <tp t="e">
        <v>#N/A</v>
        <stp/>
        <stp>BDH|1863194481992871313</stp>
        <tr r="X70" s="17"/>
        <tr r="X18" s="3"/>
      </tp>
      <tp t="e">
        <v>#N/A</v>
        <stp/>
        <stp>BDH|3531860508404405669</stp>
        <tr r="Q7" s="23"/>
      </tp>
      <tp t="e">
        <v>#N/A</v>
        <stp/>
        <stp>BDH|4305288851592666855</stp>
        <tr r="S43" s="18"/>
      </tp>
      <tp t="e">
        <v>#N/A</v>
        <stp/>
        <stp>BDH|7640411748176434856</stp>
        <tr r="K37" s="26"/>
      </tp>
      <tp t="e">
        <v>#N/A</v>
        <stp/>
        <stp>BDH|4103922467571246382</stp>
        <tr r="R66" s="21"/>
        <tr r="O31" s="6"/>
      </tp>
      <tp t="e">
        <v>#N/A</v>
        <stp/>
        <stp>BDH|2290130582767863559</stp>
        <tr r="O112" s="12"/>
      </tp>
      <tp t="e">
        <v>#N/A</v>
        <stp/>
        <stp>BDH|6420290402825689873</stp>
        <tr r="F80" s="12"/>
      </tp>
      <tp t="e">
        <v>#N/A</v>
        <stp/>
        <stp>BDH|6928070655773606934</stp>
        <tr r="Q25" s="7"/>
      </tp>
      <tp t="e">
        <v>#N/A</v>
        <stp/>
        <stp>BDH|5909314256259556353</stp>
        <tr r="W106" s="18"/>
      </tp>
      <tp t="e">
        <v>#N/A</v>
        <stp/>
        <stp>BDH|7946392788482611703</stp>
        <tr r="C13" s="34"/>
      </tp>
      <tp t="e">
        <v>#N/A</v>
        <stp/>
        <stp>BDH|7303538621998603192</stp>
        <tr r="P92" s="24"/>
      </tp>
      <tp t="e">
        <v>#N/A</v>
        <stp/>
        <stp>BDH|8232982364027528950</stp>
        <tr r="G68" s="13"/>
      </tp>
      <tp t="e">
        <v>#N/A</v>
        <stp/>
        <stp>BDH|7200421998996384552</stp>
        <tr r="N31" s="17"/>
      </tp>
      <tp t="e">
        <v>#N/A</v>
        <stp/>
        <stp>BDH|8016997805441338914</stp>
        <tr r="AA10" s="12"/>
      </tp>
      <tp t="e">
        <v>#N/A</v>
        <stp/>
        <stp>BDH|2468804718752456065</stp>
        <tr r="Z18" s="24"/>
      </tp>
      <tp t="e">
        <v>#N/A</v>
        <stp/>
        <stp>BDH|7514520802613210893</stp>
        <tr r="Z53" s="21"/>
      </tp>
      <tp t="e">
        <v>#N/A</v>
        <stp/>
        <stp>BDH|1674155659064118857</stp>
        <tr r="AA52" s="13"/>
      </tp>
      <tp t="e">
        <v>#N/A</v>
        <stp/>
        <stp>BDH|2876205687974041519</stp>
        <tr r="V24" s="12"/>
      </tp>
      <tp t="e">
        <v>#N/A</v>
        <stp/>
        <stp>BDH|6385628755934880827</stp>
        <tr r="E32" s="29"/>
        <tr r="C34" s="5"/>
      </tp>
      <tp t="e">
        <v>#N/A</v>
        <stp/>
        <stp>BDH|8282961428888002227</stp>
        <tr r="R148" s="18"/>
      </tp>
      <tp t="e">
        <v>#N/A</v>
        <stp/>
        <stp>BDH|7087254348700689855</stp>
        <tr r="Z46" s="13"/>
      </tp>
      <tp t="e">
        <v>#N/A</v>
        <stp/>
        <stp>BDH|1686718552853309980</stp>
        <tr r="D55" s="11"/>
      </tp>
      <tp t="e">
        <v>#N/A</v>
        <stp/>
        <stp>BDH|5957987534055383381</stp>
        <tr r="H35" s="18"/>
      </tp>
      <tp t="e">
        <v>#N/A</v>
        <stp/>
        <stp>BDH|7802140686370491701</stp>
        <tr r="F64" s="21"/>
      </tp>
      <tp t="e">
        <v>#N/A</v>
        <stp/>
        <stp>BDH|3696576297151827706</stp>
        <tr r="G126" s="18"/>
      </tp>
      <tp t="e">
        <v>#N/A</v>
        <stp/>
        <stp>BDH|6730203024536987940</stp>
        <tr r="E62" s="13"/>
      </tp>
      <tp t="e">
        <v>#N/A</v>
        <stp/>
        <stp>BDH|2782033184057928474</stp>
        <tr r="S16" s="26"/>
      </tp>
      <tp t="e">
        <v>#N/A</v>
        <stp/>
        <stp>BDH|6858818750712476030</stp>
        <tr r="P124" s="12"/>
      </tp>
      <tp t="e">
        <v>#N/A</v>
        <stp/>
        <stp>BDH|7696192273689627142</stp>
        <tr r="F176" s="18"/>
      </tp>
      <tp t="e">
        <v>#N/A</v>
        <stp/>
        <stp>BDH|9757245633557618688</stp>
        <tr r="D21" s="6"/>
      </tp>
      <tp t="e">
        <v>#N/A</v>
        <stp/>
        <stp>BDH|9059419039384470327</stp>
        <tr r="E20" s="14"/>
      </tp>
      <tp t="e">
        <v>#N/A</v>
        <stp/>
        <stp>BDH|4333889938261955742</stp>
        <tr r="W111" s="12"/>
      </tp>
      <tp t="e">
        <v>#N/A</v>
        <stp/>
        <stp>BDH|7938254553480757968</stp>
        <tr r="F25" s="34"/>
      </tp>
      <tp t="e">
        <v>#N/A</v>
        <stp/>
        <stp>BDH|8908288078953590726</stp>
        <tr r="T13" s="12"/>
      </tp>
      <tp t="e">
        <v>#N/A</v>
        <stp/>
        <stp>BDH|3796484777071139870</stp>
        <tr r="AA57" s="34"/>
      </tp>
      <tp t="e">
        <v>#N/A</v>
        <stp/>
        <stp>BDH|3256312225748057394</stp>
        <tr r="Q71" s="34"/>
      </tp>
      <tp t="e">
        <v>#N/A</v>
        <stp/>
        <stp>BDH|4863661474854465818</stp>
        <tr r="O7" s="34"/>
      </tp>
      <tp t="e">
        <v>#N/A</v>
        <stp/>
        <stp>BDH|5885150799571987524</stp>
        <tr r="J50" s="17"/>
      </tp>
      <tp t="e">
        <v>#N/A</v>
        <stp/>
        <stp>BDH|5562638201803051983</stp>
        <tr r="H75" s="24"/>
      </tp>
      <tp t="e">
        <v>#N/A</v>
        <stp/>
        <stp>BDH|7705148609157718828</stp>
        <tr r="X43" s="12"/>
      </tp>
      <tp t="e">
        <v>#N/A</v>
        <stp/>
        <stp>BDH|2693999056607178071</stp>
        <tr r="N9" s="11"/>
      </tp>
      <tp t="e">
        <v>#N/A</v>
        <stp/>
        <stp>BDH|5865920502525737003</stp>
        <tr r="K78" s="18"/>
      </tp>
      <tp t="e">
        <v>#N/A</v>
        <stp/>
        <stp>BDH|7522904583437838812</stp>
        <tr r="W22" s="4"/>
      </tp>
      <tp t="e">
        <v>#N/A</v>
        <stp/>
        <stp>BDH|5238138628606577939</stp>
        <tr r="AA9" s="14"/>
      </tp>
      <tp t="e">
        <v>#N/A</v>
        <stp/>
        <stp>BDH|3450467591280451780</stp>
        <tr r="M133" s="18"/>
      </tp>
      <tp t="e">
        <v>#N/A</v>
        <stp/>
        <stp>BDH|5640325457528845244</stp>
        <tr r="D18" s="27"/>
        <tr r="D32" s="25"/>
      </tp>
      <tp t="e">
        <v>#N/A</v>
        <stp/>
        <stp>BDH|8516798517626188153</stp>
        <tr r="R46" s="21"/>
      </tp>
      <tp t="e">
        <v>#N/A</v>
        <stp/>
        <stp>BDH|3839107856697303926</stp>
        <tr r="AA16" s="21"/>
      </tp>
      <tp t="e">
        <v>#N/A</v>
        <stp/>
        <stp>BDH|7041790224008174334</stp>
        <tr r="T21" s="27"/>
      </tp>
      <tp t="e">
        <v>#N/A</v>
        <stp/>
        <stp>BDH|1017320487844368798</stp>
        <tr r="I60" s="12"/>
      </tp>
      <tp t="e">
        <v>#N/A</v>
        <stp/>
        <stp>BDH|8637499750182857289</stp>
        <tr r="L66" s="13"/>
      </tp>
      <tp t="e">
        <v>#N/A</v>
        <stp/>
        <stp>BDH|9364085615651418053</stp>
        <tr r="K18" s="14"/>
      </tp>
      <tp t="e">
        <v>#N/A</v>
        <stp/>
        <stp>BDH|6507690827692691929</stp>
        <tr r="Q161" s="18"/>
      </tp>
      <tp t="e">
        <v>#N/A</v>
        <stp/>
        <stp>BDH|3868340702569108005</stp>
        <tr r="N148" s="18"/>
      </tp>
      <tp t="e">
        <v>#N/A</v>
        <stp/>
        <stp>BDH|1067004885745265585</stp>
        <tr r="X48" s="21"/>
      </tp>
      <tp t="e">
        <v>#N/A</v>
        <stp/>
        <stp>BDH|8303961381774996426</stp>
        <tr r="Y12" s="20"/>
        <tr r="Y121" s="18"/>
      </tp>
      <tp t="e">
        <v>#N/A</v>
        <stp/>
        <stp>BDH|9730106573806334087</stp>
        <tr r="U59" s="24"/>
      </tp>
      <tp t="e">
        <v>#N/A</v>
        <stp/>
        <stp>BDH|7405789984533347241</stp>
        <tr r="T8" s="2"/>
      </tp>
      <tp t="e">
        <v>#N/A</v>
        <stp/>
        <stp>BDH|3364407296274880323</stp>
        <tr r="Z127" s="18"/>
      </tp>
      <tp t="e">
        <v>#N/A</v>
        <stp/>
        <stp>BDH|8507414565663718098</stp>
        <tr r="K74" s="12"/>
      </tp>
      <tp t="e">
        <v>#N/A</v>
        <stp/>
        <stp>BDH|7382584064209754471</stp>
        <tr r="T75" s="12"/>
      </tp>
      <tp t="e">
        <v>#N/A</v>
        <stp/>
        <stp>BDH|9191363700440835307</stp>
        <tr r="R76" s="17"/>
      </tp>
      <tp t="e">
        <v>#N/A</v>
        <stp/>
        <stp>BDH|6556300831346845938</stp>
        <tr r="Q35" s="26"/>
      </tp>
      <tp t="e">
        <v>#N/A</v>
        <stp/>
        <stp>BDH|7380647608628420046</stp>
        <tr r="W6" s="20"/>
        <tr r="W116" s="18"/>
      </tp>
      <tp t="e">
        <v>#N/A</v>
        <stp/>
        <stp>BDH|8447298666430133556</stp>
        <tr r="J121" s="12"/>
      </tp>
      <tp t="e">
        <v>#N/A</v>
        <stp/>
        <stp>BDH|6053648862537835816</stp>
        <tr r="Z181" s="18"/>
      </tp>
      <tp t="e">
        <v>#N/A</v>
        <stp/>
        <stp>BDH|2511723705869510587</stp>
        <tr r="I141" s="18"/>
      </tp>
      <tp t="e">
        <v>#N/A</v>
        <stp/>
        <stp>BDH|1392573472762067894</stp>
        <tr r="U174" s="18"/>
      </tp>
      <tp t="e">
        <v>#N/A</v>
        <stp/>
        <stp>BDH|3321195907343330818</stp>
        <tr r="C125" s="12"/>
      </tp>
      <tp t="e">
        <v>#N/A</v>
        <stp/>
        <stp>BDH|5041588489022608383</stp>
        <tr r="K28" s="34"/>
      </tp>
      <tp t="e">
        <v>#N/A</v>
        <stp/>
        <stp>BDH|4215029364298220396</stp>
        <tr r="E21" s="34"/>
      </tp>
      <tp t="e">
        <v>#N/A</v>
        <stp/>
        <stp>BDH|6899650447338656531</stp>
        <tr r="K44" s="11"/>
        <tr r="K53" s="10"/>
        <tr r="K16" s="7"/>
      </tp>
      <tp t="e">
        <v>#N/A</v>
        <stp/>
        <stp>BDH|8347998717710318914</stp>
        <tr r="P11" s="24"/>
      </tp>
      <tp t="e">
        <v>#N/A</v>
        <stp/>
        <stp>BDH|6845486989280154344</stp>
        <tr r="V44" s="12"/>
      </tp>
      <tp t="e">
        <v>#N/A</v>
        <stp/>
        <stp>BDH|8929914599555559487</stp>
        <tr r="S16" s="11"/>
      </tp>
      <tp t="e">
        <v>#N/A</v>
        <stp/>
        <stp>BDH|5900632873284781929</stp>
        <tr r="J43" s="29"/>
      </tp>
      <tp t="e">
        <v>#N/A</v>
        <stp/>
        <stp>BDH|4311634108518449305</stp>
        <tr r="Y132" s="18"/>
      </tp>
      <tp t="e">
        <v>#N/A</v>
        <stp/>
        <stp>BDH|8287592710595494036</stp>
        <tr r="O37" s="6"/>
      </tp>
      <tp t="e">
        <v>#N/A</v>
        <stp/>
        <stp>BDH|4287548866839427789</stp>
        <tr r="J45" s="18"/>
      </tp>
      <tp t="e">
        <v>#N/A</v>
        <stp/>
        <stp>BDH|7416681355474037955</stp>
        <tr r="R92" s="17"/>
      </tp>
      <tp t="e">
        <v>#N/A</v>
        <stp/>
        <stp>BDH|8099256175742429688</stp>
        <tr r="G54" s="24"/>
      </tp>
      <tp t="e">
        <v>#N/A</v>
        <stp/>
        <stp>BDH|3633481303288932681</stp>
        <tr r="D127" s="18"/>
      </tp>
      <tp t="e">
        <v>#N/A</v>
        <stp/>
        <stp>BDH|9022576259297653741</stp>
        <tr r="Q24" s="13"/>
      </tp>
      <tp t="e">
        <v>#N/A</v>
        <stp/>
        <stp>BDH|8323480201142063760</stp>
        <tr r="T61" s="17"/>
      </tp>
      <tp t="e">
        <v>#N/A</v>
        <stp/>
        <stp>BDH|9672730173846329698</stp>
        <tr r="M19" s="26"/>
      </tp>
      <tp t="e">
        <v>#N/A</v>
        <stp/>
        <stp>BDH|8030665450973229188</stp>
        <tr r="K51" s="17"/>
      </tp>
      <tp t="e">
        <v>#N/A</v>
        <stp/>
        <stp>BDH|8860004025307046411</stp>
        <tr r="K153" s="18"/>
      </tp>
      <tp t="e">
        <v>#N/A</v>
        <stp/>
        <stp>BDH|2123605183456838364</stp>
        <tr r="O203" s="18"/>
      </tp>
      <tp t="e">
        <v>#N/A</v>
        <stp/>
        <stp>BDH|3884853301972101015</stp>
        <tr r="E66" s="10"/>
        <tr r="E39" s="4"/>
      </tp>
      <tp t="e">
        <v>#N/A</v>
        <stp/>
        <stp>BDH|9476529531805882339</stp>
        <tr r="S78" s="24"/>
      </tp>
      <tp t="e">
        <v>#N/A</v>
        <stp/>
        <stp>BDH|6571905571696167794</stp>
        <tr r="X181" s="18"/>
      </tp>
      <tp t="e">
        <v>#N/A</v>
        <stp/>
        <stp>BDH|6411098617046778818</stp>
        <tr r="K9" s="30"/>
      </tp>
      <tp t="e">
        <v>#N/A</v>
        <stp/>
        <stp>BDH|1193646065480954857</stp>
        <tr r="W57" s="12"/>
      </tp>
      <tp t="e">
        <v>#N/A</v>
        <stp/>
        <stp>BDH|9692155478533054574</stp>
        <tr r="T202" s="18"/>
      </tp>
      <tp t="e">
        <v>#N/A</v>
        <stp/>
        <stp>BDH|9702759423657430294</stp>
        <tr r="V40" s="22"/>
      </tp>
      <tp t="e">
        <v>#N/A</v>
        <stp/>
        <stp>BDH|5994814931060207775</stp>
        <tr r="H64" s="11"/>
        <tr r="H73" s="10"/>
      </tp>
      <tp t="e">
        <v>#N/A</v>
        <stp/>
        <stp>BDH|8828636724152496774</stp>
        <tr r="R38" s="25"/>
      </tp>
      <tp t="e">
        <v>#N/A</v>
        <stp/>
        <stp>BDH|4659679936419901123</stp>
        <tr r="Q15" s="13"/>
      </tp>
      <tp t="e">
        <v>#N/A</v>
        <stp/>
        <stp>BDH|4171218880401834643</stp>
        <tr r="W45" s="21"/>
      </tp>
      <tp t="e">
        <v>#N/A</v>
        <stp/>
        <stp>BDH|2168817379791797525</stp>
        <tr r="W191" s="18"/>
      </tp>
      <tp t="e">
        <v>#N/A</v>
        <stp/>
        <stp>BDH|8283782635057182228</stp>
        <tr r="V130" s="18"/>
      </tp>
      <tp t="e">
        <v>#N/A</v>
        <stp/>
        <stp>BDH|2524785596545096071</stp>
        <tr r="F205" s="18"/>
      </tp>
      <tp t="e">
        <v>#N/A</v>
        <stp/>
        <stp>BDH|3815346217578113069</stp>
        <tr r="E111" s="12"/>
      </tp>
      <tp t="e">
        <v>#N/A</v>
        <stp/>
        <stp>BDH|1145652614399982650</stp>
        <tr r="V9" s="13"/>
      </tp>
      <tp t="e">
        <v>#N/A</v>
        <stp/>
        <stp>BDH|6814820105780037738</stp>
        <tr r="L207" s="18"/>
      </tp>
      <tp t="e">
        <v>#N/A</v>
        <stp/>
        <stp>BDH|3399749097025590194</stp>
        <tr r="R8" s="8"/>
      </tp>
      <tp t="e">
        <v>#N/A</v>
        <stp/>
        <stp>BDH|7411290524269798726</stp>
        <tr r="AA92" s="18"/>
      </tp>
      <tp t="e">
        <v>#N/A</v>
        <stp/>
        <stp>BDH|9744868195463856202</stp>
        <tr r="S19" s="18"/>
      </tp>
      <tp t="e">
        <v>#N/A</v>
        <stp/>
        <stp>BDH|1670470177303926839</stp>
        <tr r="J46" s="17"/>
      </tp>
      <tp t="e">
        <v>#N/A</v>
        <stp/>
        <stp>BDH|9453548021661904644</stp>
        <tr r="Y81" s="12"/>
      </tp>
      <tp t="e">
        <v>#N/A</v>
        <stp/>
        <stp>BDH|1152341759756283824</stp>
        <tr r="O63" s="10"/>
      </tp>
      <tp t="e">
        <v>#N/A</v>
        <stp/>
        <stp>BDH|8394591245070250013</stp>
        <tr r="O50" s="24"/>
      </tp>
      <tp t="e">
        <v>#N/A</v>
        <stp/>
        <stp>BDH|5807067896195503007</stp>
        <tr r="W13" s="6"/>
      </tp>
      <tp t="e">
        <v>#N/A</v>
        <stp/>
        <stp>BDH|2312875839543678367</stp>
        <tr r="E49" s="24"/>
      </tp>
      <tp t="e">
        <v>#N/A</v>
        <stp/>
        <stp>BDH|2521405298034829284</stp>
        <tr r="Q61" s="24"/>
      </tp>
      <tp t="e">
        <v>#N/A</v>
        <stp/>
        <stp>BDH|3526975557400070684</stp>
        <tr r="D13" s="25"/>
      </tp>
      <tp t="e">
        <v>#N/A</v>
        <stp/>
        <stp>BDH|8947004778661902755</stp>
        <tr r="G25" s="3"/>
      </tp>
      <tp t="e">
        <v>#N/A</v>
        <stp/>
        <stp>BDH|8839223984798436377</stp>
        <tr r="G13" s="18"/>
      </tp>
      <tp t="e">
        <v>#N/A</v>
        <stp/>
        <stp>BDH|8948643346524133772</stp>
        <tr r="T19" s="17"/>
      </tp>
      <tp t="e">
        <v>#N/A</v>
        <stp/>
        <stp>BDH|5924839131933621402</stp>
        <tr r="N138" s="18"/>
      </tp>
      <tp t="e">
        <v>#N/A</v>
        <stp/>
        <stp>BDH|4055695452808122678</stp>
        <tr r="O95" s="24"/>
      </tp>
      <tp t="e">
        <v>#N/A</v>
        <stp/>
        <stp>BDH|6202499320761484824</stp>
        <tr r="Q20" s="5"/>
      </tp>
      <tp t="e">
        <v>#N/A</v>
        <stp/>
        <stp>BDH|4446135481422954625</stp>
        <tr r="D13" s="18"/>
      </tp>
      <tp t="e">
        <v>#N/A</v>
        <stp/>
        <stp>BDH|5955656377455356857</stp>
        <tr r="J24" s="12"/>
      </tp>
      <tp t="e">
        <v>#N/A</v>
        <stp/>
        <stp>BDH|3240245398507162627</stp>
        <tr r="I7" s="20"/>
        <tr r="I117" s="18"/>
      </tp>
      <tp t="e">
        <v>#N/A</v>
        <stp/>
        <stp>BDH|5293071499624196102</stp>
        <tr r="S35" s="21"/>
      </tp>
      <tp t="e">
        <v>#N/A</v>
        <stp/>
        <stp>BDH|2802892751384920246</stp>
        <tr r="T39" s="25"/>
        <tr r="T22" s="13"/>
        <tr r="T7" s="13"/>
        <tr r="R17" s="11"/>
        <tr r="T7" s="3"/>
      </tp>
      <tp t="e">
        <v>#N/A</v>
        <stp/>
        <stp>BDH|3237026169588015444</stp>
        <tr r="F15" s="5"/>
      </tp>
      <tp t="e">
        <v>#N/A</v>
        <stp/>
        <stp>BDH|1580612484024580286</stp>
        <tr r="U178" s="18"/>
      </tp>
      <tp t="e">
        <v>#N/A</v>
        <stp/>
        <stp>BDH|3851290790427815644</stp>
        <tr r="V32" s="12"/>
      </tp>
      <tp t="e">
        <v>#N/A</v>
        <stp/>
        <stp>BDH|1154524970653934970</stp>
        <tr r="W143" s="18"/>
      </tp>
      <tp t="e">
        <v>#N/A</v>
        <stp/>
        <stp>BDH|3226866909486548450</stp>
        <tr r="N9" s="6"/>
      </tp>
      <tp t="e">
        <v>#N/A</v>
        <stp/>
        <stp>BDH|2807912315371115206</stp>
        <tr r="U68" s="10"/>
      </tp>
      <tp t="e">
        <v>#N/A</v>
        <stp/>
        <stp>BDH|4526161290030939576</stp>
        <tr r="F17" s="22"/>
      </tp>
      <tp t="e">
        <v>#N/A</v>
        <stp/>
        <stp>BDH|3012131800052637985</stp>
        <tr r="X99" s="18"/>
      </tp>
      <tp t="e">
        <v>#N/A</v>
        <stp/>
        <stp>BDH|6065592161765428917</stp>
        <tr r="AA86" s="17"/>
      </tp>
      <tp t="e">
        <v>#N/A</v>
        <stp/>
        <stp>BDH|4301285373901525907</stp>
        <tr r="O88" s="12"/>
      </tp>
      <tp t="e">
        <v>#N/A</v>
        <stp/>
        <stp>BDH|3171936328520590125</stp>
        <tr r="R38" s="24"/>
      </tp>
      <tp t="e">
        <v>#N/A</v>
        <stp/>
        <stp>BDH|1072999853726692218</stp>
        <tr r="G47" s="6"/>
      </tp>
      <tp t="e">
        <v>#N/A</v>
        <stp/>
        <stp>BDH|9704469036294329392</stp>
        <tr r="E189" s="18"/>
      </tp>
      <tp t="e">
        <v>#N/A</v>
        <stp/>
        <stp>BDH|9987760363694249531</stp>
        <tr r="C39" s="25"/>
        <tr r="C22" s="13"/>
        <tr r="C7" s="13"/>
        <tr r="C7" s="3"/>
      </tp>
      <tp t="e">
        <v>#N/A</v>
        <stp/>
        <stp>BDH|1318692047498088204</stp>
        <tr r="P18" s="26"/>
      </tp>
      <tp t="e">
        <v>#N/A</v>
        <stp/>
        <stp>BDH|7741513495917741590</stp>
        <tr r="S63" s="24"/>
      </tp>
      <tp t="e">
        <v>#N/A</v>
        <stp/>
        <stp>BDH|9184787361430175146</stp>
        <tr r="AA178" s="18"/>
      </tp>
      <tp t="e">
        <v>#N/A</v>
        <stp/>
        <stp>BDH|8142225453033589583</stp>
        <tr r="I46" s="21"/>
      </tp>
      <tp t="e">
        <v>#N/A</v>
        <stp/>
        <stp>BDH|3593520991221931722</stp>
        <tr r="W13" s="21"/>
      </tp>
      <tp t="e">
        <v>#N/A</v>
        <stp/>
        <stp>BDH|9421907633618292287</stp>
        <tr r="E14" s="11"/>
      </tp>
      <tp t="e">
        <v>#N/A</v>
        <stp/>
        <stp>BDH|8754793377823463205</stp>
        <tr r="R20" s="27"/>
      </tp>
      <tp t="e">
        <v>#N/A</v>
        <stp/>
        <stp>BDH|2401149797644962734</stp>
        <tr r="W8" s="13"/>
      </tp>
      <tp t="e">
        <v>#N/A</v>
        <stp/>
        <stp>BDH|6841937774570293102</stp>
        <tr r="K29" s="6"/>
      </tp>
      <tp t="e">
        <v>#N/A</v>
        <stp/>
        <stp>BDH|7872522695031119339</stp>
        <tr r="K19" s="24"/>
      </tp>
      <tp t="e">
        <v>#N/A</v>
        <stp/>
        <stp>BDH|9997825857774326924</stp>
        <tr r="O61" s="17"/>
      </tp>
      <tp t="e">
        <v>#N/A</v>
        <stp/>
        <stp>BDH|6090647136613710985</stp>
        <tr r="N23" s="20"/>
      </tp>
      <tp t="e">
        <v>#N/A</v>
        <stp/>
        <stp>BDH|8932013390918122047</stp>
        <tr r="E42" s="4"/>
      </tp>
      <tp t="e">
        <v>#N/A</v>
        <stp/>
        <stp>BDH|4667559649995531929</stp>
        <tr r="N18" s="26"/>
      </tp>
      <tp t="e">
        <v>#N/A</v>
        <stp/>
        <stp>BDH|1987777343429560252</stp>
        <tr r="K170" s="18"/>
      </tp>
      <tp t="e">
        <v>#N/A</v>
        <stp/>
        <stp>BDH|8286693270276068660</stp>
        <tr r="AA30" s="18"/>
      </tp>
      <tp t="e">
        <v>#N/A</v>
        <stp/>
        <stp>BDH|2041339584175978535</stp>
        <tr r="N58" s="6"/>
      </tp>
      <tp t="e">
        <v>#N/A</v>
        <stp/>
        <stp>BDH|9990869301458962053</stp>
        <tr r="V26" s="14"/>
      </tp>
      <tp t="e">
        <v>#N/A</v>
        <stp/>
        <stp>BDH|5260953323550625703</stp>
        <tr r="O18" s="23"/>
      </tp>
      <tp t="e">
        <v>#N/A</v>
        <stp/>
        <stp>BDH|6172584800729210394</stp>
        <tr r="J187" s="18"/>
      </tp>
      <tp t="e">
        <v>#N/A</v>
        <stp/>
        <stp>BDH|4619813863570453322</stp>
        <tr r="AA23" s="25"/>
        <tr r="Y20" s="11"/>
      </tp>
      <tp t="e">
        <v>#N/A</v>
        <stp/>
        <stp>BDH|5015980359035788549</stp>
        <tr r="T21" s="12"/>
      </tp>
      <tp t="e">
        <v>#N/A</v>
        <stp/>
        <stp>BDH|8499500765774297617</stp>
        <tr r="R136" s="18"/>
      </tp>
      <tp t="e">
        <v>#N/A</v>
        <stp/>
        <stp>BDH|3636116522608116161</stp>
        <tr r="T38" s="13"/>
        <tr r="R31" s="10"/>
      </tp>
      <tp t="e">
        <v>#N/A</v>
        <stp/>
        <stp>BDH|2085340222913451907</stp>
        <tr r="H41" s="11"/>
        <tr r="H50" s="10"/>
        <tr r="H8" s="7"/>
        <tr r="J11" s="3"/>
      </tp>
      <tp t="e">
        <v>#N/A</v>
        <stp/>
        <stp>BDH|5429412763249530712</stp>
        <tr r="V63" s="24"/>
      </tp>
      <tp t="e">
        <v>#N/A</v>
        <stp/>
        <stp>BDH|7353106782332715543</stp>
        <tr r="N125" s="12"/>
      </tp>
      <tp t="e">
        <v>#N/A</v>
        <stp/>
        <stp>BDH|3617415685685702370</stp>
        <tr r="I177" s="18"/>
      </tp>
      <tp t="e">
        <v>#N/A</v>
        <stp/>
        <stp>BDH|4515934596704269901</stp>
        <tr r="F11" s="17"/>
      </tp>
      <tp t="e">
        <v>#N/A</v>
        <stp/>
        <stp>BDH|8409057966822389562</stp>
        <tr r="U163" s="18"/>
      </tp>
      <tp t="e">
        <v>#N/A</v>
        <stp/>
        <stp>BDH|5800276154622127986</stp>
        <tr r="Y48" s="18"/>
      </tp>
      <tp t="e">
        <v>#N/A</v>
        <stp/>
        <stp>BDH|7049224531376522945</stp>
        <tr r="Z59" s="12"/>
      </tp>
      <tp t="e">
        <v>#N/A</v>
        <stp/>
        <stp>BDH|8225743653606149567</stp>
        <tr r="T8" s="27"/>
      </tp>
      <tp t="e">
        <v>#N/A</v>
        <stp/>
        <stp>BDH|6471340725056706800</stp>
        <tr r="X48" s="34"/>
      </tp>
      <tp t="e">
        <v>#N/A</v>
        <stp/>
        <stp>BDH|2480910408033870178</stp>
        <tr r="P22" s="34"/>
      </tp>
      <tp t="e">
        <v>#N/A</v>
        <stp/>
        <stp>BDH|4527334997036282119</stp>
        <tr r="L8" s="6"/>
      </tp>
      <tp t="e">
        <v>#N/A</v>
        <stp/>
        <stp>BDH|6763866614794654215</stp>
        <tr r="L37" s="6"/>
      </tp>
      <tp t="e">
        <v>#N/A</v>
        <stp/>
        <stp>BDH|7787594289552374168</stp>
        <tr r="U35" s="34"/>
      </tp>
      <tp t="e">
        <v>#N/A</v>
        <stp/>
        <stp>BDH|5778932832754233267</stp>
        <tr r="O46" s="21"/>
      </tp>
      <tp t="e">
        <v>#N/A</v>
        <stp/>
        <stp>BDH|9789804527332090820</stp>
        <tr r="O52" s="17"/>
      </tp>
      <tp t="e">
        <v>#N/A</v>
        <stp/>
        <stp>BDH|8565820968438544780</stp>
        <tr r="U101" s="18"/>
      </tp>
      <tp t="e">
        <v>#N/A</v>
        <stp/>
        <stp>BDH|9941185772731770768</stp>
        <tr r="M31" s="9"/>
      </tp>
      <tp t="e">
        <v>#N/A</v>
        <stp/>
        <stp>BDH|3575213096609227829</stp>
        <tr r="W19" s="25"/>
      </tp>
      <tp t="e">
        <v>#N/A</v>
        <stp/>
        <stp>BDH|4799052192420369410</stp>
        <tr r="R33" s="14"/>
      </tp>
      <tp t="e">
        <v>#N/A</v>
        <stp/>
        <stp>BDH|9731375358177299186</stp>
        <tr r="M33" s="18"/>
      </tp>
      <tp t="e">
        <v>#N/A</v>
        <stp/>
        <stp>BDH|5389325189500956736</stp>
        <tr r="J75" s="24"/>
      </tp>
      <tp t="e">
        <v>#N/A</v>
        <stp/>
        <stp>BDH|9750230467083398726</stp>
        <tr r="D12" s="22"/>
      </tp>
      <tp t="e">
        <v>#N/A</v>
        <stp/>
        <stp>BDH|9246120283651987880</stp>
        <tr r="D43" s="13"/>
        <tr r="D8" s="3"/>
      </tp>
      <tp t="e">
        <v>#N/A</v>
        <stp/>
        <stp>BDH|9017217420133324308</stp>
        <tr r="S9" s="24"/>
      </tp>
      <tp t="e">
        <v>#N/A</v>
        <stp/>
        <stp>BDH|9809142739343555129</stp>
        <tr r="M15" s="12"/>
      </tp>
      <tp t="e">
        <v>#N/A</v>
        <stp/>
        <stp>BDH|5311990502185846029</stp>
        <tr r="K17" s="28"/>
        <tr r="K14" s="17"/>
      </tp>
      <tp t="e">
        <v>#N/A</v>
        <stp/>
        <stp>BDH|6194286389750228507</stp>
        <tr r="X67" s="18"/>
      </tp>
      <tp t="e">
        <v>#N/A</v>
        <stp/>
        <stp>BDH|6756589686820293292</stp>
        <tr r="F80" s="18"/>
      </tp>
      <tp t="e">
        <v>#N/A</v>
        <stp/>
        <stp>BDH|1393999332116244494</stp>
        <tr r="AA24" s="18"/>
      </tp>
      <tp t="e">
        <v>#N/A</v>
        <stp/>
        <stp>BDH|4484852084155083862</stp>
        <tr r="R28" s="6"/>
      </tp>
      <tp t="e">
        <v>#N/A</v>
        <stp/>
        <stp>BDH|9747455942155522562</stp>
        <tr r="Y24" s="17"/>
      </tp>
      <tp t="e">
        <v>#N/A</v>
        <stp/>
        <stp>BDH|9146711091788118630</stp>
        <tr r="K54" s="24"/>
      </tp>
      <tp t="e">
        <v>#N/A</v>
        <stp/>
        <stp>BDH|4088774285145389726</stp>
        <tr r="G177" s="18"/>
      </tp>
      <tp t="e">
        <v>#N/A</v>
        <stp/>
        <stp>BDH|9769673140597025537</stp>
        <tr r="J47" s="13"/>
      </tp>
      <tp t="e">
        <v>#N/A</v>
        <stp/>
        <stp>BDH|9073467406364104026</stp>
        <tr r="O16" s="14"/>
      </tp>
      <tp t="e">
        <v>#N/A</v>
        <stp/>
        <stp>BDH|3066831877094234151</stp>
        <tr r="V126" s="12"/>
      </tp>
      <tp t="e">
        <v>#N/A</v>
        <stp/>
        <stp>BDH|6534534161015218963</stp>
        <tr r="C18" s="21"/>
      </tp>
      <tp t="e">
        <v>#N/A</v>
        <stp/>
        <stp>BDH|8021033801654662574</stp>
        <tr r="H108" s="18"/>
      </tp>
      <tp t="e">
        <v>#N/A</v>
        <stp/>
        <stp>BDH|3406119456227970998</stp>
        <tr r="F69" s="12"/>
      </tp>
      <tp t="e">
        <v>#N/A</v>
        <stp/>
        <stp>BDH|2834209383482081382</stp>
        <tr r="N29" s="17"/>
      </tp>
      <tp t="e">
        <v>#N/A</v>
        <stp/>
        <stp>BDH|5881918353935166588</stp>
        <tr r="W38" s="29"/>
        <tr r="W15" s="29"/>
      </tp>
      <tp t="e">
        <v>#N/A</v>
        <stp/>
        <stp>BDH|9215433779436220593</stp>
        <tr r="J198" s="18"/>
      </tp>
      <tp t="e">
        <v>#N/A</v>
        <stp/>
        <stp>BDH|8166792122701974503</stp>
        <tr r="AA11" s="21"/>
      </tp>
      <tp t="e">
        <v>#N/A</v>
        <stp/>
        <stp>BDH|3132919160405199020</stp>
        <tr r="P109" s="18"/>
      </tp>
      <tp t="e">
        <v>#N/A</v>
        <stp/>
        <stp>BDH|1589154536632558809</stp>
        <tr r="T22" s="30"/>
        <tr r="T24" s="23"/>
      </tp>
      <tp t="e">
        <v>#N/A</v>
        <stp/>
        <stp>BDH|3417050486376115455</stp>
        <tr r="G65" s="13"/>
      </tp>
      <tp t="e">
        <v>#N/A</v>
        <stp/>
        <stp>BDH|4456762116312025970</stp>
        <tr r="J90" s="24"/>
      </tp>
      <tp t="e">
        <v>#N/A</v>
        <stp/>
        <stp>BDH|2684653350179048108</stp>
        <tr r="W29" s="6"/>
      </tp>
      <tp t="e">
        <v>#N/A</v>
        <stp/>
        <stp>BDH|9096358925528464974</stp>
        <tr r="D9" s="34"/>
      </tp>
      <tp t="e">
        <v>#N/A</v>
        <stp/>
        <stp>BDH|6295804760879143808</stp>
        <tr r="N95" s="24"/>
      </tp>
      <tp t="e">
        <v>#N/A</v>
        <stp/>
        <stp>BDH|6620582608372391863</stp>
        <tr r="R173" s="18"/>
      </tp>
      <tp t="e">
        <v>#N/A</v>
        <stp/>
        <stp>BDH|5264614241218216638</stp>
        <tr r="Z38" s="22"/>
      </tp>
      <tp t="e">
        <v>#N/A</v>
        <stp/>
        <stp>BDH|3318978518474865672</stp>
        <tr r="X39" s="29"/>
        <tr r="X16" s="29"/>
      </tp>
      <tp t="e">
        <v>#N/A</v>
        <stp/>
        <stp>BDH|3868657986767882306</stp>
        <tr r="W42" s="11"/>
        <tr r="W51" s="10"/>
        <tr r="W14" s="7"/>
        <tr r="Y9" s="3"/>
      </tp>
      <tp t="e">
        <v>#N/A</v>
        <stp/>
        <stp>BDH|5376708595075421715</stp>
        <tr r="J58" s="24"/>
      </tp>
      <tp t="e">
        <v>#N/A</v>
        <stp/>
        <stp>BDH|2118971858741884657</stp>
        <tr r="E17" s="28"/>
        <tr r="E14" s="17"/>
      </tp>
      <tp t="e">
        <v>#N/A</v>
        <stp/>
        <stp>BDH|8419209771850498421</stp>
        <tr r="X31" s="5"/>
      </tp>
      <tp t="e">
        <v>#N/A</v>
        <stp/>
        <stp>BDH|4006856967660585340</stp>
        <tr r="Z20" s="22"/>
      </tp>
      <tp t="e">
        <v>#N/A</v>
        <stp/>
        <stp>BDH|8497476442298204905</stp>
        <tr r="J8" s="24"/>
      </tp>
      <tp t="e">
        <v>#N/A</v>
        <stp/>
        <stp>BDH|7758511139148852048</stp>
        <tr r="X39" s="24"/>
      </tp>
      <tp t="e">
        <v>#N/A</v>
        <stp/>
        <stp>BDH|1505606796701984693</stp>
        <tr r="R62" s="17"/>
      </tp>
      <tp t="e">
        <v>#N/A</v>
        <stp/>
        <stp>BDH|1216669421648417425</stp>
        <tr r="H13" s="13"/>
      </tp>
      <tp t="e">
        <v>#N/A</v>
        <stp/>
        <stp>BDH|5886980342236114701</stp>
        <tr r="H178" s="18"/>
      </tp>
      <tp t="e">
        <v>#N/A</v>
        <stp/>
        <stp>BDH|5404787741139758699</stp>
        <tr r="D98" s="18"/>
      </tp>
      <tp t="e">
        <v>#N/A</v>
        <stp/>
        <stp>BDH|7572915425096596371</stp>
        <tr r="P50" s="17"/>
      </tp>
      <tp t="e">
        <v>#N/A</v>
        <stp/>
        <stp>BDH|7770524227379551048</stp>
        <tr r="M15" s="4"/>
      </tp>
      <tp t="e">
        <v>#N/A</v>
        <stp/>
        <stp>BDH|3587191145539900631</stp>
        <tr r="I25" s="3"/>
      </tp>
      <tp t="e">
        <v>#N/A</v>
        <stp/>
        <stp>BDH|2782737265243012921</stp>
        <tr r="E8" s="24"/>
      </tp>
      <tp t="e">
        <v>#N/A</v>
        <stp/>
        <stp>BDH|6189845638424851061</stp>
        <tr r="U106" s="12"/>
      </tp>
      <tp t="e">
        <v>#N/A</v>
        <stp/>
        <stp>BDH|1230857690909356074</stp>
        <tr r="J30" s="34"/>
      </tp>
      <tp t="e">
        <v>#N/A</v>
        <stp/>
        <stp>BDH|5288189677479918378</stp>
        <tr r="T15" s="34"/>
      </tp>
      <tp t="e">
        <v>#N/A</v>
        <stp/>
        <stp>BDH|9630385918893451117</stp>
        <tr r="G127" s="18"/>
      </tp>
      <tp t="e">
        <v>#N/A</v>
        <stp/>
        <stp>BDH|1659767301769782651</stp>
        <tr r="J42" s="17"/>
      </tp>
      <tp t="e">
        <v>#N/A</v>
        <stp/>
        <stp>BDH|2479422657999699349</stp>
        <tr r="S15" s="34"/>
      </tp>
      <tp t="e">
        <v>#N/A</v>
        <stp/>
        <stp>BDH|5241644153147173879</stp>
        <tr r="E100" s="18"/>
      </tp>
      <tp t="e">
        <v>#N/A</v>
        <stp/>
        <stp>BDH|1747423328906905871</stp>
        <tr r="F25" s="27"/>
      </tp>
      <tp t="e">
        <v>#N/A</v>
        <stp/>
        <stp>BDH|4294290398176136015</stp>
        <tr r="I15" s="12"/>
      </tp>
      <tp t="e">
        <v>#N/A</v>
        <stp/>
        <stp>BDH|2009773562199026351</stp>
        <tr r="K65" s="21"/>
        <tr r="I23" s="7"/>
      </tp>
      <tp t="e">
        <v>#N/A</v>
        <stp/>
        <stp>BDH|7807444659866084955</stp>
        <tr r="M82" s="24"/>
      </tp>
      <tp t="e">
        <v>#N/A</v>
        <stp/>
        <stp>BDH|2293054100172641918</stp>
        <tr r="E117" s="12"/>
      </tp>
      <tp t="e">
        <v>#N/A</v>
        <stp/>
        <stp>BDH|8252659146810606374</stp>
        <tr r="J164" s="18"/>
      </tp>
      <tp t="e">
        <v>#N/A</v>
        <stp/>
        <stp>BDH|6836935582436975805</stp>
        <tr r="V76" s="17"/>
      </tp>
      <tp t="e">
        <v>#N/A</v>
        <stp/>
        <stp>BDH|4202729903193605958</stp>
        <tr r="AA35" s="12"/>
      </tp>
      <tp t="e">
        <v>#N/A</v>
        <stp/>
        <stp>BDH|3821904041251025696</stp>
        <tr r="V97" s="17"/>
      </tp>
      <tp t="e">
        <v>#N/A</v>
        <stp/>
        <stp>BDH|5237293179660111937</stp>
        <tr r="T166" s="18"/>
      </tp>
      <tp t="e">
        <v>#N/A</v>
        <stp/>
        <stp>BDH|7340943815711574777</stp>
        <tr r="Q16" s="25"/>
      </tp>
      <tp t="e">
        <v>#N/A</v>
        <stp/>
        <stp>BDH|9571320637294475441</stp>
        <tr r="E8" s="17"/>
      </tp>
      <tp t="e">
        <v>#N/A</v>
        <stp/>
        <stp>BDH|1670230996721247216</stp>
        <tr r="M21" s="3"/>
      </tp>
      <tp t="e">
        <v>#N/A</v>
        <stp/>
        <stp>BDH|8479613367306655740</stp>
        <tr r="L161" s="18"/>
      </tp>
      <tp t="e">
        <v>#N/A</v>
        <stp/>
        <stp>BDH|9829401722356803022</stp>
        <tr r="Z26" s="29"/>
      </tp>
      <tp t="e">
        <v>#N/A</v>
        <stp/>
        <stp>BDH|5926976424787830022</stp>
        <tr r="D50" s="12"/>
      </tp>
      <tp t="e">
        <v>#N/A</v>
        <stp/>
        <stp>BDH|4691019667283354835</stp>
        <tr r="C10" s="10"/>
      </tp>
      <tp t="e">
        <v>#N/A</v>
        <stp/>
        <stp>BDH|1193095788554254429</stp>
        <tr r="W16" s="28"/>
        <tr r="W13" s="17"/>
      </tp>
      <tp t="e">
        <v>#N/A</v>
        <stp/>
        <stp>BDH|9939688727190476428</stp>
        <tr r="H8" s="28"/>
      </tp>
      <tp t="e">
        <v>#N/A</v>
        <stp/>
        <stp>BDH|1246670045039668367</stp>
        <tr r="F19" s="23"/>
        <tr r="D59" s="11"/>
      </tp>
      <tp t="e">
        <v>#N/A</v>
        <stp/>
        <stp>BDH|1206480418668359517</stp>
        <tr r="L68" s="12"/>
      </tp>
      <tp t="e">
        <v>#N/A</v>
        <stp/>
        <stp>BDH|5241921362271608243</stp>
        <tr r="G7" s="17"/>
      </tp>
      <tp t="e">
        <v>#N/A</v>
        <stp/>
        <stp>BDH|6901181007177179970</stp>
        <tr r="P18" s="6"/>
      </tp>
      <tp t="e">
        <v>#N/A</v>
        <stp/>
        <stp>BDH|9677532725210374739</stp>
        <tr r="L48" s="18"/>
      </tp>
      <tp t="e">
        <v>#N/A</v>
        <stp/>
        <stp>BDH|7412039156103213831</stp>
        <tr r="D23" s="17"/>
      </tp>
      <tp t="e">
        <v>#N/A</v>
        <stp/>
        <stp>BDH|1872078388041641113</stp>
        <tr r="O55" s="11"/>
      </tp>
      <tp t="e">
        <v>#N/A</v>
        <stp/>
        <stp>BDH|4989687352538628650</stp>
        <tr r="C32" s="9"/>
      </tp>
      <tp t="e">
        <v>#N/A</v>
        <stp/>
        <stp>BDH|9804965413078589085</stp>
        <tr r="V9" s="23"/>
      </tp>
      <tp t="e">
        <v>#N/A</v>
        <stp/>
        <stp>BDH|2255978877351513477</stp>
        <tr r="Q61" s="17"/>
      </tp>
      <tp t="e">
        <v>#N/A</v>
        <stp/>
        <stp>BDH|5004248871060171947</stp>
        <tr r="I25" s="7"/>
      </tp>
      <tp t="e">
        <v>#N/A</v>
        <stp/>
        <stp>BDH|4020578054564237917</stp>
        <tr r="F13" s="22"/>
      </tp>
      <tp t="e">
        <v>#N/A</v>
        <stp/>
        <stp>BDH|5454088549268758021</stp>
        <tr r="T28" s="22"/>
      </tp>
      <tp t="e">
        <v>#N/A</v>
        <stp/>
        <stp>BDH|2057666913338699433</stp>
        <tr r="Y72" s="18"/>
      </tp>
      <tp t="e">
        <v>#N/A</v>
        <stp/>
        <stp>BDH|2102362095840646144</stp>
        <tr r="X91" s="12"/>
      </tp>
      <tp t="e">
        <v>#N/A</v>
        <stp/>
        <stp>BDH|2599760488700271493</stp>
        <tr r="S63" s="12"/>
      </tp>
      <tp t="e">
        <v>#N/A</v>
        <stp/>
        <stp>BDH|9250100314932706211</stp>
        <tr r="J72" s="12"/>
      </tp>
      <tp t="e">
        <v>#N/A</v>
        <stp/>
        <stp>BDH|5563695485402886012</stp>
        <tr r="H56" s="11"/>
        <tr r="H24" s="4"/>
      </tp>
      <tp t="e">
        <v>#N/A</v>
        <stp/>
        <stp>BDH|7022988769078060911</stp>
        <tr r="R12" s="11"/>
      </tp>
      <tp t="e">
        <v>#N/A</v>
        <stp/>
        <stp>BDH|5583991907606912323</stp>
        <tr r="W26" s="24"/>
      </tp>
      <tp t="e">
        <v>#N/A</v>
        <stp/>
        <stp>BDH|9527355632097482762</stp>
        <tr r="M87" s="18"/>
      </tp>
      <tp t="e">
        <v>#N/A</v>
        <stp/>
        <stp>BDH|5917044660532459898</stp>
        <tr r="J86" s="12"/>
      </tp>
      <tp t="e">
        <v>#N/A</v>
        <stp/>
        <stp>BDH|1034430644978375041</stp>
        <tr r="K18" s="20"/>
      </tp>
      <tp t="e">
        <v>#N/A</v>
        <stp/>
        <stp>BDH|6208816460897104622</stp>
        <tr r="L90" s="24"/>
      </tp>
      <tp t="e">
        <v>#N/A</v>
        <stp/>
        <stp>BDH|6841923768439367919</stp>
        <tr r="G58" s="24"/>
      </tp>
      <tp t="e">
        <v>#N/A</v>
        <stp/>
        <stp>BDH|8213749813153017454</stp>
        <tr r="D12" s="13"/>
      </tp>
      <tp t="e">
        <v>#N/A</v>
        <stp/>
        <stp>BDH|1043516497230290446</stp>
        <tr r="Q13" s="34"/>
      </tp>
      <tp t="e">
        <v>#N/A</v>
        <stp/>
        <stp>BDH|3023292709928703076</stp>
        <tr r="N41" s="6"/>
        <tr r="N18" s="5"/>
      </tp>
      <tp t="e">
        <v>#N/A</v>
        <stp/>
        <stp>BDH|1232063182925538535</stp>
        <tr r="E124" s="12"/>
      </tp>
      <tp t="e">
        <v>#N/A</v>
        <stp/>
        <stp>BDH|8624569636700748717</stp>
        <tr r="J64" s="12"/>
      </tp>
      <tp t="e">
        <v>#N/A</v>
        <stp/>
        <stp>BDH|5969496280987337734</stp>
        <tr r="K21" s="18"/>
      </tp>
      <tp t="e">
        <v>#N/A</v>
        <stp/>
        <stp>BDH|9549734719830609696</stp>
        <tr r="AA77" s="34"/>
      </tp>
      <tp t="e">
        <v>#N/A</v>
        <stp/>
        <stp>BDH|2037219326479110261</stp>
        <tr r="D65" s="17"/>
      </tp>
      <tp t="e">
        <v>#N/A</v>
        <stp/>
        <stp>BDH|8318704358134886732</stp>
        <tr r="J19" s="13"/>
        <tr r="H62" s="10"/>
        <tr r="H32" s="4"/>
        <tr r="H16" s="2"/>
      </tp>
      <tp t="e">
        <v>#N/A</v>
        <stp/>
        <stp>BDH|6915200658050660866</stp>
        <tr r="G18" s="26"/>
      </tp>
      <tp t="e">
        <v>#N/A</v>
        <stp/>
        <stp>BDH|8153415826260318743</stp>
        <tr r="X50" s="34"/>
      </tp>
      <tp t="e">
        <v>#N/A</v>
        <stp/>
        <stp>BDH|1632492965038289299</stp>
        <tr r="J9" s="30"/>
      </tp>
      <tp t="e">
        <v>#N/A</v>
        <stp/>
        <stp>BDH|9970190457757178377</stp>
        <tr r="O26" s="29"/>
      </tp>
      <tp t="e">
        <v>#N/A</v>
        <stp/>
        <stp>BDH|9135242935075076415</stp>
        <tr r="I16" s="11"/>
      </tp>
      <tp t="e">
        <v>#N/A</v>
        <stp/>
        <stp>BDH|6024936824604208040</stp>
        <tr r="I10" s="26"/>
      </tp>
      <tp t="e">
        <v>#N/A</v>
        <stp/>
        <stp>BDH|8316647814231212707</stp>
        <tr r="F90" s="18"/>
      </tp>
      <tp t="e">
        <v>#N/A</v>
        <stp/>
        <stp>BDH|1574200691784522700</stp>
        <tr r="X10" s="23"/>
      </tp>
      <tp t="e">
        <v>#N/A</v>
        <stp/>
        <stp>BDH|4096130701675237919</stp>
        <tr r="Q25" s="24"/>
      </tp>
      <tp t="e">
        <v>#N/A</v>
        <stp/>
        <stp>BDH|6205094496647854142</stp>
        <tr r="X40" s="29"/>
        <tr r="X17" s="29"/>
      </tp>
      <tp t="e">
        <v>#N/A</v>
        <stp/>
        <stp>BDH|4481008697297736354</stp>
        <tr r="U118" s="12"/>
      </tp>
      <tp t="e">
        <v>#N/A</v>
        <stp/>
        <stp>BDH|7404774082778379931</stp>
        <tr r="W13" s="30"/>
      </tp>
      <tp t="e">
        <v>#N/A</v>
        <stp/>
        <stp>BDH|8278652953770357263</stp>
        <tr r="AA47" s="12"/>
      </tp>
      <tp t="e">
        <v>#N/A</v>
        <stp/>
        <stp>BDH|9852109809897462646</stp>
        <tr r="O68" s="34"/>
      </tp>
      <tp t="e">
        <v>#N/A</v>
        <stp/>
        <stp>BDH|9544753607922006569</stp>
        <tr r="J8" s="26"/>
        <tr r="G10" s="9"/>
      </tp>
      <tp t="e">
        <v>#N/A</v>
        <stp/>
        <stp>BDH|9964494431176224126</stp>
        <tr r="U12" s="11"/>
      </tp>
      <tp t="e">
        <v>#N/A</v>
        <stp/>
        <stp>BDH|9545943682409267803</stp>
        <tr r="D53" s="12"/>
      </tp>
      <tp t="e">
        <v>#N/A</v>
        <stp/>
        <stp>BDH|3741019560644791804</stp>
        <tr r="O74" s="18"/>
      </tp>
      <tp t="e">
        <v>#N/A</v>
        <stp/>
        <stp>BDH|8415706036271759446</stp>
        <tr r="T38" s="26"/>
      </tp>
      <tp t="e">
        <v>#N/A</v>
        <stp/>
        <stp>BDH|9042260212925414615</stp>
        <tr r="V22" s="11"/>
      </tp>
      <tp t="e">
        <v>#N/A</v>
        <stp/>
        <stp>BDH|8620002800199509829</stp>
        <tr r="C59" s="17"/>
      </tp>
      <tp t="e">
        <v>#N/A</v>
        <stp/>
        <stp>BDH|8170835196885404511</stp>
        <tr r="G19" s="6"/>
      </tp>
      <tp t="e">
        <v>#N/A</v>
        <stp/>
        <stp>BDH|1597945025815766628</stp>
        <tr r="J23" s="24"/>
      </tp>
      <tp t="e">
        <v>#N/A</v>
        <stp/>
        <stp>BDH|7642884231580679588</stp>
        <tr r="M45" s="12"/>
      </tp>
      <tp t="e">
        <v>#N/A</v>
        <stp/>
        <stp>BDH|1399854902687571706</stp>
        <tr r="L39" s="18"/>
      </tp>
      <tp t="e">
        <v>#N/A</v>
        <stp/>
        <stp>BDH|5324559664198201710</stp>
        <tr r="C78" s="18"/>
      </tp>
      <tp t="e">
        <v>#N/A</v>
        <stp/>
        <stp>BDH|4316178382813540728</stp>
        <tr r="E34" s="6"/>
      </tp>
      <tp t="e">
        <v>#N/A</v>
        <stp/>
        <stp>BDH|1612652081840426674</stp>
        <tr r="X43" s="11"/>
        <tr r="X52" s="10"/>
        <tr r="X15" s="7"/>
      </tp>
      <tp t="e">
        <v>#N/A</v>
        <stp/>
        <stp>BDH|7293830739235176081</stp>
        <tr r="N29" s="34"/>
      </tp>
      <tp t="e">
        <v>#N/A</v>
        <stp/>
        <stp>BDH|1496735497417421157</stp>
        <tr r="S96" s="12"/>
      </tp>
      <tp t="e">
        <v>#N/A</v>
        <stp/>
        <stp>BDH|2190271082845596404</stp>
        <tr r="S37" s="22"/>
      </tp>
      <tp t="e">
        <v>#N/A</v>
        <stp/>
        <stp>BDH|3539177191920151235</stp>
        <tr r="X202" s="18"/>
      </tp>
      <tp t="e">
        <v>#N/A</v>
        <stp/>
        <stp>BDH|9864954514440889802</stp>
        <tr r="T12" s="7"/>
      </tp>
      <tp t="e">
        <v>#N/A</v>
        <stp/>
        <stp>BDH|9018233422951177110</stp>
        <tr r="R51" s="13"/>
      </tp>
      <tp t="e">
        <v>#N/A</v>
        <stp/>
        <stp>BDH|7492745086186201751</stp>
        <tr r="V134" s="18"/>
      </tp>
      <tp t="e">
        <v>#N/A</v>
        <stp/>
        <stp>BDH|8884543364043161182</stp>
        <tr r="W28" s="24"/>
      </tp>
      <tp t="e">
        <v>#N/A</v>
        <stp/>
        <stp>BDH|9686302100305314647</stp>
        <tr r="O64" s="18"/>
      </tp>
      <tp t="e">
        <v>#N/A</v>
        <stp/>
        <stp>BDH|9711283060842616684</stp>
        <tr r="S6" s="6"/>
      </tp>
      <tp t="e">
        <v>#N/A</v>
        <stp/>
        <stp>BDH|7269576086352047128</stp>
        <tr r="R13" s="18"/>
      </tp>
      <tp t="e">
        <v>#N/A</v>
        <stp/>
        <stp>BDH|4530672276849042553</stp>
        <tr r="V42" s="6"/>
      </tp>
      <tp t="e">
        <v>#N/A</v>
        <stp/>
        <stp>BDH|9866781755860382279</stp>
        <tr r="V48" s="18"/>
      </tp>
      <tp t="e">
        <v>#N/A</v>
        <stp/>
        <stp>BDH|4765368285643705526</stp>
        <tr r="V59" s="12"/>
      </tp>
      <tp t="e">
        <v>#N/A</v>
        <stp/>
        <stp>BDH|7203826981526898884</stp>
        <tr r="Q180" s="18"/>
      </tp>
      <tp t="e">
        <v>#N/A</v>
        <stp/>
        <stp>BDH|6840609840874983903</stp>
        <tr r="N63" s="11"/>
        <tr r="N72" s="10"/>
      </tp>
      <tp t="e">
        <v>#N/A</v>
        <stp/>
        <stp>BDH|5638402597948434945</stp>
        <tr r="F124" s="12"/>
      </tp>
      <tp t="e">
        <v>#N/A</v>
        <stp/>
        <stp>BDH|5371510236613486968</stp>
        <tr r="D33" s="34"/>
      </tp>
      <tp t="e">
        <v>#N/A</v>
        <stp/>
        <stp>BDH|5247882237444972324</stp>
        <tr r="O111" s="12"/>
      </tp>
      <tp t="e">
        <v>#N/A</v>
        <stp/>
        <stp>BDH|9211257300144265630</stp>
        <tr r="N88" s="18"/>
      </tp>
      <tp t="e">
        <v>#N/A</v>
        <stp/>
        <stp>BDH|9400227541481670775</stp>
        <tr r="F16" s="24"/>
      </tp>
      <tp t="e">
        <v>#N/A</v>
        <stp/>
        <stp>BDH|7614952363188438921</stp>
        <tr r="D34" s="6"/>
      </tp>
      <tp t="e">
        <v>#N/A</v>
        <stp/>
        <stp>BDH|1182093141688948469</stp>
        <tr r="P24" s="13"/>
      </tp>
      <tp t="e">
        <v>#N/A</v>
        <stp/>
        <stp>BDH|7111875610924749379</stp>
        <tr r="AA73" s="18"/>
      </tp>
      <tp t="e">
        <v>#N/A</v>
        <stp/>
        <stp>BDH|5000609717623068819</stp>
        <tr r="R64" s="10"/>
      </tp>
      <tp t="e">
        <v>#N/A</v>
        <stp/>
        <stp>BDH|8706372016362458144</stp>
        <tr r="I16" s="27"/>
        <tr r="I30" s="25"/>
      </tp>
      <tp t="e">
        <v>#N/A</v>
        <stp/>
        <stp>BDH|2873807966155135092</stp>
        <tr r="Z67" s="12"/>
      </tp>
      <tp t="e">
        <v>#N/A</v>
        <stp/>
        <stp>BDH|5621556124713955885</stp>
        <tr r="W7" s="10"/>
      </tp>
      <tp t="e">
        <v>#N/A</v>
        <stp/>
        <stp>BDH|3648972375686454266</stp>
        <tr r="H25" s="21"/>
      </tp>
      <tp t="e">
        <v>#N/A</v>
        <stp/>
        <stp>BDH|7201427563578234472</stp>
        <tr r="S32" s="11"/>
        <tr r="S41" s="10"/>
      </tp>
      <tp t="e">
        <v>#N/A</v>
        <stp/>
        <stp>BDH|9382946384594796521</stp>
        <tr r="C108" s="12"/>
      </tp>
      <tp t="e">
        <v>#N/A</v>
        <stp/>
        <stp>BDH|4338451089673856212</stp>
        <tr r="I26" s="24"/>
      </tp>
      <tp t="e">
        <v>#N/A</v>
        <stp/>
        <stp>BDH|8745605737631377552</stp>
        <tr r="I145" s="18"/>
      </tp>
      <tp t="e">
        <v>#N/A</v>
        <stp/>
        <stp>BDH|4583356882314299266</stp>
        <tr r="X65" s="10"/>
        <tr r="X25" s="4"/>
      </tp>
      <tp t="e">
        <v>#N/A</v>
        <stp/>
        <stp>BDH|2717232894784596438</stp>
        <tr r="K17" s="34"/>
      </tp>
      <tp t="e">
        <v>#N/A</v>
        <stp/>
        <stp>BDH|1417433661759547354</stp>
        <tr r="J61" s="24"/>
      </tp>
      <tp t="e">
        <v>#N/A</v>
        <stp/>
        <stp>BDH|2837856051880986630</stp>
        <tr r="L63" s="21"/>
      </tp>
      <tp t="e">
        <v>#N/A</v>
        <stp/>
        <stp>BDH|3545731083040448574</stp>
        <tr r="AA28" s="22"/>
      </tp>
      <tp t="e">
        <v>#N/A</v>
        <stp/>
        <stp>BDH|7908226273058735390</stp>
        <tr r="C71" s="17"/>
      </tp>
      <tp t="e">
        <v>#N/A</v>
        <stp/>
        <stp>BDH|1651828173830238733</stp>
        <tr r="N12" s="11"/>
      </tp>
      <tp t="e">
        <v>#N/A</v>
        <stp/>
        <stp>BDH|4693677084023585062</stp>
        <tr r="G68" s="34"/>
      </tp>
      <tp t="e">
        <v>#N/A</v>
        <stp/>
        <stp>BDH|2118082540458714782</stp>
        <tr r="I52" s="12"/>
      </tp>
      <tp t="e">
        <v>#N/A</v>
        <stp/>
        <stp>BDH|9258144734395011744</stp>
        <tr r="V60" s="13"/>
      </tp>
      <tp t="e">
        <v>#N/A</v>
        <stp/>
        <stp>BDH|7630246395272655775</stp>
        <tr r="J71" s="34"/>
      </tp>
      <tp t="e">
        <v>#N/A</v>
        <stp/>
        <stp>BDH|9107360434100731025</stp>
        <tr r="AA57" s="12"/>
      </tp>
      <tp t="e">
        <v>#N/A</v>
        <stp/>
        <stp>BDH|1362243880215604770</stp>
        <tr r="W41" s="18"/>
      </tp>
      <tp t="e">
        <v>#N/A</v>
        <stp/>
        <stp>BDH|4651665496151365331</stp>
        <tr r="T48" s="34"/>
      </tp>
      <tp t="e">
        <v>#N/A</v>
        <stp/>
        <stp>BDH|5212171699193829728</stp>
        <tr r="S60" s="12"/>
      </tp>
      <tp t="e">
        <v>#N/A</v>
        <stp/>
        <stp>BDH|5615024292835114017</stp>
        <tr r="R24" s="5"/>
      </tp>
      <tp t="e">
        <v>#N/A</v>
        <stp/>
        <stp>BDH|8199012107186461757</stp>
        <tr r="Y13" s="13"/>
      </tp>
      <tp t="e">
        <v>#N/A</v>
        <stp/>
        <stp>BDH|8560086000908914922</stp>
        <tr r="C70" s="17"/>
        <tr r="C18" s="3"/>
      </tp>
      <tp t="e">
        <v>#N/A</v>
        <stp/>
        <stp>BDH|3890141464025710893</stp>
        <tr r="W42" s="21"/>
      </tp>
      <tp t="e">
        <v>#N/A</v>
        <stp/>
        <stp>BDH|7525902169582280387</stp>
        <tr r="R45" s="22"/>
      </tp>
      <tp t="e">
        <v>#N/A</v>
        <stp/>
        <stp>BDH|7670030652503364829</stp>
        <tr r="W24" s="9"/>
      </tp>
      <tp t="e">
        <v>#N/A</v>
        <stp/>
        <stp>BDH|4394481910578502080</stp>
        <tr r="G21" s="14"/>
      </tp>
      <tp t="e">
        <v>#N/A</v>
        <stp/>
        <stp>BDH|6627881171052894216</stp>
        <tr r="V21" s="4"/>
      </tp>
      <tp t="e">
        <v>#N/A</v>
        <stp/>
        <stp>BDH|5800939593368861460</stp>
        <tr r="M92" s="12"/>
      </tp>
      <tp t="e">
        <v>#N/A</v>
        <stp/>
        <stp>BDH|6014654699310980032</stp>
        <tr r="H61" s="17"/>
      </tp>
      <tp t="e">
        <v>#N/A</v>
        <stp/>
        <stp>BDH|6509199149103521966</stp>
        <tr r="D66" s="18"/>
      </tp>
      <tp t="e">
        <v>#N/A</v>
        <stp/>
        <stp>BDH|1156259014253781819</stp>
        <tr r="M11" s="18"/>
      </tp>
      <tp t="e">
        <v>#N/A</v>
        <stp/>
        <stp>BDH|2558968675142775774</stp>
        <tr r="O42" s="12"/>
      </tp>
      <tp t="e">
        <v>#N/A</v>
        <stp/>
        <stp>BDH|4205953212826115324</stp>
        <tr r="Q152" s="18"/>
      </tp>
      <tp t="e">
        <v>#N/A</v>
        <stp/>
        <stp>BDH|3698496716596822969</stp>
        <tr r="M50" s="17"/>
      </tp>
      <tp t="e">
        <v>#N/A</v>
        <stp/>
        <stp>BDH|6275906165749766971</stp>
        <tr r="L13" s="10"/>
      </tp>
      <tp t="e">
        <v>#N/A</v>
        <stp/>
        <stp>BDH|4448949347503799370</stp>
        <tr r="H22" s="22"/>
      </tp>
      <tp t="e">
        <v>#N/A</v>
        <stp/>
        <stp>BDH|3611819907367780502</stp>
        <tr r="I19" s="24"/>
      </tp>
      <tp t="e">
        <v>#N/A</v>
        <stp/>
        <stp>BDH|6663630982614824583</stp>
        <tr r="P33" s="14"/>
      </tp>
      <tp t="e">
        <v>#N/A</v>
        <stp/>
        <stp>BDH|2956860676713926770</stp>
        <tr r="I168" s="18"/>
      </tp>
      <tp t="e">
        <v>#N/A</v>
        <stp/>
        <stp>BDH|9564352334028710846</stp>
        <tr r="U51" s="18"/>
      </tp>
      <tp t="e">
        <v>#N/A</v>
        <stp/>
        <stp>BDH|7251112984581280629</stp>
        <tr r="O9" s="20"/>
        <tr r="O119" s="18"/>
      </tp>
      <tp t="e">
        <v>#N/A</v>
        <stp/>
        <stp>BDH|5147552292331847192</stp>
        <tr r="AA50" s="17"/>
      </tp>
      <tp t="e">
        <v>#N/A</v>
        <stp/>
        <stp>BDH|8102292067226852306</stp>
        <tr r="Q27" s="26"/>
      </tp>
      <tp t="e">
        <v>#N/A</v>
        <stp/>
        <stp>BDH|8450330872267454261</stp>
        <tr r="E34" s="12"/>
      </tp>
      <tp t="e">
        <v>#N/A</v>
        <stp/>
        <stp>BDH|7015203098822900768</stp>
        <tr r="N26" s="29"/>
      </tp>
      <tp t="e">
        <v>#N/A</v>
        <stp/>
        <stp>BDH|4348157298515158081</stp>
        <tr r="U9" s="20"/>
        <tr r="U119" s="18"/>
      </tp>
      <tp t="e">
        <v>#N/A</v>
        <stp/>
        <stp>BDH|2346719270112189946</stp>
        <tr r="S58" s="12"/>
      </tp>
      <tp t="e">
        <v>#N/A</v>
        <stp/>
        <stp>BDH|2696428883116126110</stp>
        <tr r="E34" s="26"/>
      </tp>
      <tp t="e">
        <v>#N/A</v>
        <stp/>
        <stp>BDH|8234558364823100156</stp>
        <tr r="U46" s="11"/>
        <tr r="U55" s="10"/>
        <tr r="U7" s="7"/>
        <tr r="W12" s="3"/>
      </tp>
      <tp t="e">
        <v>#N/A</v>
        <stp/>
        <stp>BDH|7620677092559572812</stp>
        <tr r="AA144" s="18"/>
      </tp>
      <tp t="e">
        <v>#N/A</v>
        <stp/>
        <stp>BDH|9011410001950285455</stp>
        <tr r="O45" s="22"/>
      </tp>
      <tp t="e">
        <v>#N/A</v>
        <stp/>
        <stp>BDH|6186213081382640709</stp>
        <tr r="AA15" s="22"/>
      </tp>
      <tp t="e">
        <v>#N/A</v>
        <stp/>
        <stp>BDH|9727780169683002210</stp>
        <tr r="X15" s="21"/>
      </tp>
      <tp t="e">
        <v>#N/A</v>
        <stp/>
        <stp>BDH|8832298119757733588</stp>
        <tr r="Q37" s="34"/>
      </tp>
      <tp t="e">
        <v>#N/A</v>
        <stp/>
        <stp>BDH|2754781587424954062</stp>
        <tr r="G102" s="18"/>
      </tp>
      <tp t="e">
        <v>#N/A</v>
        <stp/>
        <stp>BDH|1484801268621284790</stp>
        <tr r="J76" s="34"/>
      </tp>
      <tp t="e">
        <v>#N/A</v>
        <stp/>
        <stp>BDH|2170367589505807512</stp>
        <tr r="AA138" s="18"/>
      </tp>
      <tp t="e">
        <v>#N/A</v>
        <stp/>
        <stp>BDH|2074871826161679007</stp>
        <tr r="I56" s="12"/>
      </tp>
      <tp t="e">
        <v>#N/A</v>
        <stp/>
        <stp>BDH|8081166101197113718</stp>
        <tr r="K16" s="11"/>
      </tp>
      <tp t="e">
        <v>#N/A</v>
        <stp/>
        <stp>BDH|4478848101642318751</stp>
        <tr r="O30" s="9"/>
        <tr r="O30" s="5"/>
      </tp>
      <tp t="e">
        <v>#N/A</v>
        <stp/>
        <stp>BDH|7568142364889503075</stp>
        <tr r="O73" s="34"/>
      </tp>
      <tp t="e">
        <v>#N/A</v>
        <stp/>
        <stp>BDH|7878539499341539307</stp>
        <tr r="S57" s="17"/>
      </tp>
      <tp t="e">
        <v>#N/A</v>
        <stp/>
        <stp>BDH|4928483983089204878</stp>
        <tr r="E11" s="22"/>
      </tp>
      <tp t="e">
        <v>#N/A</v>
        <stp/>
        <stp>BDH|9502849807489458151</stp>
        <tr r="O35" s="18"/>
      </tp>
      <tp t="e">
        <v>#N/A</v>
        <stp/>
        <stp>BDH|8582709844415190775</stp>
        <tr r="H33" s="34"/>
      </tp>
      <tp t="e">
        <v>#N/A</v>
        <stp/>
        <stp>BDH|5596022466622726814</stp>
        <tr r="K7" s="23"/>
      </tp>
      <tp t="e">
        <v>#N/A</v>
        <stp/>
        <stp>BDH|2982711505325992938</stp>
        <tr r="T98" s="17"/>
      </tp>
      <tp t="e">
        <v>#N/A</v>
        <stp/>
        <stp>BDH|6702727112371286826</stp>
        <tr r="M100" s="18"/>
      </tp>
      <tp t="e">
        <v>#N/A</v>
        <stp/>
        <stp>BDH|2823962209171335338</stp>
        <tr r="M31" s="24"/>
      </tp>
      <tp t="e">
        <v>#N/A</v>
        <stp/>
        <stp>BDH|9562494575106890567</stp>
        <tr r="U41" s="11"/>
        <tr r="U50" s="10"/>
        <tr r="U8" s="7"/>
        <tr r="W11" s="3"/>
      </tp>
      <tp t="e">
        <v>#N/A</v>
        <stp/>
        <stp>BDH|8302001662555313258</stp>
        <tr r="J15" s="23"/>
        <tr r="H58" s="11"/>
      </tp>
      <tp t="e">
        <v>#N/A</v>
        <stp/>
        <stp>BDH|6599847029326678397</stp>
        <tr r="U27" s="21"/>
      </tp>
      <tp t="e">
        <v>#N/A</v>
        <stp/>
        <stp>BDH|2162932945426345039</stp>
        <tr r="F69" s="17"/>
      </tp>
      <tp t="e">
        <v>#N/A</v>
        <stp/>
        <stp>BDH|8826662838432704669</stp>
        <tr r="M15" s="21"/>
      </tp>
      <tp t="e">
        <v>#N/A</v>
        <stp/>
        <stp>BDH|3179858187383170957</stp>
        <tr r="C192" s="18"/>
      </tp>
      <tp t="e">
        <v>#N/A</v>
        <stp/>
        <stp>BDH|9482240842784470214</stp>
        <tr r="O18" s="6"/>
      </tp>
      <tp t="e">
        <v>#N/A</v>
        <stp/>
        <stp>BDH|7806941000874842331</stp>
        <tr r="Q18" s="12"/>
      </tp>
      <tp t="e">
        <v>#N/A</v>
        <stp/>
        <stp>BDH|3523625119688185585</stp>
        <tr r="V102" s="12"/>
      </tp>
      <tp t="e">
        <v>#N/A</v>
        <stp/>
        <stp>BDH|5522501507319199045</stp>
        <tr r="C23" s="10"/>
      </tp>
      <tp t="e">
        <v>#N/A</v>
        <stp/>
        <stp>BDH|9166210606891051317</stp>
        <tr r="L69" s="17"/>
      </tp>
      <tp t="e">
        <v>#N/A</v>
        <stp/>
        <stp>BDH|9348868290669145831</stp>
        <tr r="R177" s="18"/>
      </tp>
      <tp t="e">
        <v>#N/A</v>
        <stp/>
        <stp>BDH|9061264683199378325</stp>
        <tr r="Z7" s="30"/>
      </tp>
      <tp t="e">
        <v>#N/A</v>
        <stp/>
        <stp>BDH|7068960967177337665</stp>
        <tr r="O77" s="18"/>
      </tp>
      <tp t="e">
        <v>#N/A</v>
        <stp/>
        <stp>BDH|5004053786795007175</stp>
        <tr r="V22" s="4"/>
      </tp>
      <tp t="e">
        <v>#N/A</v>
        <stp/>
        <stp>BDH|8044994513668604186</stp>
        <tr r="U58" s="13"/>
        <tr r="S47" s="11"/>
        <tr r="S56" s="10"/>
        <tr r="S17" s="7"/>
        <tr r="S17" s="4"/>
        <tr r="U10" s="3"/>
      </tp>
      <tp t="e">
        <v>#N/A</v>
        <stp/>
        <stp>BDH|5904716760778446586</stp>
        <tr r="V61" s="34"/>
      </tp>
      <tp t="e">
        <v>#N/A</v>
        <stp/>
        <stp>BDH|9455856559389566495</stp>
        <tr r="E81" s="24"/>
      </tp>
      <tp t="e">
        <v>#N/A</v>
        <stp/>
        <stp>BDH|8736844278976687894</stp>
        <tr r="Q12" s="26"/>
      </tp>
      <tp t="e">
        <v>#N/A</v>
        <stp/>
        <stp>BDH|3449398141994879900</stp>
        <tr r="AA20" s="25"/>
      </tp>
      <tp t="e">
        <v>#N/A</v>
        <stp/>
        <stp>BDH|8106511303076158266</stp>
        <tr r="K20" s="23"/>
      </tp>
      <tp t="e">
        <v>#N/A</v>
        <stp/>
        <stp>BDH|4944284845383730875</stp>
        <tr r="U21" s="10"/>
      </tp>
      <tp t="e">
        <v>#N/A</v>
        <stp/>
        <stp>BDH|1056924975007129126</stp>
        <tr r="H8" s="12"/>
      </tp>
      <tp t="e">
        <v>#N/A</v>
        <stp/>
        <stp>BDH|6297185439528340548</stp>
        <tr r="Y99" s="12"/>
      </tp>
      <tp t="e">
        <v>#N/A</v>
        <stp/>
        <stp>BDH|8161616522417494228</stp>
        <tr r="S15" s="10"/>
      </tp>
      <tp t="e">
        <v>#N/A</v>
        <stp/>
        <stp>BDH|2294130428219896156</stp>
        <tr r="H41" s="18"/>
      </tp>
      <tp t="e">
        <v>#N/A</v>
        <stp/>
        <stp>BDH|9365446423417827182</stp>
        <tr r="E86" s="24"/>
      </tp>
      <tp t="e">
        <v>#N/A</v>
        <stp/>
        <stp>BDH|5652025818595083889</stp>
        <tr r="G110" s="12"/>
      </tp>
      <tp t="e">
        <v>#N/A</v>
        <stp/>
        <stp>BDH|6707637886140671105</stp>
        <tr r="S31" s="29"/>
      </tp>
      <tp t="e">
        <v>#N/A</v>
        <stp/>
        <stp>BDH|1102949206698407938</stp>
        <tr r="AA19" s="23"/>
        <tr r="Y59" s="11"/>
      </tp>
      <tp t="e">
        <v>#N/A</v>
        <stp/>
        <stp>BDH|9082090162280945669</stp>
        <tr r="G16" s="14"/>
      </tp>
      <tp t="e">
        <v>#N/A</v>
        <stp/>
        <stp>BDH|9337124427406523577</stp>
        <tr r="Z17" s="20"/>
      </tp>
      <tp t="e">
        <v>#N/A</v>
        <stp/>
        <stp>BDH|2267408586316281123</stp>
        <tr r="Y33" s="11"/>
        <tr r="Y42" s="10"/>
      </tp>
      <tp t="e">
        <v>#N/A</v>
        <stp/>
        <stp>BDH|4480466246774782978</stp>
        <tr r="D56" s="34"/>
      </tp>
      <tp t="e">
        <v>#N/A</v>
        <stp/>
        <stp>BDH|9360308435809468969</stp>
        <tr r="Q56" s="6"/>
      </tp>
      <tp t="e">
        <v>#N/A</v>
        <stp/>
        <stp>BDH|3335168962428710547</stp>
        <tr r="N87" s="18"/>
      </tp>
      <tp t="e">
        <v>#N/A</v>
        <stp/>
        <stp>BDH|1421865603456137648</stp>
        <tr r="T15" s="11"/>
      </tp>
      <tp t="e">
        <v>#N/A</v>
        <stp/>
        <stp>BDH|7874665750535895825</stp>
        <tr r="S35" s="4"/>
      </tp>
      <tp t="e">
        <v>#N/A</v>
        <stp/>
        <stp>BDH|3836669588156070227</stp>
        <tr r="J49" s="12"/>
      </tp>
      <tp t="e">
        <v>#N/A</v>
        <stp/>
        <stp>BDH|8446464524971011622</stp>
        <tr r="S81" s="24"/>
      </tp>
      <tp t="e">
        <v>#N/A</v>
        <stp/>
        <stp>BDH|3681005102353433947</stp>
        <tr r="Z35" s="18"/>
      </tp>
      <tp t="e">
        <v>#N/A</v>
        <stp/>
        <stp>BDH|3590567035674147836</stp>
        <tr r="H185" s="18"/>
      </tp>
      <tp t="e">
        <v>#N/A</v>
        <stp/>
        <stp>BDH|4833284462841431826</stp>
        <tr r="C15" s="5"/>
      </tp>
      <tp t="e">
        <v>#N/A</v>
        <stp/>
        <stp>BDH|3731812432826773773</stp>
        <tr r="P83" s="24"/>
      </tp>
      <tp t="e">
        <v>#N/A</v>
        <stp/>
        <stp>BDH|9055111935013286121</stp>
        <tr r="P17" s="22"/>
      </tp>
      <tp t="e">
        <v>#N/A</v>
        <stp/>
        <stp>BDH|8755391502045030788</stp>
        <tr r="K64" s="24"/>
      </tp>
      <tp t="e">
        <v>#N/A</v>
        <stp/>
        <stp>BDH|4637249190161537737</stp>
        <tr r="AA106" s="18"/>
      </tp>
      <tp t="e">
        <v>#N/A</v>
        <stp/>
        <stp>BDH|3495823260295720155</stp>
        <tr r="O53" s="17"/>
      </tp>
      <tp t="e">
        <v>#N/A</v>
        <stp/>
        <stp>BDH|6529868742826490515</stp>
        <tr r="AA39" s="13"/>
        <tr r="Y32" s="10"/>
      </tp>
      <tp t="e">
        <v>#N/A</v>
        <stp/>
        <stp>BDH|1995122884939940828</stp>
        <tr r="Y42" s="22"/>
      </tp>
      <tp t="e">
        <v>#N/A</v>
        <stp/>
        <stp>BDH|8672814605370279949</stp>
        <tr r="N8" s="34"/>
      </tp>
      <tp t="e">
        <v>#N/A</v>
        <stp/>
        <stp>BDH|7105454567644572834</stp>
        <tr r="M28" s="34"/>
      </tp>
      <tp t="e">
        <v>#N/A</v>
        <stp/>
        <stp>BDH|1716034693011300014</stp>
        <tr r="Y29" s="13"/>
        <tr r="Y16" s="13"/>
        <tr r="W17" s="10"/>
      </tp>
      <tp t="e">
        <v>#N/A</v>
        <stp/>
        <stp>BDH|2656848985533300819</stp>
        <tr r="O6" s="15"/>
        <tr r="O6" s="10"/>
        <tr r="O11" s="4"/>
        <tr r="O12" s="2"/>
      </tp>
      <tp t="e">
        <v>#N/A</v>
        <stp/>
        <stp>BDH|4648410727448487319</stp>
        <tr r="Y29" s="21"/>
      </tp>
      <tp t="e">
        <v>#N/A</v>
        <stp/>
        <stp>BDH|3721620461192361824</stp>
        <tr r="G17" s="22"/>
      </tp>
      <tp t="e">
        <v>#N/A</v>
        <stp/>
        <stp>BDH|4783027010948579450</stp>
        <tr r="Q39" s="13"/>
        <tr r="O32" s="10"/>
      </tp>
      <tp t="e">
        <v>#N/A</v>
        <stp/>
        <stp>BDH|7101895521186416284</stp>
        <tr r="I111" s="12"/>
      </tp>
      <tp t="e">
        <v>#N/A</v>
        <stp/>
        <stp>BDH|9412820916538175143</stp>
        <tr r="T23" s="22"/>
      </tp>
      <tp t="e">
        <v>#N/A</v>
        <stp/>
        <stp>BDH|3859892324243537356</stp>
        <tr r="M166" s="18"/>
      </tp>
      <tp t="e">
        <v>#N/A</v>
        <stp/>
        <stp>BDH|5994485292252585335</stp>
        <tr r="S70" s="18"/>
      </tp>
      <tp t="e">
        <v>#N/A</v>
        <stp/>
        <stp>BDH|6775179971298363179</stp>
        <tr r="R42" s="17"/>
      </tp>
      <tp t="e">
        <v>#N/A</v>
        <stp/>
        <stp>BDH|2020445273608603042</stp>
        <tr r="Q15" s="21"/>
      </tp>
      <tp t="e">
        <v>#N/A</v>
        <stp/>
        <stp>BDH|6855953668084029407</stp>
        <tr r="J103" s="12"/>
      </tp>
      <tp t="e">
        <v>#N/A</v>
        <stp/>
        <stp>BDH|8445240241992073548</stp>
        <tr r="I31" s="21"/>
      </tp>
      <tp t="e">
        <v>#N/A</v>
        <stp/>
        <stp>BDH|2532264995462724243</stp>
        <tr r="F44" s="34"/>
      </tp>
      <tp t="e">
        <v>#N/A</v>
        <stp/>
        <stp>BDH|8045316623413747307</stp>
        <tr r="J26" s="21"/>
      </tp>
      <tp t="e">
        <v>#N/A</v>
        <stp/>
        <stp>BDH|7641670587217413772</stp>
        <tr r="U42" s="17"/>
      </tp>
      <tp t="e">
        <v>#N/A</v>
        <stp/>
        <stp>BDH|5128943457456571627</stp>
        <tr r="T34" s="13"/>
        <tr r="R27" s="10"/>
      </tp>
      <tp t="e">
        <v>#N/A</v>
        <stp/>
        <stp>BDH|3511689609484205839</stp>
        <tr r="I160" s="18"/>
      </tp>
      <tp t="e">
        <v>#N/A</v>
        <stp/>
        <stp>BDH|1461465643550319872</stp>
        <tr r="F9" s="25"/>
        <tr r="F44" s="17"/>
      </tp>
      <tp t="e">
        <v>#N/A</v>
        <stp/>
        <stp>BDH|5658744332261220975</stp>
        <tr r="J7" s="10"/>
      </tp>
      <tp t="e">
        <v>#N/A</v>
        <stp/>
        <stp>BDH|8230460103180260500</stp>
        <tr r="N74" s="24"/>
      </tp>
      <tp t="e">
        <v>#N/A</v>
        <stp/>
        <stp>BDH|2241313768077704990</stp>
        <tr r="Z63" s="12"/>
      </tp>
      <tp t="e">
        <v>#N/A</v>
        <stp/>
        <stp>BDH|6656826302710508763</stp>
        <tr r="C39" s="29"/>
        <tr r="C16" s="29"/>
      </tp>
      <tp t="e">
        <v>#N/A</v>
        <stp/>
        <stp>BDH|6743820574686343671</stp>
        <tr r="Q15" s="4"/>
      </tp>
      <tp t="e">
        <v>#N/A</v>
        <stp/>
        <stp>BDH|1769871512332677314</stp>
        <tr r="M25" s="5"/>
      </tp>
      <tp t="e">
        <v>#N/A</v>
        <stp/>
        <stp>BDH|1567100398575979513</stp>
        <tr r="U23" s="30"/>
        <tr r="U25" s="23"/>
      </tp>
      <tp t="e">
        <v>#N/A</v>
        <stp/>
        <stp>BDH|7433581598375117706</stp>
        <tr r="V36" s="17"/>
      </tp>
      <tp t="e">
        <v>#N/A</v>
        <stp/>
        <stp>BDH|6681434583424278719</stp>
        <tr r="G114" s="12"/>
      </tp>
      <tp t="e">
        <v>#N/A</v>
        <stp/>
        <stp>BDH|9445494717741796487</stp>
        <tr r="Q87" s="12"/>
      </tp>
      <tp t="e">
        <v>#N/A</v>
        <stp/>
        <stp>BDH|2929468961310222992</stp>
        <tr r="E48" s="13"/>
      </tp>
      <tp t="e">
        <v>#N/A</v>
        <stp/>
        <stp>BDH|7602856676408422948</stp>
        <tr r="H40" s="13"/>
        <tr r="F24" s="10"/>
        <tr r="F46" s="4"/>
      </tp>
      <tp t="e">
        <v>#N/A</v>
        <stp/>
        <stp>BDH|7634328034117176946</stp>
        <tr r="I65" s="17"/>
      </tp>
      <tp t="e">
        <v>#N/A</v>
        <stp/>
        <stp>BDH|8011858755785361963</stp>
        <tr r="F106" s="18"/>
      </tp>
      <tp t="e">
        <v>#N/A</v>
        <stp/>
        <stp>BDH|2653306438488944328</stp>
        <tr r="F27" s="24"/>
      </tp>
      <tp t="e">
        <v>#N/A</v>
        <stp/>
        <stp>BDH|9467653260039465909</stp>
        <tr r="O49" s="34"/>
      </tp>
      <tp t="e">
        <v>#N/A</v>
        <stp/>
        <stp>BDH|1885308988383109049</stp>
        <tr r="Q9" s="30"/>
      </tp>
      <tp t="e">
        <v>#N/A</v>
        <stp/>
        <stp>BDH|8828308732248913963</stp>
        <tr r="AA20" s="23"/>
      </tp>
      <tp t="e">
        <v>#N/A</v>
        <stp/>
        <stp>BDH|3895158462594292987</stp>
        <tr r="AA11" s="14"/>
      </tp>
      <tp t="e">
        <v>#N/A</v>
        <stp/>
        <stp>BDH|5314202031868239552</stp>
        <tr r="I10" s="17"/>
      </tp>
      <tp t="e">
        <v>#N/A</v>
        <stp/>
        <stp>BDH|2897736746728847001</stp>
        <tr r="Y38" s="22"/>
      </tp>
      <tp t="e">
        <v>#N/A</v>
        <stp/>
        <stp>BDH|8726658406561255637</stp>
        <tr r="I66" s="10"/>
        <tr r="I39" s="4"/>
      </tp>
      <tp t="e">
        <v>#N/A</v>
        <stp/>
        <stp>BDH|7171564733859410157</stp>
        <tr r="Q65" s="24"/>
      </tp>
      <tp t="e">
        <v>#N/A</v>
        <stp/>
        <stp>BDH|7893575807172421992</stp>
        <tr r="I14" s="10"/>
      </tp>
      <tp t="e">
        <v>#N/A</v>
        <stp/>
        <stp>BDH|7034369880522170725</stp>
        <tr r="Z82" s="12"/>
      </tp>
      <tp t="e">
        <v>#N/A</v>
        <stp/>
        <stp>BDH|4166262403197403858</stp>
        <tr r="K9" s="26"/>
      </tp>
      <tp t="e">
        <v>#N/A</v>
        <stp/>
        <stp>BDH|9648774473457415739</stp>
        <tr r="P29" s="22"/>
      </tp>
      <tp t="e">
        <v>#N/A</v>
        <stp/>
        <stp>BDH|1184402665329565340</stp>
        <tr r="W212" s="18"/>
      </tp>
      <tp t="e">
        <v>#N/A</v>
        <stp/>
        <stp>BDH|8931098343326535334</stp>
        <tr r="S86" s="12"/>
      </tp>
      <tp t="e">
        <v>#N/A</v>
        <stp/>
        <stp>BDH|9235360815596604429</stp>
        <tr r="N24" s="21"/>
      </tp>
      <tp t="e">
        <v>#N/A</v>
        <stp/>
        <stp>BDH|1797232682866295414</stp>
        <tr r="X12" s="20"/>
        <tr r="X121" s="18"/>
      </tp>
      <tp t="e">
        <v>#N/A</v>
        <stp/>
        <stp>BDH|9565265213287383467</stp>
        <tr r="L93" s="12"/>
      </tp>
      <tp t="e">
        <v>#N/A</v>
        <stp/>
        <stp>BDH|5398324733025547927</stp>
        <tr r="M32" s="18"/>
      </tp>
      <tp t="e">
        <v>#N/A</v>
        <stp/>
        <stp>BDH|86735950431202743</stp>
        <tr r="N158" s="18"/>
      </tp>
      <tp t="e">
        <v>#N/A</v>
        <stp/>
        <stp>BDH|88275753081790260</stp>
        <tr r="U115" s="18"/>
      </tp>
      <tp t="e">
        <v>#N/A</v>
        <stp/>
        <stp>BDH|16956266048033325</stp>
        <tr r="X13" s="11"/>
      </tp>
      <tp t="e">
        <v>#N/A</v>
        <stp/>
        <stp>BDH|90036774757820402</stp>
        <tr r="J23" s="10"/>
      </tp>
      <tp t="e">
        <v>#N/A</v>
        <stp/>
        <stp>BDH|47626866097309389</stp>
        <tr r="U87" s="24"/>
      </tp>
      <tp t="e">
        <v>#N/A</v>
        <stp/>
        <stp>BDH|64574010882960234</stp>
        <tr r="Y26" s="27"/>
      </tp>
      <tp t="e">
        <v>#N/A</v>
        <stp/>
        <stp>BDH|79185600355780057</stp>
        <tr r="L19" s="26"/>
      </tp>
      <tp t="e">
        <v>#N/A</v>
        <stp/>
        <stp>BDH|14222150680010396</stp>
        <tr r="O25" s="11"/>
        <tr r="O34" s="10"/>
      </tp>
      <tp t="e">
        <v>#N/A</v>
        <stp/>
        <stp>BDH|3549136085396900600</stp>
        <tr r="E9" s="24"/>
      </tp>
      <tp t="e">
        <v>#N/A</v>
        <stp/>
        <stp>BDH|6879266104096142814</stp>
        <tr r="Z69" s="12"/>
      </tp>
      <tp t="e">
        <v>#N/A</v>
        <stp/>
        <stp>BDH|2457584757881686970</stp>
        <tr r="Y97" s="12"/>
      </tp>
      <tp t="e">
        <v>#N/A</v>
        <stp/>
        <stp>BDH|4648385333277647916</stp>
        <tr r="C15" s="4"/>
      </tp>
      <tp t="e">
        <v>#N/A</v>
        <stp/>
        <stp>BDH|8876275628256986448</stp>
        <tr r="C6" s="15"/>
        <tr r="C6" s="10"/>
        <tr r="C11" s="4"/>
        <tr r="C12" s="2"/>
      </tp>
      <tp t="e">
        <v>#N/A</v>
        <stp/>
        <stp>BDH|7534292247282356926</stp>
        <tr r="G46" s="13"/>
      </tp>
      <tp t="e">
        <v>#N/A</v>
        <stp/>
        <stp>BDH|6566173403178807537</stp>
        <tr r="H20" s="34"/>
      </tp>
      <tp t="e">
        <v>#N/A</v>
        <stp/>
        <stp>BDH|3088550759911765814</stp>
        <tr r="W82" s="12"/>
      </tp>
      <tp t="e">
        <v>#N/A</v>
        <stp/>
        <stp>BDH|6643657528238312022</stp>
        <tr r="Y18" s="17"/>
      </tp>
      <tp t="e">
        <v>#N/A</v>
        <stp/>
        <stp>BDH|5413401643538953745</stp>
        <tr r="I63" s="10"/>
      </tp>
      <tp t="e">
        <v>#N/A</v>
        <stp/>
        <stp>BDH|9165783223190469647</stp>
        <tr r="H124" s="12"/>
      </tp>
      <tp t="e">
        <v>#N/A</v>
        <stp/>
        <stp>BDH|5526207559260046866</stp>
        <tr r="Z77" s="17"/>
      </tp>
      <tp t="e">
        <v>#N/A</v>
        <stp/>
        <stp>BDH|2866050484112319203</stp>
        <tr r="H9" s="21"/>
      </tp>
      <tp t="e">
        <v>#N/A</v>
        <stp/>
        <stp>BDH|6337781265025562810</stp>
        <tr r="L43" s="18"/>
      </tp>
      <tp t="e">
        <v>#N/A</v>
        <stp/>
        <stp>BDH|8266493508144979207</stp>
        <tr r="I178" s="18"/>
      </tp>
      <tp t="e">
        <v>#N/A</v>
        <stp/>
        <stp>BDH|2564951270692807425</stp>
        <tr r="R15" s="25"/>
      </tp>
      <tp t="e">
        <v>#N/A</v>
        <stp/>
        <stp>BDH|5493386535938773746</stp>
        <tr r="N13" s="12"/>
      </tp>
      <tp t="e">
        <v>#N/A</v>
        <stp/>
        <stp>BDH|6106816761396974425</stp>
        <tr r="O6" s="27"/>
      </tp>
      <tp t="e">
        <v>#N/A</v>
        <stp/>
        <stp>BDH|5721851846142673182</stp>
        <tr r="F26" s="11"/>
        <tr r="F35" s="10"/>
      </tp>
      <tp t="e">
        <v>#N/A</v>
        <stp/>
        <stp>BDH|5573754898147327617</stp>
        <tr r="E202" s="18"/>
      </tp>
      <tp t="e">
        <v>#N/A</v>
        <stp/>
        <stp>BDH|7083909048148350813</stp>
        <tr r="D50" s="18"/>
      </tp>
      <tp t="e">
        <v>#N/A</v>
        <stp/>
        <stp>BDH|5996630581955134405</stp>
        <tr r="AA62" s="24"/>
      </tp>
      <tp t="e">
        <v>#N/A</v>
        <stp/>
        <stp>BDH|5548983319951790691</stp>
        <tr r="H34" s="9"/>
      </tp>
      <tp t="e">
        <v>#N/A</v>
        <stp/>
        <stp>BDH|9711757092164859924</stp>
        <tr r="I29" s="13"/>
        <tr r="I16" s="13"/>
        <tr r="G17" s="10"/>
      </tp>
      <tp t="e">
        <v>#N/A</v>
        <stp/>
        <stp>BDH|8902620853908063929</stp>
        <tr r="X85" s="12"/>
      </tp>
      <tp t="e">
        <v>#N/A</v>
        <stp/>
        <stp>BDH|3390837409132266310</stp>
        <tr r="G19" s="21"/>
        <tr r="G23" s="3"/>
        <tr r="E23" s="2"/>
      </tp>
      <tp t="e">
        <v>#N/A</v>
        <stp/>
        <stp>BDH|6417116044918865130</stp>
        <tr r="X8" s="11"/>
      </tp>
      <tp t="e">
        <v>#N/A</v>
        <stp/>
        <stp>BDH|8824711544616243759</stp>
        <tr r="U68" s="34"/>
      </tp>
      <tp t="e">
        <v>#N/A</v>
        <stp/>
        <stp>BDH|9421115813977840442</stp>
        <tr r="D195" s="18"/>
      </tp>
      <tp t="e">
        <v>#N/A</v>
        <stp/>
        <stp>BDH|1215987004951309377</stp>
        <tr r="M40" s="22"/>
      </tp>
      <tp t="e">
        <v>#N/A</v>
        <stp/>
        <stp>BDH|3950861664686619178</stp>
        <tr r="T53" s="13"/>
      </tp>
      <tp t="e">
        <v>#N/A</v>
        <stp/>
        <stp>BDH|6067790893556606469</stp>
        <tr r="Q22" s="6"/>
      </tp>
      <tp t="e">
        <v>#N/A</v>
        <stp/>
        <stp>BDH|9480136688699607332</stp>
        <tr r="W129" s="18"/>
      </tp>
      <tp t="e">
        <v>#N/A</v>
        <stp/>
        <stp>BDH|1816925890319729278</stp>
        <tr r="E59" s="13"/>
      </tp>
      <tp t="e">
        <v>#N/A</v>
        <stp/>
        <stp>BDH|6850826049214190485</stp>
        <tr r="D36" s="22"/>
      </tp>
      <tp t="e">
        <v>#N/A</v>
        <stp/>
        <stp>BDH|4083804543180916201</stp>
        <tr r="C69" s="18"/>
      </tp>
      <tp t="e">
        <v>#N/A</v>
        <stp/>
        <stp>BDH|4985648257344586957</stp>
        <tr r="Q36" s="4"/>
      </tp>
      <tp t="e">
        <v>#N/A</v>
        <stp/>
        <stp>BDH|8082522864214533597</stp>
        <tr r="N185" s="18"/>
      </tp>
      <tp t="e">
        <v>#N/A</v>
        <stp/>
        <stp>BDH|4798713811188579083</stp>
        <tr r="S39" s="29"/>
        <tr r="S16" s="29"/>
      </tp>
      <tp t="e">
        <v>#N/A</v>
        <stp/>
        <stp>BDH|9143388183278786079</stp>
        <tr r="D21" s="3"/>
      </tp>
      <tp t="e">
        <v>#N/A</v>
        <stp/>
        <stp>BDH|2151298382356312431</stp>
        <tr r="D143" s="18"/>
      </tp>
      <tp t="e">
        <v>#N/A</v>
        <stp/>
        <stp>BDH|5565031361951511881</stp>
        <tr r="Z91" s="12"/>
      </tp>
      <tp t="e">
        <v>#N/A</v>
        <stp/>
        <stp>BDH|5808845935322676640</stp>
        <tr r="Y75" s="24"/>
      </tp>
      <tp t="e">
        <v>#N/A</v>
        <stp/>
        <stp>BDH|4343182789703036493</stp>
        <tr r="P19" s="25"/>
      </tp>
      <tp t="e">
        <v>#N/A</v>
        <stp/>
        <stp>BDH|9984271945164395130</stp>
        <tr r="M26" s="6"/>
      </tp>
      <tp t="e">
        <v>#N/A</v>
        <stp/>
        <stp>BDH|6970148455130467878</stp>
        <tr r="U71" s="17"/>
        <tr r="R8" s="9"/>
        <tr r="R8" s="5"/>
      </tp>
      <tp t="e">
        <v>#N/A</v>
        <stp/>
        <stp>BDH|8902361760842292560</stp>
        <tr r="J25" s="11"/>
        <tr r="J34" s="10"/>
      </tp>
      <tp t="e">
        <v>#N/A</v>
        <stp/>
        <stp>BDH|3575772657099905275</stp>
        <tr r="H15" s="21"/>
      </tp>
      <tp t="e">
        <v>#N/A</v>
        <stp/>
        <stp>BDH|8462265646531926567</stp>
        <tr r="S8" s="26"/>
        <tr r="P10" s="9"/>
      </tp>
      <tp t="e">
        <v>#N/A</v>
        <stp/>
        <stp>BDH|8265388943892426767</stp>
        <tr r="L20" s="14"/>
      </tp>
      <tp t="e">
        <v>#N/A</v>
        <stp/>
        <stp>BDH|2341127128169448265</stp>
        <tr r="AA152" s="18"/>
      </tp>
      <tp t="e">
        <v>#N/A</v>
        <stp/>
        <stp>BDH|2927785289094607354</stp>
        <tr r="K10" s="22"/>
      </tp>
      <tp t="e">
        <v>#N/A</v>
        <stp/>
        <stp>BDH|8473179663227887236</stp>
        <tr r="J17" s="34"/>
      </tp>
      <tp t="e">
        <v>#N/A</v>
        <stp/>
        <stp>BDH|1872909416661291273</stp>
        <tr r="K10" s="24"/>
      </tp>
      <tp t="e">
        <v>#N/A</v>
        <stp/>
        <stp>BDH|3618411952239931173</stp>
        <tr r="X165" s="18"/>
      </tp>
      <tp t="e">
        <v>#N/A</v>
        <stp/>
        <stp>BDH|4489583579594856869</stp>
        <tr r="Z111" s="12"/>
      </tp>
      <tp t="e">
        <v>#N/A</v>
        <stp/>
        <stp>BDH|9145205636880896242</stp>
        <tr r="J61" s="18"/>
      </tp>
      <tp t="e">
        <v>#N/A</v>
        <stp/>
        <stp>BDH|8875434560512506253</stp>
        <tr r="M36" s="29"/>
        <tr r="M22" s="29"/>
        <tr r="M13" s="29"/>
      </tp>
      <tp t="e">
        <v>#N/A</v>
        <stp/>
        <stp>BDH|9859655955464637452</stp>
        <tr r="M35" s="22"/>
      </tp>
      <tp t="e">
        <v>#N/A</v>
        <stp/>
        <stp>BDH|9687599667835550569</stp>
        <tr r="Y27" s="13"/>
      </tp>
      <tp t="e">
        <v>#N/A</v>
        <stp/>
        <stp>BDH|1555969147617799186</stp>
        <tr r="H20" s="22"/>
      </tp>
      <tp t="e">
        <v>#N/A</v>
        <stp/>
        <stp>BDH|4837450800472628801</stp>
        <tr r="V17" s="30"/>
      </tp>
      <tp t="e">
        <v>#N/A</v>
        <stp/>
        <stp>BDH|2029525424348948744</stp>
        <tr r="T12" s="22"/>
      </tp>
      <tp t="e">
        <v>#N/A</v>
        <stp/>
        <stp>BDH|7526991116643843696</stp>
        <tr r="H18" s="24"/>
      </tp>
      <tp t="e">
        <v>#N/A</v>
        <stp/>
        <stp>BDH|8842967943409004660</stp>
        <tr r="AA132" s="18"/>
      </tp>
      <tp t="e">
        <v>#N/A</v>
        <stp/>
        <stp>BDH|1700240661329803615</stp>
        <tr r="D94" s="24"/>
      </tp>
      <tp t="e">
        <v>#N/A</v>
        <stp/>
        <stp>BDH|4257210135536816957</stp>
        <tr r="C38" s="13"/>
      </tp>
      <tp t="e">
        <v>#N/A</v>
        <stp/>
        <stp>BDH|4296652395676027796</stp>
        <tr r="U82" s="18"/>
      </tp>
      <tp t="e">
        <v>#N/A</v>
        <stp/>
        <stp>BDH|6131966501800463592</stp>
        <tr r="X26" s="34"/>
      </tp>
      <tp t="e">
        <v>#N/A</v>
        <stp/>
        <stp>BDH|2662819209566125641</stp>
        <tr r="F32" s="9"/>
      </tp>
      <tp t="e">
        <v>#N/A</v>
        <stp/>
        <stp>BDH|7274790594047096447</stp>
        <tr r="C23" s="20"/>
      </tp>
      <tp t="e">
        <v>#N/A</v>
        <stp/>
        <stp>BDH|1437221399153339379</stp>
        <tr r="H109" s="12"/>
      </tp>
      <tp t="e">
        <v>#N/A</v>
        <stp/>
        <stp>BDH|8088349383978856144</stp>
        <tr r="K10" s="34"/>
      </tp>
      <tp t="e">
        <v>#N/A</v>
        <stp/>
        <stp>BDH|8583680811593228656</stp>
        <tr r="AA41" s="21"/>
      </tp>
      <tp t="e">
        <v>#N/A</v>
        <stp/>
        <stp>BDH|8250989786246143562</stp>
        <tr r="E11" s="21"/>
      </tp>
      <tp t="e">
        <v>#N/A</v>
        <stp/>
        <stp>BDH|9440561209756496043</stp>
        <tr r="J60" s="12"/>
      </tp>
      <tp t="e">
        <v>#N/A</v>
        <stp/>
        <stp>BDH|6266017883311831539</stp>
        <tr r="AA20" s="22"/>
      </tp>
      <tp t="e">
        <v>#N/A</v>
        <stp/>
        <stp>BDH|8776335312351889152</stp>
        <tr r="H28" s="17"/>
      </tp>
      <tp t="e">
        <v>#N/A</v>
        <stp/>
        <stp>BDH|2745814932364968768</stp>
        <tr r="N36" s="22"/>
      </tp>
      <tp t="e">
        <v>#N/A</v>
        <stp/>
        <stp>BDH|6624848105396917255</stp>
        <tr r="Q66" s="21"/>
        <tr r="N31" s="6"/>
      </tp>
      <tp t="e">
        <v>#N/A</v>
        <stp/>
        <stp>BDH|1503069929689262035</stp>
        <tr r="Q112" s="12"/>
      </tp>
      <tp t="e">
        <v>#N/A</v>
        <stp/>
        <stp>BDH|4273992185809459614</stp>
        <tr r="R21" s="17"/>
      </tp>
      <tp t="e">
        <v>#N/A</v>
        <stp/>
        <stp>BDH|8467409070534675592</stp>
        <tr r="E32" s="17"/>
      </tp>
      <tp t="e">
        <v>#N/A</v>
        <stp/>
        <stp>BDH|6877958353038318861</stp>
        <tr r="L184" s="18"/>
      </tp>
      <tp t="e">
        <v>#N/A</v>
        <stp/>
        <stp>BDH|1778702532067886863</stp>
        <tr r="T33" s="34"/>
      </tp>
      <tp t="e">
        <v>#N/A</v>
        <stp/>
        <stp>BDH|3501277719459174325</stp>
        <tr r="S44" s="22"/>
      </tp>
      <tp t="e">
        <v>#N/A</v>
        <stp/>
        <stp>BDH|6952595884011467087</stp>
        <tr r="H50" s="4"/>
      </tp>
      <tp t="e">
        <v>#N/A</v>
        <stp/>
        <stp>BDH|9333800099241078327</stp>
        <tr r="W22" s="18"/>
      </tp>
      <tp t="e">
        <v>#N/A</v>
        <stp/>
        <stp>BDH|9286172486899203393</stp>
        <tr r="C163" s="18"/>
      </tp>
      <tp t="e">
        <v>#N/A</v>
        <stp/>
        <stp>BDH|1918632961658365303</stp>
        <tr r="D84" s="24"/>
      </tp>
      <tp t="e">
        <v>#N/A</v>
        <stp/>
        <stp>BDH|7833182975892992940</stp>
        <tr r="C30" s="34"/>
      </tp>
      <tp t="e">
        <v>#N/A</v>
        <stp/>
        <stp>BDH|2522831109523018377</stp>
        <tr r="Z64" s="24"/>
      </tp>
      <tp t="e">
        <v>#N/A</v>
        <stp/>
        <stp>BDH|7426843705853882652</stp>
        <tr r="W12" s="26"/>
      </tp>
      <tp t="e">
        <v>#N/A</v>
        <stp/>
        <stp>BDH|2249996616648741823</stp>
        <tr r="T34" s="18"/>
      </tp>
      <tp t="e">
        <v>#N/A</v>
        <stp/>
        <stp>BDH|5169723925272837866</stp>
        <tr r="K86" s="24"/>
      </tp>
      <tp t="e">
        <v>#N/A</v>
        <stp/>
        <stp>BDH|3347274267465211897</stp>
        <tr r="AA28" s="18"/>
      </tp>
      <tp t="e">
        <v>#N/A</v>
        <stp/>
        <stp>BDH|4924159070719688126</stp>
        <tr r="J185" s="18"/>
      </tp>
      <tp t="e">
        <v>#N/A</v>
        <stp/>
        <stp>BDH|4041929271683894330</stp>
        <tr r="V118" s="12"/>
      </tp>
      <tp t="e">
        <v>#N/A</v>
        <stp/>
        <stp>BDH|2565337199672279052</stp>
        <tr r="AA92" s="12"/>
      </tp>
      <tp t="e">
        <v>#N/A</v>
        <stp/>
        <stp>BDH|3885395276619680496</stp>
        <tr r="Y77" s="34"/>
      </tp>
      <tp t="e">
        <v>#N/A</v>
        <stp/>
        <stp>BDH|6623680333701697839</stp>
        <tr r="K126" s="12"/>
      </tp>
      <tp t="e">
        <v>#N/A</v>
        <stp/>
        <stp>BDH|6201047448061551937</stp>
        <tr r="R46" s="22"/>
      </tp>
      <tp t="e">
        <v>#N/A</v>
        <stp/>
        <stp>BDH|1973620396735430116</stp>
        <tr r="J8" s="18"/>
      </tp>
      <tp t="e">
        <v>#N/A</v>
        <stp/>
        <stp>BDH|2113647745183876905</stp>
        <tr r="L28" s="24"/>
      </tp>
      <tp t="e">
        <v>#N/A</v>
        <stp/>
        <stp>BDH|9604286004332573375</stp>
        <tr r="R81" s="34"/>
      </tp>
      <tp t="e">
        <v>#N/A</v>
        <stp/>
        <stp>BDH|1723484646553457851</stp>
        <tr r="J73" s="24"/>
      </tp>
      <tp t="e">
        <v>#N/A</v>
        <stp/>
        <stp>BDH|9711308949860519437</stp>
        <tr r="C61" s="11"/>
        <tr r="C70" s="10"/>
        <tr r="C20" s="7"/>
      </tp>
      <tp t="e">
        <v>#N/A</v>
        <stp/>
        <stp>BDH|5012920478694068527</stp>
        <tr r="O78" s="24"/>
      </tp>
      <tp t="e">
        <v>#N/A</v>
        <stp/>
        <stp>BDH|6043897969625078784</stp>
        <tr r="R57" s="6"/>
      </tp>
      <tp t="e">
        <v>#N/A</v>
        <stp/>
        <stp>BDH|9539186243574272241</stp>
        <tr r="N81" s="17"/>
      </tp>
      <tp t="e">
        <v>#N/A</v>
        <stp/>
        <stp>BDH|5632880460953673204</stp>
        <tr r="X65" s="24"/>
      </tp>
      <tp t="e">
        <v>#N/A</v>
        <stp/>
        <stp>BDH|7336919282635915914</stp>
        <tr r="W45" s="13"/>
        <tr r="U29" s="11"/>
        <tr r="U38" s="10"/>
      </tp>
      <tp t="e">
        <v>#N/A</v>
        <stp/>
        <stp>BDH|9111692023175435278</stp>
        <tr r="S93" s="24"/>
      </tp>
      <tp t="e">
        <v>#N/A</v>
        <stp/>
        <stp>BDH|2287537198192843691</stp>
        <tr r="P105" s="12"/>
      </tp>
      <tp t="e">
        <v>#N/A</v>
        <stp/>
        <stp>BDH|8825687874124482787</stp>
        <tr r="M62" s="21"/>
        <tr r="K25" s="2"/>
      </tp>
      <tp t="e">
        <v>#N/A</v>
        <stp/>
        <stp>BDH|6765889828531896778</stp>
        <tr r="Q38" s="21"/>
        <tr r="Q24" s="3"/>
      </tp>
      <tp t="e">
        <v>#N/A</v>
        <stp/>
        <stp>BDH|2666067067358814679</stp>
        <tr r="K43" s="29"/>
      </tp>
      <tp t="e">
        <v>#N/A</v>
        <stp/>
        <stp>BDH|7202634806049908269</stp>
        <tr r="AA34" s="24"/>
      </tp>
      <tp t="e">
        <v>#N/A</v>
        <stp/>
        <stp>BDH|9100199265644352066</stp>
        <tr r="U22" s="20"/>
      </tp>
      <tp t="e">
        <v>#N/A</v>
        <stp/>
        <stp>BDH|7917496522433876828</stp>
        <tr r="O8" s="2"/>
      </tp>
      <tp t="e">
        <v>#N/A</v>
        <stp/>
        <stp>BDH|6273172198280088453</stp>
        <tr r="V6" s="27"/>
      </tp>
      <tp t="e">
        <v>#N/A</v>
        <stp/>
        <stp>BDH|5271504925530887870</stp>
        <tr r="M110" s="18"/>
      </tp>
      <tp t="e">
        <v>#N/A</v>
        <stp/>
        <stp>BDH|1944739074853777803</stp>
        <tr r="O85" s="12"/>
      </tp>
      <tp t="e">
        <v>#N/A</v>
        <stp/>
        <stp>BDH|3450876360603302494</stp>
        <tr r="N24" s="20"/>
      </tp>
      <tp t="e">
        <v>#N/A</v>
        <stp/>
        <stp>BDH|3677994433797723427</stp>
        <tr r="T66" s="13"/>
      </tp>
      <tp t="e">
        <v>#N/A</v>
        <stp/>
        <stp>BDH|3011471498146270246</stp>
        <tr r="F9" s="17"/>
      </tp>
      <tp t="e">
        <v>#N/A</v>
        <stp/>
        <stp>BDH|7404888716620790447</stp>
        <tr r="G93" s="24"/>
      </tp>
      <tp t="e">
        <v>#N/A</v>
        <stp/>
        <stp>BDH|7512000359628020055</stp>
        <tr r="N8" s="6"/>
      </tp>
      <tp t="e">
        <v>#N/A</v>
        <stp/>
        <stp>BDH|8532792627717076021</stp>
        <tr r="V14" s="11"/>
      </tp>
      <tp t="e">
        <v>#N/A</v>
        <stp/>
        <stp>BDH|8893790879501858399</stp>
        <tr r="U29" s="13"/>
        <tr r="U16" s="13"/>
        <tr r="S17" s="10"/>
      </tp>
      <tp t="e">
        <v>#N/A</v>
        <stp/>
        <stp>BDH|5004925358137428476</stp>
        <tr r="D42" s="4"/>
      </tp>
      <tp t="e">
        <v>#N/A</v>
        <stp/>
        <stp>BDH|1879985143975908338</stp>
        <tr r="U29" s="21"/>
      </tp>
      <tp t="e">
        <v>#N/A</v>
        <stp/>
        <stp>BDH|7606728324448863019</stp>
        <tr r="L22" s="27"/>
      </tp>
      <tp t="e">
        <v>#N/A</v>
        <stp/>
        <stp>BDH|1404399272806458927</stp>
        <tr r="U90" s="12"/>
      </tp>
      <tp t="e">
        <v>#N/A</v>
        <stp/>
        <stp>BDH|3561992977522213503</stp>
        <tr r="L73" s="17"/>
      </tp>
      <tp t="e">
        <v>#N/A</v>
        <stp/>
        <stp>BDH|1793987068917727397</stp>
        <tr r="D201" s="18"/>
      </tp>
      <tp t="e">
        <v>#N/A</v>
        <stp/>
        <stp>BDH|3163823809280716144</stp>
        <tr r="V6" s="6"/>
      </tp>
      <tp t="e">
        <v>#N/A</v>
        <stp/>
        <stp>BDH|7354925017246757385</stp>
        <tr r="N38" s="11"/>
        <tr r="N47" s="10"/>
      </tp>
      <tp t="e">
        <v>#N/A</v>
        <stp/>
        <stp>BDH|2857163502771125841</stp>
        <tr r="Q39" s="29"/>
        <tr r="Q16" s="29"/>
      </tp>
      <tp t="e">
        <v>#N/A</v>
        <stp/>
        <stp>BDH|9949045571391107540</stp>
        <tr r="X36" s="4"/>
      </tp>
      <tp t="e">
        <v>#N/A</v>
        <stp/>
        <stp>BDH|7249232462529342095</stp>
        <tr r="F25" s="9"/>
      </tp>
      <tp t="e">
        <v>#N/A</v>
        <stp/>
        <stp>BDH|2253856516297060685</stp>
        <tr r="F31" s="12"/>
      </tp>
      <tp t="e">
        <v>#N/A</v>
        <stp/>
        <stp>BDH|1889368205879395113</stp>
        <tr r="Y52" s="17"/>
      </tp>
      <tp t="e">
        <v>#N/A</v>
        <stp/>
        <stp>BDH|2435661358693455873</stp>
        <tr r="W39" s="22"/>
      </tp>
      <tp t="e">
        <v>#N/A</v>
        <stp/>
        <stp>BDH|2407837328290128272</stp>
        <tr r="V159" s="18"/>
      </tp>
      <tp t="e">
        <v>#N/A</v>
        <stp/>
        <stp>BDH|5300161981597516180</stp>
        <tr r="T34" s="34"/>
      </tp>
      <tp t="e">
        <v>#N/A</v>
        <stp/>
        <stp>BDH|3372815565420652786</stp>
        <tr r="AA37" s="25"/>
        <tr r="AA59" s="21"/>
        <tr r="Y53" s="11"/>
        <tr r="Y31" s="4"/>
      </tp>
      <tp t="e">
        <v>#N/A</v>
        <stp/>
        <stp>BDH|8235641008040746403</stp>
        <tr r="E45" s="21"/>
      </tp>
      <tp t="e">
        <v>#N/A</v>
        <stp/>
        <stp>BDH|7702577600568130084</stp>
        <tr r="J60" s="34"/>
      </tp>
      <tp t="e">
        <v>#N/A</v>
        <stp/>
        <stp>BDH|5955455085657967494</stp>
        <tr r="Z122" s="12"/>
      </tp>
      <tp t="e">
        <v>#N/A</v>
        <stp/>
        <stp>BDH|1286482454993433934</stp>
        <tr r="Q200" s="18"/>
      </tp>
      <tp t="e">
        <v>#N/A</v>
        <stp/>
        <stp>BDH|2913420523168845693</stp>
        <tr r="E16" s="28"/>
        <tr r="E13" s="17"/>
      </tp>
      <tp t="e">
        <v>#N/A</v>
        <stp/>
        <stp>BDH|5317203699713416773</stp>
        <tr r="P26" s="26"/>
      </tp>
      <tp t="e">
        <v>#N/A</v>
        <stp/>
        <stp>BDH|6952376277369157112</stp>
        <tr r="L25" s="34"/>
      </tp>
      <tp t="e">
        <v>#N/A</v>
        <stp/>
        <stp>BDH|8352650613275991059</stp>
        <tr r="S36" s="14"/>
      </tp>
      <tp t="e">
        <v>#N/A</v>
        <stp/>
        <stp>BDH|4356110632285964906</stp>
        <tr r="Y24" s="24"/>
      </tp>
      <tp t="e">
        <v>#N/A</v>
        <stp/>
        <stp>BDH|7449603697021231383</stp>
        <tr r="E63" s="18"/>
      </tp>
      <tp t="e">
        <v>#N/A</v>
        <stp/>
        <stp>BDH|1533920833200874151</stp>
        <tr r="Q24" s="24"/>
      </tp>
      <tp t="e">
        <v>#N/A</v>
        <stp/>
        <stp>BDH|3854299389705158609</stp>
        <tr r="AA89" s="17"/>
      </tp>
      <tp t="e">
        <v>#N/A</v>
        <stp/>
        <stp>BDH|6400039887004868019</stp>
        <tr r="I200" s="18"/>
      </tp>
      <tp t="e">
        <v>#N/A</v>
        <stp/>
        <stp>BDH|7423556791176112782</stp>
        <tr r="J205" s="18"/>
      </tp>
      <tp t="e">
        <v>#N/A</v>
        <stp/>
        <stp>BDH|6000866318007230253</stp>
        <tr r="F21" s="4"/>
      </tp>
      <tp t="e">
        <v>#N/A</v>
        <stp/>
        <stp>BDH|7161190277712079960</stp>
        <tr r="Q19" s="18"/>
      </tp>
      <tp t="e">
        <v>#N/A</v>
        <stp/>
        <stp>BDH|2485386372048662411</stp>
        <tr r="Z34" s="21"/>
      </tp>
      <tp t="e">
        <v>#N/A</v>
        <stp/>
        <stp>BDH|6235398748223852825</stp>
        <tr r="U172" s="18"/>
      </tp>
      <tp t="e">
        <v>#N/A</v>
        <stp/>
        <stp>BDH|8350165009922730122</stp>
        <tr r="F16" s="27"/>
        <tr r="F30" s="25"/>
      </tp>
      <tp t="e">
        <v>#N/A</v>
        <stp/>
        <stp>BDH|7801568648008838473</stp>
        <tr r="T65" s="17"/>
      </tp>
      <tp t="e">
        <v>#N/A</v>
        <stp/>
        <stp>BDH|6826442762129336749</stp>
        <tr r="R38" s="6"/>
      </tp>
      <tp t="e">
        <v>#N/A</v>
        <stp/>
        <stp>BDH|9582427349585697618</stp>
        <tr r="Q148" s="18"/>
      </tp>
      <tp t="e">
        <v>#N/A</v>
        <stp/>
        <stp>BDH|8474318479777712123</stp>
        <tr r="Z25" s="14"/>
      </tp>
      <tp t="e">
        <v>#N/A</v>
        <stp/>
        <stp>BDH|3500320709558385247</stp>
        <tr r="Z41" s="21"/>
      </tp>
      <tp t="e">
        <v>#N/A</v>
        <stp/>
        <stp>BDH|2798864637365970663</stp>
        <tr r="H34" s="26"/>
      </tp>
      <tp t="e">
        <v>#N/A</v>
        <stp/>
        <stp>BDH|5901167091217605018</stp>
        <tr r="L91" s="17"/>
      </tp>
      <tp t="e">
        <v>#N/A</v>
        <stp/>
        <stp>BDH|2484260291625843627</stp>
        <tr r="M66" s="18"/>
      </tp>
      <tp t="e">
        <v>#N/A</v>
        <stp/>
        <stp>BDH|3493033159479719502</stp>
        <tr r="Y15" s="13"/>
      </tp>
      <tp t="e">
        <v>#N/A</v>
        <stp/>
        <stp>BDH|8473867980676330489</stp>
        <tr r="J34" s="6"/>
      </tp>
      <tp t="e">
        <v>#N/A</v>
        <stp/>
        <stp>BDH|6610993370387693504</stp>
        <tr r="J74" s="12"/>
      </tp>
      <tp t="e">
        <v>#N/A</v>
        <stp/>
        <stp>BDH|9621385789490894866</stp>
        <tr r="G55" s="18"/>
      </tp>
      <tp t="e">
        <v>#N/A</v>
        <stp/>
        <stp>BDH|9180417319035566356</stp>
        <tr r="S133" s="18"/>
      </tp>
      <tp t="e">
        <v>#N/A</v>
        <stp/>
        <stp>BDH|5769253934476895877</stp>
        <tr r="K34" s="24"/>
      </tp>
      <tp t="e">
        <v>#N/A</v>
        <stp/>
        <stp>BDH|5600520561965970950</stp>
        <tr r="Z65" s="21"/>
        <tr r="X23" s="7"/>
      </tp>
      <tp t="e">
        <v>#N/A</v>
        <stp/>
        <stp>BDH|8648794485009292417</stp>
        <tr r="L44" s="6"/>
      </tp>
      <tp t="e">
        <v>#N/A</v>
        <stp/>
        <stp>BDH|9557898591756038447</stp>
        <tr r="P26" s="6"/>
      </tp>
      <tp t="e">
        <v>#N/A</v>
        <stp/>
        <stp>BDH|1453884730602657243</stp>
        <tr r="AA27" s="24"/>
      </tp>
      <tp t="e">
        <v>#N/A</v>
        <stp/>
        <stp>BDH|4227789894873764374</stp>
        <tr r="T211" s="18"/>
      </tp>
      <tp t="e">
        <v>#N/A</v>
        <stp/>
        <stp>BDH|8885060374133598611</stp>
        <tr r="F22" s="27"/>
      </tp>
      <tp t="e">
        <v>#N/A</v>
        <stp/>
        <stp>BDH|4437609883537162788</stp>
        <tr r="J12" s="12"/>
      </tp>
      <tp t="e">
        <v>#N/A</v>
        <stp/>
        <stp>BDH|8242722764495377694</stp>
        <tr r="X38" s="25"/>
      </tp>
      <tp t="e">
        <v>#N/A</v>
        <stp/>
        <stp>BDH|9384000730250921048</stp>
        <tr r="C181" s="18"/>
      </tp>
      <tp t="e">
        <v>#N/A</v>
        <stp/>
        <stp>BDH|6774723940379220695</stp>
        <tr r="W49" s="13"/>
      </tp>
      <tp t="e">
        <v>#N/A</v>
        <stp/>
        <stp>BDH|2347840410718891918</stp>
        <tr r="N30" s="17"/>
      </tp>
      <tp t="e">
        <v>#N/A</v>
        <stp/>
        <stp>BDH|2887736807577017828</stp>
        <tr r="M61" s="21"/>
      </tp>
      <tp t="e">
        <v>#N/A</v>
        <stp/>
        <stp>BDH|7372064609159672440</stp>
        <tr r="Q31" s="17"/>
      </tp>
      <tp t="e">
        <v>#N/A</v>
        <stp/>
        <stp>BDH|2388885376374093332</stp>
        <tr r="L81" s="24"/>
      </tp>
      <tp t="e">
        <v>#N/A</v>
        <stp/>
        <stp>BDH|8042699864926372406</stp>
        <tr r="L15" s="21"/>
      </tp>
      <tp t="e">
        <v>#N/A</v>
        <stp/>
        <stp>BDH|4646689485238022859</stp>
        <tr r="N81" s="12"/>
      </tp>
      <tp t="e">
        <v>#N/A</v>
        <stp/>
        <stp>BDH|3170503958028194169</stp>
        <tr r="J10" s="24"/>
      </tp>
      <tp t="e">
        <v>#N/A</v>
        <stp/>
        <stp>BDH|8852378154133485713</stp>
        <tr r="C21" s="14"/>
      </tp>
      <tp t="e">
        <v>#N/A</v>
        <stp/>
        <stp>BDH|7054022164519012284</stp>
        <tr r="J131" s="18"/>
      </tp>
      <tp t="e">
        <v>#N/A</v>
        <stp/>
        <stp>BDH|8804221015308736966</stp>
        <tr r="M111" s="18"/>
      </tp>
      <tp t="e">
        <v>#N/A</v>
        <stp/>
        <stp>BDH|3761174668099263743</stp>
        <tr r="T73" s="34"/>
      </tp>
      <tp t="e">
        <v>#N/A</v>
        <stp/>
        <stp>BDH|9789891271579683573</stp>
        <tr r="Q55" s="12"/>
      </tp>
      <tp t="e">
        <v>#N/A</v>
        <stp/>
        <stp>BDH|7317244496534905266</stp>
        <tr r="C18" s="25"/>
      </tp>
      <tp t="e">
        <v>#N/A</v>
        <stp/>
        <stp>BDH|4023589545518296711</stp>
        <tr r="R37" s="29"/>
        <tr r="R23" s="29"/>
        <tr r="R14" s="29"/>
      </tp>
      <tp t="e">
        <v>#N/A</v>
        <stp/>
        <stp>BDH|7437112918394078933</stp>
        <tr r="W108" s="12"/>
      </tp>
      <tp t="e">
        <v>#N/A</v>
        <stp/>
        <stp>BDH|1082797669729862367</stp>
        <tr r="L102" s="18"/>
      </tp>
      <tp t="e">
        <v>#N/A</v>
        <stp/>
        <stp>BDH|1119285984862352300</stp>
        <tr r="L8" s="4"/>
      </tp>
      <tp t="e">
        <v>#N/A</v>
        <stp/>
        <stp>BDH|8622126239552002238</stp>
        <tr r="J79" s="12"/>
      </tp>
      <tp t="e">
        <v>#N/A</v>
        <stp/>
        <stp>BDH|7493814989408455565</stp>
        <tr r="X72" s="34"/>
      </tp>
      <tp t="e">
        <v>#N/A</v>
        <stp/>
        <stp>BDH|1129097792977162553</stp>
        <tr r="S25" s="9"/>
      </tp>
      <tp t="e">
        <v>#N/A</v>
        <stp/>
        <stp>BDH|4425446839610327949</stp>
        <tr r="Q43" s="18"/>
      </tp>
      <tp t="e">
        <v>#N/A</v>
        <stp/>
        <stp>BDH|1113501505639861728</stp>
        <tr r="U19" s="25"/>
      </tp>
      <tp t="e">
        <v>#N/A</v>
        <stp/>
        <stp>BDH|6124095286911632565</stp>
        <tr r="C13" s="11"/>
      </tp>
      <tp t="e">
        <v>#N/A</v>
        <stp/>
        <stp>BDH|5231099284620230737</stp>
        <tr r="X35" s="14"/>
      </tp>
      <tp t="e">
        <v>#N/A</v>
        <stp/>
        <stp>BDH|5001382880405476129</stp>
        <tr r="N64" s="18"/>
      </tp>
      <tp t="e">
        <v>#N/A</v>
        <stp/>
        <stp>BDH|5829469523598405175</stp>
        <tr r="L212" s="18"/>
      </tp>
      <tp t="e">
        <v>#N/A</v>
        <stp/>
        <stp>BDH|1221902441762881454</stp>
        <tr r="G27" s="21"/>
      </tp>
      <tp t="e">
        <v>#N/A</v>
        <stp/>
        <stp>BDH|9110403731862829663</stp>
        <tr r="J50" s="21"/>
      </tp>
      <tp t="e">
        <v>#N/A</v>
        <stp/>
        <stp>BDH|5584642913701444982</stp>
        <tr r="M105" s="18"/>
      </tp>
      <tp t="e">
        <v>#N/A</v>
        <stp/>
        <stp>BDH|3114137598220692127</stp>
        <tr r="Q73" s="12"/>
      </tp>
      <tp t="e">
        <v>#N/A</v>
        <stp/>
        <stp>BDH|4363822000953674590</stp>
        <tr r="F26" s="27"/>
      </tp>
      <tp t="e">
        <v>#N/A</v>
        <stp/>
        <stp>BDH|4457400543887156982</stp>
        <tr r="V15" s="22"/>
      </tp>
      <tp t="e">
        <v>#N/A</v>
        <stp/>
        <stp>BDH|4354822825935261185</stp>
        <tr r="Z81" s="24"/>
      </tp>
      <tp t="e">
        <v>#N/A</v>
        <stp/>
        <stp>BDH|7315996844237390731</stp>
        <tr r="M34" s="22"/>
      </tp>
      <tp t="e">
        <v>#N/A</v>
        <stp/>
        <stp>BDH|6945979232043386519</stp>
        <tr r="C11" s="7"/>
      </tp>
      <tp t="e">
        <v>#N/A</v>
        <stp/>
        <stp>BDH|4944883035347287280</stp>
        <tr r="AA13" s="30"/>
      </tp>
      <tp t="e">
        <v>#N/A</v>
        <stp/>
        <stp>BDH|2148854748987568373</stp>
        <tr r="M85" s="17"/>
        <tr r="K6" s="7"/>
        <tr r="M20" s="3"/>
      </tp>
      <tp t="e">
        <v>#N/A</v>
        <stp/>
        <stp>BDH|2994083048999476538</stp>
        <tr r="J60" s="17"/>
      </tp>
      <tp t="e">
        <v>#N/A</v>
        <stp/>
        <stp>BDH|9173626545146092786</stp>
        <tr r="V104" s="12"/>
      </tp>
      <tp t="e">
        <v>#N/A</v>
        <stp/>
        <stp>BDH|6060322897651392785</stp>
        <tr r="E178" s="18"/>
      </tp>
      <tp t="e">
        <v>#N/A</v>
        <stp/>
        <stp>BDH|3799954268410653622</stp>
        <tr r="D111" s="12"/>
      </tp>
      <tp t="e">
        <v>#N/A</v>
        <stp/>
        <stp>BDH|4702851071010478187</stp>
        <tr r="O26" s="13"/>
      </tp>
      <tp t="e">
        <v>#N/A</v>
        <stp/>
        <stp>BDH|5513143765078207092</stp>
        <tr r="Y170" s="18"/>
      </tp>
      <tp t="e">
        <v>#N/A</v>
        <stp/>
        <stp>BDH|6227762089442055121</stp>
        <tr r="T25" s="24"/>
      </tp>
      <tp t="e">
        <v>#N/A</v>
        <stp/>
        <stp>BDH|3102695874951643958</stp>
        <tr r="L73" s="18"/>
      </tp>
      <tp t="e">
        <v>#N/A</v>
        <stp/>
        <stp>BDH|1907443572278278026</stp>
        <tr r="F27" s="21"/>
      </tp>
      <tp t="e">
        <v>#N/A</v>
        <stp/>
        <stp>BDH|3049450639849483774</stp>
        <tr r="L43" s="4"/>
      </tp>
      <tp t="e">
        <v>#N/A</v>
        <stp/>
        <stp>BDH|3295108437973921839</stp>
        <tr r="G65" s="12"/>
      </tp>
      <tp t="e">
        <v>#N/A</v>
        <stp/>
        <stp>BDH|9977179511656836588</stp>
        <tr r="H16" s="12"/>
      </tp>
      <tp t="e">
        <v>#N/A</v>
        <stp/>
        <stp>BDH|7649177398123354654</stp>
        <tr r="G88" s="24"/>
      </tp>
      <tp t="e">
        <v>#N/A</v>
        <stp/>
        <stp>BDH|4150816710892780580</stp>
        <tr r="R185" s="18"/>
      </tp>
      <tp t="e">
        <v>#N/A</v>
        <stp/>
        <stp>BDH|6862661807498176276</stp>
        <tr r="R26" s="13"/>
      </tp>
      <tp t="e">
        <v>#N/A</v>
        <stp/>
        <stp>BDH|6938820450938218969</stp>
        <tr r="W121" s="12"/>
      </tp>
      <tp t="e">
        <v>#N/A</v>
        <stp/>
        <stp>BDH|2152991064651622655</stp>
        <tr r="J210" s="18"/>
      </tp>
      <tp t="e">
        <v>#N/A</v>
        <stp/>
        <stp>BDH|3902571126706053876</stp>
        <tr r="Z39" s="26"/>
      </tp>
      <tp t="e">
        <v>#N/A</v>
        <stp/>
        <stp>BDH|8134381339000944263</stp>
        <tr r="U24" s="27"/>
      </tp>
      <tp t="e">
        <v>#N/A</v>
        <stp/>
        <stp>BDH|1108585034898585571</stp>
        <tr r="AA192" s="18"/>
      </tp>
      <tp t="e">
        <v>#N/A</v>
        <stp/>
        <stp>BDH|1883804058135702389</stp>
        <tr r="F20" s="10"/>
      </tp>
      <tp t="e">
        <v>#N/A</v>
        <stp/>
        <stp>BDH|6980098814158972522</stp>
        <tr r="U18" s="13"/>
      </tp>
      <tp t="e">
        <v>#N/A</v>
        <stp/>
        <stp>BDH|2011689265998114037</stp>
        <tr r="F27" s="17"/>
      </tp>
      <tp t="e">
        <v>#N/A</v>
        <stp/>
        <stp>BDH|1885687949990018961</stp>
        <tr r="L9" s="28"/>
      </tp>
      <tp t="e">
        <v>#N/A</v>
        <stp/>
        <stp>BDH|1380072342647139889</stp>
        <tr r="H26" s="14"/>
      </tp>
      <tp t="e">
        <v>#N/A</v>
        <stp/>
        <stp>BDH|5182630518231033950</stp>
        <tr r="Q14" s="28"/>
      </tp>
      <tp t="e">
        <v>#N/A</v>
        <stp/>
        <stp>BDH|2216800103655995576</stp>
        <tr r="Q27" s="6"/>
      </tp>
      <tp t="e">
        <v>#N/A</v>
        <stp/>
        <stp>BDH|8951737292459394547</stp>
        <tr r="X41" s="6"/>
        <tr r="X18" s="5"/>
      </tp>
      <tp t="e">
        <v>#N/A</v>
        <stp/>
        <stp>BDH|5193900016186176197</stp>
        <tr r="Z17" s="18"/>
      </tp>
      <tp t="e">
        <v>#N/A</v>
        <stp/>
        <stp>BDH|4494661286249868934</stp>
        <tr r="E43" s="34"/>
      </tp>
      <tp t="e">
        <v>#N/A</v>
        <stp/>
        <stp>BDH|3397339889032720019</stp>
        <tr r="E84" s="18"/>
      </tp>
      <tp t="e">
        <v>#N/A</v>
        <stp/>
        <stp>BDH|4599487066429394578</stp>
        <tr r="D13" s="28"/>
        <tr r="D96" s="17"/>
      </tp>
      <tp t="e">
        <v>#N/A</v>
        <stp/>
        <stp>BDH|9948783053732922349</stp>
        <tr r="R22" s="20"/>
      </tp>
      <tp t="e">
        <v>#N/A</v>
        <stp/>
        <stp>BDH|1103433690856814050</stp>
        <tr r="R24" s="18"/>
      </tp>
      <tp t="e">
        <v>#N/A</v>
        <stp/>
        <stp>BDH|7099499070338082661</stp>
        <tr r="O9" s="30"/>
      </tp>
      <tp t="e">
        <v>#N/A</v>
        <stp/>
        <stp>BDH|2112078300249810117</stp>
        <tr r="C38" s="21"/>
        <tr r="C24" s="3"/>
      </tp>
      <tp t="e">
        <v>#N/A</v>
        <stp/>
        <stp>BDH|8976466858985929617</stp>
        <tr r="H20" s="9"/>
      </tp>
      <tp t="e">
        <v>#N/A</v>
        <stp/>
        <stp>BDH|1181574214988812759</stp>
        <tr r="AA26" s="13"/>
      </tp>
      <tp t="e">
        <v>#N/A</v>
        <stp/>
        <stp>BDH|8622672852151847049</stp>
        <tr r="R16" s="22"/>
      </tp>
      <tp t="e">
        <v>#N/A</v>
        <stp/>
        <stp>BDH|5735852594329154788</stp>
        <tr r="C34" s="14"/>
      </tp>
      <tp t="e">
        <v>#N/A</v>
        <stp/>
        <stp>BDH|5760448339750248872</stp>
        <tr r="G83" s="12"/>
      </tp>
      <tp t="e">
        <v>#N/A</v>
        <stp/>
        <stp>BDH|8549698646673730326</stp>
        <tr r="V34" s="25"/>
        <tr r="V93" s="17"/>
      </tp>
      <tp t="e">
        <v>#N/A</v>
        <stp/>
        <stp>BDH|9403118149087030134</stp>
        <tr r="X36" s="12"/>
      </tp>
      <tp t="e">
        <v>#N/A</v>
        <stp/>
        <stp>BDH|8810620143944310457</stp>
        <tr r="P12" s="13"/>
      </tp>
      <tp t="e">
        <v>#N/A</v>
        <stp/>
        <stp>BDH|7717810856582637299</stp>
        <tr r="Q25" s="9"/>
      </tp>
      <tp t="e">
        <v>#N/A</v>
        <stp/>
        <stp>BDH|6855322933979719511</stp>
        <tr r="D13" s="10"/>
      </tp>
      <tp t="e">
        <v>#N/A</v>
        <stp/>
        <stp>BDH|3995222726379505049</stp>
        <tr r="C15" s="30"/>
      </tp>
      <tp t="e">
        <v>#N/A</v>
        <stp/>
        <stp>BDH|3345903778193770400</stp>
        <tr r="I24" s="22"/>
      </tp>
      <tp t="e">
        <v>#N/A</v>
        <stp/>
        <stp>BDH|5100346245509874144</stp>
        <tr r="Q45" s="24"/>
      </tp>
      <tp t="e">
        <v>#N/A</v>
        <stp/>
        <stp>BDH|8891734203225270068</stp>
        <tr r="R26" s="26"/>
      </tp>
      <tp t="e">
        <v>#N/A</v>
        <stp/>
        <stp>BDH|8915577457956465419</stp>
        <tr r="Y24" s="18"/>
      </tp>
      <tp t="e">
        <v>#N/A</v>
        <stp/>
        <stp>BDH|9244319823164987654</stp>
        <tr r="K110" s="12"/>
      </tp>
      <tp t="e">
        <v>#N/A</v>
        <stp/>
        <stp>BDH|5753715985267956764</stp>
        <tr r="J91" s="18"/>
      </tp>
      <tp t="e">
        <v>#N/A</v>
        <stp/>
        <stp>BDH|7204914363222573093</stp>
        <tr r="Z154" s="18"/>
      </tp>
      <tp t="e">
        <v>#N/A</v>
        <stp/>
        <stp>BDH|8084419446574270691</stp>
        <tr r="G20" s="22"/>
      </tp>
      <tp t="e">
        <v>#N/A</v>
        <stp/>
        <stp>BDH|8427262924601273383</stp>
        <tr r="R29" s="13"/>
        <tr r="R16" s="13"/>
        <tr r="P17" s="10"/>
      </tp>
      <tp t="e">
        <v>#N/A</v>
        <stp/>
        <stp>BDH|1375960809416151411</stp>
        <tr r="E22" s="18"/>
      </tp>
      <tp t="e">
        <v>#N/A</v>
        <stp/>
        <stp>BDH|3903047683195279407</stp>
        <tr r="H144" s="18"/>
      </tp>
      <tp t="e">
        <v>#N/A</v>
        <stp/>
        <stp>BDH|3200866210487006784</stp>
        <tr r="T141" s="18"/>
      </tp>
      <tp t="e">
        <v>#N/A</v>
        <stp/>
        <stp>BDH|9167137222753458385</stp>
        <tr r="K24" s="9"/>
      </tp>
      <tp t="e">
        <v>#N/A</v>
        <stp/>
        <stp>BDH|3770027779819141715</stp>
        <tr r="H33" s="11"/>
        <tr r="H42" s="10"/>
      </tp>
      <tp t="e">
        <v>#N/A</v>
        <stp/>
        <stp>BDH|6176996950540359078</stp>
        <tr r="W87" s="18"/>
      </tp>
      <tp t="e">
        <v>#N/A</v>
        <stp/>
        <stp>BDH|2683680350163454864</stp>
        <tr r="H20" s="25"/>
      </tp>
      <tp t="e">
        <v>#N/A</v>
        <stp/>
        <stp>BDH|5472388381490710462</stp>
        <tr r="P75" s="34"/>
      </tp>
      <tp t="e">
        <v>#N/A</v>
        <stp/>
        <stp>BDH|3116586332278175769</stp>
        <tr r="T39" s="26"/>
      </tp>
      <tp t="e">
        <v>#N/A</v>
        <stp/>
        <stp>BDH|1765386181882063225</stp>
        <tr r="Z199" s="18"/>
      </tp>
      <tp t="e">
        <v>#N/A</v>
        <stp/>
        <stp>BDH|6943148433068149633</stp>
        <tr r="G9" s="8"/>
        <tr r="E52" s="6"/>
      </tp>
      <tp t="e">
        <v>#N/A</v>
        <stp/>
        <stp>BDH|8846268264246372053</stp>
        <tr r="E33" s="6"/>
      </tp>
      <tp t="e">
        <v>#N/A</v>
        <stp/>
        <stp>BDH|9587325832554817713</stp>
        <tr r="Y42" s="21"/>
      </tp>
      <tp t="e">
        <v>#N/A</v>
        <stp/>
        <stp>BDH|9229149579441122420</stp>
        <tr r="R13" s="10"/>
      </tp>
      <tp t="e">
        <v>#N/A</v>
        <stp/>
        <stp>BDH|8323237609966687638</stp>
        <tr r="R20" s="17"/>
      </tp>
      <tp t="e">
        <v>#N/A</v>
        <stp/>
        <stp>BDH|5362190468558966079</stp>
        <tr r="R13" s="34"/>
      </tp>
      <tp t="e">
        <v>#N/A</v>
        <stp/>
        <stp>BDH|7796896926450259762</stp>
        <tr r="E99" s="18"/>
      </tp>
      <tp t="e">
        <v>#N/A</v>
        <stp/>
        <stp>BDH|9252501757644099797</stp>
        <tr r="N16" s="23"/>
      </tp>
      <tp t="e">
        <v>#N/A</v>
        <stp/>
        <stp>BDH|8505849981107847540</stp>
        <tr r="X34" s="6"/>
      </tp>
      <tp t="e">
        <v>#N/A</v>
        <stp/>
        <stp>BDH|1022782420328693624</stp>
        <tr r="U31" s="5"/>
      </tp>
      <tp t="e">
        <v>#N/A</v>
        <stp/>
        <stp>BDH|5955887164297070686</stp>
        <tr r="E41" s="22"/>
      </tp>
      <tp t="e">
        <v>#N/A</v>
        <stp/>
        <stp>BDH|2178957897328812062</stp>
        <tr r="R32" s="9"/>
      </tp>
      <tp t="e">
        <v>#N/A</v>
        <stp/>
        <stp>BDH|9083198019451956241</stp>
        <tr r="Z68" s="12"/>
      </tp>
      <tp t="e">
        <v>#N/A</v>
        <stp/>
        <stp>BDH|6899678623769512147</stp>
        <tr r="V89" s="18"/>
      </tp>
      <tp t="e">
        <v>#N/A</v>
        <stp/>
        <stp>BDH|9606353710039668886</stp>
        <tr r="G65" s="10"/>
        <tr r="G25" s="4"/>
      </tp>
      <tp t="e">
        <v>#N/A</v>
        <stp/>
        <stp>BDH|1482418292387873127</stp>
        <tr r="G22" s="24"/>
      </tp>
      <tp t="e">
        <v>#N/A</v>
        <stp/>
        <stp>BDH|8959422031694427131</stp>
        <tr r="R7" s="4"/>
      </tp>
      <tp t="e">
        <v>#N/A</v>
        <stp/>
        <stp>BDH|1481918216035641686</stp>
        <tr r="N20" s="5"/>
      </tp>
      <tp t="e">
        <v>#N/A</v>
        <stp/>
        <stp>BDH|8925714927017348017</stp>
        <tr r="X36" s="13"/>
        <tr r="V29" s="10"/>
      </tp>
      <tp t="e">
        <v>#N/A</v>
        <stp/>
        <stp>BDH|2155591375638425245</stp>
        <tr r="C105" s="18"/>
      </tp>
      <tp t="e">
        <v>#N/A</v>
        <stp/>
        <stp>BDH|2357139986002981321</stp>
        <tr r="T19" s="9"/>
      </tp>
      <tp t="e">
        <v>#N/A</v>
        <stp/>
        <stp>BDH|8985656669253116199</stp>
        <tr r="L62" s="11"/>
        <tr r="L71" s="10"/>
      </tp>
      <tp t="e">
        <v>#N/A</v>
        <stp/>
        <stp>BDH|7713113451081812827</stp>
        <tr r="R20" s="23"/>
      </tp>
      <tp t="e">
        <v>#N/A</v>
        <stp/>
        <stp>BDH|5075733789682165260</stp>
        <tr r="W24" s="29"/>
      </tp>
      <tp t="e">
        <v>#N/A</v>
        <stp/>
        <stp>BDH|6012757468049548456</stp>
        <tr r="R12" s="24"/>
      </tp>
      <tp t="e">
        <v>#N/A</v>
        <stp/>
        <stp>BDH|8977701555430627076</stp>
        <tr r="T18" s="18"/>
      </tp>
      <tp t="e">
        <v>#N/A</v>
        <stp/>
        <stp>BDH|8336233037192944133</stp>
        <tr r="E56" s="11"/>
        <tr r="E24" s="4"/>
      </tp>
      <tp t="e">
        <v>#N/A</v>
        <stp/>
        <stp>BDH|5012919229850405419</stp>
        <tr r="AA33" s="21"/>
      </tp>
      <tp t="e">
        <v>#N/A</v>
        <stp/>
        <stp>BDH|6544896967972751017</stp>
        <tr r="K56" s="18"/>
      </tp>
      <tp t="e">
        <v>#N/A</v>
        <stp/>
        <stp>BDH|7312183578993736890</stp>
        <tr r="N197" s="18"/>
      </tp>
      <tp t="e">
        <v>#N/A</v>
        <stp/>
        <stp>BDH|9842920883737720539</stp>
        <tr r="R38" s="29"/>
        <tr r="R15" s="29"/>
      </tp>
      <tp t="e">
        <v>#N/A</v>
        <stp/>
        <stp>BDH|9812532471905074476</stp>
        <tr r="AA168" s="18"/>
      </tp>
      <tp t="e">
        <v>#N/A</v>
        <stp/>
        <stp>BDH|9772466846960310393</stp>
        <tr r="N16" s="27"/>
        <tr r="N30" s="25"/>
      </tp>
      <tp t="e">
        <v>#N/A</v>
        <stp/>
        <stp>BDH|3259898452965165158</stp>
        <tr r="N125" s="18"/>
      </tp>
      <tp t="e">
        <v>#N/A</v>
        <stp/>
        <stp>BDH|7488890475782700022</stp>
        <tr r="Y13" s="10"/>
      </tp>
      <tp t="e">
        <v>#N/A</v>
        <stp/>
        <stp>BDH|3985686358352261867</stp>
        <tr r="V39" s="11"/>
        <tr r="V27" s="11"/>
        <tr r="V48" s="10"/>
        <tr r="V36" s="10"/>
      </tp>
      <tp t="e">
        <v>#N/A</v>
        <stp/>
        <stp>BDH|7856538751055708801</stp>
        <tr r="M17" s="30"/>
      </tp>
      <tp t="e">
        <v>#N/A</v>
        <stp/>
        <stp>BDH|3666948643193957756</stp>
        <tr r="R81" s="12"/>
      </tp>
      <tp t="e">
        <v>#N/A</v>
        <stp/>
        <stp>BDH|4773385649510916929</stp>
        <tr r="Z41" s="17"/>
      </tp>
      <tp t="e">
        <v>#N/A</v>
        <stp/>
        <stp>BDH|6513248598740151754</stp>
        <tr r="M22" s="17"/>
        <tr r="M15" s="3"/>
      </tp>
      <tp t="e">
        <v>#N/A</v>
        <stp/>
        <stp>BDH|7052041196305983161</stp>
        <tr r="Y49" s="21"/>
      </tp>
      <tp t="e">
        <v>#N/A</v>
        <stp/>
        <stp>BDH|8635170257170242698</stp>
        <tr r="Q22" s="7"/>
      </tp>
      <tp t="e">
        <v>#N/A</v>
        <stp/>
        <stp>BDH|9808085163047721266</stp>
        <tr r="M56" s="11"/>
        <tr r="M24" s="4"/>
      </tp>
      <tp t="e">
        <v>#N/A</v>
        <stp/>
        <stp>BDH|9498420160244484502</stp>
        <tr r="X11" s="11"/>
      </tp>
      <tp t="e">
        <v>#N/A</v>
        <stp/>
        <stp>BDH|9421736002182443630</stp>
        <tr r="H17" s="28"/>
        <tr r="H14" s="17"/>
      </tp>
      <tp t="e">
        <v>#N/A</v>
        <stp/>
        <stp>BDH|3878349768809400526</stp>
        <tr r="F14" s="4"/>
      </tp>
      <tp t="e">
        <v>#N/A</v>
        <stp/>
        <stp>BDH|2972122091636804600</stp>
        <tr r="Y78" s="17"/>
      </tp>
      <tp t="e">
        <v>#N/A</v>
        <stp/>
        <stp>BDH|3220275483522578116</stp>
        <tr r="U32" s="21"/>
      </tp>
      <tp t="e">
        <v>#N/A</v>
        <stp/>
        <stp>BDH|2313475446219533157</stp>
        <tr r="X25" s="14"/>
      </tp>
      <tp t="e">
        <v>#N/A</v>
        <stp/>
        <stp>BDH|8676220175407719040</stp>
        <tr r="D54" s="13"/>
      </tp>
      <tp t="e">
        <v>#N/A</v>
        <stp/>
        <stp>BDH|8308151269033846657</stp>
        <tr r="T13" s="8"/>
      </tp>
      <tp t="e">
        <v>#N/A</v>
        <stp/>
        <stp>BDH|2079418053060046909</stp>
        <tr r="M38" s="26"/>
      </tp>
      <tp t="e">
        <v>#N/A</v>
        <stp/>
        <stp>BDH|3067633624799541404</stp>
        <tr r="G45" s="22"/>
      </tp>
      <tp t="e">
        <v>#N/A</v>
        <stp/>
        <stp>BDH|8464791869094043766</stp>
        <tr r="O109" s="12"/>
      </tp>
      <tp t="e">
        <v>#N/A</v>
        <stp/>
        <stp>BDH|2253438164152017878</stp>
        <tr r="G186" s="18"/>
      </tp>
      <tp t="e">
        <v>#N/A</v>
        <stp/>
        <stp>BDH|8347401631654154113</stp>
        <tr r="D66" s="12"/>
      </tp>
      <tp t="e">
        <v>#N/A</v>
        <stp/>
        <stp>BDH|9456570172156522763</stp>
        <tr r="M69" s="34"/>
      </tp>
      <tp t="e">
        <v>#N/A</v>
        <stp/>
        <stp>BDH|9538026268473439696</stp>
        <tr r="U64" s="11"/>
        <tr r="U73" s="10"/>
      </tp>
      <tp t="e">
        <v>#N/A</v>
        <stp/>
        <stp>BDH|9853174535024911514</stp>
        <tr r="J70" s="24"/>
      </tp>
      <tp t="e">
        <v>#N/A</v>
        <stp/>
        <stp>BDH|7504431784806953798</stp>
        <tr r="O69" s="17"/>
      </tp>
      <tp t="e">
        <v>#N/A</v>
        <stp/>
        <stp>BDH|8353216313493668255</stp>
        <tr r="W56" s="24"/>
      </tp>
      <tp t="e">
        <v>#N/A</v>
        <stp/>
        <stp>BDH|4157571282501376252</stp>
        <tr r="Q21" s="18"/>
      </tp>
      <tp t="e">
        <v>#N/A</v>
        <stp/>
        <stp>BDH|3928824618789038916</stp>
        <tr r="D13" s="8"/>
      </tp>
      <tp t="e">
        <v>#N/A</v>
        <stp/>
        <stp>BDH|9101032410324109615</stp>
        <tr r="W20" s="24"/>
      </tp>
      <tp t="e">
        <v>#N/A</v>
        <stp/>
        <stp>BDH|9145256165100160722</stp>
        <tr r="Z73" s="17"/>
      </tp>
      <tp t="e">
        <v>#N/A</v>
        <stp/>
        <stp>BDH|7438602881030240352</stp>
        <tr r="L71" s="18"/>
      </tp>
      <tp t="e">
        <v>#N/A</v>
        <stp/>
        <stp>BDH|8999699312325354031</stp>
        <tr r="Z10" s="18"/>
      </tp>
      <tp t="e">
        <v>#N/A</v>
        <stp/>
        <stp>BDH|4387892778387493647</stp>
        <tr r="K37" s="21"/>
      </tp>
      <tp t="e">
        <v>#N/A</v>
        <stp/>
        <stp>BDH|9017416292149354725</stp>
        <tr r="P114" s="12"/>
      </tp>
      <tp t="e">
        <v>#N/A</v>
        <stp/>
        <stp>BDH|4272945610607324170</stp>
        <tr r="V85" s="17"/>
        <tr r="T6" s="7"/>
        <tr r="V20" s="3"/>
      </tp>
      <tp t="e">
        <v>#N/A</v>
        <stp/>
        <stp>BDH|3364566610908160569</stp>
        <tr r="W42" s="12"/>
      </tp>
      <tp t="e">
        <v>#N/A</v>
        <stp/>
        <stp>BDH|2617808922552235049</stp>
        <tr r="L55" s="13"/>
        <tr r="J37" s="11"/>
        <tr r="J46" s="10"/>
        <tr r="J53" s="4"/>
        <tr r="J18" s="2"/>
      </tp>
      <tp t="e">
        <v>#N/A</v>
        <stp/>
        <stp>BDH|3747727656598796369</stp>
        <tr r="X102" s="12"/>
      </tp>
      <tp t="e">
        <v>#N/A</v>
        <stp/>
        <stp>BDH|9478692159613310354</stp>
        <tr r="J74" s="18"/>
      </tp>
      <tp t="e">
        <v>#N/A</v>
        <stp/>
        <stp>BDH|8602514474862927287</stp>
        <tr r="N14" s="20"/>
        <tr r="N123" s="18"/>
      </tp>
      <tp t="e">
        <v>#N/A</v>
        <stp/>
        <stp>BDH|7091702294163547037</stp>
        <tr r="C56" s="6"/>
      </tp>
      <tp t="e">
        <v>#N/A</v>
        <stp/>
        <stp>BDH|3273700992856323114</stp>
        <tr r="H85" s="18"/>
      </tp>
      <tp t="e">
        <v>#N/A</v>
        <stp/>
        <stp>BDH|6180445374597005830</stp>
        <tr r="U40" s="13"/>
        <tr r="S24" s="10"/>
        <tr r="S46" s="4"/>
      </tp>
      <tp t="e">
        <v>#N/A</v>
        <stp/>
        <stp>BDH|6932839048404643461</stp>
        <tr r="O18" s="9"/>
      </tp>
      <tp t="e">
        <v>#N/A</v>
        <stp/>
        <stp>BDH|7290963023324501203</stp>
        <tr r="D59" s="12"/>
      </tp>
      <tp t="e">
        <v>#N/A</v>
        <stp/>
        <stp>BDH|2449374505232780930</stp>
        <tr r="O72" s="12"/>
      </tp>
      <tp t="e">
        <v>#N/A</v>
        <stp/>
        <stp>BDH|9402684269990610316</stp>
        <tr r="L63" s="18"/>
      </tp>
      <tp t="e">
        <v>#N/A</v>
        <stp/>
        <stp>BDH|2777024392915203477</stp>
        <tr r="I22" s="4"/>
      </tp>
      <tp t="e">
        <v>#N/A</v>
        <stp/>
        <stp>BDH|6181821370070262332</stp>
        <tr r="C29" s="29"/>
        <tr r="C7" s="29"/>
      </tp>
      <tp t="e">
        <v>#N/A</v>
        <stp/>
        <stp>BDH|4981674325268926201</stp>
        <tr r="C29" s="4"/>
      </tp>
      <tp t="e">
        <v>#N/A</v>
        <stp/>
        <stp>BDH|9238187269510895495</stp>
        <tr r="J11" s="14"/>
      </tp>
      <tp t="e">
        <v>#N/A</v>
        <stp/>
        <stp>BDH|9546206054145488176</stp>
        <tr r="G83" s="24"/>
      </tp>
      <tp t="e">
        <v>#N/A</v>
        <stp/>
        <stp>BDH|7334964255851117032</stp>
        <tr r="Z37" s="13"/>
        <tr r="X30" s="10"/>
      </tp>
      <tp t="e">
        <v>#N/A</v>
        <stp/>
        <stp>BDH|1121101808278397284</stp>
        <tr r="V18" s="14"/>
      </tp>
      <tp t="e">
        <v>#N/A</v>
        <stp/>
        <stp>BDH|8501763600404103109</stp>
        <tr r="V22" s="7"/>
      </tp>
      <tp t="e">
        <v>#N/A</v>
        <stp/>
        <stp>BDH|9434442036401529519</stp>
        <tr r="X32" s="5"/>
      </tp>
      <tp t="e">
        <v>#N/A</v>
        <stp/>
        <stp>BDH|7446927074021232231</stp>
        <tr r="U119" s="12"/>
      </tp>
      <tp t="e">
        <v>#N/A</v>
        <stp/>
        <stp>BDH|2584413959358804169</stp>
        <tr r="P163" s="18"/>
      </tp>
      <tp t="e">
        <v>#N/A</v>
        <stp/>
        <stp>BDH|2361762819556811871</stp>
        <tr r="X7" s="24"/>
      </tp>
      <tp t="e">
        <v>#N/A</v>
        <stp/>
        <stp>BDH|2889549558549116164</stp>
        <tr r="G16" s="21"/>
      </tp>
      <tp t="e">
        <v>#N/A</v>
        <stp/>
        <stp>BDH|3849398007619280373</stp>
        <tr r="T27" s="7"/>
      </tp>
      <tp t="e">
        <v>#N/A</v>
        <stp/>
        <stp>BDH|9737117352644724300</stp>
        <tr r="L41" s="11"/>
        <tr r="L50" s="10"/>
        <tr r="L8" s="7"/>
        <tr r="N11" s="3"/>
      </tp>
      <tp t="e">
        <v>#N/A</v>
        <stp/>
        <stp>BDH|1467494750018833261</stp>
        <tr r="M42" s="17"/>
      </tp>
      <tp t="e">
        <v>#N/A</v>
        <stp/>
        <stp>BDH|2513310934190450875</stp>
        <tr r="Q14" s="6"/>
      </tp>
      <tp t="e">
        <v>#N/A</v>
        <stp/>
        <stp>BDH|4321941206956625148</stp>
        <tr r="S56" s="12"/>
      </tp>
      <tp t="e">
        <v>#N/A</v>
        <stp/>
        <stp>BDH|1427063611703570952</stp>
        <tr r="L10" s="24"/>
      </tp>
      <tp t="e">
        <v>#N/A</v>
        <stp/>
        <stp>BDH|3298847320791796222</stp>
        <tr r="H56" s="6"/>
      </tp>
      <tp t="e">
        <v>#N/A</v>
        <stp/>
        <stp>BDH|7351204017079362745</stp>
        <tr r="I71" s="34"/>
      </tp>
      <tp t="e">
        <v>#N/A</v>
        <stp/>
        <stp>BDH|5331506150178262720</stp>
        <tr r="D19" s="11"/>
      </tp>
      <tp t="e">
        <v>#N/A</v>
        <stp/>
        <stp>BDH|3563549590982272703</stp>
        <tr r="Y22" s="14"/>
      </tp>
      <tp t="e">
        <v>#N/A</v>
        <stp/>
        <stp>BDH|7509945401334212015</stp>
        <tr r="S43" s="6"/>
      </tp>
      <tp t="e">
        <v>#N/A</v>
        <stp/>
        <stp>BDH|2450931425592052116</stp>
        <tr r="K76" s="18"/>
      </tp>
      <tp t="e">
        <v>#N/A</v>
        <stp/>
        <stp>BDH|8519555769666829725</stp>
        <tr r="W91" s="12"/>
      </tp>
      <tp t="e">
        <v>#N/A</v>
        <stp/>
        <stp>BDH|1182591128075746948</stp>
        <tr r="Y17" s="18"/>
      </tp>
      <tp t="e">
        <v>#N/A</v>
        <stp/>
        <stp>BDH|4142414095054550731</stp>
        <tr r="L19" s="34"/>
      </tp>
      <tp t="e">
        <v>#N/A</v>
        <stp/>
        <stp>BDH|1084629141781042805</stp>
        <tr r="Y11" s="13"/>
      </tp>
      <tp t="e">
        <v>#N/A</v>
        <stp/>
        <stp>BDH|6460510771017613911</stp>
        <tr r="D19" s="24"/>
      </tp>
      <tp t="e">
        <v>#N/A</v>
        <stp/>
        <stp>BDH|9005265342074161165</stp>
        <tr r="L29" s="13"/>
        <tr r="L16" s="13"/>
        <tr r="J17" s="10"/>
      </tp>
      <tp t="e">
        <v>#N/A</v>
        <stp/>
        <stp>BDH|7074804616890686435</stp>
        <tr r="I68" s="10"/>
      </tp>
      <tp t="e">
        <v>#N/A</v>
        <stp/>
        <stp>BDH|8606340113029492960</stp>
        <tr r="F25" s="10"/>
      </tp>
      <tp t="e">
        <v>#N/A</v>
        <stp/>
        <stp>BDH|6980893554382656314</stp>
        <tr r="Q83" s="24"/>
      </tp>
      <tp t="e">
        <v>#N/A</v>
        <stp/>
        <stp>BDH|9857272147660204599</stp>
        <tr r="AA35" s="18"/>
      </tp>
      <tp t="e">
        <v>#N/A</v>
        <stp/>
        <stp>BDH|2595112796360417051</stp>
        <tr r="N13" s="5"/>
      </tp>
      <tp t="e">
        <v>#N/A</v>
        <stp/>
        <stp>BDH|4215652199986925740</stp>
        <tr r="S210" s="18"/>
      </tp>
      <tp t="e">
        <v>#N/A</v>
        <stp/>
        <stp>BDH|5293486872449876534</stp>
        <tr r="I21" s="6"/>
      </tp>
      <tp t="e">
        <v>#N/A</v>
        <stp/>
        <stp>BDH|8004305111888069820</stp>
        <tr r="G131" s="18"/>
      </tp>
      <tp t="e">
        <v>#N/A</v>
        <stp/>
        <stp>BDH|9459974003389587361</stp>
        <tr r="L124" s="18"/>
      </tp>
      <tp t="e">
        <v>#N/A</v>
        <stp/>
        <stp>BDH|7687151428709924717</stp>
        <tr r="I39" s="25"/>
        <tr r="I22" s="13"/>
        <tr r="I7" s="13"/>
        <tr r="G17" s="11"/>
        <tr r="I7" s="3"/>
      </tp>
      <tp t="e">
        <v>#N/A</v>
        <stp/>
        <stp>BDH|8406536442925020666</stp>
        <tr r="C43" s="13"/>
        <tr r="C8" s="3"/>
      </tp>
      <tp t="e">
        <v>#N/A</v>
        <stp/>
        <stp>BDH|3381840135382519041</stp>
        <tr r="U35" s="4"/>
      </tp>
      <tp t="e">
        <v>#N/A</v>
        <stp/>
        <stp>BDH|4221298602394831821</stp>
        <tr r="I26" s="6"/>
      </tp>
      <tp t="e">
        <v>#N/A</v>
        <stp/>
        <stp>BDH|1725029436299531151</stp>
        <tr r="S61" s="18"/>
      </tp>
      <tp t="e">
        <v>#N/A</v>
        <stp/>
        <stp>BDH|1900227899464604478</stp>
        <tr r="O25" s="5"/>
      </tp>
      <tp t="e">
        <v>#N/A</v>
        <stp/>
        <stp>BDH|7052522697882540331</stp>
        <tr r="X17" s="12"/>
      </tp>
      <tp t="e">
        <v>#N/A</v>
        <stp/>
        <stp>BDH|9742358902844287416</stp>
        <tr r="H17" s="24"/>
      </tp>
      <tp t="e">
        <v>#N/A</v>
        <stp/>
        <stp>BDH|2069376190675296765</stp>
        <tr r="Z50" s="24"/>
      </tp>
      <tp t="e">
        <v>#N/A</v>
        <stp/>
        <stp>BDH|4858216774858861367</stp>
        <tr r="S92" s="12"/>
      </tp>
      <tp t="e">
        <v>#N/A</v>
        <stp/>
        <stp>BDH|7919288673298378021</stp>
        <tr r="J118" s="12"/>
      </tp>
      <tp t="e">
        <v>#N/A</v>
        <stp/>
        <stp>BDH|6038834252896528771</stp>
        <tr r="O59" s="17"/>
      </tp>
      <tp t="e">
        <v>#N/A</v>
        <stp/>
        <stp>BDH|4612201497065290006</stp>
        <tr r="K34" s="21"/>
      </tp>
      <tp t="e">
        <v>#N/A</v>
        <stp/>
        <stp>BDH|5949625604971905857</stp>
        <tr r="R154" s="18"/>
      </tp>
      <tp t="e">
        <v>#N/A</v>
        <stp/>
        <stp>BDH|2606408822777636912</stp>
        <tr r="U29" s="29"/>
        <tr r="U7" s="29"/>
      </tp>
      <tp t="e">
        <v>#N/A</v>
        <stp/>
        <stp>BDH|8668526654867322504</stp>
        <tr r="N72" s="12"/>
      </tp>
      <tp t="e">
        <v>#N/A</v>
        <stp/>
        <stp>BDH|1312935535143354261</stp>
        <tr r="T53" s="17"/>
      </tp>
      <tp t="e">
        <v>#N/A</v>
        <stp/>
        <stp>BDH|1313990513776826515</stp>
        <tr r="X9" s="20"/>
        <tr r="X119" s="18"/>
      </tp>
      <tp t="e">
        <v>#N/A</v>
        <stp/>
        <stp>BDH|3135354381575616732</stp>
        <tr r="C8" s="22"/>
      </tp>
      <tp t="e">
        <v>#N/A</v>
        <stp/>
        <stp>BDH|8028284825793909140</stp>
        <tr r="X42" s="21"/>
      </tp>
      <tp t="e">
        <v>#N/A</v>
        <stp/>
        <stp>BDH|9086667194774300819</stp>
        <tr r="L78" s="17"/>
      </tp>
      <tp t="e">
        <v>#N/A</v>
        <stp/>
        <stp>BDH|3505356490445379634</stp>
        <tr r="H6" s="8"/>
        <tr r="F51" s="6"/>
      </tp>
      <tp t="e">
        <v>#N/A</v>
        <stp/>
        <stp>BDH|4268816573446831787</stp>
        <tr r="M12" s="27"/>
        <tr r="M26" s="25"/>
      </tp>
      <tp t="e">
        <v>#N/A</v>
        <stp/>
        <stp>BDH|6717132153531657910</stp>
        <tr r="C48" s="17"/>
      </tp>
      <tp t="e">
        <v>#N/A</v>
        <stp/>
        <stp>BDH|5269590499141575273</stp>
        <tr r="M161" s="18"/>
      </tp>
      <tp t="e">
        <v>#N/A</v>
        <stp/>
        <stp>BDH|7978815559290848097</stp>
        <tr r="I211" s="18"/>
      </tp>
      <tp t="e">
        <v>#N/A</v>
        <stp/>
        <stp>BDH|3632903705580232015</stp>
        <tr r="D32" s="5"/>
      </tp>
      <tp t="e">
        <v>#N/A</v>
        <stp/>
        <stp>BDH|5127157470119525014</stp>
        <tr r="D208" s="18"/>
      </tp>
      <tp t="e">
        <v>#N/A</v>
        <stp/>
        <stp>BDH|3531963479412209586</stp>
        <tr r="AA17" s="20"/>
      </tp>
      <tp t="e">
        <v>#N/A</v>
        <stp/>
        <stp>BDH|2064627155843747808</stp>
        <tr r="G13" s="2"/>
      </tp>
      <tp t="e">
        <v>#N/A</v>
        <stp/>
        <stp>BDH|7048862723172209572</stp>
        <tr r="J214" s="18"/>
      </tp>
      <tp t="e">
        <v>#N/A</v>
        <stp/>
        <stp>BDH|5037230260808677359</stp>
        <tr r="R36" s="12"/>
      </tp>
      <tp t="e">
        <v>#N/A</v>
        <stp/>
        <stp>BDH|4040043443119316342</stp>
        <tr r="K62" s="21"/>
        <tr r="I25" s="2"/>
      </tp>
      <tp t="e">
        <v>#N/A</v>
        <stp/>
        <stp>BDH|2948373897027006593</stp>
        <tr r="V11" s="22"/>
      </tp>
      <tp t="e">
        <v>#N/A</v>
        <stp/>
        <stp>BDH|2780879566492289449</stp>
        <tr r="O72" s="17"/>
      </tp>
      <tp t="e">
        <v>#N/A</v>
        <stp/>
        <stp>BDH|8921022118184649751</stp>
        <tr r="D30" s="29"/>
        <tr r="D8" s="29"/>
      </tp>
      <tp t="e">
        <v>#N/A</v>
        <stp/>
        <stp>BDH|9199546835397413249</stp>
        <tr r="V12" s="17"/>
      </tp>
      <tp t="e">
        <v>#N/A</v>
        <stp/>
        <stp>BDH|5064703093030421170</stp>
        <tr r="R9" s="28"/>
      </tp>
      <tp t="e">
        <v>#N/A</v>
        <stp/>
        <stp>BDH|2084762492010451608</stp>
        <tr r="N20" s="28"/>
        <tr r="N17" s="17"/>
      </tp>
      <tp t="e">
        <v>#N/A</v>
        <stp/>
        <stp>BDH|6771336281116710126</stp>
        <tr r="H24" s="21"/>
      </tp>
      <tp t="e">
        <v>#N/A</v>
        <stp/>
        <stp>BDH|9647083950417921177</stp>
        <tr r="V196" s="18"/>
      </tp>
      <tp t="e">
        <v>#N/A</v>
        <stp/>
        <stp>BDH|7659519284826230611</stp>
        <tr r="K88" s="12"/>
      </tp>
      <tp t="e">
        <v>#N/A</v>
        <stp/>
        <stp>BDH|9343147849744804262</stp>
        <tr r="K25" s="7"/>
      </tp>
      <tp t="e">
        <v>#N/A</v>
        <stp/>
        <stp>BDH|6158927982408372528</stp>
        <tr r="Z32" s="24"/>
      </tp>
      <tp t="e">
        <v>#N/A</v>
        <stp/>
        <stp>BDH|5722560822518193027</stp>
        <tr r="T50" s="17"/>
      </tp>
      <tp t="e">
        <v>#N/A</v>
        <stp/>
        <stp>BDH|5143848360834098555</stp>
        <tr r="Z19" s="18"/>
      </tp>
      <tp t="e">
        <v>#N/A</v>
        <stp/>
        <stp>BDH|8484514627670192538</stp>
        <tr r="G36" s="29"/>
        <tr r="G22" s="29"/>
        <tr r="G13" s="29"/>
      </tp>
      <tp t="e">
        <v>#N/A</v>
        <stp/>
        <stp>BDH|7695914817601661466</stp>
        <tr r="E33" s="9"/>
      </tp>
      <tp t="e">
        <v>#N/A</v>
        <stp/>
        <stp>BDH|9533207126052278118</stp>
        <tr r="O127" s="12"/>
      </tp>
      <tp t="e">
        <v>#N/A</v>
        <stp/>
        <stp>BDH|5303244798153789786</stp>
        <tr r="L32" s="26"/>
      </tp>
      <tp t="e">
        <v>#N/A</v>
        <stp/>
        <stp>BDH|8802892509993989919</stp>
        <tr r="W37" s="6"/>
      </tp>
      <tp t="e">
        <v>#N/A</v>
        <stp/>
        <stp>BDH|1391171507118014232</stp>
        <tr r="G32" s="26"/>
      </tp>
      <tp t="e">
        <v>#N/A</v>
        <stp/>
        <stp>BDH|9323171652577789014</stp>
        <tr r="P6" s="19"/>
        <tr r="P37" s="17"/>
        <tr r="P16" s="3"/>
      </tp>
      <tp t="e">
        <v>#N/A</v>
        <stp/>
        <stp>BDH|8148746121997017047</stp>
        <tr r="K34" s="26"/>
      </tp>
      <tp t="e">
        <v>#N/A</v>
        <stp/>
        <stp>BDH|1313438680582637562</stp>
        <tr r="Z13" s="21"/>
      </tp>
      <tp t="e">
        <v>#N/A</v>
        <stp/>
        <stp>BDH|1572269015678117075</stp>
        <tr r="F22" s="20"/>
      </tp>
      <tp t="e">
        <v>#N/A</v>
        <stp/>
        <stp>BDH|8464529447992087112</stp>
        <tr r="N46" s="12"/>
      </tp>
      <tp t="e">
        <v>#N/A</v>
        <stp/>
        <stp>BDH|9292366200148076846</stp>
        <tr r="T65" s="24"/>
      </tp>
      <tp t="e">
        <v>#N/A</v>
        <stp/>
        <stp>BDH|8902798607885586027</stp>
        <tr r="W69" s="18"/>
      </tp>
      <tp t="e">
        <v>#N/A</v>
        <stp/>
        <stp>BDH|2390044685099654947</stp>
        <tr r="M50" s="34"/>
      </tp>
      <tp t="e">
        <v>#N/A</v>
        <stp/>
        <stp>BDH|2522650491663494453</stp>
        <tr r="V80" s="18"/>
      </tp>
      <tp t="e">
        <v>#N/A</v>
        <stp/>
        <stp>BDH|9310230015475092552</stp>
        <tr r="K11" s="14"/>
      </tp>
      <tp t="e">
        <v>#N/A</v>
        <stp/>
        <stp>BDH|6310173705915208835</stp>
        <tr r="Z78" s="18"/>
      </tp>
      <tp t="e">
        <v>#N/A</v>
        <stp/>
        <stp>BDH|5168757790330754139</stp>
        <tr r="Q41" s="34"/>
      </tp>
      <tp t="e">
        <v>#N/A</v>
        <stp/>
        <stp>BDH|8470762805942364744</stp>
        <tr r="K11" s="9"/>
      </tp>
      <tp t="e">
        <v>#N/A</v>
        <stp/>
        <stp>BDH|2076109957505575922</stp>
        <tr r="M46" s="6"/>
        <tr r="M19" s="5"/>
      </tp>
      <tp t="e">
        <v>#N/A</v>
        <stp/>
        <stp>BDH|1314127397386134578</stp>
        <tr r="O95" s="18"/>
      </tp>
      <tp t="e">
        <v>#N/A</v>
        <stp/>
        <stp>BDH|7383917417910671520</stp>
        <tr r="U73" s="18"/>
      </tp>
      <tp t="e">
        <v>#N/A</v>
        <stp/>
        <stp>BDH|9124029111890326200</stp>
        <tr r="L27" s="24"/>
      </tp>
      <tp t="e">
        <v>#N/A</v>
        <stp/>
        <stp>BDH|4024643185337302732</stp>
        <tr r="Z13" s="20"/>
        <tr r="Z122" s="18"/>
      </tp>
      <tp t="e">
        <v>#N/A</v>
        <stp/>
        <stp>BDH|8363401638450805523</stp>
        <tr r="F34" s="14"/>
      </tp>
      <tp t="e">
        <v>#N/A</v>
        <stp/>
        <stp>BDH|2445511295867648379</stp>
        <tr r="V69" s="24"/>
      </tp>
      <tp t="e">
        <v>#N/A</v>
        <stp/>
        <stp>BDH|9558158713882606146</stp>
        <tr r="W18" s="11"/>
      </tp>
      <tp t="e">
        <v>#N/A</v>
        <stp/>
        <stp>BDH|7070992233086829134</stp>
        <tr r="C47" s="24"/>
      </tp>
      <tp t="e">
        <v>#N/A</v>
        <stp/>
        <stp>BDH|4719943752412037006</stp>
        <tr r="T60" s="11"/>
      </tp>
      <tp t="e">
        <v>#N/A</v>
        <stp/>
        <stp>BDH|8511422120576657201</stp>
        <tr r="C75" s="34"/>
      </tp>
      <tp t="e">
        <v>#N/A</v>
        <stp/>
        <stp>BDH|8617644431820061729</stp>
        <tr r="T41" s="6"/>
        <tr r="T18" s="5"/>
      </tp>
      <tp t="e">
        <v>#N/A</v>
        <stp/>
        <stp>BDH|1165618468843924806</stp>
        <tr r="O26" s="17"/>
      </tp>
      <tp t="e">
        <v>#N/A</v>
        <stp/>
        <stp>BDH|6070251493410686718</stp>
        <tr r="W93" s="24"/>
      </tp>
      <tp t="e">
        <v>#N/A</v>
        <stp/>
        <stp>BDH|8965368248887320256</stp>
        <tr r="AA56" s="24"/>
      </tp>
      <tp t="e">
        <v>#N/A</v>
        <stp/>
        <stp>BDH|5086222376982514800</stp>
        <tr r="Q178" s="18"/>
      </tp>
      <tp t="e">
        <v>#N/A</v>
        <stp/>
        <stp>BDH|4653488041558698684</stp>
        <tr r="D45" s="18"/>
      </tp>
      <tp t="e">
        <v>#N/A</v>
        <stp/>
        <stp>BDH|1972403824274879945</stp>
        <tr r="P41" s="34"/>
      </tp>
      <tp t="e">
        <v>#N/A</v>
        <stp/>
        <stp>BDH|4689814900395025369</stp>
        <tr r="G19" s="25"/>
      </tp>
      <tp t="e">
        <v>#N/A</v>
        <stp/>
        <stp>BDH|1217060166799139422</stp>
        <tr r="D37" s="13"/>
      </tp>
      <tp t="e">
        <v>#N/A</v>
        <stp/>
        <stp>BDH|9838797962316197439</stp>
        <tr r="K42" s="12"/>
      </tp>
      <tp t="e">
        <v>#N/A</v>
        <stp/>
        <stp>BDH|4579813234657162203</stp>
        <tr r="T39" s="6"/>
      </tp>
      <tp t="e">
        <v>#N/A</v>
        <stp/>
        <stp>BDH|7993988847426605612</stp>
        <tr r="C15" s="22"/>
      </tp>
      <tp t="e">
        <v>#N/A</v>
        <stp/>
        <stp>BDH|4066610763379656756</stp>
        <tr r="C87" s="17"/>
      </tp>
      <tp t="e">
        <v>#N/A</v>
        <stp/>
        <stp>BDH|6550043540671013907</stp>
        <tr r="V38" s="34"/>
      </tp>
      <tp t="e">
        <v>#N/A</v>
        <stp/>
        <stp>BDH|5158404950439360735</stp>
        <tr r="T8" s="8"/>
      </tp>
      <tp t="e">
        <v>#N/A</v>
        <stp/>
        <stp>BDH|3606930453591272454</stp>
        <tr r="N32" s="12"/>
      </tp>
      <tp t="e">
        <v>#N/A</v>
        <stp/>
        <stp>BDH|3881615950688954217</stp>
        <tr r="L99" s="12"/>
      </tp>
      <tp t="e">
        <v>#N/A</v>
        <stp/>
        <stp>BDH|1775355061879432760</stp>
        <tr r="Y21" s="2"/>
      </tp>
      <tp t="e">
        <v>#N/A</v>
        <stp/>
        <stp>BDH|2527216987962327016</stp>
        <tr r="U64" s="13"/>
      </tp>
      <tp t="e">
        <v>#N/A</v>
        <stp/>
        <stp>BDH|8548460528902345690</stp>
        <tr r="H46" s="21"/>
      </tp>
      <tp t="e">
        <v>#N/A</v>
        <stp/>
        <stp>BDH|6882292313107555866</stp>
        <tr r="Y57" s="34"/>
      </tp>
      <tp t="e">
        <v>#N/A</v>
        <stp/>
        <stp>BDH|2077373183943153040</stp>
        <tr r="D42" s="34"/>
      </tp>
      <tp t="e">
        <v>#N/A</v>
        <stp/>
        <stp>BDH|6567932912865570103</stp>
        <tr r="H25" s="27"/>
      </tp>
      <tp t="e">
        <v>#N/A</v>
        <stp/>
        <stp>BDH|2246583478238064238</stp>
        <tr r="S24" s="6"/>
      </tp>
      <tp t="e">
        <v>#N/A</v>
        <stp/>
        <stp>BDH|3066064862267293872</stp>
        <tr r="G13" s="11"/>
      </tp>
      <tp t="e">
        <v>#N/A</v>
        <stp/>
        <stp>BDH|4206133555972300860</stp>
        <tr r="W160" s="18"/>
      </tp>
      <tp t="e">
        <v>#N/A</v>
        <stp/>
        <stp>BDH|4045636920392784853</stp>
        <tr r="U27" s="24"/>
      </tp>
      <tp t="e">
        <v>#N/A</v>
        <stp/>
        <stp>BDH|8391557575031764152</stp>
        <tr r="F19" s="30"/>
      </tp>
      <tp t="e">
        <v>#N/A</v>
        <stp/>
        <stp>BDH|3043573183683192742</stp>
        <tr r="G44" s="18"/>
      </tp>
      <tp t="e">
        <v>#N/A</v>
        <stp/>
        <stp>BDH|2198321467528644533</stp>
        <tr r="F200" s="18"/>
      </tp>
      <tp t="e">
        <v>#N/A</v>
        <stp/>
        <stp>BDH|9878513010192091581</stp>
        <tr r="G56" s="18"/>
      </tp>
      <tp t="e">
        <v>#N/A</v>
        <stp/>
        <stp>BDH|5603789158364610917</stp>
        <tr r="C35" s="4"/>
      </tp>
      <tp t="e">
        <v>#N/A</v>
        <stp/>
        <stp>BDH|8287740334531300701</stp>
        <tr r="G68" s="17"/>
      </tp>
      <tp t="e">
        <v>#N/A</v>
        <stp/>
        <stp>BDH|5878389431346094908</stp>
        <tr r="C146" s="18"/>
      </tp>
      <tp t="e">
        <v>#N/A</v>
        <stp/>
        <stp>BDH|8332171090709284372</stp>
        <tr r="E20" s="23"/>
      </tp>
      <tp t="e">
        <v>#N/A</v>
        <stp/>
        <stp>BDH|4693656805230242856</stp>
        <tr r="X28" s="22"/>
      </tp>
      <tp t="e">
        <v>#N/A</v>
        <stp/>
        <stp>BDH|8232109060562160727</stp>
        <tr r="J18" s="25"/>
      </tp>
      <tp t="e">
        <v>#N/A</v>
        <stp/>
        <stp>BDH|8566984586576896520</stp>
        <tr r="X35" s="12"/>
      </tp>
      <tp t="e">
        <v>#N/A</v>
        <stp/>
        <stp>BDH|7331925701687292337</stp>
        <tr r="J16" s="11"/>
      </tp>
      <tp t="e">
        <v>#N/A</v>
        <stp/>
        <stp>BDH|7790907339226608192</stp>
        <tr r="T54" s="24"/>
      </tp>
      <tp t="e">
        <v>#N/A</v>
        <stp/>
        <stp>BDH|5678083594367426184</stp>
        <tr r="R25" s="7"/>
      </tp>
      <tp t="e">
        <v>#N/A</v>
        <stp/>
        <stp>BDH|7411256191020169670</stp>
        <tr r="N203" s="18"/>
      </tp>
      <tp t="e">
        <v>#N/A</v>
        <stp/>
        <stp>BDH|4542749010360763808</stp>
        <tr r="L21" s="24"/>
      </tp>
      <tp t="e">
        <v>#N/A</v>
        <stp/>
        <stp>BDH|5286958916295046276</stp>
        <tr r="L31" s="26"/>
        <tr r="I14" s="9"/>
      </tp>
      <tp t="e">
        <v>#N/A</v>
        <stp/>
        <stp>BDH|6809042528277693949</stp>
        <tr r="D71" s="24"/>
      </tp>
      <tp t="e">
        <v>#N/A</v>
        <stp/>
        <stp>BDH|3209371382960985280</stp>
        <tr r="G13" s="10"/>
      </tp>
      <tp t="e">
        <v>#N/A</v>
        <stp/>
        <stp>BDH|3612775075781211802</stp>
        <tr r="Q32" s="9"/>
      </tp>
      <tp t="e">
        <v>#N/A</v>
        <stp/>
        <stp>BDH|4830687391045620415</stp>
        <tr r="X210" s="18"/>
      </tp>
      <tp t="e">
        <v>#N/A</v>
        <stp/>
        <stp>BDH|7379074690921483561</stp>
        <tr r="AA167" s="18"/>
      </tp>
      <tp t="e">
        <v>#N/A</v>
        <stp/>
        <stp>BDH|5101133594293069405</stp>
        <tr r="R113" s="12"/>
      </tp>
      <tp t="e">
        <v>#N/A</v>
        <stp/>
        <stp>BDH|1279486985267120083</stp>
        <tr r="O145" s="18"/>
      </tp>
      <tp t="e">
        <v>#N/A</v>
        <stp/>
        <stp>BDH|9027425371826193643</stp>
        <tr r="D10" s="18"/>
      </tp>
      <tp t="e">
        <v>#N/A</v>
        <stp/>
        <stp>BDH|1711000440109108605</stp>
        <tr r="C13" s="23"/>
      </tp>
      <tp t="e">
        <v>#N/A</v>
        <stp/>
        <stp>BDH|1651533117259480608</stp>
        <tr r="H10" s="24"/>
      </tp>
      <tp t="e">
        <v>#N/A</v>
        <stp/>
        <stp>BDH|3988596620926019862</stp>
        <tr r="C8" s="4"/>
      </tp>
      <tp t="e">
        <v>#N/A</v>
        <stp/>
        <stp>BDH|9870492435442721657</stp>
        <tr r="AA36" s="17"/>
      </tp>
      <tp t="e">
        <v>#N/A</v>
        <stp/>
        <stp>BDH|1087053832619815198</stp>
        <tr r="K123" s="12"/>
      </tp>
      <tp t="e">
        <v>#N/A</v>
        <stp/>
        <stp>BDH|3456928944186320279</stp>
        <tr r="X77" s="24"/>
      </tp>
      <tp t="e">
        <v>#N/A</v>
        <stp/>
        <stp>BDH|9127221235053650161</stp>
        <tr r="N20" s="18"/>
      </tp>
      <tp t="e">
        <v>#N/A</v>
        <stp/>
        <stp>BDH|4763149991310799633</stp>
        <tr r="O7" s="11"/>
      </tp>
      <tp t="e">
        <v>#N/A</v>
        <stp/>
        <stp>BDH|6487143300904539937</stp>
        <tr r="F23" s="6"/>
      </tp>
      <tp t="e">
        <v>#N/A</v>
        <stp/>
        <stp>BDH|9160143022841814195</stp>
        <tr r="P131" s="18"/>
      </tp>
      <tp t="e">
        <v>#N/A</v>
        <stp/>
        <stp>BDH|7563866224792283536</stp>
        <tr r="J12" s="14"/>
      </tp>
      <tp t="e">
        <v>#N/A</v>
        <stp/>
        <stp>BDH|4033697811339869069</stp>
        <tr r="L17" s="12"/>
      </tp>
      <tp t="e">
        <v>#N/A</v>
        <stp/>
        <stp>BDH|5671309034236018945</stp>
        <tr r="R26" s="17"/>
      </tp>
      <tp t="e">
        <v>#N/A</v>
        <stp/>
        <stp>BDH|9402533757546657508</stp>
        <tr r="O61" s="18"/>
      </tp>
      <tp t="e">
        <v>#N/A</v>
        <stp/>
        <stp>BDH|1847602165512319989</stp>
        <tr r="C34" s="11"/>
        <tr r="C43" s="10"/>
      </tp>
      <tp t="e">
        <v>#N/A</v>
        <stp/>
        <stp>BDH|7163753985413028179</stp>
        <tr r="C51" s="12"/>
      </tp>
      <tp t="e">
        <v>#N/A</v>
        <stp/>
        <stp>BDH|5363378349980985825</stp>
        <tr r="W15" s="23"/>
        <tr r="U58" s="11"/>
      </tp>
      <tp t="e">
        <v>#N/A</v>
        <stp/>
        <stp>BDH|9044050674810509426</stp>
        <tr r="Y67" s="13"/>
      </tp>
      <tp t="e">
        <v>#N/A</v>
        <stp/>
        <stp>BDH|8087481332982997753</stp>
        <tr r="O117" s="12"/>
      </tp>
      <tp t="e">
        <v>#N/A</v>
        <stp/>
        <stp>BDH|2154708473320736830</stp>
        <tr r="F166" s="18"/>
      </tp>
      <tp t="e">
        <v>#N/A</v>
        <stp/>
        <stp>BDH|4565603763478442648</stp>
        <tr r="U43" s="12"/>
      </tp>
      <tp t="e">
        <v>#N/A</v>
        <stp/>
        <stp>BDH|4535525399812846005</stp>
        <tr r="F87" s="18"/>
      </tp>
      <tp t="e">
        <v>#N/A</v>
        <stp/>
        <stp>BDH|4567292940810361895</stp>
        <tr r="D52" s="13"/>
      </tp>
      <tp t="e">
        <v>#N/A</v>
        <stp/>
        <stp>BDH|1727021936051388965</stp>
        <tr r="M24" s="22"/>
      </tp>
      <tp t="e">
        <v>#N/A</v>
        <stp/>
        <stp>BDH|1478497242939167281</stp>
        <tr r="Y51" s="21"/>
      </tp>
      <tp t="e">
        <v>#N/A</v>
        <stp/>
        <stp>BDH|8861181570953379757</stp>
        <tr r="S52" s="12"/>
      </tp>
      <tp t="e">
        <v>#N/A</v>
        <stp/>
        <stp>BDH|1052218894531263110</stp>
        <tr r="R43" s="13"/>
        <tr r="P35" s="11"/>
        <tr r="P44" s="10"/>
        <tr r="P52" s="4"/>
        <tr r="R8" s="3"/>
      </tp>
      <tp t="e">
        <v>#N/A</v>
        <stp/>
        <stp>BDH|8648605527441118775</stp>
        <tr r="R188" s="18"/>
      </tp>
      <tp t="e">
        <v>#N/A</v>
        <stp/>
        <stp>BDH|9538707556500235163</stp>
        <tr r="Y73" s="17"/>
      </tp>
      <tp t="e">
        <v>#N/A</v>
        <stp/>
        <stp>BDH|4762207631726138905</stp>
        <tr r="AA93" s="18"/>
      </tp>
      <tp t="e">
        <v>#N/A</v>
        <stp/>
        <stp>BDH|1983344382912928217</stp>
        <tr r="AA64" s="17"/>
      </tp>
      <tp t="e">
        <v>#N/A</v>
        <stp/>
        <stp>BDH|8923590911951536738</stp>
        <tr r="Y18" s="34"/>
      </tp>
      <tp t="e">
        <v>#N/A</v>
        <stp/>
        <stp>BDH|1720729645381694911</stp>
        <tr r="AA70" s="18"/>
      </tp>
      <tp t="e">
        <v>#N/A</v>
        <stp/>
        <stp>BDH|1465701184176174262</stp>
        <tr r="K13" s="8"/>
      </tp>
      <tp t="e">
        <v>#N/A</v>
        <stp/>
        <stp>BDH|7099851736182226468</stp>
        <tr r="E44" s="22"/>
      </tp>
      <tp t="e">
        <v>#N/A</v>
        <stp/>
        <stp>BDH|8023582868143773205</stp>
        <tr r="K27" s="18"/>
      </tp>
      <tp t="e">
        <v>#N/A</v>
        <stp/>
        <stp>BDH|8324337670645175366</stp>
        <tr r="T14" s="20"/>
        <tr r="T123" s="18"/>
      </tp>
      <tp t="e">
        <v>#N/A</v>
        <stp/>
        <stp>BDH|8885176462537876229</stp>
        <tr r="T173" s="18"/>
      </tp>
      <tp t="e">
        <v>#N/A</v>
        <stp/>
        <stp>BDH|9085681568107554429</stp>
        <tr r="Z25" s="27"/>
      </tp>
      <tp t="e">
        <v>#N/A</v>
        <stp/>
        <stp>BDH|6077348386914440316</stp>
        <tr r="C145" s="18"/>
      </tp>
      <tp t="e">
        <v>#N/A</v>
        <stp/>
        <stp>BDH|7767994141266932615</stp>
        <tr r="S9" s="18"/>
      </tp>
      <tp t="e">
        <v>#N/A</v>
        <stp/>
        <stp>BDH|3691306435661672827</stp>
        <tr r="S53" s="17"/>
      </tp>
      <tp t="e">
        <v>#N/A</v>
        <stp/>
        <stp>BDH|6301716388845948643</stp>
        <tr r="AA22" s="14"/>
      </tp>
      <tp t="e">
        <v>#N/A</v>
        <stp/>
        <stp>BDH|9490211271540079633</stp>
        <tr r="I64" s="11"/>
        <tr r="I73" s="10"/>
      </tp>
      <tp t="e">
        <v>#N/A</v>
        <stp/>
        <stp>BDH|8627006551556993190</stp>
        <tr r="AA21" s="17"/>
      </tp>
      <tp t="e">
        <v>#N/A</v>
        <stp/>
        <stp>BDH|3371611736469122528</stp>
        <tr r="E18" s="34"/>
      </tp>
      <tp t="e">
        <v>#N/A</v>
        <stp/>
        <stp>BDH|7818876860235191694</stp>
        <tr r="P23" s="30"/>
        <tr r="P25" s="23"/>
      </tp>
      <tp t="e">
        <v>#N/A</v>
        <stp/>
        <stp>BDH|5502224865732081953</stp>
        <tr r="G73" s="24"/>
      </tp>
      <tp t="e">
        <v>#N/A</v>
        <stp/>
        <stp>BDH|3972480630539006769</stp>
        <tr r="R35" s="34"/>
      </tp>
      <tp t="e">
        <v>#N/A</v>
        <stp/>
        <stp>BDH|4870755796843971356</stp>
        <tr r="Z93" s="24"/>
      </tp>
      <tp t="e">
        <v>#N/A</v>
        <stp/>
        <stp>BDH|5949720930818933355</stp>
        <tr r="L44" s="13"/>
        <tr r="J28" s="11"/>
        <tr r="J37" s="10"/>
      </tp>
      <tp t="e">
        <v>#N/A</v>
        <stp/>
        <stp>BDH|3432856563774699331</stp>
        <tr r="V96" s="12"/>
      </tp>
      <tp t="e">
        <v>#N/A</v>
        <stp/>
        <stp>BDH|6533471334692587941</stp>
        <tr r="M36" s="13"/>
        <tr r="K29" s="10"/>
      </tp>
      <tp t="e">
        <v>#N/A</v>
        <stp/>
        <stp>BDH|6707429160907799954</stp>
        <tr r="D44" s="18"/>
      </tp>
      <tp t="e">
        <v>#N/A</v>
        <stp/>
        <stp>BDH|2696525945991605809</stp>
        <tr r="D38" s="12"/>
      </tp>
      <tp t="e">
        <v>#N/A</v>
        <stp/>
        <stp>BDH|8424599709435418272</stp>
        <tr r="X12" s="11"/>
      </tp>
      <tp t="e">
        <v>#N/A</v>
        <stp/>
        <stp>BDH|3654851704293580252</stp>
        <tr r="G81" s="17"/>
      </tp>
      <tp t="e">
        <v>#N/A</v>
        <stp/>
        <stp>BDH|5551599513003114892</stp>
        <tr r="L69" s="24"/>
      </tp>
      <tp t="e">
        <v>#N/A</v>
        <stp/>
        <stp>BDH|8643390636772892065</stp>
        <tr r="Y78" s="18"/>
      </tp>
      <tp t="e">
        <v>#N/A</v>
        <stp/>
        <stp>BDH|1504271751924773830</stp>
        <tr r="Q91" s="18"/>
      </tp>
      <tp t="e">
        <v>#N/A</v>
        <stp/>
        <stp>BDH|5025883778468228858</stp>
        <tr r="L14" s="18"/>
      </tp>
      <tp t="e">
        <v>#N/A</v>
        <stp/>
        <stp>BDH|5098371551119071011</stp>
        <tr r="Z61" s="12"/>
      </tp>
      <tp t="e">
        <v>#N/A</v>
        <stp/>
        <stp>BDH|8771660732590694724</stp>
        <tr r="Y69" s="12"/>
      </tp>
      <tp t="e">
        <v>#N/A</v>
        <stp/>
        <stp>BDH|3409023917409500139</stp>
        <tr r="V14" s="8"/>
      </tp>
      <tp t="e">
        <v>#N/A</v>
        <stp/>
        <stp>BDH|5222842646771210258</stp>
        <tr r="X32" s="13"/>
        <tr r="V24" s="11"/>
        <tr r="V33" s="10"/>
        <tr r="V45" s="4"/>
      </tp>
      <tp t="e">
        <v>#N/A</v>
        <stp/>
        <stp>BDH|9077627716471002505</stp>
        <tr r="J112" s="12"/>
      </tp>
      <tp t="e">
        <v>#N/A</v>
        <stp/>
        <stp>BDH|2935581801245156854</stp>
        <tr r="N59" s="18"/>
      </tp>
      <tp t="e">
        <v>#N/A</v>
        <stp/>
        <stp>BDH|6099523804020285902</stp>
        <tr r="Y20" s="18"/>
      </tp>
      <tp t="e">
        <v>#N/A</v>
        <stp/>
        <stp>BDH|5894844768303864288</stp>
        <tr r="M22" s="30"/>
        <tr r="M24" s="23"/>
      </tp>
      <tp t="e">
        <v>#N/A</v>
        <stp/>
        <stp>BDH|8408412043786742451</stp>
        <tr r="J14" s="20"/>
        <tr r="J123" s="18"/>
      </tp>
      <tp t="e">
        <v>#N/A</v>
        <stp/>
        <stp>BDH|1719968456113093431</stp>
        <tr r="D95" s="24"/>
      </tp>
      <tp t="e">
        <v>#N/A</v>
        <stp/>
        <stp>BDH|5634905360159206904</stp>
        <tr r="E43" s="18"/>
      </tp>
      <tp t="e">
        <v>#N/A</v>
        <stp/>
        <stp>BDH|4713926721363212626</stp>
        <tr r="R48" s="18"/>
      </tp>
      <tp t="e">
        <v>#N/A</v>
        <stp/>
        <stp>BDH|1722898452796173099</stp>
        <tr r="W81" s="34"/>
      </tp>
      <tp t="e">
        <v>#N/A</v>
        <stp/>
        <stp>BDH|1642126610143680869</stp>
        <tr r="P10" s="14"/>
      </tp>
      <tp t="e">
        <v>#N/A</v>
        <stp/>
        <stp>BDH|8462330903431344034</stp>
        <tr r="D101" s="18"/>
      </tp>
      <tp t="e">
        <v>#N/A</v>
        <stp/>
        <stp>BDH|9246498741697992471</stp>
        <tr r="E32" s="21"/>
      </tp>
      <tp t="e">
        <v>#N/A</v>
        <stp/>
        <stp>BDH|1820056893523821121</stp>
        <tr r="M10" s="10"/>
      </tp>
      <tp t="e">
        <v>#N/A</v>
        <stp/>
        <stp>BDH|6235893917090956510</stp>
        <tr r="AA37" s="21"/>
      </tp>
      <tp t="e">
        <v>#N/A</v>
        <stp/>
        <stp>BDH|3694196745295907978</stp>
        <tr r="T18" s="10"/>
      </tp>
      <tp t="e">
        <v>#N/A</v>
        <stp/>
        <stp>BDH|8502010795078512305</stp>
        <tr r="Z42" s="24"/>
      </tp>
      <tp t="e">
        <v>#N/A</v>
        <stp/>
        <stp>BDH|8769954791696485438</stp>
        <tr r="E24" s="9"/>
      </tp>
      <tp t="e">
        <v>#N/A</v>
        <stp/>
        <stp>BDH|6508447155444865981</stp>
        <tr r="F193" s="18"/>
      </tp>
      <tp t="e">
        <v>#N/A</v>
        <stp/>
        <stp>BDH|8349960863798312516</stp>
        <tr r="I30" s="26"/>
      </tp>
      <tp t="e">
        <v>#N/A</v>
        <stp/>
        <stp>BDH|9869251826123917060</stp>
        <tr r="M104" s="18"/>
      </tp>
      <tp t="e">
        <v>#N/A</v>
        <stp/>
        <stp>BDH|7787277042918733312</stp>
        <tr r="M14" s="24"/>
      </tp>
      <tp t="e">
        <v>#N/A</v>
        <stp/>
        <stp>BDH|9116213806689210802</stp>
        <tr r="K15" s="21"/>
      </tp>
      <tp t="e">
        <v>#N/A</v>
        <stp/>
        <stp>BDH|8975245909394222424</stp>
        <tr r="AA6" s="28"/>
      </tp>
      <tp t="e">
        <v>#N/A</v>
        <stp/>
        <stp>BDH|6239587694130962035</stp>
        <tr r="C47" s="12"/>
      </tp>
      <tp t="e">
        <v>#N/A</v>
        <stp/>
        <stp>BDH|6467010002194410870</stp>
        <tr r="U214" s="18"/>
      </tp>
      <tp t="e">
        <v>#N/A</v>
        <stp/>
        <stp>BDH|8763283083410958812</stp>
        <tr r="M33" s="24"/>
      </tp>
      <tp t="e">
        <v>#N/A</v>
        <stp/>
        <stp>BDH|5980694693675161565</stp>
        <tr r="U23" s="23"/>
      </tp>
      <tp t="e">
        <v>#N/A</v>
        <stp/>
        <stp>BDH|4896288939808812751</stp>
        <tr r="C68" s="18"/>
      </tp>
      <tp t="e">
        <v>#N/A</v>
        <stp/>
        <stp>BDH|8184559733387439379</stp>
        <tr r="P72" s="17"/>
      </tp>
      <tp t="e">
        <v>#N/A</v>
        <stp/>
        <stp>BDH|6423013166392126868</stp>
        <tr r="D11" s="13"/>
      </tp>
      <tp t="e">
        <v>#N/A</v>
        <stp/>
        <stp>BDH|8761747229141689680</stp>
        <tr r="G16" s="34"/>
      </tp>
      <tp t="e">
        <v>#N/A</v>
        <stp/>
        <stp>BDH|8197964336450439812</stp>
        <tr r="E36" s="12"/>
      </tp>
      <tp t="e">
        <v>#N/A</v>
        <stp/>
        <stp>BDH|7434035791816079222</stp>
        <tr r="F72" s="24"/>
      </tp>
      <tp t="e">
        <v>#N/A</v>
        <stp/>
        <stp>BDH|9223571654014613738</stp>
        <tr r="O13" s="28"/>
        <tr r="O96" s="17"/>
      </tp>
      <tp t="e">
        <v>#N/A</v>
        <stp/>
        <stp>BDH|3882702081622950443</stp>
        <tr r="T114" s="18"/>
      </tp>
      <tp t="e">
        <v>#N/A</v>
        <stp/>
        <stp>BDH|8376932795985064710</stp>
        <tr r="X17" s="24"/>
      </tp>
      <tp t="e">
        <v>#N/A</v>
        <stp/>
        <stp>BDH|3874504867712284896</stp>
        <tr r="O143" s="18"/>
      </tp>
      <tp t="e">
        <v>#N/A</v>
        <stp/>
        <stp>BDH|5886303175658813311</stp>
        <tr r="U15" s="5"/>
      </tp>
      <tp t="e">
        <v>#N/A</v>
        <stp/>
        <stp>BDH|1560596792463382491</stp>
        <tr r="J18" s="9"/>
      </tp>
      <tp t="e">
        <v>#N/A</v>
        <stp/>
        <stp>BDH|3050485898544200068</stp>
        <tr r="V104" s="18"/>
      </tp>
      <tp t="e">
        <v>#N/A</v>
        <stp/>
        <stp>BDH|2687747342672618924</stp>
        <tr r="O23" s="22"/>
      </tp>
      <tp t="e">
        <v>#N/A</v>
        <stp/>
        <stp>BDH|1562365017648020108</stp>
        <tr r="R42" s="24"/>
      </tp>
      <tp t="e">
        <v>#N/A</v>
        <stp/>
        <stp>BDH|9686215018017859737</stp>
        <tr r="L32" s="12"/>
      </tp>
      <tp t="e">
        <v>#N/A</v>
        <stp/>
        <stp>BDH|3407024294430589037</stp>
        <tr r="U61" s="12"/>
      </tp>
      <tp t="e">
        <v>#N/A</v>
        <stp/>
        <stp>BDH|3522403520487388823</stp>
        <tr r="C122" s="12"/>
      </tp>
      <tp t="e">
        <v>#N/A</v>
        <stp/>
        <stp>BDH|5163382882424829063</stp>
        <tr r="P84" s="24"/>
      </tp>
      <tp t="e">
        <v>#N/A</v>
        <stp/>
        <stp>BDH|1909258848955587848</stp>
        <tr r="S38" s="29"/>
        <tr r="S15" s="29"/>
      </tp>
      <tp t="e">
        <v>#N/A</v>
        <stp/>
        <stp>BDH|6760053981301704517</stp>
        <tr r="X67" s="21"/>
      </tp>
      <tp t="e">
        <v>#N/A</v>
        <stp/>
        <stp>BDH|9642372272671115671</stp>
        <tr r="C11" s="21"/>
      </tp>
      <tp t="e">
        <v>#N/A</v>
        <stp/>
        <stp>BDH|1530537008739220791</stp>
        <tr r="V44" s="24"/>
      </tp>
      <tp t="e">
        <v>#N/A</v>
        <stp/>
        <stp>BDH|6765170657349549171</stp>
        <tr r="N15" s="14"/>
      </tp>
      <tp t="e">
        <v>#N/A</v>
        <stp/>
        <stp>BDH|8164546225494157141</stp>
        <tr r="S34" s="21"/>
      </tp>
      <tp t="e">
        <v>#N/A</v>
        <stp/>
        <stp>BDH|1231474255582072855</stp>
        <tr r="Z10" s="14"/>
      </tp>
      <tp t="e">
        <v>#N/A</v>
        <stp/>
        <stp>BDH|3450860816275848590</stp>
        <tr r="P23" s="12"/>
      </tp>
      <tp t="e">
        <v>#N/A</v>
        <stp/>
        <stp>BDH|5634826004010519707</stp>
        <tr r="R46" s="6"/>
        <tr r="R19" s="5"/>
      </tp>
      <tp t="e">
        <v>#N/A</v>
        <stp/>
        <stp>BDH|5436474901323000877</stp>
        <tr r="P38" s="29"/>
        <tr r="P15" s="29"/>
      </tp>
      <tp t="e">
        <v>#N/A</v>
        <stp/>
        <stp>BDH|8896399810931322178</stp>
        <tr r="O180" s="18"/>
      </tp>
      <tp t="e">
        <v>#N/A</v>
        <stp/>
        <stp>BDH|9761273743326431327</stp>
        <tr r="Z19" s="12"/>
      </tp>
      <tp t="e">
        <v>#N/A</v>
        <stp/>
        <stp>BDH|7463787292562330185</stp>
        <tr r="X46" s="22"/>
      </tp>
      <tp t="e">
        <v>#N/A</v>
        <stp/>
        <stp>BDH|6310013659418817165</stp>
        <tr r="AA13" s="24"/>
      </tp>
      <tp t="e">
        <v>#N/A</v>
        <stp/>
        <stp>BDH|4603150487624004314</stp>
        <tr r="E84" s="24"/>
      </tp>
      <tp t="e">
        <v>#N/A</v>
        <stp/>
        <stp>BDH|2313880355466318386</stp>
        <tr r="P62" s="21"/>
        <tr r="N25" s="2"/>
      </tp>
      <tp t="e">
        <v>#N/A</v>
        <stp/>
        <stp>BDH|3666813593759930184</stp>
        <tr r="C25" s="34"/>
      </tp>
      <tp t="e">
        <v>#N/A</v>
        <stp/>
        <stp>BDH|2266244032258034116</stp>
        <tr r="Q45" s="22"/>
      </tp>
      <tp t="e">
        <v>#N/A</v>
        <stp/>
        <stp>BDH|4457071591794620314</stp>
        <tr r="U7" s="14"/>
      </tp>
      <tp t="e">
        <v>#N/A</v>
        <stp/>
        <stp>BDH|5251445145347754812</stp>
        <tr r="J32" s="12"/>
      </tp>
      <tp t="e">
        <v>#N/A</v>
        <stp/>
        <stp>BDH|5587190939668384532</stp>
        <tr r="L45" s="17"/>
      </tp>
      <tp t="e">
        <v>#N/A</v>
        <stp/>
        <stp>BDH|1390962007924369640</stp>
        <tr r="Z104" s="12"/>
      </tp>
      <tp t="e">
        <v>#N/A</v>
        <stp/>
        <stp>BDH|7116742151796265936</stp>
        <tr r="N23" s="12"/>
      </tp>
      <tp t="e">
        <v>#N/A</v>
        <stp/>
        <stp>BDH|5118431696214918684</stp>
        <tr r="M29" s="6"/>
      </tp>
      <tp t="e">
        <v>#N/A</v>
        <stp/>
        <stp>BDH|1923433571268760092</stp>
        <tr r="J8" s="2"/>
      </tp>
      <tp t="e">
        <v>#N/A</v>
        <stp/>
        <stp>BDH|3406154110551123854</stp>
        <tr r="S44" s="13"/>
        <tr r="Q28" s="11"/>
        <tr r="Q37" s="10"/>
      </tp>
      <tp t="e">
        <v>#N/A</v>
        <stp/>
        <stp>BDH|9454152123626518627</stp>
        <tr r="Q59" s="24"/>
      </tp>
      <tp t="e">
        <v>#N/A</v>
        <stp/>
        <stp>BDH|3640054112729596118</stp>
        <tr r="E7" s="11"/>
      </tp>
      <tp t="e">
        <v>#N/A</v>
        <stp/>
        <stp>BDH|6434543085786263727</stp>
        <tr r="K81" s="24"/>
      </tp>
      <tp t="e">
        <v>#N/A</v>
        <stp/>
        <stp>BDH|5541308919044926908</stp>
        <tr r="S30" s="12"/>
      </tp>
      <tp t="e">
        <v>#N/A</v>
        <stp/>
        <stp>BDH|7804976166760978250</stp>
        <tr r="T29" s="12"/>
      </tp>
      <tp t="e">
        <v>#N/A</v>
        <stp/>
        <stp>BDH|2180116064677327823</stp>
        <tr r="D85" s="24"/>
      </tp>
      <tp t="e">
        <v>#N/A</v>
        <stp/>
        <stp>BDH|4829471053479983606</stp>
        <tr r="P127" s="18"/>
      </tp>
      <tp t="e">
        <v>#N/A</v>
        <stp/>
        <stp>BDH|7558818365402265166</stp>
        <tr r="X21" s="6"/>
      </tp>
      <tp t="e">
        <v>#N/A</v>
        <stp/>
        <stp>BDH|8037328147134535151</stp>
        <tr r="K180" s="18"/>
      </tp>
      <tp t="e">
        <v>#N/A</v>
        <stp/>
        <stp>BDH|9064254051743140709</stp>
        <tr r="C48" s="24"/>
      </tp>
      <tp t="e">
        <v>#N/A</v>
        <stp/>
        <stp>BDH|2582505916194110875</stp>
        <tr r="J94" s="12"/>
      </tp>
      <tp t="e">
        <v>#N/A</v>
        <stp/>
        <stp>BDH|9982039472766592287</stp>
        <tr r="W180" s="18"/>
      </tp>
      <tp t="e">
        <v>#N/A</v>
        <stp/>
        <stp>BDH|5665400081492224108</stp>
        <tr r="M158" s="18"/>
      </tp>
      <tp t="e">
        <v>#N/A</v>
        <stp/>
        <stp>BDH|4293055403599074716</stp>
        <tr r="L35" s="34"/>
      </tp>
      <tp t="e">
        <v>#N/A</v>
        <stp/>
        <stp>BDH|7740317039889910431</stp>
        <tr r="K12" s="7"/>
      </tp>
      <tp t="e">
        <v>#N/A</v>
        <stp/>
        <stp>BDH|9606843610282432839</stp>
        <tr r="E161" s="18"/>
      </tp>
      <tp t="e">
        <v>#N/A</v>
        <stp/>
        <stp>BDH|9449632219902364683</stp>
        <tr r="T52" s="24"/>
      </tp>
      <tp t="e">
        <v>#N/A</v>
        <stp/>
        <stp>BDH|6008508796595432573</stp>
        <tr r="J177" s="18"/>
      </tp>
      <tp t="e">
        <v>#N/A</v>
        <stp/>
        <stp>BDH|5932939175921886026</stp>
        <tr r="P19" s="18"/>
      </tp>
      <tp t="e">
        <v>#N/A</v>
        <stp/>
        <stp>BDH|8340499988007261956</stp>
        <tr r="N15" s="10"/>
      </tp>
      <tp t="e">
        <v>#N/A</v>
        <stp/>
        <stp>BDH|1676096648309589677</stp>
        <tr r="V120" s="12"/>
      </tp>
      <tp t="e">
        <v>#N/A</v>
        <stp/>
        <stp>BDH|9745178172955116068</stp>
        <tr r="Q77" s="18"/>
      </tp>
      <tp t="e">
        <v>#N/A</v>
        <stp/>
        <stp>BDH|5185416663644544930</stp>
        <tr r="AA199" s="18"/>
      </tp>
      <tp t="e">
        <v>#N/A</v>
        <stp/>
        <stp>BDH|5193365154269283049</stp>
        <tr r="P36" s="12"/>
      </tp>
      <tp t="e">
        <v>#N/A</v>
        <stp/>
        <stp>BDH|9594045585528359323</stp>
        <tr r="Z9" s="23"/>
      </tp>
      <tp t="e">
        <v>#N/A</v>
        <stp/>
        <stp>BDH|5715541688922677080</stp>
        <tr r="D25" s="34"/>
      </tp>
      <tp t="e">
        <v>#N/A</v>
        <stp/>
        <stp>BDH|1566813931140027008</stp>
        <tr r="G144" s="18"/>
      </tp>
      <tp t="e">
        <v>#N/A</v>
        <stp/>
        <stp>BDH|1701965803904131661</stp>
        <tr r="J27" s="7"/>
      </tp>
      <tp t="e">
        <v>#N/A</v>
        <stp/>
        <stp>BDH|40391509022720617</stp>
        <tr r="R54" s="24"/>
      </tp>
      <tp t="e">
        <v>#N/A</v>
        <stp/>
        <stp>BDH|66286318657238358</stp>
        <tr r="P24" s="12"/>
      </tp>
      <tp t="e">
        <v>#N/A</v>
        <stp/>
        <stp>BDH|67312100922138676</stp>
        <tr r="W46" s="18"/>
      </tp>
      <tp t="e">
        <v>#N/A</v>
        <stp/>
        <stp>BDH|69684474406910073</stp>
        <tr r="O174" s="18"/>
      </tp>
      <tp t="e">
        <v>#N/A</v>
        <stp/>
        <stp>BDH|23682420870955306</stp>
        <tr r="X20" s="9"/>
      </tp>
      <tp t="e">
        <v>#N/A</v>
        <stp/>
        <stp>BDH|54695374802654456</stp>
        <tr r="K43" s="21"/>
      </tp>
      <tp t="e">
        <v>#N/A</v>
        <stp/>
        <stp>BDH|20671693121311990</stp>
        <tr r="H68" s="12"/>
      </tp>
      <tp t="e">
        <v>#N/A</v>
        <stp/>
        <stp>BDH|56096301297298004</stp>
        <tr r="M33" s="13"/>
        <tr r="K26" s="10"/>
      </tp>
      <tp t="e">
        <v>#N/A</v>
        <stp/>
        <stp>BDH|15082430486778241</stp>
        <tr r="P38" s="13"/>
        <tr r="N31" s="10"/>
      </tp>
      <tp t="e">
        <v>#N/A</v>
        <stp/>
        <stp>BDH|5046791032053115905</stp>
        <tr r="X76" s="12"/>
      </tp>
      <tp t="e">
        <v>#N/A</v>
        <stp/>
        <stp>BDH|5057654788318477834</stp>
        <tr r="M49" s="18"/>
      </tp>
      <tp t="e">
        <v>#N/A</v>
        <stp/>
        <stp>BDH|3990558503929487411</stp>
        <tr r="W68" s="24"/>
      </tp>
      <tp t="e">
        <v>#N/A</v>
        <stp/>
        <stp>BDH|5901393629929329609</stp>
        <tr r="Z23" s="12"/>
      </tp>
      <tp t="e">
        <v>#N/A</v>
        <stp/>
        <stp>BDH|7022672218518403310</stp>
        <tr r="H66" s="18"/>
      </tp>
      <tp t="e">
        <v>#N/A</v>
        <stp/>
        <stp>BDH|9068376559264305077</stp>
        <tr r="Z17" s="24"/>
      </tp>
      <tp t="e">
        <v>#N/A</v>
        <stp/>
        <stp>BDH|5973917733427052315</stp>
        <tr r="E70" s="18"/>
      </tp>
      <tp t="e">
        <v>#N/A</v>
        <stp/>
        <stp>BDH|3888181873928927606</stp>
        <tr r="F21" s="34"/>
      </tp>
      <tp t="e">
        <v>#N/A</v>
        <stp/>
        <stp>BDH|4235722209829746149</stp>
        <tr r="AA190" s="18"/>
      </tp>
      <tp t="e">
        <v>#N/A</v>
        <stp/>
        <stp>BDH|5839570290196316464</stp>
        <tr r="V17" s="6"/>
      </tp>
      <tp t="e">
        <v>#N/A</v>
        <stp/>
        <stp>BDH|2559444978238051231</stp>
        <tr r="M17" s="28"/>
        <tr r="M14" s="17"/>
      </tp>
      <tp t="e">
        <v>#N/A</v>
        <stp/>
        <stp>BDH|3611247895152836153</stp>
        <tr r="F29" s="21"/>
      </tp>
      <tp t="e">
        <v>#N/A</v>
        <stp/>
        <stp>BDH|5153431501952938809</stp>
        <tr r="C11" s="29"/>
      </tp>
      <tp t="e">
        <v>#N/A</v>
        <stp/>
        <stp>BDH|2929616524185735810</stp>
        <tr r="Y17" s="13"/>
      </tp>
      <tp t="e">
        <v>#N/A</v>
        <stp/>
        <stp>BDH|9456036355503986418</stp>
        <tr r="E9" s="11"/>
      </tp>
      <tp t="e">
        <v>#N/A</v>
        <stp/>
        <stp>BDH|7660516289480163154</stp>
        <tr r="M72" s="17"/>
      </tp>
      <tp t="e">
        <v>#N/A</v>
        <stp/>
        <stp>BDH|3943299890357929435</stp>
        <tr r="F16" s="12"/>
      </tp>
      <tp t="e">
        <v>#N/A</v>
        <stp/>
        <stp>BDH|5214699517358755117</stp>
        <tr r="G23" s="18"/>
      </tp>
      <tp t="e">
        <v>#N/A</v>
        <stp/>
        <stp>BDH|4290080056708772210</stp>
        <tr r="F39" s="11"/>
        <tr r="F27" s="11"/>
        <tr r="F48" s="10"/>
        <tr r="F36" s="10"/>
      </tp>
      <tp t="e">
        <v>#N/A</v>
        <stp/>
        <stp>BDH|6815922327882437431</stp>
        <tr r="Q73" s="18"/>
      </tp>
      <tp t="e">
        <v>#N/A</v>
        <stp/>
        <stp>BDH|1456323326402322998</stp>
        <tr r="E15" s="34"/>
      </tp>
      <tp t="e">
        <v>#N/A</v>
        <stp/>
        <stp>BDH|4350902366979912964</stp>
        <tr r="Y85" s="18"/>
      </tp>
      <tp t="e">
        <v>#N/A</v>
        <stp/>
        <stp>BDH|5379689342935698955</stp>
        <tr r="P144" s="18"/>
      </tp>
      <tp t="e">
        <v>#N/A</v>
        <stp/>
        <stp>BDH|7192704347219871643</stp>
        <tr r="H11" s="13"/>
      </tp>
      <tp t="e">
        <v>#N/A</v>
        <stp/>
        <stp>BDH|4582830099487019956</stp>
        <tr r="L27" s="13"/>
      </tp>
      <tp t="e">
        <v>#N/A</v>
        <stp/>
        <stp>BDH|9473519212874984244</stp>
        <tr r="X156" s="18"/>
      </tp>
      <tp t="e">
        <v>#N/A</v>
        <stp/>
        <stp>BDH|4630969255605849672</stp>
        <tr r="G31" s="12"/>
      </tp>
      <tp t="e">
        <v>#N/A</v>
        <stp/>
        <stp>BDH|5049643025829830336</stp>
        <tr r="H8" s="27"/>
      </tp>
      <tp t="e">
        <v>#N/A</v>
        <stp/>
        <stp>BDH|7184706268714022936</stp>
        <tr r="V12" s="6"/>
      </tp>
      <tp t="e">
        <v>#N/A</v>
        <stp/>
        <stp>BDH|7403145895864968066</stp>
        <tr r="AA121" s="12"/>
      </tp>
      <tp t="e">
        <v>#N/A</v>
        <stp/>
        <stp>BDH|8937638722015037224</stp>
        <tr r="G28" s="6"/>
      </tp>
      <tp t="e">
        <v>#N/A</v>
        <stp/>
        <stp>BDH|8162260966304397383</stp>
        <tr r="X43" s="34"/>
      </tp>
      <tp t="e">
        <v>#N/A</v>
        <stp/>
        <stp>BDH|2293181064918579619</stp>
        <tr r="S19" s="11"/>
      </tp>
      <tp t="e">
        <v>#N/A</v>
        <stp/>
        <stp>BDH|4136882862495696472</stp>
        <tr r="O12" s="14"/>
      </tp>
      <tp t="e">
        <v>#N/A</v>
        <stp/>
        <stp>BDH|7890575949598551592</stp>
        <tr r="K90" s="18"/>
      </tp>
      <tp t="e">
        <v>#N/A</v>
        <stp/>
        <stp>BDH|4683599239688907159</stp>
        <tr r="V7" s="27"/>
        <tr r="V95" s="17"/>
      </tp>
      <tp t="e">
        <v>#N/A</v>
        <stp/>
        <stp>BDH|3169986897739045152</stp>
        <tr r="Z95" s="24"/>
      </tp>
      <tp t="e">
        <v>#N/A</v>
        <stp/>
        <stp>BDH|8882535917417695011</stp>
        <tr r="O13" s="22"/>
      </tp>
      <tp t="e">
        <v>#N/A</v>
        <stp/>
        <stp>BDH|7349350855019059380</stp>
        <tr r="T55" s="24"/>
      </tp>
      <tp t="e">
        <v>#N/A</v>
        <stp/>
        <stp>BDH|1828084053748909711</stp>
        <tr r="W56" s="17"/>
      </tp>
      <tp t="e">
        <v>#N/A</v>
        <stp/>
        <stp>BDH|8029895496096053442</stp>
        <tr r="O26" s="27"/>
      </tp>
      <tp t="e">
        <v>#N/A</v>
        <stp/>
        <stp>BDH|8921220158493119797</stp>
        <tr r="V37" s="6"/>
      </tp>
      <tp t="e">
        <v>#N/A</v>
        <stp/>
        <stp>BDH|2440018332243884946</stp>
        <tr r="AA82" s="18"/>
      </tp>
      <tp t="e">
        <v>#N/A</v>
        <stp/>
        <stp>BDH|9802583571006254686</stp>
        <tr r="X42" s="18"/>
      </tp>
      <tp t="e">
        <v>#N/A</v>
        <stp/>
        <stp>BDH|4093659940004706990</stp>
        <tr r="F111" s="12"/>
      </tp>
      <tp t="e">
        <v>#N/A</v>
        <stp/>
        <stp>BDH|4658597183567500524</stp>
        <tr r="H149" s="18"/>
      </tp>
      <tp t="e">
        <v>#N/A</v>
        <stp/>
        <stp>BDH|5102142074448941030</stp>
        <tr r="M102" s="18"/>
      </tp>
      <tp t="e">
        <v>#N/A</v>
        <stp/>
        <stp>BDH|5944186894727662181</stp>
        <tr r="W197" s="18"/>
      </tp>
      <tp t="e">
        <v>#N/A</v>
        <stp/>
        <stp>BDH|7071281334128048571</stp>
        <tr r="F125" s="12"/>
      </tp>
      <tp t="e">
        <v>#N/A</v>
        <stp/>
        <stp>BDH|8885004793232388834</stp>
        <tr r="R14" s="24"/>
      </tp>
      <tp t="e">
        <v>#N/A</v>
        <stp/>
        <stp>BDH|2854670463470564922</stp>
        <tr r="J7" s="4"/>
      </tp>
      <tp t="e">
        <v>#N/A</v>
        <stp/>
        <stp>BDH|3650090381698212877</stp>
        <tr r="U10" s="23"/>
      </tp>
      <tp t="e">
        <v>#N/A</v>
        <stp/>
        <stp>BDH|6608896083665046870</stp>
        <tr r="P32" s="29"/>
        <tr r="N34" s="5"/>
      </tp>
      <tp t="e">
        <v>#N/A</v>
        <stp/>
        <stp>BDH|5659062835339769496</stp>
        <tr r="L41" s="34"/>
      </tp>
      <tp t="e">
        <v>#N/A</v>
        <stp/>
        <stp>BDH|9343397746261632414</stp>
        <tr r="K115" s="12"/>
      </tp>
      <tp t="e">
        <v>#N/A</v>
        <stp/>
        <stp>BDH|4573100815787362880</stp>
        <tr r="V8" s="18"/>
      </tp>
      <tp t="e">
        <v>#N/A</v>
        <stp/>
        <stp>BDH|8984386489848355005</stp>
        <tr r="Z100" s="18"/>
      </tp>
      <tp t="e">
        <v>#N/A</v>
        <stp/>
        <stp>BDH|6504641198942283006</stp>
        <tr r="I20" s="28"/>
        <tr r="I17" s="17"/>
      </tp>
      <tp t="e">
        <v>#N/A</v>
        <stp/>
        <stp>BDH|9923154965425047020</stp>
        <tr r="J10" s="12"/>
      </tp>
      <tp t="e">
        <v>#N/A</v>
        <stp/>
        <stp>BDH|2885510757701389861</stp>
        <tr r="Q78" s="18"/>
      </tp>
      <tp t="e">
        <v>#N/A</v>
        <stp/>
        <stp>BDH|8776851752899928725</stp>
        <tr r="R72" s="34"/>
      </tp>
      <tp t="e">
        <v>#N/A</v>
        <stp/>
        <stp>BDH|2055192298845849422</stp>
        <tr r="E18" s="18"/>
      </tp>
      <tp t="e">
        <v>#N/A</v>
        <stp/>
        <stp>BDH|5056284686195213178</stp>
        <tr r="U39" s="18"/>
      </tp>
      <tp t="e">
        <v>#N/A</v>
        <stp/>
        <stp>BDH|4480267109278763573</stp>
        <tr r="P35" s="17"/>
      </tp>
      <tp t="e">
        <v>#N/A</v>
        <stp/>
        <stp>BDH|4058317790044996133</stp>
        <tr r="Z49" s="18"/>
      </tp>
      <tp t="e">
        <v>#N/A</v>
        <stp/>
        <stp>BDH|5822919926610700535</stp>
        <tr r="K9" s="28"/>
      </tp>
      <tp t="e">
        <v>#N/A</v>
        <stp/>
        <stp>BDH|1136365509369085056</stp>
        <tr r="X41" s="29"/>
        <tr r="X18" s="29"/>
      </tp>
      <tp t="e">
        <v>#N/A</v>
        <stp/>
        <stp>BDH|3544392189214763798</stp>
        <tr r="H61" s="21"/>
      </tp>
      <tp t="e">
        <v>#N/A</v>
        <stp/>
        <stp>BDH|7397918938930701662</stp>
        <tr r="J71" s="18"/>
      </tp>
      <tp t="e">
        <v>#N/A</v>
        <stp/>
        <stp>BDH|4926612184693597225</stp>
        <tr r="G64" s="13"/>
      </tp>
      <tp t="e">
        <v>#N/A</v>
        <stp/>
        <stp>BDH|1560166296930721296</stp>
        <tr r="K9" s="21"/>
      </tp>
      <tp t="e">
        <v>#N/A</v>
        <stp/>
        <stp>BDH|9266624059376741758</stp>
        <tr r="C55" s="13"/>
      </tp>
      <tp t="e">
        <v>#N/A</v>
        <stp/>
        <stp>BDH|2011503184991901566</stp>
        <tr r="P120" s="12"/>
      </tp>
      <tp t="e">
        <v>#N/A</v>
        <stp/>
        <stp>BDH|5990504651079052734</stp>
        <tr r="O63" s="13"/>
      </tp>
      <tp t="e">
        <v>#N/A</v>
        <stp/>
        <stp>BDH|1924364886213595271</stp>
        <tr r="G82" s="24"/>
      </tp>
      <tp t="e">
        <v>#N/A</v>
        <stp/>
        <stp>BDH|8174012209071232209</stp>
        <tr r="I30" s="34"/>
      </tp>
      <tp t="e">
        <v>#N/A</v>
        <stp/>
        <stp>BDH|3305176610551643999</stp>
        <tr r="D11" s="9"/>
      </tp>
      <tp t="e">
        <v>#N/A</v>
        <stp/>
        <stp>BDH|6038992036706449133</stp>
        <tr r="L28" s="21"/>
      </tp>
      <tp t="e">
        <v>#N/A</v>
        <stp/>
        <stp>BDH|4126915983627824932</stp>
        <tr r="U36" s="34"/>
      </tp>
      <tp t="e">
        <v>#N/A</v>
        <stp/>
        <stp>BDH|4224059219267499921</stp>
        <tr r="H46" s="13"/>
      </tp>
      <tp t="e">
        <v>#N/A</v>
        <stp/>
        <stp>BDH|5894845077815263412</stp>
        <tr r="K68" s="17"/>
      </tp>
      <tp t="e">
        <v>#N/A</v>
        <stp/>
        <stp>BDH|1844986919690060211</stp>
        <tr r="AA39" s="26"/>
      </tp>
      <tp t="e">
        <v>#N/A</v>
        <stp/>
        <stp>BDH|8810294781600843904</stp>
        <tr r="X9" s="22"/>
      </tp>
      <tp t="e">
        <v>#N/A</v>
        <stp/>
        <stp>BDH|9872367732171016343</stp>
        <tr r="R39" s="29"/>
        <tr r="R16" s="29"/>
      </tp>
      <tp t="e">
        <v>#N/A</v>
        <stp/>
        <stp>BDH|8118761948391479137</stp>
        <tr r="N115" s="12"/>
      </tp>
      <tp t="e">
        <v>#N/A</v>
        <stp/>
        <stp>BDH|9578843514392851950</stp>
        <tr r="P50" s="34"/>
      </tp>
      <tp t="e">
        <v>#N/A</v>
        <stp/>
        <stp>BDH|8711260715689569993</stp>
        <tr r="Y35" s="12"/>
      </tp>
      <tp t="e">
        <v>#N/A</v>
        <stp/>
        <stp>BDH|8152982356839752608</stp>
        <tr r="S28" s="18"/>
      </tp>
      <tp t="e">
        <v>#N/A</v>
        <stp/>
        <stp>BDH|4616862134200875444</stp>
        <tr r="R59" s="17"/>
      </tp>
      <tp t="e">
        <v>#N/A</v>
        <stp/>
        <stp>BDH|8913754133382029576</stp>
        <tr r="Y105" s="18"/>
      </tp>
      <tp t="e">
        <v>#N/A</v>
        <stp/>
        <stp>BDH|8087522848864325612</stp>
        <tr r="F89" s="18"/>
      </tp>
      <tp t="e">
        <v>#N/A</v>
        <stp/>
        <stp>BDH|1071175092234445691</stp>
        <tr r="Y44" s="13"/>
        <tr r="W28" s="11"/>
        <tr r="W37" s="10"/>
      </tp>
      <tp t="e">
        <v>#N/A</v>
        <stp/>
        <stp>BDH|1790483365029099126</stp>
        <tr r="N21" s="3"/>
      </tp>
      <tp t="e">
        <v>#N/A</v>
        <stp/>
        <stp>BDH|4025608963658383781</stp>
        <tr r="F35" s="4"/>
      </tp>
      <tp t="e">
        <v>#N/A</v>
        <stp/>
        <stp>BDH|4407303968668503210</stp>
        <tr r="M60" s="34"/>
      </tp>
      <tp t="e">
        <v>#N/A</v>
        <stp/>
        <stp>BDH|6571771044486871861</stp>
        <tr r="S88" s="18"/>
      </tp>
      <tp t="e">
        <v>#N/A</v>
        <stp/>
        <stp>BDH|4570848013986911033</stp>
        <tr r="I64" s="21"/>
      </tp>
      <tp t="e">
        <v>#N/A</v>
        <stp/>
        <stp>BDH|6595278819609664755</stp>
        <tr r="M73" s="34"/>
      </tp>
      <tp t="e">
        <v>#N/A</v>
        <stp/>
        <stp>BDH|4035070057603054987</stp>
        <tr r="C53" s="21"/>
      </tp>
      <tp t="e">
        <v>#N/A</v>
        <stp/>
        <stp>BDH|5309666265637959913</stp>
        <tr r="H20" s="24"/>
      </tp>
      <tp t="e">
        <v>#N/A</v>
        <stp/>
        <stp>BDH|6597704361884453886</stp>
        <tr r="R35" s="17"/>
      </tp>
      <tp t="e">
        <v>#N/A</v>
        <stp/>
        <stp>BDH|9317378729097580407</stp>
        <tr r="Q53" s="18"/>
      </tp>
      <tp t="e">
        <v>#N/A</v>
        <stp/>
        <stp>BDH|1031315126953816877</stp>
        <tr r="W24" s="24"/>
      </tp>
      <tp t="e">
        <v>#N/A</v>
        <stp/>
        <stp>BDH|5973412625519008159</stp>
        <tr r="I74" s="24"/>
      </tp>
      <tp t="e">
        <v>#N/A</v>
        <stp/>
        <stp>BDH|3395970478453243561</stp>
        <tr r="C60" s="34"/>
      </tp>
      <tp t="e">
        <v>#N/A</v>
        <stp/>
        <stp>BDH|4336868279704563411</stp>
        <tr r="Q36" s="14"/>
      </tp>
      <tp t="e">
        <v>#N/A</v>
        <stp/>
        <stp>BDH|5603934471176469688</stp>
        <tr r="N43" s="6"/>
      </tp>
      <tp t="e">
        <v>#N/A</v>
        <stp/>
        <stp>BDH|1138027093955107696</stp>
        <tr r="K18" s="23"/>
      </tp>
      <tp t="e">
        <v>#N/A</v>
        <stp/>
        <stp>BDH|5705666726758687293</stp>
        <tr r="Q9" s="21"/>
      </tp>
      <tp t="e">
        <v>#N/A</v>
        <stp/>
        <stp>BDH|3695296062304123843</stp>
        <tr r="Y39" s="13"/>
        <tr r="W32" s="10"/>
      </tp>
      <tp t="e">
        <v>#N/A</v>
        <stp/>
        <stp>BDH|2997512107764507821</stp>
        <tr r="P49" s="21"/>
      </tp>
      <tp t="e">
        <v>#N/A</v>
        <stp/>
        <stp>BDH|7838533234323587926</stp>
        <tr r="X49" s="4"/>
      </tp>
      <tp t="e">
        <v>#N/A</v>
        <stp/>
        <stp>BDH|7470827744856279682</stp>
        <tr r="P58" s="12"/>
      </tp>
      <tp t="e">
        <v>#N/A</v>
        <stp/>
        <stp>BDH|7952117897785382141</stp>
        <tr r="F197" s="18"/>
      </tp>
      <tp t="e">
        <v>#N/A</v>
        <stp/>
        <stp>BDH|1208905848451144639</stp>
        <tr r="K15" s="25"/>
      </tp>
      <tp t="e">
        <v>#N/A</v>
        <stp/>
        <stp>BDH|3486677988533143522</stp>
        <tr r="M151" s="18"/>
      </tp>
      <tp t="e">
        <v>#N/A</v>
        <stp/>
        <stp>BDH|4574475841618812739</stp>
        <tr r="AA18" s="34"/>
      </tp>
      <tp t="e">
        <v>#N/A</v>
        <stp/>
        <stp>BDH|6133890035976225077</stp>
        <tr r="K50" s="24"/>
      </tp>
      <tp t="e">
        <v>#N/A</v>
        <stp/>
        <stp>BDH|3998556079108583288</stp>
        <tr r="N171" s="18"/>
      </tp>
      <tp t="e">
        <v>#N/A</v>
        <stp/>
        <stp>BDH|4470671245719999469</stp>
        <tr r="N35" s="21"/>
      </tp>
      <tp t="e">
        <v>#N/A</v>
        <stp/>
        <stp>BDH|7813944305421403441</stp>
        <tr r="N67" s="10"/>
      </tp>
      <tp t="e">
        <v>#N/A</v>
        <stp/>
        <stp>BDH|3275523632749852735</stp>
        <tr r="H45" s="22"/>
      </tp>
      <tp t="e">
        <v>#N/A</v>
        <stp/>
        <stp>BDH|6154626528678571171</stp>
        <tr r="E17" s="23"/>
      </tp>
      <tp t="e">
        <v>#N/A</v>
        <stp/>
        <stp>BDH|6451796626469420166</stp>
        <tr r="W23" s="30"/>
        <tr r="W25" s="23"/>
      </tp>
      <tp t="e">
        <v>#N/A</v>
        <stp/>
        <stp>BDH|9731796332970777628</stp>
        <tr r="I39" s="11"/>
        <tr r="I27" s="11"/>
        <tr r="I48" s="10"/>
        <tr r="I36" s="10"/>
      </tp>
      <tp t="e">
        <v>#N/A</v>
        <stp/>
        <stp>BDH|4154888270826647662</stp>
        <tr r="W59" s="13"/>
      </tp>
      <tp t="e">
        <v>#N/A</v>
        <stp/>
        <stp>BDH|6700431968479173641</stp>
        <tr r="U21" s="14"/>
      </tp>
      <tp t="e">
        <v>#N/A</v>
        <stp/>
        <stp>BDH|8583295720182399167</stp>
        <tr r="C27" s="12"/>
      </tp>
      <tp t="e">
        <v>#N/A</v>
        <stp/>
        <stp>BDH|7565005451290908943</stp>
        <tr r="Y28" s="4"/>
      </tp>
      <tp t="e">
        <v>#N/A</v>
        <stp/>
        <stp>BDH|7575825438004423322</stp>
        <tr r="M19" s="23"/>
        <tr r="K59" s="11"/>
      </tp>
      <tp t="e">
        <v>#N/A</v>
        <stp/>
        <stp>BDH|1836477184650131633</stp>
        <tr r="V91" s="12"/>
      </tp>
      <tp t="e">
        <v>#N/A</v>
        <stp/>
        <stp>BDH|4049997342140646244</stp>
        <tr r="G37" s="34"/>
      </tp>
      <tp t="e">
        <v>#N/A</v>
        <stp/>
        <stp>BDH|5551760908081380818</stp>
        <tr r="G73" s="12"/>
      </tp>
      <tp t="e">
        <v>#N/A</v>
        <stp/>
        <stp>BDH|1970138087992518112</stp>
        <tr r="J57" s="24"/>
      </tp>
      <tp t="e">
        <v>#N/A</v>
        <stp/>
        <stp>BDH|5289398127556021952</stp>
        <tr r="Q22" s="30"/>
        <tr r="Q24" s="23"/>
      </tp>
      <tp t="e">
        <v>#N/A</v>
        <stp/>
        <stp>BDH|2880700491725521259</stp>
        <tr r="Y64" s="18"/>
      </tp>
      <tp t="e">
        <v>#N/A</v>
        <stp/>
        <stp>BDH|6197558598557410613</stp>
        <tr r="X51" s="17"/>
      </tp>
      <tp t="e">
        <v>#N/A</v>
        <stp/>
        <stp>BDH|2795992676160260735</stp>
        <tr r="W94" s="18"/>
      </tp>
      <tp t="e">
        <v>#N/A</v>
        <stp/>
        <stp>BDH|7755519479066437826</stp>
        <tr r="AA16" s="25"/>
      </tp>
      <tp t="e">
        <v>#N/A</v>
        <stp/>
        <stp>BDH|8898540182329608713</stp>
        <tr r="T42" s="24"/>
      </tp>
      <tp t="e">
        <v>#N/A</v>
        <stp/>
        <stp>BDH|5678770393344854438</stp>
        <tr r="X22" s="10"/>
      </tp>
      <tp t="e">
        <v>#N/A</v>
        <stp/>
        <stp>BDH|6017844112784825079</stp>
        <tr r="E77" s="18"/>
      </tp>
      <tp t="e">
        <v>#N/A</v>
        <stp/>
        <stp>BDH|1854567681234311359</stp>
        <tr r="I72" s="34"/>
      </tp>
      <tp t="e">
        <v>#N/A</v>
        <stp/>
        <stp>BDH|5150162418829445720</stp>
        <tr r="I69" s="17"/>
      </tp>
      <tp t="e">
        <v>#N/A</v>
        <stp/>
        <stp>BDH|6610399415389505660</stp>
        <tr r="P63" s="21"/>
      </tp>
      <tp t="e">
        <v>#N/A</v>
        <stp/>
        <stp>BDH|5469269483920089484</stp>
        <tr r="T11" s="20"/>
        <tr r="T120" s="18"/>
      </tp>
      <tp t="e">
        <v>#N/A</v>
        <stp/>
        <stp>BDH|9348236609132710278</stp>
        <tr r="T31" s="26"/>
        <tr r="Q14" s="9"/>
      </tp>
      <tp t="e">
        <v>#N/A</v>
        <stp/>
        <stp>BDH|6544835503717589294</stp>
        <tr r="L15" s="9"/>
      </tp>
      <tp t="e">
        <v>#N/A</v>
        <stp/>
        <stp>BDH|8516704926933237585</stp>
        <tr r="D69" s="18"/>
      </tp>
      <tp t="e">
        <v>#N/A</v>
        <stp/>
        <stp>BDH|5935281381583889713</stp>
        <tr r="AA46" s="18"/>
      </tp>
      <tp t="e">
        <v>#N/A</v>
        <stp/>
        <stp>BDH|5073077716927908815</stp>
        <tr r="I10" s="23"/>
      </tp>
      <tp t="e">
        <v>#N/A</v>
        <stp/>
        <stp>BDH|7522996807542540779</stp>
        <tr r="N79" s="24"/>
      </tp>
      <tp t="e">
        <v>#N/A</v>
        <stp/>
        <stp>BDH|1911813026577196761</stp>
        <tr r="S9" s="17"/>
      </tp>
      <tp t="e">
        <v>#N/A</v>
        <stp/>
        <stp>BDH|3530009308139701134</stp>
        <tr r="H43" s="17"/>
      </tp>
      <tp t="e">
        <v>#N/A</v>
        <stp/>
        <stp>BDH|8439211352991611585</stp>
        <tr r="J52" s="18"/>
      </tp>
      <tp t="e">
        <v>#N/A</v>
        <stp/>
        <stp>BDH|4919268337729617770</stp>
        <tr r="R27" s="13"/>
      </tp>
      <tp t="e">
        <v>#N/A</v>
        <stp/>
        <stp>BDH|3815664769961844966</stp>
        <tr r="E6" s="8"/>
        <tr r="C51" s="6"/>
      </tp>
      <tp t="e">
        <v>#N/A</v>
        <stp/>
        <stp>BDH|9205393839997936527</stp>
        <tr r="W8" s="21"/>
      </tp>
      <tp t="e">
        <v>#N/A</v>
        <stp/>
        <stp>BDH|4537697987724478515</stp>
        <tr r="F34" s="22"/>
      </tp>
      <tp t="e">
        <v>#N/A</v>
        <stp/>
        <stp>BDH|6025719189114721619</stp>
        <tr r="R26" s="21"/>
      </tp>
      <tp t="e">
        <v>#N/A</v>
        <stp/>
        <stp>BDH|8547539738393591656</stp>
        <tr r="J84" s="18"/>
      </tp>
      <tp t="e">
        <v>#N/A</v>
        <stp/>
        <stp>BDH|5794216647670680891</stp>
        <tr r="E66" s="17"/>
      </tp>
      <tp t="e">
        <v>#N/A</v>
        <stp/>
        <stp>BDH|2936212258767745992</stp>
        <tr r="I23" s="21"/>
      </tp>
      <tp t="e">
        <v>#N/A</v>
        <stp/>
        <stp>BDH|9808927336891480967</stp>
        <tr r="F50" s="13"/>
      </tp>
      <tp t="e">
        <v>#N/A</v>
        <stp/>
        <stp>BDH|2461945577712936507</stp>
        <tr r="Y59" s="17"/>
      </tp>
      <tp t="e">
        <v>#N/A</v>
        <stp/>
        <stp>BDH|8141298614928206805</stp>
        <tr r="D24" s="2"/>
      </tp>
      <tp t="e">
        <v>#N/A</v>
        <stp/>
        <stp>BDH|4782743787436968639</stp>
        <tr r="L22" s="14"/>
      </tp>
      <tp t="e">
        <v>#N/A</v>
        <stp/>
        <stp>BDH|6623690857829226748</stp>
        <tr r="J43" s="12"/>
      </tp>
      <tp t="e">
        <v>#N/A</v>
        <stp/>
        <stp>BDH|7980298382041938753</stp>
        <tr r="Z86" s="17"/>
      </tp>
      <tp t="e">
        <v>#N/A</v>
        <stp/>
        <stp>BDH|9536640475494244783</stp>
        <tr r="H36" s="21"/>
      </tp>
      <tp t="e">
        <v>#N/A</v>
        <stp/>
        <stp>BDH|8205629135342986421</stp>
        <tr r="E68" s="13"/>
      </tp>
      <tp t="e">
        <v>#N/A</v>
        <stp/>
        <stp>BDH|2917311281235367747</stp>
        <tr r="O105" s="12"/>
      </tp>
      <tp t="e">
        <v>#N/A</v>
        <stp/>
        <stp>BDH|6651801226496754196</stp>
        <tr r="J10" s="10"/>
      </tp>
      <tp t="e">
        <v>#N/A</v>
        <stp/>
        <stp>BDH|8447494937345161156</stp>
        <tr r="F39" s="26"/>
      </tp>
      <tp t="e">
        <v>#N/A</v>
        <stp/>
        <stp>BDH|1622363704528943132</stp>
        <tr r="Q22" s="27"/>
      </tp>
      <tp t="e">
        <v>#N/A</v>
        <stp/>
        <stp>BDH|7143281187446822086</stp>
        <tr r="R38" s="12"/>
      </tp>
      <tp t="e">
        <v>#N/A</v>
        <stp/>
        <stp>BDH|7767394416889667709</stp>
        <tr r="X94" s="17"/>
      </tp>
      <tp t="e">
        <v>#N/A</v>
        <stp/>
        <stp>BDH|6554875366882246189</stp>
        <tr r="E34" s="21"/>
      </tp>
      <tp t="e">
        <v>#N/A</v>
        <stp/>
        <stp>BDH|1867341187673536206</stp>
        <tr r="W69" s="12"/>
      </tp>
      <tp t="e">
        <v>#N/A</v>
        <stp/>
        <stp>BDH|5074456503353177991</stp>
        <tr r="Q76" s="17"/>
      </tp>
      <tp t="e">
        <v>#N/A</v>
        <stp/>
        <stp>BDH|9269603774707006486</stp>
        <tr r="D30" s="12"/>
      </tp>
      <tp t="e">
        <v>#N/A</v>
        <stp/>
        <stp>BDH|5008969224226450389</stp>
        <tr r="L13" s="27"/>
        <tr r="L27" s="25"/>
      </tp>
      <tp t="e">
        <v>#N/A</v>
        <stp/>
        <stp>BDH|6242300080942820449</stp>
        <tr r="R210" s="18"/>
      </tp>
      <tp t="e">
        <v>#N/A</v>
        <stp/>
        <stp>BDH|9777282215039321871</stp>
        <tr r="V22" s="22"/>
      </tp>
      <tp t="e">
        <v>#N/A</v>
        <stp/>
        <stp>BDH|1222724205805880830</stp>
        <tr r="G34" s="26"/>
      </tp>
      <tp t="e">
        <v>#N/A</v>
        <stp/>
        <stp>BDH|7069385844342374911</stp>
        <tr r="Q15" s="9"/>
      </tp>
      <tp t="e">
        <v>#N/A</v>
        <stp/>
        <stp>BDH|3076429384916906211</stp>
        <tr r="G101" s="12"/>
      </tp>
      <tp t="e">
        <v>#N/A</v>
        <stp/>
        <stp>BDH|1968013636610012904</stp>
        <tr r="T84" s="24"/>
      </tp>
      <tp t="e">
        <v>#N/A</v>
        <stp/>
        <stp>BDH|3666987650305938197</stp>
        <tr r="P22" s="17"/>
        <tr r="P15" s="3"/>
      </tp>
      <tp t="e">
        <v>#N/A</v>
        <stp/>
        <stp>BDH|2369143984200980046</stp>
        <tr r="Q16" s="6"/>
      </tp>
      <tp t="e">
        <v>#N/A</v>
        <stp/>
        <stp>BDH|7788965579425652705</stp>
        <tr r="T9" s="34"/>
      </tp>
      <tp t="e">
        <v>#N/A</v>
        <stp/>
        <stp>BDH|4970160697290744718</stp>
        <tr r="E19" s="9"/>
      </tp>
      <tp t="e">
        <v>#N/A</v>
        <stp/>
        <stp>BDH|8251018868415653035</stp>
        <tr r="J28" s="18"/>
      </tp>
      <tp t="e">
        <v>#N/A</v>
        <stp/>
        <stp>BDH|3641791865890347973</stp>
        <tr r="X9" s="27"/>
      </tp>
      <tp t="e">
        <v>#N/A</v>
        <stp/>
        <stp>BDH|9173150437950950041</stp>
        <tr r="G36" s="18"/>
      </tp>
      <tp t="e">
        <v>#N/A</v>
        <stp/>
        <stp>BDH|9189497535196040337</stp>
        <tr r="T41" s="11"/>
        <tr r="T50" s="10"/>
        <tr r="T8" s="7"/>
        <tr r="V11" s="3"/>
      </tp>
      <tp t="e">
        <v>#N/A</v>
        <stp/>
        <stp>BDH|8946843454576682816</stp>
        <tr r="M86" s="18"/>
      </tp>
      <tp t="e">
        <v>#N/A</v>
        <stp/>
        <stp>BDH|5754223858050091933</stp>
        <tr r="E27" s="34"/>
      </tp>
      <tp t="e">
        <v>#N/A</v>
        <stp/>
        <stp>BDH|6851165443231285915</stp>
        <tr r="R8" s="23"/>
      </tp>
      <tp t="e">
        <v>#N/A</v>
        <stp/>
        <stp>BDH|2638771180836975062</stp>
        <tr r="T38" s="21"/>
        <tr r="T24" s="3"/>
      </tp>
      <tp t="e">
        <v>#N/A</v>
        <stp/>
        <stp>BDH|4661856409361454608</stp>
        <tr r="W7" s="8"/>
      </tp>
      <tp t="e">
        <v>#N/A</v>
        <stp/>
        <stp>BDH|1434913574444887072</stp>
        <tr r="AA73" s="17"/>
      </tp>
      <tp t="e">
        <v>#N/A</v>
        <stp/>
        <stp>BDH|2611905615421889056</stp>
        <tr r="P195" s="18"/>
      </tp>
      <tp t="e">
        <v>#N/A</v>
        <stp/>
        <stp>BDH|1906532898664436289</stp>
        <tr r="D31" s="26"/>
      </tp>
      <tp t="e">
        <v>#N/A</v>
        <stp/>
        <stp>BDH|9228307590358828055</stp>
        <tr r="L48" s="24"/>
      </tp>
      <tp t="e">
        <v>#N/A</v>
        <stp/>
        <stp>BDH|4998831321907256265</stp>
        <tr r="I32" s="22"/>
      </tp>
      <tp t="e">
        <v>#N/A</v>
        <stp/>
        <stp>BDH|6230640438711442950</stp>
        <tr r="V26" s="26"/>
      </tp>
      <tp t="e">
        <v>#N/A</v>
        <stp/>
        <stp>BDH|8311366218583116233</stp>
        <tr r="L9" s="30"/>
      </tp>
      <tp t="e">
        <v>#N/A</v>
        <stp/>
        <stp>BDH|6614244355442879806</stp>
        <tr r="T28" s="12"/>
      </tp>
      <tp t="e">
        <v>#N/A</v>
        <stp/>
        <stp>BDH|3832112311030464835</stp>
        <tr r="U95" s="12"/>
      </tp>
      <tp t="e">
        <v>#N/A</v>
        <stp/>
        <stp>BDH|3191531448938221171</stp>
        <tr r="N20" s="22"/>
      </tp>
      <tp t="e">
        <v>#N/A</v>
        <stp/>
        <stp>BDH|4413081312479258733</stp>
        <tr r="D86" s="18"/>
      </tp>
      <tp t="e">
        <v>#N/A</v>
        <stp/>
        <stp>BDH|6447984557467751635</stp>
        <tr r="AA14" s="27"/>
        <tr r="AA28" s="25"/>
      </tp>
      <tp t="e">
        <v>#N/A</v>
        <stp/>
        <stp>BDH|9640232375103825471</stp>
        <tr r="X13" s="9"/>
      </tp>
      <tp t="e">
        <v>#N/A</v>
        <stp/>
        <stp>BDH|3540765187427960027</stp>
        <tr r="W29" s="17"/>
      </tp>
      <tp t="e">
        <v>#N/A</v>
        <stp/>
        <stp>BDH|6823100786272316626</stp>
        <tr r="Z23" s="21"/>
      </tp>
      <tp t="e">
        <v>#N/A</v>
        <stp/>
        <stp>BDH|1780161723971843853</stp>
        <tr r="M21" s="6"/>
      </tp>
      <tp t="e">
        <v>#N/A</v>
        <stp/>
        <stp>BDH|4461053799827689112</stp>
        <tr r="I31" s="29"/>
      </tp>
      <tp t="e">
        <v>#N/A</v>
        <stp/>
        <stp>BDH|2137701162581431983</stp>
        <tr r="T14" s="6"/>
      </tp>
      <tp t="e">
        <v>#N/A</v>
        <stp/>
        <stp>BDH|7112541623782015991</stp>
        <tr r="I84" s="18"/>
      </tp>
      <tp t="e">
        <v>#N/A</v>
        <stp/>
        <stp>BDH|1334884652304776315</stp>
        <tr r="W23" s="24"/>
      </tp>
      <tp t="e">
        <v>#N/A</v>
        <stp/>
        <stp>BDH|6303767499361157227</stp>
        <tr r="J16" s="24"/>
      </tp>
      <tp t="e">
        <v>#N/A</v>
        <stp/>
        <stp>BDH|2633583767342220847</stp>
        <tr r="S46" s="22"/>
      </tp>
      <tp t="e">
        <v>#N/A</v>
        <stp/>
        <stp>BDH|6070345348128653250</stp>
        <tr r="Y10" s="8"/>
        <tr r="W53" s="6"/>
      </tp>
      <tp t="e">
        <v>#N/A</v>
        <stp/>
        <stp>BDH|8904099935584997433</stp>
        <tr r="X7" s="17"/>
      </tp>
      <tp t="e">
        <v>#N/A</v>
        <stp/>
        <stp>BDH|1835300406109828096</stp>
        <tr r="W12" s="21"/>
      </tp>
      <tp t="e">
        <v>#N/A</v>
        <stp/>
        <stp>BDH|7979427384280235028</stp>
        <tr r="L10" s="12"/>
      </tp>
      <tp t="e">
        <v>#N/A</v>
        <stp/>
        <stp>BDH|6724458789558514917</stp>
        <tr r="Y21" s="34"/>
      </tp>
      <tp t="e">
        <v>#N/A</v>
        <stp/>
        <stp>BDH|8600159133416849771</stp>
        <tr r="V32" s="6"/>
      </tp>
      <tp t="e">
        <v>#N/A</v>
        <stp/>
        <stp>BDH|7057992973730182242</stp>
        <tr r="P11" s="9"/>
      </tp>
      <tp t="e">
        <v>#N/A</v>
        <stp/>
        <stp>BDH|2748642499836069055</stp>
        <tr r="V76" s="34"/>
      </tp>
      <tp t="e">
        <v>#N/A</v>
        <stp/>
        <stp>BDH|2803718856413718870</stp>
        <tr r="U79" s="12"/>
      </tp>
      <tp t="e">
        <v>#N/A</v>
        <stp/>
        <stp>BDH|3324279719409300212</stp>
        <tr r="X17" s="21"/>
      </tp>
      <tp t="e">
        <v>#N/A</v>
        <stp/>
        <stp>BDH|4576008812288948614</stp>
        <tr r="R6" s="16"/>
        <tr r="S6" s="11"/>
        <tr r="S10" s="4"/>
        <tr r="U6" s="3"/>
      </tp>
      <tp t="e">
        <v>#N/A</v>
        <stp/>
        <stp>BDH|4541850266475852419</stp>
        <tr r="K128" s="18"/>
      </tp>
      <tp t="e">
        <v>#N/A</v>
        <stp/>
        <stp>BDH|1513474026598247498</stp>
        <tr r="L77" s="24"/>
      </tp>
      <tp t="e">
        <v>#N/A</v>
        <stp/>
        <stp>BDH|1962075731531203828</stp>
        <tr r="Z74" s="12"/>
      </tp>
      <tp t="e">
        <v>#N/A</v>
        <stp/>
        <stp>BDH|3944915602808667931</stp>
        <tr r="T93" s="24"/>
      </tp>
      <tp t="e">
        <v>#N/A</v>
        <stp/>
        <stp>BDH|2143872445111881441</stp>
        <tr r="S38" s="22"/>
      </tp>
      <tp t="e">
        <v>#N/A</v>
        <stp/>
        <stp>BDH|5642969079909422928</stp>
        <tr r="Z53" s="17"/>
      </tp>
      <tp t="e">
        <v>#N/A</v>
        <stp/>
        <stp>BDH|1113347609230687952</stp>
        <tr r="D67" s="12"/>
      </tp>
      <tp t="e">
        <v>#N/A</v>
        <stp/>
        <stp>BDH|7916326786564585374</stp>
        <tr r="L9" s="10"/>
      </tp>
      <tp t="e">
        <v>#N/A</v>
        <stp/>
        <stp>BDH|3365801988350758800</stp>
        <tr r="U96" s="12"/>
      </tp>
      <tp t="e">
        <v>#N/A</v>
        <stp/>
        <stp>BDH|4173052398946745079</stp>
        <tr r="T30" s="34"/>
      </tp>
      <tp t="e">
        <v>#N/A</v>
        <stp/>
        <stp>BDH|9049346198219685169</stp>
        <tr r="O31" s="29"/>
      </tp>
      <tp t="e">
        <v>#N/A</v>
        <stp/>
        <stp>BDH|9998692055015821418</stp>
        <tr r="Y15" s="14"/>
      </tp>
      <tp t="e">
        <v>#N/A</v>
        <stp/>
        <stp>BDH|9043671648366519666</stp>
        <tr r="W124" s="18"/>
      </tp>
      <tp t="e">
        <v>#N/A</v>
        <stp/>
        <stp>BDH|6034902672826710598</stp>
        <tr r="Z27" s="18"/>
      </tp>
      <tp t="e">
        <v>#N/A</v>
        <stp/>
        <stp>BDH|6919226626409418451</stp>
        <tr r="G80" s="24"/>
      </tp>
      <tp t="e">
        <v>#N/A</v>
        <stp/>
        <stp>BDH|4423653489249653825</stp>
        <tr r="Q43" s="12"/>
      </tp>
      <tp t="e">
        <v>#N/A</v>
        <stp/>
        <stp>BDH|9263091173537613220</stp>
        <tr r="E64" s="11"/>
        <tr r="E73" s="10"/>
      </tp>
      <tp t="e">
        <v>#N/A</v>
        <stp/>
        <stp>BDH|8425553605166076084</stp>
        <tr r="J137" s="18"/>
      </tp>
      <tp t="e">
        <v>#N/A</v>
        <stp/>
        <stp>BDH|1804650480394404050</stp>
        <tr r="H24" s="17"/>
      </tp>
      <tp t="e">
        <v>#N/A</v>
        <stp/>
        <stp>BDH|6549024188711140420</stp>
        <tr r="X9" s="14"/>
      </tp>
      <tp t="e">
        <v>#N/A</v>
        <stp/>
        <stp>BDH|7513292033129558465</stp>
        <tr r="F36" s="29"/>
        <tr r="F22" s="29"/>
        <tr r="F13" s="29"/>
      </tp>
      <tp t="e">
        <v>#N/A</v>
        <stp/>
        <stp>BDH|4785798846889340579</stp>
        <tr r="R35" s="4"/>
      </tp>
      <tp t="e">
        <v>#N/A</v>
        <stp/>
        <stp>BDH|9674592832813498751</stp>
        <tr r="Z192" s="18"/>
      </tp>
      <tp t="e">
        <v>#N/A</v>
        <stp/>
        <stp>BDH|4350560506303802973</stp>
        <tr r="S24" s="5"/>
      </tp>
      <tp t="e">
        <v>#N/A</v>
        <stp/>
        <stp>BDH|7954986202113870670</stp>
        <tr r="D112" s="12"/>
      </tp>
      <tp t="e">
        <v>#N/A</v>
        <stp/>
        <stp>BDH|6667475729032641922</stp>
        <tr r="L66" s="12"/>
      </tp>
      <tp t="e">
        <v>#N/A</v>
        <stp/>
        <stp>BDH|1158517205677191888</stp>
        <tr r="G21" s="30"/>
      </tp>
      <tp t="e">
        <v>#N/A</v>
        <stp/>
        <stp>BDH|5717806551330935333</stp>
        <tr r="P28" s="26"/>
      </tp>
      <tp t="e">
        <v>#N/A</v>
        <stp/>
        <stp>BDH|2255481133339747727</stp>
        <tr r="Q30" s="14"/>
      </tp>
      <tp t="e">
        <v>#N/A</v>
        <stp/>
        <stp>BDH|9044142421465807416</stp>
        <tr r="W9" s="12"/>
      </tp>
      <tp t="e">
        <v>#N/A</v>
        <stp/>
        <stp>BDH|8935524059133875065</stp>
        <tr r="O28" s="6"/>
      </tp>
      <tp t="e">
        <v>#N/A</v>
        <stp/>
        <stp>BDH|4547456190256944453</stp>
        <tr r="E70" s="34"/>
      </tp>
      <tp t="e">
        <v>#N/A</v>
        <stp/>
        <stp>BDH|8923376073447975080</stp>
        <tr r="F81" s="18"/>
      </tp>
      <tp t="e">
        <v>#N/A</v>
        <stp/>
        <stp>BDH|2578667029534674905</stp>
        <tr r="E19" s="11"/>
      </tp>
      <tp t="e">
        <v>#N/A</v>
        <stp/>
        <stp>BDH|5365759912031909919</stp>
        <tr r="U21" s="27"/>
      </tp>
      <tp t="e">
        <v>#N/A</v>
        <stp/>
        <stp>BDH|5912136510568018665</stp>
        <tr r="M27" s="12"/>
      </tp>
      <tp t="e">
        <v>#N/A</v>
        <stp/>
        <stp>BDH|5614211032008883711</stp>
        <tr r="D10" s="12"/>
      </tp>
      <tp t="e">
        <v>#N/A</v>
        <stp/>
        <stp>BDH|6923559734702174952</stp>
        <tr r="C30" s="11"/>
        <tr r="C39" s="10"/>
      </tp>
      <tp t="e">
        <v>#N/A</v>
        <stp/>
        <stp>BDH|3850802016475538479</stp>
        <tr r="U18" s="6"/>
      </tp>
      <tp t="e">
        <v>#N/A</v>
        <stp/>
        <stp>BDH|9277039965661951514</stp>
        <tr r="D76" s="17"/>
      </tp>
      <tp t="e">
        <v>#N/A</v>
        <stp/>
        <stp>BDH|8889619547081616048</stp>
        <tr r="T16" s="34"/>
      </tp>
      <tp t="e">
        <v>#N/A</v>
        <stp/>
        <stp>BDH|6845978915081448420</stp>
        <tr r="H18" s="25"/>
      </tp>
      <tp t="e">
        <v>#N/A</v>
        <stp/>
        <stp>BDH|1456072528818148063</stp>
        <tr r="W43" s="6"/>
      </tp>
      <tp t="e">
        <v>#N/A</v>
        <stp/>
        <stp>BDH|3401891411825264424</stp>
        <tr r="Z30" s="22"/>
      </tp>
      <tp t="e">
        <v>#N/A</v>
        <stp/>
        <stp>BDH|6874350934994307965</stp>
        <tr r="AA22" s="17"/>
        <tr r="AA15" s="3"/>
      </tp>
      <tp t="e">
        <v>#N/A</v>
        <stp/>
        <stp>BDH|1491165999762700000</stp>
        <tr r="G8" s="27"/>
      </tp>
      <tp t="e">
        <v>#N/A</v>
        <stp/>
        <stp>BDH|3936917876143175539</stp>
        <tr r="T11" s="29"/>
      </tp>
      <tp t="e">
        <v>#N/A</v>
        <stp/>
        <stp>BDH|7397775760684887909</stp>
        <tr r="T116" s="12"/>
      </tp>
      <tp t="e">
        <v>#N/A</v>
        <stp/>
        <stp>BDH|7077927759731088175</stp>
        <tr r="G21" s="5"/>
      </tp>
      <tp t="e">
        <v>#N/A</v>
        <stp/>
        <stp>BDH|7981235367069011111</stp>
        <tr r="P12" s="7"/>
      </tp>
      <tp t="e">
        <v>#N/A</v>
        <stp/>
        <stp>BDH|5857937909954950373</stp>
        <tr r="F56" s="17"/>
      </tp>
      <tp t="e">
        <v>#N/A</v>
        <stp/>
        <stp>BDH|8594864485420836326</stp>
        <tr r="T21" s="14"/>
      </tp>
      <tp t="e">
        <v>#N/A</v>
        <stp/>
        <stp>BDH|3163890621805232771</stp>
        <tr r="S59" s="17"/>
      </tp>
      <tp t="e">
        <v>#N/A</v>
        <stp/>
        <stp>BDH|2249429266402318994</stp>
        <tr r="Z21" s="27"/>
      </tp>
      <tp t="e">
        <v>#N/A</v>
        <stp/>
        <stp>BDH|7987939553993058351</stp>
        <tr r="L65" s="21"/>
        <tr r="J23" s="7"/>
      </tp>
      <tp t="e">
        <v>#N/A</v>
        <stp/>
        <stp>BDH|3788071978719108652</stp>
        <tr r="S79" s="12"/>
      </tp>
      <tp t="e">
        <v>#N/A</v>
        <stp/>
        <stp>BDH|7009549745448428590</stp>
        <tr r="R194" s="18"/>
      </tp>
      <tp t="e">
        <v>#N/A</v>
        <stp/>
        <stp>BDH|2049282574119401548</stp>
        <tr r="O35" s="34"/>
      </tp>
      <tp t="e">
        <v>#N/A</v>
        <stp/>
        <stp>BDH|2122974670523395494</stp>
        <tr r="O61" s="12"/>
      </tp>
      <tp t="e">
        <v>#N/A</v>
        <stp/>
        <stp>BDH|3647439348088831090</stp>
        <tr r="T9" s="8"/>
        <tr r="R52" s="6"/>
      </tp>
      <tp t="e">
        <v>#N/A</v>
        <stp/>
        <stp>BDH|8560560069519579925</stp>
        <tr r="V74" s="12"/>
      </tp>
      <tp t="e">
        <v>#N/A</v>
        <stp/>
        <stp>BDH|9579405492579202686</stp>
        <tr r="P35" s="4"/>
      </tp>
      <tp t="e">
        <v>#N/A</v>
        <stp/>
        <stp>BDH|1627644692071541482</stp>
        <tr r="W17" s="20"/>
      </tp>
      <tp t="e">
        <v>#N/A</v>
        <stp/>
        <stp>BDH|6850265774070021872</stp>
        <tr r="F132" s="18"/>
      </tp>
      <tp t="e">
        <v>#N/A</v>
        <stp/>
        <stp>BDH|6967536091224136571</stp>
        <tr r="N50" s="24"/>
      </tp>
      <tp t="e">
        <v>#N/A</v>
        <stp/>
        <stp>BDH|9944660910803150639</stp>
        <tr r="K132" s="18"/>
      </tp>
      <tp t="e">
        <v>#N/A</v>
        <stp/>
        <stp>BDH|8282278275605403395</stp>
        <tr r="W15" s="5"/>
      </tp>
      <tp t="e">
        <v>#N/A</v>
        <stp/>
        <stp>BDH|5320027846869392397</stp>
        <tr r="C46" s="17"/>
      </tp>
      <tp t="e">
        <v>#N/A</v>
        <stp/>
        <stp>BDH|7378382698552760495</stp>
        <tr r="C17" s="20"/>
      </tp>
      <tp t="e">
        <v>#N/A</v>
        <stp/>
        <stp>BDH|2302275908638129303</stp>
        <tr r="R60" s="21"/>
        <tr r="P54" s="11"/>
      </tp>
      <tp t="e">
        <v>#N/A</v>
        <stp/>
        <stp>BDH|2236812457484147083</stp>
        <tr r="K104" s="12"/>
      </tp>
      <tp t="e">
        <v>#N/A</v>
        <stp/>
        <stp>BDH|8839568974637695611</stp>
        <tr r="P11" s="6"/>
      </tp>
      <tp t="e">
        <v>#N/A</v>
        <stp/>
        <stp>BDH|3335877522510929226</stp>
        <tr r="Y155" s="18"/>
      </tp>
      <tp t="e">
        <v>#N/A</v>
        <stp/>
        <stp>BDH|7490141493994851060</stp>
        <tr r="X40" s="17"/>
      </tp>
      <tp t="e">
        <v>#N/A</v>
        <stp/>
        <stp>BDH|8855767216183641633</stp>
        <tr r="T61" s="11"/>
        <tr r="T70" s="10"/>
        <tr r="T20" s="7"/>
      </tp>
      <tp t="e">
        <v>#N/A</v>
        <stp/>
        <stp>BDH|9940589736346829228</stp>
        <tr r="Q41" s="11"/>
        <tr r="Q50" s="10"/>
        <tr r="Q8" s="7"/>
        <tr r="S11" s="3"/>
      </tp>
      <tp t="e">
        <v>#N/A</v>
        <stp/>
        <stp>BDH|5056167900006330986</stp>
        <tr r="S30" s="22"/>
      </tp>
      <tp t="e">
        <v>#N/A</v>
        <stp/>
        <stp>BDH|6132431478498170666</stp>
        <tr r="M183" s="18"/>
      </tp>
      <tp t="e">
        <v>#N/A</v>
        <stp/>
        <stp>BDH|1037443069068012007</stp>
        <tr r="AA8" s="25"/>
        <tr r="X10" s="5"/>
        <tr r="Y9" s="2"/>
      </tp>
      <tp t="e">
        <v>#N/A</v>
        <stp/>
        <stp>BDH|1616924174790510485</stp>
        <tr r="D122" s="12"/>
      </tp>
      <tp t="e">
        <v>#N/A</v>
        <stp/>
        <stp>BDH|4465463640957743881</stp>
        <tr r="C99" s="18"/>
      </tp>
      <tp t="e">
        <v>#N/A</v>
        <stp/>
        <stp>BDH|3692715138899758558</stp>
        <tr r="D60" s="13"/>
      </tp>
      <tp t="e">
        <v>#N/A</v>
        <stp/>
        <stp>BDH|5096197383457073074</stp>
        <tr r="E29" s="4"/>
      </tp>
      <tp t="e">
        <v>#N/A</v>
        <stp/>
        <stp>BDH|5896454264589165556</stp>
        <tr r="F78" s="12"/>
      </tp>
      <tp t="e">
        <v>#N/A</v>
        <stp/>
        <stp>BDH|4366454645318934779</stp>
        <tr r="M47" s="18"/>
      </tp>
      <tp t="e">
        <v>#N/A</v>
        <stp/>
        <stp>BDH|9911448205660460612</stp>
        <tr r="Q7" s="11"/>
      </tp>
      <tp t="e">
        <v>#N/A</v>
        <stp/>
        <stp>BDH|7677497927508082256</stp>
        <tr r="G159" s="18"/>
      </tp>
      <tp t="e">
        <v>#N/A</v>
        <stp/>
        <stp>BDH|9667518867164515585</stp>
        <tr r="H17" s="23"/>
      </tp>
      <tp t="e">
        <v>#N/A</v>
        <stp/>
        <stp>BDH|5545820860908311896</stp>
        <tr r="J24" s="21"/>
      </tp>
      <tp t="e">
        <v>#N/A</v>
        <stp/>
        <stp>BDH|4668858609773131460</stp>
        <tr r="R21" s="27"/>
      </tp>
      <tp t="e">
        <v>#N/A</v>
        <stp/>
        <stp>BDH|6454789984667030553</stp>
        <tr r="C28" s="6"/>
      </tp>
      <tp t="e">
        <v>#N/A</v>
        <stp/>
        <stp>BDH|2467143210921965847</stp>
        <tr r="K70" s="12"/>
      </tp>
      <tp t="e">
        <v>#N/A</v>
        <stp/>
        <stp>BDH|2424133826329565399</stp>
        <tr r="I27" s="7"/>
      </tp>
      <tp t="e">
        <v>#N/A</v>
        <stp/>
        <stp>BDH|8156229478235514330</stp>
        <tr r="T44" s="18"/>
      </tp>
      <tp t="e">
        <v>#N/A</v>
        <stp/>
        <stp>BDH|7973303719378515689</stp>
        <tr r="W65" s="10"/>
        <tr r="W25" s="4"/>
      </tp>
      <tp t="e">
        <v>#N/A</v>
        <stp/>
        <stp>BDH|2290378479939449453</stp>
        <tr r="Y25" s="24"/>
      </tp>
      <tp t="e">
        <v>#N/A</v>
        <stp/>
        <stp>BDH|6661276116858901636</stp>
        <tr r="Q8" s="10"/>
      </tp>
      <tp t="e">
        <v>#N/A</v>
        <stp/>
        <stp>BDH|2575857459140483407</stp>
        <tr r="L10" s="22"/>
      </tp>
      <tp t="e">
        <v>#N/A</v>
        <stp/>
        <stp>BDH|6998626946338365734</stp>
        <tr r="V10" s="13"/>
      </tp>
      <tp t="e">
        <v>#N/A</v>
        <stp/>
        <stp>BDH|4396389345630835844</stp>
        <tr r="M13" s="11"/>
      </tp>
      <tp t="e">
        <v>#N/A</v>
        <stp/>
        <stp>BDH|7193549388246759786</stp>
        <tr r="E14" s="18"/>
      </tp>
      <tp t="e">
        <v>#N/A</v>
        <stp/>
        <stp>BDH|2619105640319718536</stp>
        <tr r="O56" s="12"/>
      </tp>
      <tp t="e">
        <v>#N/A</v>
        <stp/>
        <stp>BDH|8338796968406776476</stp>
        <tr r="C30" s="22"/>
      </tp>
      <tp t="e">
        <v>#N/A</v>
        <stp/>
        <stp>BDH|5325450738390581999</stp>
        <tr r="D13" s="5"/>
      </tp>
      <tp t="e">
        <v>#N/A</v>
        <stp/>
        <stp>BDH|5395000797394080362</stp>
        <tr r="X14" s="8"/>
      </tp>
      <tp t="e">
        <v>#N/A</v>
        <stp/>
        <stp>BDH|2980867537991919335</stp>
        <tr r="AA66" s="18"/>
      </tp>
      <tp t="e">
        <v>#N/A</v>
        <stp/>
        <stp>BDH|7640514720433311867</stp>
        <tr r="K28" s="24"/>
      </tp>
      <tp t="e">
        <v>#N/A</v>
        <stp/>
        <stp>BDH|8201670355337130732</stp>
        <tr r="V52" s="24"/>
      </tp>
      <tp t="e">
        <v>#N/A</v>
        <stp/>
        <stp>BDH|2754063506598253174</stp>
        <tr r="G15" s="26"/>
      </tp>
      <tp t="e">
        <v>#N/A</v>
        <stp/>
        <stp>BDH|5076972119935490380</stp>
        <tr r="P86" s="24"/>
      </tp>
      <tp t="e">
        <v>#N/A</v>
        <stp/>
        <stp>BDH|7445076576792669916</stp>
        <tr r="Y9" s="12"/>
      </tp>
      <tp t="e">
        <v>#N/A</v>
        <stp/>
        <stp>BDH|1178363081210168155</stp>
        <tr r="H16" s="6"/>
      </tp>
      <tp t="e">
        <v>#N/A</v>
        <stp/>
        <stp>BDH|5649934267473883289</stp>
        <tr r="J124" s="12"/>
      </tp>
      <tp t="e">
        <v>#N/A</v>
        <stp/>
        <stp>BDH|9311377846287118210</stp>
        <tr r="AA131" s="18"/>
      </tp>
      <tp t="e">
        <v>#N/A</v>
        <stp/>
        <stp>BDH|5265973518572610495</stp>
        <tr r="AA44" s="22"/>
      </tp>
      <tp t="e">
        <v>#N/A</v>
        <stp/>
        <stp>BDH|4575421871785247961</stp>
        <tr r="N61" s="12"/>
      </tp>
      <tp t="e">
        <v>#N/A</v>
        <stp/>
        <stp>BDH|6499114677362937999</stp>
        <tr r="V213" s="18"/>
      </tp>
      <tp t="e">
        <v>#N/A</v>
        <stp/>
        <stp>BDH|9928155160374790199</stp>
        <tr r="F24" s="27"/>
      </tp>
      <tp t="e">
        <v>#N/A</v>
        <stp/>
        <stp>BDH|4865831071729841903</stp>
        <tr r="C24" s="18"/>
      </tp>
      <tp t="e">
        <v>#N/A</v>
        <stp/>
        <stp>BDH|7609444840854514854</stp>
        <tr r="N8" s="2"/>
      </tp>
      <tp t="e">
        <v>#N/A</v>
        <stp/>
        <stp>BDH|1791054985532750024</stp>
        <tr r="C81" s="12"/>
      </tp>
      <tp t="e">
        <v>#N/A</v>
        <stp/>
        <stp>BDH|6804870746110392180</stp>
        <tr r="S7" s="6"/>
      </tp>
      <tp t="e">
        <v>#N/A</v>
        <stp/>
        <stp>BDH|9762357537991362346</stp>
        <tr r="W66" s="12"/>
      </tp>
      <tp t="e">
        <v>#N/A</v>
        <stp/>
        <stp>BDH|5947043037175091884</stp>
        <tr r="G67" s="12"/>
      </tp>
      <tp t="e">
        <v>#N/A</v>
        <stp/>
        <stp>BDH|9112201146334711029</stp>
        <tr r="E70" s="13"/>
        <tr r="C49" s="11"/>
        <tr r="C58" s="10"/>
        <tr r="C19" s="7"/>
        <tr r="C18" s="4"/>
        <tr r="C20" s="2"/>
      </tp>
      <tp t="e">
        <v>#N/A</v>
        <stp/>
        <stp>BDH|8469154763937446344</stp>
        <tr r="K8" s="11"/>
      </tp>
      <tp t="e">
        <v>#N/A</v>
        <stp/>
        <stp>BDH|4933647880992947363</stp>
        <tr r="G14" s="8"/>
      </tp>
      <tp t="e">
        <v>#N/A</v>
        <stp/>
        <stp>BDH|8128768360104513600</stp>
        <tr r="R155" s="18"/>
      </tp>
      <tp t="e">
        <v>#N/A</v>
        <stp/>
        <stp>BDH|9471133101584030748</stp>
        <tr r="V17" s="27"/>
        <tr r="V31" s="25"/>
        <tr r="S14" s="5"/>
      </tp>
      <tp t="e">
        <v>#N/A</v>
        <stp/>
        <stp>BDH|9637682847204806439</stp>
        <tr r="Q62" s="17"/>
      </tp>
      <tp t="e">
        <v>#N/A</v>
        <stp/>
        <stp>BDH|1071918413042955097</stp>
        <tr r="Z50" s="34"/>
      </tp>
      <tp t="e">
        <v>#N/A</v>
        <stp/>
        <stp>BDH|7603643491235351629</stp>
        <tr r="R68" s="10"/>
      </tp>
      <tp t="e">
        <v>#N/A</v>
        <stp/>
        <stp>BDH|1599131125689317022</stp>
        <tr r="Z27" s="13"/>
      </tp>
      <tp t="e">
        <v>#N/A</v>
        <stp/>
        <stp>BDH|9505053586142363879</stp>
        <tr r="J84" s="12"/>
      </tp>
      <tp t="e">
        <v>#N/A</v>
        <stp/>
        <stp>BDH|6387659155797520948</stp>
        <tr r="W32" s="11"/>
        <tr r="W41" s="10"/>
      </tp>
      <tp t="e">
        <v>#N/A</v>
        <stp/>
        <stp>BDH|1603805561981668535</stp>
        <tr r="P107" s="18"/>
      </tp>
      <tp t="e">
        <v>#N/A</v>
        <stp/>
        <stp>BDH|8167134090332066909</stp>
        <tr r="P22" s="20"/>
      </tp>
      <tp t="e">
        <v>#N/A</v>
        <stp/>
        <stp>BDH|4800809135454847077</stp>
        <tr r="X18" s="14"/>
      </tp>
      <tp t="e">
        <v>#N/A</v>
        <stp/>
        <stp>BDH|1247209295601709025</stp>
        <tr r="R52" s="18"/>
      </tp>
      <tp t="e">
        <v>#N/A</v>
        <stp/>
        <stp>BDH|5237355544440189904</stp>
        <tr r="G47" s="18"/>
      </tp>
      <tp t="e">
        <v>#N/A</v>
        <stp/>
        <stp>BDH|3128844840515589125</stp>
        <tr r="D145" s="18"/>
      </tp>
      <tp t="e">
        <v>#N/A</v>
        <stp/>
        <stp>BDH|1753498768828244070</stp>
        <tr r="U12" s="12"/>
      </tp>
      <tp t="e">
        <v>#N/A</v>
        <stp/>
        <stp>BDH|8529225632397445521</stp>
        <tr r="S74" s="24"/>
      </tp>
      <tp t="e">
        <v>#N/A</v>
        <stp/>
        <stp>BDH|8554444897486368862</stp>
        <tr r="L24" s="5"/>
      </tp>
      <tp t="e">
        <v>#N/A</v>
        <stp/>
        <stp>BDH|7230902854039286978</stp>
        <tr r="N12" s="7"/>
      </tp>
      <tp t="e">
        <v>#N/A</v>
        <stp/>
        <stp>BDH|6850081891561500571</stp>
        <tr r="K49" s="6"/>
      </tp>
      <tp t="e">
        <v>#N/A</v>
        <stp/>
        <stp>BDH|8912902223398930003</stp>
        <tr r="P52" s="18"/>
      </tp>
      <tp t="e">
        <v>#N/A</v>
        <stp/>
        <stp>BDH|4509998145622959038</stp>
        <tr r="I144" s="18"/>
      </tp>
      <tp t="e">
        <v>#N/A</v>
        <stp/>
        <stp>BDH|8126260517677478770</stp>
        <tr r="Y36" s="12"/>
      </tp>
      <tp t="e">
        <v>#N/A</v>
        <stp/>
        <stp>BDH|2567542437147318867</stp>
        <tr r="U19" s="17"/>
      </tp>
      <tp t="e">
        <v>#N/A</v>
        <stp/>
        <stp>BDH|9419163190532723866</stp>
        <tr r="Z70" s="24"/>
      </tp>
      <tp t="e">
        <v>#N/A</v>
        <stp/>
        <stp>BDH|4551387075468854331</stp>
        <tr r="F35" s="25"/>
      </tp>
      <tp t="e">
        <v>#N/A</v>
        <stp/>
        <stp>BDH|9682222921937797518</stp>
        <tr r="D15" s="11"/>
      </tp>
      <tp t="e">
        <v>#N/A</v>
        <stp/>
        <stp>BDH|1786938677623946797</stp>
        <tr r="H29" s="12"/>
      </tp>
      <tp t="e">
        <v>#N/A</v>
        <stp/>
        <stp>BDH|8965272785650162991</stp>
        <tr r="P11" s="22"/>
      </tp>
      <tp t="e">
        <v>#N/A</v>
        <stp/>
        <stp>BDH|1992915946503498495</stp>
        <tr r="N79" s="34"/>
      </tp>
      <tp t="e">
        <v>#N/A</v>
        <stp/>
        <stp>BDH|6671865545832678308</stp>
        <tr r="K13" s="10"/>
      </tp>
      <tp t="e">
        <v>#N/A</v>
        <stp/>
        <stp>BDH|4321015142949425278</stp>
        <tr r="N23" s="24"/>
      </tp>
      <tp t="e">
        <v>#N/A</v>
        <stp/>
        <stp>BDH|9267143840553115445</stp>
        <tr r="N22" s="14"/>
      </tp>
      <tp t="e">
        <v>#N/A</v>
        <stp/>
        <stp>BDH|3697809996530415970</stp>
        <tr r="T26" s="22"/>
      </tp>
      <tp t="e">
        <v>#N/A</v>
        <stp/>
        <stp>BDH|5865117285711661697</stp>
        <tr r="AA71" s="18"/>
      </tp>
      <tp t="e">
        <v>#N/A</v>
        <stp/>
        <stp>BDH|1476796392843465789</stp>
        <tr r="T28" s="24"/>
      </tp>
      <tp t="e">
        <v>#N/A</v>
        <stp/>
        <stp>BDH|4615671297653526302</stp>
        <tr r="L44" s="11"/>
        <tr r="L53" s="10"/>
        <tr r="L16" s="7"/>
      </tp>
      <tp t="e">
        <v>#N/A</v>
        <stp/>
        <stp>BDH|4009766967079211701</stp>
        <tr r="U168" s="18"/>
      </tp>
      <tp t="e">
        <v>#N/A</v>
        <stp/>
        <stp>BDH|5587622085955805595</stp>
        <tr r="V42" s="17"/>
      </tp>
      <tp t="e">
        <v>#N/A</v>
        <stp/>
        <stp>BDH|2086983962806111084</stp>
        <tr r="Z34" s="14"/>
      </tp>
      <tp t="e">
        <v>#N/A</v>
        <stp/>
        <stp>BDH|4261238603174262931</stp>
        <tr r="P43" s="29"/>
      </tp>
      <tp t="e">
        <v>#N/A</v>
        <stp/>
        <stp>BDH|4937415728690686950</stp>
        <tr r="T15" s="13"/>
      </tp>
      <tp t="e">
        <v>#N/A</v>
        <stp/>
        <stp>BDH|2935219883757123497</stp>
        <tr r="E50" s="24"/>
      </tp>
      <tp t="e">
        <v>#N/A</v>
        <stp/>
        <stp>BDH|7740025961988275254</stp>
        <tr r="Y75" s="17"/>
      </tp>
      <tp t="e">
        <v>#N/A</v>
        <stp/>
        <stp>BDH|4830837168012061309</stp>
        <tr r="H70" s="24"/>
      </tp>
      <tp t="e">
        <v>#N/A</v>
        <stp/>
        <stp>BDH|4386972814853493470</stp>
        <tr r="Z14" s="28"/>
      </tp>
      <tp t="e">
        <v>#N/A</v>
        <stp/>
        <stp>BDH|9362259544646075214</stp>
        <tr r="J13" s="13"/>
      </tp>
      <tp t="e">
        <v>#N/A</v>
        <stp/>
        <stp>BDH|7478902214910253413</stp>
        <tr r="X21" s="30"/>
      </tp>
      <tp t="e">
        <v>#N/A</v>
        <stp/>
        <stp>BDH|1798805436139206807</stp>
        <tr r="Y16" s="20"/>
      </tp>
      <tp t="e">
        <v>#N/A</v>
        <stp/>
        <stp>BDH|8646339583148690038</stp>
        <tr r="C75" s="12"/>
      </tp>
      <tp t="e">
        <v>#N/A</v>
        <stp/>
        <stp>BDH|8215416037764280055</stp>
        <tr r="O27" s="6"/>
      </tp>
      <tp t="e">
        <v>#N/A</v>
        <stp/>
        <stp>BDH|6941659038060200851</stp>
        <tr r="O207" s="18"/>
      </tp>
      <tp t="e">
        <v>#N/A</v>
        <stp/>
        <stp>BDH|7313950146030356108</stp>
        <tr r="E111" s="18"/>
      </tp>
      <tp t="e">
        <v>#N/A</v>
        <stp/>
        <stp>BDH|8874030018326005408</stp>
        <tr r="J59" s="34"/>
      </tp>
      <tp t="e">
        <v>#N/A</v>
        <stp/>
        <stp>BDH|9973138007586948572</stp>
        <tr r="L42" s="24"/>
      </tp>
      <tp t="e">
        <v>#N/A</v>
        <stp/>
        <stp>BDH|4320613831122257829</stp>
        <tr r="G29" s="21"/>
      </tp>
      <tp t="e">
        <v>#N/A</v>
        <stp/>
        <stp>BDH|3286985404806437799</stp>
        <tr r="I33" s="14"/>
      </tp>
      <tp t="e">
        <v>#N/A</v>
        <stp/>
        <stp>BDH|6730715240049217778</stp>
        <tr r="X168" s="18"/>
      </tp>
      <tp t="e">
        <v>#N/A</v>
        <stp/>
        <stp>BDH|6569225347812354901</stp>
        <tr r="U13" s="2"/>
      </tp>
      <tp t="e">
        <v>#N/A</v>
        <stp/>
        <stp>BDH|8979082366960066545</stp>
        <tr r="E42" s="21"/>
      </tp>
      <tp t="e">
        <v>#N/A</v>
        <stp/>
        <stp>BDH|8939179431688464984</stp>
        <tr r="H52" s="12"/>
      </tp>
      <tp t="e">
        <v>#N/A</v>
        <stp/>
        <stp>BDH|3590042784018425827</stp>
        <tr r="Q80" s="17"/>
        <tr r="Q19" s="3"/>
      </tp>
      <tp t="e">
        <v>#N/A</v>
        <stp/>
        <stp>BDH|7202418565708509601</stp>
        <tr r="Z25" s="17"/>
      </tp>
      <tp t="e">
        <v>#N/A</v>
        <stp/>
        <stp>BDH|3581942130582567077</stp>
        <tr r="N87" s="12"/>
      </tp>
      <tp t="e">
        <v>#N/A</v>
        <stp/>
        <stp>BDH|9261044503054627631</stp>
        <tr r="E31" s="17"/>
      </tp>
      <tp t="e">
        <v>#N/A</v>
        <stp/>
        <stp>BDH|9319605600167741340</stp>
        <tr r="T25" s="9"/>
      </tp>
      <tp t="e">
        <v>#N/A</v>
        <stp/>
        <stp>BDH|4257992071395867423</stp>
        <tr r="Y14" s="18"/>
      </tp>
      <tp t="e">
        <v>#N/A</v>
        <stp/>
        <stp>BDH|9723527827362649742</stp>
        <tr r="M42" s="22"/>
      </tp>
      <tp t="e">
        <v>#N/A</v>
        <stp/>
        <stp>BDH|3497864332000244329</stp>
        <tr r="L39" s="24"/>
      </tp>
      <tp t="e">
        <v>#N/A</v>
        <stp/>
        <stp>BDH|7866209318369993695</stp>
        <tr r="P142" s="18"/>
      </tp>
      <tp t="e">
        <v>#N/A</v>
        <stp/>
        <stp>BDH|8555711202217106376</stp>
        <tr r="N39" s="11"/>
        <tr r="N27" s="11"/>
        <tr r="N48" s="10"/>
        <tr r="N36" s="10"/>
      </tp>
      <tp t="e">
        <v>#N/A</v>
        <stp/>
        <stp>BDH|9883239623215045787</stp>
        <tr r="X24" s="18"/>
      </tp>
      <tp t="e">
        <v>#N/A</v>
        <stp/>
        <stp>BDH|4102304820397156901</stp>
        <tr r="T26" s="18"/>
      </tp>
      <tp t="e">
        <v>#N/A</v>
        <stp/>
        <stp>BDH|5747778380962835385</stp>
        <tr r="L45" s="21"/>
      </tp>
      <tp t="e">
        <v>#N/A</v>
        <stp/>
        <stp>BDH|6634135224018927687</stp>
        <tr r="S26" s="6"/>
      </tp>
      <tp t="e">
        <v>#N/A</v>
        <stp/>
        <stp>BDH|3598729886922290533</stp>
        <tr r="Q131" s="18"/>
      </tp>
      <tp t="e">
        <v>#N/A</v>
        <stp/>
        <stp>BDH|7666041088105865123</stp>
        <tr r="D35" s="34"/>
      </tp>
      <tp t="e">
        <v>#N/A</v>
        <stp/>
        <stp>BDH|1088273068838664696</stp>
        <tr r="O35" s="14"/>
      </tp>
      <tp t="e">
        <v>#N/A</v>
        <stp/>
        <stp>BDH|7092572482003712228</stp>
        <tr r="F8" s="22"/>
      </tp>
      <tp t="e">
        <v>#N/A</v>
        <stp/>
        <stp>BDH|2451753202506386809</stp>
        <tr r="I12" s="7"/>
      </tp>
      <tp t="e">
        <v>#N/A</v>
        <stp/>
        <stp>BDH|8131213158942033688</stp>
        <tr r="X66" s="21"/>
        <tr r="U31" s="6"/>
      </tp>
      <tp t="e">
        <v>#N/A</v>
        <stp/>
        <stp>BDH|1058061632071536815</stp>
        <tr r="I67" s="17"/>
      </tp>
      <tp t="e">
        <v>#N/A</v>
        <stp/>
        <stp>BDH|5351604452394244934</stp>
        <tr r="M21" s="17"/>
      </tp>
      <tp t="e">
        <v>#N/A</v>
        <stp/>
        <stp>BDH|8833082065513455614</stp>
        <tr r="M23" s="13"/>
      </tp>
      <tp t="e">
        <v>#N/A</v>
        <stp/>
        <stp>BDH|2387120218848009195</stp>
        <tr r="Z33" s="17"/>
      </tp>
      <tp t="e">
        <v>#N/A</v>
        <stp/>
        <stp>BDH|9733818907443226938</stp>
        <tr r="V83" s="24"/>
      </tp>
      <tp t="e">
        <v>#N/A</v>
        <stp/>
        <stp>BDH|3157341651426779832</stp>
        <tr r="M188" s="18"/>
      </tp>
      <tp t="e">
        <v>#N/A</v>
        <stp/>
        <stp>BDH|2600814454024642054</stp>
        <tr r="G28" s="14"/>
      </tp>
      <tp t="e">
        <v>#N/A</v>
        <stp/>
        <stp>BDH|2155340981893300179</stp>
        <tr r="N88" s="17"/>
      </tp>
      <tp t="e">
        <v>#N/A</v>
        <stp/>
        <stp>BDH|7490977045582094365</stp>
        <tr r="U16" s="28"/>
        <tr r="U13" s="17"/>
      </tp>
      <tp t="e">
        <v>#N/A</v>
        <stp/>
        <stp>BDH|3938156984142129390</stp>
        <tr r="V17" s="24"/>
      </tp>
      <tp t="e">
        <v>#N/A</v>
        <stp/>
        <stp>BDH|1848546764948880105</stp>
        <tr r="R19" s="22"/>
      </tp>
      <tp t="e">
        <v>#N/A</v>
        <stp/>
        <stp>BDH|4649248180003083622</stp>
        <tr r="Q13" s="24"/>
      </tp>
      <tp t="e">
        <v>#N/A</v>
        <stp/>
        <stp>BDH|2135201707943032861</stp>
        <tr r="K9" s="6"/>
      </tp>
      <tp t="e">
        <v>#N/A</v>
        <stp/>
        <stp>BDH|7850490865807358971</stp>
        <tr r="I23" s="20"/>
      </tp>
      <tp t="e">
        <v>#N/A</v>
        <stp/>
        <stp>BDH|5030789384214921553</stp>
        <tr r="U69" s="13"/>
      </tp>
      <tp t="e">
        <v>#N/A</v>
        <stp/>
        <stp>BDH|1398814394319344253</stp>
        <tr r="W15" s="34"/>
      </tp>
      <tp t="e">
        <v>#N/A</v>
        <stp/>
        <stp>BDH|5007223925846665814</stp>
        <tr r="K179" s="18"/>
      </tp>
      <tp t="e">
        <v>#N/A</v>
        <stp/>
        <stp>BDH|2303904013512888380</stp>
        <tr r="T6" s="19"/>
        <tr r="T37" s="17"/>
        <tr r="T16" s="3"/>
      </tp>
      <tp t="e">
        <v>#N/A</v>
        <stp/>
        <stp>BDH|8960185436523781206</stp>
        <tr r="U93" s="24"/>
      </tp>
      <tp t="e">
        <v>#N/A</v>
        <stp/>
        <stp>BDH|8343521161577809788</stp>
        <tr r="E43" s="4"/>
      </tp>
      <tp t="e">
        <v>#N/A</v>
        <stp/>
        <stp>BDH|8678915397945451646</stp>
        <tr r="R89" s="17"/>
      </tp>
      <tp t="e">
        <v>#N/A</v>
        <stp/>
        <stp>BDH|7993051899573123647</stp>
        <tr r="F44" s="21"/>
      </tp>
      <tp t="e">
        <v>#N/A</v>
        <stp/>
        <stp>BDH|8748575949671141388</stp>
        <tr r="M135" s="18"/>
      </tp>
      <tp t="e">
        <v>#N/A</v>
        <stp/>
        <stp>BDH|1196784389511908493</stp>
        <tr r="D23" s="21"/>
      </tp>
      <tp t="e">
        <v>#N/A</v>
        <stp/>
        <stp>BDH|4646670919149981116</stp>
        <tr r="V26" s="27"/>
      </tp>
      <tp t="e">
        <v>#N/A</v>
        <stp/>
        <stp>BDH|7994543749414254961</stp>
        <tr r="R16" s="27"/>
        <tr r="R30" s="25"/>
      </tp>
      <tp t="e">
        <v>#N/A</v>
        <stp/>
        <stp>BDH|7389979906605591074</stp>
        <tr r="G129" s="18"/>
      </tp>
      <tp t="e">
        <v>#N/A</v>
        <stp/>
        <stp>BDH|4286417630731777942</stp>
        <tr r="P9" s="23"/>
      </tp>
      <tp t="e">
        <v>#N/A</v>
        <stp/>
        <stp>BDH|5880964434414271082</stp>
        <tr r="R49" s="17"/>
      </tp>
      <tp t="e">
        <v>#N/A</v>
        <stp/>
        <stp>BDH|1929667800938660497</stp>
        <tr r="J14" s="4"/>
      </tp>
      <tp t="e">
        <v>#N/A</v>
        <stp/>
        <stp>BDH|9988217977326955165</stp>
        <tr r="Y8" s="25"/>
        <tr r="V10" s="5"/>
        <tr r="W9" s="2"/>
      </tp>
      <tp t="e">
        <v>#N/A</v>
        <stp/>
        <stp>BDH|1290783858050044822</stp>
        <tr r="U17" s="27"/>
        <tr r="U31" s="25"/>
        <tr r="R14" s="5"/>
      </tp>
      <tp t="e">
        <v>#N/A</v>
        <stp/>
        <stp>BDH|8996512824436964255</stp>
        <tr r="T30" s="18"/>
      </tp>
      <tp t="e">
        <v>#N/A</v>
        <stp/>
        <stp>BDH|1417052274458416519</stp>
        <tr r="I18" s="18"/>
      </tp>
      <tp t="e">
        <v>#N/A</v>
        <stp/>
        <stp>BDH|1800649019208276572</stp>
        <tr r="AA164" s="18"/>
      </tp>
      <tp t="e">
        <v>#N/A</v>
        <stp/>
        <stp>BDH|5270984620996348390</stp>
        <tr r="U6" s="19"/>
        <tr r="U37" s="17"/>
        <tr r="U16" s="3"/>
      </tp>
      <tp t="e">
        <v>#N/A</v>
        <stp/>
        <stp>BDH|8792184619844222749</stp>
        <tr r="P86" s="18"/>
      </tp>
      <tp t="e">
        <v>#N/A</v>
        <stp/>
        <stp>BDH|8496585874749036886</stp>
        <tr r="F10" s="21"/>
      </tp>
      <tp t="e">
        <v>#N/A</v>
        <stp/>
        <stp>BDH|2179908694468334166</stp>
        <tr r="I11" s="29"/>
      </tp>
      <tp t="e">
        <v>#N/A</v>
        <stp/>
        <stp>BDH|8038070530585773510</stp>
        <tr r="P8" s="28"/>
      </tp>
      <tp t="e">
        <v>#N/A</v>
        <stp/>
        <stp>BDH|2252070055638432450</stp>
        <tr r="V138" s="18"/>
      </tp>
      <tp t="e">
        <v>#N/A</v>
        <stp/>
        <stp>BDH|3415033887297030710</stp>
        <tr r="U36" s="4"/>
      </tp>
      <tp t="e">
        <v>#N/A</v>
        <stp/>
        <stp>BDH|2164623387407602032</stp>
        <tr r="J29" s="17"/>
      </tp>
      <tp t="e">
        <v>#N/A</v>
        <stp/>
        <stp>BDH|4168447080927586413</stp>
        <tr r="F70" s="12"/>
      </tp>
      <tp t="e">
        <v>#N/A</v>
        <stp/>
        <stp>BDH|8787994824438230098</stp>
        <tr r="C21" s="10"/>
      </tp>
      <tp t="e">
        <v>#N/A</v>
        <stp/>
        <stp>BDH|9742217703346429601</stp>
        <tr r="I51" s="13"/>
      </tp>
      <tp t="e">
        <v>#N/A</v>
        <stp/>
        <stp>BDH|7677406183095461505</stp>
        <tr r="O93" s="24"/>
      </tp>
      <tp t="e">
        <v>#N/A</v>
        <stp/>
        <stp>BDH|4869356507204205890</stp>
        <tr r="G23" s="21"/>
      </tp>
      <tp t="e">
        <v>#N/A</v>
        <stp/>
        <stp>BDH|3043119095720082057</stp>
        <tr r="C61" s="21"/>
      </tp>
      <tp t="e">
        <v>#N/A</v>
        <stp/>
        <stp>BDH|8629858290140691247</stp>
        <tr r="T8" s="22"/>
      </tp>
      <tp t="e">
        <v>#N/A</v>
        <stp/>
        <stp>BDH|5753570723298554177</stp>
        <tr r="C40" s="13"/>
      </tp>
      <tp t="e">
        <v>#N/A</v>
        <stp/>
        <stp>BDH|8044565121785167175</stp>
        <tr r="I26" s="11"/>
        <tr r="I35" s="10"/>
      </tp>
      <tp t="e">
        <v>#N/A</v>
        <stp/>
        <stp>BDH|6680058290131247501</stp>
        <tr r="J12" s="20"/>
        <tr r="J121" s="18"/>
      </tp>
      <tp t="e">
        <v>#N/A</v>
        <stp/>
        <stp>BDH|3757512057401300937</stp>
        <tr r="F35" s="26"/>
      </tp>
      <tp t="e">
        <v>#N/A</v>
        <stp/>
        <stp>BDH|8480768998139235496</stp>
        <tr r="N35" s="25"/>
      </tp>
      <tp t="e">
        <v>#N/A</v>
        <stp/>
        <stp>BDH|8861397015755284479</stp>
        <tr r="M56" s="6"/>
      </tp>
      <tp t="e">
        <v>#N/A</v>
        <stp/>
        <stp>BDH|5242588377178937459</stp>
        <tr r="AA13" s="20"/>
        <tr r="AA122" s="18"/>
      </tp>
      <tp t="e">
        <v>#N/A</v>
        <stp/>
        <stp>BDH|7179523636543471901</stp>
        <tr r="F104" s="12"/>
      </tp>
      <tp t="e">
        <v>#N/A</v>
        <stp/>
        <stp>BDH|5522557706162014973</stp>
        <tr r="S26" s="24"/>
      </tp>
      <tp t="e">
        <v>#N/A</v>
        <stp/>
        <stp>BDH|5438565070458562462</stp>
        <tr r="D40" s="22"/>
      </tp>
      <tp t="e">
        <v>#N/A</v>
        <stp/>
        <stp>BDH|7101557144668712569</stp>
        <tr r="D111" s="18"/>
      </tp>
      <tp t="e">
        <v>#N/A</v>
        <stp/>
        <stp>BDH|6881160592000562587</stp>
        <tr r="T76" s="17"/>
      </tp>
      <tp t="e">
        <v>#N/A</v>
        <stp/>
        <stp>BDH|9086746634726272037</stp>
        <tr r="X15" s="9"/>
      </tp>
      <tp t="e">
        <v>#N/A</v>
        <stp/>
        <stp>BDH|5536369180666763353</stp>
        <tr r="W38" s="6"/>
      </tp>
      <tp t="e">
        <v>#N/A</v>
        <stp/>
        <stp>BDH|2254562897844266100</stp>
        <tr r="E83" s="18"/>
      </tp>
      <tp t="e">
        <v>#N/A</v>
        <stp/>
        <stp>BDH|2228622275959702131</stp>
        <tr r="I18" s="22"/>
      </tp>
      <tp t="e">
        <v>#N/A</v>
        <stp/>
        <stp>BDH|7038371381695758209</stp>
        <tr r="G37" s="25"/>
        <tr r="G59" s="21"/>
        <tr r="E53" s="11"/>
        <tr r="E31" s="4"/>
      </tp>
      <tp t="e">
        <v>#N/A</v>
        <stp/>
        <stp>BDH|6542842431453607578</stp>
        <tr r="Q151" s="18"/>
      </tp>
      <tp t="e">
        <v>#N/A</v>
        <stp/>
        <stp>BDH|5523840134906207361</stp>
        <tr r="H18" s="34"/>
      </tp>
      <tp t="e">
        <v>#N/A</v>
        <stp/>
        <stp>BDH|3616170727408491336</stp>
        <tr r="V38" s="11"/>
        <tr r="V47" s="10"/>
      </tp>
      <tp t="e">
        <v>#N/A</v>
        <stp/>
        <stp>BDH|4505740707248097071</stp>
        <tr r="H69" s="12"/>
      </tp>
      <tp t="e">
        <v>#N/A</v>
        <stp/>
        <stp>BDH|8586132246437315125</stp>
        <tr r="S179" s="18"/>
      </tp>
      <tp t="e">
        <v>#N/A</v>
        <stp/>
        <stp>BDH|2493061471166758856</stp>
        <tr r="E113" s="18"/>
      </tp>
      <tp t="e">
        <v>#N/A</v>
        <stp/>
        <stp>BDH|5668800958966917563</stp>
        <tr r="X9" s="24"/>
      </tp>
      <tp t="e">
        <v>#N/A</v>
        <stp/>
        <stp>BDH|5040909600456608176</stp>
        <tr r="U85" s="17"/>
        <tr r="S6" s="7"/>
        <tr r="U20" s="3"/>
      </tp>
      <tp t="e">
        <v>#N/A</v>
        <stp/>
        <stp>BDH|9999735758879532968</stp>
        <tr r="L26" s="17"/>
      </tp>
      <tp t="e">
        <v>#N/A</v>
        <stp/>
        <stp>BDH|4473444022359361008</stp>
        <tr r="N20" s="9"/>
      </tp>
      <tp t="e">
        <v>#N/A</v>
        <stp/>
        <stp>BDH|9486589906611889631</stp>
        <tr r="Q61" s="12"/>
      </tp>
      <tp t="e">
        <v>#N/A</v>
        <stp/>
        <stp>BDH|4456980308904656237</stp>
        <tr r="E22" s="27"/>
      </tp>
      <tp t="e">
        <v>#N/A</v>
        <stp/>
        <stp>BDH|9041215430365527621</stp>
        <tr r="N47" s="24"/>
      </tp>
      <tp t="e">
        <v>#N/A</v>
        <stp/>
        <stp>BDH|3893299861069039560</stp>
        <tr r="C80" s="24"/>
      </tp>
      <tp t="e">
        <v>#N/A</v>
        <stp/>
        <stp>BDH|2545844061436275140</stp>
        <tr r="M51" s="17"/>
      </tp>
      <tp t="e">
        <v>#N/A</v>
        <stp/>
        <stp>BDH|8657773891435370856</stp>
        <tr r="J57" s="12"/>
      </tp>
      <tp t="e">
        <v>#N/A</v>
        <stp/>
        <stp>BDH|8330602666714349701</stp>
        <tr r="R8" s="14"/>
      </tp>
      <tp t="e">
        <v>#N/A</v>
        <stp/>
        <stp>BDH|3978644997261428680</stp>
        <tr r="Q16" s="21"/>
      </tp>
      <tp t="e">
        <v>#N/A</v>
        <stp/>
        <stp>BDH|5776093789355912384</stp>
        <tr r="R15" s="22"/>
      </tp>
      <tp t="e">
        <v>#N/A</v>
        <stp/>
        <stp>BDH|6576779128891828946</stp>
        <tr r="T87" s="18"/>
      </tp>
      <tp t="e">
        <v>#N/A</v>
        <stp/>
        <stp>BDH|4829444454977743999</stp>
        <tr r="G76" s="12"/>
      </tp>
      <tp t="e">
        <v>#N/A</v>
        <stp/>
        <stp>BDH|8278480812125978373</stp>
        <tr r="E49" s="4"/>
      </tp>
      <tp t="e">
        <v>#N/A</v>
        <stp/>
        <stp>BDH|6598321956609683213</stp>
        <tr r="H7" s="11"/>
      </tp>
      <tp t="e">
        <v>#N/A</v>
        <stp/>
        <stp>BDH|1739976996069499349</stp>
        <tr r="W8" s="24"/>
      </tp>
      <tp t="e">
        <v>#N/A</v>
        <stp/>
        <stp>BDH|4424721309771959904</stp>
        <tr r="P65" s="13"/>
      </tp>
      <tp t="e">
        <v>#N/A</v>
        <stp/>
        <stp>BDH|9267562330675545172</stp>
        <tr r="P20" s="23"/>
      </tp>
      <tp t="e">
        <v>#N/A</v>
        <stp/>
        <stp>BDH|8726552120800185454</stp>
        <tr r="AA18" s="18"/>
      </tp>
      <tp t="e">
        <v>#N/A</v>
        <stp/>
        <stp>BDH|5005946510592403467</stp>
        <tr r="O107" s="12"/>
      </tp>
      <tp t="e">
        <v>#N/A</v>
        <stp/>
        <stp>BDH|9785219210628520952</stp>
        <tr r="W78" s="17"/>
      </tp>
      <tp t="e">
        <v>#N/A</v>
        <stp/>
        <stp>BDH|8184643853069359939</stp>
        <tr r="C10" s="8"/>
      </tp>
      <tp t="e">
        <v>#N/A</v>
        <stp/>
        <stp>BDH|3712762994733516562</stp>
        <tr r="E49" s="21"/>
      </tp>
      <tp t="e">
        <v>#N/A</v>
        <stp/>
        <stp>BDH|3664884231783815013</stp>
        <tr r="C8" s="25"/>
      </tp>
      <tp t="e">
        <v>#N/A</v>
        <stp/>
        <stp>BDH|6670323886324371277</stp>
        <tr r="K8" s="2"/>
      </tp>
      <tp t="e">
        <v>#N/A</v>
        <stp/>
        <stp>BDH|9742910191297225532</stp>
        <tr r="X21" s="2"/>
      </tp>
      <tp t="e">
        <v>#N/A</v>
        <stp/>
        <stp>BDH|6029504599518734986</stp>
        <tr r="N25" s="5"/>
      </tp>
      <tp t="e">
        <v>#N/A</v>
        <stp/>
        <stp>BDH|9468628632612294507</stp>
        <tr r="G42" s="22"/>
      </tp>
      <tp t="e">
        <v>#N/A</v>
        <stp/>
        <stp>BDH|9618147525107199607</stp>
        <tr r="U14" s="27"/>
        <tr r="U28" s="25"/>
      </tp>
      <tp t="e">
        <v>#N/A</v>
        <stp/>
        <stp>BDH|4625006328965136896</stp>
        <tr r="N49" s="4"/>
      </tp>
      <tp t="e">
        <v>#N/A</v>
        <stp/>
        <stp>BDH|7257089064758910212</stp>
        <tr r="R67" s="34"/>
      </tp>
      <tp t="e">
        <v>#N/A</v>
        <stp/>
        <stp>BDH|2816229679904785823</stp>
        <tr r="V51" s="12"/>
      </tp>
      <tp t="e">
        <v>#N/A</v>
        <stp/>
        <stp>BDH|1193929856804336201</stp>
        <tr r="Q92" s="18"/>
      </tp>
      <tp t="e">
        <v>#N/A</v>
        <stp/>
        <stp>BDH|3347935087741491853</stp>
        <tr r="H49" s="34"/>
      </tp>
      <tp t="e">
        <v>#N/A</v>
        <stp/>
        <stp>BDH|9924988890183028175</stp>
        <tr r="R13" s="13"/>
      </tp>
      <tp t="e">
        <v>#N/A</v>
        <stp/>
        <stp>BDH|9187645052711748062</stp>
        <tr r="D51" s="12"/>
      </tp>
      <tp t="e">
        <v>#N/A</v>
        <stp/>
        <stp>BDH|4765930419926991129</stp>
        <tr r="F144" s="18"/>
      </tp>
      <tp t="e">
        <v>#N/A</v>
        <stp/>
        <stp>BDH|7125095997916089398</stp>
        <tr r="T79" s="12"/>
      </tp>
      <tp t="e">
        <v>#N/A</v>
        <stp/>
        <stp>BDH|7252879725554416226</stp>
        <tr r="H72" s="34"/>
      </tp>
      <tp t="e">
        <v>#N/A</v>
        <stp/>
        <stp>BDH|4939691462617581812</stp>
        <tr r="P25" s="9"/>
      </tp>
      <tp t="e">
        <v>#N/A</v>
        <stp/>
        <stp>BDH|7393328466691606879</stp>
        <tr r="V19" s="10"/>
      </tp>
      <tp t="e">
        <v>#N/A</v>
        <stp/>
        <stp>BDH|1946485290813106478</stp>
        <tr r="T7" s="21"/>
      </tp>
      <tp t="e">
        <v>#N/A</v>
        <stp/>
        <stp>BDH|4195708645518216415</stp>
        <tr r="R11" s="6"/>
      </tp>
      <tp t="e">
        <v>#N/A</v>
        <stp/>
        <stp>BDH|7968756990102924020</stp>
        <tr r="W33" s="14"/>
      </tp>
      <tp t="e">
        <v>#N/A</v>
        <stp/>
        <stp>BDH|9066132950842496406</stp>
        <tr r="C111" s="12"/>
      </tp>
      <tp t="e">
        <v>#N/A</v>
        <stp/>
        <stp>BDH|1168677354578038155</stp>
        <tr r="H50" s="24"/>
      </tp>
      <tp t="e">
        <v>#N/A</v>
        <stp/>
        <stp>BDH|2838701279928796110</stp>
        <tr r="I93" s="18"/>
      </tp>
      <tp t="e">
        <v>#N/A</v>
        <stp/>
        <stp>BDH|2053256334551604903</stp>
        <tr r="N35" s="22"/>
      </tp>
      <tp t="e">
        <v>#N/A</v>
        <stp/>
        <stp>BDH|7773985762224834724</stp>
        <tr r="W91" s="18"/>
      </tp>
      <tp t="e">
        <v>#N/A</v>
        <stp/>
        <stp>BDH|9507522453855145729</stp>
        <tr r="V42" s="29"/>
        <tr r="V33" s="29"/>
        <tr r="T55" s="6"/>
        <tr r="T11" s="5"/>
        <tr r="U10" s="2"/>
      </tp>
      <tp t="e">
        <v>#N/A</v>
        <stp/>
        <stp>BDH|1512537790162031412</stp>
        <tr r="K52" s="13"/>
      </tp>
      <tp t="e">
        <v>#N/A</v>
        <stp/>
        <stp>BDH|9388138157560912692</stp>
        <tr r="V46" s="12"/>
      </tp>
      <tp t="e">
        <v>#N/A</v>
        <stp/>
        <stp>BDH|7871775531051169982</stp>
        <tr r="J60" s="18"/>
      </tp>
      <tp t="e">
        <v>#N/A</v>
        <stp/>
        <stp>BDH|7753295559749258224</stp>
        <tr r="Z28" s="21"/>
      </tp>
      <tp t="e">
        <v>#N/A</v>
        <stp/>
        <stp>BDH|1586393050549952522</stp>
        <tr r="L44" s="21"/>
      </tp>
      <tp t="e">
        <v>#N/A</v>
        <stp/>
        <stp>BDH|1918922538861309173</stp>
        <tr r="L69" s="13"/>
      </tp>
      <tp t="e">
        <v>#N/A</v>
        <stp/>
        <stp>BDH|3349357626891175864</stp>
        <tr r="T18" s="27"/>
        <tr r="T32" s="25"/>
      </tp>
      <tp t="e">
        <v>#N/A</v>
        <stp/>
        <stp>BDH|2397466792396735277</stp>
        <tr r="Y17" s="27"/>
        <tr r="Y31" s="25"/>
        <tr r="V14" s="5"/>
      </tp>
      <tp t="e">
        <v>#N/A</v>
        <stp/>
        <stp>BDH|1256046400709795366</stp>
        <tr r="J20" s="9"/>
      </tp>
      <tp t="e">
        <v>#N/A</v>
        <stp/>
        <stp>BDH|5327428987982692070</stp>
        <tr r="O61" s="21"/>
      </tp>
      <tp t="e">
        <v>#N/A</v>
        <stp/>
        <stp>BDH|2536968190001752834</stp>
        <tr r="E12" s="24"/>
      </tp>
      <tp t="e">
        <v>#N/A</v>
        <stp/>
        <stp>BDH|8272269729536833522</stp>
        <tr r="K12" s="14"/>
      </tp>
      <tp t="e">
        <v>#N/A</v>
        <stp/>
        <stp>BDH|9081610236265970297</stp>
        <tr r="D7" s="20"/>
        <tr r="D117" s="18"/>
      </tp>
      <tp t="e">
        <v>#N/A</v>
        <stp/>
        <stp>BDH|4261259462108660345</stp>
        <tr r="O21" s="11"/>
      </tp>
      <tp t="e">
        <v>#N/A</v>
        <stp/>
        <stp>BDH|9965325879744619238</stp>
        <tr r="Y19" s="11"/>
      </tp>
      <tp t="e">
        <v>#N/A</v>
        <stp/>
        <stp>BDH|5318966203106789163</stp>
        <tr r="Z80" s="18"/>
      </tp>
      <tp t="e">
        <v>#N/A</v>
        <stp/>
        <stp>BDH|8309617633877754117</stp>
        <tr r="M68" s="12"/>
      </tp>
      <tp t="e">
        <v>#N/A</v>
        <stp/>
        <stp>BDH|8459005144520118768</stp>
        <tr r="S26" s="21"/>
      </tp>
      <tp t="e">
        <v>#N/A</v>
        <stp/>
        <stp>BDH|9015318736095873782</stp>
        <tr r="AA22" s="30"/>
        <tr r="AA24" s="23"/>
      </tp>
      <tp t="e">
        <v>#N/A</v>
        <stp/>
        <stp>BDH|1388650763682653844</stp>
        <tr r="F24" s="2"/>
      </tp>
      <tp t="e">
        <v>#N/A</v>
        <stp/>
        <stp>BDH|9247100322850564125</stp>
        <tr r="K58" s="34"/>
      </tp>
      <tp t="e">
        <v>#N/A</v>
        <stp/>
        <stp>BDH|9292993821421524883</stp>
        <tr r="C10" s="14"/>
      </tp>
      <tp t="e">
        <v>#N/A</v>
        <stp/>
        <stp>BDH|1494514854702011864</stp>
        <tr r="F73" s="12"/>
      </tp>
      <tp t="e">
        <v>#N/A</v>
        <stp/>
        <stp>BDH|4192865881746065912</stp>
        <tr r="H92" s="17"/>
      </tp>
      <tp t="e">
        <v>#N/A</v>
        <stp/>
        <stp>BDH|2620702527705111978</stp>
        <tr r="L48" s="34"/>
      </tp>
      <tp t="e">
        <v>#N/A</v>
        <stp/>
        <stp>BDH|1523248193844494515</stp>
        <tr r="R21" s="6"/>
      </tp>
      <tp t="e">
        <v>#N/A</v>
        <stp/>
        <stp>BDH|7381545901538159103</stp>
        <tr r="H32" s="6"/>
      </tp>
      <tp t="e">
        <v>#N/A</v>
        <stp/>
        <stp>BDH|9209916585694489769</stp>
        <tr r="P15" s="25"/>
      </tp>
      <tp t="e">
        <v>#N/A</v>
        <stp/>
        <stp>BDH|9404765578322958072</stp>
        <tr r="S110" s="18"/>
      </tp>
      <tp t="e">
        <v>#N/A</v>
        <stp/>
        <stp>BDH|5667422055296573902</stp>
        <tr r="J58" s="13"/>
        <tr r="H47" s="11"/>
        <tr r="H56" s="10"/>
        <tr r="H17" s="7"/>
        <tr r="H17" s="4"/>
        <tr r="J10" s="3"/>
      </tp>
      <tp t="e">
        <v>#N/A</v>
        <stp/>
        <stp>BDH|2744994808033750356</stp>
        <tr r="X44" s="34"/>
      </tp>
      <tp t="e">
        <v>#N/A</v>
        <stp/>
        <stp>BDH|3233060465387569904</stp>
        <tr r="J18" s="24"/>
      </tp>
      <tp t="e">
        <v>#N/A</v>
        <stp/>
        <stp>BDH|9259851085375402725</stp>
        <tr r="E17" s="18"/>
      </tp>
      <tp t="e">
        <v>#N/A</v>
        <stp/>
        <stp>BDH|4240174522549406570</stp>
        <tr r="L17" s="13"/>
      </tp>
      <tp t="e">
        <v>#N/A</v>
        <stp/>
        <stp>BDH|9084112609037898446</stp>
        <tr r="C9" s="24"/>
      </tp>
      <tp t="e">
        <v>#N/A</v>
        <stp/>
        <stp>BDH|5813943211075014397</stp>
        <tr r="G32" s="11"/>
        <tr r="G41" s="10"/>
      </tp>
      <tp t="e">
        <v>#N/A</v>
        <stp/>
        <stp>BDH|4610646655638250413</stp>
        <tr r="W22" s="22"/>
      </tp>
      <tp t="e">
        <v>#N/A</v>
        <stp/>
        <stp>BDH|3067612964760605874</stp>
        <tr r="J154" s="18"/>
      </tp>
      <tp t="e">
        <v>#N/A</v>
        <stp/>
        <stp>BDH|4789798988946667649</stp>
        <tr r="X11" s="7"/>
      </tp>
      <tp t="e">
        <v>#N/A</v>
        <stp/>
        <stp>BDH|9077636467761838383</stp>
        <tr r="D14" s="24"/>
      </tp>
      <tp t="e">
        <v>#N/A</v>
        <stp/>
        <stp>BDH|4237869815484789220</stp>
        <tr r="J44" s="6"/>
      </tp>
      <tp t="e">
        <v>#N/A</v>
        <stp/>
        <stp>BDH|3267094577658851708</stp>
        <tr r="Z92" s="18"/>
      </tp>
      <tp t="e">
        <v>#N/A</v>
        <stp/>
        <stp>BDH|8707663109042820748</stp>
        <tr r="G64" s="17"/>
      </tp>
      <tp t="e">
        <v>#N/A</v>
        <stp/>
        <stp>BDH|7863629498630238343</stp>
        <tr r="D20" s="14"/>
      </tp>
      <tp t="e">
        <v>#N/A</v>
        <stp/>
        <stp>BDH|9198117019355507784</stp>
        <tr r="M127" s="12"/>
      </tp>
      <tp t="e">
        <v>#N/A</v>
        <stp/>
        <stp>BDH|2103128055425316815</stp>
        <tr r="Q22" s="34"/>
      </tp>
      <tp t="e">
        <v>#N/A</v>
        <stp/>
        <stp>BDH|5580202887742613604</stp>
        <tr r="I79" s="18"/>
      </tp>
      <tp t="e">
        <v>#N/A</v>
        <stp/>
        <stp>BDH|7790892399479530467</stp>
        <tr r="X193" s="18"/>
      </tp>
      <tp t="e">
        <v>#N/A</v>
        <stp/>
        <stp>BDH|2621468301075200871</stp>
        <tr r="Y41" s="24"/>
      </tp>
      <tp t="e">
        <v>#N/A</v>
        <stp/>
        <stp>BDH|7883997540425374467</stp>
        <tr r="N22" s="21"/>
      </tp>
      <tp t="e">
        <v>#N/A</v>
        <stp/>
        <stp>BDH|3220813265521665748</stp>
        <tr r="N187" s="18"/>
      </tp>
      <tp t="e">
        <v>#N/A</v>
        <stp/>
        <stp>BDH|2661751831538597531</stp>
        <tr r="J28" s="12"/>
      </tp>
      <tp t="e">
        <v>#N/A</v>
        <stp/>
        <stp>BDH|8789201211014524471</stp>
        <tr r="X7" s="6"/>
      </tp>
      <tp t="e">
        <v>#N/A</v>
        <stp/>
        <stp>BDH|6483192141320159896</stp>
        <tr r="S8" s="2"/>
      </tp>
      <tp t="e">
        <v>#N/A</v>
        <stp/>
        <stp>BDH|9674093687373491982</stp>
        <tr r="Z13" s="27"/>
        <tr r="Z27" s="25"/>
      </tp>
      <tp t="e">
        <v>#N/A</v>
        <stp/>
        <stp>BDH|4598582346686723883</stp>
        <tr r="R50" s="18"/>
      </tp>
      <tp t="e">
        <v>#N/A</v>
        <stp/>
        <stp>BDH|2264650917958625621</stp>
        <tr r="D14" s="34"/>
      </tp>
      <tp t="e">
        <v>#N/A</v>
        <stp/>
        <stp>BDH|9920206168293020558</stp>
        <tr r="AA10" s="22"/>
      </tp>
      <tp t="e">
        <v>#N/A</v>
        <stp/>
        <stp>BDH|6516932043903100305</stp>
        <tr r="J25" s="5"/>
      </tp>
      <tp t="e">
        <v>#N/A</v>
        <stp/>
        <stp>BDH|7214908510645654105</stp>
        <tr r="H15" s="30"/>
      </tp>
      <tp t="e">
        <v>#N/A</v>
        <stp/>
        <stp>BDH|5322762006861028875</stp>
        <tr r="G207" s="18"/>
      </tp>
      <tp t="e">
        <v>#N/A</v>
        <stp/>
        <stp>BDH|2398918436716000509</stp>
        <tr r="T20" s="22"/>
      </tp>
      <tp t="e">
        <v>#N/A</v>
        <stp/>
        <stp>BDH|9368687678865430635</stp>
        <tr r="I50" s="4"/>
      </tp>
      <tp t="e">
        <v>#N/A</v>
        <stp/>
        <stp>BDH|6736863456186293617</stp>
        <tr r="Z6" s="8"/>
        <tr r="X51" s="6"/>
      </tp>
      <tp t="e">
        <v>#N/A</v>
        <stp/>
        <stp>BDH|5928582110123382967</stp>
        <tr r="AA24" s="20"/>
      </tp>
      <tp t="e">
        <v>#N/A</v>
        <stp/>
        <stp>BDH|9418900160625991890</stp>
        <tr r="F55" s="18"/>
      </tp>
      <tp t="e">
        <v>#N/A</v>
        <stp/>
        <stp>BDH|5365912353917552519</stp>
        <tr r="V21" s="12"/>
      </tp>
      <tp t="e">
        <v>#N/A</v>
        <stp/>
        <stp>BDH|4732824340891868288</stp>
        <tr r="I17" s="6"/>
      </tp>
      <tp t="e">
        <v>#N/A</v>
        <stp/>
        <stp>BDH|5886193809266419999</stp>
        <tr r="I15" s="22"/>
      </tp>
      <tp t="e">
        <v>#N/A</v>
        <stp/>
        <stp>BDH|7189152399545071189</stp>
        <tr r="G71" s="12"/>
      </tp>
      <tp t="e">
        <v>#N/A</v>
        <stp/>
        <stp>BDH|2298775981511517748</stp>
        <tr r="K35" s="18"/>
      </tp>
      <tp t="e">
        <v>#N/A</v>
        <stp/>
        <stp>BDH|7124675291246345511</stp>
        <tr r="Y40" s="22"/>
      </tp>
      <tp t="e">
        <v>#N/A</v>
        <stp/>
        <stp>BDH|3578022390475047425</stp>
        <tr r="J18" s="18"/>
      </tp>
      <tp t="e">
        <v>#N/A</v>
        <stp/>
        <stp>BDH|9855536498328415622</stp>
        <tr r="AA108" s="12"/>
      </tp>
      <tp t="e">
        <v>#N/A</v>
        <stp/>
        <stp>BDH|1347454284374252255</stp>
        <tr r="E44" s="21"/>
      </tp>
      <tp t="e">
        <v>#N/A</v>
        <stp/>
        <stp>BDH|1450280903759843125</stp>
        <tr r="O57" s="24"/>
      </tp>
      <tp t="e">
        <v>#N/A</v>
        <stp/>
        <stp>BDH|8183222955516251219</stp>
        <tr r="J55" s="18"/>
      </tp>
      <tp t="e">
        <v>#N/A</v>
        <stp/>
        <stp>BDH|8357556923324652067</stp>
        <tr r="Y22" s="24"/>
      </tp>
      <tp t="e">
        <v>#N/A</v>
        <stp/>
        <stp>BDH|2617878447591075439</stp>
        <tr r="C26" s="22"/>
      </tp>
      <tp t="e">
        <v>#N/A</v>
        <stp/>
        <stp>BDH|7210963226054638313</stp>
        <tr r="H14" s="24"/>
      </tp>
      <tp t="e">
        <v>#N/A</v>
        <stp/>
        <stp>BDH|4394212886816325323</stp>
        <tr r="R23" s="9"/>
        <tr r="R23" s="5"/>
      </tp>
      <tp t="e">
        <v>#N/A</v>
        <stp/>
        <stp>BDH|9430411050896682560</stp>
        <tr r="M71" s="12"/>
      </tp>
      <tp t="e">
        <v>#N/A</v>
        <stp/>
        <stp>BDH|5810585772924793801</stp>
        <tr r="X11" s="28"/>
      </tp>
      <tp t="e">
        <v>#N/A</v>
        <stp/>
        <stp>BDH|9998976789500282307</stp>
        <tr r="S71" s="24"/>
      </tp>
      <tp t="e">
        <v>#N/A</v>
        <stp/>
        <stp>BDH|4875304833477649887</stp>
        <tr r="T64" s="11"/>
        <tr r="T73" s="10"/>
      </tp>
      <tp t="e">
        <v>#N/A</v>
        <stp/>
        <stp>BDH|6563571678167857874</stp>
        <tr r="D15" s="26"/>
      </tp>
      <tp t="e">
        <v>#N/A</v>
        <stp/>
        <stp>BDH|8775197888542615853</stp>
        <tr r="K186" s="18"/>
      </tp>
      <tp t="e">
        <v>#N/A</v>
        <stp/>
        <stp>BDH|9323610215473013621</stp>
        <tr r="K21" s="20"/>
      </tp>
      <tp t="e">
        <v>#N/A</v>
        <stp/>
        <stp>BDH|1390598755003827925</stp>
        <tr r="O53" s="12"/>
      </tp>
      <tp t="e">
        <v>#N/A</v>
        <stp/>
        <stp>BDH|1490470952082493906</stp>
        <tr r="G7" s="30"/>
      </tp>
      <tp t="e">
        <v>#N/A</v>
        <stp/>
        <stp>BDH|8674064825454516550</stp>
        <tr r="Q59" s="17"/>
      </tp>
      <tp t="e">
        <v>#N/A</v>
        <stp/>
        <stp>BDH|5818134029185181865</stp>
        <tr r="W44" s="24"/>
      </tp>
      <tp t="e">
        <v>#N/A</v>
        <stp/>
        <stp>BDH|1058204793145689401</stp>
        <tr r="S68" s="34"/>
      </tp>
      <tp t="e">
        <v>#N/A</v>
        <stp/>
        <stp>BDH|1041369904561574826</stp>
        <tr r="M94" s="24"/>
      </tp>
      <tp t="e">
        <v>#N/A</v>
        <stp/>
        <stp>BDH|2766313066995070953</stp>
        <tr r="R28" s="17"/>
      </tp>
      <tp t="e">
        <v>#N/A</v>
        <stp/>
        <stp>BDH|1784878405481090305</stp>
        <tr r="W192" s="18"/>
      </tp>
      <tp t="e">
        <v>#N/A</v>
        <stp/>
        <stp>BDH|2530125031388680355</stp>
        <tr r="J31" s="26"/>
        <tr r="G14" s="9"/>
      </tp>
      <tp t="e">
        <v>#N/A</v>
        <stp/>
        <stp>BDH|1396467713647518862</stp>
        <tr r="H31" s="22"/>
      </tp>
      <tp t="e">
        <v>#N/A</v>
        <stp/>
        <stp>BDH|2457645830655350968</stp>
        <tr r="D49" s="13"/>
      </tp>
      <tp t="e">
        <v>#N/A</v>
        <stp/>
        <stp>BDH|4250190377850842913</stp>
        <tr r="S48" s="21"/>
      </tp>
      <tp t="e">
        <v>#N/A</v>
        <stp/>
        <stp>BDH|8475004219906002480</stp>
        <tr r="D22" s="27"/>
      </tp>
      <tp t="e">
        <v>#N/A</v>
        <stp/>
        <stp>BDH|7324862230956605163</stp>
        <tr r="Z10" s="12"/>
      </tp>
      <tp t="e">
        <v>#N/A</v>
        <stp/>
        <stp>BDH|1025832017976462555</stp>
        <tr r="X126" s="18"/>
      </tp>
      <tp t="e">
        <v>#N/A</v>
        <stp/>
        <stp>BDH|2075254747226531928</stp>
        <tr r="J54" s="13"/>
      </tp>
      <tp t="e">
        <v>#N/A</v>
        <stp/>
        <stp>BDH|1818019689351795328</stp>
        <tr r="R48" s="17"/>
      </tp>
      <tp t="e">
        <v>#N/A</v>
        <stp/>
        <stp>BDH|8180006965072826796</stp>
        <tr r="V69" s="18"/>
      </tp>
      <tp t="e">
        <v>#N/A</v>
        <stp/>
        <stp>BDH|2694486710509971520</stp>
        <tr r="N34" s="9"/>
      </tp>
      <tp t="e">
        <v>#N/A</v>
        <stp/>
        <stp>BDH|9368041830122021329</stp>
        <tr r="Z63" s="21"/>
      </tp>
      <tp t="e">
        <v>#N/A</v>
        <stp/>
        <stp>BDH|5743339135099427702</stp>
        <tr r="Y17" s="28"/>
        <tr r="Y14" s="17"/>
      </tp>
      <tp t="e">
        <v>#N/A</v>
        <stp/>
        <stp>BDH|2413952686091567978</stp>
        <tr r="C148" s="18"/>
      </tp>
      <tp t="e">
        <v>#N/A</v>
        <stp/>
        <stp>BDH|2049379228449308195</stp>
        <tr r="Y19" s="30"/>
      </tp>
      <tp t="e">
        <v>#N/A</v>
        <stp/>
        <stp>BDH|5117898373535816461</stp>
        <tr r="S18" s="34"/>
      </tp>
      <tp t="e">
        <v>#N/A</v>
        <stp/>
        <stp>BDH|8553323362384195210</stp>
        <tr r="Q47" s="24"/>
      </tp>
      <tp t="e">
        <v>#N/A</v>
        <stp/>
        <stp>BDH|4086139515966510966</stp>
        <tr r="Y24" s="20"/>
      </tp>
      <tp t="e">
        <v>#N/A</v>
        <stp/>
        <stp>BDH|7415723815642334858</stp>
        <tr r="V8" s="21"/>
      </tp>
      <tp t="e">
        <v>#N/A</v>
        <stp/>
        <stp>BDH|9233608491465075866</stp>
        <tr r="S208" s="18"/>
      </tp>
      <tp t="e">
        <v>#N/A</v>
        <stp/>
        <stp>BDH|8244937372478217548</stp>
        <tr r="V80" s="12"/>
      </tp>
      <tp t="e">
        <v>#N/A</v>
        <stp/>
        <stp>BDH|30358988458551594</stp>
        <tr r="Q68" s="24"/>
      </tp>
      <tp t="e">
        <v>#N/A</v>
        <stp/>
        <stp>BDH|88478230752332354</stp>
        <tr r="O57" s="34"/>
      </tp>
      <tp t="e">
        <v>#N/A</v>
        <stp/>
        <stp>BDH|89752929000546323</stp>
        <tr r="D40" s="24"/>
      </tp>
      <tp t="e">
        <v>#N/A</v>
        <stp/>
        <stp>BDH|31945270348519099</stp>
        <tr r="U34" s="13"/>
        <tr r="S27" s="10"/>
      </tp>
      <tp t="e">
        <v>#N/A</v>
        <stp/>
        <stp>BDH|13923195301728785</stp>
        <tr r="X80" s="24"/>
      </tp>
      <tp t="e">
        <v>#N/A</v>
        <stp/>
        <stp>BDH|5905123301656722676</stp>
        <tr r="P26" s="21"/>
      </tp>
      <tp t="e">
        <v>#N/A</v>
        <stp/>
        <stp>BDH|3708952569079438150</stp>
        <tr r="O20" s="25"/>
      </tp>
      <tp t="e">
        <v>#N/A</v>
        <stp/>
        <stp>BDH|4539220874647939207</stp>
        <tr r="L21" s="6"/>
      </tp>
      <tp t="e">
        <v>#N/A</v>
        <stp/>
        <stp>BDH|8548736268178162554</stp>
        <tr r="R27" s="12"/>
      </tp>
      <tp t="e">
        <v>#N/A</v>
        <stp/>
        <stp>BDH|9155049900475713888</stp>
        <tr r="Q106" s="18"/>
      </tp>
      <tp t="e">
        <v>#N/A</v>
        <stp/>
        <stp>BDH|3725362495205875865</stp>
        <tr r="O76" s="17"/>
      </tp>
      <tp t="e">
        <v>#N/A</v>
        <stp/>
        <stp>BDH|5345780362662003232</stp>
        <tr r="G47" s="13"/>
      </tp>
      <tp t="e">
        <v>#N/A</v>
        <stp/>
        <stp>BDH|1644026387015078895</stp>
        <tr r="J33" s="24"/>
      </tp>
      <tp t="e">
        <v>#N/A</v>
        <stp/>
        <stp>BDH|9788727709403491922</stp>
        <tr r="F15" s="4"/>
      </tp>
      <tp t="e">
        <v>#N/A</v>
        <stp/>
        <stp>BDH|1713024505295964031</stp>
        <tr r="J36" s="6"/>
        <tr r="J17" s="5"/>
      </tp>
      <tp t="e">
        <v>#N/A</v>
        <stp/>
        <stp>BDH|2439946919758246615</stp>
        <tr r="J7" s="28"/>
      </tp>
      <tp t="e">
        <v>#N/A</v>
        <stp/>
        <stp>BDH|3024381643091224132</stp>
        <tr r="M139" s="18"/>
      </tp>
      <tp t="e">
        <v>#N/A</v>
        <stp/>
        <stp>BDH|5961790747515973746</stp>
        <tr r="Y15" s="11"/>
      </tp>
      <tp t="e">
        <v>#N/A</v>
        <stp/>
        <stp>BDH|6092258201677908775</stp>
        <tr r="E58" s="34"/>
      </tp>
      <tp t="e">
        <v>#N/A</v>
        <stp/>
        <stp>BDH|5099222348722360538</stp>
        <tr r="C13" s="26"/>
      </tp>
      <tp t="e">
        <v>#N/A</v>
        <stp/>
        <stp>BDH|9624188927629377709</stp>
        <tr r="AA84" s="12"/>
      </tp>
      <tp t="e">
        <v>#N/A</v>
        <stp/>
        <stp>BDH|6701718118332589611</stp>
        <tr r="I18" s="11"/>
      </tp>
      <tp t="e">
        <v>#N/A</v>
        <stp/>
        <stp>BDH|5641135308150425037</stp>
        <tr r="C23" s="11"/>
      </tp>
      <tp t="e">
        <v>#N/A</v>
        <stp/>
        <stp>BDH|3476162028385413142</stp>
        <tr r="C73" s="12"/>
      </tp>
      <tp t="e">
        <v>#N/A</v>
        <stp/>
        <stp>BDH|2079284372733263027</stp>
        <tr r="X13" s="21"/>
      </tp>
      <tp t="e">
        <v>#N/A</v>
        <stp/>
        <stp>BDH|2974616067497557105</stp>
        <tr r="F101" s="12"/>
      </tp>
      <tp t="e">
        <v>#N/A</v>
        <stp/>
        <stp>BDH|4672750815276527092</stp>
        <tr r="J61" s="12"/>
      </tp>
      <tp t="e">
        <v>#N/A</v>
        <stp/>
        <stp>BDH|8342805737512861566</stp>
        <tr r="Q34" s="13"/>
        <tr r="O27" s="10"/>
      </tp>
      <tp t="e">
        <v>#N/A</v>
        <stp/>
        <stp>BDH|9568898097074599843</stp>
        <tr r="Y139" s="18"/>
      </tp>
      <tp t="e">
        <v>#N/A</v>
        <stp/>
        <stp>BDH|8630035159998790112</stp>
        <tr r="G29" s="18"/>
      </tp>
      <tp t="e">
        <v>#N/A</v>
        <stp/>
        <stp>BDH|1480767339337683673</stp>
        <tr r="G21" s="20"/>
      </tp>
      <tp t="e">
        <v>#N/A</v>
        <stp/>
        <stp>BDH|4695406842507781795</stp>
        <tr r="U35" s="14"/>
      </tp>
      <tp t="e">
        <v>#N/A</v>
        <stp/>
        <stp>BDH|7253525772303869202</stp>
        <tr r="Y33" s="14"/>
      </tp>
      <tp t="e">
        <v>#N/A</v>
        <stp/>
        <stp>BDH|5228702020406009282</stp>
        <tr r="X62" s="12"/>
      </tp>
      <tp t="e">
        <v>#N/A</v>
        <stp/>
        <stp>BDH|1982495058801401563</stp>
        <tr r="Q39" s="25"/>
        <tr r="Q22" s="13"/>
        <tr r="Q7" s="13"/>
        <tr r="O17" s="11"/>
        <tr r="Q7" s="3"/>
      </tp>
      <tp t="e">
        <v>#N/A</v>
        <stp/>
        <stp>BDH|8427830197508868527</stp>
        <tr r="D73" s="17"/>
      </tp>
      <tp t="e">
        <v>#N/A</v>
        <stp/>
        <stp>BDH|1579290294759367710</stp>
        <tr r="U66" s="12"/>
      </tp>
      <tp t="e">
        <v>#N/A</v>
        <stp/>
        <stp>BDH|5553369539229617866</stp>
        <tr r="S37" s="6"/>
      </tp>
      <tp t="e">
        <v>#N/A</v>
        <stp/>
        <stp>BDH|7260302918576721778</stp>
        <tr r="U15" s="11"/>
      </tp>
      <tp t="e">
        <v>#N/A</v>
        <stp/>
        <stp>BDH|4895422729757921104</stp>
        <tr r="L45" s="24"/>
      </tp>
      <tp t="e">
        <v>#N/A</v>
        <stp/>
        <stp>BDH|3500648221755850620</stp>
        <tr r="S26" s="7"/>
      </tp>
      <tp t="e">
        <v>#N/A</v>
        <stp/>
        <stp>BDH|5911304798552991923</stp>
        <tr r="U30" s="24"/>
      </tp>
      <tp t="e">
        <v>#N/A</v>
        <stp/>
        <stp>BDH|5338585126962242451</stp>
        <tr r="K106" s="18"/>
      </tp>
      <tp t="e">
        <v>#N/A</v>
        <stp/>
        <stp>BDH|6067538742694934721</stp>
        <tr r="V13" s="5"/>
      </tp>
      <tp t="e">
        <v>#N/A</v>
        <stp/>
        <stp>BDH|8688971148157312604</stp>
        <tr r="V16" s="21"/>
      </tp>
      <tp t="e">
        <v>#N/A</v>
        <stp/>
        <stp>BDH|9150928195884597991</stp>
        <tr r="G37" s="22"/>
      </tp>
      <tp t="e">
        <v>#N/A</v>
        <stp/>
        <stp>BDH|2936896896701884647</stp>
        <tr r="V15" s="10"/>
      </tp>
      <tp t="e">
        <v>#N/A</v>
        <stp/>
        <stp>BDH|5816278773726009263</stp>
        <tr r="Q109" s="18"/>
      </tp>
      <tp t="e">
        <v>#N/A</v>
        <stp/>
        <stp>BDH|2559199029192720783</stp>
        <tr r="F157" s="18"/>
      </tp>
      <tp t="e">
        <v>#N/A</v>
        <stp/>
        <stp>BDH|7187930889776725461</stp>
        <tr r="I57" s="24"/>
      </tp>
      <tp t="e">
        <v>#N/A</v>
        <stp/>
        <stp>BDH|1932713844857121176</stp>
        <tr r="G121" s="12"/>
      </tp>
      <tp t="e">
        <v>#N/A</v>
        <stp/>
        <stp>BDH|7159935190062991115</stp>
        <tr r="G66" s="18"/>
      </tp>
      <tp t="e">
        <v>#N/A</v>
        <stp/>
        <stp>BDH|6413969984474475787</stp>
        <tr r="T159" s="18"/>
      </tp>
      <tp t="e">
        <v>#N/A</v>
        <stp/>
        <stp>BDH|7241739829043557574</stp>
        <tr r="F23" s="30"/>
        <tr r="F25" s="23"/>
      </tp>
      <tp t="e">
        <v>#N/A</v>
        <stp/>
        <stp>BDH|1989632127897055678</stp>
        <tr r="M9" s="29"/>
      </tp>
      <tp t="e">
        <v>#N/A</v>
        <stp/>
        <stp>BDH|1194104619152066725</stp>
        <tr r="S22" s="14"/>
      </tp>
      <tp t="e">
        <v>#N/A</v>
        <stp/>
        <stp>BDH|2498861633239873432</stp>
        <tr r="W21" s="30"/>
      </tp>
      <tp t="e">
        <v>#N/A</v>
        <stp/>
        <stp>BDH|7621059812732824031</stp>
        <tr r="Z91" s="17"/>
      </tp>
      <tp t="e">
        <v>#N/A</v>
        <stp/>
        <stp>BDH|4831700063274173508</stp>
        <tr r="L159" s="18"/>
      </tp>
      <tp t="e">
        <v>#N/A</v>
        <stp/>
        <stp>BDH|8777575358569118538</stp>
        <tr r="F79" s="18"/>
      </tp>
      <tp t="e">
        <v>#N/A</v>
        <stp/>
        <stp>BDH|7704290705229841887</stp>
        <tr r="T84" s="12"/>
      </tp>
      <tp t="e">
        <v>#N/A</v>
        <stp/>
        <stp>BDH|3167037804686841153</stp>
        <tr r="D8" s="17"/>
      </tp>
      <tp t="e">
        <v>#N/A</v>
        <stp/>
        <stp>BDH|2137693727062529012</stp>
        <tr r="M40" s="18"/>
      </tp>
      <tp t="e">
        <v>#N/A</v>
        <stp/>
        <stp>BDH|5389257139029160959</stp>
        <tr r="U16" s="26"/>
      </tp>
      <tp t="e">
        <v>#N/A</v>
        <stp/>
        <stp>BDH|2451650818756537771</stp>
        <tr r="J10" s="11"/>
      </tp>
      <tp t="e">
        <v>#N/A</v>
        <stp/>
        <stp>BDH|4762611154522169187</stp>
        <tr r="R112" s="18"/>
      </tp>
      <tp t="e">
        <v>#N/A</v>
        <stp/>
        <stp>BDH|6102422275681403097</stp>
        <tr r="S21" s="10"/>
      </tp>
      <tp t="e">
        <v>#N/A</v>
        <stp/>
        <stp>BDH|4537114751315654184</stp>
        <tr r="L14" s="8"/>
      </tp>
      <tp t="e">
        <v>#N/A</v>
        <stp/>
        <stp>BDH|1171051250036636690</stp>
        <tr r="M8" s="28"/>
      </tp>
      <tp t="e">
        <v>#N/A</v>
        <stp/>
        <stp>BDH|9561070668219054214</stp>
        <tr r="M67" s="34"/>
      </tp>
      <tp t="e">
        <v>#N/A</v>
        <stp/>
        <stp>BDH|9923883878842151039</stp>
        <tr r="Z16" s="22"/>
      </tp>
      <tp t="e">
        <v>#N/A</v>
        <stp/>
        <stp>BDH|6117584462973896281</stp>
        <tr r="K13" s="26"/>
      </tp>
      <tp t="e">
        <v>#N/A</v>
        <stp/>
        <stp>BDH|1291607463406978339</stp>
        <tr r="V66" s="17"/>
      </tp>
      <tp t="e">
        <v>#N/A</v>
        <stp/>
        <stp>BDH|6356023814007971475</stp>
        <tr r="H15" s="34"/>
      </tp>
      <tp t="e">
        <v>#N/A</v>
        <stp/>
        <stp>BDH|7176028108992647166</stp>
        <tr r="Z44" s="34"/>
      </tp>
      <tp t="e">
        <v>#N/A</v>
        <stp/>
        <stp>BDH|8883852443361177149</stp>
        <tr r="Y39" s="11"/>
        <tr r="Y27" s="11"/>
        <tr r="Y48" s="10"/>
        <tr r="Y36" s="10"/>
      </tp>
      <tp t="e">
        <v>#N/A</v>
        <stp/>
        <stp>BDH|7355133803545000784</stp>
        <tr r="Y55" s="24"/>
      </tp>
      <tp t="e">
        <v>#N/A</v>
        <stp/>
        <stp>BDH|3905763162065039367</stp>
        <tr r="N19" s="10"/>
      </tp>
      <tp t="e">
        <v>#N/A</v>
        <stp/>
        <stp>BDH|4634146679970038609</stp>
        <tr r="E76" s="34"/>
      </tp>
      <tp t="e">
        <v>#N/A</v>
        <stp/>
        <stp>BDH|8231257406697922936</stp>
        <tr r="E13" s="11"/>
      </tp>
      <tp t="e">
        <v>#N/A</v>
        <stp/>
        <stp>BDH|2265652826626876423</stp>
        <tr r="Y70" s="17"/>
        <tr r="Y18" s="3"/>
      </tp>
      <tp t="e">
        <v>#N/A</v>
        <stp/>
        <stp>BDH|3058931666701925977</stp>
        <tr r="Z45" s="24"/>
      </tp>
      <tp t="e">
        <v>#N/A</v>
        <stp/>
        <stp>BDH|5816254702726338577</stp>
        <tr r="P39" s="25"/>
        <tr r="P22" s="13"/>
        <tr r="P7" s="13"/>
        <tr r="N17" s="11"/>
        <tr r="P7" s="3"/>
      </tp>
      <tp t="e">
        <v>#N/A</v>
        <stp/>
        <stp>BDH|8014360290491914742</stp>
        <tr r="W27" s="14"/>
      </tp>
      <tp t="e">
        <v>#N/A</v>
        <stp/>
        <stp>BDH|7382541608770721635</stp>
        <tr r="Y30" s="12"/>
      </tp>
      <tp t="e">
        <v>#N/A</v>
        <stp/>
        <stp>BDH|7992686208647423263</stp>
        <tr r="L40" s="22"/>
      </tp>
      <tp t="e">
        <v>#N/A</v>
        <stp/>
        <stp>BDH|8944414181516755658</stp>
        <tr r="F21" s="5"/>
      </tp>
      <tp t="e">
        <v>#N/A</v>
        <stp/>
        <stp>BDH|2197582940562373511</stp>
        <tr r="L30" s="29"/>
        <tr r="L8" s="29"/>
      </tp>
      <tp t="e">
        <v>#N/A</v>
        <stp/>
        <stp>BDH|1010747909485687701</stp>
        <tr r="Y206" s="18"/>
      </tp>
      <tp t="e">
        <v>#N/A</v>
        <stp/>
        <stp>BDH|5798545547821892176</stp>
        <tr r="R75" s="17"/>
      </tp>
      <tp t="e">
        <v>#N/A</v>
        <stp/>
        <stp>BDH|2619863753923803800</stp>
        <tr r="C15" s="9"/>
      </tp>
      <tp t="e">
        <v>#N/A</v>
        <stp/>
        <stp>BDH|7292689750945174504</stp>
        <tr r="C18" s="11"/>
      </tp>
      <tp t="e">
        <v>#N/A</v>
        <stp/>
        <stp>BDH|6737189831422551201</stp>
        <tr r="P19" s="24"/>
      </tp>
      <tp t="e">
        <v>#N/A</v>
        <stp/>
        <stp>BDH|3030784991190289904</stp>
        <tr r="X13" s="24"/>
      </tp>
      <tp t="e">
        <v>#N/A</v>
        <stp/>
        <stp>BDH|5003175688418585014</stp>
        <tr r="D156" s="18"/>
      </tp>
      <tp t="e">
        <v>#N/A</v>
        <stp/>
        <stp>BDH|2104725175987890159</stp>
        <tr r="U202" s="18"/>
      </tp>
      <tp t="e">
        <v>#N/A</v>
        <stp/>
        <stp>BDH|6138158413540510293</stp>
        <tr r="AA9" s="21"/>
      </tp>
      <tp t="e">
        <v>#N/A</v>
        <stp/>
        <stp>BDH|2710458068780443456</stp>
        <tr r="T50" s="12"/>
      </tp>
      <tp t="e">
        <v>#N/A</v>
        <stp/>
        <stp>BDH|2817817533769260438</stp>
        <tr r="J12" s="7"/>
      </tp>
      <tp t="e">
        <v>#N/A</v>
        <stp/>
        <stp>BDH|1253540354871027490</stp>
        <tr r="L11" s="29"/>
      </tp>
      <tp t="e">
        <v>#N/A</v>
        <stp/>
        <stp>BDH|5703514060102593083</stp>
        <tr r="I18" s="10"/>
      </tp>
      <tp t="e">
        <v>#N/A</v>
        <stp/>
        <stp>BDH|6083729570042961008</stp>
        <tr r="N22" s="7"/>
      </tp>
      <tp t="e">
        <v>#N/A</v>
        <stp/>
        <stp>BDH|9649408998716649630</stp>
        <tr r="Q10" s="22"/>
      </tp>
      <tp t="e">
        <v>#N/A</v>
        <stp/>
        <stp>BDH|9097281222388829597</stp>
        <tr r="F43" s="21"/>
      </tp>
      <tp t="e">
        <v>#N/A</v>
        <stp/>
        <stp>BDH|6946647091189283454</stp>
        <tr r="M149" s="18"/>
      </tp>
      <tp t="e">
        <v>#N/A</v>
        <stp/>
        <stp>BDH|4176433317990867565</stp>
        <tr r="Q37" s="6"/>
      </tp>
      <tp t="e">
        <v>#N/A</v>
        <stp/>
        <stp>BDH|6154996794060063244</stp>
        <tr r="F37" s="29"/>
        <tr r="F23" s="29"/>
        <tr r="F14" s="29"/>
      </tp>
      <tp t="e">
        <v>#N/A</v>
        <stp/>
        <stp>BDH|3684733728466469418</stp>
        <tr r="S37" s="13"/>
        <tr r="Q30" s="10"/>
      </tp>
      <tp t="e">
        <v>#N/A</v>
        <stp/>
        <stp>BDH|8606736789741071246</stp>
        <tr r="T33" s="21"/>
      </tp>
      <tp t="e">
        <v>#N/A</v>
        <stp/>
        <stp>BDH|7846456961033631221</stp>
        <tr r="C75" s="18"/>
      </tp>
      <tp t="e">
        <v>#N/A</v>
        <stp/>
        <stp>BDH|1808148134934084309</stp>
        <tr r="W50" s="12"/>
      </tp>
      <tp t="e">
        <v>#N/A</v>
        <stp/>
        <stp>BDH|6910722807033551616</stp>
        <tr r="U23" s="18"/>
      </tp>
      <tp t="e">
        <v>#N/A</v>
        <stp/>
        <stp>BDH|9330154998505662004</stp>
        <tr r="M176" s="18"/>
      </tp>
      <tp t="e">
        <v>#N/A</v>
        <stp/>
        <stp>BDH|9940914827165113363</stp>
        <tr r="X34" s="34"/>
      </tp>
      <tp t="e">
        <v>#N/A</v>
        <stp/>
        <stp>BDH|3068051969647551616</stp>
        <tr r="I36" s="34"/>
      </tp>
      <tp t="e">
        <v>#N/A</v>
        <stp/>
        <stp>BDH|1254782324914286444</stp>
        <tr r="T62" s="11"/>
        <tr r="T71" s="10"/>
      </tp>
      <tp t="e">
        <v>#N/A</v>
        <stp/>
        <stp>BDH|5508760847627801544</stp>
        <tr r="U7" s="30"/>
      </tp>
      <tp t="e">
        <v>#N/A</v>
        <stp/>
        <stp>BDH|7523642214692937647</stp>
        <tr r="P27" s="6"/>
      </tp>
      <tp t="e">
        <v>#N/A</v>
        <stp/>
        <stp>BDH|9296988909301253592</stp>
        <tr r="W39" s="11"/>
        <tr r="W27" s="11"/>
        <tr r="W48" s="10"/>
        <tr r="W36" s="10"/>
      </tp>
      <tp t="e">
        <v>#N/A</v>
        <stp/>
        <stp>BDH|8886340288965914254</stp>
        <tr r="S79" s="34"/>
      </tp>
      <tp t="e">
        <v>#N/A</v>
        <stp/>
        <stp>BDH|6841399324896513580</stp>
        <tr r="Y36" s="4"/>
      </tp>
      <tp t="e">
        <v>#N/A</v>
        <stp/>
        <stp>BDH|9797340865480920878</stp>
        <tr r="K7" s="21"/>
      </tp>
      <tp t="e">
        <v>#N/A</v>
        <stp/>
        <stp>BDH|3493670424982935164</stp>
        <tr r="J26" s="34"/>
      </tp>
      <tp t="e">
        <v>#N/A</v>
        <stp/>
        <stp>BDH|2410324399204058875</stp>
        <tr r="X51" s="13"/>
      </tp>
      <tp t="e">
        <v>#N/A</v>
        <stp/>
        <stp>BDH|4134269540033992565</stp>
        <tr r="C176" s="18"/>
      </tp>
      <tp t="e">
        <v>#N/A</v>
        <stp/>
        <stp>BDH|6948533598019812720</stp>
        <tr r="T50" s="34"/>
      </tp>
      <tp t="e">
        <v>#N/A</v>
        <stp/>
        <stp>BDH|2551708484130002995</stp>
        <tr r="I188" s="18"/>
      </tp>
      <tp t="e">
        <v>#N/A</v>
        <stp/>
        <stp>BDH|9489139180981804571</stp>
        <tr r="K34" s="25"/>
        <tr r="K93" s="17"/>
      </tp>
      <tp t="e">
        <v>#N/A</v>
        <stp/>
        <stp>BDH|4729148247680462583</stp>
        <tr r="M24" s="24"/>
      </tp>
      <tp t="e">
        <v>#N/A</v>
        <stp/>
        <stp>BDH|1685939005214036888</stp>
        <tr r="P16" s="14"/>
      </tp>
      <tp t="e">
        <v>#N/A</v>
        <stp/>
        <stp>BDH|8810935851487293701</stp>
        <tr r="E127" s="12"/>
      </tp>
      <tp t="e">
        <v>#N/A</v>
        <stp/>
        <stp>BDH|2869843361131480914</stp>
        <tr r="R59" s="13"/>
      </tp>
      <tp t="e">
        <v>#N/A</v>
        <stp/>
        <stp>BDH|3202220513254996020</stp>
        <tr r="F63" s="21"/>
      </tp>
      <tp t="e">
        <v>#N/A</v>
        <stp/>
        <stp>BDH|5498882765618868790</stp>
        <tr r="U77" s="24"/>
      </tp>
      <tp t="e">
        <v>#N/A</v>
        <stp/>
        <stp>BDH|2864105206492181574</stp>
        <tr r="Y20" s="22"/>
      </tp>
      <tp t="e">
        <v>#N/A</v>
        <stp/>
        <stp>BDH|5762898094614278404</stp>
        <tr r="N9" s="23"/>
      </tp>
      <tp t="e">
        <v>#N/A</v>
        <stp/>
        <stp>BDH|2420920507966937902</stp>
        <tr r="W76" s="12"/>
      </tp>
      <tp t="e">
        <v>#N/A</v>
        <stp/>
        <stp>BDH|8718671968715885985</stp>
        <tr r="F13" s="18"/>
      </tp>
      <tp t="e">
        <v>#N/A</v>
        <stp/>
        <stp>BDH|8603636485907027587</stp>
        <tr r="E211" s="18"/>
      </tp>
      <tp t="e">
        <v>#N/A</v>
        <stp/>
        <stp>BDH|8855765250666481824</stp>
        <tr r="C62" s="34"/>
      </tp>
      <tp t="e">
        <v>#N/A</v>
        <stp/>
        <stp>BDH|4556253399759582243</stp>
        <tr r="P9" s="17"/>
      </tp>
      <tp t="e">
        <v>#N/A</v>
        <stp/>
        <stp>BDH|2986223444676227652</stp>
        <tr r="P57" s="18"/>
      </tp>
      <tp t="e">
        <v>#N/A</v>
        <stp/>
        <stp>BDH|2508198263404076576</stp>
        <tr r="H43" s="24"/>
      </tp>
      <tp t="e">
        <v>#N/A</v>
        <stp/>
        <stp>BDH|7858725984975028966</stp>
        <tr r="R36" s="34"/>
      </tp>
      <tp t="e">
        <v>#N/A</v>
        <stp/>
        <stp>BDH|1322940371678609389</stp>
        <tr r="R14" s="18"/>
      </tp>
      <tp t="e">
        <v>#N/A</v>
        <stp/>
        <stp>BDH|8422112438606593803</stp>
        <tr r="K62" s="18"/>
      </tp>
      <tp t="e">
        <v>#N/A</v>
        <stp/>
        <stp>BDH|8696708318442094860</stp>
        <tr r="T27" s="6"/>
      </tp>
      <tp t="e">
        <v>#N/A</v>
        <stp/>
        <stp>BDH|4619975150548989406</stp>
        <tr r="R110" s="12"/>
      </tp>
      <tp t="e">
        <v>#N/A</v>
        <stp/>
        <stp>BDH|5663254181552397990</stp>
        <tr r="W27" s="22"/>
      </tp>
      <tp t="e">
        <v>#N/A</v>
        <stp/>
        <stp>BDH|1669870219995370929</stp>
        <tr r="H59" s="34"/>
      </tp>
      <tp t="e">
        <v>#N/A</v>
        <stp/>
        <stp>BDH|6302466617384977323</stp>
        <tr r="P101" s="18"/>
      </tp>
      <tp t="e">
        <v>#N/A</v>
        <stp/>
        <stp>BDH|9830611144266592919</stp>
        <tr r="O50" s="12"/>
      </tp>
      <tp t="e">
        <v>#N/A</v>
        <stp/>
        <stp>BDH|2944658575340892786</stp>
        <tr r="AA51" s="12"/>
      </tp>
      <tp t="e">
        <v>#N/A</v>
        <stp/>
        <stp>BDH|7611469639712971698</stp>
        <tr r="H65" s="17"/>
      </tp>
      <tp t="e">
        <v>#N/A</v>
        <stp/>
        <stp>BDH|7320997257319462600</stp>
        <tr r="S56" s="17"/>
      </tp>
      <tp t="e">
        <v>#N/A</v>
        <stp/>
        <stp>BDH|4773960833029363381</stp>
        <tr r="K69" s="34"/>
      </tp>
      <tp t="e">
        <v>#N/A</v>
        <stp/>
        <stp>BDH|9403714195752150185</stp>
        <tr r="C20" s="23"/>
      </tp>
      <tp t="e">
        <v>#N/A</v>
        <stp/>
        <stp>BDH|9518734565054832825</stp>
        <tr r="I11" s="10"/>
        <tr r="I14" s="2"/>
      </tp>
      <tp t="e">
        <v>#N/A</v>
        <stp/>
        <stp>BDH|7704171130366011791</stp>
        <tr r="AA7" s="24"/>
      </tp>
      <tp t="e">
        <v>#N/A</v>
        <stp/>
        <stp>BDH|1842077003152554705</stp>
        <tr r="T168" s="18"/>
      </tp>
      <tp t="e">
        <v>#N/A</v>
        <stp/>
        <stp>BDH|5928221465696119366</stp>
        <tr r="P66" s="17"/>
      </tp>
      <tp t="e">
        <v>#N/A</v>
        <stp/>
        <stp>BDH|2921619859936114391</stp>
        <tr r="D58" s="17"/>
      </tp>
      <tp t="e">
        <v>#N/A</v>
        <stp/>
        <stp>BDH|9301045284497953236</stp>
        <tr r="P139" s="18"/>
      </tp>
      <tp t="e">
        <v>#N/A</v>
        <stp/>
        <stp>BDH|2720984787721027616</stp>
        <tr r="Y34" s="18"/>
      </tp>
      <tp t="e">
        <v>#N/A</v>
        <stp/>
        <stp>BDH|6920378546993323624</stp>
        <tr r="K42" s="17"/>
      </tp>
      <tp t="e">
        <v>#N/A</v>
        <stp/>
        <stp>BDH|7402960267218449483</stp>
        <tr r="K59" s="34"/>
      </tp>
      <tp t="e">
        <v>#N/A</v>
        <stp/>
        <stp>BDH|2252660978553339467</stp>
        <tr r="N13" s="22"/>
      </tp>
      <tp t="e">
        <v>#N/A</v>
        <stp/>
        <stp>BDH|4046043260740437697</stp>
        <tr r="Q120" s="12"/>
      </tp>
      <tp t="e">
        <v>#N/A</v>
        <stp/>
        <stp>BDH|5305826296509935974</stp>
        <tr r="N18" s="34"/>
      </tp>
      <tp t="e">
        <v>#N/A</v>
        <stp/>
        <stp>BDH|5342155110897798684</stp>
        <tr r="P21" s="3"/>
      </tp>
      <tp t="e">
        <v>#N/A</v>
        <stp/>
        <stp>BDH|1432271873971880117</stp>
        <tr r="L15" s="13"/>
      </tp>
      <tp t="e">
        <v>#N/A</v>
        <stp/>
        <stp>BDH|7702507053063519082</stp>
        <tr r="G60" s="12"/>
      </tp>
      <tp t="e">
        <v>#N/A</v>
        <stp/>
        <stp>BDH|2018906439509015507</stp>
        <tr r="G103" s="18"/>
      </tp>
      <tp t="e">
        <v>#N/A</v>
        <stp/>
        <stp>BDH|2874322556721065153</stp>
        <tr r="F120" s="12"/>
      </tp>
      <tp t="e">
        <v>#N/A</v>
        <stp/>
        <stp>BDH|8526632161258972472</stp>
        <tr r="S48" s="34"/>
      </tp>
      <tp t="e">
        <v>#N/A</v>
        <stp/>
        <stp>BDH|2032865887545922316</stp>
        <tr r="J31" s="17"/>
      </tp>
      <tp t="e">
        <v>#N/A</v>
        <stp/>
        <stp>BDH|2331086992246433943</stp>
        <tr r="O65" s="24"/>
      </tp>
      <tp t="e">
        <v>#N/A</v>
        <stp/>
        <stp>BDH|3519735268223503521</stp>
        <tr r="P80" s="12"/>
      </tp>
      <tp t="e">
        <v>#N/A</v>
        <stp/>
        <stp>BDH|4022447004800999403</stp>
        <tr r="M22" s="7"/>
      </tp>
      <tp t="e">
        <v>#N/A</v>
        <stp/>
        <stp>BDH|8459085566988380207</stp>
        <tr r="T208" s="18"/>
      </tp>
      <tp t="e">
        <v>#N/A</v>
        <stp/>
        <stp>BDH|1493563554534705189</stp>
        <tr r="E26" s="34"/>
      </tp>
      <tp t="e">
        <v>#N/A</v>
        <stp/>
        <stp>BDH|5784948481638362886</stp>
        <tr r="N85" s="18"/>
      </tp>
      <tp t="e">
        <v>#N/A</v>
        <stp/>
        <stp>BDH|7260298914807668706</stp>
        <tr r="J90" s="12"/>
      </tp>
      <tp t="e">
        <v>#N/A</v>
        <stp/>
        <stp>BDH|4744498586314808899</stp>
        <tr r="F25" s="11"/>
        <tr r="F34" s="10"/>
      </tp>
      <tp t="e">
        <v>#N/A</v>
        <stp/>
        <stp>BDH|9234738693482945123</stp>
        <tr r="I30" s="29"/>
        <tr r="I8" s="29"/>
      </tp>
      <tp t="e">
        <v>#N/A</v>
        <stp/>
        <stp>BDH|2853672176184693367</stp>
        <tr r="G25" s="9"/>
      </tp>
      <tp t="e">
        <v>#N/A</v>
        <stp/>
        <stp>BDH|4579415142356822678</stp>
        <tr r="M57" s="24"/>
      </tp>
      <tp t="e">
        <v>#N/A</v>
        <stp/>
        <stp>BDH|7547796435620065708</stp>
        <tr r="M42" s="4"/>
      </tp>
      <tp t="e">
        <v>#N/A</v>
        <stp/>
        <stp>BDH|7282065228416556706</stp>
        <tr r="P14" s="28"/>
      </tp>
      <tp t="e">
        <v>#N/A</v>
        <stp/>
        <stp>BDH|7550203935870122286</stp>
        <tr r="Y8" s="27"/>
      </tp>
      <tp t="e">
        <v>#N/A</v>
        <stp/>
        <stp>BDH|6130298594108768126</stp>
        <tr r="T35" s="22"/>
      </tp>
      <tp t="e">
        <v>#N/A</v>
        <stp/>
        <stp>BDH|5569682902532798512</stp>
        <tr r="M47" s="17"/>
      </tp>
      <tp t="e">
        <v>#N/A</v>
        <stp/>
        <stp>BDH|2833733812945638567</stp>
        <tr r="V21" s="10"/>
      </tp>
      <tp t="e">
        <v>#N/A</v>
        <stp/>
        <stp>BDH|1490035949312236351</stp>
        <tr r="K26" s="22"/>
      </tp>
      <tp t="e">
        <v>#N/A</v>
        <stp/>
        <stp>BDH|2947246717035088037</stp>
        <tr r="O47" s="13"/>
      </tp>
      <tp t="e">
        <v>#N/A</v>
        <stp/>
        <stp>BDH|8578977458825375502</stp>
        <tr r="K23" s="12"/>
      </tp>
      <tp t="e">
        <v>#N/A</v>
        <stp/>
        <stp>BDH|5751940659724072939</stp>
        <tr r="K151" s="18"/>
      </tp>
      <tp t="e">
        <v>#N/A</v>
        <stp/>
        <stp>BDH|5525104068052417408</stp>
        <tr r="D34" s="18"/>
      </tp>
      <tp t="e">
        <v>#N/A</v>
        <stp/>
        <stp>BDH|5596294639314480489</stp>
        <tr r="F9" s="24"/>
      </tp>
      <tp t="e">
        <v>#N/A</v>
        <stp/>
        <stp>BDH|5662387781988225245</stp>
        <tr r="I19" s="18"/>
      </tp>
      <tp t="e">
        <v>#N/A</v>
        <stp/>
        <stp>BDH|1020259703542648595</stp>
        <tr r="G48" s="17"/>
      </tp>
      <tp t="e">
        <v>#N/A</v>
        <stp/>
        <stp>BDH|2075332161601280295</stp>
        <tr r="R36" s="14"/>
      </tp>
      <tp t="e">
        <v>#N/A</v>
        <stp/>
        <stp>BDH|2765659547451974552</stp>
        <tr r="AA69" s="13"/>
      </tp>
      <tp t="e">
        <v>#N/A</v>
        <stp/>
        <stp>BDH|7869540269303828349</stp>
        <tr r="H213" s="18"/>
      </tp>
      <tp t="e">
        <v>#N/A</v>
        <stp/>
        <stp>BDH|7891577283589358760</stp>
        <tr r="D97" s="18"/>
      </tp>
      <tp t="e">
        <v>#N/A</v>
        <stp/>
        <stp>BDH|3833887778080280832</stp>
        <tr r="O12" s="17"/>
      </tp>
      <tp t="e">
        <v>#N/A</v>
        <stp/>
        <stp>BDH|7519467761793289297</stp>
        <tr r="X8" s="25"/>
        <tr r="U10" s="5"/>
        <tr r="V9" s="2"/>
      </tp>
      <tp t="e">
        <v>#N/A</v>
        <stp/>
        <stp>BDH|5355836654048314493</stp>
        <tr r="O64" s="34"/>
      </tp>
      <tp t="e">
        <v>#N/A</v>
        <stp/>
        <stp>BDH|6835257763042268423</stp>
        <tr r="L11" s="18"/>
      </tp>
      <tp t="e">
        <v>#N/A</v>
        <stp/>
        <stp>BDH|3068781600366242641</stp>
        <tr r="F106" s="12"/>
      </tp>
      <tp t="e">
        <v>#N/A</v>
        <stp/>
        <stp>BDH|9823352230585271812</stp>
        <tr r="C17" s="24"/>
      </tp>
      <tp t="e">
        <v>#N/A</v>
        <stp/>
        <stp>BDH|4768972530112955870</stp>
        <tr r="S10" s="26"/>
      </tp>
      <tp t="e">
        <v>#N/A</v>
        <stp/>
        <stp>BDH|6365355428500958393</stp>
        <tr r="V28" s="24"/>
      </tp>
      <tp t="e">
        <v>#N/A</v>
        <stp/>
        <stp>BDH|1708705232202278393</stp>
        <tr r="U70" s="24"/>
      </tp>
      <tp t="e">
        <v>#N/A</v>
        <stp/>
        <stp>BDH|2222622088700600804</stp>
        <tr r="I126" s="12"/>
      </tp>
      <tp t="e">
        <v>#N/A</v>
        <stp/>
        <stp>BDH|9148010849501729800</stp>
        <tr r="Q96" s="18"/>
      </tp>
      <tp t="e">
        <v>#N/A</v>
        <stp/>
        <stp>BDH|6597038909684113604</stp>
        <tr r="X16" s="21"/>
      </tp>
      <tp t="e">
        <v>#N/A</v>
        <stp/>
        <stp>BDH|4535288840781413778</stp>
        <tr r="M35" s="25"/>
      </tp>
      <tp t="e">
        <v>#N/A</v>
        <stp/>
        <stp>BDH|5440676920065816056</stp>
        <tr r="G69" s="24"/>
      </tp>
      <tp t="e">
        <v>#N/A</v>
        <stp/>
        <stp>BDH|9474650883812586192</stp>
        <tr r="G24" s="9"/>
      </tp>
      <tp t="e">
        <v>#N/A</v>
        <stp/>
        <stp>BDH|4062081641211792508</stp>
        <tr r="T108" s="18"/>
      </tp>
      <tp t="e">
        <v>#N/A</v>
        <stp/>
        <stp>BDH|1777083568757054492</stp>
        <tr r="W19" s="6"/>
      </tp>
      <tp t="e">
        <v>#N/A</v>
        <stp/>
        <stp>BDH|1789168943742542294</stp>
        <tr r="J34" s="17"/>
      </tp>
      <tp t="e">
        <v>#N/A</v>
        <stp/>
        <stp>BDH|9279550067388877664</stp>
        <tr r="P70" s="24"/>
      </tp>
      <tp t="e">
        <v>#N/A</v>
        <stp/>
        <stp>BDH|4957450491669365402</stp>
        <tr r="T194" s="18"/>
      </tp>
      <tp t="e">
        <v>#N/A</v>
        <stp/>
        <stp>BDH|8366587376627396909</stp>
        <tr r="C18" s="26"/>
      </tp>
      <tp t="e">
        <v>#N/A</v>
        <stp/>
        <stp>BDH|2970993558033634900</stp>
        <tr r="X41" s="22"/>
      </tp>
      <tp t="e">
        <v>#N/A</v>
        <stp/>
        <stp>BDH|6513387494360658817</stp>
        <tr r="V44" s="13"/>
        <tr r="T28" s="11"/>
        <tr r="T37" s="10"/>
      </tp>
      <tp t="e">
        <v>#N/A</v>
        <stp/>
        <stp>BDH|9735376277730837917</stp>
        <tr r="H34" s="18"/>
      </tp>
      <tp t="e">
        <v>#N/A</v>
        <stp/>
        <stp>BDH|5740565041262858260</stp>
        <tr r="K92" s="18"/>
      </tp>
      <tp t="e">
        <v>#N/A</v>
        <stp/>
        <stp>BDH|2692748184028003188</stp>
        <tr r="I37" s="25"/>
        <tr r="I59" s="21"/>
        <tr r="G53" s="11"/>
        <tr r="G31" s="4"/>
      </tp>
      <tp t="e">
        <v>#N/A</v>
        <stp/>
        <stp>BDH|3871601929107887477</stp>
        <tr r="M34" s="34"/>
      </tp>
      <tp t="e">
        <v>#N/A</v>
        <stp/>
        <stp>BDH|2796577003116967542</stp>
        <tr r="V8" s="17"/>
      </tp>
      <tp t="e">
        <v>#N/A</v>
        <stp/>
        <stp>BDH|9712428656209829552</stp>
        <tr r="E9" s="34"/>
      </tp>
      <tp t="e">
        <v>#N/A</v>
        <stp/>
        <stp>BDH|6576829208932331829</stp>
        <tr r="F61" s="21"/>
      </tp>
      <tp t="e">
        <v>#N/A</v>
        <stp/>
        <stp>BDH|8413165325979141684</stp>
        <tr r="O91" s="17"/>
      </tp>
      <tp t="e">
        <v>#N/A</v>
        <stp/>
        <stp>BDH|6591785336657018156</stp>
        <tr r="W184" s="18"/>
      </tp>
      <tp t="e">
        <v>#N/A</v>
        <stp/>
        <stp>BDH|2922975922459440468</stp>
        <tr r="V18" s="6"/>
      </tp>
      <tp t="e">
        <v>#N/A</v>
        <stp/>
        <stp>BDH|6526451274265974438</stp>
        <tr r="J72" s="24"/>
      </tp>
      <tp t="e">
        <v>#N/A</v>
        <stp/>
        <stp>BDH|8967281388161482730</stp>
        <tr r="F12" s="7"/>
      </tp>
      <tp t="e">
        <v>#N/A</v>
        <stp/>
        <stp>BDH|2647194774264397465</stp>
        <tr r="R13" s="12"/>
      </tp>
      <tp t="e">
        <v>#N/A</v>
        <stp/>
        <stp>BDH|9489891922233832496</stp>
        <tr r="W140" s="18"/>
      </tp>
      <tp t="e">
        <v>#N/A</v>
        <stp/>
        <stp>BDH|6755724740017270698</stp>
        <tr r="L122" s="12"/>
      </tp>
      <tp t="e">
        <v>#N/A</v>
        <stp/>
        <stp>BDH|1218793740170584605</stp>
        <tr r="AA22" s="21"/>
      </tp>
      <tp t="e">
        <v>#N/A</v>
        <stp/>
        <stp>BDH|6488580153663736163</stp>
        <tr r="R17" s="30"/>
      </tp>
      <tp t="e">
        <v>#N/A</v>
        <stp/>
        <stp>BDH|7341283197909371108</stp>
        <tr r="R89" s="18"/>
      </tp>
      <tp t="e">
        <v>#N/A</v>
        <stp/>
        <stp>BDH|6157514502122592588</stp>
        <tr r="Z81" s="18"/>
      </tp>
      <tp t="e">
        <v>#N/A</v>
        <stp/>
        <stp>BDH|2406454911463692098</stp>
        <tr r="W70" s="24"/>
      </tp>
      <tp t="e">
        <v>#N/A</v>
        <stp/>
        <stp>BDH|5933118593520476909</stp>
        <tr r="T17" s="6"/>
      </tp>
      <tp t="e">
        <v>#N/A</v>
        <stp/>
        <stp>BDH|7843226558981530588</stp>
        <tr r="C140" s="18"/>
      </tp>
      <tp t="e">
        <v>#N/A</v>
        <stp/>
        <stp>BDH|2314087243290435237</stp>
        <tr r="J29" s="12"/>
      </tp>
      <tp t="e">
        <v>#N/A</v>
        <stp/>
        <stp>BDH|1233667279240072422</stp>
        <tr r="I196" s="18"/>
      </tp>
      <tp t="e">
        <v>#N/A</v>
        <stp/>
        <stp>BDH|1363632667415864005</stp>
        <tr r="H63" s="24"/>
      </tp>
      <tp t="e">
        <v>#N/A</v>
        <stp/>
        <stp>BDH|8256069448431483973</stp>
        <tr r="N43" s="34"/>
      </tp>
      <tp t="e">
        <v>#N/A</v>
        <stp/>
        <stp>BDH|4749081125143650132</stp>
        <tr r="J71" s="17"/>
        <tr r="G8" s="9"/>
        <tr r="G8" s="5"/>
      </tp>
      <tp t="e">
        <v>#N/A</v>
        <stp/>
        <stp>BDH|7302493977175791558</stp>
        <tr r="W125" s="12"/>
      </tp>
      <tp t="e">
        <v>#N/A</v>
        <stp/>
        <stp>BDH|8800054486587046346</stp>
        <tr r="T38" s="25"/>
      </tp>
      <tp t="e">
        <v>#N/A</v>
        <stp/>
        <stp>BDH|1219199801145321169</stp>
        <tr r="W7" s="17"/>
      </tp>
      <tp t="e">
        <v>#N/A</v>
        <stp/>
        <stp>BDH|9625166159279665002</stp>
        <tr r="J62" s="24"/>
      </tp>
      <tp t="e">
        <v>#N/A</v>
        <stp/>
        <stp>BDH|3846701241360105474</stp>
        <tr r="J54" s="17"/>
        <tr r="J17" s="3"/>
      </tp>
      <tp t="e">
        <v>#N/A</v>
        <stp/>
        <stp>BDH|6204217416599239883</stp>
        <tr r="X27" s="24"/>
      </tp>
      <tp t="e">
        <v>#N/A</v>
        <stp/>
        <stp>BDH|7475780173703400045</stp>
        <tr r="V33" s="9"/>
      </tp>
      <tp t="e">
        <v>#N/A</v>
        <stp/>
        <stp>BDH|3337493033144434427</stp>
        <tr r="P22" s="18"/>
      </tp>
      <tp t="e">
        <v>#N/A</v>
        <stp/>
        <stp>BDH|6436315110813296382</stp>
        <tr r="D69" s="12"/>
      </tp>
      <tp t="e">
        <v>#N/A</v>
        <stp/>
        <stp>BDH|9546676116689815330</stp>
        <tr r="I63" s="18"/>
      </tp>
      <tp t="e">
        <v>#N/A</v>
        <stp/>
        <stp>BDH|7936464439003069794</stp>
        <tr r="N24" s="6"/>
      </tp>
      <tp t="e">
        <v>#N/A</v>
        <stp/>
        <stp>BDH|5446256197552872814</stp>
        <tr r="Z90" s="18"/>
      </tp>
      <tp t="e">
        <v>#N/A</v>
        <stp/>
        <stp>BDH|6374299300316796620</stp>
        <tr r="P125" s="18"/>
      </tp>
      <tp t="e">
        <v>#N/A</v>
        <stp/>
        <stp>BDH|7739284276086321051</stp>
        <tr r="F16" s="11"/>
      </tp>
      <tp t="e">
        <v>#N/A</v>
        <stp/>
        <stp>BDH|2154135712177939166</stp>
        <tr r="G15" s="23"/>
        <tr r="E58" s="11"/>
      </tp>
      <tp t="e">
        <v>#N/A</v>
        <stp/>
        <stp>BDH|4404934591463839317</stp>
        <tr r="U36" s="21"/>
      </tp>
      <tp t="e">
        <v>#N/A</v>
        <stp/>
        <stp>BDH|3457035370750019082</stp>
        <tr r="P15" s="4"/>
      </tp>
      <tp t="e">
        <v>#N/A</v>
        <stp/>
        <stp>BDH|2306674997599450083</stp>
        <tr r="H20" s="27"/>
      </tp>
      <tp t="e">
        <v>#N/A</v>
        <stp/>
        <stp>BDH|1433159072926946550</stp>
        <tr r="F49" s="4"/>
      </tp>
      <tp t="e">
        <v>#N/A</v>
        <stp/>
        <stp>BDH|7507687940781561071</stp>
        <tr r="S191" s="18"/>
      </tp>
      <tp t="e">
        <v>#N/A</v>
        <stp/>
        <stp>BDH|5128498274684284612</stp>
        <tr r="W137" s="18"/>
      </tp>
      <tp t="e">
        <v>#N/A</v>
        <stp/>
        <stp>BDH|9534987331195121221</stp>
        <tr r="S9" s="11"/>
      </tp>
      <tp t="e">
        <v>#N/A</v>
        <stp/>
        <stp>BDH|2835449642325426352</stp>
        <tr r="N38" s="24"/>
      </tp>
      <tp t="e">
        <v>#N/A</v>
        <stp/>
        <stp>BDH|8565377265099112099</stp>
        <tr r="R10" s="23"/>
      </tp>
      <tp t="e">
        <v>#N/A</v>
        <stp/>
        <stp>BDH|4285890481067700720</stp>
        <tr r="J18" s="23"/>
      </tp>
      <tp t="e">
        <v>#N/A</v>
        <stp/>
        <stp>BDH|4840460011926605365</stp>
        <tr r="Y34" s="17"/>
      </tp>
      <tp t="e">
        <v>#N/A</v>
        <stp/>
        <stp>BDH|9729949805575811117</stp>
        <tr r="R64" s="12"/>
      </tp>
      <tp t="e">
        <v>#N/A</v>
        <stp/>
        <stp>BDH|5613750852291923279</stp>
        <tr r="J23" s="17"/>
      </tp>
      <tp t="e">
        <v>#N/A</v>
        <stp/>
        <stp>BDH|9378910968902229074</stp>
        <tr r="U6" s="27"/>
      </tp>
      <tp t="e">
        <v>#N/A</v>
        <stp/>
        <stp>BDH|1406793392813722872</stp>
        <tr r="O19" s="17"/>
      </tp>
      <tp t="e">
        <v>#N/A</v>
        <stp/>
        <stp>BDH|5048335304164032689</stp>
        <tr r="C55" s="34"/>
      </tp>
      <tp t="e">
        <v>#N/A</v>
        <stp/>
        <stp>BDH|1085164062801306389</stp>
        <tr r="Z41" s="34"/>
      </tp>
      <tp t="e">
        <v>#N/A</v>
        <stp/>
        <stp>BDH|4664148648431338464</stp>
        <tr r="L29" s="29"/>
        <tr r="L7" s="29"/>
      </tp>
      <tp t="e">
        <v>#N/A</v>
        <stp/>
        <stp>BDH|6736131900074882737</stp>
        <tr r="AA88" s="12"/>
      </tp>
      <tp t="e">
        <v>#N/A</v>
        <stp/>
        <stp>BDH|5952100623976277477</stp>
        <tr r="E123" s="12"/>
      </tp>
      <tp t="e">
        <v>#N/A</v>
        <stp/>
        <stp>BDH|5496789227020741438</stp>
        <tr r="Z94" s="17"/>
      </tp>
      <tp t="e">
        <v>#N/A</v>
        <stp/>
        <stp>BDH|4139898547175251923</stp>
        <tr r="Z20" s="29"/>
      </tp>
      <tp t="e">
        <v>#N/A</v>
        <stp/>
        <stp>BDH|9933907410794795116</stp>
        <tr r="H92" s="24"/>
      </tp>
      <tp t="e">
        <v>#N/A</v>
        <stp/>
        <stp>BDH|1021549187478531093</stp>
        <tr r="Q124" s="18"/>
      </tp>
      <tp t="e">
        <v>#N/A</v>
        <stp/>
        <stp>BDH|1868840510474695854</stp>
        <tr r="U153" s="18"/>
      </tp>
      <tp t="e">
        <v>#N/A</v>
        <stp/>
        <stp>BDH|6814306750220384443</stp>
        <tr r="M65" s="10"/>
        <tr r="M25" s="4"/>
      </tp>
      <tp t="e">
        <v>#N/A</v>
        <stp/>
        <stp>BDH|4221375015602763089</stp>
        <tr r="R15" s="11"/>
      </tp>
      <tp t="e">
        <v>#N/A</v>
        <stp/>
        <stp>BDH|7178736463716902478</stp>
        <tr r="W8" s="17"/>
      </tp>
      <tp t="e">
        <v>#N/A</v>
        <stp/>
        <stp>BDH|1092799442354767205</stp>
        <tr r="H36" s="29"/>
        <tr r="H22" s="29"/>
        <tr r="H13" s="29"/>
      </tp>
      <tp t="e">
        <v>#N/A</v>
        <stp/>
        <stp>BDH|4887303595323404958</stp>
        <tr r="L35" s="26"/>
      </tp>
      <tp t="e">
        <v>#N/A</v>
        <stp/>
        <stp>BDH|5104181400117075754</stp>
        <tr r="D17" s="6"/>
      </tp>
      <tp t="e">
        <v>#N/A</v>
        <stp/>
        <stp>BDH|4810739597989143716</stp>
        <tr r="AA51" s="24"/>
      </tp>
      <tp t="e">
        <v>#N/A</v>
        <stp/>
        <stp>BDH|3842375452586307727</stp>
        <tr r="D96" s="18"/>
      </tp>
      <tp t="e">
        <v>#N/A</v>
        <stp/>
        <stp>BDH|2400038540804975625</stp>
        <tr r="M8" s="24"/>
      </tp>
      <tp t="e">
        <v>#N/A</v>
        <stp/>
        <stp>BDH|4713596287275379860</stp>
        <tr r="N92" s="24"/>
      </tp>
      <tp t="e">
        <v>#N/A</v>
        <stp/>
        <stp>BDH|5819661280628221706</stp>
        <tr r="C174" s="18"/>
      </tp>
      <tp t="e">
        <v>#N/A</v>
        <stp/>
        <stp>BDH|5130418134853840503</stp>
        <tr r="T10" s="18"/>
      </tp>
      <tp t="e">
        <v>#N/A</v>
        <stp/>
        <stp>BDH|2407524416127979556</stp>
        <tr r="I43" s="24"/>
      </tp>
      <tp t="e">
        <v>#N/A</v>
        <stp/>
        <stp>BDH|4993565701012190732</stp>
        <tr r="G6" s="6"/>
      </tp>
      <tp t="e">
        <v>#N/A</v>
        <stp/>
        <stp>BDH|5713928098693106208</stp>
        <tr r="D92" s="17"/>
      </tp>
      <tp t="e">
        <v>#N/A</v>
        <stp/>
        <stp>BDH|1500517937064880778</stp>
        <tr r="AA11" s="20"/>
        <tr r="AA120" s="18"/>
      </tp>
      <tp t="e">
        <v>#N/A</v>
        <stp/>
        <stp>BDH|4139997556254571876</stp>
        <tr r="O21" s="17"/>
      </tp>
      <tp t="e">
        <v>#N/A</v>
        <stp/>
        <stp>BDH|9473094056771527920</stp>
        <tr r="L8" s="24"/>
      </tp>
      <tp t="e">
        <v>#N/A</v>
        <stp/>
        <stp>BDH|5698683000047452069</stp>
        <tr r="U9" s="24"/>
      </tp>
      <tp t="e">
        <v>#N/A</v>
        <stp/>
        <stp>BDH|4252824686458868825</stp>
        <tr r="H80" s="18"/>
      </tp>
      <tp t="e">
        <v>#N/A</v>
        <stp/>
        <stp>BDH|2159913876079395196</stp>
        <tr r="E15" s="13"/>
      </tp>
      <tp t="e">
        <v>#N/A</v>
        <stp/>
        <stp>BDH|2885145060270425145</stp>
        <tr r="G8" s="4"/>
      </tp>
      <tp t="e">
        <v>#N/A</v>
        <stp/>
        <stp>BDH|5617638149134452745</stp>
        <tr r="Q34" s="26"/>
      </tp>
      <tp t="e">
        <v>#N/A</v>
        <stp/>
        <stp>BDH|8120267626824579882</stp>
        <tr r="Z98" s="18"/>
      </tp>
      <tp t="e">
        <v>#N/A</v>
        <stp/>
        <stp>BDH|1631063149038529909</stp>
        <tr r="R152" s="18"/>
      </tp>
      <tp t="e">
        <v>#N/A</v>
        <stp/>
        <stp>BDH|9996423695788402867</stp>
        <tr r="AA71" s="12"/>
      </tp>
      <tp t="e">
        <v>#N/A</v>
        <stp/>
        <stp>BDH|1937769109042323095</stp>
        <tr r="Q37" s="18"/>
      </tp>
      <tp t="e">
        <v>#N/A</v>
        <stp/>
        <stp>BDH|6124964236181994943</stp>
        <tr r="V33" s="14"/>
      </tp>
      <tp t="e">
        <v>#N/A</v>
        <stp/>
        <stp>BDH|5246847843358890514</stp>
        <tr r="U24" s="12"/>
      </tp>
      <tp t="e">
        <v>#N/A</v>
        <stp/>
        <stp>BDH|7166519828374188058</stp>
        <tr r="E158" s="18"/>
      </tp>
      <tp t="e">
        <v>#N/A</v>
        <stp/>
        <stp>BDH|2142287306904073031</stp>
        <tr r="N12" s="27"/>
        <tr r="N26" s="25"/>
      </tp>
      <tp t="e">
        <v>#N/A</v>
        <stp/>
        <stp>BDH|7820421277900040012</stp>
        <tr r="X23" s="18"/>
      </tp>
      <tp t="e">
        <v>#N/A</v>
        <stp/>
        <stp>BDH|1551944618949334464</stp>
        <tr r="H119" s="12"/>
      </tp>
      <tp t="e">
        <v>#N/A</v>
        <stp/>
        <stp>BDH|4085493053038520937</stp>
        <tr r="D29" s="18"/>
      </tp>
      <tp t="e">
        <v>#N/A</v>
        <stp/>
        <stp>BDH|4682939858598634479</stp>
        <tr r="T72" s="12"/>
      </tp>
      <tp t="e">
        <v>#N/A</v>
        <stp/>
        <stp>BDH|3807459856754682218</stp>
        <tr r="W73" s="34"/>
      </tp>
      <tp t="e">
        <v>#N/A</v>
        <stp/>
        <stp>BDH|7274721756919849825</stp>
        <tr r="K28" s="14"/>
      </tp>
      <tp t="e">
        <v>#N/A</v>
        <stp/>
        <stp>BDH|3612252527451974601</stp>
        <tr r="U14" s="22"/>
      </tp>
      <tp t="e">
        <v>#N/A</v>
        <stp/>
        <stp>BDH|5907521126182006401</stp>
        <tr r="Z86" s="12"/>
      </tp>
      <tp t="e">
        <v>#N/A</v>
        <stp/>
        <stp>BDH|7908558734836634332</stp>
        <tr r="N110" s="18"/>
      </tp>
      <tp t="e">
        <v>#N/A</v>
        <stp/>
        <stp>BDH|1761097478893885130</stp>
        <tr r="L11" s="20"/>
        <tr r="L120" s="18"/>
      </tp>
      <tp t="e">
        <v>#N/A</v>
        <stp/>
        <stp>BDH|7864275547670506506</stp>
        <tr r="J64" s="17"/>
      </tp>
      <tp t="e">
        <v>#N/A</v>
        <stp/>
        <stp>BDH|1876911556029321016</stp>
        <tr r="U70" s="13"/>
        <tr r="S49" s="11"/>
        <tr r="S58" s="10"/>
        <tr r="S19" s="7"/>
        <tr r="S18" s="4"/>
        <tr r="S20" s="2"/>
      </tp>
      <tp t="e">
        <v>#N/A</v>
        <stp/>
        <stp>BDH|4337480135667212016</stp>
        <tr r="S29" s="21"/>
      </tp>
      <tp t="e">
        <v>#N/A</v>
        <stp/>
        <stp>BDH|1369422351073565780</stp>
        <tr r="O55" s="21"/>
      </tp>
      <tp t="e">
        <v>#N/A</v>
        <stp/>
        <stp>BDH|1369780430514304551</stp>
        <tr r="E18" s="20"/>
      </tp>
      <tp t="e">
        <v>#N/A</v>
        <stp/>
        <stp>BDH|2386586150205511338</stp>
        <tr r="Y51" s="24"/>
      </tp>
      <tp t="e">
        <v>#N/A</v>
        <stp/>
        <stp>BDH|2570431165730735497</stp>
        <tr r="Z71" s="12"/>
      </tp>
      <tp t="e">
        <v>#N/A</v>
        <stp/>
        <stp>BDH|3108587184582626865</stp>
        <tr r="X18" s="11"/>
      </tp>
      <tp t="e">
        <v>#N/A</v>
        <stp/>
        <stp>BDH|2995594644913940405</stp>
        <tr r="I161" s="18"/>
      </tp>
      <tp t="e">
        <v>#N/A</v>
        <stp/>
        <stp>BDH|4694393867923060650</stp>
        <tr r="Y11" s="10"/>
        <tr r="Y14" s="2"/>
      </tp>
      <tp t="e">
        <v>#N/A</v>
        <stp/>
        <stp>BDH|8913103199194853053</stp>
        <tr r="P44" s="18"/>
      </tp>
      <tp t="e">
        <v>#N/A</v>
        <stp/>
        <stp>BDH|3439011123617210290</stp>
        <tr r="S80" s="34"/>
      </tp>
      <tp t="e">
        <v>#N/A</v>
        <stp/>
        <stp>BDH|1071852321466130986</stp>
        <tr r="Y17" s="21"/>
      </tp>
      <tp t="e">
        <v>#N/A</v>
        <stp/>
        <stp>BDH|3217489781439087260</stp>
        <tr r="E7" s="30"/>
      </tp>
      <tp t="e">
        <v>#N/A</v>
        <stp/>
        <stp>BDH|8247163559619814184</stp>
        <tr r="E14" s="21"/>
      </tp>
      <tp t="e">
        <v>#N/A</v>
        <stp/>
        <stp>BDH|7883138240534272246</stp>
        <tr r="F46" s="6"/>
        <tr r="F19" s="5"/>
      </tp>
      <tp t="e">
        <v>#N/A</v>
        <stp/>
        <stp>BDH|1594598326303364140</stp>
        <tr r="O58" s="13"/>
        <tr r="M47" s="11"/>
        <tr r="M56" s="10"/>
        <tr r="M17" s="7"/>
        <tr r="M17" s="4"/>
        <tr r="O10" s="3"/>
      </tp>
      <tp t="e">
        <v>#N/A</v>
        <stp/>
        <stp>BDH|6192053893568884323</stp>
        <tr r="M10" s="17"/>
      </tp>
      <tp t="e">
        <v>#N/A</v>
        <stp/>
        <stp>BDH|7174921339138047174</stp>
        <tr r="F50" s="4"/>
      </tp>
      <tp t="e">
        <v>#N/A</v>
        <stp/>
        <stp>BDH|3501329863856154483</stp>
        <tr r="V33" s="6"/>
      </tp>
      <tp t="e">
        <v>#N/A</v>
        <stp/>
        <stp>BDH|4708321618333807185</stp>
        <tr r="P11" s="18"/>
      </tp>
      <tp t="e">
        <v>#N/A</v>
        <stp/>
        <stp>BDH|6485801251918967710</stp>
        <tr r="Y19" s="22"/>
      </tp>
      <tp t="e">
        <v>#N/A</v>
        <stp/>
        <stp>BDH|4831118599629485193</stp>
        <tr r="G90" s="17"/>
      </tp>
      <tp t="e">
        <v>#N/A</v>
        <stp/>
        <stp>BDH|4557790644304639733</stp>
        <tr r="AA81" s="24"/>
      </tp>
      <tp t="e">
        <v>#N/A</v>
        <stp/>
        <stp>BDH|3507432260284266190</stp>
        <tr r="R55" s="34"/>
      </tp>
      <tp t="e">
        <v>#N/A</v>
        <stp/>
        <stp>BDH|7588098956870436632</stp>
        <tr r="J7" s="20"/>
        <tr r="J117" s="18"/>
      </tp>
      <tp t="e">
        <v>#N/A</v>
        <stp/>
        <stp>BDH|7125730678807612412</stp>
        <tr r="V20" s="23"/>
      </tp>
      <tp t="e">
        <v>#N/A</v>
        <stp/>
        <stp>BDH|6419112811530190286</stp>
        <tr r="K97" s="17"/>
      </tp>
      <tp t="e">
        <v>#N/A</v>
        <stp/>
        <stp>BDH|4259874639829713261</stp>
        <tr r="N43" s="22"/>
      </tp>
      <tp t="e">
        <v>#N/A</v>
        <stp/>
        <stp>BDH|8356894537117997091</stp>
        <tr r="F92" s="17"/>
      </tp>
      <tp t="e">
        <v>#N/A</v>
        <stp/>
        <stp>BDH|6990343729910080393</stp>
        <tr r="R15" s="9"/>
      </tp>
      <tp t="e">
        <v>#N/A</v>
        <stp/>
        <stp>BDH|1271325679062321378</stp>
        <tr r="K94" s="18"/>
      </tp>
      <tp t="e">
        <v>#N/A</v>
        <stp/>
        <stp>BDH|4783654950566993568</stp>
        <tr r="M42" s="12"/>
      </tp>
      <tp t="e">
        <v>#N/A</v>
        <stp/>
        <stp>BDH|8149334638314024879</stp>
        <tr r="D79" s="17"/>
      </tp>
      <tp t="e">
        <v>#N/A</v>
        <stp/>
        <stp>BDH|6839951391845578746</stp>
        <tr r="L38" s="25"/>
      </tp>
      <tp t="e">
        <v>#N/A</v>
        <stp/>
        <stp>BDH|5516057312926902665</stp>
        <tr r="J86" s="18"/>
      </tp>
      <tp t="e">
        <v>#N/A</v>
        <stp/>
        <stp>BDH|5128685420602659729</stp>
        <tr r="R42" s="4"/>
      </tp>
      <tp t="e">
        <v>#N/A</v>
        <stp/>
        <stp>BDH|8559577800561697893</stp>
        <tr r="S9" s="22"/>
      </tp>
      <tp t="e">
        <v>#N/A</v>
        <stp/>
        <stp>BDH|5915601761832518305</stp>
        <tr r="E64" s="21"/>
      </tp>
      <tp t="e">
        <v>#N/A</v>
        <stp/>
        <stp>BDH|4952704907811021637</stp>
        <tr r="T27" s="17"/>
      </tp>
      <tp t="e">
        <v>#N/A</v>
        <stp/>
        <stp>BDH|7923071201400108338</stp>
        <tr r="M7" s="10"/>
      </tp>
      <tp t="e">
        <v>#N/A</v>
        <stp/>
        <stp>BDH|8441769529488478120</stp>
        <tr r="S25" s="21"/>
      </tp>
      <tp t="e">
        <v>#N/A</v>
        <stp/>
        <stp>BDH|8912938422653596408</stp>
        <tr r="L80" s="34"/>
      </tp>
      <tp t="e">
        <v>#N/A</v>
        <stp/>
        <stp>BDH|4004372059460011639</stp>
        <tr r="M125" s="12"/>
      </tp>
      <tp t="e">
        <v>#N/A</v>
        <stp/>
        <stp>BDH|5038462307365329001</stp>
        <tr r="N22" s="24"/>
      </tp>
      <tp t="e">
        <v>#N/A</v>
        <stp/>
        <stp>BDH|8043174503414450920</stp>
        <tr r="C205" s="18"/>
      </tp>
      <tp t="e">
        <v>#N/A</v>
        <stp/>
        <stp>BDH|5537665365275065442</stp>
        <tr r="W151" s="18"/>
      </tp>
      <tp t="e">
        <v>#N/A</v>
        <stp/>
        <stp>BDH|5615149741902161607</stp>
        <tr r="L45" s="12"/>
      </tp>
      <tp t="e">
        <v>#N/A</v>
        <stp/>
        <stp>BDH|9465995441391663186</stp>
        <tr r="M17" s="23"/>
      </tp>
      <tp t="e">
        <v>#N/A</v>
        <stp/>
        <stp>BDH|3271407752710340610</stp>
        <tr r="R42" s="6"/>
      </tp>
      <tp t="e">
        <v>#N/A</v>
        <stp/>
        <stp>BDH|3482179134237223272</stp>
        <tr r="P19" s="21"/>
        <tr r="P23" s="3"/>
        <tr r="N23" s="2"/>
      </tp>
      <tp t="e">
        <v>#N/A</v>
        <stp/>
        <stp>BDH|6028527666239131877</stp>
        <tr r="C119" s="12"/>
      </tp>
      <tp t="e">
        <v>#N/A</v>
        <stp/>
        <stp>BDH|1345303204202429414</stp>
        <tr r="C92" s="17"/>
      </tp>
      <tp t="e">
        <v>#N/A</v>
        <stp/>
        <stp>BDH|1065793818533006033</stp>
        <tr r="P32" s="11"/>
        <tr r="P41" s="10"/>
      </tp>
      <tp t="e">
        <v>#N/A</v>
        <stp/>
        <stp>BDH|2515453881178022232</stp>
        <tr r="L8" s="10"/>
      </tp>
      <tp t="e">
        <v>#N/A</v>
        <stp/>
        <stp>BDH|8245927806537646221</stp>
        <tr r="E8" s="26"/>
      </tp>
      <tp t="e">
        <v>#N/A</v>
        <stp/>
        <stp>BDH|8587227120409392560</stp>
        <tr r="M37" s="21"/>
      </tp>
      <tp t="e">
        <v>#N/A</v>
        <stp/>
        <stp>BDH|2420106554750605241</stp>
        <tr r="C8" s="20"/>
        <tr r="C118" s="18"/>
      </tp>
      <tp t="e">
        <v>#N/A</v>
        <stp/>
        <stp>BDH|6286699518467969281</stp>
        <tr r="L94" s="24"/>
      </tp>
      <tp t="e">
        <v>#N/A</v>
        <stp/>
        <stp>BDH|2116011431054379105</stp>
        <tr r="L30" s="11"/>
        <tr r="L39" s="10"/>
      </tp>
      <tp t="e">
        <v>#N/A</v>
        <stp/>
        <stp>BDH|8179898425063681595</stp>
        <tr r="J29" s="6"/>
      </tp>
      <tp t="e">
        <v>#N/A</v>
        <stp/>
        <stp>BDH|1725591401732447295</stp>
        <tr r="J39" s="13"/>
        <tr r="H32" s="10"/>
      </tp>
      <tp t="e">
        <v>#N/A</v>
        <stp/>
        <stp>BDH|2660257830391676670</stp>
        <tr r="X172" s="18"/>
      </tp>
      <tp t="e">
        <v>#N/A</v>
        <stp/>
        <stp>BDH|7793411915076051018</stp>
        <tr r="N16" s="28"/>
        <tr r="N13" s="17"/>
      </tp>
      <tp t="e">
        <v>#N/A</v>
        <stp/>
        <stp>BDH|5525301653984364379</stp>
        <tr r="O29" s="34"/>
      </tp>
      <tp t="e">
        <v>#N/A</v>
        <stp/>
        <stp>BDH|1200561960413190579</stp>
        <tr r="F91" s="18"/>
      </tp>
      <tp t="e">
        <v>#N/A</v>
        <stp/>
        <stp>BDH|5677358660167637379</stp>
        <tr r="Y30" s="17"/>
      </tp>
      <tp t="e">
        <v>#N/A</v>
        <stp/>
        <stp>BDH|6930267036367844437</stp>
        <tr r="P44" s="24"/>
      </tp>
      <tp t="e">
        <v>#N/A</v>
        <stp/>
        <stp>BDH|2832156274069848935</stp>
        <tr r="K92" s="17"/>
      </tp>
      <tp t="e">
        <v>#N/A</v>
        <stp/>
        <stp>BDH|4397782449637918498</stp>
        <tr r="D40" s="29"/>
        <tr r="D17" s="29"/>
      </tp>
      <tp t="e">
        <v>#N/A</v>
        <stp/>
        <stp>BDH|3791259635464248274</stp>
        <tr r="T8" s="24"/>
      </tp>
      <tp t="e">
        <v>#N/A</v>
        <stp/>
        <stp>BDH|7260719943254433469</stp>
        <tr r="R63" s="34"/>
      </tp>
      <tp t="e">
        <v>#N/A</v>
        <stp/>
        <stp>BDH|9143297870778938031</stp>
        <tr r="X45" s="17"/>
      </tp>
      <tp t="e">
        <v>#N/A</v>
        <stp/>
        <stp>BDH|4716302565883746679</stp>
        <tr r="C8" s="28"/>
      </tp>
      <tp t="e">
        <v>#N/A</v>
        <stp/>
        <stp>BDH|6960729514481883555</stp>
        <tr r="P111" s="12"/>
      </tp>
      <tp t="e">
        <v>#N/A</v>
        <stp/>
        <stp>BDH|8493244893177033019</stp>
        <tr r="W66" s="18"/>
      </tp>
      <tp t="e">
        <v>#N/A</v>
        <stp/>
        <stp>BDH|9617168204128751414</stp>
        <tr r="U44" s="22"/>
      </tp>
      <tp t="e">
        <v>#N/A</v>
        <stp/>
        <stp>BDH|8405536778856455892</stp>
        <tr r="Q42" s="12"/>
      </tp>
      <tp t="e">
        <v>#N/A</v>
        <stp/>
        <stp>BDH|6639436862839076952</stp>
        <tr r="Z144" s="18"/>
      </tp>
      <tp t="e">
        <v>#N/A</v>
        <stp/>
        <stp>BDH|4000543043015298472</stp>
        <tr r="C33" s="34"/>
      </tp>
      <tp t="e">
        <v>#N/A</v>
        <stp/>
        <stp>BDH|3174745817208531958</stp>
        <tr r="N34" s="29"/>
      </tp>
      <tp t="e">
        <v>#N/A</v>
        <stp/>
        <stp>BDH|8199015121789288718</stp>
        <tr r="C74" s="34"/>
      </tp>
      <tp t="e">
        <v>#N/A</v>
        <stp/>
        <stp>BDH|9901751868834201842</stp>
        <tr r="J186" s="18"/>
      </tp>
      <tp t="e">
        <v>#N/A</v>
        <stp/>
        <stp>BDH|6890396010005178522</stp>
        <tr r="W15" s="12"/>
      </tp>
      <tp t="e">
        <v>#N/A</v>
        <stp/>
        <stp>BDH|4162178840297106251</stp>
        <tr r="F57" s="17"/>
      </tp>
      <tp t="e">
        <v>#N/A</v>
        <stp/>
        <stp>BDH|9582331992266044162</stp>
        <tr r="G47" s="24"/>
      </tp>
      <tp t="e">
        <v>#N/A</v>
        <stp/>
        <stp>BDH|2047036960253840399</stp>
        <tr r="T21" s="9"/>
      </tp>
      <tp t="e">
        <v>#N/A</v>
        <stp/>
        <stp>BDH|5813310820098397884</stp>
        <tr r="E80" s="24"/>
      </tp>
      <tp t="e">
        <v>#N/A</v>
        <stp/>
        <stp>BDH|2898725939141119303</stp>
        <tr r="S75" s="34"/>
      </tp>
      <tp t="e">
        <v>#N/A</v>
        <stp/>
        <stp>BDH|2458038011145603223</stp>
        <tr r="Q13" s="30"/>
      </tp>
      <tp t="e">
        <v>#N/A</v>
        <stp/>
        <stp>BDH|1433958416024056950</stp>
        <tr r="S164" s="18"/>
      </tp>
      <tp t="e">
        <v>#N/A</v>
        <stp/>
        <stp>BDH|4045952260939757604</stp>
        <tr r="T16" s="10"/>
      </tp>
      <tp t="e">
        <v>#N/A</v>
        <stp/>
        <stp>BDH|5495499718093666718</stp>
        <tr r="M67" s="13"/>
      </tp>
      <tp t="e">
        <v>#N/A</v>
        <stp/>
        <stp>BDH|1441291223225876051</stp>
        <tr r="U42" s="4"/>
      </tp>
      <tp t="e">
        <v>#N/A</v>
        <stp/>
        <stp>BDH|7296031803803139002</stp>
        <tr r="M34" s="24"/>
      </tp>
      <tp t="e">
        <v>#N/A</v>
        <stp/>
        <stp>BDH|8561409181163566329</stp>
        <tr r="Y74" s="17"/>
      </tp>
      <tp t="e">
        <v>#N/A</v>
        <stp/>
        <stp>BDH|4224466612084258170</stp>
        <tr r="T13" s="27"/>
        <tr r="T27" s="25"/>
      </tp>
      <tp t="e">
        <v>#N/A</v>
        <stp/>
        <stp>BDH|4478364391609340330</stp>
        <tr r="E106" s="18"/>
      </tp>
      <tp t="e">
        <v>#N/A</v>
        <stp/>
        <stp>BDH|5534035104509067815</stp>
        <tr r="T85" s="17"/>
        <tr r="R6" s="7"/>
        <tr r="T20" s="3"/>
      </tp>
      <tp t="e">
        <v>#N/A</v>
        <stp/>
        <stp>BDH|5941643251116721484</stp>
        <tr r="R40" s="24"/>
      </tp>
      <tp t="e">
        <v>#N/A</v>
        <stp/>
        <stp>BDH|6828632548269237921</stp>
        <tr r="M107" s="12"/>
      </tp>
      <tp t="e">
        <v>#N/A</v>
        <stp/>
        <stp>BDH|6457670864142306074</stp>
        <tr r="L12" s="21"/>
      </tp>
      <tp t="e">
        <v>#N/A</v>
        <stp/>
        <stp>BDH|1392766835868772940</stp>
        <tr r="T27" s="12"/>
      </tp>
      <tp t="e">
        <v>#N/A</v>
        <stp/>
        <stp>BDH|2662423035300073122</stp>
        <tr r="P26" s="27"/>
      </tp>
      <tp t="e">
        <v>#N/A</v>
        <stp/>
        <stp>BDH|2416461303337605540</stp>
        <tr r="Q143" s="18"/>
      </tp>
      <tp t="e">
        <v>#N/A</v>
        <stp/>
        <stp>BDH|7615027271123356751</stp>
        <tr r="F26" s="18"/>
      </tp>
      <tp t="e">
        <v>#N/A</v>
        <stp/>
        <stp>BDH|2726510152174178267</stp>
        <tr r="G33" s="12"/>
      </tp>
      <tp t="e">
        <v>#N/A</v>
        <stp/>
        <stp>BDH|1423141826130453614</stp>
        <tr r="Q17" s="23"/>
      </tp>
      <tp t="e">
        <v>#N/A</v>
        <stp/>
        <stp>BDH|6424756250165556572</stp>
        <tr r="J32" s="6"/>
      </tp>
      <tp t="e">
        <v>#N/A</v>
        <stp/>
        <stp>BDH|8774475831149128233</stp>
        <tr r="Z19" s="24"/>
      </tp>
      <tp t="e">
        <v>#N/A</v>
        <stp/>
        <stp>BDH|8777139611705181973</stp>
        <tr r="W51" s="13"/>
      </tp>
      <tp t="e">
        <v>#N/A</v>
        <stp/>
        <stp>BDH|1798009862785749611</stp>
        <tr r="M58" s="12"/>
      </tp>
      <tp t="e">
        <v>#N/A</v>
        <stp/>
        <stp>BDH|6583133208120900348</stp>
        <tr r="G44" s="34"/>
      </tp>
      <tp t="e">
        <v>#N/A</v>
        <stp/>
        <stp>BDH|2174671010971182042</stp>
        <tr r="W7" s="11"/>
      </tp>
      <tp t="e">
        <v>#N/A</v>
        <stp/>
        <stp>BDH|1103196195438852562</stp>
        <tr r="K69" s="17"/>
      </tp>
      <tp t="e">
        <v>#N/A</v>
        <stp/>
        <stp>BDH|2603632347055516146</stp>
        <tr r="I6" s="6"/>
      </tp>
      <tp t="e">
        <v>#N/A</v>
        <stp/>
        <stp>BDH|9706502832069270240</stp>
        <tr r="T69" s="17"/>
      </tp>
      <tp t="e">
        <v>#N/A</v>
        <stp/>
        <stp>BDH|6645775686344332975</stp>
        <tr r="M109" s="18"/>
      </tp>
      <tp t="e">
        <v>#N/A</v>
        <stp/>
        <stp>BDH|2965286047044540400</stp>
        <tr r="G62" s="17"/>
      </tp>
      <tp t="e">
        <v>#N/A</v>
        <stp/>
        <stp>BDH|6833443979360670100</stp>
        <tr r="X36" s="21"/>
      </tp>
      <tp t="e">
        <v>#N/A</v>
        <stp/>
        <stp>BDH|3429451585652104961</stp>
        <tr r="E39" s="22"/>
      </tp>
      <tp t="e">
        <v>#N/A</v>
        <stp/>
        <stp>BDH|3541613861426164171</stp>
        <tr r="Y7" s="11"/>
      </tp>
      <tp t="e">
        <v>#N/A</v>
        <stp/>
        <stp>BDH|3857787923214356631</stp>
        <tr r="G57" s="18"/>
      </tp>
      <tp t="e">
        <v>#N/A</v>
        <stp/>
        <stp>BDH|1477026122636492139</stp>
        <tr r="Q18" s="27"/>
        <tr r="Q32" s="25"/>
      </tp>
      <tp t="e">
        <v>#N/A</v>
        <stp/>
        <stp>BDH|6062160612413255150</stp>
        <tr r="H15" s="9"/>
      </tp>
      <tp t="e">
        <v>#N/A</v>
        <stp/>
        <stp>BDH|6445839889272986040</stp>
        <tr r="J10" s="22"/>
      </tp>
      <tp t="e">
        <v>#N/A</v>
        <stp/>
        <stp>BDH|7759726872585712630</stp>
        <tr r="X21" s="10"/>
      </tp>
      <tp t="e">
        <v>#N/A</v>
        <stp/>
        <stp>BDH|3118491911523957136</stp>
        <tr r="E75" s="17"/>
      </tp>
      <tp t="e">
        <v>#N/A</v>
        <stp/>
        <stp>BDH|7915175100633575183</stp>
        <tr r="J13" s="30"/>
      </tp>
      <tp t="e">
        <v>#N/A</v>
        <stp/>
        <stp>BDH|4486291762305852149</stp>
        <tr r="E25" s="5"/>
      </tp>
      <tp t="e">
        <v>#N/A</v>
        <stp/>
        <stp>BDH|6933483834177624205</stp>
        <tr r="P90" s="24"/>
      </tp>
      <tp t="e">
        <v>#N/A</v>
        <stp/>
        <stp>BDH|2791331210976307248</stp>
        <tr r="U50" s="4"/>
      </tp>
      <tp t="e">
        <v>#N/A</v>
        <stp/>
        <stp>BDH|2795344767621119262</stp>
        <tr r="K105" s="12"/>
      </tp>
      <tp t="e">
        <v>#N/A</v>
        <stp/>
        <stp>BDH|8240373650843506934</stp>
        <tr r="H43" s="18"/>
      </tp>
      <tp t="e">
        <v>#N/A</v>
        <stp/>
        <stp>BDH|1582632293309476325</stp>
        <tr r="N118" s="12"/>
      </tp>
      <tp t="e">
        <v>#N/A</v>
        <stp/>
        <stp>BDH|8686115490681438503</stp>
        <tr r="I46" s="17"/>
      </tp>
      <tp t="e">
        <v>#N/A</v>
        <stp/>
        <stp>BDH|1285812376403628907</stp>
        <tr r="I24" s="9"/>
      </tp>
      <tp t="e">
        <v>#N/A</v>
        <stp/>
        <stp>BDH|2887995439079321585</stp>
        <tr r="P56" s="34"/>
      </tp>
      <tp t="e">
        <v>#N/A</v>
        <stp/>
        <stp>BDH|6552158753134113217</stp>
        <tr r="T35" s="17"/>
      </tp>
      <tp t="e">
        <v>#N/A</v>
        <stp/>
        <stp>BDH|8471950494215787917</stp>
        <tr r="P46" s="6"/>
        <tr r="P19" s="5"/>
      </tp>
      <tp t="e">
        <v>#N/A</v>
        <stp/>
        <stp>BDH|3510632362592142568</stp>
        <tr r="V13" s="24"/>
      </tp>
      <tp t="e">
        <v>#N/A</v>
        <stp/>
        <stp>BDH|6592390266182860514</stp>
        <tr r="F11" s="7"/>
      </tp>
      <tp t="e">
        <v>#N/A</v>
        <stp/>
        <stp>BDH|3367626461386164128</stp>
        <tr r="Z52" s="24"/>
      </tp>
      <tp t="e">
        <v>#N/A</v>
        <stp/>
        <stp>BDH|4438793478526396651</stp>
        <tr r="O106" s="12"/>
      </tp>
      <tp t="e">
        <v>#N/A</v>
        <stp/>
        <stp>BDH|6931957597896985419</stp>
        <tr r="D103" s="18"/>
      </tp>
      <tp t="e">
        <v>#N/A</v>
        <stp/>
        <stp>BDH|4839508823466070184</stp>
        <tr r="U28" s="17"/>
      </tp>
      <tp t="e">
        <v>#N/A</v>
        <stp/>
        <stp>BDH|6385785025356820150</stp>
        <tr r="Q87" s="18"/>
      </tp>
      <tp t="e">
        <v>#N/A</v>
        <stp/>
        <stp>BDH|6640444479109099884</stp>
        <tr r="L107" s="12"/>
      </tp>
      <tp t="e">
        <v>#N/A</v>
        <stp/>
        <stp>BDH|3638021904777381002</stp>
        <tr r="N15" s="26"/>
      </tp>
      <tp t="e">
        <v>#N/A</v>
        <stp/>
        <stp>BDH|9602640080903465051</stp>
        <tr r="O33" s="14"/>
      </tp>
      <tp t="e">
        <v>#N/A</v>
        <stp/>
        <stp>BDH|8390476826028402251</stp>
        <tr r="Q29" s="17"/>
      </tp>
      <tp t="e">
        <v>#N/A</v>
        <stp/>
        <stp>BDH|5300097369202665552</stp>
        <tr r="K25" s="17"/>
      </tp>
      <tp t="e">
        <v>#N/A</v>
        <stp/>
        <stp>BDH|2921992804818418708</stp>
        <tr r="D47" s="6"/>
      </tp>
      <tp t="e">
        <v>#N/A</v>
        <stp/>
        <stp>BDH|3280506414953761010</stp>
        <tr r="S14" s="6"/>
      </tp>
      <tp t="e">
        <v>#N/A</v>
        <stp/>
        <stp>BDH|2575631462350415605</stp>
        <tr r="O124" s="18"/>
      </tp>
      <tp t="e">
        <v>#N/A</v>
        <stp/>
        <stp>BDH|2254684209177328703</stp>
        <tr r="V23" s="25"/>
        <tr r="T20" s="11"/>
      </tp>
      <tp t="e">
        <v>#N/A</v>
        <stp/>
        <stp>BDH|3446476831508314817</stp>
        <tr r="S17" s="34"/>
      </tp>
      <tp t="e">
        <v>#N/A</v>
        <stp/>
        <stp>BDH|6728607745253741352</stp>
        <tr r="K80" s="34"/>
      </tp>
      <tp t="e">
        <v>#N/A</v>
        <stp/>
        <stp>BDH|1576336135731146422</stp>
        <tr r="W6" s="19"/>
        <tr r="W37" s="17"/>
        <tr r="W16" s="3"/>
      </tp>
      <tp t="e">
        <v>#N/A</v>
        <stp/>
        <stp>BDH|5439116709784848446</stp>
        <tr r="E9" s="10"/>
      </tp>
      <tp t="e">
        <v>#N/A</v>
        <stp/>
        <stp>BDH|2747134967169087839</stp>
        <tr r="Y10" s="13"/>
      </tp>
      <tp t="e">
        <v>#N/A</v>
        <stp/>
        <stp>BDH|6703212476815003209</stp>
        <tr r="F66" s="21"/>
        <tr r="C31" s="6"/>
      </tp>
      <tp t="e">
        <v>#N/A</v>
        <stp/>
        <stp>BDH|5081608111241746765</stp>
        <tr r="P29" s="4"/>
      </tp>
      <tp t="e">
        <v>#N/A</v>
        <stp/>
        <stp>BDH|9061721992631805282</stp>
        <tr r="P14" s="21"/>
      </tp>
      <tp t="e">
        <v>#N/A</v>
        <stp/>
        <stp>BDH|5279854520739540223</stp>
        <tr r="Q24" s="6"/>
      </tp>
      <tp t="e">
        <v>#N/A</v>
        <stp/>
        <stp>BDH|5431110715318952997</stp>
        <tr r="W43" s="11"/>
        <tr r="W52" s="10"/>
        <tr r="W15" s="7"/>
      </tp>
      <tp t="e">
        <v>#N/A</v>
        <stp/>
        <stp>BDH|3922884826268640512</stp>
        <tr r="N26" s="22"/>
      </tp>
      <tp t="e">
        <v>#N/A</v>
        <stp/>
        <stp>BDH|4086580121933161482</stp>
        <tr r="E12" s="20"/>
        <tr r="E121" s="18"/>
      </tp>
      <tp t="e">
        <v>#N/A</v>
        <stp/>
        <stp>BDH|5351234584768775334</stp>
        <tr r="N7" s="23"/>
      </tp>
      <tp t="e">
        <v>#N/A</v>
        <stp/>
        <stp>BDH|6029029553882555542</stp>
        <tr r="D178" s="18"/>
      </tp>
      <tp t="e">
        <v>#N/A</v>
        <stp/>
        <stp>BDH|4188651600476680021</stp>
        <tr r="C24" s="17"/>
      </tp>
      <tp t="e">
        <v>#N/A</v>
        <stp/>
        <stp>BDH|2424517831000434001</stp>
        <tr r="V9" s="29"/>
      </tp>
      <tp t="e">
        <v>#N/A</v>
        <stp/>
        <stp>BDH|2576791165782817517</stp>
        <tr r="O24" s="20"/>
      </tp>
      <tp t="e">
        <v>#N/A</v>
        <stp/>
        <stp>BDH|8822556583713718294</stp>
        <tr r="Q62" s="34"/>
      </tp>
      <tp t="e">
        <v>#N/A</v>
        <stp/>
        <stp>BDH|9191877375857183527</stp>
        <tr r="K66" s="18"/>
      </tp>
      <tp t="e">
        <v>#N/A</v>
        <stp/>
        <stp>BDH|1650230148871931247</stp>
        <tr r="Q13" s="21"/>
      </tp>
      <tp t="e">
        <v>#N/A</v>
        <stp/>
        <stp>BDH|9139945642702418239</stp>
        <tr r="Q8" s="12"/>
      </tp>
      <tp t="e">
        <v>#N/A</v>
        <stp/>
        <stp>BDH|6917701134845411390</stp>
        <tr r="S34" s="6"/>
      </tp>
      <tp t="e">
        <v>#N/A</v>
        <stp/>
        <stp>BDH|5250102665525521328</stp>
        <tr r="AA19" s="17"/>
      </tp>
      <tp t="e">
        <v>#N/A</v>
        <stp/>
        <stp>BDH|7190318075954658335</stp>
        <tr r="Z180" s="18"/>
      </tp>
      <tp t="e">
        <v>#N/A</v>
        <stp/>
        <stp>BDH|4511546343737497662</stp>
        <tr r="G78" s="12"/>
      </tp>
      <tp t="e">
        <v>#N/A</v>
        <stp/>
        <stp>BDH|4143924082877454656</stp>
        <tr r="X63" s="24"/>
      </tp>
      <tp t="e">
        <v>#N/A</v>
        <stp/>
        <stp>BDH|6279025463401041539</stp>
        <tr r="N24" s="27"/>
      </tp>
      <tp t="e">
        <v>#N/A</v>
        <stp/>
        <stp>BDH|1682544271610409770</stp>
        <tr r="V124" s="18"/>
      </tp>
      <tp t="e">
        <v>#N/A</v>
        <stp/>
        <stp>BDH|7257873986642480172</stp>
        <tr r="R91" s="18"/>
      </tp>
      <tp t="e">
        <v>#N/A</v>
        <stp/>
        <stp>BDH|9394968200141428518</stp>
        <tr r="J69" s="17"/>
      </tp>
      <tp t="e">
        <v>#N/A</v>
        <stp/>
        <stp>BDH|7961043608043598006</stp>
        <tr r="H13" s="30"/>
      </tp>
      <tp t="e">
        <v>#N/A</v>
        <stp/>
        <stp>BDH|7021947216818094329</stp>
        <tr r="S10" s="14"/>
      </tp>
      <tp t="e">
        <v>#N/A</v>
        <stp/>
        <stp>BDH|2481744654170137453</stp>
        <tr r="D22" s="30"/>
        <tr r="D24" s="23"/>
      </tp>
      <tp t="e">
        <v>#N/A</v>
        <stp/>
        <stp>BDH|8705975652861484168</stp>
        <tr r="C47" s="18"/>
      </tp>
      <tp t="e">
        <v>#N/A</v>
        <stp/>
        <stp>BDH|3638957798380894733</stp>
        <tr r="N120" s="12"/>
      </tp>
      <tp t="e">
        <v>#N/A</v>
        <stp/>
        <stp>BDH|1080075949061672087</stp>
        <tr r="R12" s="20"/>
        <tr r="R121" s="18"/>
      </tp>
      <tp t="e">
        <v>#N/A</v>
        <stp/>
        <stp>BDH|1701561093429787051</stp>
        <tr r="C22" s="20"/>
      </tp>
      <tp t="e">
        <v>#N/A</v>
        <stp/>
        <stp>BDH|8959492443969228510</stp>
        <tr r="Q97" s="17"/>
      </tp>
      <tp t="e">
        <v>#N/A</v>
        <stp/>
        <stp>BDH|3066321702500899487</stp>
        <tr r="F21" s="3"/>
      </tp>
      <tp t="e">
        <v>#N/A</v>
        <stp/>
        <stp>BDH|5744436574834264623</stp>
        <tr r="H85" s="17"/>
        <tr r="F6" s="7"/>
        <tr r="H20" s="3"/>
      </tp>
      <tp t="e">
        <v>#N/A</v>
        <stp/>
        <stp>BDH|7094206901951580041</stp>
        <tr r="Z46" s="17"/>
      </tp>
      <tp t="e">
        <v>#N/A</v>
        <stp/>
        <stp>BDH|7408645341991668075</stp>
        <tr r="L64" s="10"/>
      </tp>
      <tp t="e">
        <v>#N/A</v>
        <stp/>
        <stp>BDH|3568313857323106228</stp>
        <tr r="P77" s="18"/>
      </tp>
      <tp t="e">
        <v>#N/A</v>
        <stp/>
        <stp>BDH|2144752270867102150</stp>
        <tr r="J68" s="17"/>
      </tp>
      <tp t="e">
        <v>#N/A</v>
        <stp/>
        <stp>BDH|5194296932659905937</stp>
        <tr r="U25" s="7"/>
      </tp>
      <tp t="e">
        <v>#N/A</v>
        <stp/>
        <stp>BDH|6739531526942447761</stp>
        <tr r="R55" s="18"/>
      </tp>
      <tp t="e">
        <v>#N/A</v>
        <stp/>
        <stp>BDH|7138314391749185006</stp>
        <tr r="Q103" s="12"/>
      </tp>
      <tp t="e">
        <v>#N/A</v>
        <stp/>
        <stp>BDH|3679789042704412086</stp>
        <tr r="E29" s="12"/>
      </tp>
      <tp t="e">
        <v>#N/A</v>
        <stp/>
        <stp>BDH|6000557071321667131</stp>
        <tr r="T62" s="17"/>
      </tp>
      <tp t="e">
        <v>#N/A</v>
        <stp/>
        <stp>BDH|2707176113467336112</stp>
        <tr r="R204" s="18"/>
      </tp>
      <tp t="e">
        <v>#N/A</v>
        <stp/>
        <stp>BDH|8637881173207501493</stp>
        <tr r="N73" s="17"/>
      </tp>
      <tp t="e">
        <v>#N/A</v>
        <stp/>
        <stp>BDH|5570864617418474013</stp>
        <tr r="E64" s="34"/>
      </tp>
      <tp t="e">
        <v>#N/A</v>
        <stp/>
        <stp>BDH|6035893958156110913</stp>
        <tr r="Y45" s="22"/>
      </tp>
      <tp t="e">
        <v>#N/A</v>
        <stp/>
        <stp>BDH|6422374615391309147</stp>
        <tr r="V177" s="18"/>
      </tp>
      <tp t="e">
        <v>#N/A</v>
        <stp/>
        <stp>BDH|9157420110731641944</stp>
        <tr r="J197" s="18"/>
      </tp>
      <tp t="e">
        <v>#N/A</v>
        <stp/>
        <stp>BDH|4039656564980562058</stp>
        <tr r="F21" s="30"/>
      </tp>
      <tp t="e">
        <v>#N/A</v>
        <stp/>
        <stp>BDH|7495405024155162009</stp>
        <tr r="E22" s="24"/>
      </tp>
      <tp t="e">
        <v>#N/A</v>
        <stp/>
        <stp>BDH|7708211714854099432</stp>
        <tr r="S105" s="18"/>
      </tp>
      <tp t="e">
        <v>#N/A</v>
        <stp/>
        <stp>BDH|9084443857838421463</stp>
        <tr r="Y61" s="13"/>
        <tr r="W48" s="11"/>
        <tr r="W57" s="10"/>
        <tr r="W18" s="7"/>
      </tp>
      <tp t="e">
        <v>#N/A</v>
        <stp/>
        <stp>BDH|4940194506586059775</stp>
        <tr r="R21" s="18"/>
      </tp>
      <tp t="e">
        <v>#N/A</v>
        <stp/>
        <stp>BDH|6058966693586342477</stp>
        <tr r="E37" s="29"/>
        <tr r="E23" s="29"/>
        <tr r="E14" s="29"/>
      </tp>
      <tp t="e">
        <v>#N/A</v>
        <stp/>
        <stp>BDH|8132348739855410997</stp>
        <tr r="S18" s="14"/>
      </tp>
      <tp t="e">
        <v>#N/A</v>
        <stp/>
        <stp>BDH|6746251470002301500</stp>
        <tr r="O8" s="10"/>
      </tp>
      <tp t="e">
        <v>#N/A</v>
        <stp/>
        <stp>BDH|1082350866279791956</stp>
        <tr r="R8" s="11"/>
      </tp>
      <tp t="e">
        <v>#N/A</v>
        <stp/>
        <stp>BDH|3596502326987410766</stp>
        <tr r="L155" s="18"/>
      </tp>
      <tp t="e">
        <v>#N/A</v>
        <stp/>
        <stp>BDH|5859293660715721076</stp>
        <tr r="X32" s="12"/>
      </tp>
      <tp t="e">
        <v>#N/A</v>
        <stp/>
        <stp>BDH|2456631059685956062</stp>
        <tr r="E96" s="12"/>
      </tp>
      <tp t="e">
        <v>#N/A</v>
        <stp/>
        <stp>BDH|6116767430932338459</stp>
        <tr r="C87" s="24"/>
      </tp>
      <tp t="e">
        <v>#N/A</v>
        <stp/>
        <stp>BDH|9605563702581150927</stp>
        <tr r="K25" s="34"/>
      </tp>
      <tp t="e">
        <v>#N/A</v>
        <stp/>
        <stp>BDH|8051003350408061113</stp>
        <tr r="U76" s="34"/>
      </tp>
      <tp t="e">
        <v>#N/A</v>
        <stp/>
        <stp>BDH|1233040944231261010</stp>
        <tr r="D161" s="18"/>
      </tp>
      <tp t="e">
        <v>#N/A</v>
        <stp/>
        <stp>BDH|3831391235026031157</stp>
        <tr r="Q85" s="18"/>
      </tp>
      <tp t="e">
        <v>#N/A</v>
        <stp/>
        <stp>BDH|6341751147174536551</stp>
        <tr r="Y17" s="12"/>
      </tp>
      <tp t="e">
        <v>#N/A</v>
        <stp/>
        <stp>BDH|3421168236990646531</stp>
        <tr r="O206" s="18"/>
      </tp>
      <tp t="e">
        <v>#N/A</v>
        <stp/>
        <stp>BDH|2856334836396538097</stp>
        <tr r="O188" s="18"/>
      </tp>
      <tp t="e">
        <v>#N/A</v>
        <stp/>
        <stp>BDH|8502533998470696098</stp>
        <tr r="U14" s="24"/>
      </tp>
      <tp t="e">
        <v>#N/A</v>
        <stp/>
        <stp>BDH|5767839343778417520</stp>
        <tr r="E92" s="12"/>
      </tp>
      <tp t="e">
        <v>#N/A</v>
        <stp/>
        <stp>BDH|3555035418277688193</stp>
        <tr r="Q64" s="18"/>
      </tp>
      <tp t="e">
        <v>#N/A</v>
        <stp/>
        <stp>BDH|3247019735227057372</stp>
        <tr r="T60" s="34"/>
      </tp>
      <tp t="e">
        <v>#N/A</v>
        <stp/>
        <stp>BDH|4580775139550951435</stp>
        <tr r="M142" s="18"/>
      </tp>
      <tp t="e">
        <v>#N/A</v>
        <stp/>
        <stp>BDH|7257504646104301668</stp>
        <tr r="V23" s="20"/>
      </tp>
      <tp t="e">
        <v>#N/A</v>
        <stp/>
        <stp>BDH|2910214096724639999</stp>
        <tr r="F94" s="24"/>
      </tp>
      <tp t="e">
        <v>#N/A</v>
        <stp/>
        <stp>BDH|3025191520932928610</stp>
        <tr r="J7" s="23"/>
      </tp>
      <tp t="e">
        <v>#N/A</v>
        <stp/>
        <stp>BDH|9145637871839155536</stp>
        <tr r="R8" s="13"/>
      </tp>
      <tp t="e">
        <v>#N/A</v>
        <stp/>
        <stp>BDH|8870410171349062699</stp>
        <tr r="Q62" s="21"/>
        <tr r="O25" s="2"/>
      </tp>
      <tp t="e">
        <v>#N/A</v>
        <stp/>
        <stp>BDH|6748739005063826684</stp>
        <tr r="N21" s="20"/>
      </tp>
      <tp t="e">
        <v>#N/A</v>
        <stp/>
        <stp>BDH|9389796205449867367</stp>
        <tr r="G48" s="24"/>
      </tp>
      <tp t="e">
        <v>#N/A</v>
        <stp/>
        <stp>BDH|1450616323192083371</stp>
        <tr r="F64" s="34"/>
      </tp>
      <tp t="e">
        <v>#N/A</v>
        <stp/>
        <stp>BDH|8691892655225820431</stp>
        <tr r="R101" s="18"/>
      </tp>
      <tp t="e">
        <v>#N/A</v>
        <stp/>
        <stp>BDH|7690747751443359215</stp>
        <tr r="J14" s="6"/>
      </tp>
      <tp t="e">
        <v>#N/A</v>
        <stp/>
        <stp>BDH|2247143041240117379</stp>
        <tr r="E7" s="8"/>
      </tp>
      <tp t="e">
        <v>#N/A</v>
        <stp/>
        <stp>BDH|2156629109857987721</stp>
        <tr r="X145" s="18"/>
      </tp>
      <tp t="e">
        <v>#N/A</v>
        <stp/>
        <stp>BDH|4089456813767475233</stp>
        <tr r="O68" s="24"/>
      </tp>
      <tp t="e">
        <v>#N/A</v>
        <stp/>
        <stp>BDH|1730654273384016008</stp>
        <tr r="M18" s="6"/>
      </tp>
      <tp t="e">
        <v>#N/A</v>
        <stp/>
        <stp>BDH|7069747215970608564</stp>
        <tr r="AA70" s="12"/>
      </tp>
      <tp t="e">
        <v>#N/A</v>
        <stp/>
        <stp>BDH|5147061836423248129</stp>
        <tr r="T18" s="9"/>
      </tp>
      <tp t="e">
        <v>#N/A</v>
        <stp/>
        <stp>BDH|1915717338295608478</stp>
        <tr r="U132" s="18"/>
      </tp>
      <tp t="e">
        <v>#N/A</v>
        <stp/>
        <stp>BDH|1041943002989003572</stp>
        <tr r="H19" s="20"/>
      </tp>
      <tp t="e">
        <v>#N/A</v>
        <stp/>
        <stp>BDH|7370598865391845167</stp>
        <tr r="M39" s="24"/>
      </tp>
      <tp t="e">
        <v>#N/A</v>
        <stp/>
        <stp>BDH|4772068621860814299</stp>
        <tr r="O53" s="21"/>
      </tp>
      <tp t="e">
        <v>#N/A</v>
        <stp/>
        <stp>BDH|3576674977966159050</stp>
        <tr r="AA50" s="21"/>
      </tp>
      <tp t="e">
        <v>#N/A</v>
        <stp/>
        <stp>BDH|3578907367800070830</stp>
        <tr r="I7" s="10"/>
      </tp>
      <tp t="e">
        <v>#N/A</v>
        <stp/>
        <stp>BDH|9676203643592682926</stp>
        <tr r="Q23" s="18"/>
      </tp>
      <tp t="e">
        <v>#N/A</v>
        <stp/>
        <stp>BDH|4134196003981939031</stp>
        <tr r="AA120" s="12"/>
      </tp>
      <tp t="e">
        <v>#N/A</v>
        <stp/>
        <stp>BDH|4471313595559783367</stp>
        <tr r="R29" s="22"/>
      </tp>
      <tp t="e">
        <v>#N/A</v>
        <stp/>
        <stp>BDH|1248558853820081552</stp>
        <tr r="C106" s="12"/>
      </tp>
      <tp t="e">
        <v>#N/A</v>
        <stp/>
        <stp>BDH|4699358076625485101</stp>
        <tr r="C50" s="34"/>
      </tp>
      <tp t="e">
        <v>#N/A</v>
        <stp/>
        <stp>BDH|6317670782169890588</stp>
        <tr r="E31" s="5"/>
      </tp>
      <tp t="e">
        <v>#N/A</v>
        <stp/>
        <stp>BDH|6767921707468510313</stp>
        <tr r="H21" s="9"/>
      </tp>
      <tp t="e">
        <v>#N/A</v>
        <stp/>
        <stp>BDH|9567134360232531852</stp>
        <tr r="Z112" s="18"/>
      </tp>
      <tp t="e">
        <v>#N/A</v>
        <stp/>
        <stp>BDH|9462533208540914800</stp>
        <tr r="S11" s="18"/>
      </tp>
      <tp t="e">
        <v>#N/A</v>
        <stp/>
        <stp>BDH|3760675221963788003</stp>
        <tr r="D41" s="12"/>
      </tp>
      <tp t="e">
        <v>#N/A</v>
        <stp/>
        <stp>BDH|8545139367192497934</stp>
        <tr r="D65" s="21"/>
      </tp>
      <tp t="e">
        <v>#N/A</v>
        <stp/>
        <stp>BDH|1836562035180805351</stp>
        <tr r="F93" s="18"/>
      </tp>
      <tp t="e">
        <v>#N/A</v>
        <stp/>
        <stp>BDH|3903522242363757584</stp>
        <tr r="Y34" s="12"/>
      </tp>
      <tp t="e">
        <v>#N/A</v>
        <stp/>
        <stp>BDH|6994184645193158439</stp>
        <tr r="H16" s="27"/>
        <tr r="H30" s="25"/>
      </tp>
      <tp t="e">
        <v>#N/A</v>
        <stp/>
        <stp>BDH|4486647705491196722</stp>
        <tr r="D78" s="17"/>
      </tp>
      <tp t="e">
        <v>#N/A</v>
        <stp/>
        <stp>BDH|1294248501686836194</stp>
        <tr r="Y42" s="34"/>
      </tp>
      <tp t="e">
        <v>#N/A</v>
        <stp/>
        <stp>BDH|2775725753706222224</stp>
        <tr r="G41" s="21"/>
      </tp>
      <tp t="e">
        <v>#N/A</v>
        <stp/>
        <stp>BDH|1103456244894699104</stp>
        <tr r="U24" s="9"/>
      </tp>
      <tp t="e">
        <v>#N/A</v>
        <stp/>
        <stp>BDH|7310822397465647760</stp>
        <tr r="C19" s="25"/>
      </tp>
      <tp t="e">
        <v>#N/A</v>
        <stp/>
        <stp>BDH|9582219703268349724</stp>
        <tr r="U21" s="11"/>
      </tp>
      <tp t="e">
        <v>#N/A</v>
        <stp/>
        <stp>BDH|8108063881436873282</stp>
        <tr r="P68" s="12"/>
      </tp>
      <tp t="e">
        <v>#N/A</v>
        <stp/>
        <stp>BDH|4908206934124932526</stp>
        <tr r="Y103" s="12"/>
      </tp>
      <tp t="e">
        <v>#N/A</v>
        <stp/>
        <stp>BDH|5313773879774921525</stp>
        <tr r="G70" s="34"/>
      </tp>
      <tp t="e">
        <v>#N/A</v>
        <stp/>
        <stp>BDH|3998201830771659798</stp>
        <tr r="F24" s="21"/>
      </tp>
      <tp t="e">
        <v>#N/A</v>
        <stp/>
        <stp>BDH|3574066935147311333</stp>
        <tr r="V91" s="17"/>
      </tp>
      <tp t="e">
        <v>#N/A</v>
        <stp/>
        <stp>BDH|2871011680878889674</stp>
        <tr r="K20" s="10"/>
      </tp>
      <tp t="e">
        <v>#N/A</v>
        <stp/>
        <stp>BDH|5095439351442553214</stp>
        <tr r="M8" s="23"/>
      </tp>
      <tp t="e">
        <v>#N/A</v>
        <stp/>
        <stp>BDH|4046512061160063364</stp>
        <tr r="U11" s="30"/>
      </tp>
      <tp t="e">
        <v>#N/A</v>
        <stp/>
        <stp>BDH|5279571400192357607</stp>
        <tr r="V29" s="21"/>
      </tp>
      <tp t="e">
        <v>#N/A</v>
        <stp/>
        <stp>BDH|7082258096528288078</stp>
        <tr r="S82" s="24"/>
      </tp>
      <tp t="e">
        <v>#N/A</v>
        <stp/>
        <stp>BDH|9280050392016548268</stp>
        <tr r="M206" s="18"/>
      </tp>
      <tp t="e">
        <v>#N/A</v>
        <stp/>
        <stp>BDH|6533720952664608452</stp>
        <tr r="I42" s="11"/>
        <tr r="I51" s="10"/>
        <tr r="I14" s="7"/>
        <tr r="K9" s="3"/>
      </tp>
      <tp t="e">
        <v>#N/A</v>
        <stp/>
        <stp>BDH|9935787407679931396</stp>
        <tr r="L64" s="24"/>
      </tp>
      <tp t="e">
        <v>#N/A</v>
        <stp/>
        <stp>BDH|4805519428757107069</stp>
        <tr r="Z197" s="18"/>
      </tp>
      <tp t="e">
        <v>#N/A</v>
        <stp/>
        <stp>BDH|3907359070187861429</stp>
        <tr r="W25" s="17"/>
      </tp>
      <tp t="e">
        <v>#N/A</v>
        <stp/>
        <stp>BDH|8853690921420672801</stp>
        <tr r="R72" s="12"/>
      </tp>
      <tp t="e">
        <v>#N/A</v>
        <stp/>
        <stp>BDH|7760679717816270236</stp>
        <tr r="E152" s="18"/>
      </tp>
      <tp t="e">
        <v>#N/A</v>
        <stp/>
        <stp>BDH|8711350344248927398</stp>
        <tr r="N14" s="18"/>
      </tp>
      <tp t="e">
        <v>#N/A</v>
        <stp/>
        <stp>BDH|2390699758433547619</stp>
        <tr r="G193" s="18"/>
      </tp>
      <tp t="e">
        <v>#N/A</v>
        <stp/>
        <stp>BDH|4939724254896077490</stp>
        <tr r="N35" s="18"/>
      </tp>
      <tp t="e">
        <v>#N/A</v>
        <stp/>
        <stp>BDH|9517474487622524369</stp>
        <tr r="S36" s="21"/>
      </tp>
      <tp t="e">
        <v>#N/A</v>
        <stp/>
        <stp>BDH|7275041718873973111</stp>
        <tr r="D172" s="18"/>
      </tp>
      <tp t="e">
        <v>#N/A</v>
        <stp/>
        <stp>BDH|6737149845474245322</stp>
        <tr r="L34" s="14"/>
      </tp>
      <tp t="e">
        <v>#N/A</v>
        <stp/>
        <stp>BDH|4130214917964510747</stp>
        <tr r="P22" s="7"/>
      </tp>
      <tp t="e">
        <v>#N/A</v>
        <stp/>
        <stp>BDH|9285463934829380350</stp>
        <tr r="X201" s="18"/>
      </tp>
      <tp t="e">
        <v>#N/A</v>
        <stp/>
        <stp>BDH|4652220610422187133</stp>
        <tr r="C29" s="17"/>
      </tp>
      <tp t="e">
        <v>#N/A</v>
        <stp/>
        <stp>BDH|4417907436988268263</stp>
        <tr r="V22" s="20"/>
      </tp>
      <tp t="e">
        <v>#N/A</v>
        <stp/>
        <stp>BDH|1149187700107966369</stp>
        <tr r="AA21" s="34"/>
      </tp>
      <tp t="e">
        <v>#N/A</v>
        <stp/>
        <stp>BDH|1036049007121571400</stp>
        <tr r="Q34" s="9"/>
      </tp>
      <tp t="e">
        <v>#N/A</v>
        <stp/>
        <stp>BDH|7824189432208160953</stp>
        <tr r="Z34" s="29"/>
      </tp>
      <tp t="e">
        <v>#N/A</v>
        <stp/>
        <stp>BDH|2396018394796523958</stp>
        <tr r="U13" s="26"/>
      </tp>
      <tp t="e">
        <v>#N/A</v>
        <stp/>
        <stp>BDH|3040925494982169511</stp>
        <tr r="I53" s="13"/>
      </tp>
      <tp t="e">
        <v>#N/A</v>
        <stp/>
        <stp>BDH|1101667034550488015</stp>
        <tr r="J28" s="17"/>
      </tp>
      <tp t="e">
        <v>#N/A</v>
        <stp/>
        <stp>BDH|2197330650851269168</stp>
        <tr r="T9" s="27"/>
      </tp>
      <tp t="e">
        <v>#N/A</v>
        <stp/>
        <stp>BDH|9714292829175941889</stp>
        <tr r="P12" s="20"/>
        <tr r="P121" s="18"/>
      </tp>
      <tp t="e">
        <v>#N/A</v>
        <stp/>
        <stp>BDH|3870684083181422801</stp>
        <tr r="AA46" s="21"/>
      </tp>
      <tp t="e">
        <v>#N/A</v>
        <stp/>
        <stp>BDH|7836079269164780163</stp>
        <tr r="K47" s="17"/>
      </tp>
      <tp t="e">
        <v>#N/A</v>
        <stp/>
        <stp>BDH|9491006856349353169</stp>
        <tr r="S13" s="9"/>
      </tp>
      <tp t="e">
        <v>#N/A</v>
        <stp/>
        <stp>BDH|5788632119410871629</stp>
        <tr r="V61" s="17"/>
      </tp>
      <tp t="e">
        <v>#N/A</v>
        <stp/>
        <stp>BDH|6260477276840097143</stp>
        <tr r="F30" s="18"/>
      </tp>
      <tp t="e">
        <v>#N/A</v>
        <stp/>
        <stp>BDH|3345044819123807512</stp>
        <tr r="K10" s="13"/>
      </tp>
      <tp t="e">
        <v>#N/A</v>
        <stp/>
        <stp>BDH|3284004591866543812</stp>
        <tr r="C79" s="18"/>
      </tp>
      <tp t="e">
        <v>#N/A</v>
        <stp/>
        <stp>BDH|5133733015070621760</stp>
        <tr r="M40" s="24"/>
      </tp>
      <tp t="e">
        <v>#N/A</v>
        <stp/>
        <stp>BDH|4794726264838063963</stp>
        <tr r="AA166" s="18"/>
      </tp>
      <tp t="e">
        <v>#N/A</v>
        <stp/>
        <stp>BDH|5788012309042801308</stp>
        <tr r="T56" s="17"/>
      </tp>
      <tp t="e">
        <v>#N/A</v>
        <stp/>
        <stp>BDH|9030956456578524917</stp>
        <tr r="K75" s="12"/>
      </tp>
      <tp t="e">
        <v>#N/A</v>
        <stp/>
        <stp>BDH|7600975874475037827</stp>
        <tr r="M204" s="18"/>
      </tp>
      <tp t="e">
        <v>#N/A</v>
        <stp/>
        <stp>BDH|5714763161030525024</stp>
        <tr r="C43" s="11"/>
        <tr r="C52" s="10"/>
        <tr r="C15" s="7"/>
      </tp>
      <tp t="e">
        <v>#N/A</v>
        <stp/>
        <stp>BDH|1975199443248518819</stp>
        <tr r="R13" s="20"/>
        <tr r="R122" s="18"/>
      </tp>
      <tp t="e">
        <v>#N/A</v>
        <stp/>
        <stp>BDH|1934477923505936636</stp>
        <tr r="O17" s="13"/>
      </tp>
      <tp t="e">
        <v>#N/A</v>
        <stp/>
        <stp>BDH|7516095216535534785</stp>
        <tr r="E24" s="24"/>
      </tp>
      <tp t="e">
        <v>#N/A</v>
        <stp/>
        <stp>BDH|4733671019920893764</stp>
        <tr r="F7" s="11"/>
      </tp>
      <tp t="e">
        <v>#N/A</v>
        <stp/>
        <stp>BDH|5316641994518713632</stp>
        <tr r="D71" s="34"/>
      </tp>
      <tp t="e">
        <v>#N/A</v>
        <stp/>
        <stp>BDH|8739480967108969662</stp>
        <tr r="N106" s="18"/>
      </tp>
      <tp t="e">
        <v>#N/A</v>
        <stp/>
        <stp>BDH|4630113264590711732</stp>
        <tr r="L92" s="17"/>
      </tp>
      <tp t="e">
        <v>#N/A</v>
        <stp/>
        <stp>BDH|3100444665441219457</stp>
        <tr r="S47" s="21"/>
      </tp>
      <tp t="e">
        <v>#N/A</v>
        <stp/>
        <stp>BDH|2389347208575819002</stp>
        <tr r="V70" s="24"/>
      </tp>
      <tp t="e">
        <v>#N/A</v>
        <stp/>
        <stp>BDH|5025134263062494436</stp>
        <tr r="W9" s="14"/>
      </tp>
      <tp t="e">
        <v>#N/A</v>
        <stp/>
        <stp>BDH|5971223724818935916</stp>
        <tr r="V30" s="21"/>
      </tp>
      <tp t="e">
        <v>#N/A</v>
        <stp/>
        <stp>BDH|3901467058805679361</stp>
        <tr r="Y10" s="14"/>
      </tp>
      <tp t="e">
        <v>#N/A</v>
        <stp/>
        <stp>BDH|6730274044852118626</stp>
        <tr r="E20" s="29"/>
      </tp>
      <tp t="e">
        <v>#N/A</v>
        <stp/>
        <stp>BDH|3084675604660632123</stp>
        <tr r="H98" s="17"/>
      </tp>
      <tp t="e">
        <v>#N/A</v>
        <stp/>
        <stp>BDH|4483150202520442102</stp>
        <tr r="V21" s="17"/>
      </tp>
      <tp t="e">
        <v>#N/A</v>
        <stp/>
        <stp>BDH|4814129911692936256</stp>
        <tr r="T56" s="11"/>
        <tr r="T24" s="4"/>
      </tp>
      <tp t="e">
        <v>#N/A</v>
        <stp/>
        <stp>BDH|7495302341237529370</stp>
        <tr r="F9" s="10"/>
      </tp>
      <tp t="e">
        <v>#N/A</v>
        <stp/>
        <stp>BDH|5668730615912206554</stp>
        <tr r="O79" s="18"/>
      </tp>
      <tp t="e">
        <v>#N/A</v>
        <stp/>
        <stp>BDH|6275769422200777761</stp>
        <tr r="T59" s="17"/>
      </tp>
      <tp t="e">
        <v>#N/A</v>
        <stp/>
        <stp>BDH|5981884884002275301</stp>
        <tr r="S47" s="24"/>
      </tp>
      <tp t="e">
        <v>#N/A</v>
        <stp/>
        <stp>BDH|4762239549246848023</stp>
        <tr r="V58" s="34"/>
      </tp>
      <tp t="e">
        <v>#N/A</v>
        <stp/>
        <stp>BDH|4141899162716554882</stp>
        <tr r="Q63" s="21"/>
      </tp>
      <tp t="e">
        <v>#N/A</v>
        <stp/>
        <stp>BDH|3181724537570379303</stp>
        <tr r="I16" s="23"/>
      </tp>
      <tp t="e">
        <v>#N/A</v>
        <stp/>
        <stp>BDH|3856159339882489770</stp>
        <tr r="E25" s="13"/>
      </tp>
      <tp t="e">
        <v>#N/A</v>
        <stp/>
        <stp>BDH|3448672635464385626</stp>
        <tr r="W37" s="34"/>
      </tp>
      <tp t="e">
        <v>#N/A</v>
        <stp/>
        <stp>BDH|2986602212790577196</stp>
        <tr r="C8" s="17"/>
      </tp>
      <tp t="e">
        <v>#N/A</v>
        <stp/>
        <stp>BDH|7552446172835656521</stp>
        <tr r="V6" s="28"/>
      </tp>
      <tp t="e">
        <v>#N/A</v>
        <stp/>
        <stp>BDH|6336852046956152862</stp>
        <tr r="O43" s="13"/>
        <tr r="M35" s="11"/>
        <tr r="M44" s="10"/>
        <tr r="M52" s="4"/>
        <tr r="O8" s="3"/>
      </tp>
      <tp t="e">
        <v>#N/A</v>
        <stp/>
        <stp>BDH|8412452504521704959</stp>
        <tr r="G155" s="18"/>
      </tp>
      <tp t="e">
        <v>#N/A</v>
        <stp/>
        <stp>BDH|9881344428275177927</stp>
        <tr r="P33" s="13"/>
        <tr r="N26" s="10"/>
      </tp>
      <tp t="e">
        <v>#N/A</v>
        <stp/>
        <stp>BDH|1304667722951154015</stp>
        <tr r="P16" s="22"/>
      </tp>
      <tp t="e">
        <v>#N/A</v>
        <stp/>
        <stp>BDH|7713360130213099064</stp>
        <tr r="H41" s="6"/>
        <tr r="H18" s="5"/>
      </tp>
      <tp t="e">
        <v>#N/A</v>
        <stp/>
        <stp>BDH|2920084027247761353</stp>
        <tr r="F15" s="11"/>
      </tp>
      <tp t="e">
        <v>#N/A</v>
        <stp/>
        <stp>BDH|2609857377481557856</stp>
        <tr r="AA36" s="14"/>
      </tp>
      <tp t="e">
        <v>#N/A</v>
        <stp/>
        <stp>BDH|1153334644120667246</stp>
        <tr r="P48" s="24"/>
      </tp>
      <tp t="e">
        <v>#N/A</v>
        <stp/>
        <stp>BDH|3194449836097187768</stp>
        <tr r="F115" s="18"/>
      </tp>
      <tp t="e">
        <v>#N/A</v>
        <stp/>
        <stp>BDH|3168792246542983639</stp>
        <tr r="V70" s="17"/>
        <tr r="V18" s="3"/>
      </tp>
      <tp t="e">
        <v>#N/A</v>
        <stp/>
        <stp>BDH|2966596966204520170</stp>
        <tr r="L11" s="10"/>
        <tr r="L14" s="2"/>
      </tp>
      <tp t="e">
        <v>#N/A</v>
        <stp/>
        <stp>BDH|3476403432294012427</stp>
        <tr r="Q9" s="24"/>
      </tp>
      <tp t="e">
        <v>#N/A</v>
        <stp/>
        <stp>BDH|9407561581572600217</stp>
        <tr r="W44" s="12"/>
      </tp>
      <tp t="e">
        <v>#N/A</v>
        <stp/>
        <stp>BDH|8941467207889891141</stp>
        <tr r="H205" s="18"/>
      </tp>
      <tp t="e">
        <v>#N/A</v>
        <stp/>
        <stp>BDH|5118734508454904273</stp>
        <tr r="Q6" s="20"/>
        <tr r="Q116" s="18"/>
      </tp>
      <tp t="e">
        <v>#N/A</v>
        <stp/>
        <stp>BDH|4799049141737011364</stp>
        <tr r="V74" s="24"/>
      </tp>
      <tp t="e">
        <v>#N/A</v>
        <stp/>
        <stp>BDH|2668477450084472313</stp>
        <tr r="R68" s="34"/>
      </tp>
      <tp t="e">
        <v>#N/A</v>
        <stp/>
        <stp>BDH|8186518195460111000</stp>
        <tr r="C24" s="29"/>
      </tp>
      <tp t="e">
        <v>#N/A</v>
        <stp/>
        <stp>BDH|5599770353033051059</stp>
        <tr r="P33" s="11"/>
        <tr r="P42" s="10"/>
      </tp>
      <tp t="e">
        <v>#N/A</v>
        <stp/>
        <stp>BDH|7215603333301201775</stp>
        <tr r="I9" s="12"/>
      </tp>
      <tp t="e">
        <v>#N/A</v>
        <stp/>
        <stp>BDH|4591172964382141538</stp>
        <tr r="J13" s="34"/>
      </tp>
      <tp t="e">
        <v>#N/A</v>
        <stp/>
        <stp>BDH|6078622147354243436</stp>
        <tr r="G68" s="24"/>
      </tp>
      <tp t="e">
        <v>#N/A</v>
        <stp/>
        <stp>BDH|7528521942535164707</stp>
        <tr r="T31" s="11"/>
        <tr r="T40" s="10"/>
      </tp>
      <tp t="e">
        <v>#N/A</v>
        <stp/>
        <stp>BDH|8310823490378514507</stp>
        <tr r="J19" s="9"/>
      </tp>
      <tp t="e">
        <v>#N/A</v>
        <stp/>
        <stp>BDH|4928064968742404476</stp>
        <tr r="H19" s="28"/>
        <tr r="H16" s="17"/>
      </tp>
      <tp t="e">
        <v>#N/A</v>
        <stp/>
        <stp>BDH|4510617866006282649</stp>
        <tr r="AA32" s="24"/>
      </tp>
      <tp t="e">
        <v>#N/A</v>
        <stp/>
        <stp>BDH|2067828655819514261</stp>
        <tr r="H40" s="22"/>
      </tp>
      <tp t="e">
        <v>#N/A</v>
        <stp/>
        <stp>BDH|6777066864237968383</stp>
        <tr r="D81" s="18"/>
      </tp>
      <tp t="e">
        <v>#N/A</v>
        <stp/>
        <stp>BDH|5534360867120048400</stp>
        <tr r="E24" s="27"/>
      </tp>
      <tp t="e">
        <v>#N/A</v>
        <stp/>
        <stp>BDH|8237560961467896898</stp>
        <tr r="Y11" s="22"/>
      </tp>
      <tp t="e">
        <v>#N/A</v>
        <stp/>
        <stp>BDH|4345999669067370843</stp>
        <tr r="Q70" s="12"/>
      </tp>
      <tp t="e">
        <v>#N/A</v>
        <stp/>
        <stp>BDH|4991283145037574154</stp>
        <tr r="H206" s="18"/>
      </tp>
      <tp t="e">
        <v>#N/A</v>
        <stp/>
        <stp>BDH|8997585496594094439</stp>
        <tr r="F102" s="18"/>
      </tp>
      <tp t="e">
        <v>#N/A</v>
        <stp/>
        <stp>BDH|1323113449784995467</stp>
        <tr r="S53" s="18"/>
      </tp>
      <tp t="e">
        <v>#N/A</v>
        <stp/>
        <stp>BDH|3892055563666902731</stp>
        <tr r="U39" s="26"/>
      </tp>
      <tp t="e">
        <v>#N/A</v>
        <stp/>
        <stp>BDH|6974420454892847130</stp>
        <tr r="S160" s="18"/>
      </tp>
      <tp t="e">
        <v>#N/A</v>
        <stp/>
        <stp>BDH|3439226152598886882</stp>
        <tr r="Z53" s="24"/>
      </tp>
      <tp t="e">
        <v>#N/A</v>
        <stp/>
        <stp>BDH|1236621222335787413</stp>
        <tr r="K14" s="11"/>
      </tp>
      <tp t="e">
        <v>#N/A</v>
        <stp/>
        <stp>BDH|9420802870655347738</stp>
        <tr r="Z37" s="29"/>
        <tr r="Z23" s="29"/>
        <tr r="Z14" s="29"/>
      </tp>
      <tp t="e">
        <v>#N/A</v>
        <stp/>
        <stp>BDH|5551358757766225115</stp>
        <tr r="H12" s="6"/>
      </tp>
      <tp t="e">
        <v>#N/A</v>
        <stp/>
        <stp>BDH|5929247818875974787</stp>
        <tr r="X28" s="17"/>
      </tp>
      <tp t="e">
        <v>#N/A</v>
        <stp/>
        <stp>BDH|1962661307804431780</stp>
        <tr r="Z26" s="34"/>
      </tp>
      <tp t="e">
        <v>#N/A</v>
        <stp/>
        <stp>BDH|9649958503026463206</stp>
        <tr r="Y60" s="11"/>
      </tp>
      <tp t="e">
        <v>#N/A</v>
        <stp/>
        <stp>BDH|5538767472171484011</stp>
        <tr r="AA23" s="22"/>
      </tp>
      <tp t="e">
        <v>#N/A</v>
        <stp/>
        <stp>BDH|5592606191538715674</stp>
        <tr r="M51" s="18"/>
      </tp>
      <tp t="e">
        <v>#N/A</v>
        <stp/>
        <stp>BDH|8338053495001179468</stp>
        <tr r="R18" s="9"/>
      </tp>
      <tp t="e">
        <v>#N/A</v>
        <stp/>
        <stp>BDH|4785653729213861770</stp>
        <tr r="I42" s="6"/>
      </tp>
      <tp t="e">
        <v>#N/A</v>
        <stp/>
        <stp>BDH|1091873807149724436</stp>
        <tr r="K57" s="34"/>
      </tp>
      <tp t="e">
        <v>#N/A</v>
        <stp/>
        <stp>BDH|9227684402902461987</stp>
        <tr r="F57" s="24"/>
      </tp>
      <tp t="e">
        <v>#N/A</v>
        <stp/>
        <stp>BDH|7353469874980311075</stp>
        <tr r="X23" s="10"/>
      </tp>
      <tp t="e">
        <v>#N/A</v>
        <stp/>
        <stp>BDH|8125847823172031436</stp>
        <tr r="T31" s="29"/>
      </tp>
      <tp t="e">
        <v>#N/A</v>
        <stp/>
        <stp>BDH|8814474049658030430</stp>
        <tr r="T54" s="13"/>
      </tp>
      <tp t="e">
        <v>#N/A</v>
        <stp/>
        <stp>BDH|7856063005702753197</stp>
        <tr r="D18" s="24"/>
      </tp>
      <tp t="e">
        <v>#N/A</v>
        <stp/>
        <stp>BDH|1352150427623575517</stp>
        <tr r="F14" s="24"/>
      </tp>
      <tp t="e">
        <v>#N/A</v>
        <stp/>
        <stp>BDH|6923028619822539122</stp>
        <tr r="I107" s="12"/>
      </tp>
      <tp t="e">
        <v>#N/A</v>
        <stp/>
        <stp>BDH|3478046608282882559</stp>
        <tr r="E63" s="12"/>
      </tp>
      <tp t="e">
        <v>#N/A</v>
        <stp/>
        <stp>BDH|5727433754056761625</stp>
        <tr r="J46" s="21"/>
      </tp>
      <tp t="e">
        <v>#N/A</v>
        <stp/>
        <stp>BDH|8433921658190888039</stp>
        <tr r="P51" s="24"/>
      </tp>
      <tp t="e">
        <v>#N/A</v>
        <stp/>
        <stp>BDH|1319606855566525062</stp>
        <tr r="R24" s="9"/>
      </tp>
      <tp t="e">
        <v>#N/A</v>
        <stp/>
        <stp>BDH|3701010071347327713</stp>
        <tr r="P16" s="11"/>
      </tp>
      <tp t="e">
        <v>#N/A</v>
        <stp/>
        <stp>BDH|6319302640537123271</stp>
        <tr r="L13" s="11"/>
      </tp>
      <tp t="e">
        <v>#N/A</v>
        <stp/>
        <stp>BDH|6235672871452932183</stp>
        <tr r="U81" s="34"/>
      </tp>
      <tp t="e">
        <v>#N/A</v>
        <stp/>
        <stp>BDH|3134693338816281474</stp>
        <tr r="L8" s="27"/>
      </tp>
      <tp t="e">
        <v>#N/A</v>
        <stp/>
        <stp>BDH|5491442971506499403</stp>
        <tr r="Z74" s="24"/>
      </tp>
      <tp t="e">
        <v>#N/A</v>
        <stp/>
        <stp>BDH|3474230853332558246</stp>
        <tr r="H13" s="10"/>
      </tp>
      <tp t="e">
        <v>#N/A</v>
        <stp/>
        <stp>BDH|2567690243227844327</stp>
        <tr r="I12" s="10"/>
      </tp>
      <tp t="e">
        <v>#N/A</v>
        <stp/>
        <stp>BDH|5093791613502829578</stp>
        <tr r="Z28" s="22"/>
      </tp>
      <tp t="e">
        <v>#N/A</v>
        <stp/>
        <stp>BDH|9325701800122472822</stp>
        <tr r="F61" s="17"/>
      </tp>
      <tp t="e">
        <v>#N/A</v>
        <stp/>
        <stp>BDH|2356041612083813482</stp>
        <tr r="S23" s="13"/>
      </tp>
      <tp t="e">
        <v>#N/A</v>
        <stp/>
        <stp>BDH|7434531706223024544</stp>
        <tr r="D103" s="12"/>
      </tp>
      <tp t="e">
        <v>#N/A</v>
        <stp/>
        <stp>BDH|7026741447526766616</stp>
        <tr r="M21" s="27"/>
      </tp>
      <tp t="e">
        <v>#N/A</v>
        <stp/>
        <stp>BDH|1076449100250637176</stp>
        <tr r="AA202" s="18"/>
      </tp>
      <tp t="e">
        <v>#N/A</v>
        <stp/>
        <stp>BDH|5503637617777797130</stp>
        <tr r="W157" s="18"/>
      </tp>
      <tp t="e">
        <v>#N/A</v>
        <stp/>
        <stp>BDH|6213510073863250375</stp>
        <tr r="L23" s="23"/>
      </tp>
      <tp t="e">
        <v>#N/A</v>
        <stp/>
        <stp>BDH|2740174513025686301</stp>
        <tr r="I32" s="18"/>
      </tp>
      <tp t="e">
        <v>#N/A</v>
        <stp/>
        <stp>BDH|2527179055101015322</stp>
        <tr r="M29" s="18"/>
      </tp>
      <tp t="e">
        <v>#N/A</v>
        <stp/>
        <stp>BDH|4814163896169994143</stp>
        <tr r="N8" s="8"/>
      </tp>
      <tp t="e">
        <v>#N/A</v>
        <stp/>
        <stp>BDH|3798172506476500066</stp>
        <tr r="H38" s="12"/>
      </tp>
      <tp t="e">
        <v>#N/A</v>
        <stp/>
        <stp>BDH|9347368981827857198</stp>
        <tr r="Q38" s="25"/>
      </tp>
      <tp t="e">
        <v>#N/A</v>
        <stp/>
        <stp>BDH|4730873413151695800</stp>
        <tr r="T24" s="13"/>
      </tp>
      <tp t="e">
        <v>#N/A</v>
        <stp/>
        <stp>BDH|8946935148466646719</stp>
        <tr r="D42" s="24"/>
      </tp>
      <tp t="e">
        <v>#N/A</v>
        <stp/>
        <stp>BDH|6418391028585580655</stp>
        <tr r="N162" s="18"/>
      </tp>
      <tp t="e">
        <v>#N/A</v>
        <stp/>
        <stp>BDH|6148867720641659948</stp>
        <tr r="S62" s="18"/>
      </tp>
      <tp t="e">
        <v>#N/A</v>
        <stp/>
        <stp>BDH|8923050961013098983</stp>
        <tr r="N35" s="24"/>
      </tp>
      <tp t="e">
        <v>#N/A</v>
        <stp/>
        <stp>BDH|3838388542309243954</stp>
        <tr r="R87" s="12"/>
      </tp>
      <tp t="e">
        <v>#N/A</v>
        <stp/>
        <stp>BDH|1135189854209142894</stp>
        <tr r="G8" s="6"/>
      </tp>
      <tp t="e">
        <v>#N/A</v>
        <stp/>
        <stp>BDH|8153734898721796387</stp>
        <tr r="E21" s="24"/>
      </tp>
      <tp t="e">
        <v>#N/A</v>
        <stp/>
        <stp>BDH|7058734452246092742</stp>
        <tr r="U107" s="18"/>
      </tp>
      <tp t="e">
        <v>#N/A</v>
        <stp/>
        <stp>BDH|7420507710090895794</stp>
        <tr r="AA10" s="26"/>
      </tp>
      <tp t="e">
        <v>#N/A</v>
        <stp/>
        <stp>BDH|3631082354172828079</stp>
        <tr r="P52" s="13"/>
      </tp>
      <tp t="e">
        <v>#N/A</v>
        <stp/>
        <stp>BDH|9254976024082118458</stp>
        <tr r="E26" s="21"/>
      </tp>
      <tp t="e">
        <v>#N/A</v>
        <stp/>
        <stp>BDH|8213771491785352728</stp>
        <tr r="M72" s="24"/>
      </tp>
      <tp t="e">
        <v>#N/A</v>
        <stp/>
        <stp>BDH|7691734552211011023</stp>
        <tr r="M16" s="28"/>
        <tr r="M13" s="17"/>
      </tp>
      <tp t="e">
        <v>#N/A</v>
        <stp/>
        <stp>BDH|5251011160351624608</stp>
        <tr r="P51" s="21"/>
      </tp>
      <tp t="e">
        <v>#N/A</v>
        <stp/>
        <stp>BDH|9078283858062284871</stp>
        <tr r="Z92" s="24"/>
      </tp>
      <tp t="e">
        <v>#N/A</v>
        <stp/>
        <stp>BDH|6632072906332060029</stp>
        <tr r="O71" s="12"/>
      </tp>
      <tp t="e">
        <v>#N/A</v>
        <stp/>
        <stp>BDH|2405200685338260469</stp>
        <tr r="O36" s="34"/>
      </tp>
      <tp t="e">
        <v>#N/A</v>
        <stp/>
        <stp>BDH|3485371207356341222</stp>
        <tr r="W68" s="17"/>
      </tp>
      <tp t="e">
        <v>#N/A</v>
        <stp/>
        <stp>BDH|7549535924044563028</stp>
        <tr r="W35" s="18"/>
      </tp>
      <tp t="e">
        <v>#N/A</v>
        <stp/>
        <stp>BDH|3609871937429691553</stp>
        <tr r="T22" s="18"/>
      </tp>
      <tp t="e">
        <v>#N/A</v>
        <stp/>
        <stp>BDH|3855795731193688036</stp>
        <tr r="D10" s="21"/>
      </tp>
      <tp t="e">
        <v>#N/A</v>
        <stp/>
        <stp>BDH|3174461234836678606</stp>
        <tr r="H7" s="24"/>
      </tp>
      <tp t="e">
        <v>#N/A</v>
        <stp/>
        <stp>BDH|4189077671531636646</stp>
        <tr r="J184" s="18"/>
      </tp>
      <tp t="e">
        <v>#N/A</v>
        <stp/>
        <stp>BDH|1624829991390722474</stp>
        <tr r="Z18" s="13"/>
      </tp>
      <tp t="e">
        <v>#N/A</v>
        <stp/>
        <stp>BDH|2600139774771290169</stp>
        <tr r="W64" s="34"/>
      </tp>
      <tp t="e">
        <v>#N/A</v>
        <stp/>
        <stp>BDH|1024809874142079813</stp>
        <tr r="L11" s="13"/>
      </tp>
      <tp t="e">
        <v>#N/A</v>
        <stp/>
        <stp>BDH|53735781394486232</stp>
        <tr r="N15" s="4"/>
      </tp>
      <tp t="e">
        <v>#N/A</v>
        <stp/>
        <stp>BDH|59349355989056646</stp>
        <tr r="V94" s="12"/>
      </tp>
      <tp t="e">
        <v>#N/A</v>
        <stp/>
        <stp>BDH|37839071097012107</stp>
        <tr r="R53" s="18"/>
      </tp>
      <tp t="e">
        <v>#N/A</v>
        <stp/>
        <stp>BDH|41823024796246565</stp>
        <tr r="G16" s="11"/>
      </tp>
      <tp t="e">
        <v>#N/A</v>
        <stp/>
        <stp>BDH|53924642476832262</stp>
        <tr r="X24" s="29"/>
      </tp>
      <tp t="e">
        <v>#N/A</v>
        <stp/>
        <stp>BDH|4261117479086159115</stp>
        <tr r="J18" s="20"/>
      </tp>
      <tp t="e">
        <v>#N/A</v>
        <stp/>
        <stp>BDH|4920633960135643465</stp>
        <tr r="S27" s="17"/>
      </tp>
      <tp t="e">
        <v>#N/A</v>
        <stp/>
        <stp>BDH|8093508400069934132</stp>
        <tr r="G36" s="14"/>
      </tp>
      <tp t="e">
        <v>#N/A</v>
        <stp/>
        <stp>BDH|5125633659805791660</stp>
        <tr r="P159" s="18"/>
      </tp>
      <tp t="e">
        <v>#N/A</v>
        <stp/>
        <stp>BDH|5916951433319550306</stp>
        <tr r="K11" s="10"/>
        <tr r="K14" s="2"/>
      </tp>
      <tp t="e">
        <v>#N/A</v>
        <stp/>
        <stp>BDH|1414695076187158203</stp>
        <tr r="P114" s="18"/>
      </tp>
      <tp t="e">
        <v>#N/A</v>
        <stp/>
        <stp>BDH|6471237637303263186</stp>
        <tr r="W11" s="29"/>
      </tp>
      <tp t="e">
        <v>#N/A</v>
        <stp/>
        <stp>BDH|8098281231459593566</stp>
        <tr r="V13" s="11"/>
      </tp>
      <tp t="e">
        <v>#N/A</v>
        <stp/>
        <stp>BDH|3772070529095307104</stp>
        <tr r="J90" s="17"/>
      </tp>
      <tp t="e">
        <v>#N/A</v>
        <stp/>
        <stp>BDH|9707785938739469196</stp>
        <tr r="H10" s="25"/>
        <tr r="H55" s="17"/>
      </tp>
      <tp t="e">
        <v>#N/A</v>
        <stp/>
        <stp>BDH|7403065170267961213</stp>
        <tr r="W83" s="18"/>
      </tp>
      <tp t="e">
        <v>#N/A</v>
        <stp/>
        <stp>BDH|5479109277115958308</stp>
        <tr r="R145" s="18"/>
      </tp>
      <tp t="e">
        <v>#N/A</v>
        <stp/>
        <stp>BDH|2205682893209341101</stp>
        <tr r="D29" s="29"/>
        <tr r="D7" s="29"/>
      </tp>
      <tp t="e">
        <v>#N/A</v>
        <stp/>
        <stp>BDH|3932049857825303637</stp>
        <tr r="Q106" s="12"/>
      </tp>
      <tp t="e">
        <v>#N/A</v>
        <stp/>
        <stp>BDH|6023507368307576775</stp>
        <tr r="O19" s="26"/>
      </tp>
      <tp t="e">
        <v>#N/A</v>
        <stp/>
        <stp>BDH|7209194451401208727</stp>
        <tr r="I83" s="24"/>
      </tp>
      <tp t="e">
        <v>#N/A</v>
        <stp/>
        <stp>BDH|5597378509114622775</stp>
        <tr r="G31" s="24"/>
      </tp>
      <tp t="e">
        <v>#N/A</v>
        <stp/>
        <stp>BDH|3906343932266417017</stp>
        <tr r="I6" s="15"/>
        <tr r="I6" s="10"/>
        <tr r="I11" s="4"/>
        <tr r="I12" s="2"/>
      </tp>
      <tp t="e">
        <v>#N/A</v>
        <stp/>
        <stp>BDH|6708505659987038448</stp>
        <tr r="H212" s="18"/>
      </tp>
      <tp t="e">
        <v>#N/A</v>
        <stp/>
        <stp>BDH|1918126713451202504</stp>
        <tr r="W9" s="8"/>
        <tr r="U52" s="6"/>
      </tp>
      <tp t="e">
        <v>#N/A</v>
        <stp/>
        <stp>BDH|8751799811063125849</stp>
        <tr r="Q17" s="12"/>
      </tp>
      <tp t="e">
        <v>#N/A</v>
        <stp/>
        <stp>BDH|9580050427888528684</stp>
        <tr r="E60" s="13"/>
      </tp>
      <tp t="e">
        <v>#N/A</v>
        <stp/>
        <stp>BDH|2833722260417203123</stp>
        <tr r="J22" s="12"/>
      </tp>
      <tp t="e">
        <v>#N/A</v>
        <stp/>
        <stp>BDH|7282331089309502073</stp>
        <tr r="G60" s="34"/>
      </tp>
      <tp t="e">
        <v>#N/A</v>
        <stp/>
        <stp>BDH|9701513412458663089</stp>
        <tr r="E40" s="17"/>
      </tp>
      <tp t="e">
        <v>#N/A</v>
        <stp/>
        <stp>BDH|1560681937351985094</stp>
        <tr r="J129" s="18"/>
      </tp>
      <tp t="e">
        <v>#N/A</v>
        <stp/>
        <stp>BDH|3197017977180960142</stp>
        <tr r="L70" s="24"/>
      </tp>
      <tp t="e">
        <v>#N/A</v>
        <stp/>
        <stp>BDH|6200230009329480860</stp>
        <tr r="D77" s="34"/>
      </tp>
      <tp t="e">
        <v>#N/A</v>
        <stp/>
        <stp>BDH|7030497811461695642</stp>
        <tr r="U31" s="17"/>
      </tp>
      <tp t="e">
        <v>#N/A</v>
        <stp/>
        <stp>BDH|5894558464836176524</stp>
        <tr r="T21" s="11"/>
      </tp>
      <tp t="e">
        <v>#N/A</v>
        <stp/>
        <stp>BDH|7835329281220834991</stp>
        <tr r="D28" s="24"/>
      </tp>
      <tp t="e">
        <v>#N/A</v>
        <stp/>
        <stp>BDH|4762444960922037192</stp>
        <tr r="D22" s="22"/>
      </tp>
      <tp t="e">
        <v>#N/A</v>
        <stp/>
        <stp>BDH|3030368741159466891</stp>
        <tr r="F42" s="22"/>
      </tp>
      <tp t="e">
        <v>#N/A</v>
        <stp/>
        <stp>BDH|3580343750130830034</stp>
        <tr r="V150" s="18"/>
      </tp>
      <tp t="e">
        <v>#N/A</v>
        <stp/>
        <stp>BDH|7777181486952268914</stp>
        <tr r="O57" s="17"/>
      </tp>
      <tp t="e">
        <v>#N/A</v>
        <stp/>
        <stp>BDH|2727241132832246493</stp>
        <tr r="F12" s="12"/>
      </tp>
      <tp t="e">
        <v>#N/A</v>
        <stp/>
        <stp>BDH|5304158718557755734</stp>
        <tr r="O32" s="12"/>
      </tp>
      <tp t="e">
        <v>#N/A</v>
        <stp/>
        <stp>BDH|5219124105133614299</stp>
        <tr r="L83" s="18"/>
      </tp>
      <tp t="e">
        <v>#N/A</v>
        <stp/>
        <stp>BDH|4403126766032217488</stp>
        <tr r="S20" s="27"/>
      </tp>
      <tp t="e">
        <v>#N/A</v>
        <stp/>
        <stp>BDH|1252226732933968613</stp>
        <tr r="Z167" s="18"/>
      </tp>
      <tp t="e">
        <v>#N/A</v>
        <stp/>
        <stp>BDH|5689430338147424034</stp>
        <tr r="N42" s="18"/>
      </tp>
      <tp t="e">
        <v>#N/A</v>
        <stp/>
        <stp>BDH|6042960278248386570</stp>
        <tr r="E30" s="14"/>
      </tp>
      <tp t="e">
        <v>#N/A</v>
        <stp/>
        <stp>BDH|3239383552664407468</stp>
        <tr r="Y43" s="18"/>
      </tp>
      <tp t="e">
        <v>#N/A</v>
        <stp/>
        <stp>BDH|5598681417303631466</stp>
        <tr r="AA27" s="34"/>
      </tp>
      <tp t="e">
        <v>#N/A</v>
        <stp/>
        <stp>BDH|4672708961739511987</stp>
        <tr r="P15" s="22"/>
      </tp>
      <tp t="e">
        <v>#N/A</v>
        <stp/>
        <stp>BDH|5043619572809072883</stp>
        <tr r="J21" s="6"/>
      </tp>
      <tp t="e">
        <v>#N/A</v>
        <stp/>
        <stp>BDH|1057214588798459662</stp>
        <tr r="M15" s="5"/>
      </tp>
      <tp t="e">
        <v>#N/A</v>
        <stp/>
        <stp>BDH|2262974895103955427</stp>
        <tr r="Z103" s="12"/>
      </tp>
      <tp t="e">
        <v>#N/A</v>
        <stp/>
        <stp>BDH|2837433235474567402</stp>
        <tr r="G59" s="17"/>
      </tp>
      <tp t="e">
        <v>#N/A</v>
        <stp/>
        <stp>BDH|6053137388643012905</stp>
        <tr r="V28" s="18"/>
      </tp>
      <tp t="e">
        <v>#N/A</v>
        <stp/>
        <stp>BDH|5637624864136902626</stp>
        <tr r="N15" s="18"/>
      </tp>
      <tp t="e">
        <v>#N/A</v>
        <stp/>
        <stp>BDH|1156635344646936046</stp>
        <tr r="Q72" s="12"/>
      </tp>
      <tp t="e">
        <v>#N/A</v>
        <stp/>
        <stp>BDH|8453915124165271384</stp>
        <tr r="D34" s="22"/>
      </tp>
      <tp t="e">
        <v>#N/A</v>
        <stp/>
        <stp>BDH|8100977168530651235</stp>
        <tr r="G8" s="11"/>
      </tp>
      <tp t="e">
        <v>#N/A</v>
        <stp/>
        <stp>BDH|2962253803162237765</stp>
        <tr r="Z10" s="8"/>
        <tr r="X53" s="6"/>
      </tp>
      <tp t="e">
        <v>#N/A</v>
        <stp/>
        <stp>BDH|8222276008486071965</stp>
        <tr r="P153" s="18"/>
      </tp>
      <tp t="e">
        <v>#N/A</v>
        <stp/>
        <stp>BDH|4251323002570908206</stp>
        <tr r="T6" s="15"/>
        <tr r="T6" s="10"/>
        <tr r="T11" s="4"/>
        <tr r="T12" s="2"/>
      </tp>
      <tp t="e">
        <v>#N/A</v>
        <stp/>
        <stp>BDH|7487511626833117694</stp>
        <tr r="G11" s="6"/>
      </tp>
      <tp t="e">
        <v>#N/A</v>
        <stp/>
        <stp>BDH|2159462091329429392</stp>
        <tr r="K20" s="14"/>
      </tp>
      <tp t="e">
        <v>#N/A</v>
        <stp/>
        <stp>BDH|5120562369277137445</stp>
        <tr r="O12" s="13"/>
      </tp>
      <tp t="e">
        <v>#N/A</v>
        <stp/>
        <stp>BDH|4155322443116808031</stp>
        <tr r="X38" s="34"/>
      </tp>
      <tp t="e">
        <v>#N/A</v>
        <stp/>
        <stp>BDH|7874703844053263255</stp>
        <tr r="I131" s="18"/>
      </tp>
      <tp t="e">
        <v>#N/A</v>
        <stp/>
        <stp>BDH|2912447945173389409</stp>
        <tr r="U37" s="34"/>
      </tp>
      <tp t="e">
        <v>#N/A</v>
        <stp/>
        <stp>BDH|6641093339013530382</stp>
        <tr r="T182" s="18"/>
      </tp>
      <tp t="e">
        <v>#N/A</v>
        <stp/>
        <stp>BDH|1245219819997290034</stp>
        <tr r="Z57" s="12"/>
      </tp>
      <tp t="e">
        <v>#N/A</v>
        <stp/>
        <stp>BDH|5570036219838730933</stp>
        <tr r="V50" s="21"/>
      </tp>
      <tp t="e">
        <v>#N/A</v>
        <stp/>
        <stp>BDH|5117092317873711233</stp>
        <tr r="K22" s="4"/>
      </tp>
      <tp t="e">
        <v>#N/A</v>
        <stp/>
        <stp>BDH|7046888046218745623</stp>
        <tr r="K157" s="18"/>
      </tp>
      <tp t="e">
        <v>#N/A</v>
        <stp/>
        <stp>BDH|8665841029585329238</stp>
        <tr r="R32" s="5"/>
      </tp>
      <tp t="e">
        <v>#N/A</v>
        <stp/>
        <stp>BDH|5570193966802728566</stp>
        <tr r="G48" s="34"/>
      </tp>
      <tp t="e">
        <v>#N/A</v>
        <stp/>
        <stp>BDH|8164745198887310452</stp>
        <tr r="T63" s="17"/>
      </tp>
      <tp t="e">
        <v>#N/A</v>
        <stp/>
        <stp>BDH|3425807546572008898</stp>
        <tr r="F25" s="5"/>
      </tp>
      <tp t="e">
        <v>#N/A</v>
        <stp/>
        <stp>BDH|6566552968727597762</stp>
        <tr r="V17" s="23"/>
      </tp>
      <tp t="e">
        <v>#N/A</v>
        <stp/>
        <stp>BDH|5635191259775871159</stp>
        <tr r="D27" s="14"/>
      </tp>
      <tp t="e">
        <v>#N/A</v>
        <stp/>
        <stp>BDH|9882306034055073973</stp>
        <tr r="O29" s="21"/>
      </tp>
      <tp t="e">
        <v>#N/A</v>
        <stp/>
        <stp>BDH|5181803605429835176</stp>
        <tr r="H95" s="24"/>
      </tp>
      <tp t="e">
        <v>#N/A</v>
        <stp/>
        <stp>BDH|2892834160379872084</stp>
        <tr r="N65" s="24"/>
      </tp>
      <tp t="e">
        <v>#N/A</v>
        <stp/>
        <stp>BDH|2795689095049657179</stp>
        <tr r="P53" s="13"/>
      </tp>
      <tp t="e">
        <v>#N/A</v>
        <stp/>
        <stp>BDH|5886248137950604165</stp>
        <tr r="C54" s="12"/>
      </tp>
      <tp t="e">
        <v>#N/A</v>
        <stp/>
        <stp>BDH|1867016540255767558</stp>
        <tr r="O21" s="22"/>
      </tp>
      <tp t="e">
        <v>#N/A</v>
        <stp/>
        <stp>BDH|9387967144667864620</stp>
        <tr r="L14" s="23"/>
      </tp>
      <tp t="e">
        <v>#N/A</v>
        <stp/>
        <stp>BDH|2137584559013214499</stp>
        <tr r="T36" s="6"/>
        <tr r="T17" s="5"/>
      </tp>
      <tp t="e">
        <v>#N/A</v>
        <stp/>
        <stp>BDH|8962898512405954100</stp>
        <tr r="Q144" s="18"/>
      </tp>
      <tp t="e">
        <v>#N/A</v>
        <stp/>
        <stp>BDH|9346603419719667278</stp>
        <tr r="C33" s="18"/>
      </tp>
      <tp t="e">
        <v>#N/A</v>
        <stp/>
        <stp>BDH|1606180744466792763</stp>
        <tr r="E13" s="25"/>
      </tp>
      <tp t="e">
        <v>#N/A</v>
        <stp/>
        <stp>BDH|2761288532063614501</stp>
        <tr r="U7" s="20"/>
        <tr r="U117" s="18"/>
      </tp>
      <tp t="e">
        <v>#N/A</v>
        <stp/>
        <stp>BDH|9476530999856028653</stp>
        <tr r="T22" s="21"/>
      </tp>
      <tp t="e">
        <v>#N/A</v>
        <stp/>
        <stp>BDH|4174966531328880354</stp>
        <tr r="L42" s="29"/>
        <tr r="L33" s="29"/>
        <tr r="J55" s="6"/>
        <tr r="J11" s="5"/>
        <tr r="K10" s="2"/>
      </tp>
      <tp t="e">
        <v>#N/A</v>
        <stp/>
        <stp>BDH|7844230037982710102</stp>
        <tr r="P35" s="13"/>
        <tr r="N28" s="10"/>
      </tp>
      <tp t="e">
        <v>#N/A</v>
        <stp/>
        <stp>BDH|1953687133932221388</stp>
        <tr r="G21" s="2"/>
      </tp>
      <tp t="e">
        <v>#N/A</v>
        <stp/>
        <stp>BDH|5631305015503802132</stp>
        <tr r="U74" s="12"/>
      </tp>
      <tp t="e">
        <v>#N/A</v>
        <stp/>
        <stp>BDH|1336438289280791861</stp>
        <tr r="L65" s="24"/>
      </tp>
      <tp t="e">
        <v>#N/A</v>
        <stp/>
        <stp>BDH|1547250172302267382</stp>
        <tr r="O113" s="18"/>
      </tp>
      <tp t="e">
        <v>#N/A</v>
        <stp/>
        <stp>BDH|5097520959923347307</stp>
        <tr r="V88" s="24"/>
      </tp>
      <tp t="e">
        <v>#N/A</v>
        <stp/>
        <stp>BDH|9302143979198046264</stp>
        <tr r="M25" s="21"/>
      </tp>
      <tp t="e">
        <v>#N/A</v>
        <stp/>
        <stp>BDH|3721563986603965863</stp>
        <tr r="S190" s="18"/>
      </tp>
      <tp t="e">
        <v>#N/A</v>
        <stp/>
        <stp>BDH|6342175238843140258</stp>
        <tr r="C31" s="21"/>
      </tp>
      <tp t="e">
        <v>#N/A</v>
        <stp/>
        <stp>BDH|3679775739280720277</stp>
        <tr r="D33" s="5"/>
      </tp>
      <tp t="e">
        <v>#N/A</v>
        <stp/>
        <stp>BDH|5520348080002996906</stp>
        <tr r="D53" s="21"/>
      </tp>
      <tp t="e">
        <v>#N/A</v>
        <stp/>
        <stp>BDH|8062985760802465048</stp>
        <tr r="R57" s="24"/>
      </tp>
      <tp t="e">
        <v>#N/A</v>
        <stp/>
        <stp>BDH|3966604142733405770</stp>
        <tr r="H194" s="18"/>
      </tp>
      <tp t="e">
        <v>#N/A</v>
        <stp/>
        <stp>BDH|4854791267707704796</stp>
        <tr r="U127" s="12"/>
      </tp>
      <tp t="e">
        <v>#N/A</v>
        <stp/>
        <stp>BDH|9018199342990620956</stp>
        <tr r="H28" s="12"/>
      </tp>
      <tp t="e">
        <v>#N/A</v>
        <stp/>
        <stp>BDH|4807917438412054992</stp>
        <tr r="N53" s="24"/>
      </tp>
      <tp t="e">
        <v>#N/A</v>
        <stp/>
        <stp>BDH|9774459372658154799</stp>
        <tr r="H34" s="11"/>
        <tr r="H43" s="10"/>
      </tp>
      <tp t="e">
        <v>#N/A</v>
        <stp/>
        <stp>BDH|7426899547308399615</stp>
        <tr r="Z88" s="17"/>
      </tp>
      <tp t="e">
        <v>#N/A</v>
        <stp/>
        <stp>BDH|1344180290649664553</stp>
        <tr r="P30" s="34"/>
      </tp>
      <tp t="e">
        <v>#N/A</v>
        <stp/>
        <stp>BDH|3297908339254341800</stp>
        <tr r="F53" s="21"/>
      </tp>
      <tp t="e">
        <v>#N/A</v>
        <stp/>
        <stp>BDH|4478125586359071181</stp>
        <tr r="F16" s="23"/>
      </tp>
      <tp t="e">
        <v>#N/A</v>
        <stp/>
        <stp>BDH|4956030285468669111</stp>
        <tr r="V63" s="10"/>
      </tp>
      <tp t="e">
        <v>#N/A</v>
        <stp/>
        <stp>BDH|6927516706482223444</stp>
        <tr r="P184" s="18"/>
      </tp>
      <tp t="e">
        <v>#N/A</v>
        <stp/>
        <stp>BDH|6751187419822747197</stp>
        <tr r="P37" s="34"/>
      </tp>
      <tp t="e">
        <v>#N/A</v>
        <stp/>
        <stp>BDH|6251098344742673515</stp>
        <tr r="U31" s="11"/>
        <tr r="U40" s="10"/>
      </tp>
      <tp t="e">
        <v>#N/A</v>
        <stp/>
        <stp>BDH|9812818047741471121</stp>
        <tr r="X66" s="12"/>
      </tp>
      <tp t="e">
        <v>#N/A</v>
        <stp/>
        <stp>BDH|9890694910993950809</stp>
        <tr r="G33" s="34"/>
      </tp>
      <tp t="e">
        <v>#N/A</v>
        <stp/>
        <stp>BDH|3360393710461012528</stp>
        <tr r="E181" s="18"/>
      </tp>
      <tp t="e">
        <v>#N/A</v>
        <stp/>
        <stp>BDH|5180279668323310758</stp>
        <tr r="J23" s="12"/>
      </tp>
      <tp t="e">
        <v>#N/A</v>
        <stp/>
        <stp>BDH|2582701848243268776</stp>
        <tr r="R28" s="13"/>
      </tp>
      <tp t="e">
        <v>#N/A</v>
        <stp/>
        <stp>BDH|6223035776937671392</stp>
        <tr r="J29" s="34"/>
      </tp>
      <tp t="e">
        <v>#N/A</v>
        <stp/>
        <stp>BDH|4894445923135230255</stp>
        <tr r="W16" s="22"/>
      </tp>
      <tp t="e">
        <v>#N/A</v>
        <stp/>
        <stp>BDH|9770040695413691687</stp>
        <tr r="E143" s="18"/>
      </tp>
      <tp t="e">
        <v>#N/A</v>
        <stp/>
        <stp>BDH|4963128416787023656</stp>
        <tr r="R31" s="5"/>
      </tp>
      <tp t="e">
        <v>#N/A</v>
        <stp/>
        <stp>BDH|5865186908810301135</stp>
        <tr r="X35" s="22"/>
      </tp>
      <tp t="e">
        <v>#N/A</v>
        <stp/>
        <stp>BDH|4186024127901893240</stp>
        <tr r="R18" s="10"/>
      </tp>
      <tp t="e">
        <v>#N/A</v>
        <stp/>
        <stp>BDH|9496936502256536382</stp>
        <tr r="N61" s="17"/>
      </tp>
      <tp t="e">
        <v>#N/A</v>
        <stp/>
        <stp>BDH|2716319970272904176</stp>
        <tr r="I34" s="18"/>
      </tp>
      <tp t="e">
        <v>#N/A</v>
        <stp/>
        <stp>BDH|1221148256753929313</stp>
        <tr r="F29" s="34"/>
      </tp>
      <tp t="e">
        <v>#N/A</v>
        <stp/>
        <stp>BDH|7502287981901034941</stp>
        <tr r="I210" s="18"/>
      </tp>
      <tp t="e">
        <v>#N/A</v>
        <stp/>
        <stp>BDH|7840836892840048311</stp>
        <tr r="P13" s="18"/>
      </tp>
      <tp t="e">
        <v>#N/A</v>
        <stp/>
        <stp>BDH|1714784832495762528</stp>
        <tr r="K86" s="12"/>
      </tp>
      <tp t="e">
        <v>#N/A</v>
        <stp/>
        <stp>BDH|1562394470746521618</stp>
        <tr r="I16" s="34"/>
      </tp>
      <tp t="e">
        <v>#N/A</v>
        <stp/>
        <stp>BDH|9146330646812419982</stp>
        <tr r="G126" s="12"/>
      </tp>
      <tp t="e">
        <v>#N/A</v>
        <stp/>
        <stp>BDH|7823244546482153639</stp>
        <tr r="AA94" s="17"/>
      </tp>
      <tp t="e">
        <v>#N/A</v>
        <stp/>
        <stp>BDH|4006692045982241161</stp>
        <tr r="R10" s="10"/>
      </tp>
      <tp t="e">
        <v>#N/A</v>
        <stp/>
        <stp>BDH|8995444491103469304</stp>
        <tr r="W67" s="34"/>
      </tp>
      <tp t="e">
        <v>#N/A</v>
        <stp/>
        <stp>BDH|7860766391309007562</stp>
        <tr r="Q102" s="12"/>
      </tp>
      <tp t="e">
        <v>#N/A</v>
        <stp/>
        <stp>BDH|9807264956669307223</stp>
        <tr r="E64" s="12"/>
      </tp>
      <tp t="e">
        <v>#N/A</v>
        <stp/>
        <stp>BDH|9779438886985361581</stp>
        <tr r="X23" s="24"/>
      </tp>
      <tp t="e">
        <v>#N/A</v>
        <stp/>
        <stp>BDH|9809276121515540926</stp>
        <tr r="W156" s="18"/>
      </tp>
      <tp t="e">
        <v>#N/A</v>
        <stp/>
        <stp>BDH|4215804704369831075</stp>
        <tr r="V117" s="12"/>
      </tp>
      <tp t="e">
        <v>#N/A</v>
        <stp/>
        <stp>BDH|9382750758269532729</stp>
        <tr r="P185" s="18"/>
      </tp>
      <tp t="e">
        <v>#N/A</v>
        <stp/>
        <stp>BDH|6165921788675738752</stp>
        <tr r="F21" s="20"/>
      </tp>
      <tp t="e">
        <v>#N/A</v>
        <stp/>
        <stp>BDH|1500181232317790118</stp>
        <tr r="G64" s="24"/>
      </tp>
      <tp t="e">
        <v>#N/A</v>
        <stp/>
        <stp>BDH|3086747360195490294</stp>
        <tr r="Q110" s="12"/>
      </tp>
      <tp t="e">
        <v>#N/A</v>
        <stp/>
        <stp>BDH|8988931634666399144</stp>
        <tr r="U13" s="13"/>
      </tp>
      <tp t="e">
        <v>#N/A</v>
        <stp/>
        <stp>BDH|9951546404278064102</stp>
        <tr r="M14" s="8"/>
      </tp>
      <tp t="e">
        <v>#N/A</v>
        <stp/>
        <stp>BDH|5982708027577637213</stp>
        <tr r="W152" s="18"/>
      </tp>
      <tp t="e">
        <v>#N/A</v>
        <stp/>
        <stp>BDH|1238236330414960112</stp>
        <tr r="AA111" s="12"/>
      </tp>
      <tp t="e">
        <v>#N/A</v>
        <stp/>
        <stp>BDH|7875031700426006426</stp>
        <tr r="N123" s="12"/>
      </tp>
      <tp t="e">
        <v>#N/A</v>
        <stp/>
        <stp>BDH|2160693093168037023</stp>
        <tr r="O28" s="4"/>
      </tp>
      <tp t="e">
        <v>#N/A</v>
        <stp/>
        <stp>BDH|1365670259994120359</stp>
        <tr r="G70" s="24"/>
      </tp>
      <tp t="e">
        <v>#N/A</v>
        <stp/>
        <stp>BDH|2063488975056330279</stp>
        <tr r="F77" s="12"/>
      </tp>
      <tp t="e">
        <v>#N/A</v>
        <stp/>
        <stp>BDH|6364514648513769145</stp>
        <tr r="M77" s="17"/>
      </tp>
      <tp t="e">
        <v>#N/A</v>
        <stp/>
        <stp>BDH|7488084823362401228</stp>
        <tr r="K67" s="17"/>
      </tp>
      <tp t="e">
        <v>#N/A</v>
        <stp/>
        <stp>BDH|5656141275157761194</stp>
        <tr r="K35" s="21"/>
      </tp>
      <tp t="e">
        <v>#N/A</v>
        <stp/>
        <stp>BDH|5938542321721215670</stp>
        <tr r="F10" s="27"/>
        <tr r="F25" s="25"/>
      </tp>
      <tp t="e">
        <v>#N/A</v>
        <stp/>
        <stp>BDH|4666183882679631137</stp>
        <tr r="R184" s="18"/>
      </tp>
      <tp t="e">
        <v>#N/A</v>
        <stp/>
        <stp>BDH|7286090362225395135</stp>
        <tr r="X36" s="22"/>
      </tp>
      <tp t="e">
        <v>#N/A</v>
        <stp/>
        <stp>BDH|5643896786082824286</stp>
        <tr r="P35" s="24"/>
      </tp>
      <tp t="e">
        <v>#N/A</v>
        <stp/>
        <stp>BDH|7377680966896760430</stp>
        <tr r="X37" s="25"/>
        <tr r="X59" s="21"/>
        <tr r="V53" s="11"/>
        <tr r="V31" s="4"/>
      </tp>
      <tp t="e">
        <v>#N/A</v>
        <stp/>
        <stp>BDH|4383125608286931695</stp>
        <tr r="Z41" s="18"/>
      </tp>
      <tp t="e">
        <v>#N/A</v>
        <stp/>
        <stp>BDH|4453242776330994465</stp>
        <tr r="J114" s="18"/>
      </tp>
      <tp t="e">
        <v>#N/A</v>
        <stp/>
        <stp>BDH|7557543078168562859</stp>
        <tr r="I110" s="12"/>
      </tp>
      <tp t="e">
        <v>#N/A</v>
        <stp/>
        <stp>BDH|3698776228824975798</stp>
        <tr r="M162" s="18"/>
      </tp>
      <tp t="e">
        <v>#N/A</v>
        <stp/>
        <stp>BDH|7468675819582496777</stp>
        <tr r="M15" s="18"/>
      </tp>
      <tp t="e">
        <v>#N/A</v>
        <stp/>
        <stp>BDH|9947561143969612436</stp>
        <tr r="L17" s="28"/>
        <tr r="L14" s="17"/>
      </tp>
      <tp t="e">
        <v>#N/A</v>
        <stp/>
        <stp>BDH|4401463913721979518</stp>
        <tr r="N48" s="6"/>
      </tp>
      <tp t="e">
        <v>#N/A</v>
        <stp/>
        <stp>BDH|1256381234617280350</stp>
        <tr r="Q21" s="20"/>
      </tp>
      <tp t="e">
        <v>#N/A</v>
        <stp/>
        <stp>BDH|2904057202503099471</stp>
        <tr r="Y59" s="12"/>
      </tp>
      <tp t="e">
        <v>#N/A</v>
        <stp/>
        <stp>BDH|7166237844716986264</stp>
        <tr r="U129" s="18"/>
      </tp>
      <tp t="e">
        <v>#N/A</v>
        <stp/>
        <stp>BDH|7890310312714532470</stp>
        <tr r="N50" s="17"/>
      </tp>
      <tp t="e">
        <v>#N/A</v>
        <stp/>
        <stp>BDH|2123854689000381772</stp>
        <tr r="I50" s="13"/>
      </tp>
      <tp t="e">
        <v>#N/A</v>
        <stp/>
        <stp>BDH|7458591167340222119</stp>
        <tr r="F25" s="13"/>
      </tp>
      <tp t="e">
        <v>#N/A</v>
        <stp/>
        <stp>BDH|8895029431627687941</stp>
        <tr r="V139" s="18"/>
      </tp>
      <tp t="e">
        <v>#N/A</v>
        <stp/>
        <stp>BDH|6652080449195988273</stp>
        <tr r="H39" s="6"/>
      </tp>
      <tp t="e">
        <v>#N/A</v>
        <stp/>
        <stp>BDH|2161363457785993404</stp>
        <tr r="P75" s="18"/>
      </tp>
      <tp t="e">
        <v>#N/A</v>
        <stp/>
        <stp>BDH|3359186143773587042</stp>
        <tr r="V11" s="29"/>
      </tp>
      <tp t="e">
        <v>#N/A</v>
        <stp/>
        <stp>BDH|7438708575571081388</stp>
        <tr r="V30" s="29"/>
        <tr r="V8" s="29"/>
      </tp>
      <tp t="e">
        <v>#N/A</v>
        <stp/>
        <stp>BDH|9817042272549054202</stp>
        <tr r="X64" s="18"/>
      </tp>
      <tp t="e">
        <v>#N/A</v>
        <stp/>
        <stp>BDH|6317687047153342212</stp>
        <tr r="T110" s="12"/>
      </tp>
      <tp t="e">
        <v>#N/A</v>
        <stp/>
        <stp>BDH|6918139432218790912</stp>
        <tr r="L18" s="14"/>
      </tp>
      <tp t="e">
        <v>#N/A</v>
        <stp/>
        <stp>BDH|5919375235822643239</stp>
        <tr r="X209" s="18"/>
      </tp>
      <tp t="e">
        <v>#N/A</v>
        <stp/>
        <stp>BDH|4976408838390646698</stp>
        <tr r="I8" s="8"/>
      </tp>
      <tp t="e">
        <v>#N/A</v>
        <stp/>
        <stp>BDH|6810543975584042573</stp>
        <tr r="H12" s="17"/>
      </tp>
      <tp t="e">
        <v>#N/A</v>
        <stp/>
        <stp>BDH|6307251633730345281</stp>
        <tr r="I41" s="18"/>
      </tp>
      <tp t="e">
        <v>#N/A</v>
        <stp/>
        <stp>BDH|6201330214618940921</stp>
        <tr r="J27" s="14"/>
      </tp>
      <tp t="e">
        <v>#N/A</v>
        <stp/>
        <stp>BDH|4649030409306135737</stp>
        <tr r="W81" s="18"/>
      </tp>
      <tp t="e">
        <v>#N/A</v>
        <stp/>
        <stp>BDH|6958375831084523741</stp>
        <tr r="D37" s="26"/>
      </tp>
      <tp t="e">
        <v>#N/A</v>
        <stp/>
        <stp>BDH|2152532139169069852</stp>
        <tr r="G35" s="26"/>
      </tp>
      <tp t="e">
        <v>#N/A</v>
        <stp/>
        <stp>BDH|7373712229386117145</stp>
        <tr r="W27" s="7"/>
      </tp>
      <tp t="e">
        <v>#N/A</v>
        <stp/>
        <stp>BDH|1387699493498288358</stp>
        <tr r="K20" s="24"/>
      </tp>
      <tp t="e">
        <v>#N/A</v>
        <stp/>
        <stp>BDH|1703368105330273789</stp>
        <tr r="Q121" s="12"/>
      </tp>
      <tp t="e">
        <v>#N/A</v>
        <stp/>
        <stp>BDH|7688948631449444195</stp>
        <tr r="D94" s="12"/>
      </tp>
      <tp t="e">
        <v>#N/A</v>
        <stp/>
        <stp>BDH|6504840221669626080</stp>
        <tr r="L20" s="18"/>
      </tp>
      <tp t="e">
        <v>#N/A</v>
        <stp/>
        <stp>BDH|6505755474956295581</stp>
        <tr r="V31" s="12"/>
      </tp>
      <tp t="e">
        <v>#N/A</v>
        <stp/>
        <stp>BDH|6802056320388713940</stp>
        <tr r="C66" s="12"/>
      </tp>
      <tp t="e">
        <v>#N/A</v>
        <stp/>
        <stp>BDH|2271930396687171082</stp>
        <tr r="R98" s="17"/>
      </tp>
      <tp t="e">
        <v>#N/A</v>
        <stp/>
        <stp>BDH|5500559249393280256</stp>
        <tr r="AA91" s="24"/>
      </tp>
      <tp t="e">
        <v>#N/A</v>
        <stp/>
        <stp>BDH|2182778392239817024</stp>
        <tr r="O31" s="11"/>
        <tr r="O40" s="10"/>
      </tp>
      <tp t="e">
        <v>#N/A</v>
        <stp/>
        <stp>BDH|8944820810235259174</stp>
        <tr r="J65" s="12"/>
      </tp>
      <tp t="e">
        <v>#N/A</v>
        <stp/>
        <stp>BDH|5446684300270003625</stp>
        <tr r="X75" s="34"/>
      </tp>
      <tp t="e">
        <v>#N/A</v>
        <stp/>
        <stp>BDH|9355471279616065933</stp>
        <tr r="K53" s="12"/>
      </tp>
      <tp t="e">
        <v>#N/A</v>
        <stp/>
        <stp>BDH|3158143528557615255</stp>
        <tr r="K35" s="24"/>
      </tp>
      <tp t="e">
        <v>#N/A</v>
        <stp/>
        <stp>BDH|5770872094397207681</stp>
        <tr r="M23" s="30"/>
        <tr r="M25" s="23"/>
      </tp>
      <tp t="e">
        <v>#N/A</v>
        <stp/>
        <stp>BDH|4260781837352612752</stp>
        <tr r="V22" s="21"/>
      </tp>
      <tp t="e">
        <v>#N/A</v>
        <stp/>
        <stp>BDH|3971777326603208041</stp>
        <tr r="R10" s="18"/>
      </tp>
      <tp t="e">
        <v>#N/A</v>
        <stp/>
        <stp>BDH|5779031682821109998</stp>
        <tr r="K15" s="4"/>
      </tp>
      <tp t="e">
        <v>#N/A</v>
        <stp/>
        <stp>BDH|4282723118554694301</stp>
        <tr r="J63" s="34"/>
      </tp>
      <tp t="e">
        <v>#N/A</v>
        <stp/>
        <stp>BDH|8921128094231216430</stp>
        <tr r="W32" s="12"/>
      </tp>
      <tp t="e">
        <v>#N/A</v>
        <stp/>
        <stp>BDH|5955650273042056319</stp>
        <tr r="P12" s="21"/>
      </tp>
      <tp t="e">
        <v>#N/A</v>
        <stp/>
        <stp>BDH|7072450306062565488</stp>
        <tr r="G35" s="14"/>
      </tp>
      <tp t="e">
        <v>#N/A</v>
        <stp/>
        <stp>BDH|7619349678716543012</stp>
        <tr r="P13" s="9"/>
      </tp>
      <tp t="e">
        <v>#N/A</v>
        <stp/>
        <stp>BDH|3509537963414939129</stp>
        <tr r="Z42" s="18"/>
      </tp>
      <tp t="e">
        <v>#N/A</v>
        <stp/>
        <stp>BDH|6980111006062541055</stp>
        <tr r="Z27" s="22"/>
      </tp>
      <tp t="e">
        <v>#N/A</v>
        <stp/>
        <stp>BDH|9621781817388510229</stp>
        <tr r="O15" s="13"/>
      </tp>
      <tp t="e">
        <v>#N/A</v>
        <stp/>
        <stp>BDH|3090049825025796181</stp>
        <tr r="S11" s="10"/>
        <tr r="S14" s="2"/>
      </tp>
      <tp t="e">
        <v>#N/A</v>
        <stp/>
        <stp>BDH|8359789094803397025</stp>
        <tr r="E27" s="13"/>
      </tp>
      <tp t="e">
        <v>#N/A</v>
        <stp/>
        <stp>BDH|7010986910818137274</stp>
        <tr r="Y146" s="18"/>
      </tp>
      <tp t="e">
        <v>#N/A</v>
        <stp/>
        <stp>BDH|7159214125777984526</stp>
        <tr r="R82" s="12"/>
      </tp>
      <tp t="e">
        <v>#N/A</v>
        <stp/>
        <stp>BDH|3009838796680371782</stp>
        <tr r="L60" s="13"/>
      </tp>
      <tp t="e">
        <v>#N/A</v>
        <stp/>
        <stp>BDH|5668427142739148999</stp>
        <tr r="W41" s="21"/>
      </tp>
      <tp t="e">
        <v>#N/A</v>
        <stp/>
        <stp>BDH|4364988945508767476</stp>
        <tr r="F19" s="34"/>
      </tp>
      <tp t="e">
        <v>#N/A</v>
        <stp/>
        <stp>BDH|6547689945965568438</stp>
        <tr r="M41" s="22"/>
      </tp>
      <tp t="e">
        <v>#N/A</v>
        <stp/>
        <stp>BDH|1711459873323637492</stp>
        <tr r="N43" s="11"/>
        <tr r="N52" s="10"/>
        <tr r="N15" s="7"/>
      </tp>
      <tp t="e">
        <v>#N/A</v>
        <stp/>
        <stp>BDH|5524476829315397364</stp>
        <tr r="K24" s="6"/>
      </tp>
      <tp t="e">
        <v>#N/A</v>
        <stp/>
        <stp>BDH|6899129415065181602</stp>
        <tr r="I150" s="18"/>
      </tp>
      <tp t="e">
        <v>#N/A</v>
        <stp/>
        <stp>BDH|5634403206931741590</stp>
        <tr r="F100" s="18"/>
      </tp>
      <tp t="e">
        <v>#N/A</v>
        <stp/>
        <stp>BDH|5478409725075601392</stp>
        <tr r="Q199" s="18"/>
      </tp>
      <tp t="e">
        <v>#N/A</v>
        <stp/>
        <stp>BDH|8631112318928065511</stp>
        <tr r="G8" s="12"/>
      </tp>
      <tp t="e">
        <v>#N/A</v>
        <stp/>
        <stp>BDH|3501801675199967079</stp>
        <tr r="I14" s="28"/>
      </tp>
      <tp t="e">
        <v>#N/A</v>
        <stp/>
        <stp>BDH|3431154793367496983</stp>
        <tr r="W13" s="7"/>
      </tp>
      <tp t="e">
        <v>#N/A</v>
        <stp/>
        <stp>BDH|3155008329514630005</stp>
        <tr r="C179" s="18"/>
      </tp>
      <tp t="e">
        <v>#N/A</v>
        <stp/>
        <stp>BDH|5453632632045251082</stp>
        <tr r="O8" s="18"/>
      </tp>
      <tp t="e">
        <v>#N/A</v>
        <stp/>
        <stp>BDH|4022048249794597174</stp>
        <tr r="R46" s="17"/>
      </tp>
      <tp t="e">
        <v>#N/A</v>
        <stp/>
        <stp>BDH|1791299080487936987</stp>
        <tr r="F24" s="9"/>
      </tp>
      <tp t="e">
        <v>#N/A</v>
        <stp/>
        <stp>BDH|2473452453781557787</stp>
        <tr r="V61" s="24"/>
      </tp>
      <tp t="e">
        <v>#N/A</v>
        <stp/>
        <stp>BDH|8786988181754274833</stp>
        <tr r="W67" s="13"/>
      </tp>
      <tp t="e">
        <v>#N/A</v>
        <stp/>
        <stp>BDH|4871508056868677973</stp>
        <tr r="G7" s="20"/>
        <tr r="G117" s="18"/>
      </tp>
      <tp t="e">
        <v>#N/A</v>
        <stp/>
        <stp>BDH|3465015068322725251</stp>
        <tr r="N34" s="13"/>
        <tr r="L27" s="10"/>
      </tp>
      <tp t="e">
        <v>#N/A</v>
        <stp/>
        <stp>BDH|7159103311663750186</stp>
        <tr r="U15" s="4"/>
      </tp>
      <tp t="e">
        <v>#N/A</v>
        <stp/>
        <stp>BDH|5451834183541920124</stp>
        <tr r="V11" s="18"/>
      </tp>
      <tp t="e">
        <v>#N/A</v>
        <stp/>
        <stp>BDH|3692875389425185362</stp>
        <tr r="Y6" s="19"/>
        <tr r="Y37" s="17"/>
        <tr r="Y16" s="3"/>
      </tp>
      <tp t="e">
        <v>#N/A</v>
        <stp/>
        <stp>BDH|6208961879339184438</stp>
        <tr r="F202" s="18"/>
      </tp>
      <tp t="e">
        <v>#N/A</v>
        <stp/>
        <stp>BDH|3827674651417700260</stp>
        <tr r="S45" s="13"/>
        <tr r="Q29" s="11"/>
        <tr r="Q38" s="10"/>
      </tp>
      <tp t="e">
        <v>#N/A</v>
        <stp/>
        <stp>BDH|1913383108512041561</stp>
        <tr r="N62" s="17"/>
      </tp>
      <tp t="e">
        <v>#N/A</v>
        <stp/>
        <stp>BDH|1039732236821934138</stp>
        <tr r="P71" s="12"/>
      </tp>
      <tp t="e">
        <v>#N/A</v>
        <stp/>
        <stp>BDH|1296088942250257054</stp>
        <tr r="X8" s="17"/>
      </tp>
      <tp t="e">
        <v>#N/A</v>
        <stp/>
        <stp>BDH|5040081336223633071</stp>
        <tr r="K12" s="6"/>
      </tp>
      <tp t="e">
        <v>#N/A</v>
        <stp/>
        <stp>BDH|5007337803906731588</stp>
        <tr r="C50" s="17"/>
      </tp>
      <tp t="e">
        <v>#N/A</v>
        <stp/>
        <stp>BDH|7037696356127308631</stp>
        <tr r="R44" s="6"/>
      </tp>
      <tp t="e">
        <v>#N/A</v>
        <stp/>
        <stp>BDH|3431345621990791793</stp>
        <tr r="D41" s="17"/>
      </tp>
      <tp t="e">
        <v>#N/A</v>
        <stp/>
        <stp>BDH|8454149816935806810</stp>
        <tr r="E18" s="22"/>
      </tp>
      <tp t="e">
        <v>#N/A</v>
        <stp/>
        <stp>BDH|2315547968380543455</stp>
        <tr r="P33" s="18"/>
      </tp>
      <tp t="e">
        <v>#N/A</v>
        <stp/>
        <stp>BDH|3730131263308945912</stp>
        <tr r="V77" s="12"/>
      </tp>
      <tp t="e">
        <v>#N/A</v>
        <stp/>
        <stp>BDH|6683557552425843668</stp>
        <tr r="P17" s="23"/>
      </tp>
      <tp t="e">
        <v>#N/A</v>
        <stp/>
        <stp>BDH|1133757579642662643</stp>
        <tr r="L91" s="24"/>
      </tp>
      <tp t="e">
        <v>#N/A</v>
        <stp/>
        <stp>BDH|9041547807981482885</stp>
        <tr r="M19" s="21"/>
        <tr r="M23" s="3"/>
        <tr r="K23" s="2"/>
      </tp>
      <tp t="e">
        <v>#N/A</v>
        <stp/>
        <stp>BDH|9654530645539812476</stp>
        <tr r="W28" s="18"/>
      </tp>
      <tp t="e">
        <v>#N/A</v>
        <stp/>
        <stp>BDH|9815884840542606297</stp>
        <tr r="O76" s="34"/>
      </tp>
      <tp t="e">
        <v>#N/A</v>
        <stp/>
        <stp>BDH|3877864145918141258</stp>
        <tr r="V14" s="27"/>
        <tr r="V28" s="25"/>
      </tp>
      <tp t="e">
        <v>#N/A</v>
        <stp/>
        <stp>BDH|1456855244218855021</stp>
        <tr r="Z31" s="29"/>
      </tp>
      <tp t="e">
        <v>#N/A</v>
        <stp/>
        <stp>BDH|3706398110737507349</stp>
        <tr r="L138" s="18"/>
      </tp>
      <tp t="e">
        <v>#N/A</v>
        <stp/>
        <stp>BDH|8255596581653666335</stp>
        <tr r="E138" s="18"/>
      </tp>
      <tp t="e">
        <v>#N/A</v>
        <stp/>
        <stp>BDH|2466178990728973758</stp>
        <tr r="N58" s="17"/>
      </tp>
      <tp t="e">
        <v>#N/A</v>
        <stp/>
        <stp>BDH|3125352802251027496</stp>
        <tr r="D13" s="23"/>
      </tp>
      <tp t="e">
        <v>#N/A</v>
        <stp/>
        <stp>BDH|6042039259203655533</stp>
        <tr r="L24" s="6"/>
      </tp>
      <tp t="e">
        <v>#N/A</v>
        <stp/>
        <stp>BDH|4469477569943297078</stp>
        <tr r="AA78" s="34"/>
      </tp>
      <tp t="e">
        <v>#N/A</v>
        <stp/>
        <stp>BDH|1318409816694373590</stp>
        <tr r="Z114" s="18"/>
      </tp>
      <tp t="e">
        <v>#N/A</v>
        <stp/>
        <stp>BDH|5805477953557129628</stp>
        <tr r="S71" s="17"/>
        <tr r="P8" s="9"/>
        <tr r="P8" s="5"/>
      </tp>
      <tp t="e">
        <v>#N/A</v>
        <stp/>
        <stp>BDH|1406042840828844875</stp>
        <tr r="H28" s="4"/>
      </tp>
      <tp t="e">
        <v>#N/A</v>
        <stp/>
        <stp>BDH|6524505062932940210</stp>
        <tr r="Y16" s="23"/>
      </tp>
      <tp t="e">
        <v>#N/A</v>
        <stp/>
        <stp>BDH|5222888690792259375</stp>
        <tr r="J9" s="11"/>
      </tp>
      <tp t="e">
        <v>#N/A</v>
        <stp/>
        <stp>BDH|1592046175062800132</stp>
        <tr r="AA19" s="26"/>
      </tp>
      <tp t="e">
        <v>#N/A</v>
        <stp/>
        <stp>BDH|4491193515206342741</stp>
        <tr r="O195" s="18"/>
      </tp>
      <tp t="e">
        <v>#N/A</v>
        <stp/>
        <stp>BDH|6628928510372331987</stp>
        <tr r="E13" s="7"/>
      </tp>
      <tp t="e">
        <v>#N/A</v>
        <stp/>
        <stp>BDH|4622617248542192115</stp>
        <tr r="K45" s="34"/>
      </tp>
      <tp t="e">
        <v>#N/A</v>
        <stp/>
        <stp>BDH|5886270302211164330</stp>
        <tr r="D56" s="6"/>
      </tp>
      <tp t="e">
        <v>#N/A</v>
        <stp/>
        <stp>BDH|2286687701955387472</stp>
        <tr r="K7" s="10"/>
      </tp>
      <tp t="e">
        <v>#N/A</v>
        <stp/>
        <stp>BDH|7042994279819825575</stp>
        <tr r="Q33" s="5"/>
      </tp>
      <tp t="e">
        <v>#N/A</v>
        <stp/>
        <stp>BDH|8404094865192439938</stp>
        <tr r="W67" s="12"/>
      </tp>
      <tp t="e">
        <v>#N/A</v>
        <stp/>
        <stp>BDH|8812663098445962731</stp>
        <tr r="F17" s="34"/>
      </tp>
      <tp t="e">
        <v>#N/A</v>
        <stp/>
        <stp>BDH|7090815253197980874</stp>
        <tr r="C59" s="18"/>
      </tp>
      <tp t="e">
        <v>#N/A</v>
        <stp/>
        <stp>BDH|7711277204360953013</stp>
        <tr r="X64" s="17"/>
      </tp>
      <tp t="e">
        <v>#N/A</v>
        <stp/>
        <stp>BDH|6101199443051131769</stp>
        <tr r="W204" s="18"/>
      </tp>
      <tp t="e">
        <v>#N/A</v>
        <stp/>
        <stp>BDH|2541692078514104291</stp>
        <tr r="K26" s="34"/>
      </tp>
      <tp t="e">
        <v>#N/A</v>
        <stp/>
        <stp>BDH|8228283441803439838</stp>
        <tr r="H44" s="12"/>
      </tp>
      <tp t="e">
        <v>#N/A</v>
        <stp/>
        <stp>BDH|6039415049350277360</stp>
        <tr r="P74" s="18"/>
      </tp>
      <tp t="e">
        <v>#N/A</v>
        <stp/>
        <stp>BDH|6919106924078879895</stp>
        <tr r="Q23" s="21"/>
      </tp>
      <tp t="e">
        <v>#N/A</v>
        <stp/>
        <stp>BDH|5193498843002133267</stp>
        <tr r="C6" s="3"/>
      </tp>
      <tp t="e">
        <v>#N/A</v>
        <stp/>
        <stp>BDH|4894316020290619038</stp>
        <tr r="K20" s="27"/>
      </tp>
      <tp t="e">
        <v>#N/A</v>
        <stp/>
        <stp>BDH|3877891469210237863</stp>
        <tr r="S21" s="6"/>
      </tp>
      <tp t="e">
        <v>#N/A</v>
        <stp/>
        <stp>BDH|3523560560223635697</stp>
        <tr r="F20" s="28"/>
        <tr r="F17" s="17"/>
      </tp>
      <tp t="e">
        <v>#N/A</v>
        <stp/>
        <stp>BDH|5075440726415910376</stp>
        <tr r="F192" s="18"/>
      </tp>
      <tp t="e">
        <v>#N/A</v>
        <stp/>
        <stp>BDH|5976543313220419463</stp>
        <tr r="F51" s="12"/>
      </tp>
      <tp t="e">
        <v>#N/A</v>
        <stp/>
        <stp>BDH|9387398225738222512</stp>
        <tr r="H68" s="17"/>
      </tp>
      <tp t="e">
        <v>#N/A</v>
        <stp/>
        <stp>BDH|8673008256909817140</stp>
        <tr r="M113" s="18"/>
      </tp>
      <tp t="e">
        <v>#N/A</v>
        <stp/>
        <stp>BDH|5177193312092618203</stp>
        <tr r="H76" s="34"/>
      </tp>
      <tp t="e">
        <v>#N/A</v>
        <stp/>
        <stp>BDH|1345871289040243437</stp>
        <tr r="Y81" s="18"/>
      </tp>
      <tp t="e">
        <v>#N/A</v>
        <stp/>
        <stp>BDH|7353825589594332670</stp>
        <tr r="K15" s="22"/>
      </tp>
      <tp t="e">
        <v>#N/A</v>
        <stp/>
        <stp>BDH|3979354517516546224</stp>
        <tr r="H20" s="10"/>
      </tp>
      <tp t="e">
        <v>#N/A</v>
        <stp/>
        <stp>BDH|6391856270628851425</stp>
        <tr r="L75" s="17"/>
      </tp>
      <tp t="e">
        <v>#N/A</v>
        <stp/>
        <stp>BDH|3570210019524223139</stp>
        <tr r="N7" s="17"/>
      </tp>
      <tp t="e">
        <v>#N/A</v>
        <stp/>
        <stp>BDH|9476208529248405454</stp>
        <tr r="I78" s="12"/>
      </tp>
      <tp t="e">
        <v>#N/A</v>
        <stp/>
        <stp>BDH|5880552244787144640</stp>
        <tr r="Z158" s="18"/>
      </tp>
      <tp t="e">
        <v>#N/A</v>
        <stp/>
        <stp>BDH|4770193209801847130</stp>
        <tr r="J70" s="34"/>
      </tp>
      <tp t="e">
        <v>#N/A</v>
        <stp/>
        <stp>BDH|6230030333603956378</stp>
        <tr r="U139" s="18"/>
      </tp>
      <tp t="e">
        <v>#N/A</v>
        <stp/>
        <stp>BDH|1498095047615132571</stp>
        <tr r="D45" s="22"/>
      </tp>
      <tp t="e">
        <v>#N/A</v>
        <stp/>
        <stp>BDH|2504078374059849924</stp>
        <tr r="O40" s="24"/>
      </tp>
      <tp t="e">
        <v>#N/A</v>
        <stp/>
        <stp>BDH|9894075785817385357</stp>
        <tr r="K28" s="22"/>
      </tp>
      <tp t="e">
        <v>#N/A</v>
        <stp/>
        <stp>BDH|3139094605366867099</stp>
        <tr r="I54" s="13"/>
      </tp>
      <tp t="e">
        <v>#N/A</v>
        <stp/>
        <stp>BDH|1698171550177432791</stp>
        <tr r="V7" s="28"/>
      </tp>
      <tp t="e">
        <v>#N/A</v>
        <stp/>
        <stp>BDH|2458038970620259095</stp>
        <tr r="E34" s="18"/>
      </tp>
      <tp t="e">
        <v>#N/A</v>
        <stp/>
        <stp>BDH|6813283443757987267</stp>
        <tr r="L12" s="10"/>
      </tp>
      <tp t="e">
        <v>#N/A</v>
        <stp/>
        <stp>BDH|2570494241276634178</stp>
        <tr r="K53" s="24"/>
      </tp>
      <tp t="e">
        <v>#N/A</v>
        <stp/>
        <stp>BDH|2398796310533230243</stp>
        <tr r="R74" s="34"/>
      </tp>
      <tp t="e">
        <v>#N/A</v>
        <stp/>
        <stp>BDH|9820423600070585834</stp>
        <tr r="L68" s="24"/>
      </tp>
      <tp t="e">
        <v>#N/A</v>
        <stp/>
        <stp>BDH|7101971378245779959</stp>
        <tr r="U10" s="28"/>
      </tp>
      <tp t="e">
        <v>#N/A</v>
        <stp/>
        <stp>BDH|9623219191422876524</stp>
        <tr r="D22" s="12"/>
      </tp>
      <tp t="e">
        <v>#N/A</v>
        <stp/>
        <stp>BDH|2233589622643424301</stp>
        <tr r="S139" s="18"/>
      </tp>
      <tp t="e">
        <v>#N/A</v>
        <stp/>
        <stp>BDH|8744618704182978975</stp>
        <tr r="T7" s="34"/>
      </tp>
      <tp t="e">
        <v>#N/A</v>
        <stp/>
        <stp>BDH|7695847857317934801</stp>
        <tr r="R8" s="17"/>
      </tp>
      <tp t="e">
        <v>#N/A</v>
        <stp/>
        <stp>BDH|5631948688437691608</stp>
        <tr r="H42" s="22"/>
      </tp>
      <tp t="e">
        <v>#N/A</v>
        <stp/>
        <stp>BDH|9410241221299859559</stp>
        <tr r="K37" s="13"/>
        <tr r="I30" s="10"/>
      </tp>
      <tp t="e">
        <v>#N/A</v>
        <stp/>
        <stp>BDH|7369776525106473198</stp>
        <tr r="O144" s="18"/>
      </tp>
      <tp t="e">
        <v>#N/A</v>
        <stp/>
        <stp>BDH|6266284886800214925</stp>
        <tr r="K33" s="17"/>
      </tp>
      <tp t="e">
        <v>#N/A</v>
        <stp/>
        <stp>BDH|6957188229857770723</stp>
        <tr r="Z12" s="21"/>
      </tp>
      <tp t="e">
        <v>#N/A</v>
        <stp/>
        <stp>BDH|1233095792875296867</stp>
        <tr r="AA9" s="27"/>
      </tp>
      <tp t="e">
        <v>#N/A</v>
        <stp/>
        <stp>BDH|4832061241774040121</stp>
        <tr r="C19" s="11"/>
      </tp>
      <tp t="e">
        <v>#N/A</v>
        <stp/>
        <stp>BDH|9104993042900533129</stp>
        <tr r="E16" s="10"/>
      </tp>
      <tp t="e">
        <v>#N/A</v>
        <stp/>
        <stp>BDH|4076043668242317527</stp>
        <tr r="D37" s="21"/>
      </tp>
      <tp t="e">
        <v>#N/A</v>
        <stp/>
        <stp>BDH|2985115855461897280</stp>
        <tr r="G49" s="18"/>
      </tp>
      <tp t="e">
        <v>#N/A</v>
        <stp/>
        <stp>BDH|3529297172512282118</stp>
        <tr r="P8" s="25"/>
        <tr r="M10" s="5"/>
        <tr r="N9" s="2"/>
      </tp>
      <tp t="e">
        <v>#N/A</v>
        <stp/>
        <stp>BDH|3606918284983928470</stp>
        <tr r="W15" s="18"/>
      </tp>
      <tp t="e">
        <v>#N/A</v>
        <stp/>
        <stp>BDH|7592788710645636167</stp>
        <tr r="Z14" s="13"/>
      </tp>
      <tp t="e">
        <v>#N/A</v>
        <stp/>
        <stp>BDH|2304769225431577389</stp>
        <tr r="U75" s="12"/>
      </tp>
      <tp t="e">
        <v>#N/A</v>
        <stp/>
        <stp>BDH|5117836285385322595</stp>
        <tr r="O51" s="17"/>
      </tp>
      <tp t="e">
        <v>#N/A</v>
        <stp/>
        <stp>BDH|6155798355605384431</stp>
        <tr r="S48" s="13"/>
      </tp>
      <tp t="e">
        <v>#N/A</v>
        <stp/>
        <stp>BDH|4957624834882588673</stp>
        <tr r="G26" s="34"/>
      </tp>
      <tp t="e">
        <v>#N/A</v>
        <stp/>
        <stp>BDH|5114857431443802807</stp>
        <tr r="H64" s="18"/>
      </tp>
      <tp t="e">
        <v>#N/A</v>
        <stp/>
        <stp>BDH|3858256675230444310</stp>
        <tr r="N28" s="14"/>
      </tp>
      <tp t="e">
        <v>#N/A</v>
        <stp/>
        <stp>BDH|8985859901414157115</stp>
        <tr r="I175" s="18"/>
      </tp>
      <tp t="e">
        <v>#N/A</v>
        <stp/>
        <stp>BDH|1128782065547241235</stp>
        <tr r="M19" s="17"/>
      </tp>
      <tp t="e">
        <v>#N/A</v>
        <stp/>
        <stp>BDH|9409181420458876796</stp>
        <tr r="AA61" s="18"/>
      </tp>
      <tp t="e">
        <v>#N/A</v>
        <stp/>
        <stp>BDH|4530444837640913624</stp>
        <tr r="J43" s="4"/>
      </tp>
      <tp t="e">
        <v>#N/A</v>
        <stp/>
        <stp>BDH|3722336542342254395</stp>
        <tr r="J52" s="13"/>
      </tp>
      <tp t="e">
        <v>#N/A</v>
        <stp/>
        <stp>BDH|1242695232628413901</stp>
        <tr r="R66" s="17"/>
      </tp>
      <tp t="e">
        <v>#N/A</v>
        <stp/>
        <stp>BDH|2453410845602535586</stp>
        <tr r="J48" s="12"/>
      </tp>
      <tp t="e">
        <v>#N/A</v>
        <stp/>
        <stp>BDH|9564310288076471158</stp>
        <tr r="Z9" s="13"/>
      </tp>
      <tp t="e">
        <v>#N/A</v>
        <stp/>
        <stp>BDH|6380303075497918027</stp>
        <tr r="W20" s="18"/>
      </tp>
      <tp t="e">
        <v>#N/A</v>
        <stp/>
        <stp>BDH|2280338218242325779</stp>
        <tr r="X25" s="3"/>
      </tp>
      <tp t="e">
        <v>#N/A</v>
        <stp/>
        <stp>BDH|1179234039962745716</stp>
        <tr r="AA17" s="30"/>
      </tp>
      <tp t="e">
        <v>#N/A</v>
        <stp/>
        <stp>BDH|5297029768517677139</stp>
        <tr r="V20" s="27"/>
      </tp>
      <tp t="e">
        <v>#N/A</v>
        <stp/>
        <stp>BDH|1531311461941922012</stp>
        <tr r="N17" s="34"/>
      </tp>
      <tp t="e">
        <v>#N/A</v>
        <stp/>
        <stp>BDH|6693733344074473487</stp>
        <tr r="V185" s="18"/>
      </tp>
      <tp t="e">
        <v>#N/A</v>
        <stp/>
        <stp>BDH|7232728758860613038</stp>
        <tr r="M18" s="20"/>
      </tp>
      <tp t="e">
        <v>#N/A</v>
        <stp/>
        <stp>BDH|6741757189899378556</stp>
        <tr r="K65" s="10"/>
        <tr r="K25" s="4"/>
      </tp>
      <tp t="e">
        <v>#N/A</v>
        <stp/>
        <stp>BDH|7633792316850360473</stp>
        <tr r="V23" s="23"/>
      </tp>
      <tp t="e">
        <v>#N/A</v>
        <stp/>
        <stp>BDH|9974894633764711399</stp>
        <tr r="J12" s="11"/>
      </tp>
      <tp t="e">
        <v>#N/A</v>
        <stp/>
        <stp>BDH|4323488142050715137</stp>
        <tr r="F13" s="26"/>
      </tp>
      <tp t="e">
        <v>#N/A</v>
        <stp/>
        <stp>BDH|2799933866801689996</stp>
        <tr r="R117" s="12"/>
      </tp>
      <tp t="e">
        <v>#N/A</v>
        <stp/>
        <stp>BDH|8653820429186585150</stp>
        <tr r="K73" s="24"/>
      </tp>
      <tp t="e">
        <v>#N/A</v>
        <stp/>
        <stp>BDH|4412199522007715556</stp>
        <tr r="X62" s="17"/>
      </tp>
      <tp t="e">
        <v>#N/A</v>
        <stp/>
        <stp>BDH|3560483008827816502</stp>
        <tr r="D25" s="9"/>
      </tp>
      <tp t="e">
        <v>#N/A</v>
        <stp/>
        <stp>BDH|4576230114860716280</stp>
        <tr r="V51" s="21"/>
      </tp>
      <tp t="e">
        <v>#N/A</v>
        <stp/>
        <stp>BDH|8652865969053566018</stp>
        <tr r="E18" s="23"/>
      </tp>
      <tp t="e">
        <v>#N/A</v>
        <stp/>
        <stp>BDH|2110233571021906383</stp>
        <tr r="X187" s="18"/>
      </tp>
      <tp t="e">
        <v>#N/A</v>
        <stp/>
        <stp>BDH|7093365734721595353</stp>
        <tr r="C76" s="12"/>
      </tp>
      <tp t="e">
        <v>#N/A</v>
        <stp/>
        <stp>BDH|5722551013093026730</stp>
        <tr r="P13" s="25"/>
      </tp>
      <tp t="e">
        <v>#N/A</v>
        <stp/>
        <stp>BDH|5631140953631441570</stp>
        <tr r="I63" s="24"/>
      </tp>
      <tp t="e">
        <v>#N/A</v>
        <stp/>
        <stp>BDH|5438836096298025935</stp>
        <tr r="K25" s="26"/>
      </tp>
      <tp t="e">
        <v>#N/A</v>
        <stp/>
        <stp>BDH|4282522236177130058</stp>
        <tr r="V84" s="12"/>
      </tp>
      <tp t="e">
        <v>#N/A</v>
        <stp/>
        <stp>BDH|3604616353463020660</stp>
        <tr r="I66" s="13"/>
      </tp>
      <tp t="e">
        <v>#N/A</v>
        <stp/>
        <stp>BDH|1059656803121501312</stp>
        <tr r="R45" s="17"/>
      </tp>
      <tp t="e">
        <v>#N/A</v>
        <stp/>
        <stp>BDH|8131411057844189842</stp>
        <tr r="O19" s="24"/>
      </tp>
      <tp t="e">
        <v>#N/A</v>
        <stp/>
        <stp>BDH|1290958880370751527</stp>
        <tr r="AA10" s="21"/>
      </tp>
      <tp t="e">
        <v>#N/A</v>
        <stp/>
        <stp>BDH|2344580339273234226</stp>
        <tr r="AA45" s="21"/>
      </tp>
      <tp t="e">
        <v>#N/A</v>
        <stp/>
        <stp>BDH|6064715344365036571</stp>
        <tr r="D204" s="18"/>
      </tp>
      <tp t="e">
        <v>#N/A</v>
        <stp/>
        <stp>BDH|8246148475889735265</stp>
        <tr r="F58" s="17"/>
      </tp>
      <tp t="e">
        <v>#N/A</v>
        <stp/>
        <stp>BDH|6832267978270065642</stp>
        <tr r="Q130" s="18"/>
      </tp>
      <tp t="e">
        <v>#N/A</v>
        <stp/>
        <stp>BDH|4239767524737041322</stp>
        <tr r="G25" s="7"/>
      </tp>
      <tp t="e">
        <v>#N/A</v>
        <stp/>
        <stp>BDH|2537679314874267460</stp>
        <tr r="S12" s="7"/>
      </tp>
      <tp t="e">
        <v>#N/A</v>
        <stp/>
        <stp>BDH|5936681077760532112</stp>
        <tr r="U21" s="12"/>
      </tp>
      <tp t="e">
        <v>#N/A</v>
        <stp/>
        <stp>BDH|3252305364750018342</stp>
        <tr r="D54" s="24"/>
      </tp>
      <tp t="e">
        <v>#N/A</v>
        <stp/>
        <stp>BDH|6725077245466169163</stp>
        <tr r="T49" s="24"/>
      </tp>
      <tp t="e">
        <v>#N/A</v>
        <stp/>
        <stp>BDH|4878093277522452400</stp>
        <tr r="W75" s="24"/>
      </tp>
      <tp t="e">
        <v>#N/A</v>
        <stp/>
        <stp>BDH|9931980044432626312</stp>
        <tr r="M10" s="25"/>
        <tr r="M55" s="17"/>
      </tp>
      <tp t="e">
        <v>#N/A</v>
        <stp/>
        <stp>BDH|8257113786664053072</stp>
        <tr r="I17" s="30"/>
      </tp>
      <tp t="e">
        <v>#N/A</v>
        <stp/>
        <stp>BDH|7622974512668877290</stp>
        <tr r="U41" s="18"/>
      </tp>
      <tp t="e">
        <v>#N/A</v>
        <stp/>
        <stp>BDH|4907058978580495623</stp>
        <tr r="V29" s="6"/>
      </tp>
      <tp t="e">
        <v>#N/A</v>
        <stp/>
        <stp>BDH|1848240469306615611</stp>
        <tr r="I30" s="12"/>
      </tp>
      <tp t="e">
        <v>#N/A</v>
        <stp/>
        <stp>BDH|1070711262593615674</stp>
        <tr r="J14" s="22"/>
      </tp>
      <tp t="e">
        <v>#N/A</v>
        <stp/>
        <stp>BDH|2466299675861358394</stp>
        <tr r="Z79" s="24"/>
      </tp>
      <tp t="e">
        <v>#N/A</v>
        <stp/>
        <stp>BDH|9452053632247259837</stp>
        <tr r="L11" s="6"/>
      </tp>
      <tp t="e">
        <v>#N/A</v>
        <stp/>
        <stp>BDH|3305575486358974398</stp>
        <tr r="E43" s="11"/>
        <tr r="E52" s="10"/>
        <tr r="E15" s="7"/>
      </tp>
      <tp t="e">
        <v>#N/A</v>
        <stp/>
        <stp>BDH|1693845197035312044</stp>
        <tr r="Y67" s="34"/>
      </tp>
      <tp t="e">
        <v>#N/A</v>
        <stp/>
        <stp>BDH|2002930766918448034</stp>
        <tr r="C21" s="18"/>
      </tp>
      <tp t="e">
        <v>#N/A</v>
        <stp/>
        <stp>BDH|4626827690888614805</stp>
        <tr r="Q50" s="24"/>
      </tp>
      <tp t="e">
        <v>#N/A</v>
        <stp/>
        <stp>BDH|2348310842659481962</stp>
        <tr r="Y30" s="18"/>
      </tp>
      <tp t="e">
        <v>#N/A</v>
        <stp/>
        <stp>BDH|3586234161750074254</stp>
        <tr r="M27" s="34"/>
      </tp>
      <tp t="e">
        <v>#N/A</v>
        <stp/>
        <stp>BDH|7808479158157722422</stp>
        <tr r="D68" s="18"/>
      </tp>
      <tp t="e">
        <v>#N/A</v>
        <stp/>
        <stp>BDH|1206104982779630448</stp>
        <tr r="O23" s="25"/>
        <tr r="M20" s="11"/>
      </tp>
      <tp t="e">
        <v>#N/A</v>
        <stp/>
        <stp>BDH|9548594180355897462</stp>
        <tr r="L50" s="18"/>
      </tp>
      <tp t="e">
        <v>#N/A</v>
        <stp/>
        <stp>BDH|8459204689393890471</stp>
        <tr r="O9" s="26"/>
      </tp>
      <tp t="e">
        <v>#N/A</v>
        <stp/>
        <stp>BDH|3756675172745881285</stp>
        <tr r="N70" s="18"/>
      </tp>
      <tp t="e">
        <v>#N/A</v>
        <stp/>
        <stp>BDH|7595733964775609667</stp>
        <tr r="S29" s="34"/>
      </tp>
      <tp t="e">
        <v>#N/A</v>
        <stp/>
        <stp>BDH|9837285652978215324</stp>
        <tr r="H80" s="12"/>
      </tp>
      <tp t="e">
        <v>#N/A</v>
        <stp/>
        <stp>BDH|1084772955542405445</stp>
        <tr r="X144" s="18"/>
      </tp>
      <tp t="e">
        <v>#N/A</v>
        <stp/>
        <stp>BDH|8666909664097945591</stp>
        <tr r="Y19" s="24"/>
      </tp>
      <tp t="e">
        <v>#N/A</v>
        <stp/>
        <stp>BDH|5305424056107178648</stp>
        <tr r="W23" s="13"/>
      </tp>
      <tp t="e">
        <v>#N/A</v>
        <stp/>
        <stp>BDH|2532345926723682533</stp>
        <tr r="O66" s="10"/>
        <tr r="O39" s="4"/>
      </tp>
      <tp t="e">
        <v>#N/A</v>
        <stp/>
        <stp>BDH|3964232714793588696</stp>
        <tr r="O70" s="34"/>
      </tp>
      <tp t="e">
        <v>#N/A</v>
        <stp/>
        <stp>BDH|7362959634160751876</stp>
        <tr r="M20" s="25"/>
      </tp>
      <tp t="e">
        <v>#N/A</v>
        <stp/>
        <stp>BDH|1272527917183443319</stp>
        <tr r="D45" s="24"/>
      </tp>
      <tp t="e">
        <v>#N/A</v>
        <stp/>
        <stp>BDH|5213173046180996586</stp>
        <tr r="Z47" s="18"/>
      </tp>
      <tp t="e">
        <v>#N/A</v>
        <stp/>
        <stp>BDH|3025299973501816203</stp>
        <tr r="S150" s="18"/>
      </tp>
      <tp t="e">
        <v>#N/A</v>
        <stp/>
        <stp>BDH|7507901491503125179</stp>
        <tr r="N11" s="6"/>
      </tp>
      <tp t="e">
        <v>#N/A</v>
        <stp/>
        <stp>BDH|5119611910212686545</stp>
        <tr r="M7" s="34"/>
      </tp>
      <tp t="e">
        <v>#N/A</v>
        <stp/>
        <stp>BDH|5261185717618790883</stp>
        <tr r="L14" s="22"/>
      </tp>
      <tp t="e">
        <v>#N/A</v>
        <stp/>
        <stp>BDH|5078840590047619609</stp>
        <tr r="V157" s="18"/>
      </tp>
      <tp t="e">
        <v>#N/A</v>
        <stp/>
        <stp>BDH|3480238921945231365</stp>
        <tr r="O24" s="2"/>
      </tp>
      <tp t="e">
        <v>#N/A</v>
        <stp/>
        <stp>BDH|5111471301295745129</stp>
        <tr r="M36" s="22"/>
      </tp>
      <tp t="e">
        <v>#N/A</v>
        <stp/>
        <stp>BDH|1862618421306349696</stp>
        <tr r="O29" s="4"/>
      </tp>
      <tp t="e">
        <v>#N/A</v>
        <stp/>
        <stp>BDH|1111419037705679637</stp>
        <tr r="Y9" s="21"/>
      </tp>
      <tp t="e">
        <v>#N/A</v>
        <stp/>
        <stp>BDH|7002658500951082577</stp>
        <tr r="L56" s="34"/>
      </tp>
      <tp t="e">
        <v>#N/A</v>
        <stp/>
        <stp>BDH|3728363126494481313</stp>
        <tr r="I72" s="24"/>
      </tp>
      <tp t="e">
        <v>#N/A</v>
        <stp/>
        <stp>BDH|3538689205369965931</stp>
        <tr r="O38" s="21"/>
        <tr r="O24" s="3"/>
      </tp>
      <tp t="e">
        <v>#N/A</v>
        <stp/>
        <stp>BDH|4671161842244473052</stp>
        <tr r="N24" s="2"/>
      </tp>
      <tp t="e">
        <v>#N/A</v>
        <stp/>
        <stp>BDH|3319016133730144535</stp>
        <tr r="J25" s="27"/>
      </tp>
      <tp t="e">
        <v>#N/A</v>
        <stp/>
        <stp>BDH|8574902174347048423</stp>
        <tr r="F85" s="17"/>
        <tr r="D6" s="7"/>
        <tr r="F20" s="3"/>
      </tp>
      <tp t="e">
        <v>#N/A</v>
        <stp/>
        <stp>BDH|5980501566577547498</stp>
        <tr r="Q13" s="11"/>
      </tp>
      <tp t="e">
        <v>#N/A</v>
        <stp/>
        <stp>BDH|4605618936894054025</stp>
        <tr r="D46" s="12"/>
      </tp>
      <tp t="e">
        <v>#N/A</v>
        <stp/>
        <stp>BDH|1675619702025787715</stp>
        <tr r="I17" s="12"/>
      </tp>
      <tp t="e">
        <v>#N/A</v>
        <stp/>
        <stp>BDH|3972152201093932475</stp>
        <tr r="D141" s="18"/>
      </tp>
      <tp t="e">
        <v>#N/A</v>
        <stp/>
        <stp>BDH|4867721198729346626</stp>
        <tr r="T45" s="34"/>
      </tp>
      <tp t="e">
        <v>#N/A</v>
        <stp/>
        <stp>BDH|3675781444386925305</stp>
        <tr r="U199" s="18"/>
      </tp>
      <tp t="e">
        <v>#N/A</v>
        <stp/>
        <stp>BDH|1774157708636170384</stp>
        <tr r="L146" s="18"/>
      </tp>
      <tp t="e">
        <v>#N/A</v>
        <stp/>
        <stp>BDH|5715487248469302976</stp>
        <tr r="AA46" s="12"/>
      </tp>
      <tp t="e">
        <v>#N/A</v>
        <stp/>
        <stp>BDH|1056458901844401431</stp>
        <tr r="Z98" s="12"/>
      </tp>
      <tp t="e">
        <v>#N/A</v>
        <stp/>
        <stp>BDH|2519147479672927325</stp>
        <tr r="Y62" s="34"/>
      </tp>
      <tp t="e">
        <v>#N/A</v>
        <stp/>
        <stp>BDH|3118948548862705996</stp>
        <tr r="S70" s="13"/>
        <tr r="Q49" s="11"/>
        <tr r="Q58" s="10"/>
        <tr r="Q19" s="7"/>
        <tr r="Q18" s="4"/>
        <tr r="Q20" s="2"/>
      </tp>
      <tp t="e">
        <v>#N/A</v>
        <stp/>
        <stp>BDH|5608059377912041573</stp>
        <tr r="N9" s="27"/>
      </tp>
      <tp t="e">
        <v>#N/A</v>
        <stp/>
        <stp>BDH|3261503637225741515</stp>
        <tr r="Y126" s="12"/>
      </tp>
      <tp t="e">
        <v>#N/A</v>
        <stp/>
        <stp>BDH|2699987098914090358</stp>
        <tr r="V8" s="27"/>
      </tp>
      <tp t="e">
        <v>#N/A</v>
        <stp/>
        <stp>BDH|9733557918930828816</stp>
        <tr r="G13" s="6"/>
      </tp>
      <tp t="e">
        <v>#N/A</v>
        <stp/>
        <stp>BDH|4107793488027692953</stp>
        <tr r="H91" s="12"/>
      </tp>
      <tp t="e">
        <v>#N/A</v>
        <stp/>
        <stp>BDH|4281662793796637827</stp>
        <tr r="AA10" s="23"/>
      </tp>
      <tp t="e">
        <v>#N/A</v>
        <stp/>
        <stp>BDH|6198549186927443944</stp>
        <tr r="G15" s="9"/>
      </tp>
      <tp t="e">
        <v>#N/A</v>
        <stp/>
        <stp>BDH|9488633018238893349</stp>
        <tr r="P69" s="34"/>
      </tp>
      <tp t="e">
        <v>#N/A</v>
        <stp/>
        <stp>BDH|8164133028939121786</stp>
        <tr r="AA76" s="34"/>
      </tp>
      <tp t="e">
        <v>#N/A</v>
        <stp/>
        <stp>BDH|1740198108217109246</stp>
        <tr r="Z51" s="12"/>
      </tp>
      <tp t="e">
        <v>#N/A</v>
        <stp/>
        <stp>BDH|2337073623166732339</stp>
        <tr r="F15" s="10"/>
      </tp>
      <tp t="e">
        <v>#N/A</v>
        <stp/>
        <stp>BDH|5279709101491224623</stp>
        <tr r="O51" s="12"/>
      </tp>
      <tp t="e">
        <v>#N/A</v>
        <stp/>
        <stp>BDH|6187275566625575267</stp>
        <tr r="I18" s="14"/>
      </tp>
      <tp t="e">
        <v>#N/A</v>
        <stp/>
        <stp>BDH|5392347250682106453</stp>
        <tr r="W26" s="18"/>
      </tp>
      <tp t="e">
        <v>#N/A</v>
        <stp/>
        <stp>BDH|3332988880007082088</stp>
        <tr r="L12" s="26"/>
      </tp>
      <tp t="e">
        <v>#N/A</v>
        <stp/>
        <stp>BDH|7766285859896013350</stp>
        <tr r="H8" s="24"/>
      </tp>
      <tp t="e">
        <v>#N/A</v>
        <stp/>
        <stp>BDH|7550571684136498916</stp>
        <tr r="T206" s="18"/>
      </tp>
      <tp t="e">
        <v>#N/A</v>
        <stp/>
        <stp>BDH|7168789319334030035</stp>
        <tr r="H53" s="21"/>
      </tp>
      <tp t="e">
        <v>#N/A</v>
        <stp/>
        <stp>BDH|5501463754751317078</stp>
        <tr r="L8" s="26"/>
        <tr r="I10" s="9"/>
      </tp>
      <tp t="e">
        <v>#N/A</v>
        <stp/>
        <stp>BDH|2421107458443842078</stp>
        <tr r="Y101" s="12"/>
      </tp>
      <tp t="e">
        <v>#N/A</v>
        <stp/>
        <stp>BDH|3967208030380318790</stp>
        <tr r="L41" s="22"/>
      </tp>
      <tp t="e">
        <v>#N/A</v>
        <stp/>
        <stp>BDH|2403509788368601296</stp>
        <tr r="T104" s="18"/>
      </tp>
      <tp t="e">
        <v>#N/A</v>
        <stp/>
        <stp>BDH|3255397823855260290</stp>
        <tr r="H69" s="10"/>
      </tp>
      <tp t="e">
        <v>#N/A</v>
        <stp/>
        <stp>BDH|4082136215229024851</stp>
        <tr r="T22" s="20"/>
      </tp>
      <tp t="e">
        <v>#N/A</v>
        <stp/>
        <stp>BDH|7503213516189449859</stp>
        <tr r="J62" s="18"/>
      </tp>
      <tp t="e">
        <v>#N/A</v>
        <stp/>
        <stp>BDH|2598428064390581555</stp>
        <tr r="E29" s="22"/>
      </tp>
      <tp t="e">
        <v>#N/A</v>
        <stp/>
        <stp>BDH|9531575857509392555</stp>
        <tr r="Y43" s="34"/>
      </tp>
      <tp t="e">
        <v>#N/A</v>
        <stp/>
        <stp>BDH|8865920851884271598</stp>
        <tr r="F187" s="18"/>
      </tp>
      <tp t="e">
        <v>#N/A</v>
        <stp/>
        <stp>BDH|6953110811775959606</stp>
        <tr r="N74" s="17"/>
      </tp>
      <tp t="e">
        <v>#N/A</v>
        <stp/>
        <stp>BDH|4958457673405968761</stp>
        <tr r="Z20" s="26"/>
      </tp>
      <tp t="e">
        <v>#N/A</v>
        <stp/>
        <stp>BDH|9522200815426968991</stp>
        <tr r="K39" s="25"/>
        <tr r="K22" s="13"/>
        <tr r="K7" s="13"/>
        <tr r="I17" s="11"/>
        <tr r="K7" s="3"/>
      </tp>
      <tp t="e">
        <v>#N/A</v>
        <stp/>
        <stp>BDH|9474380788186309177</stp>
        <tr r="H13" s="9"/>
      </tp>
      <tp t="e">
        <v>#N/A</v>
        <stp/>
        <stp>BDH|4724170240592175610</stp>
        <tr r="V20" s="34"/>
      </tp>
      <tp t="e">
        <v>#N/A</v>
        <stp/>
        <stp>BDH|9779409358298998565</stp>
        <tr r="X18" s="9"/>
      </tp>
      <tp t="e">
        <v>#N/A</v>
        <stp/>
        <stp>BDH|3401694559157757233</stp>
        <tr r="Q156" s="18"/>
      </tp>
      <tp t="e">
        <v>#N/A</v>
        <stp/>
        <stp>BDH|4420222555436121025</stp>
        <tr r="M14" s="10"/>
      </tp>
      <tp t="e">
        <v>#N/A</v>
        <stp/>
        <stp>BDH|1042706181223311822</stp>
        <tr r="D11" s="3"/>
      </tp>
      <tp t="e">
        <v>#N/A</v>
        <stp/>
        <stp>BDH|5578726354350495278</stp>
        <tr r="I73" s="17"/>
      </tp>
      <tp t="e">
        <v>#N/A</v>
        <stp/>
        <stp>BDH|7604802782611712337</stp>
        <tr r="M43" s="18"/>
      </tp>
      <tp t="e">
        <v>#N/A</v>
        <stp/>
        <stp>BDH|5002501937555363340</stp>
        <tr r="X186" s="18"/>
      </tp>
      <tp t="e">
        <v>#N/A</v>
        <stp/>
        <stp>BDH|5633727212344513233</stp>
        <tr r="K9" s="14"/>
      </tp>
      <tp t="e">
        <v>#N/A</v>
        <stp/>
        <stp>BDH|7724573576091425126</stp>
        <tr r="D23" s="10"/>
      </tp>
      <tp t="e">
        <v>#N/A</v>
        <stp/>
        <stp>BDH|2036044995737052910</stp>
        <tr r="Y58" s="24"/>
      </tp>
      <tp t="e">
        <v>#N/A</v>
        <stp/>
        <stp>BDH|8830109830179197697</stp>
        <tr r="AA67" s="21"/>
      </tp>
      <tp t="e">
        <v>#N/A</v>
        <stp/>
        <stp>BDH|4306761914034969383</stp>
        <tr r="N50" s="12"/>
      </tp>
      <tp t="e">
        <v>#N/A</v>
        <stp/>
        <stp>BDH|8293974474774577749</stp>
        <tr r="F20" s="34"/>
      </tp>
      <tp t="e">
        <v>#N/A</v>
        <stp/>
        <stp>BDH|4735701884509023731</stp>
        <tr r="L63" s="10"/>
      </tp>
      <tp t="e">
        <v>#N/A</v>
        <stp/>
        <stp>BDH|6080316566483572529</stp>
        <tr r="P30" s="22"/>
      </tp>
      <tp t="e">
        <v>#N/A</v>
        <stp/>
        <stp>BDH|8494559891011928095</stp>
        <tr r="Z12" s="18"/>
      </tp>
      <tp t="e">
        <v>#N/A</v>
        <stp/>
        <stp>BDH|1188768882313247870</stp>
        <tr r="W6" s="15"/>
        <tr r="W6" s="10"/>
        <tr r="W11" s="4"/>
        <tr r="W12" s="2"/>
      </tp>
      <tp t="e">
        <v>#N/A</v>
        <stp/>
        <stp>BDH|8954675420770929972</stp>
        <tr r="C25" s="29"/>
        <tr r="C19" s="29"/>
        <tr r="C10" s="29"/>
        <tr r="C12" s="8"/>
      </tp>
      <tp t="e">
        <v>#N/A</v>
        <stp/>
        <stp>BDH|2525652923441758247</stp>
        <tr r="N8" s="12"/>
      </tp>
      <tp t="e">
        <v>#N/A</v>
        <stp/>
        <stp>BDH|7441467966995350579</stp>
        <tr r="R90" s="18"/>
      </tp>
      <tp t="e">
        <v>#N/A</v>
        <stp/>
        <stp>BDH|6590969004113613916</stp>
        <tr r="T18" s="26"/>
      </tp>
      <tp t="e">
        <v>#N/A</v>
        <stp/>
        <stp>BDH|7148818207562663819</stp>
        <tr r="C11" s="3"/>
      </tp>
      <tp t="e">
        <v>#N/A</v>
        <stp/>
        <stp>BDH|9613974705370797536</stp>
        <tr r="U100" s="12"/>
      </tp>
      <tp t="e">
        <v>#N/A</v>
        <stp/>
        <stp>BDH|1087354602326326144</stp>
        <tr r="E45" s="17"/>
      </tp>
      <tp t="e">
        <v>#N/A</v>
        <stp/>
        <stp>BDH|2383423177292104670</stp>
        <tr r="Z109" s="18"/>
      </tp>
      <tp t="e">
        <v>#N/A</v>
        <stp/>
        <stp>BDH|2372268440147248673</stp>
        <tr r="X30" s="18"/>
      </tp>
      <tp t="e">
        <v>#N/A</v>
        <stp/>
        <stp>BDH|5085400210796737374</stp>
        <tr r="G12" s="6"/>
      </tp>
      <tp t="e">
        <v>#N/A</v>
        <stp/>
        <stp>BDH|6180302554346518300</stp>
        <tr r="S10" s="17"/>
      </tp>
      <tp t="e">
        <v>#N/A</v>
        <stp/>
        <stp>BDH|5447467173253085012</stp>
        <tr r="L17" s="9"/>
      </tp>
      <tp t="e">
        <v>#N/A</v>
        <stp/>
        <stp>BDH|7241145215316618458</stp>
        <tr r="W95" s="18"/>
      </tp>
      <tp t="e">
        <v>#N/A</v>
        <stp/>
        <stp>BDH|7724675926924165273</stp>
        <tr r="D22" s="17"/>
        <tr r="D15" s="3"/>
      </tp>
      <tp t="e">
        <v>#N/A</v>
        <stp/>
        <stp>BDH|5693645766417312773</stp>
        <tr r="Q17" s="21"/>
      </tp>
      <tp t="e">
        <v>#N/A</v>
        <stp/>
        <stp>BDH|1152561506330047119</stp>
        <tr r="C9" s="30"/>
      </tp>
      <tp t="e">
        <v>#N/A</v>
        <stp/>
        <stp>BDH|1776453122640900298</stp>
        <tr r="N68" s="34"/>
      </tp>
      <tp t="e">
        <v>#N/A</v>
        <stp/>
        <stp>BDH|2435735267711135718</stp>
        <tr r="V12" s="27"/>
        <tr r="V26" s="25"/>
      </tp>
      <tp t="e">
        <v>#N/A</v>
        <stp/>
        <stp>BDH|4505724064186719649</stp>
        <tr r="Z13" s="26"/>
      </tp>
      <tp t="e">
        <v>#N/A</v>
        <stp/>
        <stp>BDH|4516974669618294697</stp>
        <tr r="U82" s="24"/>
      </tp>
      <tp t="e">
        <v>#N/A</v>
        <stp/>
        <stp>BDH|7836629618367720256</stp>
        <tr r="Y8" s="11"/>
      </tp>
      <tp t="e">
        <v>#N/A</v>
        <stp/>
        <stp>BDH|3677051002420062619</stp>
        <tr r="T21" s="18"/>
      </tp>
      <tp t="e">
        <v>#N/A</v>
        <stp/>
        <stp>BDH|5376765904150780766</stp>
        <tr r="R139" s="18"/>
      </tp>
      <tp t="e">
        <v>#N/A</v>
        <stp/>
        <stp>BDH|1751127850770108049</stp>
        <tr r="C10" s="22"/>
      </tp>
      <tp t="e">
        <v>#N/A</v>
        <stp/>
        <stp>BDH|3324613932846835586</stp>
        <tr r="O20" s="26"/>
      </tp>
      <tp t="e">
        <v>#N/A</v>
        <stp/>
        <stp>BDH|9872801178807418443</stp>
        <tr r="D148" s="18"/>
      </tp>
      <tp t="e">
        <v>#N/A</v>
        <stp/>
        <stp>BDH|9627589122362434984</stp>
        <tr r="E193" s="18"/>
      </tp>
      <tp t="e">
        <v>#N/A</v>
        <stp/>
        <stp>BDH|6613494176155031598</stp>
        <tr r="D19" s="30"/>
      </tp>
      <tp t="e">
        <v>#N/A</v>
        <stp/>
        <stp>BDH|2336180716145942249</stp>
        <tr r="W108" s="18"/>
      </tp>
      <tp t="e">
        <v>#N/A</v>
        <stp/>
        <stp>BDH|3047025822330583455</stp>
        <tr r="N10" s="34"/>
      </tp>
      <tp t="e">
        <v>#N/A</v>
        <stp/>
        <stp>BDH|1657404458057970278</stp>
        <tr r="E10" s="13"/>
      </tp>
      <tp t="e">
        <v>#N/A</v>
        <stp/>
        <stp>BDH|3041348443367371646</stp>
        <tr r="H12" s="20"/>
        <tr r="H121" s="18"/>
      </tp>
      <tp t="e">
        <v>#N/A</v>
        <stp/>
        <stp>BDH|5757853407748269079</stp>
        <tr r="S35" s="24"/>
      </tp>
      <tp t="e">
        <v>#N/A</v>
        <stp/>
        <stp>BDH|8663849360081651244</stp>
        <tr r="AA19" s="25"/>
      </tp>
      <tp t="e">
        <v>#N/A</v>
        <stp/>
        <stp>BDH|9344313954508341247</stp>
        <tr r="D47" s="12"/>
      </tp>
      <tp t="e">
        <v>#N/A</v>
        <stp/>
        <stp>BDH|4222570142234549435</stp>
        <tr r="L113" s="12"/>
      </tp>
      <tp t="e">
        <v>#N/A</v>
        <stp/>
        <stp>BDH|3284759086471427847</stp>
        <tr r="U16" s="21"/>
      </tp>
      <tp t="e">
        <v>#N/A</v>
        <stp/>
        <stp>BDH|5919762138694644001</stp>
        <tr r="T92" s="18"/>
      </tp>
      <tp t="e">
        <v>#N/A</v>
        <stp/>
        <stp>BDH|7912957364419037491</stp>
        <tr r="M12" s="11"/>
      </tp>
      <tp t="e">
        <v>#N/A</v>
        <stp/>
        <stp>BDH|8437132832278579714</stp>
        <tr r="J21" s="12"/>
      </tp>
      <tp t="e">
        <v>#N/A</v>
        <stp/>
        <stp>BDH|3451043694256570903</stp>
        <tr r="S64" s="18"/>
      </tp>
      <tp t="e">
        <v>#N/A</v>
        <stp/>
        <stp>BDH|3348634738671170281</stp>
        <tr r="I57" s="17"/>
      </tp>
      <tp t="e">
        <v>#N/A</v>
        <stp/>
        <stp>BDH|9198271706069791761</stp>
        <tr r="V34" s="34"/>
      </tp>
      <tp t="e">
        <v>#N/A</v>
        <stp/>
        <stp>BDH|1953481464761614721</stp>
        <tr r="Y175" s="18"/>
      </tp>
      <tp t="e">
        <v>#N/A</v>
        <stp/>
        <stp>BDH|2751472060374443153</stp>
        <tr r="P189" s="18"/>
      </tp>
      <tp t="e">
        <v>#N/A</v>
        <stp/>
        <stp>BDH|1106436778192941520</stp>
        <tr r="K86" s="17"/>
      </tp>
      <tp t="e">
        <v>#N/A</v>
        <stp/>
        <stp>BDH|7805943369564444900</stp>
        <tr r="Q49" s="6"/>
      </tp>
      <tp t="e">
        <v>#N/A</v>
        <stp/>
        <stp>BDH|8885436785830630197</stp>
        <tr r="R176" s="18"/>
      </tp>
      <tp t="e">
        <v>#N/A</v>
        <stp/>
        <stp>BDH|2428619784421080805</stp>
        <tr r="M68" s="34"/>
      </tp>
      <tp t="e">
        <v>#N/A</v>
        <stp/>
        <stp>BDH|9561230971600073965</stp>
        <tr r="L167" s="18"/>
      </tp>
      <tp t="e">
        <v>#N/A</v>
        <stp/>
        <stp>BDH|4851564628730552626</stp>
        <tr r="D30" s="14"/>
      </tp>
      <tp t="e">
        <v>#N/A</v>
        <stp/>
        <stp>BDH|1972187821827457058</stp>
        <tr r="E7" s="20"/>
        <tr r="E117" s="18"/>
      </tp>
      <tp t="e">
        <v>#N/A</v>
        <stp/>
        <stp>BDH|5618754324127151274</stp>
        <tr r="D166" s="18"/>
      </tp>
      <tp t="e">
        <v>#N/A</v>
        <stp/>
        <stp>BDH|1343142902521422404</stp>
        <tr r="K8" s="28"/>
      </tp>
      <tp t="e">
        <v>#N/A</v>
        <stp/>
        <stp>BDH|1841048780878927442</stp>
        <tr r="N111" s="18"/>
      </tp>
      <tp t="e">
        <v>#N/A</v>
        <stp/>
        <stp>BDH|4415498127617995022</stp>
        <tr r="N12" s="14"/>
      </tp>
      <tp t="e">
        <v>#N/A</v>
        <stp/>
        <stp>BDH|8297176389447463399</stp>
        <tr r="T6" s="6"/>
      </tp>
      <tp t="e">
        <v>#N/A</v>
        <stp/>
        <stp>BDH|3509119370923362362</stp>
        <tr r="N178" s="18"/>
      </tp>
      <tp t="e">
        <v>#N/A</v>
        <stp/>
        <stp>BDH|7873103729839933898</stp>
        <tr r="O64" s="10"/>
      </tp>
      <tp t="e">
        <v>#N/A</v>
        <stp/>
        <stp>BDH|7125056023544441422</stp>
        <tr r="AA32" s="22"/>
      </tp>
      <tp t="e">
        <v>#N/A</v>
        <stp/>
        <stp>BDH|8526122552728050145</stp>
        <tr r="P113" s="18"/>
      </tp>
      <tp t="e">
        <v>#N/A</v>
        <stp/>
        <stp>BDH|9554456909039043180</stp>
        <tr r="F24" s="17"/>
      </tp>
      <tp t="e">
        <v>#N/A</v>
        <stp/>
        <stp>BDH|2442547993523026823</stp>
        <tr r="K13" s="9"/>
      </tp>
      <tp t="e">
        <v>#N/A</v>
        <stp/>
        <stp>BDH|4118770997097442842</stp>
        <tr r="C27" s="18"/>
      </tp>
      <tp t="e">
        <v>#N/A</v>
        <stp/>
        <stp>BDH|4319715491688035727</stp>
        <tr r="S35" s="18"/>
      </tp>
      <tp t="e">
        <v>#N/A</v>
        <stp/>
        <stp>BDH|3634925232134019870</stp>
        <tr r="G24" s="27"/>
      </tp>
      <tp t="e">
        <v>#N/A</v>
        <stp/>
        <stp>BDH|7659465711263517455</stp>
        <tr r="T21" s="20"/>
      </tp>
      <tp t="e">
        <v>#N/A</v>
        <stp/>
        <stp>BDH|6871012828273117210</stp>
        <tr r="T36" s="29"/>
        <tr r="T22" s="29"/>
        <tr r="T13" s="29"/>
      </tp>
      <tp t="e">
        <v>#N/A</v>
        <stp/>
        <stp>BDH|2044574926051418148</stp>
        <tr r="Y21" s="27"/>
      </tp>
      <tp t="e">
        <v>#N/A</v>
        <stp/>
        <stp>BDH|3681794039771168364</stp>
        <tr r="I64" s="34"/>
      </tp>
      <tp t="e">
        <v>#N/A</v>
        <stp/>
        <stp>BDH|1134808801024115803</stp>
        <tr r="W8" s="27"/>
      </tp>
      <tp t="e">
        <v>#N/A</v>
        <stp/>
        <stp>BDH|6474605754806773665</stp>
        <tr r="X108" s="18"/>
      </tp>
      <tp t="e">
        <v>#N/A</v>
        <stp/>
        <stp>BDH|2219943158338718388</stp>
        <tr r="L13" s="30"/>
      </tp>
      <tp t="e">
        <v>#N/A</v>
        <stp/>
        <stp>BDH|4853328653452058584</stp>
        <tr r="P31" s="9"/>
      </tp>
      <tp t="e">
        <v>#N/A</v>
        <stp/>
        <stp>BDH|6309811719399903339</stp>
        <tr r="K13" s="6"/>
      </tp>
      <tp t="e">
        <v>#N/A</v>
        <stp/>
        <stp>BDH|7800034919053779048</stp>
        <tr r="G33" s="6"/>
      </tp>
      <tp t="e">
        <v>#N/A</v>
        <stp/>
        <stp>BDH|8621192032259507699</stp>
        <tr r="AA107" s="12"/>
      </tp>
      <tp t="e">
        <v>#N/A</v>
        <stp/>
        <stp>BDH|3683726244347939285</stp>
        <tr r="O53" s="13"/>
      </tp>
      <tp t="e">
        <v>#N/A</v>
        <stp/>
        <stp>BDH|6232983688820509263</stp>
        <tr r="H150" s="18"/>
      </tp>
      <tp t="e">
        <v>#N/A</v>
        <stp/>
        <stp>BDH|6134537412872739565</stp>
        <tr r="L21" s="3"/>
      </tp>
      <tp t="e">
        <v>#N/A</v>
        <stp/>
        <stp>BDH|4355549902604224062</stp>
        <tr r="I92" s="12"/>
      </tp>
      <tp t="e">
        <v>#N/A</v>
        <stp/>
        <stp>BDH|3375929868668970115</stp>
        <tr r="D37" s="34"/>
      </tp>
      <tp t="e">
        <v>#N/A</v>
        <stp/>
        <stp>BDH|6170124041142291416</stp>
        <tr r="T36" s="18"/>
      </tp>
      <tp t="e">
        <v>#N/A</v>
        <stp/>
        <stp>BDH|8393320390056170113</stp>
        <tr r="U27" s="14"/>
      </tp>
      <tp t="e">
        <v>#N/A</v>
        <stp/>
        <stp>BDH|3094046612234301340</stp>
        <tr r="F59" s="12"/>
      </tp>
      <tp t="e">
        <v>#N/A</v>
        <stp/>
        <stp>BDH|1217372160874612527</stp>
        <tr r="T138" s="18"/>
      </tp>
      <tp t="e">
        <v>#N/A</v>
        <stp/>
        <stp>BDH|5768167440933741671</stp>
        <tr r="L19" s="25"/>
      </tp>
      <tp t="e">
        <v>#N/A</v>
        <stp/>
        <stp>BDH|7318328632114437666</stp>
        <tr r="R27" s="7"/>
      </tp>
      <tp t="e">
        <v>#N/A</v>
        <stp/>
        <stp>BDH|7735710008795986061</stp>
        <tr r="Z7" s="34"/>
      </tp>
      <tp t="e">
        <v>#N/A</v>
        <stp/>
        <stp>BDH|2713686479541567728</stp>
        <tr r="U114" s="18"/>
      </tp>
      <tp t="e">
        <v>#N/A</v>
        <stp/>
        <stp>BDH|4789275670364958087</stp>
        <tr r="F67" s="21"/>
      </tp>
      <tp t="e">
        <v>#N/A</v>
        <stp/>
        <stp>BDH|6343107239802930324</stp>
        <tr r="Y6" s="27"/>
      </tp>
      <tp t="e">
        <v>#N/A</v>
        <stp/>
        <stp>BDH|1622610605323194127</stp>
        <tr r="S15" s="26"/>
      </tp>
      <tp t="e">
        <v>#N/A</v>
        <stp/>
        <stp>BDH|1993098361904969691</stp>
        <tr r="L34" s="17"/>
      </tp>
      <tp t="e">
        <v>#N/A</v>
        <stp/>
        <stp>BDH|2196441207381030236</stp>
        <tr r="C21" s="24"/>
      </tp>
      <tp t="e">
        <v>#N/A</v>
        <stp/>
        <stp>BDH|4288423720615702263</stp>
        <tr r="O159" s="18"/>
      </tp>
      <tp t="e">
        <v>#N/A</v>
        <stp/>
        <stp>BDH|1744013826853726563</stp>
        <tr r="S11" s="14"/>
      </tp>
      <tp t="e">
        <v>#N/A</v>
        <stp/>
        <stp>BDH|5800045304684953408</stp>
        <tr r="G21" s="6"/>
      </tp>
      <tp t="e">
        <v>#N/A</v>
        <stp/>
        <stp>BDH|5562298458102371519</stp>
        <tr r="K30" s="21"/>
      </tp>
      <tp t="e">
        <v>#N/A</v>
        <stp/>
        <stp>BDH|9009008042978162056</stp>
        <tr r="G38" s="22"/>
      </tp>
      <tp t="e">
        <v>#N/A</v>
        <stp/>
        <stp>BDH|1229415942390274452</stp>
        <tr r="Z27" s="21"/>
      </tp>
      <tp t="e">
        <v>#N/A</v>
        <stp/>
        <stp>BDH|1885713953246491081</stp>
        <tr r="W50" s="18"/>
      </tp>
      <tp t="e">
        <v>#N/A</v>
        <stp/>
        <stp>BDH|3205843776469464021</stp>
        <tr r="W44" s="11"/>
        <tr r="W53" s="10"/>
        <tr r="W16" s="7"/>
      </tp>
      <tp t="e">
        <v>#N/A</v>
        <stp/>
        <stp>BDH|7739383803710812126</stp>
        <tr r="G32" s="12"/>
      </tp>
      <tp t="e">
        <v>#N/A</v>
        <stp/>
        <stp>BDH|6267203655157721365</stp>
        <tr r="H25" s="9"/>
      </tp>
      <tp t="e">
        <v>#N/A</v>
        <stp/>
        <stp>BDH|4533127153453041626</stp>
        <tr r="P132" s="18"/>
      </tp>
      <tp t="e">
        <v>#N/A</v>
        <stp/>
        <stp>BDH|5612242631416672732</stp>
        <tr r="E26" s="14"/>
      </tp>
      <tp t="e">
        <v>#N/A</v>
        <stp/>
        <stp>BDH|7681622462463542158</stp>
        <tr r="D63" s="10"/>
      </tp>
      <tp t="e">
        <v>#N/A</v>
        <stp/>
        <stp>BDH|7403908942149993692</stp>
        <tr r="O13" s="12"/>
      </tp>
      <tp t="e">
        <v>#N/A</v>
        <stp/>
        <stp>BDH|2167739461754598203</stp>
        <tr r="F28" s="6"/>
      </tp>
      <tp t="e">
        <v>#N/A</v>
        <stp/>
        <stp>BDH|7500206977487027045</stp>
        <tr r="M18" s="22"/>
      </tp>
      <tp t="e">
        <v>#N/A</v>
        <stp/>
        <stp>BDH|2593772755732387720</stp>
        <tr r="U29" s="4"/>
      </tp>
      <tp t="e">
        <v>#N/A</v>
        <stp/>
        <stp>BDH|2593922993484632348</stp>
        <tr r="C43" s="6"/>
      </tp>
      <tp t="e">
        <v>#N/A</v>
        <stp/>
        <stp>BDH|2595364879453548099</stp>
        <tr r="K36" s="6"/>
        <tr r="K17" s="5"/>
      </tp>
      <tp t="e">
        <v>#N/A</v>
        <stp/>
        <stp>BDH|1639077964167055534</stp>
        <tr r="I75" s="24"/>
      </tp>
      <tp t="e">
        <v>#N/A</v>
        <stp/>
        <stp>BDH|2957826492971997767</stp>
        <tr r="T43" s="21"/>
      </tp>
      <tp t="e">
        <v>#N/A</v>
        <stp/>
        <stp>BDH|2312901824448542447</stp>
        <tr r="D62" s="11"/>
        <tr r="D71" s="10"/>
      </tp>
      <tp t="e">
        <v>#N/A</v>
        <stp/>
        <stp>BDH|9335494987377823731</stp>
        <tr r="S55" s="24"/>
      </tp>
      <tp t="e">
        <v>#N/A</v>
        <stp/>
        <stp>BDH|7418420303647593168</stp>
        <tr r="P16" s="10"/>
      </tp>
      <tp t="e">
        <v>#N/A</v>
        <stp/>
        <stp>BDH|7151778101095427059</stp>
        <tr r="F143" s="18"/>
      </tp>
      <tp t="e">
        <v>#N/A</v>
        <stp/>
        <stp>BDH|4121398882048492285</stp>
        <tr r="M28" s="6"/>
      </tp>
      <tp t="e">
        <v>#N/A</v>
        <stp/>
        <stp>BDH|1312587156597212394</stp>
        <tr r="R28" s="4"/>
      </tp>
      <tp t="e">
        <v>#N/A</v>
        <stp/>
        <stp>BDH|1370663917894135756</stp>
        <tr r="P33" s="34"/>
      </tp>
      <tp t="e">
        <v>#N/A</v>
        <stp/>
        <stp>BDH|3777771250175664108</stp>
        <tr r="S23" s="25"/>
        <tr r="Q20" s="11"/>
      </tp>
      <tp t="e">
        <v>#N/A</v>
        <stp/>
        <stp>BDH|3820228776405341693</stp>
        <tr r="W19" s="30"/>
      </tp>
      <tp t="e">
        <v>#N/A</v>
        <stp/>
        <stp>BDH|3632663571646274158</stp>
        <tr r="Q24" s="17"/>
      </tp>
      <tp t="e">
        <v>#N/A</v>
        <stp/>
        <stp>BDH|5207417248833976341</stp>
        <tr r="Q25" s="21"/>
      </tp>
      <tp t="e">
        <v>#N/A</v>
        <stp/>
        <stp>BDH|6001029243382324541</stp>
        <tr r="T36" s="12"/>
      </tp>
      <tp t="e">
        <v>#N/A</v>
        <stp/>
        <stp>BDH|8383752875424366961</stp>
        <tr r="U60" s="34"/>
      </tp>
      <tp t="e">
        <v>#N/A</v>
        <stp/>
        <stp>BDH|9507311300856291908</stp>
        <tr r="T21" s="3"/>
      </tp>
      <tp t="e">
        <v>#N/A</v>
        <stp/>
        <stp>BDH|8493940162202166056</stp>
        <tr r="J6" s="20"/>
        <tr r="J116" s="18"/>
      </tp>
      <tp t="e">
        <v>#N/A</v>
        <stp/>
        <stp>BDH|4956882480549196860</stp>
        <tr r="P98" s="12"/>
      </tp>
      <tp t="e">
        <v>#N/A</v>
        <stp/>
        <stp>BDH|5422967562136074968</stp>
        <tr r="V11" s="28"/>
      </tp>
      <tp t="e">
        <v>#N/A</v>
        <stp/>
        <stp>BDH|3577096063064995402</stp>
        <tr r="E30" s="21"/>
      </tp>
      <tp t="e">
        <v>#N/A</v>
        <stp/>
        <stp>BDH|9709023538816908921</stp>
        <tr r="Y26" s="17"/>
      </tp>
      <tp t="e">
        <v>#N/A</v>
        <stp/>
        <stp>BDH|7405718061246687548</stp>
        <tr r="U12" s="13"/>
      </tp>
      <tp t="e">
        <v>#N/A</v>
        <stp/>
        <stp>BDH|9376393755848003296</stp>
        <tr r="L9" s="21"/>
      </tp>
      <tp t="e">
        <v>#N/A</v>
        <stp/>
        <stp>BDH|9408845679397755489</stp>
        <tr r="V53" s="24"/>
      </tp>
      <tp t="e">
        <v>#N/A</v>
        <stp/>
        <stp>BDH|1987280573073709235</stp>
        <tr r="T14" s="24"/>
      </tp>
      <tp t="e">
        <v>#N/A</v>
        <stp/>
        <stp>BDH|1788012074421774234</stp>
        <tr r="F108" s="18"/>
      </tp>
      <tp t="e">
        <v>#N/A</v>
        <stp/>
        <stp>BDH|7134837020049586110</stp>
        <tr r="Y29" s="29"/>
        <tr r="Y7" s="29"/>
      </tp>
      <tp t="e">
        <v>#N/A</v>
        <stp/>
        <stp>BDH|8367183859878671126</stp>
        <tr r="U23" s="22"/>
      </tp>
      <tp t="e">
        <v>#N/A</v>
        <stp/>
        <stp>BDH|5592805011869580073</stp>
        <tr r="V35" s="34"/>
      </tp>
      <tp t="e">
        <v>#N/A</v>
        <stp/>
        <stp>BDH|5143079643533771740</stp>
        <tr r="Q47" s="21"/>
      </tp>
      <tp t="e">
        <v>#N/A</v>
        <stp/>
        <stp>BDH|8901870406477921279</stp>
        <tr r="I45" s="22"/>
      </tp>
      <tp t="e">
        <v>#N/A</v>
        <stp/>
        <stp>BDH|1338024765177106539</stp>
        <tr r="Y7" s="20"/>
        <tr r="Y117" s="18"/>
      </tp>
      <tp t="e">
        <v>#N/A</v>
        <stp/>
        <stp>BDH|3463456167934754072</stp>
        <tr r="R79" s="12"/>
      </tp>
      <tp t="e">
        <v>#N/A</v>
        <stp/>
        <stp>BDH|6051528408232893448</stp>
        <tr r="Q14" s="20"/>
        <tr r="Q123" s="18"/>
      </tp>
      <tp t="e">
        <v>#N/A</v>
        <stp/>
        <stp>BDH|2540371425346992081</stp>
        <tr r="I140" s="18"/>
      </tp>
      <tp t="e">
        <v>#N/A</v>
        <stp/>
        <stp>BDH|4059164916337190675</stp>
        <tr r="I182" s="18"/>
      </tp>
      <tp t="e">
        <v>#N/A</v>
        <stp/>
        <stp>BDH|1654866697993434657</stp>
        <tr r="K29" s="21"/>
      </tp>
      <tp t="e">
        <v>#N/A</v>
        <stp/>
        <stp>BDH|8386513124478499248</stp>
        <tr r="X62" s="24"/>
      </tp>
      <tp t="e">
        <v>#N/A</v>
        <stp/>
        <stp>BDH|6750483240605089696</stp>
        <tr r="Q107" s="18"/>
      </tp>
      <tp t="e">
        <v>#N/A</v>
        <stp/>
        <stp>BDH|6723673671694379651</stp>
        <tr r="Q13" s="23"/>
        <tr r="O57" s="11"/>
        <tr r="O38" s="4"/>
      </tp>
      <tp t="e">
        <v>#N/A</v>
        <stp/>
        <stp>BDH|4826133811918519988</stp>
        <tr r="E22" s="17"/>
        <tr r="E15" s="3"/>
      </tp>
      <tp t="e">
        <v>#N/A</v>
        <stp/>
        <stp>BDH|5794711515915637323</stp>
        <tr r="K102" s="18"/>
      </tp>
      <tp t="e">
        <v>#N/A</v>
        <stp/>
        <stp>BDH|4167926983499117964</stp>
        <tr r="U47" s="6"/>
      </tp>
      <tp t="e">
        <v>#N/A</v>
        <stp/>
        <stp>BDH|5940073104654578487</stp>
        <tr r="J85" s="12"/>
      </tp>
      <tp t="e">
        <v>#N/A</v>
        <stp/>
        <stp>BDH|4044407563381577216</stp>
        <tr r="I10" s="24"/>
      </tp>
      <tp t="e">
        <v>#N/A</v>
        <stp/>
        <stp>BDH|4730650231633055740</stp>
        <tr r="M38" s="34"/>
      </tp>
      <tp t="e">
        <v>#N/A</v>
        <stp/>
        <stp>BDH|2105015517951545758</stp>
        <tr r="T32" s="9"/>
      </tp>
      <tp t="e">
        <v>#N/A</v>
        <stp/>
        <stp>BDH|8020725171588739531</stp>
        <tr r="P104" s="12"/>
      </tp>
      <tp t="e">
        <v>#N/A</v>
        <stp/>
        <stp>BDH|7461720154016520604</stp>
        <tr r="S180" s="18"/>
      </tp>
      <tp t="e">
        <v>#N/A</v>
        <stp/>
        <stp>BDH|8653315224709534517</stp>
        <tr r="S21" s="3"/>
      </tp>
      <tp t="e">
        <v>#N/A</v>
        <stp/>
        <stp>BDH|8302242496644124275</stp>
        <tr r="M25" s="27"/>
      </tp>
      <tp t="e">
        <v>#N/A</v>
        <stp/>
        <stp>BDH|6349101966263639747</stp>
        <tr r="W51" s="17"/>
      </tp>
      <tp t="e">
        <v>#N/A</v>
        <stp/>
        <stp>BDH|1029932255058222030</stp>
        <tr r="U45" s="34"/>
      </tp>
      <tp t="e">
        <v>#N/A</v>
        <stp/>
        <stp>BDH|9559717149878811729</stp>
        <tr r="E62" s="12"/>
      </tp>
      <tp t="e">
        <v>#N/A</v>
        <stp/>
        <stp>BDH|4576716236641428417</stp>
        <tr r="H34" s="29"/>
      </tp>
      <tp t="e">
        <v>#N/A</v>
        <stp/>
        <stp>BDH|2045361444532074252</stp>
        <tr r="S66" s="10"/>
        <tr r="S39" s="4"/>
      </tp>
      <tp t="e">
        <v>#N/A</v>
        <stp/>
        <stp>BDH|2244299848239031849</stp>
        <tr r="I14" s="12"/>
      </tp>
      <tp t="e">
        <v>#N/A</v>
        <stp/>
        <stp>BDH|4459013068310396799</stp>
        <tr r="F64" s="24"/>
      </tp>
      <tp t="e">
        <v>#N/A</v>
        <stp/>
        <stp>BDH|5243652771589154803</stp>
        <tr r="Q7" s="4"/>
      </tp>
      <tp t="e">
        <v>#N/A</v>
        <stp/>
        <stp>BDH|3636647002080015070</stp>
        <tr r="E71" s="17"/>
      </tp>
      <tp t="e">
        <v>#N/A</v>
        <stp/>
        <stp>BDH|9833023608295347963</stp>
        <tr r="J139" s="18"/>
      </tp>
      <tp t="e">
        <v>#N/A</v>
        <stp/>
        <stp>BDH|3179275352990193126</stp>
        <tr r="F155" s="18"/>
      </tp>
      <tp t="e">
        <v>#N/A</v>
        <stp/>
        <stp>BDH|5683832423743603979</stp>
        <tr r="T49" s="18"/>
      </tp>
      <tp t="e">
        <v>#N/A</v>
        <stp/>
        <stp>BDH|3110343400006205306</stp>
        <tr r="J81" s="24"/>
      </tp>
      <tp t="e">
        <v>#N/A</v>
        <stp/>
        <stp>BDH|8775297484683513483</stp>
        <tr r="R17" s="21"/>
      </tp>
      <tp t="e">
        <v>#N/A</v>
        <stp/>
        <stp>BDH|5664194169463791468</stp>
        <tr r="J42" s="11"/>
        <tr r="J51" s="10"/>
        <tr r="J14" s="7"/>
        <tr r="L9" s="3"/>
      </tp>
      <tp t="e">
        <v>#N/A</v>
        <stp/>
        <stp>BDH|7587370459376458289</stp>
        <tr r="AA48" s="13"/>
      </tp>
      <tp t="e">
        <v>#N/A</v>
        <stp/>
        <stp>BDH|3674834585412750404</stp>
        <tr r="E25" s="29"/>
        <tr r="E19" s="29"/>
        <tr r="E10" s="29"/>
        <tr r="C6" s="9"/>
        <tr r="E12" s="8"/>
        <tr r="C6" s="5"/>
        <tr r="D6" s="2"/>
      </tp>
      <tp t="e">
        <v>#N/A</v>
        <stp/>
        <stp>BDH|9964185592724543016</stp>
        <tr r="X34" s="25"/>
        <tr r="X93" s="17"/>
      </tp>
      <tp t="e">
        <v>#N/A</v>
        <stp/>
        <stp>BDH|1098612933968338967</stp>
        <tr r="AA51" s="17"/>
      </tp>
      <tp t="e">
        <v>#N/A</v>
        <stp/>
        <stp>BDH|7449117623877369624</stp>
        <tr r="W97" s="18"/>
      </tp>
      <tp t="e">
        <v>#N/A</v>
        <stp/>
        <stp>BDH|6500538853225228601</stp>
        <tr r="Z28" s="14"/>
      </tp>
      <tp t="e">
        <v>#N/A</v>
        <stp/>
        <stp>BDH|9796729297032514008</stp>
        <tr r="Q32" s="21"/>
      </tp>
      <tp t="e">
        <v>#N/A</v>
        <stp/>
        <stp>BDH|7928715701652684780</stp>
        <tr r="H24" s="2"/>
      </tp>
      <tp t="e">
        <v>#N/A</v>
        <stp/>
        <stp>BDH|2569224670565790777</stp>
        <tr r="I42" s="18"/>
      </tp>
      <tp t="e">
        <v>#N/A</v>
        <stp/>
        <stp>BDH|4096208147405392234</stp>
        <tr r="I63" s="11"/>
        <tr r="I72" s="10"/>
      </tp>
      <tp t="e">
        <v>#N/A</v>
        <stp/>
        <stp>BDH|3007218041082134263</stp>
        <tr r="Z50" s="17"/>
      </tp>
      <tp t="e">
        <v>#N/A</v>
        <stp/>
        <stp>BDH|6181846264474380959</stp>
        <tr r="Q13" s="13"/>
      </tp>
      <tp t="e">
        <v>#N/A</v>
        <stp/>
        <stp>BDH|9108409680287743714</stp>
        <tr r="O8" s="28"/>
      </tp>
      <tp t="e">
        <v>#N/A</v>
        <stp/>
        <stp>BDH|1277686628879550907</stp>
        <tr r="Z119" s="12"/>
      </tp>
      <tp t="e">
        <v>#N/A</v>
        <stp/>
        <stp>BDH|8009256344412204949</stp>
        <tr r="L82" s="24"/>
      </tp>
      <tp t="e">
        <v>#N/A</v>
        <stp/>
        <stp>BDH|5304217321896626626</stp>
        <tr r="Q67" s="18"/>
      </tp>
      <tp t="e">
        <v>#N/A</v>
        <stp/>
        <stp>BDH|8873125888402241679</stp>
        <tr r="X63" s="12"/>
      </tp>
      <tp t="e">
        <v>#N/A</v>
        <stp/>
        <stp>BDH|6684630842335464446</stp>
        <tr r="Y174" s="18"/>
      </tp>
      <tp t="e">
        <v>#N/A</v>
        <stp/>
        <stp>BDH|9500267506926322816</stp>
        <tr r="O171" s="18"/>
      </tp>
      <tp t="e">
        <v>#N/A</v>
        <stp/>
        <stp>BDH|1958999788060848572</stp>
        <tr r="Y86" s="12"/>
      </tp>
      <tp t="e">
        <v>#N/A</v>
        <stp/>
        <stp>BDH|3199346857047244771</stp>
        <tr r="V14" s="21"/>
      </tp>
      <tp t="e">
        <v>#N/A</v>
        <stp/>
        <stp>BDH|7270517248203881040</stp>
        <tr r="G14" s="12"/>
      </tp>
      <tp t="e">
        <v>#N/A</v>
        <stp/>
        <stp>BDH|3233307535950109617</stp>
        <tr r="D26" s="13"/>
      </tp>
      <tp t="e">
        <v>#N/A</v>
        <stp/>
        <stp>BDH|6177306939435676698</stp>
        <tr r="Z105" s="12"/>
      </tp>
      <tp t="e">
        <v>#N/A</v>
        <stp/>
        <stp>BDH|7155753182885448857</stp>
        <tr r="N27" s="6"/>
      </tp>
      <tp t="e">
        <v>#N/A</v>
        <stp/>
        <stp>BDH|6697802811432509852</stp>
        <tr r="T17" s="28"/>
        <tr r="T14" s="17"/>
      </tp>
      <tp t="e">
        <v>#N/A</v>
        <stp/>
        <stp>BDH|2722037043731380237</stp>
        <tr r="E13" s="12"/>
      </tp>
      <tp t="e">
        <v>#N/A</v>
        <stp/>
        <stp>BDH|4189130863817791114</stp>
        <tr r="AA75" s="17"/>
      </tp>
      <tp t="e">
        <v>#N/A</v>
        <stp/>
        <stp>BDH|7118280002822530297</stp>
        <tr r="N12" s="20"/>
        <tr r="N121" s="18"/>
      </tp>
      <tp t="e">
        <v>#N/A</v>
        <stp/>
        <stp>BDH|7320160194639498320</stp>
        <tr r="G71" s="24"/>
      </tp>
      <tp t="e">
        <v>#N/A</v>
        <stp/>
        <stp>BDH|6437037123865125422</stp>
        <tr r="K13" s="20"/>
        <tr r="K122" s="18"/>
      </tp>
      <tp t="e">
        <v>#N/A</v>
        <stp/>
        <stp>BDH|8444359874138410161</stp>
        <tr r="W115" s="12"/>
      </tp>
      <tp t="e">
        <v>#N/A</v>
        <stp/>
        <stp>BDH|3539851463349792134</stp>
        <tr r="W61" s="11"/>
        <tr r="W70" s="10"/>
        <tr r="W20" s="7"/>
      </tp>
      <tp t="e">
        <v>#N/A</v>
        <stp/>
        <stp>BDH|5788476403131704533</stp>
        <tr r="V52" s="17"/>
      </tp>
      <tp t="e">
        <v>#N/A</v>
        <stp/>
        <stp>BDH|6347101464036631269</stp>
        <tr r="Z8" s="26"/>
        <tr r="W10" s="9"/>
      </tp>
      <tp t="e">
        <v>#N/A</v>
        <stp/>
        <stp>BDH|4910530599598425509</stp>
        <tr r="O22" s="7"/>
      </tp>
      <tp t="e">
        <v>#N/A</v>
        <stp/>
        <stp>BDH|2690835229614242990</stp>
        <tr r="G63" s="24"/>
      </tp>
      <tp t="e">
        <v>#N/A</v>
        <stp/>
        <stp>BDH|7228061399998986303</stp>
        <tr r="U34" s="24"/>
      </tp>
      <tp t="e">
        <v>#N/A</v>
        <stp/>
        <stp>BDH|9536317582472701551</stp>
        <tr r="U184" s="18"/>
      </tp>
      <tp t="e">
        <v>#N/A</v>
        <stp/>
        <stp>BDH|9416975294514662856</stp>
        <tr r="G150" s="18"/>
      </tp>
      <tp t="e">
        <v>#N/A</v>
        <stp/>
        <stp>BDH|3500281826446672093</stp>
        <tr r="C68" s="10"/>
      </tp>
      <tp t="e">
        <v>#N/A</v>
        <stp/>
        <stp>BDH|5508885349109225527</stp>
        <tr r="G15" s="22"/>
      </tp>
      <tp t="e">
        <v>#N/A</v>
        <stp/>
        <stp>BDH|7764920398082031094</stp>
        <tr r="AA8" s="18"/>
      </tp>
      <tp t="e">
        <v>#N/A</v>
        <stp/>
        <stp>BDH|5325061604220206071</stp>
        <tr r="AA75" s="12"/>
      </tp>
      <tp t="e">
        <v>#N/A</v>
        <stp/>
        <stp>BDH|5621712933301038500</stp>
        <tr r="Q12" s="11"/>
      </tp>
      <tp t="e">
        <v>#N/A</v>
        <stp/>
        <stp>BDH|3515740020134073754</stp>
        <tr r="Q177" s="18"/>
      </tp>
      <tp t="e">
        <v>#N/A</v>
        <stp/>
        <stp>BDH|6840085122561451022</stp>
        <tr r="E115" s="12"/>
      </tp>
      <tp t="e">
        <v>#N/A</v>
        <stp/>
        <stp>BDH|5944274373913891613</stp>
        <tr r="X40" s="18"/>
      </tp>
      <tp t="e">
        <v>#N/A</v>
        <stp/>
        <stp>BDH|2478042511561503703</stp>
        <tr r="Y21" s="3"/>
      </tp>
      <tp t="e">
        <v>#N/A</v>
        <stp/>
        <stp>BDH|7829760458080610041</stp>
        <tr r="G53" s="12"/>
      </tp>
      <tp t="e">
        <v>#N/A</v>
        <stp/>
        <stp>BDH|1476208553020441379</stp>
        <tr r="E42" s="24"/>
      </tp>
      <tp t="e">
        <v>#N/A</v>
        <stp/>
        <stp>BDH|1481529572023856586</stp>
        <tr r="Q26" s="21"/>
      </tp>
      <tp t="e">
        <v>#N/A</v>
        <stp/>
        <stp>BDH|5399114233236053458</stp>
        <tr r="T79" s="24"/>
      </tp>
      <tp t="e">
        <v>#N/A</v>
        <stp/>
        <stp>BDH|5311665140260942287</stp>
        <tr r="T38" s="22"/>
      </tp>
      <tp t="e">
        <v>#N/A</v>
        <stp/>
        <stp>BDH|2991924239345332858</stp>
        <tr r="F8" s="17"/>
      </tp>
      <tp t="e">
        <v>#N/A</v>
        <stp/>
        <stp>BDH|5483999581167140691</stp>
        <tr r="R47" s="12"/>
      </tp>
      <tp t="e">
        <v>#N/A</v>
        <stp/>
        <stp>BDH|3303202996715178807</stp>
        <tr r="S69" s="34"/>
      </tp>
      <tp t="e">
        <v>#N/A</v>
        <stp/>
        <stp>BDH|6815112637713343294</stp>
        <tr r="M43" s="13"/>
        <tr r="K35" s="11"/>
        <tr r="K44" s="10"/>
        <tr r="K52" s="4"/>
        <tr r="M8" s="3"/>
      </tp>
      <tp t="e">
        <v>#N/A</v>
        <stp/>
        <stp>BDH|2351727404340062013</stp>
        <tr r="G9" s="22"/>
      </tp>
      <tp t="e">
        <v>#N/A</v>
        <stp/>
        <stp>BDH|4648557773341727236</stp>
        <tr r="L87" s="17"/>
      </tp>
      <tp t="e">
        <v>#N/A</v>
        <stp/>
        <stp>BDH|5478263867700825496</stp>
        <tr r="J9" s="25"/>
        <tr r="J44" s="17"/>
      </tp>
      <tp t="e">
        <v>#N/A</v>
        <stp/>
        <stp>BDH|9554126704468019571</stp>
        <tr r="M16" s="12"/>
      </tp>
      <tp t="e">
        <v>#N/A</v>
        <stp/>
        <stp>BDH|2194173750660693343</stp>
        <tr r="L12" s="6"/>
      </tp>
      <tp t="e">
        <v>#N/A</v>
        <stp/>
        <stp>BDH|4764696003565035290</stp>
        <tr r="C92" s="18"/>
      </tp>
      <tp t="e">
        <v>#N/A</v>
        <stp/>
        <stp>BDH|2341906760469031173</stp>
        <tr r="Y15" s="26"/>
      </tp>
      <tp t="e">
        <v>#N/A</v>
        <stp/>
        <stp>BDH|7959204121261803345</stp>
        <tr r="J8" s="10"/>
      </tp>
      <tp t="e">
        <v>#N/A</v>
        <stp/>
        <stp>BDH|3938240335656527191</stp>
        <tr r="L32" s="6"/>
      </tp>
      <tp t="e">
        <v>#N/A</v>
        <stp/>
        <stp>BDH|6716440622612778726</stp>
        <tr r="R69" s="34"/>
      </tp>
      <tp t="e">
        <v>#N/A</v>
        <stp/>
        <stp>BDH|9672173488815913044</stp>
        <tr r="T7" s="17"/>
      </tp>
      <tp t="e">
        <v>#N/A</v>
        <stp/>
        <stp>BDH|1313639948390513693</stp>
        <tr r="O45" s="34"/>
      </tp>
      <tp t="e">
        <v>#N/A</v>
        <stp/>
        <stp>BDH|8595074632509243765</stp>
        <tr r="R108" s="18"/>
      </tp>
      <tp t="e">
        <v>#N/A</v>
        <stp/>
        <stp>BDH|1043219053760666305</stp>
        <tr r="U69" s="24"/>
      </tp>
      <tp t="e">
        <v>#N/A</v>
        <stp/>
        <stp>BDH|2686630923035775656</stp>
        <tr r="J27" s="17"/>
      </tp>
      <tp t="e">
        <v>#N/A</v>
        <stp/>
        <stp>BDH|7728804491840162331</stp>
        <tr r="Z212" s="18"/>
      </tp>
      <tp t="e">
        <v>#N/A</v>
        <stp/>
        <stp>BDH|9701611406093207968</stp>
        <tr r="H127" s="12"/>
      </tp>
      <tp t="e">
        <v>#N/A</v>
        <stp/>
        <stp>BDH|6896454120077050290</stp>
        <tr r="J38" s="21"/>
        <tr r="J24" s="3"/>
      </tp>
      <tp t="e">
        <v>#N/A</v>
        <stp/>
        <stp>BDH|2957019658391709337</stp>
        <tr r="K74" s="18"/>
      </tp>
      <tp t="e">
        <v>#N/A</v>
        <stp/>
        <stp>BDH|3426394321960001787</stp>
        <tr r="R91" s="17"/>
      </tp>
      <tp t="e">
        <v>#N/A</v>
        <stp/>
        <stp>BDH|5331790488518266748</stp>
        <tr r="I82" s="12"/>
      </tp>
      <tp t="e">
        <v>#N/A</v>
        <stp/>
        <stp>BDH|5954057423413862138</stp>
        <tr r="M76" s="34"/>
      </tp>
      <tp t="e">
        <v>#N/A</v>
        <stp/>
        <stp>BDH|9014361565071282853</stp>
        <tr r="R86" s="12"/>
      </tp>
      <tp t="e">
        <v>#N/A</v>
        <stp/>
        <stp>BDH|8416117491962243720</stp>
        <tr r="N78" s="12"/>
      </tp>
      <tp t="e">
        <v>#N/A</v>
        <stp/>
        <stp>BDH|5098424845736558664</stp>
        <tr r="O39" s="25"/>
        <tr r="O22" s="13"/>
        <tr r="O7" s="13"/>
        <tr r="M17" s="11"/>
        <tr r="O7" s="3"/>
      </tp>
      <tp t="e">
        <v>#N/A</v>
        <stp/>
        <stp>BDH|4980395084332874884</stp>
        <tr r="T38" s="11"/>
        <tr r="T47" s="10"/>
      </tp>
      <tp t="e">
        <v>#N/A</v>
        <stp/>
        <stp>BDH|3612983531224287895</stp>
        <tr r="E85" s="17"/>
        <tr r="C6" s="7"/>
        <tr r="E20" s="3"/>
      </tp>
      <tp t="e">
        <v>#N/A</v>
        <stp/>
        <stp>BDH|3384973860479964094</stp>
        <tr r="AA201" s="18"/>
      </tp>
      <tp t="e">
        <v>#N/A</v>
        <stp/>
        <stp>BDH|5386846590020109123</stp>
        <tr r="F48" s="6"/>
      </tp>
      <tp t="e">
        <v>#N/A</v>
        <stp/>
        <stp>BDH|2124188108446570005</stp>
        <tr r="T45" s="12"/>
      </tp>
      <tp t="e">
        <v>#N/A</v>
        <stp/>
        <stp>BDH|9657850317961421442</stp>
        <tr r="U70" s="34"/>
      </tp>
      <tp t="e">
        <v>#N/A</v>
        <stp/>
        <stp>BDH|7071731811366193270</stp>
        <tr r="F16" s="26"/>
      </tp>
      <tp t="e">
        <v>#N/A</v>
        <stp/>
        <stp>BDH|9915069504504898878</stp>
        <tr r="W61" s="18"/>
      </tp>
      <tp t="e">
        <v>#N/A</v>
        <stp/>
        <stp>BDH|9565961556893058315</stp>
        <tr r="I21" s="14"/>
      </tp>
      <tp t="e">
        <v>#N/A</v>
        <stp/>
        <stp>BDH|1527077904953131730</stp>
        <tr r="D18" s="6"/>
      </tp>
      <tp t="e">
        <v>#N/A</v>
        <stp/>
        <stp>BDH|3038678137043443001</stp>
        <tr r="C65" s="12"/>
      </tp>
      <tp t="e">
        <v>#N/A</v>
        <stp/>
        <stp>BDH|5238015401948361857</stp>
        <tr r="O14" s="8"/>
      </tp>
      <tp t="e">
        <v>#N/A</v>
        <stp/>
        <stp>BDH|1628622017644597721</stp>
        <tr r="J96" s="18"/>
      </tp>
      <tp t="e">
        <v>#N/A</v>
        <stp/>
        <stp>BDH|5900931099103346355</stp>
        <tr r="M103" s="18"/>
      </tp>
      <tp t="e">
        <v>#N/A</v>
        <stp/>
        <stp>BDH|6838589824271782560</stp>
        <tr r="AA101" s="18"/>
      </tp>
      <tp t="e">
        <v>#N/A</v>
        <stp/>
        <stp>BDH|8311226895695275336</stp>
        <tr r="Q57" s="12"/>
      </tp>
      <tp t="e">
        <v>#N/A</v>
        <stp/>
        <stp>BDH|5580952187944674544</stp>
        <tr r="Z202" s="18"/>
      </tp>
      <tp t="e">
        <v>#N/A</v>
        <stp/>
        <stp>BDH|3911740398250937893</stp>
        <tr r="C83" s="24"/>
      </tp>
      <tp t="e">
        <v>#N/A</v>
        <stp/>
        <stp>BDH|4510671005465617246</stp>
        <tr r="P40" s="29"/>
        <tr r="P17" s="29"/>
      </tp>
      <tp t="e">
        <v>#N/A</v>
        <stp/>
        <stp>BDH|3600687974522733582</stp>
        <tr r="L43" s="6"/>
      </tp>
      <tp t="e">
        <v>#N/A</v>
        <stp/>
        <stp>BDH|5740173367515212201</stp>
        <tr r="F20" s="17"/>
      </tp>
      <tp t="e">
        <v>#N/A</v>
        <stp/>
        <stp>BDH|9725833644593578301</stp>
        <tr r="E116" s="12"/>
      </tp>
      <tp t="e">
        <v>#N/A</v>
        <stp/>
        <stp>BDH|2025527770224123167</stp>
        <tr r="R58" s="17"/>
      </tp>
      <tp t="e">
        <v>#N/A</v>
        <stp/>
        <stp>BDH|9238527406279272013</stp>
        <tr r="C59" s="13"/>
      </tp>
      <tp t="e">
        <v>#N/A</v>
        <stp/>
        <stp>BDH|2811409958156496012</stp>
        <tr r="W16" s="26"/>
      </tp>
      <tp t="e">
        <v>#N/A</v>
        <stp/>
        <stp>BDH|2040413320363726233</stp>
        <tr r="N37" s="29"/>
        <tr r="N23" s="29"/>
        <tr r="N14" s="29"/>
      </tp>
      <tp t="e">
        <v>#N/A</v>
        <stp/>
        <stp>BDH|7892622958174188566</stp>
        <tr r="J211" s="18"/>
      </tp>
      <tp t="e">
        <v>#N/A</v>
        <stp/>
        <stp>BDH|6727220252624250005</stp>
        <tr r="N106" s="12"/>
      </tp>
      <tp t="e">
        <v>#N/A</v>
        <stp/>
        <stp>BDH|2253625193849458129</stp>
        <tr r="T14" s="23"/>
      </tp>
      <tp t="e">
        <v>#N/A</v>
        <stp/>
        <stp>BDH|9518711965259444401</stp>
        <tr r="W83" s="12"/>
      </tp>
      <tp t="e">
        <v>#N/A</v>
        <stp/>
        <stp>BDH|7443550545262591148</stp>
        <tr r="G43" s="17"/>
      </tp>
      <tp t="e">
        <v>#N/A</v>
        <stp/>
        <stp>BDH|6047638812951149556</stp>
        <tr r="D15" s="18"/>
      </tp>
      <tp t="e">
        <v>#N/A</v>
        <stp/>
        <stp>BDH|9600470882463471324</stp>
        <tr r="P9" s="22"/>
      </tp>
      <tp t="e">
        <v>#N/A</v>
        <stp/>
        <stp>BDH|4901799152225446639</stp>
        <tr r="M25" s="13"/>
      </tp>
      <tp t="e">
        <v>#N/A</v>
        <stp/>
        <stp>BDH|6045027208401633292</stp>
        <tr r="X90" s="18"/>
      </tp>
      <tp t="e">
        <v>#N/A</v>
        <stp/>
        <stp>BDH|5034664657146686528</stp>
        <tr r="Z18" s="22"/>
      </tp>
      <tp t="e">
        <v>#N/A</v>
        <stp/>
        <stp>BDH|3534407771075835091</stp>
        <tr r="X134" s="18"/>
      </tp>
      <tp t="e">
        <v>#N/A</v>
        <stp/>
        <stp>BDH|4706093171595921332</stp>
        <tr r="E56" s="6"/>
      </tp>
      <tp t="e">
        <v>#N/A</v>
        <stp/>
        <stp>BDH|3248579362385761051</stp>
        <tr r="U69" s="12"/>
      </tp>
      <tp t="e">
        <v>#N/A</v>
        <stp/>
        <stp>BDH|9093930162640435305</stp>
        <tr r="N135" s="18"/>
      </tp>
      <tp t="e">
        <v>#N/A</v>
        <stp/>
        <stp>BDH|5668585749526263709</stp>
        <tr r="X23" s="11"/>
      </tp>
      <tp t="e">
        <v>#N/A</v>
        <stp/>
        <stp>BDH|8186923853154112542</stp>
        <tr r="R10" s="21"/>
      </tp>
      <tp t="e">
        <v>#N/A</v>
        <stp/>
        <stp>BDH|6997202199348718020</stp>
        <tr r="Z38" s="29"/>
        <tr r="Z15" s="29"/>
      </tp>
      <tp t="e">
        <v>#N/A</v>
        <stp/>
        <stp>BDH|3563979608516710983</stp>
        <tr r="Q20" s="28"/>
        <tr r="Q17" s="17"/>
      </tp>
      <tp t="e">
        <v>#N/A</v>
        <stp/>
        <stp>BDH|3375683844530219488</stp>
        <tr r="H89" s="18"/>
      </tp>
      <tp t="e">
        <v>#N/A</v>
        <stp/>
        <stp>BDH|6997364076531894649</stp>
        <tr r="H88" s="17"/>
      </tp>
      <tp t="e">
        <v>#N/A</v>
        <stp/>
        <stp>BDH|4640423234500533609</stp>
        <tr r="P166" s="18"/>
      </tp>
      <tp t="e">
        <v>#N/A</v>
        <stp/>
        <stp>BDH|4611998449595153921</stp>
        <tr r="N30" s="34"/>
      </tp>
      <tp t="e">
        <v>#N/A</v>
        <stp/>
        <stp>BDH|9317636366135541969</stp>
        <tr r="Q67" s="10"/>
      </tp>
      <tp t="e">
        <v>#N/A</v>
        <stp/>
        <stp>BDH|7415315474842354472</stp>
        <tr r="O38" s="22"/>
      </tp>
      <tp t="e">
        <v>#N/A</v>
        <stp/>
        <stp>BDH|5506739214827592122</stp>
        <tr r="L6" s="27"/>
      </tp>
      <tp t="e">
        <v>#N/A</v>
        <stp/>
        <stp>BDH|2360369943756041636</stp>
        <tr r="T41" s="22"/>
      </tp>
      <tp t="e">
        <v>#N/A</v>
        <stp/>
        <stp>BDH|8162571912761492853</stp>
        <tr r="Q15" s="22"/>
      </tp>
      <tp t="e">
        <v>#N/A</v>
        <stp/>
        <stp>BDH|1467047723883060565</stp>
        <tr r="Y37" s="22"/>
      </tp>
      <tp t="e">
        <v>#N/A</v>
        <stp/>
        <stp>BDH|3259105866404099517</stp>
        <tr r="F62" s="18"/>
      </tp>
      <tp t="e">
        <v>#N/A</v>
        <stp/>
        <stp>BDH|9681681831530812927</stp>
        <tr r="Y183" s="18"/>
      </tp>
      <tp t="e">
        <v>#N/A</v>
        <stp/>
        <stp>BDH|8803909421336974050</stp>
        <tr r="Z77" s="34"/>
      </tp>
      <tp t="e">
        <v>#N/A</v>
        <stp/>
        <stp>BDH|7645211425493694114</stp>
        <tr r="K75" s="24"/>
      </tp>
      <tp t="e">
        <v>#N/A</v>
        <stp/>
        <stp>BDH|7218073768653192791</stp>
        <tr r="H29" s="29"/>
        <tr r="H7" s="29"/>
      </tp>
      <tp t="e">
        <v>#N/A</v>
        <stp/>
        <stp>BDH|4979655914827822157</stp>
        <tr r="O13" s="23"/>
        <tr r="M57" s="11"/>
        <tr r="M38" s="4"/>
      </tp>
      <tp t="e">
        <v>#N/A</v>
        <stp/>
        <stp>BDH|5939727371017933768</stp>
        <tr r="S9" s="26"/>
      </tp>
      <tp t="e">
        <v>#N/A</v>
        <stp/>
        <stp>BDH|3901437115631292286</stp>
        <tr r="V163" s="18"/>
      </tp>
      <tp t="e">
        <v>#N/A</v>
        <stp/>
        <stp>BDH|22017500699584137</stp>
        <tr r="U65" s="18"/>
      </tp>
      <tp t="e">
        <v>#N/A</v>
        <stp/>
        <stp>BDH|67209047059240706</stp>
        <tr r="T22" s="7"/>
      </tp>
      <tp t="e">
        <v>#N/A</v>
        <stp/>
        <stp>BDH|43157831128300223</stp>
        <tr r="O18" s="22"/>
      </tp>
      <tp t="e">
        <v>#N/A</v>
        <stp/>
        <stp>BDH|76567888251922459</stp>
        <tr r="R205" s="18"/>
      </tp>
      <tp t="e">
        <v>#N/A</v>
        <stp/>
        <stp>BDH|72813944142168679</stp>
        <tr r="O42" s="21"/>
      </tp>
      <tp t="e">
        <v>#N/A</v>
        <stp/>
        <stp>BDH|77580746199841095</stp>
        <tr r="Z91" s="24"/>
      </tp>
      <tp t="e">
        <v>#N/A</v>
        <stp/>
        <stp>BDH|90081590784968590</stp>
        <tr r="M45" s="22"/>
      </tp>
      <tp t="e">
        <v>#N/A</v>
        <stp/>
        <stp>BDH|50059498416485700</stp>
        <tr r="Y45" s="12"/>
      </tp>
      <tp t="e">
        <v>#N/A</v>
        <stp/>
        <stp>BDH|2851143620796235143</stp>
        <tr r="AA17" s="24"/>
      </tp>
      <tp t="e">
        <v>#N/A</v>
        <stp/>
        <stp>BDH|2360457267477820137</stp>
        <tr r="N56" s="34"/>
      </tp>
      <tp t="e">
        <v>#N/A</v>
        <stp/>
        <stp>BDH|6457791506792047517</stp>
        <tr r="Z165" s="18"/>
      </tp>
      <tp t="e">
        <v>#N/A</v>
        <stp/>
        <stp>BDH|7821213868105331083</stp>
        <tr r="P13" s="21"/>
      </tp>
      <tp t="e">
        <v>#N/A</v>
        <stp/>
        <stp>BDH|1745262626205849250</stp>
        <tr r="L193" s="18"/>
      </tp>
      <tp t="e">
        <v>#N/A</v>
        <stp/>
        <stp>BDH|2002227679744024511</stp>
        <tr r="G67" s="17"/>
      </tp>
      <tp t="e">
        <v>#N/A</v>
        <stp/>
        <stp>BDH|8289365701465938869</stp>
        <tr r="Y110" s="18"/>
      </tp>
      <tp t="e">
        <v>#N/A</v>
        <stp/>
        <stp>BDH|1075902637924963949</stp>
        <tr r="V81" s="18"/>
      </tp>
      <tp t="e">
        <v>#N/A</v>
        <stp/>
        <stp>BDH|2986141855062634249</stp>
        <tr r="V87" s="24"/>
      </tp>
      <tp t="e">
        <v>#N/A</v>
        <stp/>
        <stp>BDH|9959535986211758314</stp>
        <tr r="N107" s="12"/>
      </tp>
      <tp t="e">
        <v>#N/A</v>
        <stp/>
        <stp>BDH|5197521779460195117</stp>
        <tr r="H151" s="18"/>
      </tp>
      <tp t="e">
        <v>#N/A</v>
        <stp/>
        <stp>BDH|5811709734064633309</stp>
        <tr r="H159" s="18"/>
      </tp>
      <tp t="e">
        <v>#N/A</v>
        <stp/>
        <stp>BDH|8276430886492864057</stp>
        <tr r="Q11" s="13"/>
      </tp>
      <tp t="e">
        <v>#N/A</v>
        <stp/>
        <stp>BDH|2070935477782721895</stp>
        <tr r="G25" s="24"/>
      </tp>
      <tp t="e">
        <v>#N/A</v>
        <stp/>
        <stp>BDH|1362550633002822371</stp>
        <tr r="K37" s="6"/>
      </tp>
      <tp t="e">
        <v>#N/A</v>
        <stp/>
        <stp>BDH|4386592873034362409</stp>
        <tr r="G43" s="24"/>
      </tp>
      <tp t="e">
        <v>#N/A</v>
        <stp/>
        <stp>BDH|8392696282714488465</stp>
        <tr r="Z120" s="12"/>
      </tp>
      <tp t="e">
        <v>#N/A</v>
        <stp/>
        <stp>BDH|2901662584788158204</stp>
        <tr r="U89" s="17"/>
      </tp>
      <tp t="e">
        <v>#N/A</v>
        <stp/>
        <stp>BDH|5871526319315073291</stp>
        <tr r="S74" s="18"/>
      </tp>
      <tp t="e">
        <v>#N/A</v>
        <stp/>
        <stp>BDH|7389959312110809964</stp>
        <tr r="I170" s="18"/>
      </tp>
      <tp t="e">
        <v>#N/A</v>
        <stp/>
        <stp>BDH|6180482963924359631</stp>
        <tr r="Q169" s="18"/>
      </tp>
      <tp t="e">
        <v>#N/A</v>
        <stp/>
        <stp>BDH|6250731762316069796</stp>
        <tr r="Y15" s="21"/>
      </tp>
      <tp t="e">
        <v>#N/A</v>
        <stp/>
        <stp>BDH|1275753808238296878</stp>
        <tr r="C35" s="17"/>
      </tp>
      <tp t="e">
        <v>#N/A</v>
        <stp/>
        <stp>BDH|6541967055389460581</stp>
        <tr r="Y50" s="21"/>
      </tp>
      <tp t="e">
        <v>#N/A</v>
        <stp/>
        <stp>BDH|6685474378994366704</stp>
        <tr r="U39" s="6"/>
      </tp>
      <tp t="e">
        <v>#N/A</v>
        <stp/>
        <stp>BDH|1548842366470476992</stp>
        <tr r="Q11" s="9"/>
      </tp>
      <tp t="e">
        <v>#N/A</v>
        <stp/>
        <stp>BDH|7042967187106807634</stp>
        <tr r="H12" s="21"/>
      </tp>
      <tp t="e">
        <v>#N/A</v>
        <stp/>
        <stp>BDH|8971382866353599886</stp>
        <tr r="I16" s="20"/>
      </tp>
      <tp t="e">
        <v>#N/A</v>
        <stp/>
        <stp>BDH|5221578059480307357</stp>
        <tr r="R8" s="27"/>
      </tp>
      <tp t="e">
        <v>#N/A</v>
        <stp/>
        <stp>BDH|3964231261202696374</stp>
        <tr r="Y42" s="18"/>
      </tp>
      <tp t="e">
        <v>#N/A</v>
        <stp/>
        <stp>BDH|7530508008302291659</stp>
        <tr r="J35" s="24"/>
      </tp>
      <tp t="e">
        <v>#N/A</v>
        <stp/>
        <stp>BDH|7257846052829726591</stp>
        <tr r="I25" s="27"/>
      </tp>
      <tp t="e">
        <v>#N/A</v>
        <stp/>
        <stp>BDH|4487557889588379715</stp>
        <tr r="Q13" s="20"/>
        <tr r="Q122" s="18"/>
      </tp>
      <tp t="e">
        <v>#N/A</v>
        <stp/>
        <stp>BDH|5919748017195250026</stp>
        <tr r="R16" s="34"/>
      </tp>
      <tp t="e">
        <v>#N/A</v>
        <stp/>
        <stp>BDH|7950055835673341109</stp>
        <tr r="G33" s="9"/>
      </tp>
      <tp t="e">
        <v>#N/A</v>
        <stp/>
        <stp>BDH|8233949882259600683</stp>
        <tr r="T68" s="34"/>
      </tp>
      <tp t="e">
        <v>#N/A</v>
        <stp/>
        <stp>BDH|5756558600022938415</stp>
        <tr r="O22" s="12"/>
      </tp>
      <tp t="e">
        <v>#N/A</v>
        <stp/>
        <stp>BDH|1760581421168149859</stp>
        <tr r="X138" s="18"/>
      </tp>
      <tp t="e">
        <v>#N/A</v>
        <stp/>
        <stp>BDH|2658968434188935675</stp>
        <tr r="S25" s="5"/>
      </tp>
      <tp t="e">
        <v>#N/A</v>
        <stp/>
        <stp>BDH|1105985187090770638</stp>
        <tr r="V126" s="18"/>
      </tp>
      <tp t="e">
        <v>#N/A</v>
        <stp/>
        <stp>BDH|8004441859479014679</stp>
        <tr r="L13" s="2"/>
      </tp>
      <tp t="e">
        <v>#N/A</v>
        <stp/>
        <stp>BDH|4784490923624020070</stp>
        <tr r="Q63" s="34"/>
      </tp>
      <tp t="e">
        <v>#N/A</v>
        <stp/>
        <stp>BDH|9995932906956459028</stp>
        <tr r="V9" s="34"/>
      </tp>
      <tp t="e">
        <v>#N/A</v>
        <stp/>
        <stp>BDH|9805595159249592671</stp>
        <tr r="P27" s="18"/>
      </tp>
      <tp t="e">
        <v>#N/A</v>
        <stp/>
        <stp>BDH|2262795534443619338</stp>
        <tr r="H51" s="12"/>
      </tp>
      <tp t="e">
        <v>#N/A</v>
        <stp/>
        <stp>BDH|3517329344167158582</stp>
        <tr r="D106" s="18"/>
      </tp>
      <tp t="e">
        <v>#N/A</v>
        <stp/>
        <stp>BDH|4011114504335662681</stp>
        <tr r="N95" s="18"/>
      </tp>
      <tp t="e">
        <v>#N/A</v>
        <stp/>
        <stp>BDH|2376452224420828212</stp>
        <tr r="S16" s="27"/>
        <tr r="S30" s="25"/>
      </tp>
      <tp t="e">
        <v>#N/A</v>
        <stp/>
        <stp>BDH|1180254585265885826</stp>
        <tr r="P62" s="17"/>
      </tp>
      <tp t="e">
        <v>#N/A</v>
        <stp/>
        <stp>BDH|1974762315768632971</stp>
        <tr r="P81" s="34"/>
      </tp>
      <tp t="e">
        <v>#N/A</v>
        <stp/>
        <stp>BDH|2733613059565056240</stp>
        <tr r="N42" s="17"/>
      </tp>
      <tp t="e">
        <v>#N/A</v>
        <stp/>
        <stp>BDH|4204656074731032280</stp>
        <tr r="S13" s="27"/>
        <tr r="S27" s="25"/>
      </tp>
      <tp t="e">
        <v>#N/A</v>
        <stp/>
        <stp>BDH|5045753281255737984</stp>
        <tr r="H7" s="23"/>
      </tp>
      <tp t="e">
        <v>#N/A</v>
        <stp/>
        <stp>BDH|7736212567301201480</stp>
        <tr r="S47" s="18"/>
      </tp>
      <tp t="e">
        <v>#N/A</v>
        <stp/>
        <stp>BDH|8565191763728603122</stp>
        <tr r="T27" s="21"/>
      </tp>
      <tp t="e">
        <v>#N/A</v>
        <stp/>
        <stp>BDH|8017446091321838265</stp>
        <tr r="K26" s="14"/>
      </tp>
      <tp t="e">
        <v>#N/A</v>
        <stp/>
        <stp>BDH|8311175986636044194</stp>
        <tr r="X11" s="9"/>
      </tp>
      <tp t="e">
        <v>#N/A</v>
        <stp/>
        <stp>BDH|7413956199315259413</stp>
        <tr r="R10" s="14"/>
      </tp>
      <tp t="e">
        <v>#N/A</v>
        <stp/>
        <stp>BDH|7368963243104978846</stp>
        <tr r="R22" s="18"/>
      </tp>
      <tp t="e">
        <v>#N/A</v>
        <stp/>
        <stp>BDH|2351394219413190598</stp>
        <tr r="K13" s="2"/>
      </tp>
      <tp t="e">
        <v>#N/A</v>
        <stp/>
        <stp>BDH|1634284999959891543</stp>
        <tr r="P36" s="18"/>
      </tp>
      <tp t="e">
        <v>#N/A</v>
        <stp/>
        <stp>BDH|1292376144438246888</stp>
        <tr r="D19" s="17"/>
      </tp>
      <tp t="e">
        <v>#N/A</v>
        <stp/>
        <stp>BDH|6641783429586821347</stp>
        <tr r="R108" s="12"/>
      </tp>
      <tp t="e">
        <v>#N/A</v>
        <stp/>
        <stp>BDH|4295435988848140637</stp>
        <tr r="C193" s="18"/>
      </tp>
      <tp t="e">
        <v>#N/A</v>
        <stp/>
        <stp>BDH|6277445422135609394</stp>
        <tr r="H81" s="24"/>
      </tp>
      <tp t="e">
        <v>#N/A</v>
        <stp/>
        <stp>BDH|5919350208306831676</stp>
        <tr r="W40" s="29"/>
        <tr r="W17" s="29"/>
      </tp>
      <tp t="e">
        <v>#N/A</v>
        <stp/>
        <stp>BDH|3951517564376317046</stp>
        <tr r="P23" s="20"/>
      </tp>
      <tp t="e">
        <v>#N/A</v>
        <stp/>
        <stp>BDH|5754915989521119352</stp>
        <tr r="P30" s="26"/>
      </tp>
      <tp t="e">
        <v>#N/A</v>
        <stp/>
        <stp>BDH|7185821129903732865</stp>
        <tr r="O79" s="12"/>
      </tp>
      <tp t="e">
        <v>#N/A</v>
        <stp/>
        <stp>BDH|3952066469587479497</stp>
        <tr r="O9" s="11"/>
      </tp>
      <tp t="e">
        <v>#N/A</v>
        <stp/>
        <stp>BDH|3805379953872377140</stp>
        <tr r="V34" s="9"/>
      </tp>
      <tp t="e">
        <v>#N/A</v>
        <stp/>
        <stp>BDH|1995685539880398204</stp>
        <tr r="T62" s="21"/>
        <tr r="R25" s="2"/>
      </tp>
      <tp t="e">
        <v>#N/A</v>
        <stp/>
        <stp>BDH|4645674008910153437</stp>
        <tr r="R82" s="18"/>
      </tp>
      <tp t="e">
        <v>#N/A</v>
        <stp/>
        <stp>BDH|4551399254255634156</stp>
        <tr r="U8" s="21"/>
      </tp>
      <tp t="e">
        <v>#N/A</v>
        <stp/>
        <stp>BDH|5990727200503191719</stp>
        <tr r="J50" s="18"/>
      </tp>
      <tp t="e">
        <v>#N/A</v>
        <stp/>
        <stp>BDH|6024500217944429082</stp>
        <tr r="W30" s="12"/>
      </tp>
      <tp t="e">
        <v>#N/A</v>
        <stp/>
        <stp>BDH|1397994706448071674</stp>
        <tr r="AA75" s="34"/>
      </tp>
      <tp t="e">
        <v>#N/A</v>
        <stp/>
        <stp>BDH|7452216978870230442</stp>
        <tr r="Q13" s="5"/>
      </tp>
      <tp t="e">
        <v>#N/A</v>
        <stp/>
        <stp>BDH|7472973469706571849</stp>
        <tr r="K43" s="34"/>
      </tp>
      <tp t="e">
        <v>#N/A</v>
        <stp/>
        <stp>BDH|6983040377244645373</stp>
        <tr r="L58" s="34"/>
      </tp>
      <tp t="e">
        <v>#N/A</v>
        <stp/>
        <stp>BDH|4876788519230075426</stp>
        <tr r="V59" s="18"/>
      </tp>
      <tp t="e">
        <v>#N/A</v>
        <stp/>
        <stp>BDH|2447361528664085117</stp>
        <tr r="C14" s="6"/>
      </tp>
      <tp t="e">
        <v>#N/A</v>
        <stp/>
        <stp>BDH|5987356776412560540</stp>
        <tr r="Y41" s="12"/>
      </tp>
      <tp t="e">
        <v>#N/A</v>
        <stp/>
        <stp>BDH|2899297808676718055</stp>
        <tr r="F7" s="14"/>
      </tp>
      <tp t="e">
        <v>#N/A</v>
        <stp/>
        <stp>BDH|2375317915034886244</stp>
        <tr r="H67" s="18"/>
      </tp>
      <tp t="e">
        <v>#N/A</v>
        <stp/>
        <stp>BDH|3915111512000380527</stp>
        <tr r="Z50" s="13"/>
      </tp>
      <tp t="e">
        <v>#N/A</v>
        <stp/>
        <stp>BDH|3750588534615858680</stp>
        <tr r="T68" s="12"/>
      </tp>
      <tp t="e">
        <v>#N/A</v>
        <stp/>
        <stp>BDH|4325486066919619902</stp>
        <tr r="S24" s="21"/>
      </tp>
      <tp t="e">
        <v>#N/A</v>
        <stp/>
        <stp>BDH|2758164020736911139</stp>
        <tr r="T41" s="24"/>
      </tp>
      <tp t="e">
        <v>#N/A</v>
        <stp/>
        <stp>BDH|2889007133947549063</stp>
        <tr r="I43" s="29"/>
      </tp>
      <tp t="e">
        <v>#N/A</v>
        <stp/>
        <stp>BDH|9797383737537260828</stp>
        <tr r="V41" s="34"/>
      </tp>
      <tp t="e">
        <v>#N/A</v>
        <stp/>
        <stp>BDH|4738354707297949640</stp>
        <tr r="O149" s="18"/>
      </tp>
      <tp t="e">
        <v>#N/A</v>
        <stp/>
        <stp>BDH|9029683182158274907</stp>
        <tr r="I124" s="18"/>
      </tp>
      <tp t="e">
        <v>#N/A</v>
        <stp/>
        <stp>BDH|5959623537036449001</stp>
        <tr r="F43" s="12"/>
      </tp>
      <tp t="e">
        <v>#N/A</v>
        <stp/>
        <stp>BDH|5384440301965849266</stp>
        <tr r="Q46" s="6"/>
        <tr r="Q19" s="5"/>
      </tp>
      <tp t="e">
        <v>#N/A</v>
        <stp/>
        <stp>BDH|9630690976648725664</stp>
        <tr r="I76" s="18"/>
      </tp>
      <tp t="e">
        <v>#N/A</v>
        <stp/>
        <stp>BDH|3131324270299330885</stp>
        <tr r="H105" s="18"/>
      </tp>
      <tp t="e">
        <v>#N/A</v>
        <stp/>
        <stp>BDH|2911434024281202344</stp>
        <tr r="AA44" s="21"/>
      </tp>
      <tp t="e">
        <v>#N/A</v>
        <stp/>
        <stp>BDH|3000563211881681090</stp>
        <tr r="M77" s="18"/>
      </tp>
      <tp t="e">
        <v>#N/A</v>
        <stp/>
        <stp>BDH|1870055165879283820</stp>
        <tr r="F11" s="24"/>
      </tp>
      <tp t="e">
        <v>#N/A</v>
        <stp/>
        <stp>BDH|2877410476102736507</stp>
        <tr r="U77" s="17"/>
      </tp>
      <tp t="e">
        <v>#N/A</v>
        <stp/>
        <stp>BDH|7811577836213028414</stp>
        <tr r="K10" s="28"/>
      </tp>
      <tp t="e">
        <v>#N/A</v>
        <stp/>
        <stp>BDH|2567370868886795755</stp>
        <tr r="N44" s="34"/>
      </tp>
      <tp t="e">
        <v>#N/A</v>
        <stp/>
        <stp>BDH|3998101414941741427</stp>
        <tr r="N18" s="18"/>
      </tp>
      <tp t="e">
        <v>#N/A</v>
        <stp/>
        <stp>BDH|6113443933755635284</stp>
        <tr r="I21" s="18"/>
      </tp>
      <tp t="e">
        <v>#N/A</v>
        <stp/>
        <stp>BDH|1502654950157138393</stp>
        <tr r="G34" s="24"/>
      </tp>
      <tp t="e">
        <v>#N/A</v>
        <stp/>
        <stp>BDH|8745256727667807951</stp>
        <tr r="V76" s="12"/>
      </tp>
      <tp t="e">
        <v>#N/A</v>
        <stp/>
        <stp>BDH|5785135969577196344</stp>
        <tr r="O68" s="13"/>
      </tp>
      <tp t="e">
        <v>#N/A</v>
        <stp/>
        <stp>BDH|6160397070106763272</stp>
        <tr r="V11" s="21"/>
      </tp>
      <tp t="e">
        <v>#N/A</v>
        <stp/>
        <stp>BDH|2058362934864399092</stp>
        <tr r="O26" s="34"/>
      </tp>
      <tp t="e">
        <v>#N/A</v>
        <stp/>
        <stp>BDH|1300585786282666835</stp>
        <tr r="O78" s="34"/>
      </tp>
      <tp t="e">
        <v>#N/A</v>
        <stp/>
        <stp>BDH|6100301429353534256</stp>
        <tr r="T8" s="17"/>
      </tp>
      <tp t="e">
        <v>#N/A</v>
        <stp/>
        <stp>BDH|3675010550362651296</stp>
        <tr r="O66" s="13"/>
      </tp>
      <tp t="e">
        <v>#N/A</v>
        <stp/>
        <stp>BDH|6461208488762063848</stp>
        <tr r="Z20" s="34"/>
      </tp>
      <tp t="e">
        <v>#N/A</v>
        <stp/>
        <stp>BDH|7030613436464738080</stp>
        <tr r="D59" s="17"/>
      </tp>
      <tp t="e">
        <v>#N/A</v>
        <stp/>
        <stp>BDH|3495793677853670643</stp>
        <tr r="G33" s="18"/>
      </tp>
      <tp t="e">
        <v>#N/A</v>
        <stp/>
        <stp>BDH|3223896093320216420</stp>
        <tr r="Q29" s="13"/>
        <tr r="Q16" s="13"/>
        <tr r="O17" s="10"/>
      </tp>
      <tp t="e">
        <v>#N/A</v>
        <stp/>
        <stp>BDH|4245174970412463694</stp>
        <tr r="AA184" s="18"/>
      </tp>
      <tp t="e">
        <v>#N/A</v>
        <stp/>
        <stp>BDH|1960483525800473183</stp>
        <tr r="C20" s="5"/>
      </tp>
      <tp t="e">
        <v>#N/A</v>
        <stp/>
        <stp>BDH|9417396006499338509</stp>
        <tr r="S54" s="13"/>
      </tp>
      <tp t="e">
        <v>#N/A</v>
        <stp/>
        <stp>BDH|1167788829494944617</stp>
        <tr r="H20" s="28"/>
        <tr r="H17" s="17"/>
      </tp>
      <tp t="e">
        <v>#N/A</v>
        <stp/>
        <stp>BDH|2385975649201637834</stp>
        <tr r="P11" s="17"/>
      </tp>
      <tp t="e">
        <v>#N/A</v>
        <stp/>
        <stp>BDH|2038857729787792932</stp>
        <tr r="O42" s="4"/>
      </tp>
      <tp t="e">
        <v>#N/A</v>
        <stp/>
        <stp>BDH|7453165618879570875</stp>
        <tr r="V164" s="18"/>
      </tp>
      <tp t="e">
        <v>#N/A</v>
        <stp/>
        <stp>BDH|4370394387728785121</stp>
        <tr r="O142" s="18"/>
      </tp>
      <tp t="e">
        <v>#N/A</v>
        <stp/>
        <stp>BDH|3994184575416968552</stp>
        <tr r="E14" s="10"/>
      </tp>
      <tp t="e">
        <v>#N/A</v>
        <stp/>
        <stp>BDH|2411584736215381710</stp>
        <tr r="T60" s="12"/>
      </tp>
      <tp t="e">
        <v>#N/A</v>
        <stp/>
        <stp>BDH|2499271868157419777</stp>
        <tr r="I101" s="18"/>
      </tp>
      <tp t="e">
        <v>#N/A</v>
        <stp/>
        <stp>BDH|1214687897111405918</stp>
        <tr r="Q25" s="26"/>
      </tp>
      <tp t="e">
        <v>#N/A</v>
        <stp/>
        <stp>BDH|2118642149325166358</stp>
        <tr r="R35" s="25"/>
      </tp>
      <tp t="e">
        <v>#N/A</v>
        <stp/>
        <stp>BDH|8763086242169412301</stp>
        <tr r="P72" s="12"/>
      </tp>
      <tp t="e">
        <v>#N/A</v>
        <stp/>
        <stp>BDH|6536785813311171763</stp>
        <tr r="F51" s="18"/>
      </tp>
      <tp t="e">
        <v>#N/A</v>
        <stp/>
        <stp>BDH|7821793529576879292</stp>
        <tr r="P58" s="34"/>
      </tp>
      <tp t="e">
        <v>#N/A</v>
        <stp/>
        <stp>BDH|6763684977594830594</stp>
        <tr r="Y80" s="24"/>
      </tp>
      <tp t="e">
        <v>#N/A</v>
        <stp/>
        <stp>BDH|6691892084531757158</stp>
        <tr r="K29" s="18"/>
      </tp>
      <tp t="e">
        <v>#N/A</v>
        <stp/>
        <stp>BDH|9422106436038346583</stp>
        <tr r="AA52" s="17"/>
      </tp>
      <tp t="e">
        <v>#N/A</v>
        <stp/>
        <stp>BDH|8758727498714023444</stp>
        <tr r="H15" s="18"/>
      </tp>
      <tp t="e">
        <v>#N/A</v>
        <stp/>
        <stp>BDH|2601010329573143563</stp>
        <tr r="K42" s="29"/>
        <tr r="K33" s="29"/>
        <tr r="I55" s="6"/>
        <tr r="I11" s="5"/>
        <tr r="J10" s="2"/>
      </tp>
      <tp t="e">
        <v>#N/A</v>
        <stp/>
        <stp>BDH|3353681316063327174</stp>
        <tr r="V31" s="24"/>
      </tp>
      <tp t="e">
        <v>#N/A</v>
        <stp/>
        <stp>BDH|6053897551844883990</stp>
        <tr r="C31" s="11"/>
        <tr r="C40" s="10"/>
      </tp>
      <tp t="e">
        <v>#N/A</v>
        <stp/>
        <stp>BDH|8440484207218731253</stp>
        <tr r="F185" s="18"/>
      </tp>
      <tp t="e">
        <v>#N/A</v>
        <stp/>
        <stp>BDH|6874757413355230355</stp>
        <tr r="X16" s="6"/>
      </tp>
      <tp t="e">
        <v>#N/A</v>
        <stp/>
        <stp>BDH|7101801649565770866</stp>
        <tr r="E19" s="21"/>
        <tr r="E23" s="3"/>
        <tr r="C23" s="2"/>
      </tp>
      <tp t="e">
        <v>#N/A</v>
        <stp/>
        <stp>BDH|1872077262871684025</stp>
        <tr r="Q18" s="26"/>
      </tp>
      <tp t="e">
        <v>#N/A</v>
        <stp/>
        <stp>BDH|8961661027749468353</stp>
        <tr r="I60" s="34"/>
      </tp>
      <tp t="e">
        <v>#N/A</v>
        <stp/>
        <stp>BDH|3878540917643147231</stp>
        <tr r="N17" s="24"/>
      </tp>
      <tp t="e">
        <v>#N/A</v>
        <stp/>
        <stp>BDH|9953502483795202717</stp>
        <tr r="F7" s="30"/>
      </tp>
      <tp t="e">
        <v>#N/A</v>
        <stp/>
        <stp>BDH|4062454512600926770</stp>
        <tr r="V45" s="12"/>
      </tp>
      <tp t="e">
        <v>#N/A</v>
        <stp/>
        <stp>BDH|4059738438413228502</stp>
        <tr r="V35" s="25"/>
      </tp>
      <tp t="e">
        <v>#N/A</v>
        <stp/>
        <stp>BDH|6682266346403663595</stp>
        <tr r="L21" s="18"/>
      </tp>
      <tp t="e">
        <v>#N/A</v>
        <stp/>
        <stp>BDH|4468781172463284152</stp>
        <tr r="U45" s="24"/>
      </tp>
      <tp t="e">
        <v>#N/A</v>
        <stp/>
        <stp>BDH|2991665693643167844</stp>
        <tr r="F36" s="22"/>
      </tp>
      <tp t="e">
        <v>#N/A</v>
        <stp/>
        <stp>BDH|7468777672445096484</stp>
        <tr r="H27" s="18"/>
      </tp>
      <tp t="e">
        <v>#N/A</v>
        <stp/>
        <stp>BDH|2714659981438945233</stp>
        <tr r="X49" s="12"/>
      </tp>
      <tp t="e">
        <v>#N/A</v>
        <stp/>
        <stp>BDH|3508583180940246865</stp>
        <tr r="K41" s="34"/>
      </tp>
      <tp t="e">
        <v>#N/A</v>
        <stp/>
        <stp>BDH|7588591525290153614</stp>
        <tr r="G72" s="24"/>
      </tp>
      <tp t="e">
        <v>#N/A</v>
        <stp/>
        <stp>BDH|9418381762712381845</stp>
        <tr r="K45" s="13"/>
        <tr r="I29" s="11"/>
        <tr r="I38" s="10"/>
      </tp>
      <tp t="e">
        <v>#N/A</v>
        <stp/>
        <stp>BDH|3801490936390608289</stp>
        <tr r="X27" s="12"/>
      </tp>
      <tp t="e">
        <v>#N/A</v>
        <stp/>
        <stp>BDH|2927744016335597771</stp>
        <tr r="AA44" s="24"/>
      </tp>
      <tp t="e">
        <v>#N/A</v>
        <stp/>
        <stp>BDH|3972449813158541826</stp>
        <tr r="C10" s="26"/>
      </tp>
      <tp t="e">
        <v>#N/A</v>
        <stp/>
        <stp>BDH|7232837907168903169</stp>
        <tr r="T55" s="11"/>
      </tp>
      <tp t="e">
        <v>#N/A</v>
        <stp/>
        <stp>BDH|4424445961802136290</stp>
        <tr r="V37" s="18"/>
      </tp>
      <tp t="e">
        <v>#N/A</v>
        <stp/>
        <stp>BDH|5228098011426493478</stp>
        <tr r="L10" s="8"/>
        <tr r="J53" s="6"/>
      </tp>
      <tp t="e">
        <v>#N/A</v>
        <stp/>
        <stp>BDH|8256314195677711388</stp>
        <tr r="V95" s="18"/>
      </tp>
      <tp t="e">
        <v>#N/A</v>
        <stp/>
        <stp>BDH|4296145474114919022</stp>
        <tr r="M29" s="4"/>
      </tp>
      <tp t="e">
        <v>#N/A</v>
        <stp/>
        <stp>BDH|8055181040079716214</stp>
        <tr r="U13" s="9"/>
      </tp>
      <tp t="e">
        <v>#N/A</v>
        <stp/>
        <stp>BDH|9260887331710701427</stp>
        <tr r="X78" s="17"/>
      </tp>
      <tp t="e">
        <v>#N/A</v>
        <stp/>
        <stp>BDH|3919351832644319137</stp>
        <tr r="J6" s="19"/>
        <tr r="J37" s="17"/>
        <tr r="J16" s="3"/>
      </tp>
      <tp t="e">
        <v>#N/A</v>
        <stp/>
        <stp>BDH|9323824176749948905</stp>
        <tr r="S43" s="17"/>
      </tp>
      <tp t="e">
        <v>#N/A</v>
        <stp/>
        <stp>BDH|5852263966817182075</stp>
        <tr r="Q63" s="11"/>
        <tr r="Q72" s="10"/>
      </tp>
      <tp t="e">
        <v>#N/A</v>
        <stp/>
        <stp>BDH|3702387112454487379</stp>
        <tr r="C81" s="34"/>
      </tp>
      <tp t="e">
        <v>#N/A</v>
        <stp/>
        <stp>BDH|3465697240337639053</stp>
        <tr r="F69" s="18"/>
      </tp>
      <tp t="e">
        <v>#N/A</v>
        <stp/>
        <stp>BDH|8152018726894821805</stp>
        <tr r="E42" s="18"/>
      </tp>
      <tp t="e">
        <v>#N/A</v>
        <stp/>
        <stp>BDH|1843624557155255111</stp>
        <tr r="AA69" s="17"/>
      </tp>
      <tp t="e">
        <v>#N/A</v>
        <stp/>
        <stp>BDH|7625866204338822120</stp>
        <tr r="U16" s="12"/>
      </tp>
      <tp t="e">
        <v>#N/A</v>
        <stp/>
        <stp>BDH|3414091744269468831</stp>
        <tr r="F43" s="22"/>
      </tp>
      <tp t="e">
        <v>#N/A</v>
        <stp/>
        <stp>BDH|5850787875135206696</stp>
        <tr r="Z18" s="20"/>
      </tp>
      <tp t="e">
        <v>#N/A</v>
        <stp/>
        <stp>BDH|6545058028780366258</stp>
        <tr r="P148" s="18"/>
      </tp>
      <tp t="e">
        <v>#N/A</v>
        <stp/>
        <stp>BDH|2663107849503778267</stp>
        <tr r="T98" s="18"/>
      </tp>
      <tp t="e">
        <v>#N/A</v>
        <stp/>
        <stp>BDH|1106084013193411500</stp>
        <tr r="Z104" s="18"/>
      </tp>
      <tp t="e">
        <v>#N/A</v>
        <stp/>
        <stp>BDH|2249681627198352806</stp>
        <tr r="Z61" s="13"/>
        <tr r="X48" s="11"/>
        <tr r="X57" s="10"/>
        <tr r="X18" s="7"/>
      </tp>
      <tp t="e">
        <v>#N/A</v>
        <stp/>
        <stp>BDH|5220798373286298546</stp>
        <tr r="L37" s="34"/>
      </tp>
      <tp t="e">
        <v>#N/A</v>
        <stp/>
        <stp>BDH|9582899237950788427</stp>
        <tr r="L34" s="9"/>
      </tp>
      <tp t="e">
        <v>#N/A</v>
        <stp/>
        <stp>BDH|4899163701990608374</stp>
        <tr r="W133" s="18"/>
      </tp>
      <tp t="e">
        <v>#N/A</v>
        <stp/>
        <stp>BDH|7458185086780506811</stp>
        <tr r="Q105" s="12"/>
      </tp>
      <tp t="e">
        <v>#N/A</v>
        <stp/>
        <stp>BDH|7886536349157517797</stp>
        <tr r="S147" s="18"/>
      </tp>
      <tp t="e">
        <v>#N/A</v>
        <stp/>
        <stp>BDH|4223256491650092982</stp>
        <tr r="U158" s="18"/>
      </tp>
      <tp t="e">
        <v>#N/A</v>
        <stp/>
        <stp>BDH|5268502469002790224</stp>
        <tr r="V9" s="6"/>
      </tp>
      <tp t="e">
        <v>#N/A</v>
        <stp/>
        <stp>BDH|5665111614024864759</stp>
        <tr r="D51" s="13"/>
      </tp>
      <tp t="e">
        <v>#N/A</v>
        <stp/>
        <stp>BDH|6674918699393561352</stp>
        <tr r="G12" s="7"/>
      </tp>
      <tp t="e">
        <v>#N/A</v>
        <stp/>
        <stp>BDH|7200268218433344113</stp>
        <tr r="Q18" s="22"/>
      </tp>
      <tp t="e">
        <v>#N/A</v>
        <stp/>
        <stp>BDH|2483822542498206085</stp>
        <tr r="W29" s="12"/>
      </tp>
      <tp t="e">
        <v>#N/A</v>
        <stp/>
        <stp>BDH|2341882111665532819</stp>
        <tr r="E36" s="14"/>
      </tp>
      <tp t="e">
        <v>#N/A</v>
        <stp/>
        <stp>BDH|7416894629172993937</stp>
        <tr r="E70" s="17"/>
        <tr r="E18" s="3"/>
      </tp>
      <tp t="e">
        <v>#N/A</v>
        <stp/>
        <stp>BDH|2735615163832217692</stp>
        <tr r="N43" s="24"/>
      </tp>
      <tp t="e">
        <v>#N/A</v>
        <stp/>
        <stp>BDH|4343658404410924457</stp>
        <tr r="G85" s="24"/>
      </tp>
      <tp t="e">
        <v>#N/A</v>
        <stp/>
        <stp>BDH|4770486430434194101</stp>
        <tr r="H25" s="11"/>
        <tr r="H34" s="10"/>
      </tp>
      <tp t="e">
        <v>#N/A</v>
        <stp/>
        <stp>BDH|3370276848644791753</stp>
        <tr r="N37" s="18"/>
      </tp>
      <tp t="e">
        <v>#N/A</v>
        <stp/>
        <stp>BDH|9805351883774730078</stp>
        <tr r="H39" s="25"/>
        <tr r="H22" s="13"/>
        <tr r="H7" s="13"/>
        <tr r="F17" s="11"/>
        <tr r="H7" s="3"/>
      </tp>
      <tp t="e">
        <v>#N/A</v>
        <stp/>
        <stp>BDH|3520967969853028943</stp>
        <tr r="W14" s="11"/>
      </tp>
      <tp t="e">
        <v>#N/A</v>
        <stp/>
        <stp>BDH|5249438425557938236</stp>
        <tr r="I40" s="13"/>
        <tr r="G24" s="10"/>
        <tr r="G46" s="4"/>
      </tp>
      <tp t="e">
        <v>#N/A</v>
        <stp/>
        <stp>BDH|2555003208307215318</stp>
        <tr r="Y81" s="34"/>
      </tp>
      <tp t="e">
        <v>#N/A</v>
        <stp/>
        <stp>BDH|6033535857974228482</stp>
        <tr r="Q50" s="34"/>
      </tp>
      <tp t="e">
        <v>#N/A</v>
        <stp/>
        <stp>BDH|8477700491839225992</stp>
        <tr r="M72" s="12"/>
      </tp>
      <tp t="e">
        <v>#N/A</v>
        <stp/>
        <stp>BDH|1636899985402605521</stp>
        <tr r="I12" s="20"/>
        <tr r="I121" s="18"/>
      </tp>
      <tp t="e">
        <v>#N/A</v>
        <stp/>
        <stp>BDH|2146325537934326094</stp>
        <tr r="S126" s="12"/>
      </tp>
      <tp t="e">
        <v>#N/A</v>
        <stp/>
        <stp>BDH|8242233297666980317</stp>
        <tr r="I73" s="18"/>
      </tp>
      <tp t="e">
        <v>#N/A</v>
        <stp/>
        <stp>BDH|9374653254184945840</stp>
        <tr r="K55" s="34"/>
      </tp>
      <tp t="e">
        <v>#N/A</v>
        <stp/>
        <stp>BDH|2077855692472061780</stp>
        <tr r="W28" s="17"/>
      </tp>
      <tp t="e">
        <v>#N/A</v>
        <stp/>
        <stp>BDH|1610605832472306080</stp>
        <tr r="X68" s="12"/>
      </tp>
      <tp t="e">
        <v>#N/A</v>
        <stp/>
        <stp>BDH|7719090451807787371</stp>
        <tr r="C15" s="12"/>
      </tp>
      <tp t="e">
        <v>#N/A</v>
        <stp/>
        <stp>BDH|1482992699167316089</stp>
        <tr r="L31" s="24"/>
      </tp>
      <tp t="e">
        <v>#N/A</v>
        <stp/>
        <stp>BDH|8982806905344199227</stp>
        <tr r="T28" s="6"/>
      </tp>
      <tp t="e">
        <v>#N/A</v>
        <stp/>
        <stp>BDH|4362971469438472567</stp>
        <tr r="T17" s="13"/>
      </tp>
      <tp t="e">
        <v>#N/A</v>
        <stp/>
        <stp>BDH|1680003040221881212</stp>
        <tr r="P60" s="12"/>
      </tp>
      <tp t="e">
        <v>#N/A</v>
        <stp/>
        <stp>BDH|6176274702926202498</stp>
        <tr r="N8" s="23"/>
      </tp>
      <tp t="e">
        <v>#N/A</v>
        <stp/>
        <stp>BDH|4277887045016965894</stp>
        <tr r="X31" s="11"/>
        <tr r="X40" s="10"/>
      </tp>
      <tp t="e">
        <v>#N/A</v>
        <stp/>
        <stp>BDH|2120485465495132322</stp>
        <tr r="O42" s="18"/>
      </tp>
      <tp t="e">
        <v>#N/A</v>
        <stp/>
        <stp>BDH|7055094121291124263</stp>
        <tr r="R25" s="17"/>
      </tp>
      <tp t="e">
        <v>#N/A</v>
        <stp/>
        <stp>BDH|5926193199049012265</stp>
        <tr r="X124" s="18"/>
      </tp>
      <tp t="e">
        <v>#N/A</v>
        <stp/>
        <stp>BDH|2812664133396001723</stp>
        <tr r="X30" s="11"/>
        <tr r="X39" s="10"/>
      </tp>
      <tp t="e">
        <v>#N/A</v>
        <stp/>
        <stp>BDH|5462580574793479232</stp>
        <tr r="D65" s="18"/>
      </tp>
      <tp t="e">
        <v>#N/A</v>
        <stp/>
        <stp>BDH|5280087121547378679</stp>
        <tr r="AA34" s="22"/>
      </tp>
      <tp t="e">
        <v>#N/A</v>
        <stp/>
        <stp>BDH|3992701719994832776</stp>
        <tr r="R43" s="24"/>
      </tp>
      <tp t="e">
        <v>#N/A</v>
        <stp/>
        <stp>BDH|9214126598647459033</stp>
        <tr r="J11" s="11"/>
      </tp>
      <tp t="e">
        <v>#N/A</v>
        <stp/>
        <stp>BDH|3201124631555927275</stp>
        <tr r="L78" s="18"/>
      </tp>
      <tp t="e">
        <v>#N/A</v>
        <stp/>
        <stp>BDH|9415112191446890138</stp>
        <tr r="D93" s="18"/>
      </tp>
      <tp t="e">
        <v>#N/A</v>
        <stp/>
        <stp>BDH|6268244428439925982</stp>
        <tr r="K100" s="18"/>
      </tp>
      <tp t="e">
        <v>#N/A</v>
        <stp/>
        <stp>BDH|7981024783960380944</stp>
        <tr r="K12" s="27"/>
        <tr r="K26" s="25"/>
      </tp>
      <tp t="e">
        <v>#N/A</v>
        <stp/>
        <stp>BDH|1897451001681232214</stp>
        <tr r="R142" s="18"/>
      </tp>
      <tp t="e">
        <v>#N/A</v>
        <stp/>
        <stp>BDH|5985901950006241944</stp>
        <tr r="Y18" s="25"/>
      </tp>
      <tp t="e">
        <v>#N/A</v>
        <stp/>
        <stp>BDH|7669742826691233598</stp>
        <tr r="E62" s="34"/>
      </tp>
      <tp t="e">
        <v>#N/A</v>
        <stp/>
        <stp>BDH|9707354741398960059</stp>
        <tr r="H36" s="17"/>
      </tp>
      <tp t="e">
        <v>#N/A</v>
        <stp/>
        <stp>BDH|3016820720209514689</stp>
        <tr r="AA35" s="22"/>
      </tp>
      <tp t="e">
        <v>#N/A</v>
        <stp/>
        <stp>BDH|8668376625709282694</stp>
        <tr r="J70" s="13"/>
        <tr r="H49" s="11"/>
        <tr r="H58" s="10"/>
        <tr r="H19" s="7"/>
        <tr r="H18" s="4"/>
        <tr r="H20" s="2"/>
      </tp>
      <tp t="e">
        <v>#N/A</v>
        <stp/>
        <stp>BDH|5889247221253720055</stp>
        <tr r="C11" s="20"/>
        <tr r="C120" s="18"/>
      </tp>
      <tp t="e">
        <v>#N/A</v>
        <stp/>
        <stp>BDH|9098588564508119428</stp>
        <tr r="P25" s="13"/>
      </tp>
      <tp t="e">
        <v>#N/A</v>
        <stp/>
        <stp>BDH|6049742511905922330</stp>
        <tr r="L47" s="17"/>
      </tp>
      <tp t="e">
        <v>#N/A</v>
        <stp/>
        <stp>BDH|3160598340257528322</stp>
        <tr r="Y8" s="10"/>
      </tp>
      <tp t="e">
        <v>#N/A</v>
        <stp/>
        <stp>BDH|4507756418087580322</stp>
        <tr r="U9" s="14"/>
      </tp>
      <tp t="e">
        <v>#N/A</v>
        <stp/>
        <stp>BDH|9194393084672533661</stp>
        <tr r="L89" s="18"/>
      </tp>
      <tp t="e">
        <v>#N/A</v>
        <stp/>
        <stp>BDH|6429229309460900291</stp>
        <tr r="X42" s="34"/>
      </tp>
      <tp t="e">
        <v>#N/A</v>
        <stp/>
        <stp>BDH|6127356771300144482</stp>
        <tr r="I38" s="6"/>
      </tp>
      <tp t="e">
        <v>#N/A</v>
        <stp/>
        <stp>BDH|5957207212444222455</stp>
        <tr r="G26" s="27"/>
      </tp>
      <tp t="e">
        <v>#N/A</v>
        <stp/>
        <stp>BDH|9154820876959090994</stp>
        <tr r="F80" s="17"/>
        <tr r="F19" s="3"/>
      </tp>
      <tp t="e">
        <v>#N/A</v>
        <stp/>
        <stp>BDH|2280338008836316169</stp>
        <tr r="G112" s="18"/>
      </tp>
      <tp t="e">
        <v>#N/A</v>
        <stp/>
        <stp>BDH|8410832978692267313</stp>
        <tr r="O24" s="27"/>
      </tp>
      <tp t="e">
        <v>#N/A</v>
        <stp/>
        <stp>BDH|6597936780685806429</stp>
        <tr r="P72" s="18"/>
      </tp>
      <tp t="e">
        <v>#N/A</v>
        <stp/>
        <stp>BDH|3196198259384453597</stp>
        <tr r="P19" s="12"/>
      </tp>
      <tp t="e">
        <v>#N/A</v>
        <stp/>
        <stp>BDH|3572275360932906378</stp>
        <tr r="G8" s="18"/>
      </tp>
      <tp t="e">
        <v>#N/A</v>
        <stp/>
        <stp>BDH|5956730936863194417</stp>
        <tr r="G22" s="18"/>
      </tp>
      <tp t="e">
        <v>#N/A</v>
        <stp/>
        <stp>BDH|4239984105148148320</stp>
        <tr r="Q70" s="24"/>
      </tp>
      <tp t="e">
        <v>#N/A</v>
        <stp/>
        <stp>BDH|7933965646724653836</stp>
        <tr r="L23" s="9"/>
        <tr r="L23" s="5"/>
      </tp>
      <tp t="e">
        <v>#N/A</v>
        <stp/>
        <stp>BDH|9397172048749597357</stp>
        <tr r="P26" s="18"/>
      </tp>
      <tp t="e">
        <v>#N/A</v>
        <stp/>
        <stp>BDH|4651555827186810302</stp>
        <tr r="G42" s="12"/>
      </tp>
      <tp t="e">
        <v>#N/A</v>
        <stp/>
        <stp>BDH|2558160348357673613</stp>
        <tr r="AA32" s="18"/>
      </tp>
      <tp t="e">
        <v>#N/A</v>
        <stp/>
        <stp>BDH|2842752820359051812</stp>
        <tr r="T29" s="18"/>
      </tp>
      <tp t="e">
        <v>#N/A</v>
        <stp/>
        <stp>BDH|6527185920233145003</stp>
        <tr r="U83" s="24"/>
      </tp>
      <tp t="e">
        <v>#N/A</v>
        <stp/>
        <stp>BDH|6311087372722165542</stp>
        <tr r="V29" s="13"/>
        <tr r="V16" s="13"/>
        <tr r="T17" s="10"/>
      </tp>
      <tp t="e">
        <v>#N/A</v>
        <stp/>
        <stp>BDH|4901231445133221716</stp>
        <tr r="S22" s="7"/>
      </tp>
      <tp t="e">
        <v>#N/A</v>
        <stp/>
        <stp>BDH|8101274799097628252</stp>
        <tr r="K9" s="25"/>
        <tr r="K44" s="17"/>
      </tp>
      <tp t="e">
        <v>#N/A</v>
        <stp/>
        <stp>BDH|4013182783328617315</stp>
        <tr r="U50" s="12"/>
      </tp>
      <tp t="e">
        <v>#N/A</v>
        <stp/>
        <stp>BDH|2108050340303871300</stp>
        <tr r="L51" s="24"/>
      </tp>
      <tp t="e">
        <v>#N/A</v>
        <stp/>
        <stp>BDH|3921358468417091780</stp>
        <tr r="P14" s="12"/>
      </tp>
      <tp t="e">
        <v>#N/A</v>
        <stp/>
        <stp>BDH|9518467994630835234</stp>
        <tr r="I128" s="18"/>
      </tp>
      <tp t="e">
        <v>#N/A</v>
        <stp/>
        <stp>BDH|5930831160174746910</stp>
        <tr r="D11" s="30"/>
      </tp>
      <tp t="e">
        <v>#N/A</v>
        <stp/>
        <stp>BDH|3164913093815694093</stp>
        <tr r="J48" s="6"/>
      </tp>
      <tp t="e">
        <v>#N/A</v>
        <stp/>
        <stp>BDH|2862560637685306767</stp>
        <tr r="Q28" s="14"/>
      </tp>
      <tp t="e">
        <v>#N/A</v>
        <stp/>
        <stp>BDH|9341699018801620981</stp>
        <tr r="C159" s="18"/>
      </tp>
      <tp t="e">
        <v>#N/A</v>
        <stp/>
        <stp>BDH|4972401875981065001</stp>
        <tr r="Z205" s="18"/>
      </tp>
      <tp t="e">
        <v>#N/A</v>
        <stp/>
        <stp>BDH|3619433078267281130</stp>
        <tr r="G198" s="18"/>
      </tp>
      <tp t="e">
        <v>#N/A</v>
        <stp/>
        <stp>BDH|1811654906575394441</stp>
        <tr r="K85" s="24"/>
      </tp>
      <tp t="e">
        <v>#N/A</v>
        <stp/>
        <stp>BDH|9669204250051835929</stp>
        <tr r="C20" s="18"/>
      </tp>
      <tp t="e">
        <v>#N/A</v>
        <stp/>
        <stp>BDH|9972139320398059463</stp>
        <tr r="V46" s="6"/>
        <tr r="V19" s="5"/>
      </tp>
      <tp t="e">
        <v>#N/A</v>
        <stp/>
        <stp>BDH|2280760859341095719</stp>
        <tr r="G106" s="12"/>
      </tp>
      <tp t="e">
        <v>#N/A</v>
        <stp/>
        <stp>BDH|4284141765832924769</stp>
        <tr r="M72" s="34"/>
      </tp>
      <tp t="e">
        <v>#N/A</v>
        <stp/>
        <stp>BDH|3535886434877321962</stp>
        <tr r="E51" s="24"/>
      </tp>
      <tp t="e">
        <v>#N/A</v>
        <stp/>
        <stp>BDH|1181084170154644434</stp>
        <tr r="E44" s="24"/>
      </tp>
      <tp t="e">
        <v>#N/A</v>
        <stp/>
        <stp>BDH|1030037248036783501</stp>
        <tr r="U18" s="26"/>
      </tp>
      <tp t="e">
        <v>#N/A</v>
        <stp/>
        <stp>BDH|9783484233759842183</stp>
        <tr r="N104" s="12"/>
      </tp>
      <tp t="e">
        <v>#N/A</v>
        <stp/>
        <stp>BDH|2580217247395885778</stp>
        <tr r="L21" s="12"/>
      </tp>
      <tp t="e">
        <v>#N/A</v>
        <stp/>
        <stp>BDH|3017634263342888742</stp>
        <tr r="E22" s="30"/>
        <tr r="E24" s="23"/>
      </tp>
      <tp t="e">
        <v>#N/A</v>
        <stp/>
        <stp>BDH|8494672588336378643</stp>
        <tr r="P115" s="18"/>
      </tp>
      <tp t="e">
        <v>#N/A</v>
        <stp/>
        <stp>BDH|8182895839765470092</stp>
        <tr r="R94" s="12"/>
      </tp>
      <tp t="e">
        <v>#N/A</v>
        <stp/>
        <stp>BDH|1355754380760988831</stp>
        <tr r="H13" s="11"/>
      </tp>
      <tp t="e">
        <v>#N/A</v>
        <stp/>
        <stp>BDH|3284859438969102726</stp>
        <tr r="T91" s="17"/>
      </tp>
      <tp t="e">
        <v>#N/A</v>
        <stp/>
        <stp>BDH|3987188403322656688</stp>
        <tr r="N191" s="18"/>
      </tp>
      <tp t="e">
        <v>#N/A</v>
        <stp/>
        <stp>BDH|9247695210920100866</stp>
        <tr r="G12" s="22"/>
      </tp>
      <tp t="e">
        <v>#N/A</v>
        <stp/>
        <stp>BDH|6202115769706185174</stp>
        <tr r="AA48" s="12"/>
      </tp>
      <tp t="e">
        <v>#N/A</v>
        <stp/>
        <stp>BDH|3687677962010693598</stp>
        <tr r="F34" s="6"/>
      </tp>
      <tp t="e">
        <v>#N/A</v>
        <stp/>
        <stp>BDH|4033864939400354908</stp>
        <tr r="L29" s="17"/>
      </tp>
      <tp t="e">
        <v>#N/A</v>
        <stp/>
        <stp>BDH|6805208076563369615</stp>
        <tr r="T75" s="18"/>
      </tp>
      <tp t="e">
        <v>#N/A</v>
        <stp/>
        <stp>BDH|8355493470605075876</stp>
        <tr r="Q23" s="30"/>
        <tr r="Q25" s="23"/>
      </tp>
      <tp t="e">
        <v>#N/A</v>
        <stp/>
        <stp>BDH|5052980807653353917</stp>
        <tr r="K64" s="10"/>
      </tp>
      <tp t="e">
        <v>#N/A</v>
        <stp/>
        <stp>BDH|2266552309930699155</stp>
        <tr r="K109" s="12"/>
      </tp>
      <tp t="e">
        <v>#N/A</v>
        <stp/>
        <stp>BDH|9906450941599563653</stp>
        <tr r="C25" s="24"/>
      </tp>
      <tp t="e">
        <v>#N/A</v>
        <stp/>
        <stp>BDH|8774030049559077305</stp>
        <tr r="D73" s="34"/>
      </tp>
      <tp t="e">
        <v>#N/A</v>
        <stp/>
        <stp>BDH|7345754442392928001</stp>
        <tr r="F58" s="6"/>
      </tp>
      <tp t="e">
        <v>#N/A</v>
        <stp/>
        <stp>BDH|2774134347145917470</stp>
        <tr r="N30" s="29"/>
        <tr r="N8" s="29"/>
      </tp>
      <tp t="e">
        <v>#N/A</v>
        <stp/>
        <stp>BDH|7831741707044765217</stp>
        <tr r="V48" s="17"/>
      </tp>
      <tp t="e">
        <v>#N/A</v>
        <stp/>
        <stp>BDH|9090177792115941218</stp>
        <tr r="V90" s="12"/>
      </tp>
      <tp t="e">
        <v>#N/A</v>
        <stp/>
        <stp>BDH|9586919772641249090</stp>
        <tr r="C31" s="24"/>
      </tp>
      <tp t="e">
        <v>#N/A</v>
        <stp/>
        <stp>BDH|6859413350032514314</stp>
        <tr r="K68" s="10"/>
      </tp>
      <tp t="e">
        <v>#N/A</v>
        <stp/>
        <stp>BDH|1928270310676767241</stp>
        <tr r="W58" s="34"/>
      </tp>
      <tp t="e">
        <v>#N/A</v>
        <stp/>
        <stp>BDH|8930957169675992419</stp>
        <tr r="S36" s="18"/>
      </tp>
      <tp t="e">
        <v>#N/A</v>
        <stp/>
        <stp>BDH|1754121424355415184</stp>
        <tr r="E126" s="18"/>
      </tp>
      <tp t="e">
        <v>#N/A</v>
        <stp/>
        <stp>BDH|3585928099103526661</stp>
        <tr r="J98" s="12"/>
      </tp>
      <tp t="e">
        <v>#N/A</v>
        <stp/>
        <stp>BDH|8539164049239127265</stp>
        <tr r="K84" s="12"/>
      </tp>
      <tp t="e">
        <v>#N/A</v>
        <stp/>
        <stp>BDH|2212258550950227387</stp>
        <tr r="W82" s="18"/>
      </tp>
      <tp t="e">
        <v>#N/A</v>
        <stp/>
        <stp>BDH|5421651055906174688</stp>
        <tr r="K11" s="17"/>
      </tp>
      <tp t="e">
        <v>#N/A</v>
        <stp/>
        <stp>BDH|2446684151463041405</stp>
        <tr r="S21" s="5"/>
      </tp>
      <tp t="e">
        <v>#N/A</v>
        <stp/>
        <stp>BDH|6551767018251464723</stp>
        <tr r="V15" s="26"/>
      </tp>
      <tp t="e">
        <v>#N/A</v>
        <stp/>
        <stp>BDH|1343308035822920523</stp>
        <tr r="E10" s="11"/>
      </tp>
      <tp t="e">
        <v>#N/A</v>
        <stp/>
        <stp>BDH|6976466135544010370</stp>
        <tr r="R18" s="22"/>
      </tp>
      <tp t="e">
        <v>#N/A</v>
        <stp/>
        <stp>BDH|3215451683508148184</stp>
        <tr r="I23" s="22"/>
      </tp>
      <tp t="e">
        <v>#N/A</v>
        <stp/>
        <stp>BDH|1811656937516239455</stp>
        <tr r="E92" s="17"/>
      </tp>
      <tp t="e">
        <v>#N/A</v>
        <stp/>
        <stp>BDH|1548121698416237906</stp>
        <tr r="S6" s="16"/>
        <tr r="T6" s="11"/>
        <tr r="T10" s="4"/>
        <tr r="V6" s="3"/>
      </tp>
      <tp t="e">
        <v>#N/A</v>
        <stp/>
        <stp>BDH|3837664071297039321</stp>
        <tr r="V37" s="22"/>
      </tp>
      <tp t="e">
        <v>#N/A</v>
        <stp/>
        <stp>BDH|6383075388110490852</stp>
        <tr r="L8" s="34"/>
      </tp>
      <tp t="e">
        <v>#N/A</v>
        <stp/>
        <stp>BDH|7978826315499270114</stp>
        <tr r="V31" s="29"/>
      </tp>
      <tp t="e">
        <v>#N/A</v>
        <stp/>
        <stp>BDH|6471717389106461951</stp>
        <tr r="J68" s="34"/>
      </tp>
      <tp t="e">
        <v>#N/A</v>
        <stp/>
        <stp>BDH|7106254360302916700</stp>
        <tr r="F28" s="17"/>
      </tp>
      <tp t="e">
        <v>#N/A</v>
        <stp/>
        <stp>BDH|9960284319399619536</stp>
        <tr r="X23" s="9"/>
        <tr r="X23" s="5"/>
      </tp>
      <tp t="e">
        <v>#N/A</v>
        <stp/>
        <stp>BDH|1332481269441838473</stp>
        <tr r="K171" s="18"/>
      </tp>
      <tp t="e">
        <v>#N/A</v>
        <stp/>
        <stp>BDH|9218887661947785611</stp>
        <tr r="S38" s="21"/>
        <tr r="S24" s="3"/>
      </tp>
      <tp t="e">
        <v>#N/A</v>
        <stp/>
        <stp>BDH|8085411587520972222</stp>
        <tr r="C23" s="17"/>
      </tp>
      <tp t="e">
        <v>#N/A</v>
        <stp/>
        <stp>BDH|5378502439974749101</stp>
        <tr r="E87" s="18"/>
      </tp>
      <tp t="e">
        <v>#N/A</v>
        <stp/>
        <stp>BDH|5993386032590629381</stp>
        <tr r="Z24" s="17"/>
      </tp>
      <tp t="e">
        <v>#N/A</v>
        <stp/>
        <stp>BDH|3755979332517773886</stp>
        <tr r="U22" s="17"/>
        <tr r="U15" s="3"/>
      </tp>
      <tp t="e">
        <v>#N/A</v>
        <stp/>
        <stp>BDH|5796003028282008320</stp>
        <tr r="F24" s="13"/>
      </tp>
      <tp t="e">
        <v>#N/A</v>
        <stp/>
        <stp>BDH|4371446916983572497</stp>
        <tr r="W109" s="18"/>
      </tp>
      <tp t="e">
        <v>#N/A</v>
        <stp/>
        <stp>BDH|1471313224543497583</stp>
        <tr r="S13" s="5"/>
      </tp>
      <tp t="e">
        <v>#N/A</v>
        <stp/>
        <stp>BDH|2389539566875826230</stp>
        <tr r="T37" s="18"/>
      </tp>
      <tp t="e">
        <v>#N/A</v>
        <stp/>
        <stp>BDH|4152722742998874942</stp>
        <tr r="S13" s="24"/>
      </tp>
      <tp t="e">
        <v>#N/A</v>
        <stp/>
        <stp>BDH|6730110852245126188</stp>
        <tr r="E9" s="25"/>
        <tr r="E44" s="17"/>
      </tp>
      <tp t="e">
        <v>#N/A</v>
        <stp/>
        <stp>BDH|4611686560192196024</stp>
        <tr r="V17" s="13"/>
      </tp>
      <tp t="e">
        <v>#N/A</v>
        <stp/>
        <stp>BDH|4425709259790359033</stp>
        <tr r="F163" s="18"/>
      </tp>
      <tp t="e">
        <v>#N/A</v>
        <stp/>
        <stp>BDH|8996902183156656912</stp>
        <tr r="U26" s="13"/>
      </tp>
      <tp t="e">
        <v>#N/A</v>
        <stp/>
        <stp>BDH|8733232983271990537</stp>
        <tr r="D77" s="17"/>
      </tp>
      <tp t="e">
        <v>#N/A</v>
        <stp/>
        <stp>BDH|8357837413583784492</stp>
        <tr r="M16" s="24"/>
      </tp>
      <tp t="e">
        <v>#N/A</v>
        <stp/>
        <stp>BDH|7163471816003585783</stp>
        <tr r="U41" s="6"/>
        <tr r="U18" s="5"/>
      </tp>
      <tp t="e">
        <v>#N/A</v>
        <stp/>
        <stp>BDH|4830312393860249852</stp>
        <tr r="N25" s="26"/>
      </tp>
      <tp t="e">
        <v>#N/A</v>
        <stp/>
        <stp>BDH|9858836427594699170</stp>
        <tr r="S11" s="20"/>
        <tr r="S120" s="18"/>
      </tp>
      <tp t="e">
        <v>#N/A</v>
        <stp/>
        <stp>BDH|6660139349390214532</stp>
        <tr r="J10" s="26"/>
      </tp>
      <tp t="e">
        <v>#N/A</v>
        <stp/>
        <stp>BDH|3291312696258859703</stp>
        <tr r="J31" s="29"/>
      </tp>
      <tp t="e">
        <v>#N/A</v>
        <stp/>
        <stp>BDH|8394798168329163615</stp>
        <tr r="Z31" s="22"/>
      </tp>
      <tp t="e">
        <v>#N/A</v>
        <stp/>
        <stp>BDH|8695609287207461777</stp>
        <tr r="K61" s="11"/>
        <tr r="K70" s="10"/>
        <tr r="K20" s="7"/>
      </tp>
      <tp t="e">
        <v>#N/A</v>
        <stp/>
        <stp>BDH|2432044232061077603</stp>
        <tr r="S17" s="24"/>
      </tp>
      <tp t="e">
        <v>#N/A</v>
        <stp/>
        <stp>BDH|6538926993350349051</stp>
        <tr r="V9" s="30"/>
      </tp>
      <tp t="e">
        <v>#N/A</v>
        <stp/>
        <stp>BDH|5726335858905796094</stp>
        <tr r="J79" s="24"/>
      </tp>
      <tp t="e">
        <v>#N/A</v>
        <stp/>
        <stp>BDH|1009141194157528870</stp>
        <tr r="S85" s="17"/>
        <tr r="Q6" s="7"/>
        <tr r="S20" s="3"/>
      </tp>
      <tp t="e">
        <v>#N/A</v>
        <stp/>
        <stp>BDH|6722096308471023140</stp>
        <tr r="K146" s="18"/>
      </tp>
      <tp t="e">
        <v>#N/A</v>
        <stp/>
        <stp>BDH|1173046663334490509</stp>
        <tr r="F50" s="24"/>
      </tp>
      <tp t="e">
        <v>#N/A</v>
        <stp/>
        <stp>BDH|2440583815814352488</stp>
        <tr r="J33" s="21"/>
      </tp>
      <tp t="e">
        <v>#N/A</v>
        <stp/>
        <stp>BDH|9988644689862688309</stp>
        <tr r="K191" s="18"/>
      </tp>
      <tp t="e">
        <v>#N/A</v>
        <stp/>
        <stp>BDH|1509717381391690918</stp>
        <tr r="U84" s="24"/>
      </tp>
      <tp t="e">
        <v>#N/A</v>
        <stp/>
        <stp>BDH|1779029655245297700</stp>
        <tr r="E57" s="6"/>
      </tp>
      <tp t="e">
        <v>#N/A</v>
        <stp/>
        <stp>BDH|6481549828446355195</stp>
        <tr r="P44" s="12"/>
      </tp>
      <tp t="e">
        <v>#N/A</v>
        <stp/>
        <stp>BDH|4017515513105888388</stp>
        <tr r="X64" s="24"/>
      </tp>
      <tp t="e">
        <v>#N/A</v>
        <stp/>
        <stp>BDH|5444556015344634306</stp>
        <tr r="O63" s="12"/>
      </tp>
      <tp t="e">
        <v>#N/A</v>
        <stp/>
        <stp>BDH|3353681261385919012</stp>
        <tr r="L53" s="18"/>
      </tp>
      <tp t="e">
        <v>#N/A</v>
        <stp/>
        <stp>BDH|6625556462054428772</stp>
        <tr r="C10" s="23"/>
      </tp>
      <tp t="e">
        <v>#N/A</v>
        <stp/>
        <stp>BDH|6509266303365234702</stp>
        <tr r="K27" s="22"/>
      </tp>
      <tp t="e">
        <v>#N/A</v>
        <stp/>
        <stp>BDH|4501392106478082989</stp>
        <tr r="Q22" s="22"/>
      </tp>
      <tp t="e">
        <v>#N/A</v>
        <stp/>
        <stp>BDH|7542218020876540737</stp>
        <tr r="E165" s="18"/>
      </tp>
      <tp t="e">
        <v>#N/A</v>
        <stp/>
        <stp>BDH|2583975741910656976</stp>
        <tr r="Y100" s="12"/>
      </tp>
      <tp t="e">
        <v>#N/A</v>
        <stp/>
        <stp>BDH|7504763861788230821</stp>
        <tr r="T20" s="14"/>
      </tp>
      <tp t="e">
        <v>#N/A</v>
        <stp/>
        <stp>BDH|1437606123412731124</stp>
        <tr r="F9" s="6"/>
      </tp>
      <tp t="e">
        <v>#N/A</v>
        <stp/>
        <stp>BDH|2555362747833196070</stp>
        <tr r="X69" s="10"/>
      </tp>
      <tp t="e">
        <v>#N/A</v>
        <stp/>
        <stp>BDH|1290422541462781541</stp>
        <tr r="H27" s="26"/>
      </tp>
      <tp t="e">
        <v>#N/A</v>
        <stp/>
        <stp>BDH|6100347714921489370</stp>
        <tr r="Y80" s="18"/>
      </tp>
      <tp t="e">
        <v>#N/A</v>
        <stp/>
        <stp>BDH|2431015930966704109</stp>
        <tr r="AA37" s="26"/>
      </tp>
      <tp t="e">
        <v>#N/A</v>
        <stp/>
        <stp>BDH|6571278336027131675</stp>
        <tr r="I118" s="12"/>
      </tp>
      <tp t="e">
        <v>#N/A</v>
        <stp/>
        <stp>BDH|2077541688888945173</stp>
        <tr r="T17" s="34"/>
      </tp>
      <tp t="e">
        <v>#N/A</v>
        <stp/>
        <stp>BDH|6588817277558403753</stp>
        <tr r="I14" s="8"/>
      </tp>
      <tp t="e">
        <v>#N/A</v>
        <stp/>
        <stp>BDH|4925908388496566561</stp>
        <tr r="Q53" s="13"/>
      </tp>
      <tp t="e">
        <v>#N/A</v>
        <stp/>
        <stp>BDH|3503323050264713728</stp>
        <tr r="T36" s="34"/>
      </tp>
      <tp t="e">
        <v>#N/A</v>
        <stp/>
        <stp>BDH|3550354102644192216</stp>
        <tr r="I27" s="26"/>
      </tp>
      <tp t="e">
        <v>#N/A</v>
        <stp/>
        <stp>BDH|2718291215033996401</stp>
        <tr r="S28" s="26"/>
      </tp>
      <tp t="e">
        <v>#N/A</v>
        <stp/>
        <stp>BDH|1162969171628633121</stp>
        <tr r="Q21" s="3"/>
      </tp>
      <tp t="e">
        <v>#N/A</v>
        <stp/>
        <stp>BDH|8031664755955520847</stp>
        <tr r="X83" s="12"/>
      </tp>
      <tp t="e">
        <v>#N/A</v>
        <stp/>
        <stp>BDH|8260125997126217078</stp>
        <tr r="D72" s="17"/>
      </tp>
      <tp t="e">
        <v>#N/A</v>
        <stp/>
        <stp>BDH|2769135095995225912</stp>
        <tr r="F71" s="24"/>
      </tp>
      <tp t="e">
        <v>#N/A</v>
        <stp/>
        <stp>BDH|4594691304040308492</stp>
        <tr r="L31" s="29"/>
      </tp>
      <tp t="e">
        <v>#N/A</v>
        <stp/>
        <stp>BDH|3236694919642658069</stp>
        <tr r="Z68" s="34"/>
      </tp>
      <tp t="e">
        <v>#N/A</v>
        <stp/>
        <stp>BDH|1858558818953182060</stp>
        <tr r="W44" s="21"/>
      </tp>
      <tp t="e">
        <v>#N/A</v>
        <stp/>
        <stp>BDH|3773626607666630568</stp>
        <tr r="Z21" s="24"/>
      </tp>
      <tp t="e">
        <v>#N/A</v>
        <stp/>
        <stp>BDH|4061862302958368257</stp>
        <tr r="AA48" s="24"/>
      </tp>
      <tp t="e">
        <v>#N/A</v>
        <stp/>
        <stp>BDH|5471727551839768822</stp>
        <tr r="F27" s="7"/>
      </tp>
      <tp t="e">
        <v>#N/A</v>
        <stp/>
        <stp>BDH|8896675593955909479</stp>
        <tr r="E51" s="12"/>
      </tp>
      <tp t="e">
        <v>#N/A</v>
        <stp/>
        <stp>BDH|4326339086308741133</stp>
        <tr r="T110" s="18"/>
      </tp>
      <tp t="e">
        <v>#N/A</v>
        <stp/>
        <stp>BDH|2653709877122618653</stp>
        <tr r="O29" s="22"/>
      </tp>
      <tp t="e">
        <v>#N/A</v>
        <stp/>
        <stp>BDH|5584008924072586367</stp>
        <tr r="R22" s="27"/>
      </tp>
      <tp t="e">
        <v>#N/A</v>
        <stp/>
        <stp>BDH|6152758972725215564</stp>
        <tr r="AA60" s="18"/>
      </tp>
      <tp t="e">
        <v>#N/A</v>
        <stp/>
        <stp>BDH|5289024656170617623</stp>
        <tr r="M85" s="12"/>
      </tp>
      <tp t="e">
        <v>#N/A</v>
        <stp/>
        <stp>BDH|3222979026196910884</stp>
        <tr r="V33" s="5"/>
      </tp>
      <tp t="e">
        <v>#N/A</v>
        <stp/>
        <stp>BDH|8208509383496449576</stp>
        <tr r="T19" s="30"/>
      </tp>
      <tp t="e">
        <v>#N/A</v>
        <stp/>
        <stp>BDH|6728023744486327209</stp>
        <tr r="P53" s="18"/>
      </tp>
      <tp t="e">
        <v>#N/A</v>
        <stp/>
        <stp>BDH|2850589274307176169</stp>
        <tr r="R65" s="12"/>
      </tp>
      <tp t="e">
        <v>#N/A</v>
        <stp/>
        <stp>BDH|7029242450570318645</stp>
        <tr r="S12" s="18"/>
      </tp>
      <tp t="e">
        <v>#N/A</v>
        <stp/>
        <stp>BDH|6060677698599436686</stp>
        <tr r="L91" s="18"/>
      </tp>
      <tp t="e">
        <v>#N/A</v>
        <stp/>
        <stp>BDH|4455457335871497433</stp>
        <tr r="Q27" s="7"/>
      </tp>
      <tp t="e">
        <v>#N/A</v>
        <stp/>
        <stp>BDH|8056577584076657567</stp>
        <tr r="T130" s="18"/>
      </tp>
      <tp t="e">
        <v>#N/A</v>
        <stp/>
        <stp>BDH|1911083078098344896</stp>
        <tr r="J77" s="34"/>
      </tp>
      <tp t="e">
        <v>#N/A</v>
        <stp/>
        <stp>BDH|1047764605085886588</stp>
        <tr r="G54" s="13"/>
      </tp>
      <tp t="e">
        <v>#N/A</v>
        <stp/>
        <stp>BDH|2534755323705647466</stp>
        <tr r="L32" s="9"/>
      </tp>
      <tp t="e">
        <v>#N/A</v>
        <stp/>
        <stp>BDH|7410908603998342077</stp>
        <tr r="W7" s="20"/>
        <tr r="W117" s="18"/>
      </tp>
      <tp t="e">
        <v>#N/A</v>
        <stp/>
        <stp>BDH|5759344169071061794</stp>
        <tr r="U18" s="14"/>
      </tp>
      <tp t="e">
        <v>#N/A</v>
        <stp/>
        <stp>BDH|5596829602568673300</stp>
        <tr r="W70" s="13"/>
        <tr r="U49" s="11"/>
        <tr r="U58" s="10"/>
        <tr r="U19" s="7"/>
        <tr r="U18" s="4"/>
        <tr r="U20" s="2"/>
      </tp>
      <tp t="e">
        <v>#N/A</v>
        <stp/>
        <stp>BDH|3530120059122485398</stp>
        <tr r="J100" s="18"/>
      </tp>
      <tp t="e">
        <v>#N/A</v>
        <stp/>
        <stp>BDH|7016311725636210655</stp>
        <tr r="V106" s="12"/>
      </tp>
      <tp t="e">
        <v>#N/A</v>
        <stp/>
        <stp>BDH|4479793808783747615</stp>
        <tr r="P73" s="12"/>
      </tp>
      <tp t="e">
        <v>#N/A</v>
        <stp/>
        <stp>BDH|5596295940616901368</stp>
        <tr r="AA15" s="14"/>
      </tp>
      <tp t="e">
        <v>#N/A</v>
        <stp/>
        <stp>BDH|7797781851112858158</stp>
        <tr r="V26" s="34"/>
      </tp>
      <tp t="e">
        <v>#N/A</v>
        <stp/>
        <stp>BDH|4417024217690412366</stp>
        <tr r="T73" s="17"/>
      </tp>
      <tp t="e">
        <v>#N/A</v>
        <stp/>
        <stp>BDH|2111125564921593213</stp>
        <tr r="AA25" s="24"/>
      </tp>
      <tp t="e">
        <v>#N/A</v>
        <stp/>
        <stp>BDH|8401469785812650023</stp>
        <tr r="Q21" s="10"/>
      </tp>
      <tp t="e">
        <v>#N/A</v>
        <stp/>
        <stp>BDH|1451814908127659882</stp>
        <tr r="C63" s="18"/>
      </tp>
      <tp t="e">
        <v>#N/A</v>
        <stp/>
        <stp>BDH|5654166996689436211</stp>
        <tr r="W49" s="17"/>
      </tp>
      <tp t="e">
        <v>#N/A</v>
        <stp/>
        <stp>BDH|5341162170293550637</stp>
        <tr r="M17" s="24"/>
      </tp>
      <tp t="e">
        <v>#N/A</v>
        <stp/>
        <stp>BDH|7023273238689488986</stp>
        <tr r="D183" s="18"/>
      </tp>
      <tp t="e">
        <v>#N/A</v>
        <stp/>
        <stp>BDH|4736451480947005912</stp>
        <tr r="J38" s="24"/>
      </tp>
      <tp t="e">
        <v>#N/A</v>
        <stp/>
        <stp>BDH|4080246344583666754</stp>
        <tr r="E53" s="12"/>
      </tp>
      <tp t="e">
        <v>#N/A</v>
        <stp/>
        <stp>BDH|3010122997668690505</stp>
        <tr r="N108" s="18"/>
      </tp>
      <tp t="e">
        <v>#N/A</v>
        <stp/>
        <stp>BDH|3783711931481774032</stp>
        <tr r="H211" s="18"/>
      </tp>
      <tp t="e">
        <v>#N/A</v>
        <stp/>
        <stp>BDH|5757460634234364059</stp>
        <tr r="R23" s="10"/>
      </tp>
      <tp t="e">
        <v>#N/A</v>
        <stp/>
        <stp>BDH|1245662698628791081</stp>
        <tr r="V39" s="24"/>
      </tp>
      <tp t="e">
        <v>#N/A</v>
        <stp/>
        <stp>BDH|3481414351961296554</stp>
        <tr r="D75" s="12"/>
      </tp>
      <tp t="e">
        <v>#N/A</v>
        <stp/>
        <stp>BDH|8362120922509237428</stp>
        <tr r="P74" s="34"/>
      </tp>
      <tp t="e">
        <v>#N/A</v>
        <stp/>
        <stp>BDH|3906986868973800927</stp>
        <tr r="P24" s="17"/>
      </tp>
      <tp t="e">
        <v>#N/A</v>
        <stp/>
        <stp>BDH|6739792216617280197</stp>
        <tr r="X43" s="13"/>
        <tr r="V35" s="11"/>
        <tr r="V44" s="10"/>
        <tr r="V52" s="4"/>
        <tr r="X8" s="3"/>
      </tp>
      <tp t="e">
        <v>#N/A</v>
        <stp/>
        <stp>BDH|3086025531727813180</stp>
        <tr r="I48" s="21"/>
      </tp>
      <tp t="e">
        <v>#N/A</v>
        <stp/>
        <stp>BDH|3325718261245567154</stp>
        <tr r="Z75" s="18"/>
      </tp>
      <tp t="e">
        <v>#N/A</v>
        <stp/>
        <stp>BDH|1743917489760891647</stp>
        <tr r="H55" s="13"/>
        <tr r="F37" s="11"/>
        <tr r="F46" s="10"/>
        <tr r="F53" s="4"/>
        <tr r="F18" s="2"/>
      </tp>
      <tp t="e">
        <v>#N/A</v>
        <stp/>
        <stp>BDH|3237414906710383152</stp>
        <tr r="X15" s="10"/>
      </tp>
      <tp t="e">
        <v>#N/A</v>
        <stp/>
        <stp>BDH|3599534854497816292</stp>
        <tr r="N8" s="26"/>
        <tr r="K10" s="9"/>
      </tp>
      <tp t="e">
        <v>#N/A</v>
        <stp/>
        <stp>BDH|6163030731895306634</stp>
        <tr r="H155" s="18"/>
      </tp>
      <tp t="e">
        <v>#N/A</v>
        <stp/>
        <stp>BDH|1099332847110411036</stp>
        <tr r="Q71" s="17"/>
        <tr r="N8" s="9"/>
        <tr r="N8" s="5"/>
      </tp>
      <tp t="e">
        <v>#N/A</v>
        <stp/>
        <stp>BDH|7158009315736167660</stp>
        <tr r="N17" s="13"/>
      </tp>
      <tp t="e">
        <v>#N/A</v>
        <stp/>
        <stp>BDH|5744969090072343115</stp>
        <tr r="J23" s="11"/>
      </tp>
      <tp t="e">
        <v>#N/A</v>
        <stp/>
        <stp>BDH|7633732560993132377</stp>
        <tr r="O47" s="12"/>
      </tp>
      <tp t="e">
        <v>#N/A</v>
        <stp/>
        <stp>BDH|2538979490410213433</stp>
        <tr r="W19" s="9"/>
      </tp>
      <tp t="e">
        <v>#N/A</v>
        <stp/>
        <stp>BDH|5682155044450229667</stp>
        <tr r="U8" s="2"/>
      </tp>
      <tp t="e">
        <v>#N/A</v>
        <stp/>
        <stp>BDH|6217347405820265327</stp>
        <tr r="Q18" s="13"/>
      </tp>
      <tp t="e">
        <v>#N/A</v>
        <stp/>
        <stp>BDH|7878152411717788685</stp>
        <tr r="T57" s="24"/>
      </tp>
      <tp t="e">
        <v>#N/A</v>
        <stp/>
        <stp>BDH|5676758570360077304</stp>
        <tr r="J24" s="6"/>
      </tp>
      <tp t="e">
        <v>#N/A</v>
        <stp/>
        <stp>BDH|3787240316583276545</stp>
        <tr r="Q50" s="4"/>
      </tp>
      <tp t="e">
        <v>#N/A</v>
        <stp/>
        <stp>BDH|7651651570935402543</stp>
        <tr r="M11" s="6"/>
      </tp>
      <tp t="e">
        <v>#N/A</v>
        <stp/>
        <stp>BDH|9610015821814759927</stp>
        <tr r="S10" s="24"/>
      </tp>
      <tp t="e">
        <v>#N/A</v>
        <stp/>
        <stp>BDH|9661059573319147126</stp>
        <tr r="W29" s="22"/>
      </tp>
      <tp t="e">
        <v>#N/A</v>
        <stp/>
        <stp>BDH|2458743950185017338</stp>
        <tr r="C98" s="12"/>
      </tp>
      <tp t="e">
        <v>#N/A</v>
        <stp/>
        <stp>BDH|4509575533800414462</stp>
        <tr r="L14" s="10"/>
      </tp>
      <tp t="e">
        <v>#N/A</v>
        <stp/>
        <stp>BDH|2115676924539008923</stp>
        <tr r="N60" s="17"/>
      </tp>
      <tp t="e">
        <v>#N/A</v>
        <stp/>
        <stp>BDH|5222524204400330670</stp>
        <tr r="K60" s="17"/>
      </tp>
      <tp t="e">
        <v>#N/A</v>
        <stp/>
        <stp>BDH|2669647344195331352</stp>
        <tr r="X32" s="6"/>
      </tp>
      <tp t="e">
        <v>#N/A</v>
        <stp/>
        <stp>BDH|3498319476578035937</stp>
        <tr r="D18" s="14"/>
      </tp>
      <tp t="e">
        <v>#N/A</v>
        <stp/>
        <stp>BDH|4534656770773920090</stp>
        <tr r="Q48" s="18"/>
      </tp>
      <tp t="e">
        <v>#N/A</v>
        <stp/>
        <stp>BDH|3222281430073226781</stp>
        <tr r="T12" s="20"/>
        <tr r="T121" s="18"/>
      </tp>
      <tp t="e">
        <v>#N/A</v>
        <stp/>
        <stp>BDH|1097178660349168964</stp>
        <tr r="U31" s="26"/>
        <tr r="R14" s="9"/>
      </tp>
      <tp t="e">
        <v>#N/A</v>
        <stp/>
        <stp>BDH|2048051224631692779</stp>
        <tr r="V33" s="12"/>
      </tp>
      <tp t="e">
        <v>#N/A</v>
        <stp/>
        <stp>BDH|6749538273196269458</stp>
        <tr r="C147" s="18"/>
      </tp>
      <tp t="e">
        <v>#N/A</v>
        <stp/>
        <stp>BDH|4136410544035296768</stp>
        <tr r="V31" s="5"/>
      </tp>
      <tp t="e">
        <v>#N/A</v>
        <stp/>
        <stp>BDH|6496018814542758363</stp>
        <tr r="P23" s="9"/>
        <tr r="P23" s="5"/>
      </tp>
      <tp t="e">
        <v>#N/A</v>
        <stp/>
        <stp>BDH|7206038219077081782</stp>
        <tr r="J8" s="14"/>
      </tp>
      <tp t="e">
        <v>#N/A</v>
        <stp/>
        <stp>BDH|5073505933645304006</stp>
        <tr r="D42" s="12"/>
      </tp>
      <tp t="e">
        <v>#N/A</v>
        <stp/>
        <stp>BDH|4757342746510517506</stp>
        <tr r="T87" s="17"/>
      </tp>
      <tp t="e">
        <v>#N/A</v>
        <stp/>
        <stp>BDH|4589416717517668058</stp>
        <tr r="F82" s="24"/>
      </tp>
      <tp t="e">
        <v>#N/A</v>
        <stp/>
        <stp>BDH|2069812013304304912</stp>
        <tr r="W11" s="18"/>
      </tp>
      <tp t="e">
        <v>#N/A</v>
        <stp/>
        <stp>BDH|4820383030221658363</stp>
        <tr r="F59" s="34"/>
      </tp>
      <tp t="e">
        <v>#N/A</v>
        <stp/>
        <stp>BDH|8674806424701707552</stp>
        <tr r="K164" s="18"/>
      </tp>
      <tp t="e">
        <v>#N/A</v>
        <stp/>
        <stp>BDH|3647972110465072811</stp>
        <tr r="M72" s="18"/>
      </tp>
      <tp t="e">
        <v>#N/A</v>
        <stp/>
        <stp>BDH|7452684240637430480</stp>
        <tr r="V122" s="12"/>
      </tp>
      <tp t="e">
        <v>#N/A</v>
        <stp/>
        <stp>BDH|1751665673465375315</stp>
        <tr r="P69" s="24"/>
      </tp>
      <tp t="e">
        <v>#N/A</v>
        <stp/>
        <stp>BDH|2524097279661726227</stp>
        <tr r="H13" s="34"/>
      </tp>
      <tp t="e">
        <v>#N/A</v>
        <stp/>
        <stp>BDH|7212924199774845510</stp>
        <tr r="Z61" s="24"/>
      </tp>
      <tp t="e">
        <v>#N/A</v>
        <stp/>
        <stp>BDH|1474058073562250209</stp>
        <tr r="N36" s="13"/>
        <tr r="L29" s="10"/>
      </tp>
      <tp t="e">
        <v>#N/A</v>
        <stp/>
        <stp>BDH|4137726014513214757</stp>
        <tr r="J128" s="18"/>
      </tp>
      <tp t="e">
        <v>#N/A</v>
        <stp/>
        <stp>BDH|6438223260670093469</stp>
        <tr r="K13" s="30"/>
      </tp>
      <tp t="e">
        <v>#N/A</v>
        <stp/>
        <stp>BDH|3430714990978004357</stp>
        <tr r="U48" s="18"/>
      </tp>
      <tp t="e">
        <v>#N/A</v>
        <stp/>
        <stp>BDH|5266477419826885049</stp>
        <tr r="U9" s="13"/>
      </tp>
      <tp t="e">
        <v>#N/A</v>
        <stp/>
        <stp>BDH|1875729135992997166</stp>
        <tr r="U7" s="9"/>
        <tr r="U7" s="5"/>
        <tr r="X14" s="3"/>
        <tr r="V7" s="2"/>
      </tp>
      <tp t="e">
        <v>#N/A</v>
        <stp/>
        <stp>BDH|1340114524343284740</stp>
        <tr r="V39" s="26"/>
      </tp>
      <tp t="e">
        <v>#N/A</v>
        <stp/>
        <stp>BDH|2381273199426824957</stp>
        <tr r="E102" s="12"/>
      </tp>
      <tp t="e">
        <v>#N/A</v>
        <stp/>
        <stp>BDH|4805348655760002495</stp>
        <tr r="Z11" s="30"/>
      </tp>
      <tp t="e">
        <v>#N/A</v>
        <stp/>
        <stp>BDH|2462653760661512548</stp>
        <tr r="T11" s="14"/>
      </tp>
      <tp t="e">
        <v>#N/A</v>
        <stp/>
        <stp>BDH|2909199556786169672</stp>
        <tr r="AA87" s="18"/>
      </tp>
      <tp t="e">
        <v>#N/A</v>
        <stp/>
        <stp>BDH|3360860055699896183</stp>
        <tr r="Q19" s="13"/>
        <tr r="O62" s="10"/>
        <tr r="O32" s="4"/>
        <tr r="O16" s="2"/>
      </tp>
      <tp t="e">
        <v>#N/A</v>
        <stp/>
        <stp>BDH|8309159587073175403</stp>
        <tr r="T26" s="13"/>
      </tp>
      <tp t="e">
        <v>#N/A</v>
        <stp/>
        <stp>BDH|4329011903106268439</stp>
        <tr r="Y8" s="28"/>
      </tp>
      <tp t="e">
        <v>#N/A</v>
        <stp/>
        <stp>BDH|6071379907922139118</stp>
        <tr r="T9" s="29"/>
      </tp>
      <tp t="e">
        <v>#N/A</v>
        <stp/>
        <stp>BDH|5558451406637348059</stp>
        <tr r="S46" s="17"/>
      </tp>
      <tp t="e">
        <v>#N/A</v>
        <stp/>
        <stp>BDH|3265668788039470286</stp>
        <tr r="K10" s="11"/>
      </tp>
      <tp t="e">
        <v>#N/A</v>
        <stp/>
        <stp>BDH|9190291589092770760</stp>
        <tr r="L9" s="29"/>
      </tp>
      <tp t="e">
        <v>#N/A</v>
        <stp/>
        <stp>BDH|7431048403493465276</stp>
        <tr r="U13" s="11"/>
      </tp>
      <tp t="e">
        <v>#N/A</v>
        <stp/>
        <stp>BDH|7636548931554760347</stp>
        <tr r="S95" s="24"/>
      </tp>
      <tp t="e">
        <v>#N/A</v>
        <stp/>
        <stp>BDH|2098462431047174462</stp>
        <tr r="X48" s="24"/>
      </tp>
      <tp t="e">
        <v>#N/A</v>
        <stp/>
        <stp>BDH|4520465366650486008</stp>
        <tr r="R21" s="9"/>
      </tp>
      <tp t="e">
        <v>#N/A</v>
        <stp/>
        <stp>BDH|4741430221530043445</stp>
        <tr r="H14" s="11"/>
      </tp>
      <tp t="e">
        <v>#N/A</v>
        <stp/>
        <stp>BDH|6016560943013012240</stp>
        <tr r="C43" s="18"/>
      </tp>
      <tp t="e">
        <v>#N/A</v>
        <stp/>
        <stp>BDH|6390836981757713779</stp>
        <tr r="V21" s="3"/>
      </tp>
      <tp t="e">
        <v>#N/A</v>
        <stp/>
        <stp>BDH|2314612911276580579</stp>
        <tr r="M41" s="21"/>
      </tp>
      <tp t="e">
        <v>#N/A</v>
        <stp/>
        <stp>BDH|9665145021204550877</stp>
        <tr r="V18" s="12"/>
      </tp>
      <tp t="e">
        <v>#N/A</v>
        <stp/>
        <stp>BDH|2236861686656163221</stp>
        <tr r="T80" s="34"/>
      </tp>
      <tp t="e">
        <v>#N/A</v>
        <stp/>
        <stp>BDH|2952607617012929163</stp>
        <tr r="I29" s="6"/>
      </tp>
      <tp t="e">
        <v>#N/A</v>
        <stp/>
        <stp>BDH|5192712332582447579</stp>
        <tr r="T23" s="11"/>
      </tp>
      <tp t="e">
        <v>#N/A</v>
        <stp/>
        <stp>BDH|9678740182869091915</stp>
        <tr r="G38" s="26"/>
      </tp>
      <tp t="e">
        <v>#N/A</v>
        <stp/>
        <stp>BDH|4502623404005661147</stp>
        <tr r="O58" s="34"/>
      </tp>
      <tp t="e">
        <v>#N/A</v>
        <stp/>
        <stp>BDH|5906186026752513232</stp>
        <tr r="H13" s="20"/>
        <tr r="H122" s="18"/>
      </tp>
      <tp t="e">
        <v>#N/A</v>
        <stp/>
        <stp>BDH|4283775136316690045</stp>
        <tr r="F44" s="6"/>
      </tp>
      <tp t="e">
        <v>#N/A</v>
        <stp/>
        <stp>BDH|9553623001631668814</stp>
        <tr r="U41" s="12"/>
      </tp>
      <tp t="e">
        <v>#N/A</v>
        <stp/>
        <stp>BDH|8766759053885064903</stp>
        <tr r="R64" s="24"/>
      </tp>
      <tp t="e">
        <v>#N/A</v>
        <stp/>
        <stp>BDH|2197096968265793766</stp>
        <tr r="W194" s="18"/>
      </tp>
      <tp t="e">
        <v>#N/A</v>
        <stp/>
        <stp>BDH|6184762129695698090</stp>
        <tr r="K62" s="24"/>
      </tp>
      <tp t="e">
        <v>#N/A</v>
        <stp/>
        <stp>BDH|6541277879596854326</stp>
        <tr r="L7" s="27"/>
        <tr r="L95" s="17"/>
      </tp>
      <tp t="e">
        <v>#N/A</v>
        <stp/>
        <stp>BDH|7888784326562798605</stp>
        <tr r="P64" s="21"/>
      </tp>
      <tp t="e">
        <v>#N/A</v>
        <stp/>
        <stp>BDH|6976940254358886409</stp>
        <tr r="N12" s="24"/>
      </tp>
      <tp t="e">
        <v>#N/A</v>
        <stp/>
        <stp>BDH|3127657440762664531</stp>
        <tr r="K127" s="18"/>
      </tp>
      <tp t="e">
        <v>#N/A</v>
        <stp/>
        <stp>BDH|3545513902274242454</stp>
        <tr r="T122" s="12"/>
      </tp>
      <tp t="e">
        <v>#N/A</v>
        <stp/>
        <stp>BDH|1327871886237167022</stp>
        <tr r="E34" s="29"/>
      </tp>
      <tp t="e">
        <v>#N/A</v>
        <stp/>
        <stp>BDH|8006568480681181263</stp>
        <tr r="S14" s="21"/>
      </tp>
      <tp t="e">
        <v>#N/A</v>
        <stp/>
        <stp>BDH|6509167834962633009</stp>
        <tr r="W34" s="22"/>
      </tp>
      <tp t="e">
        <v>#N/A</v>
        <stp/>
        <stp>BDH|1543351000267263335</stp>
        <tr r="E40" s="29"/>
        <tr r="E17" s="29"/>
      </tp>
      <tp t="e">
        <v>#N/A</v>
        <stp/>
        <stp>BDH|1712851178470203890</stp>
        <tr r="O38" s="26"/>
      </tp>
      <tp t="e">
        <v>#N/A</v>
        <stp/>
        <stp>BDH|7587747005357115149</stp>
        <tr r="U36" s="13"/>
        <tr r="S29" s="10"/>
      </tp>
      <tp t="e">
        <v>#N/A</v>
        <stp/>
        <stp>BDH|2884437108920376015</stp>
        <tr r="T39" s="22"/>
      </tp>
      <tp t="e">
        <v>#N/A</v>
        <stp/>
        <stp>BDH|5139485171059972905</stp>
        <tr r="R37" s="13"/>
        <tr r="P30" s="10"/>
      </tp>
      <tp t="e">
        <v>#N/A</v>
        <stp/>
        <stp>BDH|5262523281498211624</stp>
        <tr r="J6" s="8"/>
        <tr r="H51" s="6"/>
      </tp>
      <tp t="e">
        <v>#N/A</v>
        <stp/>
        <stp>BDH|4109185238177945794</stp>
        <tr r="U95" s="24"/>
      </tp>
      <tp t="e">
        <v>#N/A</v>
        <stp/>
        <stp>BDH|2091019084524313873</stp>
        <tr r="G61" s="24"/>
      </tp>
      <tp t="e">
        <v>#N/A</v>
        <stp/>
        <stp>BDH|7339109792630985993</stp>
        <tr r="X43" s="4"/>
      </tp>
      <tp t="e">
        <v>#N/A</v>
        <stp/>
        <stp>BDH|6262161427244779755</stp>
        <tr r="R102" s="12"/>
      </tp>
      <tp t="e">
        <v>#N/A</v>
        <stp/>
        <stp>BDH|3041652794128825283</stp>
        <tr r="U35" s="12"/>
      </tp>
      <tp t="e">
        <v>#N/A</v>
        <stp/>
        <stp>BDH|8997797580548024910</stp>
        <tr r="N186" s="18"/>
      </tp>
      <tp t="e">
        <v>#N/A</v>
        <stp/>
        <stp>BDH|8277818563795827593</stp>
        <tr r="Q30" s="21"/>
      </tp>
      <tp t="e">
        <v>#N/A</v>
        <stp/>
        <stp>BDH|3347605118662965039</stp>
        <tr r="X18" s="20"/>
      </tp>
      <tp t="e">
        <v>#N/A</v>
        <stp/>
        <stp>BDH|6111439077151429203</stp>
        <tr r="X52" s="17"/>
      </tp>
      <tp t="e">
        <v>#N/A</v>
        <stp/>
        <stp>BDH|9674269890102872690</stp>
        <tr r="P21" s="12"/>
      </tp>
      <tp t="e">
        <v>#N/A</v>
        <stp/>
        <stp>BDH|3660129463203761110</stp>
        <tr r="X15" s="25"/>
      </tp>
      <tp t="e">
        <v>#N/A</v>
        <stp/>
        <stp>BDH|1993312388244053817</stp>
        <tr r="K86" s="18"/>
      </tp>
      <tp t="e">
        <v>#N/A</v>
        <stp/>
        <stp>BDH|7639474640688127918</stp>
        <tr r="X18" s="18"/>
      </tp>
      <tp t="e">
        <v>#N/A</v>
        <stp/>
        <stp>BDH|9420451053457451978</stp>
        <tr r="R80" s="24"/>
      </tp>
      <tp t="e">
        <v>#N/A</v>
        <stp/>
        <stp>BDH|1180246858426518691</stp>
        <tr r="U25" s="24"/>
      </tp>
      <tp t="e">
        <v>#N/A</v>
        <stp/>
        <stp>BDH|4313429798419867600</stp>
        <tr r="H112" s="12"/>
      </tp>
      <tp t="e">
        <v>#N/A</v>
        <stp/>
        <stp>BDH|6532264811142598162</stp>
        <tr r="I41" s="29"/>
        <tr r="I18" s="29"/>
      </tp>
      <tp t="e">
        <v>#N/A</v>
        <stp/>
        <stp>BDH|9622558604988395257</stp>
        <tr r="E13" s="23"/>
        <tr r="C57" s="11"/>
        <tr r="C38" s="4"/>
      </tp>
      <tp t="e">
        <v>#N/A</v>
        <stp/>
        <stp>BDH|6001162324724387701</stp>
        <tr r="H41" s="24"/>
      </tp>
      <tp t="e">
        <v>#N/A</v>
        <stp/>
        <stp>BDH|9955230659858458064</stp>
        <tr r="W8" s="28"/>
      </tp>
      <tp t="e">
        <v>#N/A</v>
        <stp/>
        <stp>BDH|3752619613470452202</stp>
        <tr r="W13" s="24"/>
      </tp>
      <tp t="e">
        <v>#N/A</v>
        <stp/>
        <stp>BDH|5947622181815228893</stp>
        <tr r="R81" s="18"/>
      </tp>
      <tp t="e">
        <v>#N/A</v>
        <stp/>
        <stp>BDH|2160252555800505352</stp>
        <tr r="L19" s="21"/>
        <tr r="L23" s="3"/>
        <tr r="J23" s="2"/>
      </tp>
      <tp t="e">
        <v>#N/A</v>
        <stp/>
        <stp>BDH|8011378004359719455</stp>
        <tr r="N15" s="11"/>
      </tp>
      <tp t="e">
        <v>#N/A</v>
        <stp/>
        <stp>BDH|9479783613379896060</stp>
        <tr r="N23" s="23"/>
      </tp>
      <tp t="e">
        <v>#N/A</v>
        <stp/>
        <stp>BDH|4109007479825945005</stp>
        <tr r="Q114" s="18"/>
      </tp>
      <tp t="e">
        <v>#N/A</v>
        <stp/>
        <stp>BDH|4555066900271391316</stp>
        <tr r="AA46" s="13"/>
      </tp>
      <tp t="e">
        <v>#N/A</v>
        <stp/>
        <stp>BDH|3235120903876339269</stp>
        <tr r="U18" s="18"/>
      </tp>
      <tp t="e">
        <v>#N/A</v>
        <stp/>
        <stp>BDH|5459299269062052528</stp>
        <tr r="K10" s="18"/>
      </tp>
      <tp t="e">
        <v>#N/A</v>
        <stp/>
        <stp>BDH|5499380315384797583</stp>
        <tr r="R73" s="34"/>
      </tp>
      <tp t="e">
        <v>#N/A</v>
        <stp/>
        <stp>BDH|8754370585154341100</stp>
        <tr r="R50" s="21"/>
      </tp>
      <tp t="e">
        <v>#N/A</v>
        <stp/>
        <stp>BDH|5318634725543639453</stp>
        <tr r="U20" s="22"/>
      </tp>
      <tp t="e">
        <v>#N/A</v>
        <stp/>
        <stp>BDH|9777637992854508458</stp>
        <tr r="J99" s="18"/>
      </tp>
      <tp t="e">
        <v>#N/A</v>
        <stp/>
        <stp>BDH|8951925534883000798</stp>
        <tr r="J47" s="21"/>
      </tp>
      <tp t="e">
        <v>#N/A</v>
        <stp/>
        <stp>BDH|6574998854215892964</stp>
        <tr r="H19" s="6"/>
      </tp>
      <tp t="e">
        <v>#N/A</v>
        <stp/>
        <stp>BDH|9507549983874545616</stp>
        <tr r="N78" s="24"/>
      </tp>
      <tp t="e">
        <v>#N/A</v>
        <stp/>
        <stp>BDH|7671591849244070400</stp>
        <tr r="G12" s="24"/>
      </tp>
      <tp t="e">
        <v>#N/A</v>
        <stp/>
        <stp>BDH|1249219064461680272</stp>
        <tr r="V28" s="13"/>
      </tp>
      <tp t="e">
        <v>#N/A</v>
        <stp/>
        <stp>BDH|5257147585459448311</stp>
        <tr r="X22" s="27"/>
      </tp>
      <tp t="e">
        <v>#N/A</v>
        <stp/>
        <stp>BDH|7326944205778109052</stp>
        <tr r="F64" s="10"/>
      </tp>
      <tp t="e">
        <v>#N/A</v>
        <stp/>
        <stp>BDH|3257806403079109461</stp>
        <tr r="H84" s="12"/>
      </tp>
      <tp t="e">
        <v>#N/A</v>
        <stp/>
        <stp>BDH|3761101916012404735</stp>
        <tr r="W10" s="17"/>
      </tp>
      <tp t="e">
        <v>#N/A</v>
        <stp/>
        <stp>BDH|5383472775188403839</stp>
        <tr r="R73" s="17"/>
      </tp>
      <tp t="e">
        <v>#N/A</v>
        <stp/>
        <stp>BDH|8494189358453553974</stp>
        <tr r="H190" s="18"/>
      </tp>
      <tp t="e">
        <v>#N/A</v>
        <stp/>
        <stp>BDH|3879040203201187488</stp>
        <tr r="F35" s="12"/>
      </tp>
      <tp t="e">
        <v>#N/A</v>
        <stp/>
        <stp>BDH|1148005209463617481</stp>
        <tr r="L46" s="6"/>
        <tr r="L19" s="5"/>
      </tp>
      <tp t="e">
        <v>#N/A</v>
        <stp/>
        <stp>BDH|4191056164733458728</stp>
        <tr r="K93" s="12"/>
      </tp>
      <tp t="e">
        <v>#N/A</v>
        <stp/>
        <stp>BDH|6686415650803317220</stp>
        <tr r="W15" s="26"/>
      </tp>
      <tp t="e">
        <v>#N/A</v>
        <stp/>
        <stp>BDH|9427823755286366461</stp>
        <tr r="Z124" s="18"/>
      </tp>
      <tp t="e">
        <v>#N/A</v>
        <stp/>
        <stp>BDH|4638757115294929090</stp>
        <tr r="F32" s="22"/>
      </tp>
      <tp t="e">
        <v>#N/A</v>
        <stp/>
        <stp>BDH|5837312927726865404</stp>
        <tr r="I16" s="12"/>
      </tp>
      <tp t="e">
        <v>#N/A</v>
        <stp/>
        <stp>BDH|8566937471560650076</stp>
        <tr r="L58" s="6"/>
      </tp>
      <tp t="e">
        <v>#N/A</v>
        <stp/>
        <stp>BDH|3168141093195006801</stp>
        <tr r="G36" s="34"/>
      </tp>
      <tp t="e">
        <v>#N/A</v>
        <stp/>
        <stp>BDH|2163407746027076311</stp>
        <tr r="K64" s="18"/>
      </tp>
      <tp t="e">
        <v>#N/A</v>
        <stp/>
        <stp>BDH|9952776953408828532</stp>
        <tr r="Y207" s="18"/>
      </tp>
      <tp t="e">
        <v>#N/A</v>
        <stp/>
        <stp>BDH|2654313135080611420</stp>
        <tr r="E13" s="21"/>
      </tp>
      <tp t="e">
        <v>#N/A</v>
        <stp/>
        <stp>BDH|2626379814171357709</stp>
        <tr r="D151" s="18"/>
      </tp>
      <tp t="e">
        <v>#N/A</v>
        <stp/>
        <stp>BDH|1248124162674754435</stp>
        <tr r="Z56" s="24"/>
      </tp>
      <tp t="e">
        <v>#N/A</v>
        <stp/>
        <stp>BDH|1138735845055883197</stp>
        <tr r="N57" s="17"/>
      </tp>
      <tp t="e">
        <v>#N/A</v>
        <stp/>
        <stp>BDH|9024377183653021728</stp>
        <tr r="U27" s="26"/>
      </tp>
      <tp t="e">
        <v>#N/A</v>
        <stp/>
        <stp>BDH|9087945966418382878</stp>
        <tr r="H29" s="22"/>
      </tp>
      <tp t="e">
        <v>#N/A</v>
        <stp/>
        <stp>BDH|3397742214325449614</stp>
        <tr r="D40" s="13"/>
      </tp>
      <tp t="e">
        <v>#N/A</v>
        <stp/>
        <stp>BDH|7082043222993286022</stp>
        <tr r="U11" s="10"/>
        <tr r="U14" s="2"/>
      </tp>
      <tp t="e">
        <v>#N/A</v>
        <stp/>
        <stp>BDH|2484346836700536452</stp>
        <tr r="J8" s="21"/>
      </tp>
      <tp t="e">
        <v>#N/A</v>
        <stp/>
        <stp>BDH|2574045709856844265</stp>
        <tr r="X57" s="34"/>
      </tp>
      <tp t="e">
        <v>#N/A</v>
        <stp/>
        <stp>BDH|3217864886620109559</stp>
        <tr r="Z198" s="18"/>
      </tp>
      <tp t="e">
        <v>#N/A</v>
        <stp/>
        <stp>BDH|5177608779610830260</stp>
        <tr r="G26" s="7"/>
      </tp>
      <tp t="e">
        <v>#N/A</v>
        <stp/>
        <stp>BDH|9550077164899321032</stp>
        <tr r="G33" s="21"/>
      </tp>
      <tp t="e">
        <v>#N/A</v>
        <stp/>
        <stp>BDH|5572413718940304690</stp>
        <tr r="I61" s="12"/>
      </tp>
      <tp t="e">
        <v>#N/A</v>
        <stp/>
        <stp>BDH|1555250353949403911</stp>
        <tr r="L83" s="24"/>
      </tp>
      <tp t="e">
        <v>#N/A</v>
        <stp/>
        <stp>BDH|9931458418328366213</stp>
        <tr r="Y40" s="24"/>
      </tp>
      <tp t="e">
        <v>#N/A</v>
        <stp/>
        <stp>BDH|3949720037426988735</stp>
        <tr r="P46" s="22"/>
      </tp>
      <tp t="e">
        <v>#N/A</v>
        <stp/>
        <stp>BDH|2105235545853829192</stp>
        <tr r="W58" s="13"/>
        <tr r="U47" s="11"/>
        <tr r="U56" s="10"/>
        <tr r="U17" s="7"/>
        <tr r="U17" s="4"/>
        <tr r="W10" s="3"/>
      </tp>
      <tp t="e">
        <v>#N/A</v>
        <stp/>
        <stp>BDH|9214838960487308641</stp>
        <tr r="K56" s="11"/>
        <tr r="K24" s="4"/>
      </tp>
      <tp t="e">
        <v>#N/A</v>
        <stp/>
        <stp>BDH|4845638614340809513</stp>
        <tr r="R23" s="30"/>
        <tr r="R25" s="23"/>
      </tp>
      <tp t="e">
        <v>#N/A</v>
        <stp/>
        <stp>BDH|8479207155410797901</stp>
        <tr r="T90" s="12"/>
      </tp>
      <tp t="e">
        <v>#N/A</v>
        <stp/>
        <stp>BDH|2949756299593387900</stp>
        <tr r="G60" s="21"/>
        <tr r="E54" s="11"/>
      </tp>
      <tp t="e">
        <v>#N/A</v>
        <stp/>
        <stp>BDH|1781756084620162811</stp>
        <tr r="V170" s="18"/>
      </tp>
      <tp t="e">
        <v>#N/A</v>
        <stp/>
        <stp>BDH|1234114571606083746</stp>
        <tr r="P44" s="22"/>
      </tp>
      <tp t="e">
        <v>#N/A</v>
        <stp/>
        <stp>BDH|9039005647952578947</stp>
        <tr r="N19" s="21"/>
        <tr r="N23" s="3"/>
        <tr r="L23" s="2"/>
      </tp>
      <tp t="e">
        <v>#N/A</v>
        <stp/>
        <stp>BDH|1554788222286043494</stp>
        <tr r="Q21" s="9"/>
      </tp>
      <tp t="e">
        <v>#N/A</v>
        <stp/>
        <stp>BDH|1998256183118991508</stp>
        <tr r="X19" s="9"/>
      </tp>
      <tp t="e">
        <v>#N/A</v>
        <stp/>
        <stp>BDH|2552522150657561349</stp>
        <tr r="T88" s="12"/>
      </tp>
      <tp t="e">
        <v>#N/A</v>
        <stp/>
        <stp>BDH|9124917952363781030</stp>
        <tr r="P21" s="10"/>
      </tp>
      <tp t="e">
        <v>#N/A</v>
        <stp/>
        <stp>BDH|9718949119334920357</stp>
        <tr r="C30" s="12"/>
      </tp>
      <tp t="e">
        <v>#N/A</v>
        <stp/>
        <stp>BDH|6490490178921507271</stp>
        <tr r="L12" s="14"/>
      </tp>
      <tp t="e">
        <v>#N/A</v>
        <stp/>
        <stp>BDH|4413339551416492254</stp>
        <tr r="H6" s="6"/>
      </tp>
      <tp t="e">
        <v>#N/A</v>
        <stp/>
        <stp>BDH|2774140565822980186</stp>
        <tr r="P15" s="14"/>
      </tp>
      <tp t="e">
        <v>#N/A</v>
        <stp/>
        <stp>BDH|6597362269506596386</stp>
        <tr r="F23" s="21"/>
      </tp>
      <tp t="e">
        <v>#N/A</v>
        <stp/>
        <stp>BDH|6924412802146932242</stp>
        <tr r="Q123" s="12"/>
      </tp>
      <tp t="e">
        <v>#N/A</v>
        <stp/>
        <stp>BDH|6620164534194507667</stp>
        <tr r="E108" s="12"/>
      </tp>
      <tp t="e">
        <v>#N/A</v>
        <stp/>
        <stp>BDH|8970469669909721566</stp>
        <tr r="F49" s="18"/>
      </tp>
      <tp t="e">
        <v>#N/A</v>
        <stp/>
        <stp>BDH|3211566912347146603</stp>
        <tr r="Q91" s="24"/>
      </tp>
      <tp t="e">
        <v>#N/A</v>
        <stp/>
        <stp>BDH|5419993340729802726</stp>
        <tr r="O108" s="12"/>
      </tp>
      <tp t="e">
        <v>#N/A</v>
        <stp/>
        <stp>BDH|4631618595375538808</stp>
        <tr r="K58" s="6"/>
      </tp>
      <tp t="e">
        <v>#N/A</v>
        <stp/>
        <stp>BDH|3488920505095190953</stp>
        <tr r="H22" s="12"/>
      </tp>
      <tp t="e">
        <v>#N/A</v>
        <stp/>
        <stp>BDH|6598001843312796660</stp>
        <tr r="L89" s="17"/>
      </tp>
      <tp t="e">
        <v>#N/A</v>
        <stp/>
        <stp>BDH|2577805842998985091</stp>
        <tr r="E9" s="23"/>
      </tp>
      <tp t="e">
        <v>#N/A</v>
        <stp/>
        <stp>BDH|2307120915050077435</stp>
        <tr r="K124" s="18"/>
      </tp>
      <tp t="e">
        <v>#N/A</v>
        <stp/>
        <stp>BDH|7646275152437460106</stp>
        <tr r="W56" s="11"/>
        <tr r="W24" s="4"/>
      </tp>
      <tp t="e">
        <v>#N/A</v>
        <stp/>
        <stp>BDH|9502311750279526064</stp>
        <tr r="H33" s="12"/>
      </tp>
      <tp t="e">
        <v>#N/A</v>
        <stp/>
        <stp>BDH|7571510704704556020</stp>
        <tr r="Q56" s="17"/>
      </tp>
      <tp t="e">
        <v>#N/A</v>
        <stp/>
        <stp>BDH|9115056079549813126</stp>
        <tr r="E11" s="29"/>
      </tp>
      <tp t="e">
        <v>#N/A</v>
        <stp/>
        <stp>BDH|8728335819228390498</stp>
        <tr r="N119" s="12"/>
      </tp>
      <tp t="e">
        <v>#N/A</v>
        <stp/>
        <stp>BDH|3736430792519258137</stp>
        <tr r="N17" s="12"/>
      </tp>
      <tp t="e">
        <v>#N/A</v>
        <stp/>
        <stp>BDH|6861561758536941681</stp>
        <tr r="X51" s="24"/>
      </tp>
      <tp t="e">
        <v>#N/A</v>
        <stp/>
        <stp>BDH|4034840107068255261</stp>
        <tr r="J74" s="24"/>
      </tp>
      <tp t="e">
        <v>#N/A</v>
        <stp/>
        <stp>BDH|9261135766389060101</stp>
        <tr r="P34" s="22"/>
      </tp>
      <tp t="e">
        <v>#N/A</v>
        <stp/>
        <stp>BDH|6602240132524418533</stp>
        <tr r="Z82" s="24"/>
      </tp>
      <tp t="e">
        <v>#N/A</v>
        <stp/>
        <stp>BDH|2609430069580942627</stp>
        <tr r="M15" s="26"/>
      </tp>
      <tp t="e">
        <v>#N/A</v>
        <stp/>
        <stp>BDH|8743417967408795418</stp>
        <tr r="S43" s="24"/>
      </tp>
      <tp t="e">
        <v>#N/A</v>
        <stp/>
        <stp>BDH|4588359023755586618</stp>
        <tr r="M66" s="13"/>
      </tp>
      <tp t="e">
        <v>#N/A</v>
        <stp/>
        <stp>BDH|4922179272220907420</stp>
        <tr r="J19" s="34"/>
      </tp>
      <tp t="e">
        <v>#N/A</v>
        <stp/>
        <stp>BDH|8786744891292569201</stp>
        <tr r="E18" s="14"/>
      </tp>
      <tp t="e">
        <v>#N/A</v>
        <stp/>
        <stp>BDH|5126770249497177798</stp>
        <tr r="U104" s="18"/>
      </tp>
      <tp t="e">
        <v>#N/A</v>
        <stp/>
        <stp>BDH|3069908486130104407</stp>
        <tr r="U144" s="18"/>
      </tp>
      <tp t="e">
        <v>#N/A</v>
        <stp/>
        <stp>BDH|2578574103890045164</stp>
        <tr r="L43" s="24"/>
      </tp>
      <tp t="e">
        <v>#N/A</v>
        <stp/>
        <stp>BDH|4438390818279492962</stp>
        <tr r="G45" s="34"/>
      </tp>
      <tp t="e">
        <v>#N/A</v>
        <stp/>
        <stp>BDH|4207156261707296232</stp>
        <tr r="C46" s="22"/>
      </tp>
      <tp t="e">
        <v>#N/A</v>
        <stp/>
        <stp>BDH|7028480715593259788</stp>
        <tr r="F41" s="6"/>
        <tr r="F18" s="5"/>
      </tp>
      <tp t="e">
        <v>#N/A</v>
        <stp/>
        <stp>BDH|5799136342926593045</stp>
        <tr r="F115" s="12"/>
      </tp>
      <tp t="e">
        <v>#N/A</v>
        <stp/>
        <stp>BDH|8786952100362026556</stp>
        <tr r="P87" s="18"/>
      </tp>
      <tp t="e">
        <v>#N/A</v>
        <stp/>
        <stp>BDH|1812169069451347135</stp>
        <tr r="N6" s="16"/>
        <tr r="O6" s="11"/>
        <tr r="O10" s="4"/>
        <tr r="Q6" s="3"/>
      </tp>
      <tp t="e">
        <v>#N/A</v>
        <stp/>
        <stp>BDH|3247753724201792131</stp>
        <tr r="V145" s="18"/>
      </tp>
      <tp t="e">
        <v>#N/A</v>
        <stp/>
        <stp>BDH|5091225253285377154</stp>
        <tr r="V58" s="6"/>
      </tp>
      <tp t="e">
        <v>#N/A</v>
        <stp/>
        <stp>BDH|4853698682615039945</stp>
        <tr r="J59" s="24"/>
      </tp>
      <tp t="e">
        <v>#N/A</v>
        <stp/>
        <stp>BDH|4076911623181231879</stp>
        <tr r="Y14" s="34"/>
      </tp>
      <tp t="e">
        <v>#N/A</v>
        <stp/>
        <stp>BDH|3705919884641276574</stp>
        <tr r="T209" s="18"/>
      </tp>
      <tp t="e">
        <v>#N/A</v>
        <stp/>
        <stp>BDH|1794663666586013102</stp>
        <tr r="U23" s="6"/>
      </tp>
      <tp t="e">
        <v>#N/A</v>
        <stp/>
        <stp>BDH|7576579822482350440</stp>
        <tr r="N31" s="9"/>
      </tp>
      <tp t="e">
        <v>#N/A</v>
        <stp/>
        <stp>BDH|9984875890977993902</stp>
        <tr r="Y79" s="18"/>
      </tp>
      <tp t="e">
        <v>#N/A</v>
        <stp/>
        <stp>BDH|1438116362782496245</stp>
        <tr r="S29" s="17"/>
      </tp>
      <tp t="e">
        <v>#N/A</v>
        <stp/>
        <stp>BDH|2180365651171645349</stp>
        <tr r="I70" s="34"/>
      </tp>
      <tp t="e">
        <v>#N/A</v>
        <stp/>
        <stp>BDH|1049303437182603557</stp>
        <tr r="V73" s="18"/>
      </tp>
      <tp t="e">
        <v>#N/A</v>
        <stp/>
        <stp>BDH|4438601759764863512</stp>
        <tr r="U111" s="18"/>
      </tp>
      <tp t="e">
        <v>#N/A</v>
        <stp/>
        <stp>BDH|8693330294424743029</stp>
        <tr r="J22" s="18"/>
      </tp>
      <tp t="e">
        <v>#N/A</v>
        <stp/>
        <stp>BDH|9028950624544663031</stp>
        <tr r="L28" s="6"/>
      </tp>
      <tp t="e">
        <v>#N/A</v>
        <stp/>
        <stp>BDH|2212723243434579321</stp>
        <tr r="D128" s="18"/>
      </tp>
      <tp t="e">
        <v>#N/A</v>
        <stp/>
        <stp>BDH|4067021572001231467</stp>
        <tr r="J74" s="34"/>
      </tp>
      <tp t="e">
        <v>#N/A</v>
        <stp/>
        <stp>BDH|1878215737435938337</stp>
        <tr r="G82" s="12"/>
      </tp>
      <tp t="e">
        <v>#N/A</v>
        <stp/>
        <stp>BDH|8357019411188276758</stp>
        <tr r="P70" s="13"/>
        <tr r="N49" s="11"/>
        <tr r="N58" s="10"/>
        <tr r="N19" s="7"/>
        <tr r="N18" s="4"/>
        <tr r="N20" s="2"/>
      </tp>
      <tp t="e">
        <v>#N/A</v>
        <stp/>
        <stp>BDH|1709630126386148575</stp>
        <tr r="U72" s="24"/>
      </tp>
      <tp t="e">
        <v>#N/A</v>
        <stp/>
        <stp>BDH|1260320753122232351</stp>
        <tr r="Z7" s="27"/>
        <tr r="Z95" s="17"/>
      </tp>
      <tp t="e">
        <v>#N/A</v>
        <stp/>
        <stp>BDH|3535417817135449534</stp>
        <tr r="L56" s="24"/>
      </tp>
      <tp t="e">
        <v>#N/A</v>
        <stp/>
        <stp>BDH|2345048304311632518</stp>
        <tr r="Q82" s="12"/>
      </tp>
      <tp t="e">
        <v>#N/A</v>
        <stp/>
        <stp>BDH|4043660354464503534</stp>
        <tr r="D34" s="13"/>
      </tp>
      <tp t="e">
        <v>#N/A</v>
        <stp/>
        <stp>BDH|8796332323877424875</stp>
        <tr r="O177" s="18"/>
      </tp>
      <tp t="e">
        <v>#N/A</v>
        <stp/>
        <stp>BDH|7399884089780676109</stp>
        <tr r="Q207" s="18"/>
      </tp>
      <tp t="e">
        <v>#N/A</v>
        <stp/>
        <stp>BDH|1078735047631158515</stp>
        <tr r="R65" s="17"/>
      </tp>
      <tp t="e">
        <v>#N/A</v>
        <stp/>
        <stp>BDH|5180910898240971359</stp>
        <tr r="Q13" s="22"/>
      </tp>
      <tp t="e">
        <v>#N/A</v>
        <stp/>
        <stp>BDH|4789747735584468268</stp>
        <tr r="N25" s="14"/>
      </tp>
      <tp t="e">
        <v>#N/A</v>
        <stp/>
        <stp>BDH|1327617423045511603</stp>
        <tr r="E88" s="12"/>
      </tp>
      <tp t="e">
        <v>#N/A</v>
        <stp/>
        <stp>BDH|1408274171561509336</stp>
        <tr r="T27" s="18"/>
      </tp>
      <tp t="e">
        <v>#N/A</v>
        <stp/>
        <stp>BDH|4848094351400368775</stp>
        <tr r="T95" s="24"/>
      </tp>
      <tp t="e">
        <v>#N/A</v>
        <stp/>
        <stp>BDH|1116040226554009173</stp>
        <tr r="W35" s="22"/>
      </tp>
      <tp t="e">
        <v>#N/A</v>
        <stp/>
        <stp>BDH|6544026750585502060</stp>
        <tr r="I15" s="10"/>
      </tp>
      <tp t="e">
        <v>#N/A</v>
        <stp/>
        <stp>BDH|2047122526203569455</stp>
        <tr r="V79" s="24"/>
      </tp>
      <tp t="e">
        <v>#N/A</v>
        <stp/>
        <stp>BDH|5864605841187973643</stp>
        <tr r="S24" s="24"/>
      </tp>
      <tp t="e">
        <v>#N/A</v>
        <stp/>
        <stp>BDH|5650342879416914164</stp>
        <tr r="Q19" s="17"/>
      </tp>
      <tp t="e">
        <v>#N/A</v>
        <stp/>
        <stp>BDH|3181060315262214642</stp>
        <tr r="AA32" s="26"/>
      </tp>
      <tp t="e">
        <v>#N/A</v>
        <stp/>
        <stp>BDH|5533528138136231390</stp>
        <tr r="G42" s="6"/>
      </tp>
      <tp t="e">
        <v>#N/A</v>
        <stp/>
        <stp>BDH|1516729318800216198</stp>
        <tr r="P17" s="21"/>
      </tp>
      <tp t="e">
        <v>#N/A</v>
        <stp/>
        <stp>BDH|3053410153945175172</stp>
        <tr r="M82" s="12"/>
      </tp>
      <tp t="e">
        <v>#N/A</v>
        <stp/>
        <stp>BDH|6099633469386869666</stp>
        <tr r="C13" s="20"/>
        <tr r="C122" s="18"/>
      </tp>
      <tp t="e">
        <v>#N/A</v>
        <stp/>
        <stp>BDH|6704761639846929252</stp>
        <tr r="L44" s="12"/>
      </tp>
      <tp t="e">
        <v>#N/A</v>
        <stp/>
        <stp>BDH|7137550420460392636</stp>
        <tr r="F16" s="10"/>
      </tp>
      <tp t="e">
        <v>#N/A</v>
        <stp/>
        <stp>BDH|2512879455511368803</stp>
        <tr r="E18" s="13"/>
      </tp>
      <tp t="e">
        <v>#N/A</v>
        <stp/>
        <stp>BDH|8568162886445721269</stp>
        <tr r="AA154" s="18"/>
      </tp>
      <tp t="e">
        <v>#N/A</v>
        <stp/>
        <stp>BDH|1757038633052152623</stp>
        <tr r="N25" s="24"/>
      </tp>
      <tp t="e">
        <v>#N/A</v>
        <stp/>
        <stp>BDH|2127632817381511249</stp>
        <tr r="I12" s="24"/>
      </tp>
      <tp t="e">
        <v>#N/A</v>
        <stp/>
        <stp>BDH|1688306081565519961</stp>
        <tr r="X25" s="7"/>
      </tp>
      <tp t="e">
        <v>#N/A</v>
        <stp/>
        <stp>BDH|5043894244636042999</stp>
        <tr r="J25" s="9"/>
      </tp>
      <tp t="e">
        <v>#N/A</v>
        <stp/>
        <stp>BDH|4406474094876523965</stp>
        <tr r="L57" s="12"/>
      </tp>
      <tp t="e">
        <v>#N/A</v>
        <stp/>
        <stp>BDH|9773311284833248741</stp>
        <tr r="O37" s="13"/>
        <tr r="M30" s="10"/>
      </tp>
      <tp t="e">
        <v>#N/A</v>
        <stp/>
        <stp>BDH|4835280358246999353</stp>
        <tr r="K20" s="25"/>
      </tp>
      <tp t="e">
        <v>#N/A</v>
        <stp/>
        <stp>BDH|6670416311211516478</stp>
        <tr r="N65" s="12"/>
      </tp>
      <tp t="e">
        <v>#N/A</v>
        <stp/>
        <stp>BDH|1832024844904878723</stp>
        <tr r="AA23" s="26"/>
      </tp>
      <tp t="e">
        <v>#N/A</v>
        <stp/>
        <stp>BDH|8819798211008559016</stp>
        <tr r="H42" s="21"/>
      </tp>
      <tp t="e">
        <v>#N/A</v>
        <stp/>
        <stp>BDH|1936394948395478589</stp>
        <tr r="I9" s="24"/>
      </tp>
      <tp t="e">
        <v>#N/A</v>
        <stp/>
        <stp>BDH|8888944728075021004</stp>
        <tr r="AA12" s="21"/>
      </tp>
      <tp t="e">
        <v>#N/A</v>
        <stp/>
        <stp>BDH|5735488685547667885</stp>
        <tr r="Y203" s="18"/>
      </tp>
      <tp t="e">
        <v>#N/A</v>
        <stp/>
        <stp>BDH|7147281836598895834</stp>
        <tr r="X20" s="18"/>
      </tp>
      <tp t="e">
        <v>#N/A</v>
        <stp/>
        <stp>BDH|2260794328959719807</stp>
        <tr r="U17" s="28"/>
        <tr r="U14" s="17"/>
      </tp>
      <tp t="e">
        <v>#N/A</v>
        <stp/>
        <stp>BDH|4280293259213655600</stp>
        <tr r="F206" s="18"/>
      </tp>
      <tp t="e">
        <v>#N/A</v>
        <stp/>
        <stp>BDH|9368857744080081365</stp>
        <tr r="G54" s="12"/>
      </tp>
      <tp t="e">
        <v>#N/A</v>
        <stp/>
        <stp>BDH|6046399478625430114</stp>
        <tr r="AA151" s="18"/>
      </tp>
      <tp t="e">
        <v>#N/A</v>
        <stp/>
        <stp>BDH|6722893661577381983</stp>
        <tr r="D74" s="12"/>
      </tp>
      <tp t="e">
        <v>#N/A</v>
        <stp/>
        <stp>BDH|5300621168771595280</stp>
        <tr r="Y19" s="12"/>
      </tp>
      <tp t="e">
        <v>#N/A</v>
        <stp/>
        <stp>BDH|3341227076753099332</stp>
        <tr r="Q11" s="30"/>
      </tp>
      <tp t="e">
        <v>#N/A</v>
        <stp/>
        <stp>BDH|1801386488689563599</stp>
        <tr r="X66" s="13"/>
      </tp>
      <tp t="e">
        <v>#N/A</v>
        <stp/>
        <stp>BDH|3447372666974572446</stp>
        <tr r="Y22" s="18"/>
      </tp>
      <tp t="e">
        <v>#N/A</v>
        <stp/>
        <stp>BDH|3890168154131692087</stp>
        <tr r="Q35" s="24"/>
      </tp>
      <tp t="e">
        <v>#N/A</v>
        <stp/>
        <stp>BDH|3150434142774189150</stp>
        <tr r="U30" s="18"/>
      </tp>
      <tp t="e">
        <v>#N/A</v>
        <stp/>
        <stp>BDH|3260807293854011049</stp>
        <tr r="M25" s="3"/>
      </tp>
      <tp t="e">
        <v>#N/A</v>
        <stp/>
        <stp>BDH|2772352828286750383</stp>
        <tr r="C9" s="18"/>
      </tp>
      <tp t="e">
        <v>#N/A</v>
        <stp/>
        <stp>BDH|3127212674764804496</stp>
        <tr r="V63" s="17"/>
      </tp>
      <tp t="e">
        <v>#N/A</v>
        <stp/>
        <stp>BDH|4784618529076248085</stp>
        <tr r="X20" s="14"/>
      </tp>
      <tp t="e">
        <v>#N/A</v>
        <stp/>
        <stp>BDH|4416315741726979385</stp>
        <tr r="I73" s="34"/>
      </tp>
      <tp t="e">
        <v>#N/A</v>
        <stp/>
        <stp>BDH|4031473817584162343</stp>
        <tr r="AA105" s="12"/>
      </tp>
      <tp t="e">
        <v>#N/A</v>
        <stp/>
        <stp>BDH|8798735081535298420</stp>
        <tr r="F180" s="18"/>
      </tp>
      <tp t="e">
        <v>#N/A</v>
        <stp/>
        <stp>BDH|1668746463672703436</stp>
        <tr r="O170" s="18"/>
      </tp>
      <tp t="e">
        <v>#N/A</v>
        <stp/>
        <stp>BDH|5379151443802859488</stp>
        <tr r="W9" s="22"/>
      </tp>
      <tp t="e">
        <v>#N/A</v>
        <stp/>
        <stp>BDH|1615121160033541347</stp>
        <tr r="F16" s="20"/>
      </tp>
      <tp t="e">
        <v>#N/A</v>
        <stp/>
        <stp>BDH|7356469798515193993</stp>
        <tr r="Y76" s="34"/>
      </tp>
      <tp t="e">
        <v>#N/A</v>
        <stp/>
        <stp>BDH|6354538264796193500</stp>
        <tr r="V129" s="18"/>
      </tp>
      <tp t="e">
        <v>#N/A</v>
        <stp/>
        <stp>BDH|7764027964116452106</stp>
        <tr r="L81" s="12"/>
      </tp>
      <tp t="e">
        <v>#N/A</v>
        <stp/>
        <stp>BDH|5374586660173673385</stp>
        <tr r="T34" s="21"/>
      </tp>
      <tp t="e">
        <v>#N/A</v>
        <stp/>
        <stp>BDH|7195696709404103359</stp>
        <tr r="G6" s="27"/>
      </tp>
      <tp t="e">
        <v>#N/A</v>
        <stp/>
        <stp>BDH|9924505439040259977</stp>
        <tr r="L140" s="18"/>
      </tp>
      <tp t="e">
        <v>#N/A</v>
        <stp/>
        <stp>BDH|2459867685501301512</stp>
        <tr r="N24" s="5"/>
      </tp>
      <tp t="e">
        <v>#N/A</v>
        <stp/>
        <stp>BDH|7019276273834522048</stp>
        <tr r="E39" s="11"/>
        <tr r="E27" s="11"/>
        <tr r="E48" s="10"/>
        <tr r="E36" s="10"/>
      </tp>
      <tp t="e">
        <v>#N/A</v>
        <stp/>
        <stp>BDH|6857671407147821153</stp>
        <tr r="X182" s="18"/>
      </tp>
      <tp t="e">
        <v>#N/A</v>
        <stp/>
        <stp>BDH|9015213720938172758</stp>
        <tr r="I54" s="17"/>
        <tr r="I17" s="3"/>
      </tp>
      <tp t="e">
        <v>#N/A</v>
        <stp/>
        <stp>BDH|2426332143480402350</stp>
        <tr r="R94" s="17"/>
      </tp>
      <tp t="e">
        <v>#N/A</v>
        <stp/>
        <stp>BDH|6448133001127752647</stp>
        <tr r="O32" s="18"/>
      </tp>
      <tp t="e">
        <v>#N/A</v>
        <stp/>
        <stp>BDH|2197343775328362868</stp>
        <tr r="H92" s="18"/>
      </tp>
      <tp t="e">
        <v>#N/A</v>
        <stp/>
        <stp>BDH|5432814798686141492</stp>
        <tr r="O20" s="29"/>
      </tp>
      <tp t="e">
        <v>#N/A</v>
        <stp/>
        <stp>BDH|8371125780726218163</stp>
        <tr r="R24" s="6"/>
      </tp>
      <tp t="e">
        <v>#N/A</v>
        <stp/>
        <stp>BDH|2955766987239465290</stp>
        <tr r="G41" s="17"/>
      </tp>
      <tp t="e">
        <v>#N/A</v>
        <stp/>
        <stp>BDH|6055036030193720016</stp>
        <tr r="Q16" s="10"/>
      </tp>
      <tp t="e">
        <v>#N/A</v>
        <stp/>
        <stp>BDH|6301620333363509625</stp>
        <tr r="AA88" s="18"/>
      </tp>
      <tp t="e">
        <v>#N/A</v>
        <stp/>
        <stp>BDH|8746241696306478347</stp>
        <tr r="R8" s="26"/>
        <tr r="O10" s="9"/>
      </tp>
      <tp t="e">
        <v>#N/A</v>
        <stp/>
        <stp>BDH|3597788219825623672</stp>
        <tr r="F94" s="18"/>
      </tp>
      <tp t="e">
        <v>#N/A</v>
        <stp/>
        <stp>BDH|1297360452764637554</stp>
        <tr r="E72" s="24"/>
      </tp>
      <tp t="e">
        <v>#N/A</v>
        <stp/>
        <stp>BDH|4849436872821800043</stp>
        <tr r="O93" s="18"/>
      </tp>
      <tp t="e">
        <v>#N/A</v>
        <stp/>
        <stp>BDH|1655418206084110755</stp>
        <tr r="E26" s="29"/>
      </tp>
      <tp t="e">
        <v>#N/A</v>
        <stp/>
        <stp>BDH|2333964135088562608</stp>
        <tr r="F67" s="12"/>
      </tp>
      <tp t="e">
        <v>#N/A</v>
        <stp/>
        <stp>BDH|4898483721342112650</stp>
        <tr r="F54" s="24"/>
      </tp>
      <tp t="e">
        <v>#N/A</v>
        <stp/>
        <stp>BDH|1752352907181857588</stp>
        <tr r="K11" s="21"/>
      </tp>
      <tp t="e">
        <v>#N/A</v>
        <stp/>
        <stp>BDH|1271332516877343212</stp>
        <tr r="O60" s="34"/>
      </tp>
      <tp t="e">
        <v>#N/A</v>
        <stp/>
        <stp>BDH|1031449728027907601</stp>
        <tr r="H9" s="11"/>
      </tp>
      <tp t="e">
        <v>#N/A</v>
        <stp/>
        <stp>BDH|7385127851357364261</stp>
        <tr r="M57" s="17"/>
      </tp>
      <tp t="e">
        <v>#N/A</v>
        <stp/>
        <stp>BDH|8931608096899802829</stp>
        <tr r="AA18" s="24"/>
      </tp>
      <tp t="e">
        <v>#N/A</v>
        <stp/>
        <stp>BDH|1799166134480824584</stp>
        <tr r="E35" s="4"/>
      </tp>
      <tp t="e">
        <v>#N/A</v>
        <stp/>
        <stp>BDH|6841488855141212021</stp>
        <tr r="K144" s="18"/>
      </tp>
      <tp t="e">
        <v>#N/A</v>
        <stp/>
        <stp>BDH|1295284053291836141</stp>
        <tr r="O19" s="21"/>
        <tr r="O23" s="3"/>
        <tr r="M23" s="2"/>
      </tp>
      <tp t="e">
        <v>#N/A</v>
        <stp/>
        <stp>BDH|5426569662030518007</stp>
        <tr r="T10" s="21"/>
      </tp>
      <tp t="e">
        <v>#N/A</v>
        <stp/>
        <stp>BDH|8736930032695109129</stp>
        <tr r="Q56" s="24"/>
      </tp>
      <tp t="e">
        <v>#N/A</v>
        <stp/>
        <stp>BDH|7998396554194275335</stp>
        <tr r="O100" s="18"/>
      </tp>
      <tp t="e">
        <v>#N/A</v>
        <stp/>
        <stp>BDH|4580282445040977442</stp>
        <tr r="AA49" s="18"/>
      </tp>
      <tp t="e">
        <v>#N/A</v>
        <stp/>
        <stp>BDH|5321547088878275685</stp>
        <tr r="C129" s="18"/>
      </tp>
      <tp t="e">
        <v>#N/A</v>
        <stp/>
        <stp>BDH|7588295575370449485</stp>
        <tr r="L93" s="18"/>
      </tp>
      <tp t="e">
        <v>#N/A</v>
        <stp/>
        <stp>BDH|6329016043934123050</stp>
        <tr r="P8" s="12"/>
      </tp>
      <tp t="e">
        <v>#N/A</v>
        <stp/>
        <stp>BDH|6208706883788278768</stp>
        <tr r="R16" s="10"/>
      </tp>
      <tp t="e">
        <v>#N/A</v>
        <stp/>
        <stp>BDH|3941959968038553246</stp>
        <tr r="V14" s="4"/>
      </tp>
      <tp t="e">
        <v>#N/A</v>
        <stp/>
        <stp>BDH|74818072895228168</stp>
        <tr r="K11" s="20"/>
        <tr r="K120" s="18"/>
      </tp>
      <tp t="e">
        <v>#N/A</v>
        <stp/>
        <stp>BDH|82833607052050134</stp>
        <tr r="T28" s="4"/>
      </tp>
      <tp t="e">
        <v>#N/A</v>
        <stp/>
        <stp>BDH|28685445640792983</stp>
        <tr r="L180" s="18"/>
      </tp>
      <tp t="e">
        <v>#N/A</v>
        <stp/>
        <stp>BDH|33927189573249999</stp>
        <tr r="T47" s="13"/>
      </tp>
      <tp t="e">
        <v>#N/A</v>
        <stp/>
        <stp>BDH|13944576006624352</stp>
        <tr r="I43" s="21"/>
      </tp>
      <tp t="e">
        <v>#N/A</v>
        <stp/>
        <stp>BDH|99869165132152737</stp>
        <tr r="P18" s="24"/>
      </tp>
      <tp t="e">
        <v>#N/A</v>
        <stp/>
        <stp>BDH|41674045191978834</stp>
        <tr r="O83" s="12"/>
      </tp>
      <tp t="e">
        <v>#N/A</v>
        <stp/>
        <stp>BDH|6541081912021677133</stp>
        <tr r="V26" s="29"/>
      </tp>
      <tp t="e">
        <v>#N/A</v>
        <stp/>
        <stp>BDH|4779340706150605097</stp>
        <tr r="Q10" s="23"/>
      </tp>
      <tp t="e">
        <v>#N/A</v>
        <stp/>
        <stp>BDH|1843217043463965391</stp>
        <tr r="W24" s="18"/>
      </tp>
      <tp t="e">
        <v>#N/A</v>
        <stp/>
        <stp>BDH|7652124932721436385</stp>
        <tr r="I59" s="12"/>
      </tp>
      <tp t="e">
        <v>#N/A</v>
        <stp/>
        <stp>BDH|1258714305503467280</stp>
        <tr r="H17" s="13"/>
      </tp>
      <tp t="e">
        <v>#N/A</v>
        <stp/>
        <stp>BDH|3526733916250987239</stp>
        <tr r="R61" s="21"/>
      </tp>
      <tp t="e">
        <v>#N/A</v>
        <stp/>
        <stp>BDH|3254261676589813802</stp>
        <tr r="R19" s="12"/>
      </tp>
      <tp t="e">
        <v>#N/A</v>
        <stp/>
        <stp>BDH|6016269784999178293</stp>
        <tr r="D210" s="18"/>
      </tp>
      <tp t="e">
        <v>#N/A</v>
        <stp/>
        <stp>BDH|4904864776259524561</stp>
        <tr r="Q21" s="6"/>
      </tp>
      <tp t="e">
        <v>#N/A</v>
        <stp/>
        <stp>BDH|4407396312581654033</stp>
        <tr r="R48" s="12"/>
      </tp>
      <tp t="e">
        <v>#N/A</v>
        <stp/>
        <stp>BDH|5388200676596697190</stp>
        <tr r="V57" s="17"/>
      </tp>
      <tp t="e">
        <v>#N/A</v>
        <stp/>
        <stp>BDH|9581132796420996633</stp>
        <tr r="C92" s="12"/>
      </tp>
      <tp t="e">
        <v>#N/A</v>
        <stp/>
        <stp>BDH|7615004979142144544</stp>
        <tr r="F10" s="34"/>
      </tp>
      <tp t="e">
        <v>#N/A</v>
        <stp/>
        <stp>BDH|8074944909607379145</stp>
        <tr r="E109" s="18"/>
      </tp>
      <tp t="e">
        <v>#N/A</v>
        <stp/>
        <stp>BDH|6464462619707774363</stp>
        <tr r="Z12" s="25"/>
      </tp>
      <tp t="e">
        <v>#N/A</v>
        <stp/>
        <stp>BDH|6045649241304990760</stp>
        <tr r="C21" s="22"/>
      </tp>
      <tp t="e">
        <v>#N/A</v>
        <stp/>
        <stp>BDH|8685368945221676992</stp>
        <tr r="G34" s="11"/>
        <tr r="G43" s="10"/>
      </tp>
      <tp t="e">
        <v>#N/A</v>
        <stp/>
        <stp>BDH|4812889244498993772</stp>
        <tr r="G25" s="11"/>
        <tr r="G34" s="10"/>
      </tp>
      <tp t="e">
        <v>#N/A</v>
        <stp/>
        <stp>BDH|8752391934477956892</stp>
        <tr r="I9" s="10"/>
      </tp>
      <tp t="e">
        <v>#N/A</v>
        <stp/>
        <stp>BDH|2752113846029976937</stp>
        <tr r="C34" s="26"/>
      </tp>
      <tp t="e">
        <v>#N/A</v>
        <stp/>
        <stp>BDH|5136725718331746568</stp>
        <tr r="S85" s="24"/>
      </tp>
      <tp t="e">
        <v>#N/A</v>
        <stp/>
        <stp>BDH|5541646561535392797</stp>
        <tr r="AA14" s="12"/>
      </tp>
      <tp t="e">
        <v>#N/A</v>
        <stp/>
        <stp>BDH|3328580000886630770</stp>
        <tr r="Y32" s="22"/>
      </tp>
      <tp t="e">
        <v>#N/A</v>
        <stp/>
        <stp>BDH|6634075073825939314</stp>
        <tr r="O89" s="12"/>
      </tp>
      <tp t="e">
        <v>#N/A</v>
        <stp/>
        <stp>BDH|5727508747721376292</stp>
        <tr r="T65" s="12"/>
      </tp>
      <tp t="e">
        <v>#N/A</v>
        <stp/>
        <stp>BDH|1249574721716962779</stp>
        <tr r="G26" s="29"/>
      </tp>
      <tp t="e">
        <v>#N/A</v>
        <stp/>
        <stp>BDH|9799335914334274883</stp>
        <tr r="D25" s="27"/>
      </tp>
      <tp t="e">
        <v>#N/A</v>
        <stp/>
        <stp>BDH|6999023126041361247</stp>
        <tr r="X101" s="12"/>
      </tp>
      <tp t="e">
        <v>#N/A</v>
        <stp/>
        <stp>BDH|3321838316595504894</stp>
        <tr r="U77" s="34"/>
      </tp>
      <tp t="e">
        <v>#N/A</v>
        <stp/>
        <stp>BDH|9403197849618790393</stp>
        <tr r="D23" s="9"/>
        <tr r="D23" s="5"/>
      </tp>
      <tp t="e">
        <v>#N/A</v>
        <stp/>
        <stp>BDH|6685381125027675774</stp>
        <tr r="W89" s="12"/>
      </tp>
      <tp t="e">
        <v>#N/A</v>
        <stp/>
        <stp>BDH|3008808535147632890</stp>
        <tr r="Z153" s="18"/>
      </tp>
      <tp t="e">
        <v>#N/A</v>
        <stp/>
        <stp>BDH|2000630358152080414</stp>
        <tr r="M19" s="10"/>
      </tp>
      <tp t="e">
        <v>#N/A</v>
        <stp/>
        <stp>BDH|6361649976675903524</stp>
        <tr r="N12" s="17"/>
      </tp>
      <tp t="e">
        <v>#N/A</v>
        <stp/>
        <stp>BDH|6510582622197587107</stp>
        <tr r="S11" s="17"/>
      </tp>
      <tp t="e">
        <v>#N/A</v>
        <stp/>
        <stp>BDH|5338351746834938135</stp>
        <tr r="M12" s="12"/>
      </tp>
      <tp t="e">
        <v>#N/A</v>
        <stp/>
        <stp>BDH|7592472768154044602</stp>
        <tr r="C69" s="17"/>
      </tp>
      <tp t="e">
        <v>#N/A</v>
        <stp/>
        <stp>BDH|7666303449975224272</stp>
        <tr r="O58" s="6"/>
      </tp>
      <tp t="e">
        <v>#N/A</v>
        <stp/>
        <stp>BDH|8755151887552941469</stp>
        <tr r="G197" s="18"/>
      </tp>
      <tp t="e">
        <v>#N/A</v>
        <stp/>
        <stp>BDH|5100935063408876539</stp>
        <tr r="C49" s="21"/>
      </tp>
      <tp t="e">
        <v>#N/A</v>
        <stp/>
        <stp>BDH|7191635511897128088</stp>
        <tr r="Z20" s="27"/>
      </tp>
      <tp t="e">
        <v>#N/A</v>
        <stp/>
        <stp>BDH|5178273926836282495</stp>
        <tr r="Z148" s="18"/>
      </tp>
      <tp t="e">
        <v>#N/A</v>
        <stp/>
        <stp>BDH|8159777695298926912</stp>
        <tr r="D16" s="26"/>
      </tp>
      <tp t="e">
        <v>#N/A</v>
        <stp/>
        <stp>BDH|3077025136330747785</stp>
        <tr r="J35" s="14"/>
      </tp>
      <tp t="e">
        <v>#N/A</v>
        <stp/>
        <stp>BDH|5037550379963590323</stp>
        <tr r="R37" s="26"/>
      </tp>
      <tp t="e">
        <v>#N/A</v>
        <stp/>
        <stp>BDH|9753786087679677852</stp>
        <tr r="U90" s="18"/>
      </tp>
      <tp t="e">
        <v>#N/A</v>
        <stp/>
        <stp>BDH|8621321689016652205</stp>
        <tr r="U39" s="24"/>
      </tp>
      <tp t="e">
        <v>#N/A</v>
        <stp/>
        <stp>BDH|2236722628243776347</stp>
        <tr r="S84" s="18"/>
      </tp>
      <tp t="e">
        <v>#N/A</v>
        <stp/>
        <stp>BDH|8694991540440076248</stp>
        <tr r="E16" s="22"/>
      </tp>
      <tp t="e">
        <v>#N/A</v>
        <stp/>
        <stp>BDH|6922298175593757799</stp>
        <tr r="J22" s="10"/>
      </tp>
      <tp t="e">
        <v>#N/A</v>
        <stp/>
        <stp>BDH|5618349978265780360</stp>
        <tr r="E10" s="12"/>
      </tp>
      <tp t="e">
        <v>#N/A</v>
        <stp/>
        <stp>BDH|1666934676581002982</stp>
        <tr r="T27" s="14"/>
      </tp>
      <tp t="e">
        <v>#N/A</v>
        <stp/>
        <stp>BDH|6215008519646621669</stp>
        <tr r="W30" s="9"/>
        <tr r="W30" s="5"/>
      </tp>
      <tp t="e">
        <v>#N/A</v>
        <stp/>
        <stp>BDH|6984090754476914269</stp>
        <tr r="D38" s="22"/>
      </tp>
      <tp t="e">
        <v>#N/A</v>
        <stp/>
        <stp>BDH|5702181655762941486</stp>
        <tr r="J136" s="18"/>
      </tp>
      <tp t="e">
        <v>#N/A</v>
        <stp/>
        <stp>BDH|3825483214951996066</stp>
        <tr r="E62" s="24"/>
      </tp>
      <tp t="e">
        <v>#N/A</v>
        <stp/>
        <stp>BDH|6257793228142916611</stp>
        <tr r="S36" s="34"/>
      </tp>
      <tp t="e">
        <v>#N/A</v>
        <stp/>
        <stp>BDH|8554130076639376083</stp>
        <tr r="AA16" s="20"/>
      </tp>
      <tp t="e">
        <v>#N/A</v>
        <stp/>
        <stp>BDH|5392917789962170117</stp>
        <tr r="U78" s="24"/>
      </tp>
      <tp t="e">
        <v>#N/A</v>
        <stp/>
        <stp>BDH|7696245758830478754</stp>
        <tr r="D28" s="18"/>
      </tp>
      <tp t="e">
        <v>#N/A</v>
        <stp/>
        <stp>BDH|4254327956710439590</stp>
        <tr r="Y46" s="22"/>
      </tp>
      <tp t="e">
        <v>#N/A</v>
        <stp/>
        <stp>BDH|1533083202481559717</stp>
        <tr r="D21" s="22"/>
      </tp>
      <tp t="e">
        <v>#N/A</v>
        <stp/>
        <stp>BDH|5193821448637836984</stp>
        <tr r="G53" s="21"/>
      </tp>
      <tp t="e">
        <v>#N/A</v>
        <stp/>
        <stp>BDH|8119072321755482885</stp>
        <tr r="R69" s="17"/>
      </tp>
      <tp t="e">
        <v>#N/A</v>
        <stp/>
        <stp>BDH|9805698268598000624</stp>
        <tr r="G51" s="21"/>
      </tp>
      <tp t="e">
        <v>#N/A</v>
        <stp/>
        <stp>BDH|9528145744909955272</stp>
        <tr r="I124" s="12"/>
      </tp>
      <tp t="e">
        <v>#N/A</v>
        <stp/>
        <stp>BDH|2763877495776673289</stp>
        <tr r="O15" s="30"/>
      </tp>
      <tp t="e">
        <v>#N/A</v>
        <stp/>
        <stp>BDH|1124085616992654523</stp>
        <tr r="L10" s="17"/>
      </tp>
      <tp t="e">
        <v>#N/A</v>
        <stp/>
        <stp>BDH|5698001278274004151</stp>
        <tr r="D72" s="34"/>
      </tp>
      <tp t="e">
        <v>#N/A</v>
        <stp/>
        <stp>BDH|3922783707351986240</stp>
        <tr r="Y88" s="12"/>
      </tp>
      <tp t="e">
        <v>#N/A</v>
        <stp/>
        <stp>BDH|5560378139484729675</stp>
        <tr r="N7" s="28"/>
      </tp>
      <tp t="e">
        <v>#N/A</v>
        <stp/>
        <stp>BDH|6281320304312622095</stp>
        <tr r="S65" s="10"/>
        <tr r="S25" s="4"/>
      </tp>
      <tp t="e">
        <v>#N/A</v>
        <stp/>
        <stp>BDH|8253216418994027804</stp>
        <tr r="V28" s="4"/>
      </tp>
      <tp t="e">
        <v>#N/A</v>
        <stp/>
        <stp>BDH|7561342960673353698</stp>
        <tr r="Q16" s="23"/>
      </tp>
      <tp t="e">
        <v>#N/A</v>
        <stp/>
        <stp>BDH|1890568233221380155</stp>
        <tr r="R31" s="21"/>
      </tp>
      <tp t="e">
        <v>#N/A</v>
        <stp/>
        <stp>BDH|6720089678574921252</stp>
        <tr r="Q41" s="24"/>
      </tp>
      <tp t="e">
        <v>#N/A</v>
        <stp/>
        <stp>BDH|3979668994068818380</stp>
        <tr r="J13" s="20"/>
        <tr r="J122" s="18"/>
      </tp>
      <tp t="e">
        <v>#N/A</v>
        <stp/>
        <stp>BDH|1147684951636269321</stp>
        <tr r="N34" s="22"/>
      </tp>
      <tp t="e">
        <v>#N/A</v>
        <stp/>
        <stp>BDH|4823203225775052652</stp>
        <tr r="E23" s="24"/>
      </tp>
      <tp t="e">
        <v>#N/A</v>
        <stp/>
        <stp>BDH|9682386213935305966</stp>
        <tr r="S10" s="21"/>
      </tp>
      <tp t="e">
        <v>#N/A</v>
        <stp/>
        <stp>BDH|2378997247251678934</stp>
        <tr r="V8" s="26"/>
        <tr r="S10" s="9"/>
      </tp>
      <tp t="e">
        <v>#N/A</v>
        <stp/>
        <stp>BDH|1326438729957659777</stp>
        <tr r="I23" s="24"/>
      </tp>
      <tp t="e">
        <v>#N/A</v>
        <stp/>
        <stp>BDH|4603924253728937760</stp>
        <tr r="T118" s="12"/>
      </tp>
      <tp t="e">
        <v>#N/A</v>
        <stp/>
        <stp>BDH|8108726215651830863</stp>
        <tr r="V43" s="34"/>
      </tp>
      <tp t="e">
        <v>#N/A</v>
        <stp/>
        <stp>BDH|9222015429685275906</stp>
        <tr r="C35" s="22"/>
      </tp>
      <tp t="e">
        <v>#N/A</v>
        <stp/>
        <stp>BDH|3959600470312339726</stp>
        <tr r="R24" s="24"/>
      </tp>
      <tp t="e">
        <v>#N/A</v>
        <stp/>
        <stp>BDH|1741584162055373064</stp>
        <tr r="G209" s="18"/>
      </tp>
      <tp t="e">
        <v>#N/A</v>
        <stp/>
        <stp>BDH|2178483642147215217</stp>
        <tr r="I92" s="24"/>
      </tp>
      <tp t="e">
        <v>#N/A</v>
        <stp/>
        <stp>BDH|5088259202289719981</stp>
        <tr r="C38" s="22"/>
      </tp>
      <tp t="e">
        <v>#N/A</v>
        <stp/>
        <stp>BDH|2301316962196905615</stp>
        <tr r="E8" s="6"/>
      </tp>
      <tp t="e">
        <v>#N/A</v>
        <stp/>
        <stp>BDH|4522488995169489741</stp>
        <tr r="M8" s="8"/>
      </tp>
      <tp t="e">
        <v>#N/A</v>
        <stp/>
        <stp>BDH|5997330442653893684</stp>
        <tr r="W90" s="17"/>
      </tp>
      <tp t="e">
        <v>#N/A</v>
        <stp/>
        <stp>BDH|1930891098315706273</stp>
        <tr r="G25" s="17"/>
      </tp>
      <tp t="e">
        <v>#N/A</v>
        <stp/>
        <stp>BDH|3723523388010546907</stp>
        <tr r="L27" s="21"/>
      </tp>
      <tp t="e">
        <v>#N/A</v>
        <stp/>
        <stp>BDH|2827395331360853503</stp>
        <tr r="J13" s="21"/>
      </tp>
      <tp t="e">
        <v>#N/A</v>
        <stp/>
        <stp>BDH|2631821829369756626</stp>
        <tr r="V27" s="14"/>
      </tp>
      <tp t="e">
        <v>#N/A</v>
        <stp/>
        <stp>BDH|5391973757728285690</stp>
        <tr r="G188" s="18"/>
      </tp>
      <tp t="e">
        <v>#N/A</v>
        <stp/>
        <stp>BDH|3975715907565614613</stp>
        <tr r="W78" s="24"/>
      </tp>
      <tp t="e">
        <v>#N/A</v>
        <stp/>
        <stp>BDH|4214285675404528227</stp>
        <tr r="M8" s="22"/>
      </tp>
      <tp t="e">
        <v>#N/A</v>
        <stp/>
        <stp>BDH|3338871652000628984</stp>
        <tr r="R33" s="17"/>
      </tp>
      <tp t="e">
        <v>#N/A</v>
        <stp/>
        <stp>BDH|2886884699132481651</stp>
        <tr r="F84" s="24"/>
      </tp>
      <tp t="e">
        <v>#N/A</v>
        <stp/>
        <stp>BDH|2525587905561009104</stp>
        <tr r="O20" s="24"/>
      </tp>
      <tp t="e">
        <v>#N/A</v>
        <stp/>
        <stp>BDH|6822594077684929776</stp>
        <tr r="M13" s="21"/>
      </tp>
      <tp t="e">
        <v>#N/A</v>
        <stp/>
        <stp>BDH|7882229714357523434</stp>
        <tr r="K28" s="13"/>
      </tp>
      <tp t="e">
        <v>#N/A</v>
        <stp/>
        <stp>BDH|3490587918866933652</stp>
        <tr r="I21" s="3"/>
      </tp>
      <tp t="e">
        <v>#N/A</v>
        <stp/>
        <stp>BDH|2623661819145037716</stp>
        <tr r="C34" s="9"/>
      </tp>
      <tp t="e">
        <v>#N/A</v>
        <stp/>
        <stp>BDH|8204364567679276393</stp>
        <tr r="M30" s="11"/>
        <tr r="M39" s="10"/>
      </tp>
      <tp t="e">
        <v>#N/A</v>
        <stp/>
        <stp>BDH|3113241070218523986</stp>
        <tr r="R124" s="12"/>
      </tp>
      <tp t="e">
        <v>#N/A</v>
        <stp/>
        <stp>BDH|9592071778438035129</stp>
        <tr r="Z7" s="20"/>
        <tr r="Z117" s="18"/>
      </tp>
      <tp t="e">
        <v>#N/A</v>
        <stp/>
        <stp>BDH|9669500171235845976</stp>
        <tr r="D10" s="23"/>
      </tp>
      <tp t="e">
        <v>#N/A</v>
        <stp/>
        <stp>BDH|6996016461986095119</stp>
        <tr r="AA100" s="18"/>
      </tp>
      <tp t="e">
        <v>#N/A</v>
        <stp/>
        <stp>BDH|9401504009189420211</stp>
        <tr r="AA33" s="18"/>
      </tp>
      <tp t="e">
        <v>#N/A</v>
        <stp/>
        <stp>BDH|2998459230563588114</stp>
        <tr r="P112" s="18"/>
      </tp>
      <tp t="e">
        <v>#N/A</v>
        <stp/>
        <stp>BDH|4165376067703872519</stp>
        <tr r="H86" s="24"/>
      </tp>
      <tp t="e">
        <v>#N/A</v>
        <stp/>
        <stp>BDH|7287671916913983421</stp>
        <tr r="N22" s="22"/>
      </tp>
      <tp t="e">
        <v>#N/A</v>
        <stp/>
        <stp>BDH|7768724949866103552</stp>
        <tr r="I28" s="18"/>
      </tp>
      <tp t="e">
        <v>#N/A</v>
        <stp/>
        <stp>BDH|4881674804313369601</stp>
        <tr r="K6" s="16"/>
        <tr r="L6" s="11"/>
        <tr r="L10" s="4"/>
        <tr r="N6" s="3"/>
      </tp>
      <tp t="e">
        <v>#N/A</v>
        <stp/>
        <stp>BDH|1668344342066985712</stp>
        <tr r="S68" s="18"/>
      </tp>
      <tp t="e">
        <v>#N/A</v>
        <stp/>
        <stp>BDH|7468792258445885750</stp>
        <tr r="D57" s="34"/>
      </tp>
      <tp t="e">
        <v>#N/A</v>
        <stp/>
        <stp>BDH|1649996822568093555</stp>
        <tr r="J7" s="14"/>
      </tp>
      <tp t="e">
        <v>#N/A</v>
        <stp/>
        <stp>BDH|4879712414997113246</stp>
        <tr r="F82" s="12"/>
      </tp>
      <tp t="e">
        <v>#N/A</v>
        <stp/>
        <stp>BDH|1583052044487579592</stp>
        <tr r="U11" s="29"/>
      </tp>
      <tp t="e">
        <v>#N/A</v>
        <stp/>
        <stp>BDH|6800522203051214539</stp>
        <tr r="C21" s="20"/>
      </tp>
      <tp t="e">
        <v>#N/A</v>
        <stp/>
        <stp>BDH|6664712109095191377</stp>
        <tr r="R39" s="18"/>
      </tp>
      <tp t="e">
        <v>#N/A</v>
        <stp/>
        <stp>BDH|9389237499770472555</stp>
        <tr r="Q12" s="27"/>
        <tr r="Q26" s="25"/>
      </tp>
      <tp t="e">
        <v>#N/A</v>
        <stp/>
        <stp>BDH|2678402048980739515</stp>
        <tr r="J97" s="18"/>
      </tp>
      <tp t="e">
        <v>#N/A</v>
        <stp/>
        <stp>BDH|4102504157333959078</stp>
        <tr r="G8" s="24"/>
      </tp>
      <tp t="e">
        <v>#N/A</v>
        <stp/>
        <stp>BDH|5545384131975138750</stp>
        <tr r="Y31" s="24"/>
      </tp>
      <tp t="e">
        <v>#N/A</v>
        <stp/>
        <stp>BDH|6185754477391876035</stp>
        <tr r="E8" s="11"/>
      </tp>
      <tp t="e">
        <v>#N/A</v>
        <stp/>
        <stp>BDH|1369768242783648690</stp>
        <tr r="Y205" s="18"/>
      </tp>
      <tp t="e">
        <v>#N/A</v>
        <stp/>
        <stp>BDH|7177583170611479359</stp>
        <tr r="T143" s="18"/>
      </tp>
      <tp t="e">
        <v>#N/A</v>
        <stp/>
        <stp>BDH|2759470569712966588</stp>
        <tr r="V94" s="24"/>
      </tp>
      <tp t="e">
        <v>#N/A</v>
        <stp/>
        <stp>BDH|4708989959748971776</stp>
        <tr r="K47" s="24"/>
      </tp>
      <tp t="e">
        <v>#N/A</v>
        <stp/>
        <stp>BDH|6527335180613785996</stp>
        <tr r="I33" s="12"/>
      </tp>
      <tp t="e">
        <v>#N/A</v>
        <stp/>
        <stp>BDH|1197010445997585587</stp>
        <tr r="C43" s="12"/>
      </tp>
      <tp t="e">
        <v>#N/A</v>
        <stp/>
        <stp>BDH|6626579138415869296</stp>
        <tr r="S60" s="17"/>
      </tp>
      <tp t="e">
        <v>#N/A</v>
        <stp/>
        <stp>BDH|6956810385141525008</stp>
        <tr r="Z11" s="18"/>
      </tp>
      <tp t="e">
        <v>#N/A</v>
        <stp/>
        <stp>BDH|1663276423112396496</stp>
        <tr r="L41" s="6"/>
        <tr r="L18" s="5"/>
      </tp>
      <tp t="e">
        <v>#N/A</v>
        <stp/>
        <stp>BDH|4689345544161900572</stp>
        <tr r="L34" s="21"/>
      </tp>
      <tp t="e">
        <v>#N/A</v>
        <stp/>
        <stp>BDH|1812198431784855005</stp>
        <tr r="I47" s="24"/>
      </tp>
      <tp t="e">
        <v>#N/A</v>
        <stp/>
        <stp>BDH|2830319973637499674</stp>
        <tr r="V50" s="34"/>
      </tp>
      <tp t="e">
        <v>#N/A</v>
        <stp/>
        <stp>BDH|6259434575175488799</stp>
        <tr r="L59" s="18"/>
      </tp>
      <tp t="e">
        <v>#N/A</v>
        <stp/>
        <stp>BDH|8166872855481950335</stp>
        <tr r="L52" s="17"/>
      </tp>
      <tp t="e">
        <v>#N/A</v>
        <stp/>
        <stp>BDH|1120507619425264737</stp>
        <tr r="C72" s="18"/>
      </tp>
      <tp t="e">
        <v>#N/A</v>
        <stp/>
        <stp>BDH|1628663242530339487</stp>
        <tr r="D41" s="34"/>
      </tp>
      <tp t="e">
        <v>#N/A</v>
        <stp/>
        <stp>BDH|4212687561531176234</stp>
        <tr r="F17" s="21"/>
      </tp>
      <tp t="e">
        <v>#N/A</v>
        <stp/>
        <stp>BDH|3064395761593009216</stp>
        <tr r="P9" s="13"/>
      </tp>
      <tp t="e">
        <v>#N/A</v>
        <stp/>
        <stp>BDH|1415514324289852802</stp>
        <tr r="S8" s="24"/>
      </tp>
      <tp t="e">
        <v>#N/A</v>
        <stp/>
        <stp>BDH|6921942572949220648</stp>
        <tr r="W13" s="27"/>
        <tr r="W27" s="25"/>
      </tp>
      <tp t="e">
        <v>#N/A</v>
        <stp/>
        <stp>BDH|4548647208311019402</stp>
        <tr r="M14" s="11"/>
      </tp>
      <tp t="e">
        <v>#N/A</v>
        <stp/>
        <stp>BDH|4888404171930549052</stp>
        <tr r="D14" s="13"/>
      </tp>
      <tp t="e">
        <v>#N/A</v>
        <stp/>
        <stp>BDH|2579891629068518795</stp>
        <tr r="T157" s="18"/>
      </tp>
      <tp t="e">
        <v>#N/A</v>
        <stp/>
        <stp>BDH|2094585871556420149</stp>
        <tr r="E70" s="12"/>
      </tp>
      <tp t="e">
        <v>#N/A</v>
        <stp/>
        <stp>BDH|5877643415406334336</stp>
        <tr r="P13" s="24"/>
      </tp>
      <tp t="e">
        <v>#N/A</v>
        <stp/>
        <stp>BDH|2996304444495258768</stp>
        <tr r="S68" s="10"/>
      </tp>
      <tp t="e">
        <v>#N/A</v>
        <stp/>
        <stp>BDH|5416281043011550532</stp>
        <tr r="E94" s="18"/>
      </tp>
      <tp t="e">
        <v>#N/A</v>
        <stp/>
        <stp>BDH|7996748715740617670</stp>
        <tr r="D85" s="12"/>
      </tp>
      <tp t="e">
        <v>#N/A</v>
        <stp/>
        <stp>BDH|8265643319421649902</stp>
        <tr r="R203" s="18"/>
      </tp>
      <tp t="e">
        <v>#N/A</v>
        <stp/>
        <stp>BDH|1791532919394604621</stp>
        <tr r="E60" s="21"/>
        <tr r="C54" s="11"/>
      </tp>
      <tp t="e">
        <v>#N/A</v>
        <stp/>
        <stp>BDH|3989962147480876990</stp>
        <tr r="L28" s="22"/>
      </tp>
      <tp t="e">
        <v>#N/A</v>
        <stp/>
        <stp>BDH|5842479956294614767</stp>
        <tr r="F27" s="12"/>
      </tp>
      <tp t="e">
        <v>#N/A</v>
        <stp/>
        <stp>BDH|8239171896043897422</stp>
        <tr r="I17" s="34"/>
      </tp>
      <tp t="e">
        <v>#N/A</v>
        <stp/>
        <stp>BDH|3002186900222395724</stp>
        <tr r="K22" s="30"/>
        <tr r="K24" s="23"/>
      </tp>
      <tp t="e">
        <v>#N/A</v>
        <stp/>
        <stp>BDH|9699731046028366597</stp>
        <tr r="H62" s="21"/>
        <tr r="F25" s="2"/>
      </tp>
      <tp t="e">
        <v>#N/A</v>
        <stp/>
        <stp>BDH|5134559078175636530</stp>
        <tr r="W53" s="24"/>
      </tp>
      <tp t="e">
        <v>#N/A</v>
        <stp/>
        <stp>BDH|4097207634624564686</stp>
        <tr r="P73" s="24"/>
      </tp>
      <tp t="e">
        <v>#N/A</v>
        <stp/>
        <stp>BDH|4959754630781595607</stp>
        <tr r="O58" s="17"/>
      </tp>
      <tp t="e">
        <v>#N/A</v>
        <stp/>
        <stp>BDH|9831987694566983841</stp>
        <tr r="E26" s="17"/>
      </tp>
      <tp t="e">
        <v>#N/A</v>
        <stp/>
        <stp>BDH|7286875529299106344</stp>
        <tr r="W36" s="13"/>
        <tr r="U29" s="10"/>
      </tp>
      <tp t="e">
        <v>#N/A</v>
        <stp/>
        <stp>BDH|3005038110786873323</stp>
        <tr r="D43" s="18"/>
      </tp>
      <tp t="e">
        <v>#N/A</v>
        <stp/>
        <stp>BDH|7509602174053987211</stp>
        <tr r="Z18" s="18"/>
      </tp>
      <tp t="e">
        <v>#N/A</v>
        <stp/>
        <stp>BDH|4433748318107031213</stp>
        <tr r="O21" s="30"/>
      </tp>
      <tp t="e">
        <v>#N/A</v>
        <stp/>
        <stp>BDH|7942359501135745632</stp>
        <tr r="K121" s="12"/>
      </tp>
      <tp t="e">
        <v>#N/A</v>
        <stp/>
        <stp>BDH|2570628040572925572</stp>
        <tr r="I45" s="18"/>
      </tp>
      <tp t="e">
        <v>#N/A</v>
        <stp/>
        <stp>BDH|9017713942558382595</stp>
        <tr r="N38" s="29"/>
        <tr r="N15" s="29"/>
      </tp>
      <tp t="e">
        <v>#N/A</v>
        <stp/>
        <stp>BDH|9131973798016088877</stp>
        <tr r="V20" s="17"/>
      </tp>
      <tp t="e">
        <v>#N/A</v>
        <stp/>
        <stp>BDH|1830225062196128474</stp>
        <tr r="P64" s="34"/>
      </tp>
      <tp t="e">
        <v>#N/A</v>
        <stp/>
        <stp>BDH|6943714176339640866</stp>
        <tr r="S6" s="8"/>
        <tr r="Q51" s="6"/>
      </tp>
      <tp t="e">
        <v>#N/A</v>
        <stp/>
        <stp>BDH|3806876647599704112</stp>
        <tr r="X77" s="12"/>
      </tp>
      <tp t="e">
        <v>#N/A</v>
        <stp/>
        <stp>BDH|1839434226439106920</stp>
        <tr r="W8" s="23"/>
      </tp>
      <tp t="e">
        <v>#N/A</v>
        <stp/>
        <stp>BDH|5541821949916566859</stp>
        <tr r="P8" s="34"/>
      </tp>
      <tp t="e">
        <v>#N/A</v>
        <stp/>
        <stp>BDH|6451277784572119985</stp>
        <tr r="D11" s="20"/>
        <tr r="D120" s="18"/>
      </tp>
      <tp t="e">
        <v>#N/A</v>
        <stp/>
        <stp>BDH|3904463177406030166</stp>
        <tr r="K21" s="10"/>
      </tp>
      <tp t="e">
        <v>#N/A</v>
        <stp/>
        <stp>BDH|8550910003417944100</stp>
        <tr r="Z34" s="17"/>
      </tp>
      <tp t="e">
        <v>#N/A</v>
        <stp/>
        <stp>BDH|1101188656757282533</stp>
        <tr r="J17" s="22"/>
      </tp>
      <tp t="e">
        <v>#N/A</v>
        <stp/>
        <stp>BDH|5054393197771722977</stp>
        <tr r="C33" s="11"/>
        <tr r="C42" s="10"/>
      </tp>
      <tp t="e">
        <v>#N/A</v>
        <stp/>
        <stp>BDH|4104650485685971865</stp>
        <tr r="X15" s="13"/>
      </tp>
      <tp t="e">
        <v>#N/A</v>
        <stp/>
        <stp>BDH|4043384736856375538</stp>
        <tr r="K19" s="9"/>
      </tp>
      <tp t="e">
        <v>#N/A</v>
        <stp/>
        <stp>BDH|3629792074451121541</stp>
        <tr r="C13" s="22"/>
      </tp>
      <tp t="e">
        <v>#N/A</v>
        <stp/>
        <stp>BDH|7779158699671288977</stp>
        <tr r="R43" s="29"/>
      </tp>
      <tp t="e">
        <v>#N/A</v>
        <stp/>
        <stp>BDH|4024083146750232723</stp>
        <tr r="U103" s="18"/>
      </tp>
      <tp t="e">
        <v>#N/A</v>
        <stp/>
        <stp>BDH|4666634160064202794</stp>
        <tr r="R86" s="17"/>
      </tp>
      <tp t="e">
        <v>#N/A</v>
        <stp/>
        <stp>BDH|9799226498913552665</stp>
        <tr r="F37" s="21"/>
      </tp>
      <tp t="e">
        <v>#N/A</v>
        <stp/>
        <stp>BDH|7307382711015785733</stp>
        <tr r="E139" s="18"/>
      </tp>
      <tp t="e">
        <v>#N/A</v>
        <stp/>
        <stp>BDH|2124365318395488255</stp>
        <tr r="J179" s="18"/>
      </tp>
      <tp t="e">
        <v>#N/A</v>
        <stp/>
        <stp>BDH|3622357297248280687</stp>
        <tr r="D126" s="12"/>
      </tp>
      <tp t="e">
        <v>#N/A</v>
        <stp/>
        <stp>BDH|5913928016023527963</stp>
        <tr r="N29" s="21"/>
      </tp>
      <tp t="e">
        <v>#N/A</v>
        <stp/>
        <stp>BDH|4474086227173110249</stp>
        <tr r="I8" s="17"/>
      </tp>
      <tp t="e">
        <v>#N/A</v>
        <stp/>
        <stp>BDH|8611483082877632442</stp>
        <tr r="G72" s="18"/>
      </tp>
      <tp t="e">
        <v>#N/A</v>
        <stp/>
        <stp>BDH|1862671357134645109</stp>
        <tr r="W60" s="18"/>
      </tp>
      <tp t="e">
        <v>#N/A</v>
        <stp/>
        <stp>BDH|2988025892534023871</stp>
        <tr r="AA15" s="25"/>
      </tp>
      <tp t="e">
        <v>#N/A</v>
        <stp/>
        <stp>BDH|3483291564088710803</stp>
        <tr r="D21" s="30"/>
      </tp>
      <tp t="e">
        <v>#N/A</v>
        <stp/>
        <stp>BDH|9891971064848299973</stp>
        <tr r="AA194" s="18"/>
      </tp>
      <tp t="e">
        <v>#N/A</v>
        <stp/>
        <stp>BDH|1559490495462640918</stp>
        <tr r="AA10" s="24"/>
      </tp>
      <tp t="e">
        <v>#N/A</v>
        <stp/>
        <stp>BDH|2802024718342994652</stp>
        <tr r="X63" s="34"/>
      </tp>
      <tp t="e">
        <v>#N/A</v>
        <stp/>
        <stp>BDH|4331016400145416689</stp>
        <tr r="C10" s="12"/>
      </tp>
      <tp t="e">
        <v>#N/A</v>
        <stp/>
        <stp>BDH|9096466249708624676</stp>
        <tr r="V38" s="22"/>
      </tp>
      <tp t="e">
        <v>#N/A</v>
        <stp/>
        <stp>BDH|9182949229231391415</stp>
        <tr r="R9" s="18"/>
      </tp>
      <tp t="e">
        <v>#N/A</v>
        <stp/>
        <stp>BDH|6311875856629855548</stp>
        <tr r="C37" s="21"/>
      </tp>
      <tp t="e">
        <v>#N/A</v>
        <stp/>
        <stp>BDH|1968348227037180059</stp>
        <tr r="D8" s="21"/>
      </tp>
      <tp t="e">
        <v>#N/A</v>
        <stp/>
        <stp>BDH|3493989521398486774</stp>
        <tr r="Z200" s="18"/>
      </tp>
      <tp t="e">
        <v>#N/A</v>
        <stp/>
        <stp>BDH|6248260029470796146</stp>
        <tr r="Z92" s="17"/>
      </tp>
      <tp t="e">
        <v>#N/A</v>
        <stp/>
        <stp>BDH|2303007818835332163</stp>
        <tr r="U63" s="13"/>
      </tp>
      <tp t="e">
        <v>#N/A</v>
        <stp/>
        <stp>BDH|9239240825946420896</stp>
        <tr r="R93" s="18"/>
      </tp>
      <tp t="e">
        <v>#N/A</v>
        <stp/>
        <stp>BDH|1508740615940948033</stp>
        <tr r="M111" s="12"/>
      </tp>
      <tp t="e">
        <v>#N/A</v>
        <stp/>
        <stp>BDH|5872761323893424472</stp>
        <tr r="N33" s="11"/>
        <tr r="N42" s="10"/>
      </tp>
      <tp t="e">
        <v>#N/A</v>
        <stp/>
        <stp>BDH|2291047073071808330</stp>
        <tr r="AA158" s="18"/>
      </tp>
      <tp t="e">
        <v>#N/A</v>
        <stp/>
        <stp>BDH|8699474066225854814</stp>
        <tr r="I19" s="23"/>
        <tr r="G59" s="11"/>
      </tp>
      <tp t="e">
        <v>#N/A</v>
        <stp/>
        <stp>BDH|2451076833386931062</stp>
        <tr r="M42" s="21"/>
      </tp>
      <tp t="e">
        <v>#N/A</v>
        <stp/>
        <stp>BDH|1421754757555975104</stp>
        <tr r="AA45" s="12"/>
      </tp>
      <tp t="e">
        <v>#N/A</v>
        <stp/>
        <stp>BDH|5603912208389744275</stp>
        <tr r="J37" s="34"/>
      </tp>
      <tp t="e">
        <v>#N/A</v>
        <stp/>
        <stp>BDH|7329587342158037967</stp>
        <tr r="T53" s="12"/>
      </tp>
      <tp t="e">
        <v>#N/A</v>
        <stp/>
        <stp>BDH|1097496333879745820</stp>
        <tr r="P65" s="24"/>
      </tp>
      <tp t="e">
        <v>#N/A</v>
        <stp/>
        <stp>BDH|9236985648225855652</stp>
        <tr r="P140" s="18"/>
      </tp>
      <tp t="e">
        <v>#N/A</v>
        <stp/>
        <stp>BDH|4867411247423856095</stp>
        <tr r="Q173" s="18"/>
      </tp>
      <tp t="e">
        <v>#N/A</v>
        <stp/>
        <stp>BDH|8499978489338554604</stp>
        <tr r="H111" s="12"/>
      </tp>
      <tp t="e">
        <v>#N/A</v>
        <stp/>
        <stp>BDH|9344645892042830320</stp>
        <tr r="D87" s="18"/>
      </tp>
      <tp t="e">
        <v>#N/A</v>
        <stp/>
        <stp>BDH|9662854424855094186</stp>
        <tr r="L26" s="22"/>
      </tp>
      <tp t="e">
        <v>#N/A</v>
        <stp/>
        <stp>BDH|6512590507235344172</stp>
        <tr r="V6" s="8"/>
        <tr r="T51" s="6"/>
      </tp>
      <tp t="e">
        <v>#N/A</v>
        <stp/>
        <stp>BDH|5284497686177426969</stp>
        <tr r="V27" s="24"/>
      </tp>
      <tp t="e">
        <v>#N/A</v>
        <stp/>
        <stp>BDH|8545131479740826985</stp>
        <tr r="F8" s="26"/>
        <tr r="C10" s="9"/>
      </tp>
      <tp t="e">
        <v>#N/A</v>
        <stp/>
        <stp>BDH|2225661216032552080</stp>
        <tr r="Y197" s="18"/>
      </tp>
      <tp t="e">
        <v>#N/A</v>
        <stp/>
        <stp>BDH|7466986369676863926</stp>
        <tr r="H62" s="18"/>
      </tp>
      <tp t="e">
        <v>#N/A</v>
        <stp/>
        <stp>BDH|5036791348896885764</stp>
        <tr r="O49" s="4"/>
      </tp>
      <tp t="e">
        <v>#N/A</v>
        <stp/>
        <stp>BDH|3959313975018581877</stp>
        <tr r="U48" s="21"/>
      </tp>
      <tp t="e">
        <v>#N/A</v>
        <stp/>
        <stp>BDH|3038116818812239647</stp>
        <tr r="N17" s="30"/>
      </tp>
      <tp t="e">
        <v>#N/A</v>
        <stp/>
        <stp>BDH|1754180550382382037</stp>
        <tr r="M18" s="9"/>
      </tp>
      <tp t="e">
        <v>#N/A</v>
        <stp/>
        <stp>BDH|1917216012816716326</stp>
        <tr r="J40" s="22"/>
      </tp>
      <tp t="e">
        <v>#N/A</v>
        <stp/>
        <stp>BDH|5203965209059644249</stp>
        <tr r="D29" s="13"/>
        <tr r="D16" s="13"/>
      </tp>
      <tp t="e">
        <v>#N/A</v>
        <stp/>
        <stp>BDH|2460508712219107884</stp>
        <tr r="U177" s="18"/>
      </tp>
      <tp t="e">
        <v>#N/A</v>
        <stp/>
        <stp>BDH|8613788431273533850</stp>
        <tr r="N195" s="18"/>
      </tp>
      <tp t="e">
        <v>#N/A</v>
        <stp/>
        <stp>BDH|1975213972233492017</stp>
        <tr r="E16" s="25"/>
      </tp>
      <tp t="e">
        <v>#N/A</v>
        <stp/>
        <stp>BDH|2483124933162876522</stp>
        <tr r="P17" s="18"/>
      </tp>
      <tp t="e">
        <v>#N/A</v>
        <stp/>
        <stp>BDH|4946244365153124468</stp>
        <tr r="K204" s="18"/>
      </tp>
      <tp t="e">
        <v>#N/A</v>
        <stp/>
        <stp>BDH|8886495669639147464</stp>
        <tr r="H31" s="11"/>
        <tr r="H40" s="10"/>
      </tp>
      <tp t="e">
        <v>#N/A</v>
        <stp/>
        <stp>BDH|8037671796394692483</stp>
        <tr r="I48" s="6"/>
      </tp>
      <tp t="e">
        <v>#N/A</v>
        <stp/>
        <stp>BDH|8951445011548480277</stp>
        <tr r="U6" s="28"/>
      </tp>
      <tp t="e">
        <v>#N/A</v>
        <stp/>
        <stp>BDH|5043235046436204288</stp>
        <tr r="Z8" s="34"/>
      </tp>
      <tp t="e">
        <v>#N/A</v>
        <stp/>
        <stp>BDH|4252348940705068191</stp>
        <tr r="E49" s="6"/>
      </tp>
      <tp t="e">
        <v>#N/A</v>
        <stp/>
        <stp>BDH|1555631827951994379</stp>
        <tr r="V63" s="11"/>
        <tr r="V72" s="10"/>
      </tp>
      <tp t="e">
        <v>#N/A</v>
        <stp/>
        <stp>BDH|6853192039991044277</stp>
        <tr r="O53" s="18"/>
      </tp>
      <tp t="e">
        <v>#N/A</v>
        <stp/>
        <stp>BDH|5544886923831375920</stp>
        <tr r="Q115" s="18"/>
      </tp>
      <tp t="e">
        <v>#N/A</v>
        <stp/>
        <stp>BDH|4770205008453528258</stp>
        <tr r="I17" s="21"/>
      </tp>
      <tp t="e">
        <v>#N/A</v>
        <stp/>
        <stp>BDH|7442599648366890728</stp>
        <tr r="J152" s="18"/>
      </tp>
      <tp t="e">
        <v>#N/A</v>
        <stp/>
        <stp>BDH|4481767208091080558</stp>
        <tr r="H36" s="4"/>
      </tp>
      <tp t="e">
        <v>#N/A</v>
        <stp/>
        <stp>BDH|5923618214731509462</stp>
        <tr r="M170" s="18"/>
      </tp>
      <tp t="e">
        <v>#N/A</v>
        <stp/>
        <stp>BDH|3950236349257579598</stp>
        <tr r="T16" s="14"/>
      </tp>
      <tp t="e">
        <v>#N/A</v>
        <stp/>
        <stp>BDH|9445494860868720454</stp>
        <tr r="U12" s="25"/>
      </tp>
      <tp t="e">
        <v>#N/A</v>
        <stp/>
        <stp>BDH|9004617699342354370</stp>
        <tr r="P200" s="18"/>
      </tp>
      <tp t="e">
        <v>#N/A</v>
        <stp/>
        <stp>BDH|8608825008696844187</stp>
        <tr r="G17" s="30"/>
      </tp>
      <tp t="e">
        <v>#N/A</v>
        <stp/>
        <stp>BDH|2460512068401660776</stp>
        <tr r="Z8" s="25"/>
        <tr r="W10" s="5"/>
        <tr r="X9" s="2"/>
      </tp>
      <tp t="e">
        <v>#N/A</v>
        <stp/>
        <stp>BDH|5735522417614875263</stp>
        <tr r="U17" s="18"/>
      </tp>
      <tp t="e">
        <v>#N/A</v>
        <stp/>
        <stp>BDH|1900472903000008211</stp>
        <tr r="C118" s="12"/>
      </tp>
      <tp t="e">
        <v>#N/A</v>
        <stp/>
        <stp>BDH|6789788757851499202</stp>
        <tr r="R19" s="28"/>
        <tr r="R16" s="17"/>
      </tp>
      <tp t="e">
        <v>#N/A</v>
        <stp/>
        <stp>BDH|8181951307120783683</stp>
        <tr r="D70" s="13"/>
      </tp>
      <tp t="e">
        <v>#N/A</v>
        <stp/>
        <stp>BDH|4121247118864379429</stp>
        <tr r="J87" s="12"/>
      </tp>
      <tp t="e">
        <v>#N/A</v>
        <stp/>
        <stp>BDH|7934727011742070466</stp>
        <tr r="I63" s="21"/>
      </tp>
      <tp t="e">
        <v>#N/A</v>
        <stp/>
        <stp>BDH|2221341055711909266</stp>
        <tr r="Q18" s="34"/>
      </tp>
      <tp t="e">
        <v>#N/A</v>
        <stp/>
        <stp>BDH|3445736969373107634</stp>
        <tr r="I13" s="22"/>
      </tp>
      <tp t="e">
        <v>#N/A</v>
        <stp/>
        <stp>BDH|5476054907792284088</stp>
        <tr r="O24" s="29"/>
      </tp>
      <tp t="e">
        <v>#N/A</v>
        <stp/>
        <stp>BDH|5338461957467971476</stp>
        <tr r="W10" s="28"/>
      </tp>
      <tp t="e">
        <v>#N/A</v>
        <stp/>
        <stp>BDH|1027766281299953024</stp>
        <tr r="O71" s="17"/>
        <tr r="L8" s="9"/>
        <tr r="L8" s="5"/>
      </tp>
      <tp t="e">
        <v>#N/A</v>
        <stp/>
        <stp>BDH|9439619474026555988</stp>
        <tr r="S71" s="34"/>
      </tp>
      <tp t="e">
        <v>#N/A</v>
        <stp/>
        <stp>BDH|7752040450993986662</stp>
        <tr r="O24" s="22"/>
      </tp>
      <tp t="e">
        <v>#N/A</v>
        <stp/>
        <stp>BDH|6052092127582326119</stp>
        <tr r="R67" s="17"/>
      </tp>
      <tp t="e">
        <v>#N/A</v>
        <stp/>
        <stp>BDH|3363766918200284233</stp>
        <tr r="G20" s="14"/>
      </tp>
      <tp t="e">
        <v>#N/A</v>
        <stp/>
        <stp>BDH|5121042489193293921</stp>
        <tr r="U43" s="18"/>
      </tp>
      <tp t="e">
        <v>#N/A</v>
        <stp/>
        <stp>BDH|3395260684909813759</stp>
        <tr r="W43" s="24"/>
      </tp>
      <tp t="e">
        <v>#N/A</v>
        <stp/>
        <stp>BDH|4209735151962848343</stp>
        <tr r="X107" s="18"/>
      </tp>
      <tp t="e">
        <v>#N/A</v>
        <stp/>
        <stp>BDH|7256120801541835058</stp>
        <tr r="E26" s="24"/>
      </tp>
      <tp t="e">
        <v>#N/A</v>
        <stp/>
        <stp>BDH|5346398143276420316</stp>
        <tr r="N189" s="18"/>
      </tp>
      <tp t="e">
        <v>#N/A</v>
        <stp/>
        <stp>BDH|3997462930083404071</stp>
        <tr r="AA193" s="18"/>
      </tp>
      <tp t="e">
        <v>#N/A</v>
        <stp/>
        <stp>BDH|1993432616267340437</stp>
        <tr r="N47" s="13"/>
      </tp>
      <tp t="e">
        <v>#N/A</v>
        <stp/>
        <stp>BDH|2490697860792662775</stp>
        <tr r="K14" s="6"/>
      </tp>
      <tp t="e">
        <v>#N/A</v>
        <stp/>
        <stp>BDH|5762584271370343018</stp>
        <tr r="H113" s="12"/>
      </tp>
      <tp t="e">
        <v>#N/A</v>
        <stp/>
        <stp>BDH|7603668251520903340</stp>
        <tr r="V46" s="21"/>
      </tp>
      <tp t="e">
        <v>#N/A</v>
        <stp/>
        <stp>BDH|2805961083381972588</stp>
        <tr r="L11" s="28"/>
      </tp>
      <tp t="e">
        <v>#N/A</v>
        <stp/>
        <stp>BDH|8874894277136961638</stp>
        <tr r="P11" s="14"/>
      </tp>
      <tp t="e">
        <v>#N/A</v>
        <stp/>
        <stp>BDH|1450252579025382673</stp>
        <tr r="V10" s="34"/>
      </tp>
      <tp t="e">
        <v>#N/A</v>
        <stp/>
        <stp>BDH|2223338301003816547</stp>
        <tr r="Y150" s="18"/>
      </tp>
      <tp t="e">
        <v>#N/A</v>
        <stp/>
        <stp>BDH|9031036118959079677</stp>
        <tr r="I8" s="10"/>
      </tp>
      <tp t="e">
        <v>#N/A</v>
        <stp/>
        <stp>BDH|2384246952765924707</stp>
        <tr r="R15" s="12"/>
      </tp>
      <tp t="e">
        <v>#N/A</v>
        <stp/>
        <stp>BDH|1051491473683175679</stp>
        <tr r="V14" s="10"/>
      </tp>
      <tp t="e">
        <v>#N/A</v>
        <stp/>
        <stp>BDH|1804059030055749061</stp>
        <tr r="U26" s="7"/>
      </tp>
      <tp t="e">
        <v>#N/A</v>
        <stp/>
        <stp>BDH|2850195676922905126</stp>
        <tr r="I75" s="17"/>
      </tp>
      <tp t="e">
        <v>#N/A</v>
        <stp/>
        <stp>BDH|6180999481064573409</stp>
        <tr r="U7" s="21"/>
      </tp>
      <tp t="e">
        <v>#N/A</v>
        <stp/>
        <stp>BDH|7853632692559181645</stp>
        <tr r="N130" s="18"/>
      </tp>
      <tp t="e">
        <v>#N/A</v>
        <stp/>
        <stp>BDH|4143749657795855460</stp>
        <tr r="J37" s="21"/>
      </tp>
      <tp t="e">
        <v>#N/A</v>
        <stp/>
        <stp>BDH|2519323123597107386</stp>
        <tr r="J149" s="18"/>
      </tp>
      <tp t="e">
        <v>#N/A</v>
        <stp/>
        <stp>BDH|3360725322213674287</stp>
        <tr r="H42" s="12"/>
      </tp>
      <tp t="e">
        <v>#N/A</v>
        <stp/>
        <stp>BDH|6386058012293969305</stp>
        <tr r="P33" s="24"/>
      </tp>
      <tp t="e">
        <v>#N/A</v>
        <stp/>
        <stp>BDH|4862033865486202310</stp>
        <tr r="W55" s="13"/>
        <tr r="U37" s="11"/>
        <tr r="U46" s="10"/>
        <tr r="U53" s="4"/>
        <tr r="U18" s="2"/>
      </tp>
      <tp t="e">
        <v>#N/A</v>
        <stp/>
        <stp>BDH|5471581512347512165</stp>
        <tr r="O43" s="17"/>
      </tp>
      <tp t="e">
        <v>#N/A</v>
        <stp/>
        <stp>BDH|3666332261212849313</stp>
        <tr r="N128" s="18"/>
      </tp>
      <tp t="e">
        <v>#N/A</v>
        <stp/>
        <stp>BDH|7227902881443644281</stp>
        <tr r="J78" s="24"/>
      </tp>
      <tp t="e">
        <v>#N/A</v>
        <stp/>
        <stp>BDH|5178625694344801920</stp>
        <tr r="E191" s="18"/>
      </tp>
      <tp t="e">
        <v>#N/A</v>
        <stp/>
        <stp>BDH|1158231130082750581</stp>
        <tr r="D25" s="29"/>
        <tr r="D19" s="29"/>
        <tr r="D10" s="29"/>
        <tr r="D12" s="8"/>
        <tr r="C6" s="2"/>
      </tp>
      <tp t="e">
        <v>#N/A</v>
        <stp/>
        <stp>BDH|2112382571790163140</stp>
        <tr r="L42" s="11"/>
        <tr r="L51" s="10"/>
        <tr r="L14" s="7"/>
        <tr r="N9" s="3"/>
      </tp>
      <tp t="e">
        <v>#N/A</v>
        <stp/>
        <stp>BDH|8786459908492539924</stp>
        <tr r="D31" s="22"/>
      </tp>
      <tp t="e">
        <v>#N/A</v>
        <stp/>
        <stp>BDH|2531721542316900014</stp>
        <tr r="AA97" s="17"/>
      </tp>
      <tp t="e">
        <v>#N/A</v>
        <stp/>
        <stp>BDH|7374064254654852145</stp>
        <tr r="O25" s="26"/>
      </tp>
      <tp t="e">
        <v>#N/A</v>
        <stp/>
        <stp>BDH|9734655088096555626</stp>
        <tr r="S42" s="29"/>
        <tr r="S33" s="29"/>
        <tr r="Q55" s="6"/>
        <tr r="Q11" s="5"/>
        <tr r="R10" s="2"/>
      </tp>
      <tp t="e">
        <v>#N/A</v>
        <stp/>
        <stp>BDH|4954055476073504724</stp>
        <tr r="I69" s="13"/>
      </tp>
      <tp t="e">
        <v>#N/A</v>
        <stp/>
        <stp>BDH|3309827132378692789</stp>
        <tr r="O123" s="12"/>
      </tp>
      <tp t="e">
        <v>#N/A</v>
        <stp/>
        <stp>BDH|9852111307418149720</stp>
        <tr r="P38" s="34"/>
      </tp>
      <tp t="e">
        <v>#N/A</v>
        <stp/>
        <stp>BDH|2139218869917104655</stp>
        <tr r="H9" s="22"/>
      </tp>
      <tp t="e">
        <v>#N/A</v>
        <stp/>
        <stp>BDH|7552073209772477221</stp>
        <tr r="I58" s="12"/>
      </tp>
      <tp t="e">
        <v>#N/A</v>
        <stp/>
        <stp>BDH|1976516009230407384</stp>
        <tr r="H99" s="18"/>
      </tp>
      <tp t="e">
        <v>#N/A</v>
        <stp/>
        <stp>BDH|1408319548118663969</stp>
        <tr r="F56" s="18"/>
      </tp>
      <tp t="e">
        <v>#N/A</v>
        <stp/>
        <stp>BDH|9567810106120950664</stp>
        <tr r="K23" s="30"/>
        <tr r="K25" s="23"/>
      </tp>
      <tp t="e">
        <v>#N/A</v>
        <stp/>
        <stp>BDH|7876499121915406391</stp>
        <tr r="R63" s="18"/>
      </tp>
      <tp t="e">
        <v>#N/A</v>
        <stp/>
        <stp>BDH|3696022050718858910</stp>
        <tr r="L67" s="17"/>
      </tp>
      <tp t="e">
        <v>#N/A</v>
        <stp/>
        <stp>BDH|2594534219530591179</stp>
        <tr r="F179" s="18"/>
      </tp>
      <tp t="e">
        <v>#N/A</v>
        <stp/>
        <stp>BDH|6554219298089716365</stp>
        <tr r="H182" s="18"/>
      </tp>
      <tp t="e">
        <v>#N/A</v>
        <stp/>
        <stp>BDH|2824242704724588307</stp>
        <tr r="Z56" s="17"/>
      </tp>
      <tp t="e">
        <v>#N/A</v>
        <stp/>
        <stp>BDH|4863148607324356653</stp>
        <tr r="O27" s="7"/>
      </tp>
      <tp t="e">
        <v>#N/A</v>
        <stp/>
        <stp>BDH|3777218208624004232</stp>
        <tr r="M21" s="30"/>
      </tp>
      <tp t="e">
        <v>#N/A</v>
        <stp/>
        <stp>BDH|3718425479744195301</stp>
        <tr r="Z6" s="20"/>
        <tr r="Z116" s="18"/>
      </tp>
      <tp t="e">
        <v>#N/A</v>
        <stp/>
        <stp>BDH|7082896874479498649</stp>
        <tr r="C35" s="13"/>
      </tp>
      <tp t="e">
        <v>#N/A</v>
        <stp/>
        <stp>BDH|8087832574187380799</stp>
        <tr r="S28" s="6"/>
      </tp>
      <tp t="e">
        <v>#N/A</v>
        <stp/>
        <stp>BDH|5791080989348368280</stp>
        <tr r="O204" s="18"/>
      </tp>
      <tp t="e">
        <v>#N/A</v>
        <stp/>
        <stp>BDH|3064224118866335145</stp>
        <tr r="C21" s="27"/>
      </tp>
      <tp t="e">
        <v>#N/A</v>
        <stp/>
        <stp>BDH|5452235207770411099</stp>
        <tr r="R34" s="21"/>
      </tp>
      <tp t="e">
        <v>#N/A</v>
        <stp/>
        <stp>BDH|3484692163271043533</stp>
        <tr r="U141" s="18"/>
      </tp>
      <tp t="e">
        <v>#N/A</v>
        <stp/>
        <stp>BDH|4582000657414707283</stp>
        <tr r="Y10" s="27"/>
        <tr r="Y25" s="25"/>
      </tp>
      <tp t="e">
        <v>#N/A</v>
        <stp/>
        <stp>BDH|6618585741526692647</stp>
        <tr r="T34" s="22"/>
      </tp>
      <tp t="e">
        <v>#N/A</v>
        <stp/>
        <stp>BDH|5191682524050809684</stp>
        <tr r="AA28" s="12"/>
      </tp>
      <tp t="e">
        <v>#N/A</v>
        <stp/>
        <stp>BDH|1616149543367829447</stp>
        <tr r="D8" s="8"/>
      </tp>
      <tp t="e">
        <v>#N/A</v>
        <stp/>
        <stp>BDH|5195808506589323398</stp>
        <tr r="M21" s="18"/>
      </tp>
      <tp t="e">
        <v>#N/A</v>
        <stp/>
        <stp>BDH|1464457707575500715</stp>
        <tr r="L76" s="18"/>
      </tp>
      <tp t="e">
        <v>#N/A</v>
        <stp/>
        <stp>BDH|4519106530684410531</stp>
        <tr r="D104" s="12"/>
      </tp>
      <tp t="e">
        <v>#N/A</v>
        <stp/>
        <stp>BDH|6205743221096328260</stp>
        <tr r="AA28" s="21"/>
      </tp>
      <tp t="e">
        <v>#N/A</v>
        <stp/>
        <stp>BDH|9340917654301016340</stp>
        <tr r="F24" s="29"/>
      </tp>
      <tp t="e">
        <v>#N/A</v>
        <stp/>
        <stp>BDH|2016388040761985335</stp>
        <tr r="L43" s="11"/>
        <tr r="L52" s="10"/>
        <tr r="L15" s="7"/>
      </tp>
      <tp t="e">
        <v>#N/A</v>
        <stp/>
        <stp>BDH|2582534671476525109</stp>
        <tr r="X11" s="14"/>
      </tp>
      <tp t="e">
        <v>#N/A</v>
        <stp/>
        <stp>BDH|1212229184944330851</stp>
        <tr r="D8" s="2"/>
      </tp>
      <tp t="e">
        <v>#N/A</v>
        <stp/>
        <stp>BDH|3621084958062719334</stp>
        <tr r="G13" s="20"/>
        <tr r="G122" s="18"/>
      </tp>
      <tp t="e">
        <v>#N/A</v>
        <stp/>
        <stp>BDH|4719710733663139467</stp>
        <tr r="AA41" s="24"/>
      </tp>
      <tp t="e">
        <v>#N/A</v>
        <stp/>
        <stp>BDH|2388802542901285818</stp>
        <tr r="J45" s="17"/>
      </tp>
      <tp t="e">
        <v>#N/A</v>
        <stp/>
        <stp>BDH|6211382358923988491</stp>
        <tr r="E8" s="28"/>
      </tp>
      <tp t="e">
        <v>#N/A</v>
        <stp/>
        <stp>BDH|5174210370057059021</stp>
        <tr r="K25" s="14"/>
      </tp>
      <tp t="e">
        <v>#N/A</v>
        <stp/>
        <stp>BDH|8174033023614410971</stp>
        <tr r="H77" s="34"/>
      </tp>
      <tp t="e">
        <v>#N/A</v>
        <stp/>
        <stp>BDH|1750365535302555434</stp>
        <tr r="M137" s="18"/>
      </tp>
      <tp t="e">
        <v>#N/A</v>
        <stp/>
        <stp>BDH|6267241558130831647</stp>
        <tr r="T48" s="24"/>
      </tp>
      <tp t="e">
        <v>#N/A</v>
        <stp/>
        <stp>BDH|1957793632547757574</stp>
        <tr r="S36" s="4"/>
      </tp>
      <tp t="e">
        <v>#N/A</v>
        <stp/>
        <stp>BDH|8880020033778295494</stp>
        <tr r="M124" s="18"/>
      </tp>
      <tp t="e">
        <v>#N/A</v>
        <stp/>
        <stp>BDH|2976985641390456866</stp>
        <tr r="Y116" s="12"/>
      </tp>
      <tp t="e">
        <v>#N/A</v>
        <stp/>
        <stp>BDH|2180068843110673104</stp>
        <tr r="D9" s="3"/>
      </tp>
      <tp t="e">
        <v>#N/A</v>
        <stp/>
        <stp>BDH|5599269539434055783</stp>
        <tr r="L8" s="12"/>
      </tp>
      <tp t="e">
        <v>#N/A</v>
        <stp/>
        <stp>BDH|4955614035422993469</stp>
        <tr r="E207" s="18"/>
      </tp>
      <tp t="e">
        <v>#N/A</v>
        <stp/>
        <stp>BDH|5704761362030176303</stp>
        <tr r="V10" s="12"/>
      </tp>
      <tp t="e">
        <v>#N/A</v>
        <stp/>
        <stp>BDH|4102857982452660120</stp>
        <tr r="V22" s="34"/>
      </tp>
      <tp t="e">
        <v>#N/A</v>
        <stp/>
        <stp>BDH|2982668814055910704</stp>
        <tr r="K41" s="22"/>
      </tp>
      <tp t="e">
        <v>#N/A</v>
        <stp/>
        <stp>BDH|1558338201665378068</stp>
        <tr r="R13" s="8"/>
      </tp>
      <tp t="e">
        <v>#N/A</v>
        <stp/>
        <stp>BDH|3716484273856680181</stp>
        <tr r="R36" s="29"/>
        <tr r="R22" s="29"/>
        <tr r="R13" s="29"/>
      </tp>
      <tp t="e">
        <v>#N/A</v>
        <stp/>
        <stp>BDH|2314386414017928041</stp>
        <tr r="H25" s="7"/>
      </tp>
      <tp t="e">
        <v>#N/A</v>
        <stp/>
        <stp>BDH|2163700554676314146</stp>
        <tr r="Z32" s="29"/>
        <tr r="X34" s="5"/>
      </tp>
      <tp t="e">
        <v>#N/A</v>
        <stp/>
        <stp>BDH|4841031016027966564</stp>
        <tr r="Z29" s="29"/>
        <tr r="Z7" s="29"/>
      </tp>
      <tp t="e">
        <v>#N/A</v>
        <stp/>
        <stp>BDH|4360722624220367647</stp>
        <tr r="W74" s="34"/>
      </tp>
      <tp t="e">
        <v>#N/A</v>
        <stp/>
        <stp>BDH|9404517186194840795</stp>
        <tr r="K59" s="18"/>
      </tp>
      <tp t="e">
        <v>#N/A</v>
        <stp/>
        <stp>BDH|2487013856526385621</stp>
        <tr r="D75" s="24"/>
      </tp>
      <tp t="e">
        <v>#N/A</v>
        <stp/>
        <stp>BDH|8528176497524064370</stp>
        <tr r="O10" s="24"/>
      </tp>
      <tp t="e">
        <v>#N/A</v>
        <stp/>
        <stp>BDH|6741624054264073633</stp>
        <tr r="D38" s="11"/>
        <tr r="D47" s="10"/>
      </tp>
      <tp t="e">
        <v>#N/A</v>
        <stp/>
        <stp>BDH|3441863677579308244</stp>
        <tr r="R83" s="24"/>
      </tp>
      <tp t="e">
        <v>#N/A</v>
        <stp/>
        <stp>BDH|9338809727662581632</stp>
        <tr r="C167" s="18"/>
      </tp>
      <tp t="e">
        <v>#N/A</v>
        <stp/>
        <stp>BDH|1697410894333886894</stp>
        <tr r="X66" s="18"/>
      </tp>
      <tp t="e">
        <v>#N/A</v>
        <stp/>
        <stp>BDH|3643733243590443700</stp>
        <tr r="Z23" s="22"/>
      </tp>
      <tp t="e">
        <v>#N/A</v>
        <stp/>
        <stp>BDH|5240307212272007228</stp>
        <tr r="W89" s="18"/>
      </tp>
      <tp t="e">
        <v>#N/A</v>
        <stp/>
        <stp>BDH|1241003862663193331</stp>
        <tr r="I62" s="11"/>
        <tr r="I71" s="10"/>
      </tp>
      <tp t="e">
        <v>#N/A</v>
        <stp/>
        <stp>BDH|7445306675860420470</stp>
        <tr r="Q82" s="18"/>
      </tp>
      <tp t="e">
        <v>#N/A</v>
        <stp/>
        <stp>BDH|4371228822565221630</stp>
        <tr r="AA30" s="34"/>
      </tp>
      <tp t="e">
        <v>#N/A</v>
        <stp/>
        <stp>BDH|5863335931827017582</stp>
        <tr r="Y40" s="17"/>
      </tp>
      <tp t="e">
        <v>#N/A</v>
        <stp/>
        <stp>BDH|1781060811135260207</stp>
        <tr r="X9" s="29"/>
      </tp>
      <tp t="e">
        <v>#N/A</v>
        <stp/>
        <stp>BDH|8472392582247598386</stp>
        <tr r="E27" s="26"/>
      </tp>
      <tp t="e">
        <v>#N/A</v>
        <stp/>
        <stp>BDH|8246761284776019628</stp>
        <tr r="AA23" s="30"/>
        <tr r="AA25" s="23"/>
      </tp>
      <tp t="e">
        <v>#N/A</v>
        <stp/>
        <stp>BDH|1013482664893787798</stp>
        <tr r="U25" s="29"/>
        <tr r="U19" s="29"/>
        <tr r="U10" s="29"/>
        <tr r="S6" s="9"/>
        <tr r="U12" s="8"/>
        <tr r="S6" s="5"/>
        <tr r="T6" s="2"/>
      </tp>
      <tp t="e">
        <v>#N/A</v>
        <stp/>
        <stp>BDH|3139479391670720924</stp>
        <tr r="U75" s="24"/>
      </tp>
      <tp t="e">
        <v>#N/A</v>
        <stp/>
        <stp>BDH|3096467919794565582</stp>
        <tr r="AA17" s="27"/>
        <tr r="AA31" s="25"/>
        <tr r="X14" s="5"/>
      </tp>
      <tp t="e">
        <v>#N/A</v>
        <stp/>
        <stp>BDH|5577381756057198382</stp>
        <tr r="T24" s="5"/>
      </tp>
      <tp t="e">
        <v>#N/A</v>
        <stp/>
        <stp>BDH|7660474123983537555</stp>
        <tr r="S9" s="13"/>
      </tp>
      <tp t="e">
        <v>#N/A</v>
        <stp/>
        <stp>BDH|2843135341627184793</stp>
        <tr r="G74" s="34"/>
      </tp>
      <tp t="e">
        <v>#N/A</v>
        <stp/>
        <stp>BDH|4782123246052243433</stp>
        <tr r="V48" s="12"/>
      </tp>
      <tp t="e">
        <v>#N/A</v>
        <stp/>
        <stp>BDH|2425377400334520248</stp>
        <tr r="V16" s="20"/>
      </tp>
      <tp t="e">
        <v>#N/A</v>
        <stp/>
        <stp>BDH|7030510531771591771</stp>
        <tr r="O23" s="11"/>
      </tp>
      <tp t="e">
        <v>#N/A</v>
        <stp/>
        <stp>BDH|3164063244118934888</stp>
        <tr r="M9" s="6"/>
      </tp>
      <tp t="e">
        <v>#N/A</v>
        <stp/>
        <stp>BDH|8078640883145700428</stp>
        <tr r="E16" s="24"/>
      </tp>
      <tp t="e">
        <v>#N/A</v>
        <stp/>
        <stp>BDH|1321604076267332049</stp>
        <tr r="M37" s="22"/>
      </tp>
      <tp t="e">
        <v>#N/A</v>
        <stp/>
        <stp>BDH|7283842292652331351</stp>
        <tr r="P44" s="13"/>
        <tr r="N28" s="11"/>
        <tr r="N37" s="10"/>
      </tp>
      <tp t="e">
        <v>#N/A</v>
        <stp/>
        <stp>BDH|9084258290823179661</stp>
        <tr r="D15" s="4"/>
      </tp>
      <tp t="e">
        <v>#N/A</v>
        <stp/>
        <stp>BDH|9986162252163608995</stp>
        <tr r="V25" s="27"/>
      </tp>
      <tp t="e">
        <v>#N/A</v>
        <stp/>
        <stp>BDH|2633116241563182349</stp>
        <tr r="AA8" s="17"/>
      </tp>
      <tp t="e">
        <v>#N/A</v>
        <stp/>
        <stp>BDH|4274270066644891389</stp>
        <tr r="W47" s="18"/>
      </tp>
      <tp t="e">
        <v>#N/A</v>
        <stp/>
        <stp>BDH|4765446431001090518</stp>
        <tr r="P94" s="24"/>
      </tp>
      <tp t="e">
        <v>#N/A</v>
        <stp/>
        <stp>BDH|5249812980607809581</stp>
        <tr r="U38" s="34"/>
      </tp>
      <tp t="e">
        <v>#N/A</v>
        <stp/>
        <stp>BDH|7896306749421099623</stp>
        <tr r="D33" s="21"/>
      </tp>
      <tp t="e">
        <v>#N/A</v>
        <stp/>
        <stp>BDH|7866483022017955180</stp>
        <tr r="U79" s="18"/>
      </tp>
      <tp t="e">
        <v>#N/A</v>
        <stp/>
        <stp>BDH|1249512033283622356</stp>
        <tr r="U134" s="18"/>
      </tp>
      <tp t="e">
        <v>#N/A</v>
        <stp/>
        <stp>BDH|2379538268674302289</stp>
        <tr r="D14" s="11"/>
      </tp>
      <tp t="e">
        <v>#N/A</v>
        <stp/>
        <stp>BDH|2954580702458488849</stp>
        <tr r="S62" s="21"/>
        <tr r="Q25" s="2"/>
      </tp>
      <tp t="e">
        <v>#N/A</v>
        <stp/>
        <stp>BDH|8324819255267498500</stp>
        <tr r="M19" s="13"/>
        <tr r="K62" s="10"/>
        <tr r="K32" s="4"/>
        <tr r="K16" s="2"/>
      </tp>
      <tp t="e">
        <v>#N/A</v>
        <stp/>
        <stp>BDH|5778216988410549881</stp>
        <tr r="S27" s="12"/>
      </tp>
      <tp t="e">
        <v>#N/A</v>
        <stp/>
        <stp>BDH|9380438818109243295</stp>
        <tr r="O21" s="20"/>
      </tp>
      <tp t="e">
        <v>#N/A</v>
        <stp/>
        <stp>BDH|8441837741183565007</stp>
        <tr r="W36" s="14"/>
      </tp>
      <tp t="e">
        <v>#N/A</v>
        <stp/>
        <stp>BDH|3901490265326430022</stp>
        <tr r="M59" s="18"/>
      </tp>
      <tp t="e">
        <v>#N/A</v>
        <stp/>
        <stp>BDH|7034810865469528727</stp>
        <tr r="E26" s="22"/>
      </tp>
      <tp t="e">
        <v>#N/A</v>
        <stp/>
        <stp>BDH|7367132212787971786</stp>
        <tr r="H19" s="10"/>
      </tp>
      <tp t="e">
        <v>#N/A</v>
        <stp/>
        <stp>BDH|9919897126826544208</stp>
        <tr r="C42" s="22"/>
      </tp>
      <tp t="e">
        <v>#N/A</v>
        <stp/>
        <stp>BDH|7021413879312390189</stp>
        <tr r="P186" s="18"/>
      </tp>
      <tp t="e">
        <v>#N/A</v>
        <stp/>
        <stp>BDH|3982087455940319145</stp>
        <tr r="J16" s="28"/>
        <tr r="J13" s="17"/>
      </tp>
      <tp t="e">
        <v>#N/A</v>
        <stp/>
        <stp>BDH|1467484936796113781</stp>
        <tr r="S18" s="13"/>
      </tp>
      <tp t="e">
        <v>#N/A</v>
        <stp/>
        <stp>BDH|2254776640525717312</stp>
        <tr r="T124" s="18"/>
      </tp>
      <tp t="e">
        <v>#N/A</v>
        <stp/>
        <stp>BDH|2380049156053313315</stp>
        <tr r="G149" s="18"/>
      </tp>
      <tp t="e">
        <v>#N/A</v>
        <stp/>
        <stp>BDH|2986142578950026364</stp>
        <tr r="N63" s="13"/>
      </tp>
      <tp t="e">
        <v>#N/A</v>
        <stp/>
        <stp>BDH|7168517994574714800</stp>
        <tr r="V94" s="17"/>
      </tp>
      <tp t="e">
        <v>#N/A</v>
        <stp/>
        <stp>BDH|5598032220725615538</stp>
        <tr r="F113" s="12"/>
      </tp>
      <tp t="e">
        <v>#N/A</v>
        <stp/>
        <stp>BDH|2757812975748424247</stp>
        <tr r="X39" s="11"/>
        <tr r="X27" s="11"/>
        <tr r="X48" s="10"/>
        <tr r="X36" s="10"/>
      </tp>
      <tp t="e">
        <v>#N/A</v>
        <stp/>
        <stp>BDH|3380068914453104631</stp>
        <tr r="L46" s="17"/>
      </tp>
      <tp t="e">
        <v>#N/A</v>
        <stp/>
        <stp>BDH|1327191147542729191</stp>
        <tr r="K23" s="9"/>
        <tr r="K23" s="5"/>
      </tp>
      <tp t="e">
        <v>#N/A</v>
        <stp/>
        <stp>BDH|8370096747723840866</stp>
        <tr r="AA26" s="24"/>
      </tp>
      <tp t="e">
        <v>#N/A</v>
        <stp/>
        <stp>BDH|6757833191256392659</stp>
        <tr r="K142" s="18"/>
      </tp>
      <tp t="e">
        <v>#N/A</v>
        <stp/>
        <stp>BDH|9812144082661832657</stp>
        <tr r="M39" s="29"/>
        <tr r="M16" s="29"/>
      </tp>
      <tp t="e">
        <v>#N/A</v>
        <stp/>
        <stp>BDH|7401436082128202440</stp>
        <tr r="AA127" s="12"/>
      </tp>
      <tp t="e">
        <v>#N/A</v>
        <stp/>
        <stp>BDH|5062440484147320902</stp>
        <tr r="U126" s="12"/>
      </tp>
      <tp t="e">
        <v>#N/A</v>
        <stp/>
        <stp>BDH|9500859637313585615</stp>
        <tr r="C17" s="28"/>
        <tr r="C14" s="17"/>
      </tp>
      <tp t="e">
        <v>#N/A</v>
        <stp/>
        <stp>BDH|5181335310957339720</stp>
        <tr r="U95" s="18"/>
      </tp>
      <tp t="e">
        <v>#N/A</v>
        <stp/>
        <stp>BDH|5224335726616668520</stp>
        <tr r="E93" s="24"/>
      </tp>
      <tp t="e">
        <v>#N/A</v>
        <stp/>
        <stp>BDH|8670901293309218643</stp>
        <tr r="J64" s="21"/>
      </tp>
      <tp t="e">
        <v>#N/A</v>
        <stp/>
        <stp>BDH|3066274390779017642</stp>
        <tr r="R41" s="11"/>
        <tr r="R50" s="10"/>
        <tr r="R8" s="7"/>
        <tr r="T11" s="3"/>
      </tp>
      <tp t="e">
        <v>#N/A</v>
        <stp/>
        <stp>BDH|9365907866015090461</stp>
        <tr r="E121" s="12"/>
      </tp>
      <tp t="e">
        <v>#N/A</v>
        <stp/>
        <stp>BDH|5657644011212298723</stp>
        <tr r="G34" s="18"/>
      </tp>
      <tp t="e">
        <v>#N/A</v>
        <stp/>
        <stp>BDH|3119569536252360014</stp>
        <tr r="S12" s="17"/>
      </tp>
      <tp t="e">
        <v>#N/A</v>
        <stp/>
        <stp>BDH|5600422551412342158</stp>
        <tr r="D39" s="11"/>
        <tr r="D27" s="11"/>
        <tr r="D48" s="10"/>
        <tr r="D36" s="10"/>
      </tp>
      <tp t="e">
        <v>#N/A</v>
        <stp/>
        <stp>BDH|6297096951562124682</stp>
        <tr r="T62" s="12"/>
      </tp>
      <tp t="e">
        <v>#N/A</v>
        <stp/>
        <stp>BDH|1036631297961226854</stp>
        <tr r="E28" s="21"/>
      </tp>
      <tp t="e">
        <v>#N/A</v>
        <stp/>
        <stp>BDH|4668899983723876072</stp>
        <tr r="O12" s="20"/>
        <tr r="O121" s="18"/>
      </tp>
      <tp t="e">
        <v>#N/A</v>
        <stp/>
        <stp>BDH|6390434935067765116</stp>
        <tr r="R93" s="12"/>
      </tp>
      <tp t="e">
        <v>#N/A</v>
        <stp/>
        <stp>BDH|2421112625820570663</stp>
        <tr r="C157" s="18"/>
      </tp>
      <tp t="e">
        <v>#N/A</v>
        <stp/>
        <stp>BDH|3408245500806268017</stp>
        <tr r="Q81" s="12"/>
      </tp>
      <tp t="e">
        <v>#N/A</v>
        <stp/>
        <stp>BDH|6807598618556389399</stp>
        <tr r="Q84" s="24"/>
      </tp>
      <tp t="e">
        <v>#N/A</v>
        <stp/>
        <stp>BDH|4072800466064428919</stp>
        <tr r="O18" s="34"/>
      </tp>
      <tp t="e">
        <v>#N/A</v>
        <stp/>
        <stp>BDH|7874518029110123723</stp>
        <tr r="W8" s="11"/>
      </tp>
      <tp t="e">
        <v>#N/A</v>
        <stp/>
        <stp>BDH|4135160143174495235</stp>
        <tr r="L68" s="13"/>
      </tp>
      <tp t="e">
        <v>#N/A</v>
        <stp/>
        <stp>BDH|2430506005997067724</stp>
        <tr r="H27" s="7"/>
      </tp>
      <tp t="e">
        <v>#N/A</v>
        <stp/>
        <stp>BDH|6901968199263228276</stp>
        <tr r="R63" s="11"/>
        <tr r="R72" s="10"/>
      </tp>
      <tp t="e">
        <v>#N/A</v>
        <stp/>
        <stp>BDH|9778922800573037452</stp>
        <tr r="V95" s="12"/>
      </tp>
      <tp t="e">
        <v>#N/A</v>
        <stp/>
        <stp>BDH|2614336434713708661</stp>
        <tr r="O8" s="24"/>
      </tp>
      <tp t="e">
        <v>#N/A</v>
        <stp/>
        <stp>BDH|7258685228936418268</stp>
        <tr r="D34" s="24"/>
      </tp>
      <tp t="e">
        <v>#N/A</v>
        <stp/>
        <stp>BDH|7444237064701635557</stp>
        <tr r="K76" s="34"/>
      </tp>
      <tp t="e">
        <v>#N/A</v>
        <stp/>
        <stp>BDH|4691276716974513427</stp>
        <tr r="I27" s="24"/>
      </tp>
      <tp t="e">
        <v>#N/A</v>
        <stp/>
        <stp>BDH|7478766236931694521</stp>
        <tr r="D70" s="18"/>
      </tp>
      <tp t="e">
        <v>#N/A</v>
        <stp/>
        <stp>BDH|6352429010882724666</stp>
        <tr r="G89" s="17"/>
      </tp>
      <tp t="e">
        <v>#N/A</v>
        <stp/>
        <stp>BDH|4323565904501163704</stp>
        <tr r="S36" s="13"/>
        <tr r="Q29" s="10"/>
      </tp>
      <tp t="e">
        <v>#N/A</v>
        <stp/>
        <stp>BDH|8043411420239640070</stp>
        <tr r="W8" s="22"/>
      </tp>
      <tp t="e">
        <v>#N/A</v>
        <stp/>
        <stp>BDH|6650331382053670910</stp>
        <tr r="V188" s="18"/>
      </tp>
      <tp t="e">
        <v>#N/A</v>
        <stp/>
        <stp>BDH|3108492251612011796</stp>
        <tr r="R61" s="24"/>
      </tp>
      <tp t="e">
        <v>#N/A</v>
        <stp/>
        <stp>BDH|3723556194981160978</stp>
        <tr r="H110" s="12"/>
      </tp>
      <tp t="e">
        <v>#N/A</v>
        <stp/>
        <stp>BDH|3050845228068570695</stp>
        <tr r="E52" s="18"/>
      </tp>
      <tp t="e">
        <v>#N/A</v>
        <stp/>
        <stp>BDH|8175913129465128180</stp>
        <tr r="L38" s="22"/>
      </tp>
      <tp t="e">
        <v>#N/A</v>
        <stp/>
        <stp>BDH|6064403423227176025</stp>
        <tr r="N9" s="13"/>
      </tp>
      <tp t="e">
        <v>#N/A</v>
        <stp/>
        <stp>BDH|3722261862497714743</stp>
        <tr r="H26" s="7"/>
      </tp>
      <tp t="e">
        <v>#N/A</v>
        <stp/>
        <stp>BDH|2522412702554532533</stp>
        <tr r="T17" s="18"/>
      </tp>
      <tp t="e">
        <v>#N/A</v>
        <stp/>
        <stp>BDH|8284575551706672928</stp>
        <tr r="T8" s="28"/>
      </tp>
      <tp t="e">
        <v>#N/A</v>
        <stp/>
        <stp>BDH|9406834978332673395</stp>
        <tr r="U34" s="22"/>
      </tp>
      <tp t="e">
        <v>#N/A</v>
        <stp/>
        <stp>BDH|7290063580898624025</stp>
        <tr r="W55" s="24"/>
      </tp>
      <tp t="e">
        <v>#N/A</v>
        <stp/>
        <stp>BDH|6020091379566071005</stp>
        <tr r="U12" s="10"/>
      </tp>
      <tp t="e">
        <v>#N/A</v>
        <stp/>
        <stp>BDH|7327453547325425554</stp>
        <tr r="Y67" s="21"/>
      </tp>
      <tp t="e">
        <v>#N/A</v>
        <stp/>
        <stp>BDH|7853617377310674182</stp>
        <tr r="Z50" s="12"/>
      </tp>
      <tp t="e">
        <v>#N/A</v>
        <stp/>
        <stp>BDH|3380404247270327478</stp>
        <tr r="AA64" s="13"/>
      </tp>
      <tp t="e">
        <v>#N/A</v>
        <stp/>
        <stp>BDH|5346515523561017411</stp>
        <tr r="O41" s="24"/>
      </tp>
      <tp t="e">
        <v>#N/A</v>
        <stp/>
        <stp>BDH|3041002163335410770</stp>
        <tr r="Q14" s="11"/>
      </tp>
      <tp t="e">
        <v>#N/A</v>
        <stp/>
        <stp>BDH|5582794462991673286</stp>
        <tr r="V30" s="34"/>
      </tp>
      <tp t="e">
        <v>#N/A</v>
        <stp/>
        <stp>BDH|4221628219231048598</stp>
        <tr r="H57" s="17"/>
      </tp>
      <tp t="e">
        <v>#N/A</v>
        <stp/>
        <stp>BDH|5619444681707056933</stp>
        <tr r="P53" s="12"/>
      </tp>
      <tp t="e">
        <v>#N/A</v>
        <stp/>
        <stp>BDH|6564339008930870266</stp>
        <tr r="O85" s="18"/>
      </tp>
      <tp t="e">
        <v>#N/A</v>
        <stp/>
        <stp>BDH|1949823326885512989</stp>
        <tr r="O33" s="12"/>
      </tp>
      <tp t="e">
        <v>#N/A</v>
        <stp/>
        <stp>BDH|1551153716040460627</stp>
        <tr r="P10" s="18"/>
      </tp>
      <tp t="e">
        <v>#N/A</v>
        <stp/>
        <stp>BDH|3154215485406659836</stp>
        <tr r="T74" s="17"/>
      </tp>
      <tp t="e">
        <v>#N/A</v>
        <stp/>
        <stp>BDH|6445963680665551572</stp>
        <tr r="H90" s="17"/>
      </tp>
      <tp t="e">
        <v>#N/A</v>
        <stp/>
        <stp>BDH|5702935222230186979</stp>
        <tr r="H38" s="21"/>
        <tr r="H24" s="3"/>
      </tp>
      <tp t="e">
        <v>#N/A</v>
        <stp/>
        <stp>BDH|5349405444737645514</stp>
        <tr r="G55" s="12"/>
      </tp>
      <tp t="e">
        <v>#N/A</v>
        <stp/>
        <stp>BDH|5975224224982709083</stp>
        <tr r="H19" s="23"/>
        <tr r="F59" s="11"/>
      </tp>
      <tp t="e">
        <v>#N/A</v>
        <stp/>
        <stp>BDH|7720566066315666618</stp>
        <tr r="T51" s="18"/>
      </tp>
      <tp t="e">
        <v>#N/A</v>
        <stp/>
        <stp>BDH|6588174955576116361</stp>
        <tr r="H42" s="24"/>
      </tp>
      <tp t="e">
        <v>#N/A</v>
        <stp/>
        <stp>BDH|9998420803219813302</stp>
        <tr r="Q36" s="34"/>
      </tp>
      <tp t="e">
        <v>#N/A</v>
        <stp/>
        <stp>BDH|3039682101517945508</stp>
        <tr r="M76" s="17"/>
      </tp>
      <tp t="e">
        <v>#N/A</v>
        <stp/>
        <stp>BDH|8920859459054691639</stp>
        <tr r="R56" s="17"/>
      </tp>
      <tp t="e">
        <v>#N/A</v>
        <stp/>
        <stp>BDH|9663672646955570921</stp>
        <tr r="I56" s="6"/>
      </tp>
      <tp t="e">
        <v>#N/A</v>
        <stp/>
        <stp>BDH|9214946543855206674</stp>
        <tr r="P121" s="12"/>
      </tp>
      <tp t="e">
        <v>#N/A</v>
        <stp/>
        <stp>BDH|3423621700983689108</stp>
        <tr r="W41" s="24"/>
      </tp>
      <tp t="e">
        <v>#N/A</v>
        <stp/>
        <stp>BDH|7590671652935390632</stp>
        <tr r="N145" s="18"/>
      </tp>
      <tp t="e">
        <v>#N/A</v>
        <stp/>
        <stp>BDH|8771608146404385929</stp>
        <tr r="D22" s="11"/>
      </tp>
      <tp t="e">
        <v>#N/A</v>
        <stp/>
        <stp>BDH|9867718298586958684</stp>
        <tr r="W36" s="21"/>
      </tp>
      <tp t="e">
        <v>#N/A</v>
        <stp/>
        <stp>BDH|8573485682662791187</stp>
        <tr r="N38" s="21"/>
        <tr r="N24" s="3"/>
      </tp>
      <tp t="e">
        <v>#N/A</v>
        <stp/>
        <stp>BDH|5661628892839247448</stp>
        <tr r="H35" s="24"/>
      </tp>
      <tp t="e">
        <v>#N/A</v>
        <stp/>
        <stp>BDH|3387266838453921642</stp>
        <tr r="T43" s="24"/>
      </tp>
      <tp t="e">
        <v>#N/A</v>
        <stp/>
        <stp>BDH|4258705526490611628</stp>
        <tr r="F13" s="12"/>
      </tp>
      <tp t="e">
        <v>#N/A</v>
        <stp/>
        <stp>BDH|1717979325125666832</stp>
        <tr r="X19" s="28"/>
        <tr r="X16" s="17"/>
      </tp>
      <tp t="e">
        <v>#N/A</v>
        <stp/>
        <stp>BDH|8115000251608926298</stp>
        <tr r="J91" s="12"/>
      </tp>
      <tp t="e">
        <v>#N/A</v>
        <stp/>
        <stp>BDH|2953311040696862409</stp>
        <tr r="Y131" s="18"/>
      </tp>
      <tp t="e">
        <v>#N/A</v>
        <stp/>
        <stp>BDH|3242406517218558909</stp>
        <tr r="L33" s="6"/>
      </tp>
      <tp t="e">
        <v>#N/A</v>
        <stp/>
        <stp>BDH|8530665482856740765</stp>
        <tr r="AA46" s="17"/>
      </tp>
      <tp t="e">
        <v>#N/A</v>
        <stp/>
        <stp>BDH|3401689879183534605</stp>
        <tr r="J9" s="24"/>
      </tp>
      <tp t="e">
        <v>#N/A</v>
        <stp/>
        <stp>BDH|5226607171031134228</stp>
        <tr r="P27" s="22"/>
      </tp>
      <tp t="e">
        <v>#N/A</v>
        <stp/>
        <stp>BDH|6137077128201794291</stp>
        <tr r="C6" s="8"/>
      </tp>
      <tp t="e">
        <v>#N/A</v>
        <stp/>
        <stp>BDH|2723239778637869745</stp>
        <tr r="S17" s="22"/>
      </tp>
      <tp t="e">
        <v>#N/A</v>
        <stp/>
        <stp>BDH|9960293817904711903</stp>
        <tr r="H9" s="27"/>
      </tp>
      <tp t="e">
        <v>#N/A</v>
        <stp/>
        <stp>BDH|6838389382293669940</stp>
        <tr r="S64" s="13"/>
      </tp>
      <tp t="e">
        <v>#N/A</v>
        <stp/>
        <stp>BDH|2993590504969113940</stp>
        <tr r="Q9" s="10"/>
      </tp>
      <tp t="e">
        <v>#N/A</v>
        <stp/>
        <stp>BDH|7951892011150942992</stp>
        <tr r="X9" s="26"/>
      </tp>
      <tp t="e">
        <v>#N/A</v>
        <stp/>
        <stp>BDH|5520116370607624330</stp>
        <tr r="M22" s="18"/>
      </tp>
      <tp t="e">
        <v>#N/A</v>
        <stp/>
        <stp>BDH|1824667672673804453</stp>
        <tr r="L42" s="22"/>
      </tp>
      <tp t="e">
        <v>#N/A</v>
        <stp/>
        <stp>BDH|2877767568162157664</stp>
        <tr r="U112" s="12"/>
      </tp>
      <tp t="e">
        <v>#N/A</v>
        <stp/>
        <stp>BDH|1256950885392618557</stp>
        <tr r="Y80" s="12"/>
      </tp>
      <tp t="e">
        <v>#N/A</v>
        <stp/>
        <stp>BDH|5103108461480884594</stp>
        <tr r="R9" s="21"/>
      </tp>
      <tp t="e">
        <v>#N/A</v>
        <stp/>
        <stp>BDH|1555752863695701252</stp>
        <tr r="U173" s="18"/>
      </tp>
      <tp t="e">
        <v>#N/A</v>
        <stp/>
        <stp>BDH|1973008679836820796</stp>
        <tr r="Z157" s="18"/>
      </tp>
      <tp t="e">
        <v>#N/A</v>
        <stp/>
        <stp>BDH|6174372071172545733</stp>
        <tr r="W25" s="7"/>
      </tp>
      <tp t="e">
        <v>#N/A</v>
        <stp/>
        <stp>BDH|5347500634027542333</stp>
        <tr r="E16" s="20"/>
      </tp>
      <tp t="e">
        <v>#N/A</v>
        <stp/>
        <stp>BDH|3197517161723380433</stp>
        <tr r="V9" s="25"/>
        <tr r="V44" s="17"/>
      </tp>
      <tp t="e">
        <v>#N/A</v>
        <stp/>
        <stp>BDH|5684179067746719305</stp>
        <tr r="F26" s="22"/>
      </tp>
      <tp t="e">
        <v>#N/A</v>
        <stp/>
        <stp>BDH|8484108520129518502</stp>
        <tr r="X86" s="17"/>
      </tp>
      <tp t="e">
        <v>#N/A</v>
        <stp/>
        <stp>BDH|4409657905425064050</stp>
        <tr r="S131" s="18"/>
      </tp>
      <tp t="e">
        <v>#N/A</v>
        <stp/>
        <stp>BDH|5397124715426655438</stp>
        <tr r="Q39" s="18"/>
      </tp>
      <tp t="e">
        <v>#N/A</v>
        <stp/>
        <stp>BDH|8785569471619333420</stp>
        <tr r="U69" s="17"/>
      </tp>
      <tp t="e">
        <v>#N/A</v>
        <stp/>
        <stp>BDH|1151615205178220864</stp>
        <tr r="Z37" s="34"/>
      </tp>
      <tp t="e">
        <v>#N/A</v>
        <stp/>
        <stp>BDH|3090441607772606248</stp>
        <tr r="R11" s="22"/>
      </tp>
      <tp t="e">
        <v>#N/A</v>
        <stp/>
        <stp>BDH|4369133274357007251</stp>
        <tr r="C32" s="6"/>
      </tp>
      <tp t="e">
        <v>#N/A</v>
        <stp/>
        <stp>BDH|5815808370965829815</stp>
        <tr r="D29" s="4"/>
      </tp>
      <tp t="e">
        <v>#N/A</v>
        <stp/>
        <stp>BDH|5816562469150352151</stp>
        <tr r="C52" s="12"/>
      </tp>
      <tp t="e">
        <v>#N/A</v>
        <stp/>
        <stp>BDH|9137957074177347727</stp>
        <tr r="V47" s="12"/>
      </tp>
      <tp t="e">
        <v>#N/A</v>
        <stp/>
        <stp>BDH|7757628754126106515</stp>
        <tr r="T9" s="14"/>
      </tp>
      <tp t="e">
        <v>#N/A</v>
        <stp/>
        <stp>BDH|3603616466391258529</stp>
        <tr r="G44" s="12"/>
      </tp>
      <tp t="e">
        <v>#N/A</v>
        <stp/>
        <stp>BDH|3118690058296083112</stp>
        <tr r="F18" s="28"/>
        <tr r="F15" s="17"/>
      </tp>
      <tp t="e">
        <v>#N/A</v>
        <stp/>
        <stp>BDH|9135586258819043701</stp>
        <tr r="S95" s="18"/>
      </tp>
      <tp t="e">
        <v>#N/A</v>
        <stp/>
        <stp>BDH|3142503138135890707</stp>
        <tr r="K59" s="12"/>
      </tp>
      <tp t="e">
        <v>#N/A</v>
        <stp/>
        <stp>BDH|4110389629074862696</stp>
        <tr r="V44" s="11"/>
        <tr r="V53" s="10"/>
        <tr r="V16" s="7"/>
      </tp>
      <tp t="e">
        <v>#N/A</v>
        <stp/>
        <stp>BDH|9964871167880021085</stp>
        <tr r="C6" s="27"/>
      </tp>
      <tp t="e">
        <v>#N/A</v>
        <stp/>
        <stp>BDH|6341254600870342347</stp>
        <tr r="C12" s="17"/>
      </tp>
      <tp t="e">
        <v>#N/A</v>
        <stp/>
        <stp>BDH|1573379763324965790</stp>
        <tr r="U133" s="18"/>
      </tp>
      <tp t="e">
        <v>#N/A</v>
        <stp/>
        <stp>BDH|3409218229146420290</stp>
        <tr r="K14" s="28"/>
      </tp>
      <tp t="e">
        <v>#N/A</v>
        <stp/>
        <stp>BDH|3302806545189185164</stp>
        <tr r="Y90" s="24"/>
      </tp>
      <tp t="e">
        <v>#N/A</v>
        <stp/>
        <stp>BDH|4186603776620073260</stp>
        <tr r="E20" s="18"/>
      </tp>
      <tp t="e">
        <v>#N/A</v>
        <stp/>
        <stp>BDH|8804808548362366127</stp>
        <tr r="K63" s="34"/>
      </tp>
      <tp t="e">
        <v>#N/A</v>
        <stp/>
        <stp>BDH|9823879717094031392</stp>
        <tr r="W48" s="18"/>
      </tp>
      <tp t="e">
        <v>#N/A</v>
        <stp/>
        <stp>BDH|3396523064305341270</stp>
        <tr r="Q7" s="6"/>
      </tp>
      <tp t="e">
        <v>#N/A</v>
        <stp/>
        <stp>BDH|3513853514629514408</stp>
        <tr r="Q52" s="17"/>
      </tp>
      <tp t="e">
        <v>#N/A</v>
        <stp/>
        <stp>BDH|8350439234049085159</stp>
        <tr r="Y11" s="29"/>
      </tp>
      <tp t="e">
        <v>#N/A</v>
        <stp/>
        <stp>BDH|6014341535781494043</stp>
        <tr r="X46" s="6"/>
        <tr r="X19" s="5"/>
      </tp>
      <tp t="e">
        <v>#N/A</v>
        <stp/>
        <stp>BDH|2713188949260408037</stp>
        <tr r="O8" s="26"/>
        <tr r="L10" s="9"/>
      </tp>
      <tp t="e">
        <v>#N/A</v>
        <stp/>
        <stp>BDH|2346157291094772918</stp>
        <tr r="S185" s="18"/>
      </tp>
      <tp t="e">
        <v>#N/A</v>
        <stp/>
        <stp>BDH|6778159274225032273</stp>
        <tr r="M65" s="17"/>
      </tp>
      <tp t="e">
        <v>#N/A</v>
        <stp/>
        <stp>BDH|5322729553049604954</stp>
        <tr r="R126" s="12"/>
      </tp>
      <tp t="e">
        <v>#N/A</v>
        <stp/>
        <stp>BDH|1792805780210064667</stp>
        <tr r="T26" s="14"/>
      </tp>
      <tp t="e">
        <v>#N/A</v>
        <stp/>
        <stp>BDH|6264390537587487694</stp>
        <tr r="G114" s="18"/>
      </tp>
      <tp t="e">
        <v>#N/A</v>
        <stp/>
        <stp>BDH|2971437084758900169</stp>
        <tr r="S18" s="28"/>
        <tr r="S15" s="17"/>
      </tp>
      <tp t="e">
        <v>#N/A</v>
        <stp/>
        <stp>BDH|6110817837283034969</stp>
        <tr r="Q14" s="27"/>
        <tr r="Q28" s="25"/>
      </tp>
      <tp t="e">
        <v>#N/A</v>
        <stp/>
        <stp>BDH|5508264456270288560</stp>
        <tr r="L46" s="22"/>
      </tp>
      <tp t="e">
        <v>#N/A</v>
        <stp/>
        <stp>BDH|3958111488499683409</stp>
        <tr r="E20" s="9"/>
      </tp>
      <tp t="e">
        <v>#N/A</v>
        <stp/>
        <stp>BDH|6975388335425734459</stp>
        <tr r="T57" s="17"/>
      </tp>
      <tp t="e">
        <v>#N/A</v>
        <stp/>
        <stp>BDH|7254182938147339574</stp>
        <tr r="T64" s="21"/>
      </tp>
      <tp t="e">
        <v>#N/A</v>
        <stp/>
        <stp>BDH|2442900513594242934</stp>
        <tr r="N66" s="10"/>
        <tr r="N39" s="4"/>
      </tp>
      <tp t="e">
        <v>#N/A</v>
        <stp/>
        <stp>BDH|3381206766995342503</stp>
        <tr r="J13" s="18"/>
      </tp>
      <tp t="e">
        <v>#N/A</v>
        <stp/>
        <stp>BDH|8365740151445634863</stp>
        <tr r="R23" s="18"/>
      </tp>
      <tp t="e">
        <v>#N/A</v>
        <stp/>
        <stp>BDH|1172259558805231487</stp>
        <tr r="H183" s="18"/>
      </tp>
      <tp t="e">
        <v>#N/A</v>
        <stp/>
        <stp>BDH|9500139284295416208</stp>
        <tr r="V78" s="17"/>
      </tp>
      <tp t="e">
        <v>#N/A</v>
        <stp/>
        <stp>BDH|5374482858240631336</stp>
        <tr r="U73" s="34"/>
      </tp>
      <tp t="e">
        <v>#N/A</v>
        <stp/>
        <stp>BDH|7785671568945905574</stp>
        <tr r="AA30" s="26"/>
      </tp>
      <tp t="e">
        <v>#N/A</v>
        <stp/>
        <stp>BDH|1425137204773632436</stp>
        <tr r="M63" s="13"/>
      </tp>
      <tp t="e">
        <v>#N/A</v>
        <stp/>
        <stp>BDH|8625875157723814186</stp>
        <tr r="F35" s="18"/>
      </tp>
      <tp t="e">
        <v>#N/A</v>
        <stp/>
        <stp>BDH|3903210921166961260</stp>
        <tr r="W62" s="34"/>
      </tp>
      <tp t="e">
        <v>#N/A</v>
        <stp/>
        <stp>BDH|3492152305263191636</stp>
        <tr r="L94" s="12"/>
      </tp>
      <tp t="e">
        <v>#N/A</v>
        <stp/>
        <stp>BDH|9170899068850527032</stp>
        <tr r="I20" s="25"/>
      </tp>
      <tp t="e">
        <v>#N/A</v>
        <stp/>
        <stp>BDH|5850995368339933466</stp>
        <tr r="R56" s="34"/>
      </tp>
      <tp t="e">
        <v>#N/A</v>
        <stp/>
        <stp>BDH|2953268852951957327</stp>
        <tr r="C14" s="12"/>
      </tp>
      <tp t="e">
        <v>#N/A</v>
        <stp/>
        <stp>BDH|7020342264972553735</stp>
        <tr r="Y36" s="13"/>
        <tr r="W29" s="10"/>
      </tp>
      <tp t="e">
        <v>#N/A</v>
        <stp/>
        <stp>BDH|6328072420170799351</stp>
        <tr r="J77" s="12"/>
      </tp>
      <tp t="e">
        <v>#N/A</v>
        <stp/>
        <stp>BDH|7332240855667586014</stp>
        <tr r="M85" s="24"/>
      </tp>
      <tp t="e">
        <v>#N/A</v>
        <stp/>
        <stp>BDH|2704509111778777971</stp>
        <tr r="V39" s="18"/>
      </tp>
      <tp t="e">
        <v>#N/A</v>
        <stp/>
        <stp>BDH|9440121634954353871</stp>
        <tr r="U24" s="13"/>
      </tp>
      <tp t="e">
        <v>#N/A</v>
        <stp/>
        <stp>BDH|7891552840720264192</stp>
        <tr r="F52" s="17"/>
      </tp>
      <tp t="e">
        <v>#N/A</v>
        <stp/>
        <stp>BDH|4497143720144330453</stp>
        <tr r="Y97" s="18"/>
      </tp>
      <tp t="e">
        <v>#N/A</v>
        <stp/>
        <stp>BDH|9692338872893053917</stp>
        <tr r="W20" s="22"/>
      </tp>
      <tp t="e">
        <v>#N/A</v>
        <stp/>
        <stp>BDH|9707132223824747964</stp>
        <tr r="K15" s="12"/>
      </tp>
      <tp t="e">
        <v>#N/A</v>
        <stp/>
        <stp>BDH|2521497870990372691</stp>
        <tr r="R72" s="24"/>
      </tp>
      <tp t="e">
        <v>#N/A</v>
        <stp/>
        <stp>BDH|7327888202778940063</stp>
        <tr r="V93" s="18"/>
      </tp>
      <tp t="e">
        <v>#N/A</v>
        <stp/>
        <stp>BDH|1390415104791443345</stp>
        <tr r="F178" s="18"/>
      </tp>
      <tp t="e">
        <v>#N/A</v>
        <stp/>
        <stp>BDH|4468168255774578343</stp>
        <tr r="K9" s="10"/>
      </tp>
      <tp t="e">
        <v>#N/A</v>
        <stp/>
        <stp>BDH|2870491238160993263</stp>
        <tr r="W22" s="7"/>
      </tp>
      <tp t="e">
        <v>#N/A</v>
        <stp/>
        <stp>BDH|9329469291840088324</stp>
        <tr r="I69" s="18"/>
      </tp>
      <tp t="e">
        <v>#N/A</v>
        <stp/>
        <stp>BDH|6292078037664286660</stp>
        <tr r="E78" s="34"/>
      </tp>
      <tp t="e">
        <v>#N/A</v>
        <stp/>
        <stp>BDH|4285735371285200640</stp>
        <tr r="J64" s="10"/>
      </tp>
      <tp t="e">
        <v>#N/A</v>
        <stp/>
        <stp>BDH|6189533054710416142</stp>
        <tr r="L17" s="23"/>
      </tp>
      <tp t="e">
        <v>#N/A</v>
        <stp/>
        <stp>BDH|4902075549321793661</stp>
        <tr r="P29" s="34"/>
      </tp>
      <tp t="e">
        <v>#N/A</v>
        <stp/>
        <stp>BDH|1649845485880768661</stp>
        <tr r="J8" s="28"/>
      </tp>
      <tp t="e">
        <v>#N/A</v>
        <stp/>
        <stp>BDH|2309254901083114414</stp>
        <tr r="P14" s="6"/>
      </tp>
      <tp t="e">
        <v>#N/A</v>
        <stp/>
        <stp>BDH|4705391236630849372</stp>
        <tr r="O169" s="18"/>
      </tp>
      <tp t="e">
        <v>#N/A</v>
        <stp/>
        <stp>BDH|5801345003576061786</stp>
        <tr r="D36" s="34"/>
      </tp>
      <tp t="e">
        <v>#N/A</v>
        <stp/>
        <stp>BDH|4829021349573355473</stp>
        <tr r="Q34" s="24"/>
      </tp>
      <tp t="e">
        <v>#N/A</v>
        <stp/>
        <stp>BDH|9003737174398622666</stp>
        <tr r="Z49" s="13"/>
      </tp>
      <tp t="e">
        <v>#N/A</v>
        <stp/>
        <stp>BDH|9456935577187282759</stp>
        <tr r="S39" s="24"/>
      </tp>
      <tp t="e">
        <v>#N/A</v>
        <stp/>
        <stp>BDH|3500925535579316762</stp>
        <tr r="H64" s="13"/>
      </tp>
      <tp t="e">
        <v>#N/A</v>
        <stp/>
        <stp>BDH|1553263357546325702</stp>
        <tr r="U152" s="18"/>
      </tp>
      <tp t="e">
        <v>#N/A</v>
        <stp/>
        <stp>BDH|5173261532055120637</stp>
        <tr r="W9" s="18"/>
      </tp>
      <tp t="e">
        <v>#N/A</v>
        <stp/>
        <stp>BDH|7189333336114095430</stp>
        <tr r="X29" s="29"/>
        <tr r="X7" s="29"/>
      </tp>
      <tp t="e">
        <v>#N/A</v>
        <stp/>
        <stp>BDH|7647583604340454593</stp>
        <tr r="D41" s="11"/>
        <tr r="D50" s="10"/>
        <tr r="D8" s="7"/>
        <tr r="F11" s="3"/>
      </tp>
      <tp t="e">
        <v>#N/A</v>
        <stp/>
        <stp>BDH|5884495376821426045</stp>
        <tr r="D17" s="28"/>
        <tr r="D14" s="17"/>
      </tp>
      <tp t="e">
        <v>#N/A</v>
        <stp/>
        <stp>BDH|4230031336497005704</stp>
        <tr r="Q55" s="11"/>
      </tp>
      <tp t="e">
        <v>#N/A</v>
        <stp/>
        <stp>BDH|3091143192945129904</stp>
        <tr r="H8" s="22"/>
      </tp>
      <tp t="e">
        <v>#N/A</v>
        <stp/>
        <stp>BDH|4478782039063007420</stp>
        <tr r="P43" s="6"/>
      </tp>
      <tp t="e">
        <v>#N/A</v>
        <stp/>
        <stp>BDH|4078171445385740325</stp>
        <tr r="J190" s="18"/>
      </tp>
      <tp t="e">
        <v>#N/A</v>
        <stp/>
        <stp>BDH|3850889687640561458</stp>
        <tr r="V14" s="6"/>
      </tp>
      <tp t="e">
        <v>#N/A</v>
        <stp/>
        <stp>BDH|7165087632083428087</stp>
        <tr r="S41" s="21"/>
      </tp>
      <tp t="e">
        <v>#N/A</v>
        <stp/>
        <stp>BDH|6988580427933571542</stp>
        <tr r="X13" s="26"/>
      </tp>
      <tp t="e">
        <v>#N/A</v>
        <stp/>
        <stp>BDH|7291023717412529358</stp>
        <tr r="O11" s="22"/>
      </tp>
      <tp t="e">
        <v>#N/A</v>
        <stp/>
        <stp>BDH|9179857825475309150</stp>
        <tr r="P55" s="18"/>
      </tp>
      <tp t="e">
        <v>#N/A</v>
        <stp/>
        <stp>BDH|7624337061195327002</stp>
        <tr r="U7" s="27"/>
        <tr r="U95" s="17"/>
      </tp>
      <tp t="e">
        <v>#N/A</v>
        <stp/>
        <stp>BDH|3254254800454572256</stp>
        <tr r="N204" s="18"/>
      </tp>
      <tp t="e">
        <v>#N/A</v>
        <stp/>
        <stp>BDH|5069470504447214164</stp>
        <tr r="G76" s="17"/>
      </tp>
      <tp t="e">
        <v>#N/A</v>
        <stp/>
        <stp>BDH|1925129001937456091</stp>
        <tr r="H46" s="6"/>
        <tr r="H19" s="5"/>
      </tp>
      <tp t="e">
        <v>#N/A</v>
        <stp/>
        <stp>BDH|6974523911794486192</stp>
        <tr r="AA48" s="21"/>
      </tp>
      <tp t="e">
        <v>#N/A</v>
        <stp/>
        <stp>BDH|9964880622947415306</stp>
        <tr r="X123" s="12"/>
      </tp>
      <tp t="e">
        <v>#N/A</v>
        <stp/>
        <stp>BDH|6086460554981517108</stp>
        <tr r="U195" s="18"/>
      </tp>
      <tp t="e">
        <v>#N/A</v>
        <stp/>
        <stp>BDH|4235437781129458638</stp>
        <tr r="F114" s="12"/>
      </tp>
      <tp t="e">
        <v>#N/A</v>
        <stp/>
        <stp>BDH|1444357246022515359</stp>
        <tr r="R150" s="18"/>
      </tp>
      <tp t="e">
        <v>#N/A</v>
        <stp/>
        <stp>BDH|1458389279355479762</stp>
        <tr r="I193" s="18"/>
      </tp>
      <tp t="e">
        <v>#N/A</v>
        <stp/>
        <stp>BDH|5892662021050063680</stp>
        <tr r="S203" s="18"/>
      </tp>
      <tp t="e">
        <v>#N/A</v>
        <stp/>
        <stp>BDH|5798396701418000986</stp>
        <tr r="G31" s="22"/>
      </tp>
      <tp t="e">
        <v>#N/A</v>
        <stp/>
        <stp>BDH|1394130345434611740</stp>
        <tr r="F34" s="29"/>
      </tp>
      <tp t="e">
        <v>#N/A</v>
        <stp/>
        <stp>BDH|5205447577969453827</stp>
        <tr r="F62" s="21"/>
        <tr r="D25" s="2"/>
      </tp>
      <tp t="e">
        <v>#N/A</v>
        <stp/>
        <stp>BDH|6342167695071694816</stp>
        <tr r="N31" s="26"/>
        <tr r="K14" s="9"/>
      </tp>
      <tp t="e">
        <v>#N/A</v>
        <stp/>
        <stp>BDH|9176915573485029548</stp>
        <tr r="J145" s="18"/>
      </tp>
      <tp t="e">
        <v>#N/A</v>
        <stp/>
        <stp>BDH|1855239293389762485</stp>
        <tr r="X64" s="21"/>
      </tp>
      <tp t="e">
        <v>#N/A</v>
        <stp/>
        <stp>BDH|7454335953747697152</stp>
        <tr r="H26" s="29"/>
      </tp>
      <tp t="e">
        <v>#N/A</v>
        <stp/>
        <stp>BDH|9526517841406587975</stp>
        <tr r="N54" s="17"/>
        <tr r="N17" s="3"/>
      </tp>
      <tp t="e">
        <v>#N/A</v>
        <stp/>
        <stp>BDH|7143073602966557664</stp>
        <tr r="V12" s="24"/>
      </tp>
      <tp t="e">
        <v>#N/A</v>
        <stp/>
        <stp>BDH|4704848435958680076</stp>
        <tr r="N7" s="9"/>
        <tr r="N7" s="5"/>
        <tr r="Q14" s="3"/>
        <tr r="O7" s="2"/>
      </tp>
      <tp t="e">
        <v>#N/A</v>
        <stp/>
        <stp>BDH|2511094501564268189</stp>
        <tr r="W11" s="21"/>
      </tp>
      <tp t="e">
        <v>#N/A</v>
        <stp/>
        <stp>BDH|4689556864015865586</stp>
        <tr r="K19" s="18"/>
      </tp>
      <tp t="e">
        <v>#N/A</v>
        <stp/>
        <stp>BDH|3090869148918970000</stp>
        <tr r="Z41" s="29"/>
        <tr r="Z18" s="29"/>
      </tp>
      <tp t="e">
        <v>#N/A</v>
        <stp/>
        <stp>BDH|4464426173216302623</stp>
        <tr r="C36" s="18"/>
      </tp>
      <tp t="e">
        <v>#N/A</v>
        <stp/>
        <stp>BDH|9199740106971199868</stp>
        <tr r="F168" s="18"/>
      </tp>
      <tp t="e">
        <v>#N/A</v>
        <stp/>
        <stp>BDH|1401604660230106617</stp>
        <tr r="S19" s="20"/>
      </tp>
      <tp t="e">
        <v>#N/A</v>
        <stp/>
        <stp>BDH|8254052957152234865</stp>
        <tr r="Y76" s="18"/>
      </tp>
      <tp t="e">
        <v>#N/A</v>
        <stp/>
        <stp>BDH|5457593849017230425</stp>
        <tr r="X14" s="4"/>
      </tp>
      <tp t="e">
        <v>#N/A</v>
        <stp/>
        <stp>BDH|7955376033123863317</stp>
        <tr r="E13" s="27"/>
        <tr r="E27" s="25"/>
      </tp>
      <tp t="e">
        <v>#N/A</v>
        <stp/>
        <stp>BDH|5114518033382009679</stp>
        <tr r="I63" s="34"/>
      </tp>
      <tp t="e">
        <v>#N/A</v>
        <stp/>
        <stp>BDH|5340103735769011922</stp>
        <tr r="M36" s="6"/>
        <tr r="M17" s="5"/>
      </tp>
      <tp t="e">
        <v>#N/A</v>
        <stp/>
        <stp>BDH|1011609636863019022</stp>
        <tr r="V23" s="6"/>
      </tp>
      <tp t="e">
        <v>#N/A</v>
        <stp/>
        <stp>BDH|3211963348679021084</stp>
        <tr r="C27" s="7"/>
      </tp>
      <tp t="e">
        <v>#N/A</v>
        <stp/>
        <stp>BDH|5754046196862617978</stp>
        <tr r="P42" s="11"/>
        <tr r="P51" s="10"/>
        <tr r="P14" s="7"/>
        <tr r="R9" s="3"/>
      </tp>
      <tp t="e">
        <v>#N/A</v>
        <stp/>
        <stp>BDH|4361301297920052909</stp>
        <tr r="I64" s="24"/>
      </tp>
      <tp t="e">
        <v>#N/A</v>
        <stp/>
        <stp>BDH|1050513405250767377</stp>
        <tr r="V73" s="24"/>
      </tp>
      <tp t="e">
        <v>#N/A</v>
        <stp/>
        <stp>BDH|6720797067789819956</stp>
        <tr r="L32" s="11"/>
        <tr r="L41" s="10"/>
      </tp>
      <tp t="e">
        <v>#N/A</v>
        <stp/>
        <stp>BDH|3489246400836030040</stp>
        <tr r="S148" s="18"/>
      </tp>
      <tp t="e">
        <v>#N/A</v>
        <stp/>
        <stp>BDH|5005493921734880049</stp>
        <tr r="M126" s="18"/>
      </tp>
      <tp t="e">
        <v>#N/A</v>
        <stp/>
        <stp>BDH|9124331378049919377</stp>
        <tr r="R28" s="22"/>
      </tp>
      <tp t="e">
        <v>#N/A</v>
        <stp/>
        <stp>BDH|5790716251009589962</stp>
        <tr r="I87" s="24"/>
      </tp>
      <tp t="e">
        <v>#N/A</v>
        <stp/>
        <stp>BDH|2030006443772101366</stp>
        <tr r="D43" s="22"/>
      </tp>
      <tp t="e">
        <v>#N/A</v>
        <stp/>
        <stp>BDH|8154714045719457557</stp>
        <tr r="L156" s="18"/>
      </tp>
      <tp t="e">
        <v>#N/A</v>
        <stp/>
        <stp>BDH|7516507926330230752</stp>
        <tr r="C79" s="12"/>
      </tp>
      <tp t="e">
        <v>#N/A</v>
        <stp/>
        <stp>BDH|7717656725567138325</stp>
        <tr r="D19" s="25"/>
      </tp>
      <tp t="e">
        <v>#N/A</v>
        <stp/>
        <stp>BDH|6698442521763282450</stp>
        <tr r="O189" s="18"/>
      </tp>
      <tp t="e">
        <v>#N/A</v>
        <stp/>
        <stp>BDH|6008571938394933325</stp>
        <tr r="AA61" s="17"/>
      </tp>
      <tp t="e">
        <v>#N/A</v>
        <stp/>
        <stp>BDH|7717036513325118422</stp>
        <tr r="T57" s="34"/>
      </tp>
      <tp t="e">
        <v>#N/A</v>
        <stp/>
        <stp>BDH|7448479961587183577</stp>
        <tr r="V80" s="17"/>
        <tr r="V19" s="3"/>
      </tp>
      <tp t="e">
        <v>#N/A</v>
        <stp/>
        <stp>BDH|3457563926530919394</stp>
        <tr r="N30" s="9"/>
        <tr r="N30" s="5"/>
      </tp>
      <tp t="e">
        <v>#N/A</v>
        <stp/>
        <stp>BDH|2042533076136190109</stp>
        <tr r="I34" s="17"/>
      </tp>
      <tp t="e">
        <v>#N/A</v>
        <stp/>
        <stp>BDH|9502909933465422169</stp>
        <tr r="X147" s="18"/>
      </tp>
      <tp t="e">
        <v>#N/A</v>
        <stp/>
        <stp>BDH|1796149522871250474</stp>
        <tr r="M50" s="24"/>
      </tp>
      <tp t="e">
        <v>#N/A</v>
        <stp/>
        <stp>BDH|2136229147320579357</stp>
        <tr r="R103" s="18"/>
      </tp>
      <tp t="e">
        <v>#N/A</v>
        <stp/>
        <stp>BDH|4419513525611141559</stp>
        <tr r="C28" s="13"/>
      </tp>
      <tp t="e">
        <v>#N/A</v>
        <stp/>
        <stp>BDH|1030115205196396137</stp>
        <tr r="S8" s="18"/>
      </tp>
      <tp t="e">
        <v>#N/A</v>
        <stp/>
        <stp>BDH|9394073554732749930</stp>
        <tr r="W12" s="27"/>
        <tr r="W26" s="25"/>
      </tp>
      <tp t="e">
        <v>#N/A</v>
        <stp/>
        <stp>BDH|3433972419828680489</stp>
        <tr r="K60" s="34"/>
      </tp>
      <tp t="e">
        <v>#N/A</v>
        <stp/>
        <stp>BDH|6110571945397037778</stp>
        <tr r="X56" s="6"/>
      </tp>
      <tp t="e">
        <v>#N/A</v>
        <stp/>
        <stp>BDH|2684753263120274465</stp>
        <tr r="P39" s="11"/>
        <tr r="P27" s="11"/>
        <tr r="P48" s="10"/>
        <tr r="P36" s="10"/>
      </tp>
      <tp t="e">
        <v>#N/A</v>
        <stp/>
        <stp>BDH|9128838936002710773</stp>
        <tr r="Q32" s="26"/>
      </tp>
      <tp t="e">
        <v>#N/A</v>
        <stp/>
        <stp>BDH|9345426167418597477</stp>
        <tr r="S6" s="20"/>
        <tr r="S116" s="18"/>
      </tp>
      <tp t="e">
        <v>#N/A</v>
        <stp/>
        <stp>BDH|9636035893510683743</stp>
        <tr r="D123" s="12"/>
      </tp>
      <tp t="e">
        <v>#N/A</v>
        <stp/>
        <stp>BDH|1259641309499989920</stp>
        <tr r="Y13" s="30"/>
      </tp>
      <tp t="e">
        <v>#N/A</v>
        <stp/>
        <stp>BDH|9798397168748009322</stp>
        <tr r="W28" s="12"/>
      </tp>
      <tp t="e">
        <v>#N/A</v>
        <stp/>
        <stp>BDH|9744953388158845769</stp>
        <tr r="W9" s="23"/>
      </tp>
      <tp t="e">
        <v>#N/A</v>
        <stp/>
        <stp>BDH|6636304451237373009</stp>
        <tr r="E74" s="17"/>
      </tp>
      <tp t="e">
        <v>#N/A</v>
        <stp/>
        <stp>BDH|5322173566897163274</stp>
        <tr r="W71" s="12"/>
      </tp>
      <tp t="e">
        <v>#N/A</v>
        <stp/>
        <stp>BDH|3577530252845625167</stp>
        <tr r="R7" s="20"/>
        <tr r="R117" s="18"/>
      </tp>
      <tp t="e">
        <v>#N/A</v>
        <stp/>
        <stp>BDH|1948347997475856968</stp>
        <tr r="D32" s="17"/>
      </tp>
      <tp t="e">
        <v>#N/A</v>
        <stp/>
        <stp>BDH|7196063044537237356</stp>
        <tr r="N39" s="29"/>
        <tr r="N16" s="29"/>
      </tp>
      <tp t="e">
        <v>#N/A</v>
        <stp/>
        <stp>BDH|3916135850375746599</stp>
        <tr r="O8" s="8"/>
      </tp>
      <tp t="e">
        <v>#N/A</v>
        <stp/>
        <stp>BDH|5096029817812636171</stp>
        <tr r="G29" s="22"/>
      </tp>
      <tp t="e">
        <v>#N/A</v>
        <stp/>
        <stp>BDH|2082794218373166044</stp>
        <tr r="K37" s="18"/>
      </tp>
      <tp t="e">
        <v>#N/A</v>
        <stp/>
        <stp>BDH|1765168197089100731</stp>
        <tr r="O17" s="30"/>
      </tp>
      <tp t="e">
        <v>#N/A</v>
        <stp/>
        <stp>BDH|6349176658146157399</stp>
        <tr r="X16" s="22"/>
      </tp>
      <tp t="e">
        <v>#N/A</v>
        <stp/>
        <stp>BDH|4743456473515680531</stp>
        <tr r="G79" s="24"/>
      </tp>
      <tp t="e">
        <v>#N/A</v>
        <stp/>
        <stp>BDH|6383502720311122765</stp>
        <tr r="AA7" s="34"/>
      </tp>
      <tp t="e">
        <v>#N/A</v>
        <stp/>
        <stp>BDH|6551140522143181162</stp>
        <tr r="L15" s="10"/>
      </tp>
      <tp t="e">
        <v>#N/A</v>
        <stp/>
        <stp>BDH|5345709821795437227</stp>
        <tr r="I38" s="26"/>
      </tp>
      <tp t="e">
        <v>#N/A</v>
        <stp/>
        <stp>BDH|4729392662803988501</stp>
        <tr r="E122" s="12"/>
      </tp>
      <tp t="e">
        <v>#N/A</v>
        <stp/>
        <stp>BDH|1323212307770503457</stp>
        <tr r="Z76" s="17"/>
      </tp>
      <tp t="e">
        <v>#N/A</v>
        <stp/>
        <stp>BDH|1811774139144376603</stp>
        <tr r="J7" s="6"/>
      </tp>
      <tp t="e">
        <v>#N/A</v>
        <stp/>
        <stp>BDH|6608187067362841440</stp>
        <tr r="Y25" s="34"/>
      </tp>
      <tp t="e">
        <v>#N/A</v>
        <stp/>
        <stp>BDH|9805232637129138680</stp>
        <tr r="N39" s="13"/>
        <tr r="L32" s="10"/>
      </tp>
      <tp t="e">
        <v>#N/A</v>
        <stp/>
        <stp>BDH|5376349025006353548</stp>
        <tr r="Y28" s="21"/>
      </tp>
      <tp t="e">
        <v>#N/A</v>
        <stp/>
        <stp>BDH|4701021701225189608</stp>
        <tr r="F10" s="12"/>
      </tp>
      <tp t="e">
        <v>#N/A</v>
        <stp/>
        <stp>BDH|1030599366982862726</stp>
        <tr r="D16" s="34"/>
      </tp>
      <tp t="e">
        <v>#N/A</v>
        <stp/>
        <stp>BDH|4473312832981189237</stp>
        <tr r="G89" s="18"/>
      </tp>
      <tp t="e">
        <v>#N/A</v>
        <stp/>
        <stp>BDH|3150483526205931735</stp>
        <tr r="E33" s="5"/>
      </tp>
      <tp t="e">
        <v>#N/A</v>
        <stp/>
        <stp>BDH|4056284489050457906</stp>
        <tr r="X137" s="18"/>
      </tp>
      <tp t="e">
        <v>#N/A</v>
        <stp/>
        <stp>BDH|5560700366171525237</stp>
        <tr r="G69" s="34"/>
      </tp>
      <tp t="e">
        <v>#N/A</v>
        <stp/>
        <stp>BDH|6645654618772645481</stp>
        <tr r="P100" s="18"/>
      </tp>
      <tp t="e">
        <v>#N/A</v>
        <stp/>
        <stp>BDH|3354496137664019786</stp>
        <tr r="X18" s="10"/>
      </tp>
      <tp t="e">
        <v>#N/A</v>
        <stp/>
        <stp>BDH|6002404070132474017</stp>
        <tr r="E104" s="12"/>
      </tp>
      <tp t="e">
        <v>#N/A</v>
        <stp/>
        <stp>BDH|5917234869680747612</stp>
        <tr r="X17" s="34"/>
      </tp>
      <tp t="e">
        <v>#N/A</v>
        <stp/>
        <stp>BDH|3601033614540502513</stp>
        <tr r="U63" s="34"/>
      </tp>
      <tp t="e">
        <v>#N/A</v>
        <stp/>
        <stp>BDH|7297676724892474605</stp>
        <tr r="Y73" s="24"/>
      </tp>
      <tp t="e">
        <v>#N/A</v>
        <stp/>
        <stp>BDH|9375021396913782453</stp>
        <tr r="V16" s="12"/>
      </tp>
      <tp t="e">
        <v>#N/A</v>
        <stp/>
        <stp>BDH|4125347606773433326</stp>
        <tr r="M14" s="13"/>
      </tp>
      <tp t="e">
        <v>#N/A</v>
        <stp/>
        <stp>BDH|8737408509843201894</stp>
        <tr r="X80" s="34"/>
      </tp>
      <tp t="e">
        <v>#N/A</v>
        <stp/>
        <stp>BDH|5996789812053559733</stp>
        <tr r="L6" s="20"/>
        <tr r="L116" s="18"/>
      </tp>
      <tp t="e">
        <v>#N/A</v>
        <stp/>
        <stp>BDH|3135047819985860012</stp>
        <tr r="K91" s="18"/>
      </tp>
      <tp t="e">
        <v>#N/A</v>
        <stp/>
        <stp>BDH|3831226464458810839</stp>
        <tr r="U61" s="21"/>
      </tp>
      <tp t="e">
        <v>#N/A</v>
        <stp/>
        <stp>BDH|5357638714487488258</stp>
        <tr r="V6" s="19"/>
        <tr r="V37" s="17"/>
        <tr r="V16" s="3"/>
      </tp>
      <tp t="e">
        <v>#N/A</v>
        <stp/>
        <stp>BDH|4730122662976048225</stp>
        <tr r="Y65" s="18"/>
      </tp>
      <tp t="e">
        <v>#N/A</v>
        <stp/>
        <stp>BDH|7320266297143756808</stp>
        <tr r="V24" s="18"/>
      </tp>
      <tp t="e">
        <v>#N/A</v>
        <stp/>
        <stp>BDH|9275109872390224877</stp>
        <tr r="D26" s="29"/>
      </tp>
      <tp t="e">
        <v>#N/A</v>
        <stp/>
        <stp>BDH|3413219899588951700</stp>
        <tr r="E91" s="12"/>
      </tp>
      <tp t="e">
        <v>#N/A</v>
        <stp/>
        <stp>BDH|7716164544187941298</stp>
        <tr r="N28" s="17"/>
      </tp>
      <tp t="e">
        <v>#N/A</v>
        <stp/>
        <stp>BDH|4969468810621836720</stp>
        <tr r="M13" s="23"/>
        <tr r="K57" s="11"/>
        <tr r="K38" s="4"/>
      </tp>
      <tp t="e">
        <v>#N/A</v>
        <stp/>
        <stp>BDH|7556157476901294719</stp>
        <tr r="E64" s="10"/>
      </tp>
      <tp t="e">
        <v>#N/A</v>
        <stp/>
        <stp>BDH|8000869684079207652</stp>
        <tr r="Y74" s="24"/>
      </tp>
      <tp t="e">
        <v>#N/A</v>
        <stp/>
        <stp>BDH|9129207951379157048</stp>
        <tr r="J69" s="10"/>
      </tp>
      <tp t="e">
        <v>#N/A</v>
        <stp/>
        <stp>BDH|1632138067597324647</stp>
        <tr r="I49" s="6"/>
      </tp>
      <tp t="e">
        <v>#N/A</v>
        <stp/>
        <stp>BDH|7077201820179490915</stp>
        <tr r="Y134" s="18"/>
      </tp>
      <tp t="e">
        <v>#N/A</v>
        <stp/>
        <stp>BDH|3900207369965743520</stp>
        <tr r="X64" s="13"/>
      </tp>
      <tp t="e">
        <v>#N/A</v>
        <stp/>
        <stp>BDH|2825105377835222687</stp>
        <tr r="Z59" s="18"/>
      </tp>
      <tp t="e">
        <v>#N/A</v>
        <stp/>
        <stp>BDH|4434582339887538250</stp>
        <tr r="T44" s="22"/>
      </tp>
      <tp t="e">
        <v>#N/A</v>
        <stp/>
        <stp>BDH|9511367430228780616</stp>
        <tr r="U44" s="11"/>
        <tr r="U53" s="10"/>
        <tr r="U16" s="7"/>
      </tp>
      <tp t="e">
        <v>#N/A</v>
        <stp/>
        <stp>BDH|1464360160791321249</stp>
        <tr r="G91" s="12"/>
      </tp>
      <tp t="e">
        <v>#N/A</v>
        <stp/>
        <stp>BDH|4474431971534196420</stp>
        <tr r="J40" s="29"/>
        <tr r="J17" s="29"/>
      </tp>
      <tp t="e">
        <v>#N/A</v>
        <stp/>
        <stp>BDH|5647991069189689451</stp>
        <tr r="H7" s="17"/>
      </tp>
      <tp t="e">
        <v>#N/A</v>
        <stp/>
        <stp>BDH|4861643979297236529</stp>
        <tr r="Z18" s="26"/>
      </tp>
      <tp t="e">
        <v>#N/A</v>
        <stp/>
        <stp>BDH|4713504993208439759</stp>
        <tr r="I8" s="28"/>
      </tp>
      <tp t="e">
        <v>#N/A</v>
        <stp/>
        <stp>BDH|4912051838538406858</stp>
        <tr r="Y43" s="4"/>
      </tp>
      <tp t="e">
        <v>#N/A</v>
        <stp/>
        <stp>BDH|1106634757033418648</stp>
        <tr r="G46" s="11"/>
        <tr r="G55" s="10"/>
        <tr r="G7" s="7"/>
        <tr r="I12" s="3"/>
      </tp>
      <tp t="e">
        <v>#N/A</v>
        <stp/>
        <stp>BDH|7602265348625892356</stp>
        <tr r="E47" s="17"/>
      </tp>
      <tp t="e">
        <v>#N/A</v>
        <stp/>
        <stp>BDH|5562048863317538322</stp>
        <tr r="P63" s="13"/>
      </tp>
      <tp t="e">
        <v>#N/A</v>
        <stp/>
        <stp>BDH|3334902935848365603</stp>
        <tr r="O56" s="17"/>
      </tp>
      <tp t="e">
        <v>#N/A</v>
        <stp/>
        <stp>BDH|4719155741057607108</stp>
        <tr r="F97" s="18"/>
      </tp>
      <tp t="e">
        <v>#N/A</v>
        <stp/>
        <stp>BDH|5833274569881137720</stp>
        <tr r="E182" s="18"/>
      </tp>
      <tp t="e">
        <v>#N/A</v>
        <stp/>
        <stp>BDH|2173777170473186623</stp>
        <tr r="G92" s="17"/>
      </tp>
      <tp t="e">
        <v>#N/A</v>
        <stp/>
        <stp>BDH|5051558858707037586</stp>
        <tr r="F38" s="34"/>
      </tp>
      <tp t="e">
        <v>#N/A</v>
        <stp/>
        <stp>BDH|4662444063903526217</stp>
        <tr r="T58" s="17"/>
      </tp>
      <tp t="e">
        <v>#N/A</v>
        <stp/>
        <stp>BDH|4397618094834761841</stp>
        <tr r="I50" s="12"/>
      </tp>
      <tp t="e">
        <v>#N/A</v>
        <stp/>
        <stp>BDH|2233628407281329215</stp>
        <tr r="S92" s="17"/>
      </tp>
      <tp t="e">
        <v>#N/A</v>
        <stp/>
        <stp>BDH|78209681056793639</stp>
        <tr r="K107" s="18"/>
      </tp>
      <tp t="e">
        <v>#N/A</v>
        <stp/>
        <stp>BDH|45544911098678606</stp>
        <tr r="W69" s="17"/>
      </tp>
      <tp t="e">
        <v>#N/A</v>
        <stp/>
        <stp>BDH|10808146150963650</stp>
        <tr r="Y9" s="27"/>
      </tp>
      <tp t="e">
        <v>#N/A</v>
        <stp/>
        <stp>BDH|6877545560467741213</stp>
        <tr r="W109" s="12"/>
      </tp>
      <tp t="e">
        <v>#N/A</v>
        <stp/>
        <stp>BDH|8693754538808177403</stp>
        <tr r="Q94" s="24"/>
      </tp>
      <tp t="e">
        <v>#N/A</v>
        <stp/>
        <stp>BDH|1211286276451704512</stp>
        <tr r="E20" s="28"/>
        <tr r="E17" s="17"/>
      </tp>
      <tp t="e">
        <v>#N/A</v>
        <stp/>
        <stp>BDH|1134251030519946972</stp>
        <tr r="AA57" s="24"/>
      </tp>
      <tp t="e">
        <v>#N/A</v>
        <stp/>
        <stp>BDH|8391110161357188883</stp>
        <tr r="Q15" s="26"/>
      </tp>
      <tp t="e">
        <v>#N/A</v>
        <stp/>
        <stp>BDH|5418532011880489182</stp>
        <tr r="N26" s="26"/>
      </tp>
      <tp t="e">
        <v>#N/A</v>
        <stp/>
        <stp>BDH|4800211411024722353</stp>
        <tr r="S31" s="17"/>
      </tp>
      <tp t="e">
        <v>#N/A</v>
        <stp/>
        <stp>BDH|2382513875083837358</stp>
        <tr r="X23" s="13"/>
      </tp>
      <tp t="e">
        <v>#N/A</v>
        <stp/>
        <stp>BDH|7793508572054693198</stp>
        <tr r="P61" s="21"/>
      </tp>
      <tp t="e">
        <v>#N/A</v>
        <stp/>
        <stp>BDH|4415651963672816607</stp>
        <tr r="J110" s="18"/>
      </tp>
      <tp t="e">
        <v>#N/A</v>
        <stp/>
        <stp>BDH|2514900489826536539</stp>
        <tr r="Q12" s="24"/>
      </tp>
      <tp t="e">
        <v>#N/A</v>
        <stp/>
        <stp>BDH|1892895145669808469</stp>
        <tr r="J18" s="26"/>
      </tp>
      <tp t="e">
        <v>#N/A</v>
        <stp/>
        <stp>BDH|1453633729720454506</stp>
        <tr r="I20" s="18"/>
      </tp>
      <tp t="e">
        <v>#N/A</v>
        <stp/>
        <stp>BDH|2262023348973294507</stp>
        <tr r="C16" s="12"/>
      </tp>
      <tp t="e">
        <v>#N/A</v>
        <stp/>
        <stp>BDH|9036328679889330422</stp>
        <tr r="V141" s="18"/>
      </tp>
      <tp t="e">
        <v>#N/A</v>
        <stp/>
        <stp>BDH|8874540480244122172</stp>
        <tr r="L12" s="11"/>
      </tp>
      <tp t="e">
        <v>#N/A</v>
        <stp/>
        <stp>BDH|2649435571226709796</stp>
        <tr r="Z81" s="12"/>
      </tp>
      <tp t="e">
        <v>#N/A</v>
        <stp/>
        <stp>BDH|9217128103208843018</stp>
        <tr r="E14" s="27"/>
        <tr r="E28" s="25"/>
      </tp>
      <tp t="e">
        <v>#N/A</v>
        <stp/>
        <stp>BDH|3538135999978506308</stp>
        <tr r="S44" s="6"/>
      </tp>
      <tp t="e">
        <v>#N/A</v>
        <stp/>
        <stp>BDH|2118288822814712667</stp>
        <tr r="I40" s="22"/>
      </tp>
      <tp t="e">
        <v>#N/A</v>
        <stp/>
        <stp>BDH|3278491867056088769</stp>
        <tr r="T32" s="18"/>
      </tp>
      <tp t="e">
        <v>#N/A</v>
        <stp/>
        <stp>BDH|2352279895948860134</stp>
        <tr r="E135" s="18"/>
      </tp>
      <tp t="e">
        <v>#N/A</v>
        <stp/>
        <stp>BDH|3280306436812606180</stp>
        <tr r="L24" s="17"/>
      </tp>
      <tp t="e">
        <v>#N/A</v>
        <stp/>
        <stp>BDH|3812689519885420174</stp>
        <tr r="Z194" s="18"/>
      </tp>
      <tp t="e">
        <v>#N/A</v>
        <stp/>
        <stp>BDH|6127299557323394268</stp>
        <tr r="U39" s="13"/>
        <tr r="S32" s="10"/>
      </tp>
      <tp t="e">
        <v>#N/A</v>
        <stp/>
        <stp>BDH|6938779432637610505</stp>
        <tr r="G65" s="17"/>
      </tp>
      <tp t="e">
        <v>#N/A</v>
        <stp/>
        <stp>BDH|5670088715595516143</stp>
        <tr r="X102" s="18"/>
      </tp>
      <tp t="e">
        <v>#N/A</v>
        <stp/>
        <stp>BDH|6087138823983250687</stp>
        <tr r="I56" s="34"/>
      </tp>
      <tp t="e">
        <v>#N/A</v>
        <stp/>
        <stp>BDH|6428496039885601487</stp>
        <tr r="T100" s="12"/>
      </tp>
      <tp t="e">
        <v>#N/A</v>
        <stp/>
        <stp>BDH|3431462619272004419</stp>
        <tr r="E101" s="18"/>
      </tp>
      <tp t="e">
        <v>#N/A</v>
        <stp/>
        <stp>BDH|9833753893835555210</stp>
        <tr r="K84" s="24"/>
      </tp>
      <tp t="e">
        <v>#N/A</v>
        <stp/>
        <stp>BDH|7137933115856475993</stp>
        <tr r="U35" s="25"/>
      </tp>
      <tp t="e">
        <v>#N/A</v>
        <stp/>
        <stp>BDH|4928378067852788345</stp>
        <tr r="H9" s="29"/>
      </tp>
      <tp t="e">
        <v>#N/A</v>
        <stp/>
        <stp>BDH|7045306899554201918</stp>
        <tr r="S25" s="29"/>
        <tr r="S19" s="29"/>
        <tr r="S10" s="29"/>
        <tr r="Q6" s="9"/>
        <tr r="S12" s="8"/>
        <tr r="Q6" s="5"/>
        <tr r="R6" s="2"/>
      </tp>
      <tp t="e">
        <v>#N/A</v>
        <stp/>
        <stp>BDH|4336782417522683002</stp>
        <tr r="M131" s="18"/>
      </tp>
      <tp t="e">
        <v>#N/A</v>
        <stp/>
        <stp>BDH|2130759810200936475</stp>
        <tr r="D11" s="29"/>
      </tp>
      <tp t="e">
        <v>#N/A</v>
        <stp/>
        <stp>BDH|7027051242072558188</stp>
        <tr r="H54" s="17"/>
        <tr r="H17" s="3"/>
      </tp>
      <tp t="e">
        <v>#N/A</v>
        <stp/>
        <stp>BDH|3833221030560173201</stp>
        <tr r="X90" s="12"/>
      </tp>
      <tp t="e">
        <v>#N/A</v>
        <stp/>
        <stp>BDH|2671092160630152457</stp>
        <tr r="AA40" s="17"/>
      </tp>
      <tp t="e">
        <v>#N/A</v>
        <stp/>
        <stp>BDH|2595920294984937612</stp>
        <tr r="T23" s="24"/>
      </tp>
      <tp t="e">
        <v>#N/A</v>
        <stp/>
        <stp>BDH|2123771084459940403</stp>
        <tr r="S28" s="34"/>
      </tp>
      <tp t="e">
        <v>#N/A</v>
        <stp/>
        <stp>BDH|3452833631148927045</stp>
        <tr r="AA49" s="24"/>
      </tp>
      <tp t="e">
        <v>#N/A</v>
        <stp/>
        <stp>BDH|6521078580647892915</stp>
        <tr r="W10" s="14"/>
      </tp>
      <tp t="e">
        <v>#N/A</v>
        <stp/>
        <stp>BDH|3560916868268155467</stp>
        <tr r="K32" s="22"/>
      </tp>
      <tp t="e">
        <v>#N/A</v>
        <stp/>
        <stp>BDH|9377473223999467688</stp>
        <tr r="Z74" s="17"/>
      </tp>
      <tp t="e">
        <v>#N/A</v>
        <stp/>
        <stp>BDH|4953773351956356078</stp>
        <tr r="AA106" s="12"/>
      </tp>
      <tp t="e">
        <v>#N/A</v>
        <stp/>
        <stp>BDH|7990101448424285686</stp>
        <tr r="V65" s="17"/>
      </tp>
      <tp t="e">
        <v>#N/A</v>
        <stp/>
        <stp>BDH|7487997996565996291</stp>
        <tr r="Q11" s="24"/>
      </tp>
      <tp t="e">
        <v>#N/A</v>
        <stp/>
        <stp>BDH|2679001263347679387</stp>
        <tr r="U21" s="34"/>
      </tp>
      <tp t="e">
        <v>#N/A</v>
        <stp/>
        <stp>BDH|9576148159658552569</stp>
        <tr r="G154" s="18"/>
      </tp>
      <tp t="e">
        <v>#N/A</v>
        <stp/>
        <stp>BDH|8957142456014961894</stp>
        <tr r="E47" s="6"/>
      </tp>
      <tp t="e">
        <v>#N/A</v>
        <stp/>
        <stp>BDH|1709023388620691909</stp>
        <tr r="U10" s="26"/>
      </tp>
      <tp t="e">
        <v>#N/A</v>
        <stp/>
        <stp>BDH|7429510629155361540</stp>
        <tr r="K28" s="6"/>
      </tp>
      <tp t="e">
        <v>#N/A</v>
        <stp/>
        <stp>BDH|1827159316881458042</stp>
        <tr r="H48" s="6"/>
      </tp>
      <tp t="e">
        <v>#N/A</v>
        <stp/>
        <stp>BDH|6872820225455257962</stp>
        <tr r="H113" s="18"/>
      </tp>
      <tp t="e">
        <v>#N/A</v>
        <stp/>
        <stp>BDH|9832443386523411650</stp>
        <tr r="R30" s="29"/>
        <tr r="R8" s="29"/>
      </tp>
      <tp t="e">
        <v>#N/A</v>
        <stp/>
        <stp>BDH|9155526219095833894</stp>
        <tr r="W177" s="18"/>
      </tp>
      <tp t="e">
        <v>#N/A</v>
        <stp/>
        <stp>BDH|6437149896936453892</stp>
        <tr r="L39" s="6"/>
      </tp>
      <tp t="e">
        <v>#N/A</v>
        <stp/>
        <stp>BDH|3875251167065516241</stp>
        <tr r="E52" s="13"/>
      </tp>
      <tp t="e">
        <v>#N/A</v>
        <stp/>
        <stp>BDH|9926895006051932042</stp>
        <tr r="D12" s="18"/>
      </tp>
      <tp t="e">
        <v>#N/A</v>
        <stp/>
        <stp>BDH|2606334306485816407</stp>
        <tr r="Z12" s="26"/>
      </tp>
      <tp t="e">
        <v>#N/A</v>
        <stp/>
        <stp>BDH|1128903863366191882</stp>
        <tr r="S193" s="18"/>
      </tp>
      <tp t="e">
        <v>#N/A</v>
        <stp/>
        <stp>BDH|1587225160161921457</stp>
        <tr r="Y137" s="18"/>
      </tp>
      <tp t="e">
        <v>#N/A</v>
        <stp/>
        <stp>BDH|4847105900917483279</stp>
        <tr r="K51" s="12"/>
      </tp>
      <tp t="e">
        <v>#N/A</v>
        <stp/>
        <stp>BDH|1199996280479627950</stp>
        <tr r="I40" s="17"/>
      </tp>
      <tp t="e">
        <v>#N/A</v>
        <stp/>
        <stp>BDH|9388435527108569792</stp>
        <tr r="D90" s="18"/>
      </tp>
      <tp t="e">
        <v>#N/A</v>
        <stp/>
        <stp>BDH|3855067052983208553</stp>
        <tr r="Z87" s="12"/>
      </tp>
      <tp t="e">
        <v>#N/A</v>
        <stp/>
        <stp>BDH|5763806769078593301</stp>
        <tr r="H118" s="12"/>
      </tp>
      <tp t="e">
        <v>#N/A</v>
        <stp/>
        <stp>BDH|9282224040739900623</stp>
        <tr r="M60" s="21"/>
        <tr r="K54" s="11"/>
      </tp>
      <tp t="e">
        <v>#N/A</v>
        <stp/>
        <stp>BDH|7190286522703717471</stp>
        <tr r="X65" s="18"/>
      </tp>
      <tp t="e">
        <v>#N/A</v>
        <stp/>
        <stp>BDH|9843349931631357856</stp>
        <tr r="D17" s="20"/>
      </tp>
      <tp t="e">
        <v>#N/A</v>
        <stp/>
        <stp>BDH|5263726959970497768</stp>
        <tr r="S44" s="34"/>
      </tp>
      <tp t="e">
        <v>#N/A</v>
        <stp/>
        <stp>BDH|5294698901954973784</stp>
        <tr r="P22" s="30"/>
        <tr r="P24" s="23"/>
      </tp>
      <tp t="e">
        <v>#N/A</v>
        <stp/>
        <stp>BDH|9651015169746647939</stp>
        <tr r="V161" s="18"/>
      </tp>
      <tp t="e">
        <v>#N/A</v>
        <stp/>
        <stp>BDH|3567009938611635100</stp>
        <tr r="J42" s="24"/>
      </tp>
      <tp t="e">
        <v>#N/A</v>
        <stp/>
        <stp>BDH|7766110235701195495</stp>
        <tr r="P78" s="17"/>
      </tp>
      <tp t="e">
        <v>#N/A</v>
        <stp/>
        <stp>BDH|8959942417981258136</stp>
        <tr r="M26" s="18"/>
      </tp>
      <tp t="e">
        <v>#N/A</v>
        <stp/>
        <stp>BDH|7219522688549781343</stp>
        <tr r="Z8" s="22"/>
      </tp>
      <tp t="e">
        <v>#N/A</v>
        <stp/>
        <stp>BDH|5753589439097508480</stp>
        <tr r="G74" s="12"/>
      </tp>
      <tp t="e">
        <v>#N/A</v>
        <stp/>
        <stp>BDH|8178955151716616288</stp>
        <tr r="X43" s="6"/>
      </tp>
      <tp t="e">
        <v>#N/A</v>
        <stp/>
        <stp>BDH|4171299353235789678</stp>
        <tr r="Z206" s="18"/>
      </tp>
      <tp t="e">
        <v>#N/A</v>
        <stp/>
        <stp>BDH|1919208529546802730</stp>
        <tr r="C66" s="13"/>
      </tp>
      <tp t="e">
        <v>#N/A</v>
        <stp/>
        <stp>BDH|9491170653939874438</stp>
        <tr r="U11" s="6"/>
      </tp>
      <tp t="e">
        <v>#N/A</v>
        <stp/>
        <stp>BDH|1078584763346071408</stp>
        <tr r="K6" s="8"/>
        <tr r="I51" s="6"/>
      </tp>
      <tp t="e">
        <v>#N/A</v>
        <stp/>
        <stp>BDH|7794683443372127765</stp>
        <tr r="U27" s="17"/>
      </tp>
      <tp t="e">
        <v>#N/A</v>
        <stp/>
        <stp>BDH|6202967188263064443</stp>
        <tr r="V131" s="18"/>
      </tp>
      <tp t="e">
        <v>#N/A</v>
        <stp/>
        <stp>BDH|5874059349974433584</stp>
        <tr r="L21" s="17"/>
      </tp>
      <tp t="e">
        <v>#N/A</v>
        <stp/>
        <stp>BDH|9575917853610664590</stp>
        <tr r="M15" s="13"/>
      </tp>
      <tp t="e">
        <v>#N/A</v>
        <stp/>
        <stp>BDH|3412172858887302008</stp>
        <tr r="S25" s="24"/>
      </tp>
      <tp t="e">
        <v>#N/A</v>
        <stp/>
        <stp>BDH|3390672402416894365</stp>
        <tr r="Q14" s="22"/>
      </tp>
      <tp t="e">
        <v>#N/A</v>
        <stp/>
        <stp>BDH|3328291706524525517</stp>
        <tr r="T186" s="18"/>
      </tp>
      <tp t="e">
        <v>#N/A</v>
        <stp/>
        <stp>BDH|3065765568793028164</stp>
        <tr r="X52" s="12"/>
      </tp>
      <tp t="e">
        <v>#N/A</v>
        <stp/>
        <stp>BDH|3730443646015531686</stp>
        <tr r="U25" s="27"/>
      </tp>
      <tp t="e">
        <v>#N/A</v>
        <stp/>
        <stp>BDH|4766892817464508945</stp>
        <tr r="R79" s="17"/>
        <tr r="O9" s="9"/>
        <tr r="O9" s="5"/>
      </tp>
      <tp t="e">
        <v>#N/A</v>
        <stp/>
        <stp>BDH|3849700441678670870</stp>
        <tr r="Z92" s="12"/>
      </tp>
      <tp t="e">
        <v>#N/A</v>
        <stp/>
        <stp>BDH|3921537632142239722</stp>
        <tr r="O23" s="13"/>
      </tp>
      <tp t="e">
        <v>#N/A</v>
        <stp/>
        <stp>BDH|2984625503882428643</stp>
        <tr r="E17" s="6"/>
      </tp>
      <tp t="e">
        <v>#N/A</v>
        <stp/>
        <stp>BDH|8190114242879832421</stp>
        <tr r="M25" s="17"/>
      </tp>
      <tp t="e">
        <v>#N/A</v>
        <stp/>
        <stp>BDH|2065735979197554570</stp>
        <tr r="S8" s="4"/>
      </tp>
      <tp t="e">
        <v>#N/A</v>
        <stp/>
        <stp>BDH|4959210816513272440</stp>
        <tr r="P17" s="34"/>
      </tp>
      <tp t="e">
        <v>#N/A</v>
        <stp/>
        <stp>BDH|7012031812681100781</stp>
        <tr r="Y35" s="14"/>
      </tp>
      <tp t="e">
        <v>#N/A</v>
        <stp/>
        <stp>BDH|9373586597265002044</stp>
        <tr r="H11" s="24"/>
      </tp>
      <tp t="e">
        <v>#N/A</v>
        <stp/>
        <stp>BDH|1892548646102439264</stp>
        <tr r="N78" s="34"/>
      </tp>
      <tp t="e">
        <v>#N/A</v>
        <stp/>
        <stp>BDH|2401184705292451154</stp>
        <tr r="R17" s="24"/>
      </tp>
      <tp t="e">
        <v>#N/A</v>
        <stp/>
        <stp>BDH|5558897781767033251</stp>
        <tr r="C131" s="18"/>
      </tp>
      <tp t="e">
        <v>#N/A</v>
        <stp/>
        <stp>BDH|4041518765965870244</stp>
        <tr r="M31" s="11"/>
        <tr r="M40" s="10"/>
      </tp>
      <tp t="e">
        <v>#N/A</v>
        <stp/>
        <stp>BDH|5447655341074073380</stp>
        <tr r="X43" s="22"/>
      </tp>
      <tp t="e">
        <v>#N/A</v>
        <stp/>
        <stp>BDH|4057485562867107131</stp>
        <tr r="J70" s="12"/>
      </tp>
      <tp t="e">
        <v>#N/A</v>
        <stp/>
        <stp>BDH|5164181566364484635</stp>
        <tr r="Q62" s="18"/>
      </tp>
      <tp t="e">
        <v>#N/A</v>
        <stp/>
        <stp>BDH|3992806314332150841</stp>
        <tr r="Q7" s="21"/>
      </tp>
      <tp t="e">
        <v>#N/A</v>
        <stp/>
        <stp>BDH|8853621565509594120</stp>
        <tr r="G100" s="12"/>
      </tp>
      <tp t="e">
        <v>#N/A</v>
        <stp/>
        <stp>BDH|6041797113762266209</stp>
        <tr r="O202" s="18"/>
      </tp>
      <tp t="e">
        <v>#N/A</v>
        <stp/>
        <stp>BDH|2295385889439901023</stp>
        <tr r="W43" s="13"/>
        <tr r="U35" s="11"/>
        <tr r="U44" s="10"/>
        <tr r="U52" s="4"/>
        <tr r="W8" s="3"/>
      </tp>
      <tp t="e">
        <v>#N/A</v>
        <stp/>
        <stp>BDH|3229295390319363109</stp>
        <tr r="T42" s="18"/>
      </tp>
      <tp t="e">
        <v>#N/A</v>
        <stp/>
        <stp>BDH|1705360932167391683</stp>
        <tr r="Q38" s="26"/>
      </tp>
      <tp t="e">
        <v>#N/A</v>
        <stp/>
        <stp>BDH|7579658889729354027</stp>
        <tr r="C26" s="34"/>
      </tp>
      <tp t="e">
        <v>#N/A</v>
        <stp/>
        <stp>BDH|3127281465447197054</stp>
        <tr r="E21" s="3"/>
      </tp>
      <tp t="e">
        <v>#N/A</v>
        <stp/>
        <stp>BDH|7189440187729328297</stp>
        <tr r="E80" s="17"/>
        <tr r="E19" s="3"/>
      </tp>
      <tp t="e">
        <v>#N/A</v>
        <stp/>
        <stp>BDH|3858408493139253713</stp>
        <tr r="I21" s="30"/>
      </tp>
      <tp t="e">
        <v>#N/A</v>
        <stp/>
        <stp>BDH|3794892616413249921</stp>
        <tr r="P32" s="9"/>
      </tp>
      <tp t="e">
        <v>#N/A</v>
        <stp/>
        <stp>BDH|6359780308897229695</stp>
        <tr r="P28" s="24"/>
      </tp>
      <tp t="e">
        <v>#N/A</v>
        <stp/>
        <stp>BDH|9300937702770886025</stp>
        <tr r="P37" s="25"/>
        <tr r="P59" s="21"/>
        <tr r="N53" s="11"/>
        <tr r="N31" s="4"/>
      </tp>
      <tp t="e">
        <v>#N/A</v>
        <stp/>
        <stp>BDH|8525661796430533789</stp>
        <tr r="J31" s="21"/>
      </tp>
      <tp t="e">
        <v>#N/A</v>
        <stp/>
        <stp>BDH|6835058077397648640</stp>
        <tr r="C206" s="18"/>
      </tp>
      <tp t="e">
        <v>#N/A</v>
        <stp/>
        <stp>BDH|7508752220402038089</stp>
        <tr r="G57" s="6"/>
      </tp>
      <tp t="e">
        <v>#N/A</v>
        <stp/>
        <stp>BDH|7030931318879428674</stp>
        <tr r="O36" s="17"/>
      </tp>
      <tp t="e">
        <v>#N/A</v>
        <stp/>
        <stp>BDH|1015998709020100896</stp>
        <tr r="U27" s="13"/>
      </tp>
      <tp t="e">
        <v>#N/A</v>
        <stp/>
        <stp>BDH|3887366547003242735</stp>
        <tr r="C55" s="21"/>
      </tp>
      <tp t="e">
        <v>#N/A</v>
        <stp/>
        <stp>BDH|9129119106430898869</stp>
        <tr r="L16" s="11"/>
      </tp>
      <tp t="e">
        <v>#N/A</v>
        <stp/>
        <stp>BDH|3165174468642429629</stp>
        <tr r="N83" s="18"/>
      </tp>
      <tp t="e">
        <v>#N/A</v>
        <stp/>
        <stp>BDH|8273482613999361425</stp>
        <tr r="G18" s="22"/>
      </tp>
      <tp t="e">
        <v>#N/A</v>
        <stp/>
        <stp>BDH|1998371546614135212</stp>
        <tr r="N133" s="18"/>
      </tp>
      <tp t="e">
        <v>#N/A</v>
        <stp/>
        <stp>BDH|6575243449935008502</stp>
        <tr r="R21" s="22"/>
      </tp>
      <tp t="e">
        <v>#N/A</v>
        <stp/>
        <stp>BDH|7848924645278752208</stp>
        <tr r="S105" s="12"/>
      </tp>
      <tp t="e">
        <v>#N/A</v>
        <stp/>
        <stp>BDH|5379799736501411004</stp>
        <tr r="J25" s="21"/>
      </tp>
      <tp t="e">
        <v>#N/A</v>
        <stp/>
        <stp>BDH|1888246362845541023</stp>
        <tr r="J31" s="22"/>
      </tp>
      <tp t="e">
        <v>#N/A</v>
        <stp/>
        <stp>BDH|5658343328355640150</stp>
        <tr r="S69" s="18"/>
      </tp>
      <tp t="e">
        <v>#N/A</v>
        <stp/>
        <stp>BDH|2506676829413400563</stp>
        <tr r="V32" s="5"/>
      </tp>
      <tp t="e">
        <v>#N/A</v>
        <stp/>
        <stp>BDH|6089836834014996977</stp>
        <tr r="M7" s="17"/>
      </tp>
      <tp t="e">
        <v>#N/A</v>
        <stp/>
        <stp>BDH|4364005356265466484</stp>
        <tr r="S46" s="12"/>
      </tp>
      <tp t="e">
        <v>#N/A</v>
        <stp/>
        <stp>BDH|7028063576601031197</stp>
        <tr r="U15" s="13"/>
      </tp>
      <tp t="e">
        <v>#N/A</v>
        <stp/>
        <stp>BDH|5765411180758719182</stp>
        <tr r="M34" s="12"/>
      </tp>
      <tp t="e">
        <v>#N/A</v>
        <stp/>
        <stp>BDH|6920228764802471020</stp>
        <tr r="T136" s="18"/>
      </tp>
      <tp t="e">
        <v>#N/A</v>
        <stp/>
        <stp>BDH|5949127663637343524</stp>
        <tr r="J14" s="23"/>
      </tp>
      <tp t="e">
        <v>#N/A</v>
        <stp/>
        <stp>BDH|3778186311426553525</stp>
        <tr r="W33" s="5"/>
      </tp>
      <tp t="e">
        <v>#N/A</v>
        <stp/>
        <stp>BDH|6329603095210958962</stp>
        <tr r="L34" s="12"/>
      </tp>
      <tp t="e">
        <v>#N/A</v>
        <stp/>
        <stp>BDH|2884656347445492577</stp>
        <tr r="R30" s="9"/>
        <tr r="R30" s="5"/>
      </tp>
      <tp t="e">
        <v>#N/A</v>
        <stp/>
        <stp>BDH|2366385511393229316</stp>
        <tr r="O50" s="13"/>
      </tp>
      <tp t="e">
        <v>#N/A</v>
        <stp/>
        <stp>BDH|9064338541608282694</stp>
        <tr r="V84" s="18"/>
      </tp>
      <tp t="e">
        <v>#N/A</v>
        <stp/>
        <stp>BDH|7943605381120834994</stp>
        <tr r="C18" s="17"/>
      </tp>
      <tp t="e">
        <v>#N/A</v>
        <stp/>
        <stp>BDH|5120487373552357402</stp>
        <tr r="R128" s="18"/>
      </tp>
      <tp t="e">
        <v>#N/A</v>
        <stp/>
        <stp>BDH|6054298642102781253</stp>
        <tr r="Z44" s="21"/>
      </tp>
      <tp t="e">
        <v>#N/A</v>
        <stp/>
        <stp>BDH|8607384787683755070</stp>
        <tr r="V51" s="17"/>
      </tp>
      <tp t="e">
        <v>#N/A</v>
        <stp/>
        <stp>BDH|5868706158550922700</stp>
        <tr r="Q11" s="29"/>
      </tp>
      <tp t="e">
        <v>#N/A</v>
        <stp/>
        <stp>BDH|4748383003590418714</stp>
        <tr r="C100" s="18"/>
      </tp>
      <tp t="e">
        <v>#N/A</v>
        <stp/>
        <stp>BDH|8397967032895619781</stp>
        <tr r="P38" s="25"/>
      </tp>
      <tp t="e">
        <v>#N/A</v>
        <stp/>
        <stp>BDH|7846085760751024092</stp>
        <tr r="S86" s="17"/>
      </tp>
      <tp t="e">
        <v>#N/A</v>
        <stp/>
        <stp>BDH|4650690711314104760</stp>
        <tr r="F94" s="12"/>
      </tp>
      <tp t="e">
        <v>#N/A</v>
        <stp/>
        <stp>BDH|7429326199078170575</stp>
        <tr r="T25" s="11"/>
        <tr r="T34" s="10"/>
      </tp>
      <tp t="e">
        <v>#N/A</v>
        <stp/>
        <stp>BDH|3598694118806823251</stp>
        <tr r="J8" s="12"/>
      </tp>
      <tp t="e">
        <v>#N/A</v>
        <stp/>
        <stp>BDH|7772111580559982762</stp>
        <tr r="R86" s="24"/>
      </tp>
      <tp t="e">
        <v>#N/A</v>
        <stp/>
        <stp>BDH|4477715382888821361</stp>
        <tr r="L44" s="22"/>
      </tp>
      <tp t="e">
        <v>#N/A</v>
        <stp/>
        <stp>BDH|6462156608877794079</stp>
        <tr r="D68" s="13"/>
      </tp>
      <tp t="e">
        <v>#N/A</v>
        <stp/>
        <stp>BDH|2772573148513033018</stp>
        <tr r="J78" s="18"/>
      </tp>
      <tp t="e">
        <v>#N/A</v>
        <stp/>
        <stp>BDH|6509918218157713922</stp>
        <tr r="R31" s="29"/>
      </tp>
      <tp t="e">
        <v>#N/A</v>
        <stp/>
        <stp>BDH|4880321778211271191</stp>
        <tr r="J53" s="24"/>
      </tp>
      <tp t="e">
        <v>#N/A</v>
        <stp/>
        <stp>BDH|6191102028752536752</stp>
        <tr r="X78" s="34"/>
      </tp>
      <tp t="e">
        <v>#N/A</v>
        <stp/>
        <stp>BDH|7352792152004121108</stp>
        <tr r="U33" s="5"/>
      </tp>
      <tp t="e">
        <v>#N/A</v>
        <stp/>
        <stp>BDH|6998694059014844184</stp>
        <tr r="Z21" s="12"/>
      </tp>
      <tp t="e">
        <v>#N/A</v>
        <stp/>
        <stp>BDH|7044098306097346055</stp>
        <tr r="Y22" s="21"/>
      </tp>
      <tp t="e">
        <v>#N/A</v>
        <stp/>
        <stp>BDH|8895314486182293148</stp>
        <tr r="X31" s="12"/>
      </tp>
      <tp t="e">
        <v>#N/A</v>
        <stp/>
        <stp>BDH|9098241116463925923</stp>
        <tr r="Y17" s="14"/>
      </tp>
      <tp t="e">
        <v>#N/A</v>
        <stp/>
        <stp>BDH|5479655915770506289</stp>
        <tr r="R15" s="13"/>
      </tp>
      <tp t="e">
        <v>#N/A</v>
        <stp/>
        <stp>BDH|3864542872733370248</stp>
        <tr r="K12" s="10"/>
      </tp>
      <tp t="e">
        <v>#N/A</v>
        <stp/>
        <stp>BDH|6769173659931325332</stp>
        <tr r="Z9" s="30"/>
      </tp>
      <tp t="e">
        <v>#N/A</v>
        <stp/>
        <stp>BDH|2073457486187954938</stp>
        <tr r="U10" s="17"/>
      </tp>
      <tp t="e">
        <v>#N/A</v>
        <stp/>
        <stp>BDH|9053881600373629279</stp>
        <tr r="H69" s="24"/>
      </tp>
      <tp t="e">
        <v>#N/A</v>
        <stp/>
        <stp>BDH|1888171727160200237</stp>
        <tr r="G184" s="18"/>
      </tp>
      <tp t="e">
        <v>#N/A</v>
        <stp/>
        <stp>BDH|9666981734863122023</stp>
        <tr r="V79" s="17"/>
        <tr r="S9" s="9"/>
        <tr r="S9" s="5"/>
      </tp>
      <tp t="e">
        <v>#N/A</v>
        <stp/>
        <stp>BDH|3598128227833966301</stp>
        <tr r="J44" s="24"/>
      </tp>
      <tp t="e">
        <v>#N/A</v>
        <stp/>
        <stp>BDH|6925292756554113595</stp>
        <tr r="I13" s="18"/>
      </tp>
      <tp t="e">
        <v>#N/A</v>
        <stp/>
        <stp>BDH|4846037370823322068</stp>
        <tr r="U193" s="18"/>
      </tp>
      <tp t="e">
        <v>#N/A</v>
        <stp/>
        <stp>BDH|6951066323505670140</stp>
        <tr r="F42" s="4"/>
      </tp>
      <tp t="e">
        <v>#N/A</v>
        <stp/>
        <stp>BDH|2968587408624621315</stp>
        <tr r="G41" s="12"/>
      </tp>
      <tp t="e">
        <v>#N/A</v>
        <stp/>
        <stp>BDH|5124056049073003237</stp>
        <tr r="H24" s="6"/>
      </tp>
      <tp t="e">
        <v>#N/A</v>
        <stp/>
        <stp>BDH|3095375704097489797</stp>
        <tr r="N8" s="20"/>
        <tr r="N118" s="18"/>
      </tp>
      <tp t="e">
        <v>#N/A</v>
        <stp/>
        <stp>BDH|1267215356166961027</stp>
        <tr r="M18" s="12"/>
      </tp>
      <tp t="e">
        <v>#N/A</v>
        <stp/>
        <stp>BDH|4924062073490354312</stp>
        <tr r="V13" s="30"/>
      </tp>
      <tp t="e">
        <v>#N/A</v>
        <stp/>
        <stp>BDH|9362743468011176900</stp>
        <tr r="C20" s="28"/>
        <tr r="C17" s="17"/>
      </tp>
      <tp t="e">
        <v>#N/A</v>
        <stp/>
        <stp>BDH|3540486634530552427</stp>
        <tr r="O73" s="17"/>
      </tp>
      <tp t="e">
        <v>#N/A</v>
        <stp/>
        <stp>BDH|8971620792795502224</stp>
        <tr r="E21" s="4"/>
      </tp>
      <tp t="e">
        <v>#N/A</v>
        <stp/>
        <stp>BDH|2301801328030501806</stp>
        <tr r="I35" s="24"/>
      </tp>
      <tp t="e">
        <v>#N/A</v>
        <stp/>
        <stp>BDH|9256254218813098917</stp>
        <tr r="AA34" s="14"/>
      </tp>
      <tp t="e">
        <v>#N/A</v>
        <stp/>
        <stp>BDH|8805131889492971354</stp>
        <tr r="Q10" s="13"/>
      </tp>
      <tp t="e">
        <v>#N/A</v>
        <stp/>
        <stp>BDH|7322683867543168434</stp>
        <tr r="T126" s="18"/>
      </tp>
      <tp t="e">
        <v>#N/A</v>
        <stp/>
        <stp>BDH|1413514850834394582</stp>
        <tr r="S51" s="13"/>
      </tp>
      <tp t="e">
        <v>#N/A</v>
        <stp/>
        <stp>BDH|9448146440305945973</stp>
        <tr r="D61" s="34"/>
      </tp>
      <tp t="e">
        <v>#N/A</v>
        <stp/>
        <stp>BDH|7271319222777987168</stp>
        <tr r="M185" s="18"/>
      </tp>
      <tp t="e">
        <v>#N/A</v>
        <stp/>
        <stp>BDH|9981235861809057459</stp>
        <tr r="D35" s="13"/>
      </tp>
      <tp t="e">
        <v>#N/A</v>
        <stp/>
        <stp>BDH|3189881083202633121</stp>
        <tr r="G38" s="29"/>
        <tr r="G15" s="29"/>
      </tp>
      <tp t="e">
        <v>#N/A</v>
        <stp/>
        <stp>BDH|8035825551496583383</stp>
        <tr r="C44" s="24"/>
      </tp>
      <tp t="e">
        <v>#N/A</v>
        <stp/>
        <stp>BDH|6529609932644874710</stp>
        <tr r="I164" s="18"/>
      </tp>
      <tp t="e">
        <v>#N/A</v>
        <stp/>
        <stp>BDH|3199360322352290099</stp>
        <tr r="T10" s="27"/>
        <tr r="T25" s="25"/>
      </tp>
      <tp t="e">
        <v>#N/A</v>
        <stp/>
        <stp>BDH|6113028372677711683</stp>
        <tr r="M70" s="17"/>
        <tr r="M18" s="3"/>
      </tp>
      <tp t="e">
        <v>#N/A</v>
        <stp/>
        <stp>BDH|7628589640037930194</stp>
        <tr r="L25" s="29"/>
        <tr r="L19" s="29"/>
        <tr r="L10" s="29"/>
        <tr r="J6" s="9"/>
        <tr r="L12" s="8"/>
        <tr r="J6" s="5"/>
        <tr r="K6" s="2"/>
      </tp>
      <tp t="e">
        <v>#N/A</v>
        <stp/>
        <stp>BDH|9748863679834123271</stp>
        <tr r="P26" s="24"/>
      </tp>
      <tp t="e">
        <v>#N/A</v>
        <stp/>
        <stp>BDH|9428936941053099782</stp>
        <tr r="D55" s="12"/>
      </tp>
      <tp t="e">
        <v>#N/A</v>
        <stp/>
        <stp>BDH|9208471298125374109</stp>
        <tr r="V25" s="17"/>
      </tp>
      <tp t="e">
        <v>#N/A</v>
        <stp/>
        <stp>BDH|1420945289150208058</stp>
        <tr r="F207" s="18"/>
      </tp>
      <tp t="e">
        <v>#N/A</v>
        <stp/>
        <stp>BDH|9436617244063828878</stp>
        <tr r="Q70" s="13"/>
        <tr r="O49" s="11"/>
        <tr r="O58" s="10"/>
        <tr r="O19" s="7"/>
        <tr r="O18" s="4"/>
        <tr r="O20" s="2"/>
      </tp>
      <tp t="e">
        <v>#N/A</v>
        <stp/>
        <stp>BDH|7567037067115721493</stp>
        <tr r="Q89" s="18"/>
      </tp>
      <tp t="e">
        <v>#N/A</v>
        <stp/>
        <stp>BDH|5643225174691857173</stp>
        <tr r="X27" s="7"/>
      </tp>
      <tp t="e">
        <v>#N/A</v>
        <stp/>
        <stp>BDH|5894097390994742892</stp>
        <tr r="G23" s="17"/>
      </tp>
      <tp t="e">
        <v>#N/A</v>
        <stp/>
        <stp>BDH|6830362202097185228</stp>
        <tr r="I22" s="11"/>
      </tp>
      <tp t="e">
        <v>#N/A</v>
        <stp/>
        <stp>BDH|2560874307828828229</stp>
        <tr r="U159" s="18"/>
      </tp>
      <tp t="e">
        <v>#N/A</v>
        <stp/>
        <stp>BDH|7204586025490062004</stp>
        <tr r="I78" s="24"/>
      </tp>
      <tp t="e">
        <v>#N/A</v>
        <stp/>
        <stp>BDH|3054033861354951140</stp>
        <tr r="S21" s="20"/>
      </tp>
      <tp t="e">
        <v>#N/A</v>
        <stp/>
        <stp>BDH|7012257339520377607</stp>
        <tr r="Q49" s="13"/>
      </tp>
      <tp t="e">
        <v>#N/A</v>
        <stp/>
        <stp>BDH|9217884702241647010</stp>
        <tr r="Z31" s="24"/>
      </tp>
      <tp t="e">
        <v>#N/A</v>
        <stp/>
        <stp>BDH|9361544090773945612</stp>
        <tr r="W61" s="12"/>
      </tp>
      <tp t="e">
        <v>#N/A</v>
        <stp/>
        <stp>BDH|7547361759725164446</stp>
        <tr r="W49" s="18"/>
      </tp>
      <tp t="e">
        <v>#N/A</v>
        <stp/>
        <stp>BDH|2751392603473151234</stp>
        <tr r="N63" s="24"/>
      </tp>
      <tp t="e">
        <v>#N/A</v>
        <stp/>
        <stp>BDH|3242397105173236333</stp>
        <tr r="N64" s="10"/>
      </tp>
      <tp t="e">
        <v>#N/A</v>
        <stp/>
        <stp>BDH|5349365960417202787</stp>
        <tr r="Y153" s="18"/>
      </tp>
      <tp t="e">
        <v>#N/A</v>
        <stp/>
        <stp>BDH|4888263671464128518</stp>
        <tr r="W193" s="18"/>
      </tp>
      <tp t="e">
        <v>#N/A</v>
        <stp/>
        <stp>BDH|9189936118680351168</stp>
        <tr r="D93" s="24"/>
      </tp>
      <tp t="e">
        <v>#N/A</v>
        <stp/>
        <stp>BDH|1005416859262140265</stp>
        <tr r="N57" s="12"/>
      </tp>
      <tp t="e">
        <v>#N/A</v>
        <stp/>
        <stp>BDH|9828311747517035910</stp>
        <tr r="F32" s="17"/>
      </tp>
      <tp t="e">
        <v>#N/A</v>
        <stp/>
        <stp>BDH|5179185406677415341</stp>
        <tr r="W198" s="18"/>
      </tp>
      <tp t="e">
        <v>#N/A</v>
        <stp/>
        <stp>BDH|4071032443707730786</stp>
        <tr r="T15" s="5"/>
      </tp>
      <tp t="e">
        <v>#N/A</v>
        <stp/>
        <stp>BDH|4047703477037847304</stp>
        <tr r="L62" s="18"/>
      </tp>
      <tp t="e">
        <v>#N/A</v>
        <stp/>
        <stp>BDH|7522617029860534379</stp>
        <tr r="S80" s="24"/>
      </tp>
      <tp t="e">
        <v>#N/A</v>
        <stp/>
        <stp>BDH|6551563768705315077</stp>
        <tr r="G32" s="18"/>
      </tp>
      <tp t="e">
        <v>#N/A</v>
        <stp/>
        <stp>BDH|8932265981072545045</stp>
        <tr r="F78" s="18"/>
      </tp>
      <tp t="e">
        <v>#N/A</v>
        <stp/>
        <stp>BDH|8768868919559453838</stp>
        <tr r="U49" s="4"/>
      </tp>
      <tp t="e">
        <v>#N/A</v>
        <stp/>
        <stp>BDH|9823258741357317801</stp>
        <tr r="W32" s="21"/>
      </tp>
      <tp t="e">
        <v>#N/A</v>
        <stp/>
        <stp>BDH|6740748418323175350</stp>
        <tr r="N36" s="14"/>
      </tp>
      <tp t="e">
        <v>#N/A</v>
        <stp/>
        <stp>BDH|9137189934298708350</stp>
        <tr r="Z150" s="18"/>
      </tp>
      <tp t="e">
        <v>#N/A</v>
        <stp/>
        <stp>BDH|5927705884743591971</stp>
        <tr r="X58" s="34"/>
      </tp>
      <tp t="e">
        <v>#N/A</v>
        <stp/>
        <stp>BDH|6056643679937239004</stp>
        <tr r="F195" s="18"/>
      </tp>
      <tp t="e">
        <v>#N/A</v>
        <stp/>
        <stp>BDH|8065959759387265311</stp>
        <tr r="Q66" s="18"/>
      </tp>
      <tp t="e">
        <v>#N/A</v>
        <stp/>
        <stp>BDH|3117061025587475698</stp>
        <tr r="R46" s="11"/>
        <tr r="R55" s="10"/>
        <tr r="R7" s="7"/>
        <tr r="T12" s="3"/>
      </tp>
      <tp t="e">
        <v>#N/A</v>
        <stp/>
        <stp>BDH|3286786705326368231</stp>
        <tr r="S39" s="11"/>
        <tr r="S27" s="11"/>
        <tr r="S48" s="10"/>
        <tr r="S36" s="10"/>
      </tp>
      <tp t="e">
        <v>#N/A</v>
        <stp/>
        <stp>BDH|2721281926870269240</stp>
        <tr r="X75" s="18"/>
      </tp>
      <tp t="e">
        <v>#N/A</v>
        <stp/>
        <stp>BDH|8991837326257167527</stp>
        <tr r="F41" s="17"/>
      </tp>
      <tp t="e">
        <v>#N/A</v>
        <stp/>
        <stp>BDH|2799167857171947706</stp>
        <tr r="X53" s="18"/>
      </tp>
      <tp t="e">
        <v>#N/A</v>
        <stp/>
        <stp>BDH|8427556679303182962</stp>
        <tr r="O28" s="21"/>
      </tp>
      <tp t="e">
        <v>#N/A</v>
        <stp/>
        <stp>BDH|6283781495180353831</stp>
        <tr r="Z97" s="12"/>
      </tp>
      <tp t="e">
        <v>#N/A</v>
        <stp/>
        <stp>BDH|5716282977846074670</stp>
        <tr r="N23" s="10"/>
      </tp>
      <tp t="e">
        <v>#N/A</v>
        <stp/>
        <stp>BDH|1051767528814723067</stp>
        <tr r="G36" s="6"/>
        <tr r="G17" s="5"/>
      </tp>
      <tp t="e">
        <v>#N/A</v>
        <stp/>
        <stp>BDH|6004312036954006284</stp>
        <tr r="G33" s="11"/>
        <tr r="G42" s="10"/>
      </tp>
      <tp t="e">
        <v>#N/A</v>
        <stp/>
        <stp>BDH|1150671449354102718</stp>
        <tr r="I64" s="10"/>
      </tp>
      <tp t="e">
        <v>#N/A</v>
        <stp/>
        <stp>BDH|6996708461365491235</stp>
        <tr r="V8" s="6"/>
      </tp>
      <tp t="e">
        <v>#N/A</v>
        <stp/>
        <stp>BDH|9319510284593981702</stp>
        <tr r="R92" s="24"/>
      </tp>
      <tp t="e">
        <v>#N/A</v>
        <stp/>
        <stp>BDH|5444600830124820439</stp>
        <tr r="H81" s="12"/>
      </tp>
      <tp t="e">
        <v>#N/A</v>
        <stp/>
        <stp>BDH|4097773179666328220</stp>
        <tr r="D22" s="24"/>
      </tp>
      <tp t="e">
        <v>#N/A</v>
        <stp/>
        <stp>BDH|2451544289107747824</stp>
        <tr r="K8" s="21"/>
      </tp>
      <tp t="e">
        <v>#N/A</v>
        <stp/>
        <stp>BDH|5857433174792089439</stp>
        <tr r="R85" s="24"/>
      </tp>
      <tp t="e">
        <v>#N/A</v>
        <stp/>
        <stp>BDH|9900337091342749100</stp>
        <tr r="P73" s="17"/>
      </tp>
      <tp t="e">
        <v>#N/A</v>
        <stp/>
        <stp>BDH|8051072155698723590</stp>
        <tr r="Y35" s="18"/>
      </tp>
      <tp t="e">
        <v>#N/A</v>
        <stp/>
        <stp>BDH|9067067968597646842</stp>
        <tr r="U32" s="22"/>
      </tp>
      <tp t="e">
        <v>#N/A</v>
        <stp/>
        <stp>BDH|8358520047261242881</stp>
        <tr r="W15" s="21"/>
      </tp>
      <tp t="e">
        <v>#N/A</v>
        <stp/>
        <stp>BDH|4167553460462863502</stp>
        <tr r="S90" s="18"/>
      </tp>
      <tp t="e">
        <v>#N/A</v>
        <stp/>
        <stp>BDH|7801183276090839125</stp>
        <tr r="U32" s="24"/>
      </tp>
      <tp t="e">
        <v>#N/A</v>
        <stp/>
        <stp>BDH|3024872405703905873</stp>
        <tr r="T196" s="18"/>
      </tp>
      <tp t="e">
        <v>#N/A</v>
        <stp/>
        <stp>BDH|1058874015470729893</stp>
        <tr r="T58" s="12"/>
      </tp>
      <tp t="e">
        <v>#N/A</v>
        <stp/>
        <stp>BDH|7812188701214592286</stp>
        <tr r="K101" s="12"/>
      </tp>
      <tp t="e">
        <v>#N/A</v>
        <stp/>
        <stp>BDH|2636731685164804947</stp>
        <tr r="O13" s="5"/>
      </tp>
      <tp t="e">
        <v>#N/A</v>
        <stp/>
        <stp>BDH|3611812424181957863</stp>
        <tr r="Z45" s="13"/>
        <tr r="X29" s="11"/>
        <tr r="X38" s="10"/>
      </tp>
      <tp t="e">
        <v>#N/A</v>
        <stp/>
        <stp>BDH|3113781431830673728</stp>
        <tr r="P69" s="13"/>
      </tp>
      <tp t="e">
        <v>#N/A</v>
        <stp/>
        <stp>BDH|3347236158644334071</stp>
        <tr r="T57" s="18"/>
      </tp>
      <tp t="e">
        <v>#N/A</v>
        <stp/>
        <stp>BDH|2646980326410338975</stp>
        <tr r="C19" s="24"/>
      </tp>
      <tp t="e">
        <v>#N/A</v>
        <stp/>
        <stp>BDH|7115799145042676676</stp>
        <tr r="P32" s="22"/>
      </tp>
      <tp t="e">
        <v>#N/A</v>
        <stp/>
        <stp>BDH|2033724674306992434</stp>
        <tr r="R10" s="27"/>
        <tr r="R25" s="25"/>
      </tp>
      <tp t="e">
        <v>#N/A</v>
        <stp/>
        <stp>BDH|4440490110934102504</stp>
        <tr r="Q10" s="27"/>
        <tr r="Q25" s="25"/>
      </tp>
      <tp t="e">
        <v>#N/A</v>
        <stp/>
        <stp>BDH|6839263957897789629</stp>
        <tr r="K56" s="34"/>
      </tp>
      <tp t="e">
        <v>#N/A</v>
        <stp/>
        <stp>BDH|2060150864371551489</stp>
        <tr r="L32" s="21"/>
      </tp>
      <tp t="e">
        <v>#N/A</v>
        <stp/>
        <stp>BDH|8248028859105008854</stp>
        <tr r="U66" s="13"/>
      </tp>
      <tp t="e">
        <v>#N/A</v>
        <stp/>
        <stp>BDH|2944374927733784026</stp>
        <tr r="AA79" s="17"/>
        <tr r="X9" s="9"/>
        <tr r="X9" s="5"/>
      </tp>
      <tp t="e">
        <v>#N/A</v>
        <stp/>
        <stp>BDH|1595203615640925256</stp>
        <tr r="F14" s="12"/>
      </tp>
      <tp t="e">
        <v>#N/A</v>
        <stp/>
        <stp>BDH|4541099124736039041</stp>
        <tr r="P117" s="12"/>
      </tp>
      <tp t="e">
        <v>#N/A</v>
        <stp/>
        <stp>BDH|5360298655686795449</stp>
        <tr r="R99" s="18"/>
      </tp>
      <tp t="e">
        <v>#N/A</v>
        <stp/>
        <stp>BDH|4871754385909723233</stp>
        <tr r="T171" s="18"/>
      </tp>
      <tp t="e">
        <v>#N/A</v>
        <stp/>
        <stp>BDH|3055716119224028148</stp>
        <tr r="D65" s="13"/>
      </tp>
      <tp t="e">
        <v>#N/A</v>
        <stp/>
        <stp>BDH|1957278243873073418</stp>
        <tr r="E79" s="24"/>
      </tp>
      <tp t="e">
        <v>#N/A</v>
        <stp/>
        <stp>BDH|6546773371416717088</stp>
        <tr r="K67" s="13"/>
      </tp>
      <tp t="e">
        <v>#N/A</v>
        <stp/>
        <stp>BDH|7640098139283867722</stp>
        <tr r="E65" s="12"/>
      </tp>
      <tp t="e">
        <v>#N/A</v>
        <stp/>
        <stp>BDH|4603096534990347741</stp>
        <tr r="W17" s="18"/>
      </tp>
      <tp t="e">
        <v>#N/A</v>
        <stp/>
        <stp>BDH|6534981601809176610</stp>
        <tr r="C27" s="24"/>
      </tp>
      <tp t="e">
        <v>#N/A</v>
        <stp/>
        <stp>BDH|3107769618074600154</stp>
        <tr r="U42" s="29"/>
        <tr r="U33" s="29"/>
        <tr r="S55" s="6"/>
        <tr r="S11" s="5"/>
        <tr r="T10" s="2"/>
      </tp>
      <tp t="e">
        <v>#N/A</v>
        <stp/>
        <stp>BDH|6649130561860818100</stp>
        <tr r="F39" s="29"/>
        <tr r="F16" s="29"/>
      </tp>
      <tp t="e">
        <v>#N/A</v>
        <stp/>
        <stp>BDH|2323075408043335138</stp>
        <tr r="N42" s="4"/>
      </tp>
      <tp t="e">
        <v>#N/A</v>
        <stp/>
        <stp>BDH|8870069886910523019</stp>
        <tr r="E15" s="23"/>
        <tr r="C58" s="11"/>
      </tp>
      <tp t="e">
        <v>#N/A</v>
        <stp/>
        <stp>BDH|6006845432235884820</stp>
        <tr r="L37" s="25"/>
        <tr r="L59" s="21"/>
        <tr r="J53" s="11"/>
        <tr r="J31" s="4"/>
      </tp>
      <tp t="e">
        <v>#N/A</v>
        <stp/>
        <stp>BDH|4995846145400644820</stp>
        <tr r="D24" s="21"/>
      </tp>
      <tp t="e">
        <v>#N/A</v>
        <stp/>
        <stp>BDH|7253499546405925285</stp>
        <tr r="V144" s="18"/>
      </tp>
      <tp t="e">
        <v>#N/A</v>
        <stp/>
        <stp>BDH|6677480808916387499</stp>
        <tr r="J16" s="20"/>
      </tp>
      <tp t="e">
        <v>#N/A</v>
        <stp/>
        <stp>BDH|1900833921162595924</stp>
        <tr r="D16" s="21"/>
      </tp>
      <tp t="e">
        <v>#N/A</v>
        <stp/>
        <stp>BDH|6752250951871977065</stp>
        <tr r="E8" s="27"/>
      </tp>
      <tp t="e">
        <v>#N/A</v>
        <stp/>
        <stp>BDH|4453467117679131889</stp>
        <tr r="AA43" s="13"/>
        <tr r="Y35" s="11"/>
        <tr r="Y44" s="10"/>
        <tr r="Y52" s="4"/>
        <tr r="AA8" s="3"/>
      </tp>
      <tp t="e">
        <v>#N/A</v>
        <stp/>
        <stp>BDH|5282699799373754999</stp>
        <tr r="V41" s="18"/>
      </tp>
      <tp t="e">
        <v>#N/A</v>
        <stp/>
        <stp>BDH|4400391270700982080</stp>
        <tr r="Q26" s="34"/>
      </tp>
      <tp t="e">
        <v>#N/A</v>
        <stp/>
        <stp>BDH|4397893832509204661</stp>
        <tr r="M27" s="14"/>
      </tp>
      <tp t="e">
        <v>#N/A</v>
        <stp/>
        <stp>BDH|7803007325785025003</stp>
        <tr r="H26" s="21"/>
      </tp>
      <tp t="e">
        <v>#N/A</v>
        <stp/>
        <stp>BDH|5163203978412435203</stp>
        <tr r="U104" s="12"/>
      </tp>
      <tp t="e">
        <v>#N/A</v>
        <stp/>
        <stp>BDH|8702082252444452943</stp>
        <tr r="U19" s="34"/>
      </tp>
      <tp t="e">
        <v>#N/A</v>
        <stp/>
        <stp>BDH|6279320733073677580</stp>
        <tr r="K9" s="34"/>
      </tp>
      <tp t="e">
        <v>#N/A</v>
        <stp/>
        <stp>BDH|8635338818249503359</stp>
        <tr r="R114" s="12"/>
      </tp>
      <tp t="e">
        <v>#N/A</v>
        <stp/>
        <stp>BDH|8044441507428803462</stp>
        <tr r="N81" s="18"/>
      </tp>
      <tp t="e">
        <v>#N/A</v>
        <stp/>
        <stp>BDH|1965036721541608206</stp>
        <tr r="D47" s="24"/>
      </tp>
      <tp t="e">
        <v>#N/A</v>
        <stp/>
        <stp>BDH|4234246183728817601</stp>
        <tr r="W57" s="18"/>
      </tp>
      <tp t="e">
        <v>#N/A</v>
        <stp/>
        <stp>BDH|3477645196069802530</stp>
        <tr r="C15" s="34"/>
      </tp>
      <tp t="e">
        <v>#N/A</v>
        <stp/>
        <stp>BDH|5379219153964915654</stp>
        <tr r="C25" s="9"/>
      </tp>
      <tp t="e">
        <v>#N/A</v>
        <stp/>
        <stp>BDH|7100094822831680416</stp>
        <tr r="W56" s="34"/>
      </tp>
      <tp t="e">
        <v>#N/A</v>
        <stp/>
        <stp>BDH|8258807978063600417</stp>
        <tr r="V15" s="14"/>
      </tp>
      <tp t="e">
        <v>#N/A</v>
        <stp/>
        <stp>BDH|8788949414550334093</stp>
        <tr r="E68" s="10"/>
      </tp>
      <tp t="e">
        <v>#N/A</v>
        <stp/>
        <stp>BDH|4491959998546221260</stp>
        <tr r="H55" s="18"/>
      </tp>
      <tp t="e">
        <v>#N/A</v>
        <stp/>
        <stp>BDH|6663948598993641514</stp>
        <tr r="M78" s="34"/>
      </tp>
      <tp t="e">
        <v>#N/A</v>
        <stp/>
        <stp>BDH|8147555989757030202</stp>
        <tr r="I48" s="18"/>
      </tp>
      <tp t="e">
        <v>#N/A</v>
        <stp/>
        <stp>BDH|2955325936206038407</stp>
        <tr r="D18" s="26"/>
      </tp>
      <tp t="e">
        <v>#N/A</v>
        <stp/>
        <stp>BDH|6992463728513801329</stp>
        <tr r="K66" s="10"/>
        <tr r="K39" s="4"/>
      </tp>
      <tp t="e">
        <v>#N/A</v>
        <stp/>
        <stp>BDH|9860299624468007182</stp>
        <tr r="I33" s="5"/>
      </tp>
      <tp t="e">
        <v>#N/A</v>
        <stp/>
        <stp>BDH|6971769708024826525</stp>
        <tr r="C19" s="9"/>
      </tp>
      <tp t="e">
        <v>#N/A</v>
        <stp/>
        <stp>BDH|7576788513254418575</stp>
        <tr r="V69" s="17"/>
      </tp>
      <tp t="e">
        <v>#N/A</v>
        <stp/>
        <stp>BDH|1606128840470068492</stp>
        <tr r="M97" s="17"/>
      </tp>
      <tp t="e">
        <v>#N/A</v>
        <stp/>
        <stp>BDH|2770628776215825667</stp>
        <tr r="K9" s="27"/>
      </tp>
      <tp t="e">
        <v>#N/A</v>
        <stp/>
        <stp>BDH|4293565025203839045</stp>
        <tr r="V28" s="22"/>
      </tp>
      <tp t="e">
        <v>#N/A</v>
        <stp/>
        <stp>BDH|9019624663978902154</stp>
        <tr r="V62" s="21"/>
        <tr r="T25" s="2"/>
      </tp>
      <tp t="e">
        <v>#N/A</v>
        <stp/>
        <stp>BDH|2899897998176732537</stp>
        <tr r="H33" s="5"/>
      </tp>
      <tp t="e">
        <v>#N/A</v>
        <stp/>
        <stp>BDH|1518603858285735778</stp>
        <tr r="G29" s="29"/>
        <tr r="G7" s="29"/>
      </tp>
      <tp t="e">
        <v>#N/A</v>
        <stp/>
        <stp>BDH|9962768474910156978</stp>
        <tr r="U109" s="12"/>
      </tp>
      <tp t="e">
        <v>#N/A</v>
        <stp/>
        <stp>BDH|6009089149223479186</stp>
        <tr r="Y166" s="18"/>
      </tp>
      <tp t="e">
        <v>#N/A</v>
        <stp/>
        <stp>BDH|9481973720701848362</stp>
        <tr r="O71" s="24"/>
      </tp>
      <tp t="e">
        <v>#N/A</v>
        <stp/>
        <stp>BDH|4712086729895826337</stp>
        <tr r="AA7" s="21"/>
      </tp>
      <tp t="e">
        <v>#N/A</v>
        <stp/>
        <stp>BDH|1852371746903398579</stp>
        <tr r="P20" s="9"/>
      </tp>
      <tp t="e">
        <v>#N/A</v>
        <stp/>
        <stp>BDH|2281947796431948342</stp>
        <tr r="H44" s="34"/>
      </tp>
      <tp t="e">
        <v>#N/A</v>
        <stp/>
        <stp>BDH|3685696213056759266</stp>
        <tr r="W75" s="34"/>
      </tp>
      <tp t="e">
        <v>#N/A</v>
        <stp/>
        <stp>BDH|9014095062986427923</stp>
        <tr r="K28" s="4"/>
      </tp>
      <tp t="e">
        <v>#N/A</v>
        <stp/>
        <stp>BDH|5299159840912347292</stp>
        <tr r="W14" s="28"/>
      </tp>
      <tp t="e">
        <v>#N/A</v>
        <stp/>
        <stp>BDH|1707358038348752901</stp>
        <tr r="K54" s="12"/>
      </tp>
      <tp t="e">
        <v>#N/A</v>
        <stp/>
        <stp>BDH|7391166250427119495</stp>
        <tr r="H8" s="20"/>
        <tr r="H118" s="18"/>
      </tp>
      <tp t="e">
        <v>#N/A</v>
        <stp/>
        <stp>BDH|6111675311513968238</stp>
        <tr r="C12" s="10"/>
      </tp>
      <tp t="e">
        <v>#N/A</v>
        <stp/>
        <stp>BDH|7713654371625160304</stp>
        <tr r="G22" s="10"/>
      </tp>
      <tp t="e">
        <v>#N/A</v>
        <stp/>
        <stp>BDH|1875356225557251780</stp>
        <tr r="N81" s="24"/>
      </tp>
      <tp t="e">
        <v>#N/A</v>
        <stp/>
        <stp>BDH|1133951454338699549</stp>
        <tr r="J49" s="17"/>
      </tp>
      <tp t="e">
        <v>#N/A</v>
        <stp/>
        <stp>BDH|8034426881974551048</stp>
        <tr r="H7" s="9"/>
        <tr r="H7" s="5"/>
        <tr r="K14" s="3"/>
        <tr r="I7" s="2"/>
      </tp>
      <tp t="e">
        <v>#N/A</v>
        <stp/>
        <stp>BDH|2976235802084931431</stp>
        <tr r="Q127" s="12"/>
      </tp>
      <tp t="e">
        <v>#N/A</v>
        <stp/>
        <stp>BDH|3690145471951606475</stp>
        <tr r="M46" s="13"/>
      </tp>
      <tp t="e">
        <v>#N/A</v>
        <stp/>
        <stp>BDH|2372835016359235262</stp>
        <tr r="C7" s="4"/>
      </tp>
      <tp t="e">
        <v>#N/A</v>
        <stp/>
        <stp>BDH|9277594988444063011</stp>
        <tr r="P17" s="9"/>
      </tp>
      <tp t="e">
        <v>#N/A</v>
        <stp/>
        <stp>BDH|8415178203958166135</stp>
        <tr r="T6" s="8"/>
        <tr r="R51" s="6"/>
      </tp>
      <tp t="e">
        <v>#N/A</v>
        <stp/>
        <stp>BDH|1441979691552795372</stp>
        <tr r="P209" s="18"/>
      </tp>
      <tp t="e">
        <v>#N/A</v>
        <stp/>
        <stp>BDH|2513620972356403531</stp>
        <tr r="T67" s="17"/>
      </tp>
      <tp t="e">
        <v>#N/A</v>
        <stp/>
        <stp>BDH|3721985142508666696</stp>
        <tr r="T80" s="18"/>
      </tp>
      <tp t="e">
        <v>#N/A</v>
        <stp/>
        <stp>BDH|8791001533793240849</stp>
        <tr r="T213" s="18"/>
      </tp>
      <tp t="e">
        <v>#N/A</v>
        <stp/>
        <stp>BDH|6338376429772885578</stp>
        <tr r="J88" s="24"/>
      </tp>
      <tp t="e">
        <v>#N/A</v>
        <stp/>
        <stp>BDH|4232073845362066227</stp>
        <tr r="H72" s="12"/>
      </tp>
      <tp t="e">
        <v>#N/A</v>
        <stp/>
        <stp>BDH|4620446441574169005</stp>
        <tr r="M20" s="22"/>
      </tp>
      <tp t="e">
        <v>#N/A</v>
        <stp/>
        <stp>BDH|6045406223193244335</stp>
        <tr r="H35" s="25"/>
      </tp>
      <tp t="e">
        <v>#N/A</v>
        <stp/>
        <stp>BDH|9651139226619864399</stp>
        <tr r="M198" s="18"/>
      </tp>
      <tp t="e">
        <v>#N/A</v>
        <stp/>
        <stp>BDH|3042454051455739712</stp>
        <tr r="T62" s="34"/>
      </tp>
      <tp t="e">
        <v>#N/A</v>
        <stp/>
        <stp>BDH|1399370407493981181</stp>
        <tr r="T20" s="27"/>
      </tp>
      <tp t="e">
        <v>#N/A</v>
        <stp/>
        <stp>BDH|7660858799931045787</stp>
        <tr r="H146" s="18"/>
      </tp>
      <tp t="e">
        <v>#N/A</v>
        <stp/>
        <stp>BDH|9952960378534573303</stp>
        <tr r="P123" s="12"/>
      </tp>
      <tp t="e">
        <v>#N/A</v>
        <stp/>
        <stp>BDH|4005232372538308903</stp>
        <tr r="J53" s="12"/>
      </tp>
      <tp t="e">
        <v>#N/A</v>
        <stp/>
        <stp>BDH|2600084791272803951</stp>
        <tr r="AA176" s="18"/>
      </tp>
      <tp t="e">
        <v>#N/A</v>
        <stp/>
        <stp>BDH|1280882496366975678</stp>
        <tr r="H73" s="18"/>
      </tp>
      <tp t="e">
        <v>#N/A</v>
        <stp/>
        <stp>BDH|9727175906000639822</stp>
        <tr r="G22" s="27"/>
      </tp>
      <tp t="e">
        <v>#N/A</v>
        <stp/>
        <stp>BDH|5122041272534491619</stp>
        <tr r="V10" s="17"/>
      </tp>
      <tp t="e">
        <v>#N/A</v>
        <stp/>
        <stp>BDH|6241827512386972991</stp>
        <tr r="H120" s="12"/>
      </tp>
      <tp t="e">
        <v>#N/A</v>
        <stp/>
        <stp>BDH|3536202811806087667</stp>
        <tr r="S21" s="17"/>
      </tp>
      <tp t="e">
        <v>#N/A</v>
        <stp/>
        <stp>BDH|8535264269954043883</stp>
        <tr r="M71" s="24"/>
      </tp>
      <tp t="e">
        <v>#N/A</v>
        <stp/>
        <stp>BDH|5304880746301880872</stp>
        <tr r="D33" s="18"/>
      </tp>
      <tp t="e">
        <v>#N/A</v>
        <stp/>
        <stp>BDH|5315072012993640727</stp>
        <tr r="V11" s="11"/>
      </tp>
      <tp t="e">
        <v>#N/A</v>
        <stp/>
        <stp>BDH|5765927161259321359</stp>
        <tr r="P57" s="6"/>
      </tp>
      <tp t="e">
        <v>#N/A</v>
        <stp/>
        <stp>BDH|5163203415715429328</stp>
        <tr r="P27" s="7"/>
      </tp>
      <tp t="e">
        <v>#N/A</v>
        <stp/>
        <stp>BDH|1455792624123945729</stp>
        <tr r="AA133" s="18"/>
      </tp>
      <tp t="e">
        <v>#N/A</v>
        <stp/>
        <stp>BDH|1526233818792880045</stp>
        <tr r="C70" s="12"/>
      </tp>
      <tp t="e">
        <v>#N/A</v>
        <stp/>
        <stp>BDH|9004640032978614423</stp>
        <tr r="X72" s="24"/>
      </tp>
      <tp t="e">
        <v>#N/A</v>
        <stp/>
        <stp>BDH|6740527311942557034</stp>
        <tr r="G23" s="26"/>
      </tp>
      <tp t="e">
        <v>#N/A</v>
        <stp/>
        <stp>BDH|3177612887804353963</stp>
        <tr r="D57" s="24"/>
      </tp>
      <tp t="e">
        <v>#N/A</v>
        <stp/>
        <stp>BDH|8384442279132527993</stp>
        <tr r="D12" s="10"/>
      </tp>
      <tp t="e">
        <v>#N/A</v>
        <stp/>
        <stp>BDH|6907818723908096495</stp>
        <tr r="G32" s="22"/>
      </tp>
      <tp t="e">
        <v>#N/A</v>
        <stp/>
        <stp>BDH|3598314296658268120</stp>
        <tr r="D35" s="25"/>
      </tp>
      <tp t="e">
        <v>#N/A</v>
        <stp/>
        <stp>BDH|2659056021873855383</stp>
        <tr r="K73" s="12"/>
      </tp>
      <tp t="e">
        <v>#N/A</v>
        <stp/>
        <stp>BDH|6579556859823835536</stp>
        <tr r="V67" s="10"/>
      </tp>
      <tp t="e">
        <v>#N/A</v>
        <stp/>
        <stp>BDH|9571302981190183270</stp>
        <tr r="AA15" s="13"/>
      </tp>
      <tp t="e">
        <v>#N/A</v>
        <stp/>
        <stp>BDH|1302160073762428509</stp>
        <tr r="N6" s="27"/>
      </tp>
      <tp t="e">
        <v>#N/A</v>
        <stp/>
        <stp>BDH|2160619030162001521</stp>
        <tr r="L24" s="12"/>
      </tp>
      <tp t="e">
        <v>#N/A</v>
        <stp/>
        <stp>BDH|7785136701252130460</stp>
        <tr r="G18" s="10"/>
      </tp>
      <tp t="e">
        <v>#N/A</v>
        <stp/>
        <stp>BDH|9441219915412319817</stp>
        <tr r="I206" s="18"/>
      </tp>
      <tp t="e">
        <v>#N/A</v>
        <stp/>
        <stp>BDH|1343257630762330278</stp>
        <tr r="G68" s="12"/>
      </tp>
      <tp t="e">
        <v>#N/A</v>
        <stp/>
        <stp>BDH|4998283057651344277</stp>
        <tr r="L190" s="18"/>
      </tp>
      <tp t="e">
        <v>#N/A</v>
        <stp/>
        <stp>BDH|5073362981566787827</stp>
        <tr r="Y16" s="34"/>
      </tp>
      <tp t="e">
        <v>#N/A</v>
        <stp/>
        <stp>BDH|6368215340585800588</stp>
        <tr r="AA15" s="23"/>
        <tr r="Y58" s="11"/>
      </tp>
      <tp t="e">
        <v>#N/A</v>
        <stp/>
        <stp>BDH|1207761555972308106</stp>
        <tr r="Z39" s="24"/>
      </tp>
      <tp t="e">
        <v>#N/A</v>
        <stp/>
        <stp>BDH|4622676577877540208</stp>
        <tr r="J58" s="18"/>
      </tp>
      <tp t="e">
        <v>#N/A</v>
        <stp/>
        <stp>BDH|3006470063426525726</stp>
        <tr r="W26" s="21"/>
      </tp>
      <tp t="e">
        <v>#N/A</v>
        <stp/>
        <stp>BDH|8863420499433276625</stp>
        <tr r="G194" s="18"/>
      </tp>
      <tp t="e">
        <v>#N/A</v>
        <stp/>
        <stp>BDH|9545311009369724397</stp>
        <tr r="Q17" s="22"/>
      </tp>
      <tp t="e">
        <v>#N/A</v>
        <stp/>
        <stp>BDH|6295708950806820298</stp>
        <tr r="H19" s="9"/>
      </tp>
      <tp t="e">
        <v>#N/A</v>
        <stp/>
        <stp>BDH|3851122739167915692</stp>
        <tr r="H193" s="18"/>
      </tp>
      <tp t="e">
        <v>#N/A</v>
        <stp/>
        <stp>BDH|6524611946051269530</stp>
        <tr r="Q10" s="24"/>
      </tp>
      <tp t="e">
        <v>#N/A</v>
        <stp/>
        <stp>BDH|4697619224909656969</stp>
        <tr r="G51" s="17"/>
      </tp>
      <tp t="e">
        <v>#N/A</v>
        <stp/>
        <stp>BDH|9770786876520395998</stp>
        <tr r="O13" s="9"/>
      </tp>
      <tp t="e">
        <v>#N/A</v>
        <stp/>
        <stp>BDH|9049714950372361911</stp>
        <tr r="U49" s="6"/>
      </tp>
      <tp t="e">
        <v>#N/A</v>
        <stp/>
        <stp>BDH|5571192511165661086</stp>
        <tr r="J23" s="6"/>
      </tp>
      <tp t="e">
        <v>#N/A</v>
        <stp/>
        <stp>BDH|7430063157165244741</stp>
        <tr r="O11" s="11"/>
      </tp>
      <tp t="e">
        <v>#N/A</v>
        <stp/>
        <stp>BDH|1847992702380217820</stp>
        <tr r="AA18" s="25"/>
      </tp>
      <tp t="e">
        <v>#N/A</v>
        <stp/>
        <stp>BDH|4801669388319245379</stp>
        <tr r="M12" s="22"/>
      </tp>
      <tp t="e">
        <v>#N/A</v>
        <stp/>
        <stp>BDH|7417265331960626669</stp>
        <tr r="T43" s="34"/>
      </tp>
      <tp t="e">
        <v>#N/A</v>
        <stp/>
        <stp>BDH|3601526444165585769</stp>
        <tr r="J22" s="20"/>
      </tp>
      <tp t="e">
        <v>#N/A</v>
        <stp/>
        <stp>BDH|5035498662876042181</stp>
        <tr r="G37" s="21"/>
      </tp>
      <tp t="e">
        <v>#N/A</v>
        <stp/>
        <stp>BDH|9431495796861912519</stp>
        <tr r="Q92" s="17"/>
      </tp>
      <tp t="e">
        <v>#N/A</v>
        <stp/>
        <stp>BDH|4087442611258467928</stp>
        <tr r="J18" s="14"/>
      </tp>
      <tp t="e">
        <v>#N/A</v>
        <stp/>
        <stp>BDH|4276751107793202017</stp>
        <tr r="T59" s="12"/>
      </tp>
      <tp t="e">
        <v>#N/A</v>
        <stp/>
        <stp>BDH|7225757204125929590</stp>
        <tr r="V20" s="10"/>
      </tp>
      <tp t="e">
        <v>#N/A</v>
        <stp/>
        <stp>BDH|4711271468004908426</stp>
        <tr r="C190" s="18"/>
      </tp>
      <tp t="e">
        <v>#N/A</v>
        <stp/>
        <stp>BDH|2497780048183291257</stp>
        <tr r="X7" s="34"/>
      </tp>
      <tp t="e">
        <v>#N/A</v>
        <stp/>
        <stp>BDH|4748179220203142422</stp>
        <tr r="E67" s="17"/>
      </tp>
      <tp t="e">
        <v>#N/A</v>
        <stp/>
        <stp>BDH|4284730176083159755</stp>
        <tr r="R46" s="18"/>
      </tp>
      <tp t="e">
        <v>#N/A</v>
        <stp/>
        <stp>BDH|8133375567908422565</stp>
        <tr r="W12" s="20"/>
        <tr r="W121" s="18"/>
      </tp>
      <tp t="e">
        <v>#N/A</v>
        <stp/>
        <stp>BDH|2989559575998343894</stp>
        <tr r="X45" s="12"/>
      </tp>
      <tp t="e">
        <v>#N/A</v>
        <stp/>
        <stp>BDH|7450101777673823288</stp>
        <tr r="S46" s="13"/>
      </tp>
      <tp t="e">
        <v>#N/A</v>
        <stp/>
        <stp>BDH|3980233800676976702</stp>
        <tr r="J12" s="21"/>
      </tp>
      <tp t="e">
        <v>#N/A</v>
        <stp/>
        <stp>BDH|1243603755896626425</stp>
        <tr r="K7" s="8"/>
      </tp>
      <tp t="e">
        <v>#N/A</v>
        <stp/>
        <stp>BDH|5433993288972610603</stp>
        <tr r="T80" s="12"/>
      </tp>
      <tp t="e">
        <v>#N/A</v>
        <stp/>
        <stp>BDH|7316415858763114589</stp>
        <tr r="D7" s="27"/>
        <tr r="D95" s="17"/>
      </tp>
      <tp t="e">
        <v>#N/A</v>
        <stp/>
        <stp>BDH|9764426005184020938</stp>
        <tr r="G48" s="13"/>
      </tp>
      <tp t="e">
        <v>#N/A</v>
        <stp/>
        <stp>BDH|2651982902548694390</stp>
        <tr r="R17" s="28"/>
        <tr r="R14" s="17"/>
      </tp>
      <tp t="e">
        <v>#N/A</v>
        <stp/>
        <stp>BDH|7705889491326818050</stp>
        <tr r="I89" s="18"/>
      </tp>
      <tp t="e">
        <v>#N/A</v>
        <stp/>
        <stp>BDH|1288281574001527581</stp>
        <tr r="V73" s="12"/>
      </tp>
      <tp t="e">
        <v>#N/A</v>
        <stp/>
        <stp>BDH|7326030893859566751</stp>
        <tr r="X47" s="21"/>
      </tp>
      <tp t="e">
        <v>#N/A</v>
        <stp/>
        <stp>BDH|1759346916001492226</stp>
        <tr r="K44" s="12"/>
      </tp>
      <tp t="e">
        <v>#N/A</v>
        <stp/>
        <stp>BDH|8208791098421808789</stp>
        <tr r="W39" s="24"/>
      </tp>
      <tp t="e">
        <v>#N/A</v>
        <stp/>
        <stp>BDH|7178399661296209480</stp>
        <tr r="V68" s="34"/>
      </tp>
      <tp t="e">
        <v>#N/A</v>
        <stp/>
        <stp>BDH|9393772255282723954</stp>
        <tr r="Z22" s="21"/>
      </tp>
      <tp t="e">
        <v>#N/A</v>
        <stp/>
        <stp>BDH|3468811886270032337</stp>
        <tr r="W12" s="18"/>
      </tp>
      <tp t="e">
        <v>#N/A</v>
        <stp/>
        <stp>BDH|8139688872061997823</stp>
        <tr r="S189" s="18"/>
      </tp>
      <tp t="e">
        <v>#N/A</v>
        <stp/>
        <stp>BDH|6721582456217115182</stp>
        <tr r="K27" s="17"/>
      </tp>
      <tp t="e">
        <v>#N/A</v>
        <stp/>
        <stp>BDH|6246001460634143436</stp>
        <tr r="Q18" s="23"/>
      </tp>
      <tp t="e">
        <v>#N/A</v>
        <stp/>
        <stp>BDH|7057729671211069639</stp>
        <tr r="U42" s="21"/>
      </tp>
      <tp t="e">
        <v>#N/A</v>
        <stp/>
        <stp>BDH|4954182963267131437</stp>
        <tr r="F17" s="13"/>
      </tp>
      <tp t="e">
        <v>#N/A</v>
        <stp/>
        <stp>BDH|9503205720420471916</stp>
        <tr r="S80" s="17"/>
        <tr r="S19" s="3"/>
      </tp>
      <tp t="e">
        <v>#N/A</v>
        <stp/>
        <stp>BDH|2040490349423181118</stp>
        <tr r="K85" s="18"/>
      </tp>
      <tp t="e">
        <v>#N/A</v>
        <stp/>
        <stp>BDH|4647583180730984978</stp>
        <tr r="N29" s="4"/>
      </tp>
      <tp t="e">
        <v>#N/A</v>
        <stp/>
        <stp>BDH|4865244087826926828</stp>
        <tr r="N13" s="28"/>
        <tr r="N96" s="17"/>
      </tp>
      <tp t="e">
        <v>#N/A</v>
        <stp/>
        <stp>BDH|2825495903063444563</stp>
        <tr r="R17" s="6"/>
      </tp>
      <tp t="e">
        <v>#N/A</v>
        <stp/>
        <stp>BDH|8769358280887403465</stp>
        <tr r="F47" s="17"/>
      </tp>
      <tp t="e">
        <v>#N/A</v>
        <stp/>
        <stp>BDH|7927353157795872432</stp>
        <tr r="Y36" s="18"/>
      </tp>
      <tp t="e">
        <v>#N/A</v>
        <stp/>
        <stp>BDH|3406382364013831503</stp>
        <tr r="U182" s="18"/>
      </tp>
      <tp t="e">
        <v>#N/A</v>
        <stp/>
        <stp>BDH|7025375461747242546</stp>
        <tr r="E12" s="12"/>
      </tp>
      <tp t="e">
        <v>#N/A</v>
        <stp/>
        <stp>BDH|6301294882104066881</stp>
        <tr r="J155" s="18"/>
      </tp>
      <tp t="e">
        <v>#N/A</v>
        <stp/>
        <stp>BDH|5235274975101107114</stp>
        <tr r="L16" s="22"/>
      </tp>
      <tp t="e">
        <v>#N/A</v>
        <stp/>
        <stp>BDH|7567793734733127095</stp>
        <tr r="AA45" s="18"/>
      </tp>
      <tp t="e">
        <v>#N/A</v>
        <stp/>
        <stp>BDH|2954507466855890476</stp>
        <tr r="Y12" s="12"/>
      </tp>
      <tp t="e">
        <v>#N/A</v>
        <stp/>
        <stp>BDH|4436656100282319023</stp>
        <tr r="V19" s="26"/>
      </tp>
      <tp t="e">
        <v>#N/A</v>
        <stp/>
        <stp>BDH|7785125590088488710</stp>
        <tr r="Q31" s="9"/>
      </tp>
      <tp t="e">
        <v>#N/A</v>
        <stp/>
        <stp>BDH|3704987089614044660</stp>
        <tr r="E21" s="10"/>
      </tp>
      <tp t="e">
        <v>#N/A</v>
        <stp/>
        <stp>BDH|1062251420490176141</stp>
        <tr r="G67" s="13"/>
      </tp>
      <tp t="e">
        <v>#N/A</v>
        <stp/>
        <stp>BDH|5576574525511516323</stp>
        <tr r="G13" s="7"/>
      </tp>
      <tp t="e">
        <v>#N/A</v>
        <stp/>
        <stp>BDH|8065724933348832496</stp>
        <tr r="C156" s="18"/>
      </tp>
      <tp t="e">
        <v>#N/A</v>
        <stp/>
        <stp>BDH|3749133765432706664</stp>
        <tr r="J13" s="7"/>
      </tp>
      <tp t="e">
        <v>#N/A</v>
        <stp/>
        <stp>BDH|7667122430251490409</stp>
        <tr r="F28" s="13"/>
      </tp>
      <tp t="e">
        <v>#N/A</v>
        <stp/>
        <stp>BDH|5106727376101662436</stp>
        <tr r="W66" s="21"/>
        <tr r="T31" s="6"/>
      </tp>
      <tp t="e">
        <v>#N/A</v>
        <stp/>
        <stp>BDH|2316285481719912134</stp>
        <tr r="I28" s="34"/>
      </tp>
      <tp t="e">
        <v>#N/A</v>
        <stp/>
        <stp>BDH|6364017057317639437</stp>
        <tr r="P40" s="17"/>
      </tp>
      <tp t="e">
        <v>#N/A</v>
        <stp/>
        <stp>BDH|3089585061148039896</stp>
        <tr r="Q186" s="18"/>
      </tp>
      <tp t="e">
        <v>#N/A</v>
        <stp/>
        <stp>BDH|8474989208474023541</stp>
        <tr r="F26" s="6"/>
      </tp>
      <tp t="e">
        <v>#N/A</v>
        <stp/>
        <stp>BDH|2719007504813560161</stp>
        <tr r="C14" s="10"/>
      </tp>
      <tp t="e">
        <v>#N/A</v>
        <stp/>
        <stp>BDH|8121848660917332168</stp>
        <tr r="G151" s="18"/>
      </tp>
      <tp t="e">
        <v>#N/A</v>
        <stp/>
        <stp>BDH|1110977489652796281</stp>
        <tr r="N17" s="14"/>
      </tp>
      <tp t="e">
        <v>#N/A</v>
        <stp/>
        <stp>BDH|3540652355393543309</stp>
        <tr r="V97" s="18"/>
      </tp>
      <tp t="e">
        <v>#N/A</v>
        <stp/>
        <stp>BDH|7592155076136566730</stp>
        <tr r="D30" s="24"/>
      </tp>
      <tp t="e">
        <v>#N/A</v>
        <stp/>
        <stp>BDH|3332793002913811703</stp>
        <tr r="D162" s="18"/>
      </tp>
      <tp t="e">
        <v>#N/A</v>
        <stp/>
        <stp>BDH|8452634155612240908</stp>
        <tr r="J28" s="22"/>
      </tp>
      <tp t="e">
        <v>#N/A</v>
        <stp/>
        <stp>BDH|4144511863485689252</stp>
        <tr r="C66" s="17"/>
      </tp>
      <tp t="e">
        <v>#N/A</v>
        <stp/>
        <stp>BDH|4529768860852209719</stp>
        <tr r="H9" s="6"/>
      </tp>
      <tp t="e">
        <v>#N/A</v>
        <stp/>
        <stp>BDH|3517351914626582715</stp>
        <tr r="O16" s="24"/>
      </tp>
      <tp t="e">
        <v>#N/A</v>
        <stp/>
        <stp>BDH|6660362776751615308</stp>
        <tr r="W200" s="18"/>
      </tp>
      <tp t="e">
        <v>#N/A</v>
        <stp/>
        <stp>BDH|2746111254521298703</stp>
        <tr r="Y117" s="12"/>
      </tp>
      <tp t="e">
        <v>#N/A</v>
        <stp/>
        <stp>BDH|7191073405421145627</stp>
        <tr r="R51" s="17"/>
      </tp>
      <tp t="e">
        <v>#N/A</v>
        <stp/>
        <stp>BDH|6159546466165085037</stp>
        <tr r="P34" s="26"/>
      </tp>
      <tp t="e">
        <v>#N/A</v>
        <stp/>
        <stp>BDH|1197166814429609857</stp>
        <tr r="Q16" s="14"/>
      </tp>
      <tp t="e">
        <v>#N/A</v>
        <stp/>
        <stp>BDH|1752413641641395045</stp>
        <tr r="W93" s="12"/>
      </tp>
      <tp t="e">
        <v>#N/A</v>
        <stp/>
        <stp>BDH|9250762538514471989</stp>
        <tr r="H17" s="14"/>
      </tp>
      <tp t="e">
        <v>#N/A</v>
        <stp/>
        <stp>BDH|1395307867742706635</stp>
        <tr r="S9" s="34"/>
      </tp>
      <tp t="e">
        <v>#N/A</v>
        <stp/>
        <stp>BDH|4765682572697981246</stp>
        <tr r="T49" s="21"/>
      </tp>
      <tp t="e">
        <v>#N/A</v>
        <stp/>
        <stp>BDH|1077323551605184225</stp>
        <tr r="N63" s="34"/>
      </tp>
      <tp t="e">
        <v>#N/A</v>
        <stp/>
        <stp>BDH|6091215206161454537</stp>
        <tr r="U38" s="25"/>
      </tp>
      <tp t="e">
        <v>#N/A</v>
        <stp/>
        <stp>BDH|9409197787803393399</stp>
        <tr r="N109" s="12"/>
      </tp>
      <tp t="e">
        <v>#N/A</v>
        <stp/>
        <stp>BDH|4056370735027484363</stp>
        <tr r="H199" s="18"/>
      </tp>
      <tp t="e">
        <v>#N/A</v>
        <stp/>
        <stp>BDH|1096868667989009616</stp>
        <tr r="D185" s="18"/>
      </tp>
      <tp t="e">
        <v>#N/A</v>
        <stp/>
        <stp>BDH|9851872228246738508</stp>
        <tr r="U23" s="10"/>
      </tp>
      <tp t="e">
        <v>#N/A</v>
        <stp/>
        <stp>BDH|8373488670178373398</stp>
        <tr r="D42" s="22"/>
      </tp>
      <tp t="e">
        <v>#N/A</v>
        <stp/>
        <stp>BDH|9330537864569262376</stp>
        <tr r="Q60" s="17"/>
      </tp>
      <tp t="e">
        <v>#N/A</v>
        <stp/>
        <stp>BDH|1707774336894042179</stp>
        <tr r="C36" s="13"/>
      </tp>
      <tp t="e">
        <v>#N/A</v>
        <stp/>
        <stp>BDH|2640334122111559235</stp>
        <tr r="F72" s="12"/>
      </tp>
      <tp t="e">
        <v>#N/A</v>
        <stp/>
        <stp>BDH|5789466037850618217</stp>
        <tr r="M16" s="34"/>
      </tp>
      <tp t="e">
        <v>#N/A</v>
        <stp/>
        <stp>BDH|1927365473952486796</stp>
        <tr r="R134" s="18"/>
      </tp>
      <tp t="e">
        <v>#N/A</v>
        <stp/>
        <stp>BDH|2101713873056244407</stp>
        <tr r="Y64" s="17"/>
      </tp>
      <tp t="e">
        <v>#N/A</v>
        <stp/>
        <stp>BDH|3019640822124667315</stp>
        <tr r="J56" s="6"/>
      </tp>
      <tp t="e">
        <v>#N/A</v>
        <stp/>
        <stp>BDH|2462342636801374348</stp>
        <tr r="H7" s="6"/>
      </tp>
      <tp t="e">
        <v>#N/A</v>
        <stp/>
        <stp>BDH|8325574492810353448</stp>
        <tr r="R20" s="25"/>
      </tp>
      <tp t="e">
        <v>#N/A</v>
        <stp/>
        <stp>BDH|7975295916706575221</stp>
        <tr r="C26" s="21"/>
      </tp>
      <tp t="e">
        <v>#N/A</v>
        <stp/>
        <stp>BDH|6177895690385933201</stp>
        <tr r="V21" s="24"/>
      </tp>
      <tp t="e">
        <v>#N/A</v>
        <stp/>
        <stp>BDH|7287214964221548238</stp>
        <tr r="AA187" s="18"/>
      </tp>
      <tp t="e">
        <v>#N/A</v>
        <stp/>
        <stp>BDH|5741117552903512209</stp>
        <tr r="F68" s="12"/>
      </tp>
      <tp t="e">
        <v>#N/A</v>
        <stp/>
        <stp>BDH|1828430644256844766</stp>
        <tr r="F66" s="10"/>
        <tr r="F39" s="4"/>
      </tp>
      <tp t="e">
        <v>#N/A</v>
        <stp/>
        <stp>BDH|2199491508924134200</stp>
        <tr r="P49" s="4"/>
      </tp>
      <tp t="e">
        <v>#N/A</v>
        <stp/>
        <stp>BDH|6592233435473125439</stp>
        <tr r="Q108" s="18"/>
      </tp>
      <tp t="e">
        <v>#N/A</v>
        <stp/>
        <stp>BDH|9721524454471354832</stp>
        <tr r="G7" s="4"/>
      </tp>
      <tp t="e">
        <v>#N/A</v>
        <stp/>
        <stp>BDH|1776077157673451726</stp>
        <tr r="X53" s="13"/>
      </tp>
      <tp t="e">
        <v>#N/A</v>
        <stp/>
        <stp>BDH|9674073333462352800</stp>
        <tr r="Q22" s="11"/>
      </tp>
      <tp t="e">
        <v>#N/A</v>
        <stp/>
        <stp>BDH|4538074756412524304</stp>
        <tr r="T47" s="12"/>
      </tp>
      <tp t="e">
        <v>#N/A</v>
        <stp/>
        <stp>BDH|4578877133789643667</stp>
        <tr r="R83" s="18"/>
      </tp>
      <tp t="e">
        <v>#N/A</v>
        <stp/>
        <stp>BDH|4425038141916126665</stp>
        <tr r="Y101" s="18"/>
      </tp>
      <tp t="e">
        <v>#N/A</v>
        <stp/>
        <stp>BDH|4319286393529150683</stp>
        <tr r="C60" s="17"/>
      </tp>
      <tp t="e">
        <v>#N/A</v>
        <stp/>
        <stp>BDH|3873707626395955362</stp>
        <tr r="N41" s="29"/>
        <tr r="N18" s="29"/>
      </tp>
      <tp t="e">
        <v>#N/A</v>
        <stp/>
        <stp>BDH|9222713826405083949</stp>
        <tr r="R21" s="30"/>
      </tp>
      <tp t="e">
        <v>#N/A</v>
        <stp/>
        <stp>BDH|2428007567222455666</stp>
        <tr r="P18" s="27"/>
        <tr r="P32" s="25"/>
      </tp>
      <tp t="e">
        <v>#N/A</v>
        <stp/>
        <stp>BDH|9560906473181054673</stp>
        <tr r="C21" s="11"/>
      </tp>
      <tp t="e">
        <v>#N/A</v>
        <stp/>
        <stp>BDH|8489604973450173979</stp>
        <tr r="Z125" s="12"/>
      </tp>
      <tp t="e">
        <v>#N/A</v>
        <stp/>
        <stp>BDH|6421703108165477491</stp>
        <tr r="O49" s="21"/>
      </tp>
      <tp t="e">
        <v>#N/A</v>
        <stp/>
        <stp>BDH|1658881813098898044</stp>
        <tr r="S107" s="12"/>
      </tp>
      <tp t="e">
        <v>#N/A</v>
        <stp/>
        <stp>BDH|2697811187313029110</stp>
        <tr r="M21" s="12"/>
      </tp>
      <tp t="e">
        <v>#N/A</v>
        <stp/>
        <stp>BDH|4638016960025154778</stp>
        <tr r="V36" s="13"/>
        <tr r="T29" s="10"/>
      </tp>
      <tp t="e">
        <v>#N/A</v>
        <stp/>
        <stp>BDH|2387670710466537307</stp>
        <tr r="E91" s="17"/>
      </tp>
      <tp t="e">
        <v>#N/A</v>
        <stp/>
        <stp>BDH|8219411680095384110</stp>
        <tr r="G8" s="25"/>
        <tr r="D10" s="5"/>
        <tr r="E9" s="2"/>
      </tp>
      <tp t="e">
        <v>#N/A</v>
        <stp/>
        <stp>BDH|4560533306944652572</stp>
        <tr r="U44" s="6"/>
      </tp>
      <tp t="e">
        <v>#N/A</v>
        <stp/>
        <stp>BDH|6345607556772186757</stp>
        <tr r="V79" s="18"/>
      </tp>
      <tp t="e">
        <v>#N/A</v>
        <stp/>
        <stp>BDH|1564779881267217907</stp>
        <tr r="T59" s="24"/>
      </tp>
      <tp t="e">
        <v>#N/A</v>
        <stp/>
        <stp>BDH|6015834041472529868</stp>
        <tr r="I34" s="22"/>
      </tp>
      <tp t="e">
        <v>#N/A</v>
        <stp/>
        <stp>BDH|1586404904376277325</stp>
        <tr r="Y23" s="20"/>
      </tp>
      <tp t="e">
        <v>#N/A</v>
        <stp/>
        <stp>BDH|6889716579564853293</stp>
        <tr r="I10" s="13"/>
      </tp>
      <tp t="e">
        <v>#N/A</v>
        <stp/>
        <stp>BDH|9177838430137516563</stp>
        <tr r="Z114" s="12"/>
      </tp>
      <tp t="e">
        <v>#N/A</v>
        <stp/>
        <stp>BDH|5441354015557317068</stp>
        <tr r="M21" s="24"/>
      </tp>
      <tp t="e">
        <v>#N/A</v>
        <stp/>
        <stp>BDH|8821680403119077728</stp>
        <tr r="W185" s="18"/>
      </tp>
      <tp t="e">
        <v>#N/A</v>
        <stp/>
        <stp>BDH|9923797716366406939</stp>
        <tr r="I51" s="12"/>
      </tp>
      <tp t="e">
        <v>#N/A</v>
        <stp/>
        <stp>BDH|8576809676003755454</stp>
        <tr r="N41" s="11"/>
        <tr r="N50" s="10"/>
        <tr r="N8" s="7"/>
        <tr r="P11" s="3"/>
      </tp>
      <tp t="e">
        <v>#N/A</v>
        <stp/>
        <stp>BDH|7263663057416364219</stp>
        <tr r="E52" s="17"/>
      </tp>
      <tp t="e">
        <v>#N/A</v>
        <stp/>
        <stp>BDH|9397152761497605901</stp>
        <tr r="U19" s="22"/>
      </tp>
      <tp t="e">
        <v>#N/A</v>
        <stp/>
        <stp>BDH|5335743216996800587</stp>
        <tr r="C31" s="9"/>
      </tp>
      <tp t="e">
        <v>#N/A</v>
        <stp/>
        <stp>BDH|1523394339211675052</stp>
        <tr r="Y19" s="18"/>
      </tp>
      <tp t="e">
        <v>#N/A</v>
        <stp/>
        <stp>BDH|9489068390358338871</stp>
        <tr r="Q42" s="4"/>
      </tp>
      <tp t="e">
        <v>#N/A</v>
        <stp/>
        <stp>BDH|2121011951375751204</stp>
        <tr r="L37" s="21"/>
      </tp>
      <tp t="e">
        <v>#N/A</v>
        <stp/>
        <stp>BDH|4948373471770135082</stp>
        <tr r="O13" s="26"/>
      </tp>
      <tp t="e">
        <v>#N/A</v>
        <stp/>
        <stp>BDH|1241369478815234086</stp>
        <tr r="Q46" s="11"/>
        <tr r="Q55" s="10"/>
        <tr r="Q7" s="7"/>
        <tr r="S12" s="3"/>
      </tp>
      <tp t="e">
        <v>#N/A</v>
        <stp/>
        <stp>BDH|1219986867739940724</stp>
        <tr r="F48" s="13"/>
      </tp>
      <tp t="e">
        <v>#N/A</v>
        <stp/>
        <stp>BDH|5680439485700106976</stp>
        <tr r="I38" s="13"/>
        <tr r="G31" s="10"/>
      </tp>
      <tp t="e">
        <v>#N/A</v>
        <stp/>
        <stp>BDH|5572686469300792558</stp>
        <tr r="L20" s="29"/>
      </tp>
      <tp t="e">
        <v>#N/A</v>
        <stp/>
        <stp>BDH|7434456791332444821</stp>
        <tr r="F17" s="18"/>
      </tp>
      <tp t="e">
        <v>#N/A</v>
        <stp/>
        <stp>BDH|2432811735761335855</stp>
        <tr r="O129" s="18"/>
      </tp>
      <tp t="e">
        <v>#N/A</v>
        <stp/>
        <stp>BDH|7212604422063626005</stp>
        <tr r="M31" s="26"/>
        <tr r="J14" s="9"/>
      </tp>
      <tp t="e">
        <v>#N/A</v>
        <stp/>
        <stp>BDH|4023642375134173164</stp>
        <tr r="AA25" s="3"/>
      </tp>
      <tp t="e">
        <v>#N/A</v>
        <stp/>
        <stp>BDH|7536741672621262670</stp>
        <tr r="P42" s="22"/>
      </tp>
      <tp t="e">
        <v>#N/A</v>
        <stp/>
        <stp>BDH|7117718453982578705</stp>
        <tr r="M178" s="18"/>
      </tp>
      <tp t="e">
        <v>#N/A</v>
        <stp/>
        <stp>BDH|2801234643986974278</stp>
        <tr r="E12" s="6"/>
      </tp>
      <tp t="e">
        <v>#N/A</v>
        <stp/>
        <stp>BDH|1316100940185255170</stp>
        <tr r="D14" s="27"/>
        <tr r="D28" s="25"/>
      </tp>
      <tp t="e">
        <v>#N/A</v>
        <stp/>
        <stp>BDH|1859780147704902687</stp>
        <tr r="S26" s="34"/>
      </tp>
      <tp t="e">
        <v>#N/A</v>
        <stp/>
        <stp>BDH|2981438137313805637</stp>
        <tr r="I65" s="10"/>
        <tr r="I25" s="4"/>
      </tp>
      <tp t="e">
        <v>#N/A</v>
        <stp/>
        <stp>BDH|3560527524353551703</stp>
        <tr r="N33" s="24"/>
      </tp>
      <tp t="e">
        <v>#N/A</v>
        <stp/>
        <stp>BDH|6304831675818790144</stp>
        <tr r="N7" s="24"/>
      </tp>
      <tp t="e">
        <v>#N/A</v>
        <stp/>
        <stp>BDH|1483505223396036019</stp>
        <tr r="O66" s="17"/>
      </tp>
      <tp t="e">
        <v>#N/A</v>
        <stp/>
        <stp>BDH|1961449632642949409</stp>
        <tr r="C142" s="18"/>
      </tp>
      <tp t="e">
        <v>#N/A</v>
        <stp/>
        <stp>BDH|8476553285402513776</stp>
        <tr r="N6" s="8"/>
        <tr r="L51" s="6"/>
      </tp>
      <tp t="e">
        <v>#N/A</v>
        <stp/>
        <stp>BDH|3477676215651225523</stp>
        <tr r="K57" s="24"/>
      </tp>
      <tp t="e">
        <v>#N/A</v>
        <stp/>
        <stp>BDH|9743320523221471947</stp>
        <tr r="K36" s="14"/>
      </tp>
      <tp t="e">
        <v>#N/A</v>
        <stp/>
        <stp>BDH|5735727942825099313</stp>
        <tr r="V113" s="12"/>
      </tp>
      <tp t="e">
        <v>#N/A</v>
        <stp/>
        <stp>BDH|1691212825598703938</stp>
        <tr r="Y13" s="28"/>
        <tr r="Y96" s="17"/>
      </tp>
      <tp t="e">
        <v>#N/A</v>
        <stp/>
        <stp>BDH|9870651389660548772</stp>
        <tr r="U31" s="21"/>
      </tp>
      <tp t="e">
        <v>#N/A</v>
        <stp/>
        <stp>BDH|5580007070901409370</stp>
        <tr r="K22" s="18"/>
      </tp>
      <tp t="e">
        <v>#N/A</v>
        <stp/>
        <stp>BDH|2150751103203276638</stp>
        <tr r="S14" s="12"/>
      </tp>
      <tp t="e">
        <v>#N/A</v>
        <stp/>
        <stp>BDH|8155669932825640859</stp>
        <tr r="N26" s="13"/>
      </tp>
      <tp t="e">
        <v>#N/A</v>
        <stp/>
        <stp>BDH|1596423184108028550</stp>
        <tr r="M67" s="12"/>
      </tp>
      <tp t="e">
        <v>#N/A</v>
        <stp/>
        <stp>BDH|3358707951081281063</stp>
        <tr r="F65" s="10"/>
        <tr r="F25" s="4"/>
      </tp>
      <tp t="e">
        <v>#N/A</v>
        <stp/>
        <stp>BDH|5255814990901125543</stp>
        <tr r="N16" s="24"/>
      </tp>
      <tp t="e">
        <v>#N/A</v>
        <stp/>
        <stp>BDH|5853518488549335143</stp>
        <tr r="W52" s="12"/>
      </tp>
      <tp t="e">
        <v>#N/A</v>
        <stp/>
        <stp>BDH|2702231717229080853</stp>
        <tr r="G61" s="17"/>
      </tp>
      <tp t="e">
        <v>#N/A</v>
        <stp/>
        <stp>BDH|8639218119638967313</stp>
        <tr r="E66" s="18"/>
      </tp>
      <tp t="e">
        <v>#N/A</v>
        <stp/>
        <stp>BDH|5148729369975953159</stp>
        <tr r="S25" s="13"/>
      </tp>
      <tp t="e">
        <v>#N/A</v>
        <stp/>
        <stp>BDH|6644520200527082422</stp>
        <tr r="Z61" s="18"/>
      </tp>
      <tp t="e">
        <v>#N/A</v>
        <stp/>
        <stp>BDH|2041374941030724579</stp>
        <tr r="C28" s="14"/>
      </tp>
      <tp t="e">
        <v>#N/A</v>
        <stp/>
        <stp>BDH|3396534746141162310</stp>
        <tr r="R18" s="27"/>
        <tr r="R32" s="25"/>
      </tp>
      <tp t="e">
        <v>#N/A</v>
        <stp/>
        <stp>BDH|1274546612812110732</stp>
        <tr r="K34" s="17"/>
      </tp>
      <tp t="e">
        <v>#N/A</v>
        <stp/>
        <stp>BDH|4275242591128881796</stp>
        <tr r="C25" s="11"/>
        <tr r="C34" s="10"/>
      </tp>
      <tp t="e">
        <v>#N/A</v>
        <stp/>
        <stp>BDH|4029928283252564724</stp>
        <tr r="X158" s="18"/>
      </tp>
      <tp t="e">
        <v>#N/A</v>
        <stp/>
        <stp>BDH|7038746407214599403</stp>
        <tr r="H35" s="26"/>
      </tp>
      <tp t="e">
        <v>#N/A</v>
        <stp/>
        <stp>BDH|1659533050586064738</stp>
        <tr r="X21" s="20"/>
      </tp>
      <tp t="e">
        <v>#N/A</v>
        <stp/>
        <stp>BDH|6555364571362498006</stp>
        <tr r="O9" s="14"/>
      </tp>
      <tp t="e">
        <v>#N/A</v>
        <stp/>
        <stp>BDH|1783538224073681507</stp>
        <tr r="N52" s="24"/>
      </tp>
      <tp t="e">
        <v>#N/A</v>
        <stp/>
        <stp>BDH|5882740199669032232</stp>
        <tr r="P17" s="6"/>
      </tp>
      <tp t="e">
        <v>#N/A</v>
        <stp/>
        <stp>BDH|6581053460508736812</stp>
        <tr r="D33" s="9"/>
      </tp>
      <tp t="e">
        <v>#N/A</v>
        <stp/>
        <stp>BDH|1191661000785473257</stp>
        <tr r="G17" s="21"/>
      </tp>
      <tp t="e">
        <v>#N/A</v>
        <stp/>
        <stp>BDH|8511269498546951546</stp>
        <tr r="C104" s="12"/>
      </tp>
      <tp t="e">
        <v>#N/A</v>
        <stp/>
        <stp>BDH|8601873939944604784</stp>
        <tr r="L32" s="13"/>
        <tr r="J24" s="11"/>
        <tr r="J33" s="10"/>
        <tr r="J45" s="4"/>
      </tp>
      <tp t="e">
        <v>#N/A</v>
        <stp/>
        <stp>BDH|2325951661739330436</stp>
        <tr r="L19" s="24"/>
      </tp>
      <tp t="e">
        <v>#N/A</v>
        <stp/>
        <stp>BDH|5029188011092720799</stp>
        <tr r="J28" s="4"/>
      </tp>
      <tp t="e">
        <v>#N/A</v>
        <stp/>
        <stp>BDH|2777592718451538743</stp>
        <tr r="Q97" s="18"/>
      </tp>
      <tp t="e">
        <v>#N/A</v>
        <stp/>
        <stp>BDH|3396419316342747447</stp>
        <tr r="Y145" s="18"/>
      </tp>
      <tp t="e">
        <v>#N/A</v>
        <stp/>
        <stp>BDH|2600736368171957232</stp>
        <tr r="C124" s="12"/>
      </tp>
      <tp t="e">
        <v>#N/A</v>
        <stp/>
        <stp>BDH|6291578605132027172</stp>
        <tr r="AA40" s="18"/>
      </tp>
      <tp t="e">
        <v>#N/A</v>
        <stp/>
        <stp>BDH|1789308660414813085</stp>
        <tr r="O33" s="11"/>
        <tr r="O42" s="10"/>
      </tp>
      <tp t="e">
        <v>#N/A</v>
        <stp/>
        <stp>BDH|9918890291141140974</stp>
        <tr r="X212" s="18"/>
      </tp>
      <tp t="e">
        <v>#N/A</v>
        <stp/>
        <stp>BDH|6449091366161573193</stp>
        <tr r="T16" s="22"/>
      </tp>
      <tp t="e">
        <v>#N/A</v>
        <stp/>
        <stp>BDH|3550642111545041175</stp>
        <tr r="D11" s="24"/>
      </tp>
      <tp t="e">
        <v>#N/A</v>
        <stp/>
        <stp>BDH|4359054212321110420</stp>
        <tr r="K54" s="17"/>
        <tr r="K17" s="3"/>
      </tp>
      <tp t="e">
        <v>#N/A</v>
        <stp/>
        <stp>BDH|9138547611638466577</stp>
        <tr r="C22" s="18"/>
      </tp>
      <tp t="e">
        <v>#N/A</v>
        <stp/>
        <stp>BDH|6288546197083442928</stp>
        <tr r="Y105" s="12"/>
      </tp>
      <tp t="e">
        <v>#N/A</v>
        <stp/>
        <stp>BDH|3866622968716353564</stp>
        <tr r="R89" s="12"/>
      </tp>
      <tp t="e">
        <v>#N/A</v>
        <stp/>
        <stp>BDH|8520671027808286406</stp>
        <tr r="U81" s="24"/>
      </tp>
      <tp t="e">
        <v>#N/A</v>
        <stp/>
        <stp>BDH|8717178908710839978</stp>
        <tr r="Q17" s="24"/>
      </tp>
      <tp t="e">
        <v>#N/A</v>
        <stp/>
        <stp>BDH|9209144424588113245</stp>
        <tr r="K36" s="18"/>
      </tp>
      <tp t="e">
        <v>#N/A</v>
        <stp/>
        <stp>BDH|6021507418460813275</stp>
        <tr r="AA39" s="24"/>
      </tp>
      <tp t="e">
        <v>#N/A</v>
        <stp/>
        <stp>BDH|5604530452405503051</stp>
        <tr r="Y37" s="25"/>
        <tr r="Y59" s="21"/>
        <tr r="W53" s="11"/>
        <tr r="W31" s="4"/>
      </tp>
      <tp t="e">
        <v>#N/A</v>
        <stp/>
        <stp>BDH|9411450910525224943</stp>
        <tr r="AA50" s="24"/>
      </tp>
      <tp t="e">
        <v>#N/A</v>
        <stp/>
        <stp>BDH|2070621930712667532</stp>
        <tr r="F31" s="17"/>
      </tp>
      <tp t="e">
        <v>#N/A</v>
        <stp/>
        <stp>BDH|2885942168375553868</stp>
        <tr r="T89" s="18"/>
      </tp>
      <tp t="e">
        <v>#N/A</v>
        <stp/>
        <stp>BDH|6770935246163515806</stp>
        <tr r="H30" s="22"/>
      </tp>
      <tp t="e">
        <v>#N/A</v>
        <stp/>
        <stp>BDH|9116666145662508905</stp>
        <tr r="S12" s="12"/>
      </tp>
      <tp t="e">
        <v>#N/A</v>
        <stp/>
        <stp>BDH|5956222265030084198</stp>
        <tr r="R21" s="2"/>
      </tp>
      <tp t="e">
        <v>#N/A</v>
        <stp/>
        <stp>BDH|6611654702110153077</stp>
        <tr r="V149" s="18"/>
      </tp>
      <tp t="e">
        <v>#N/A</v>
        <stp/>
        <stp>BDH|8115551145021372851</stp>
        <tr r="V108" s="12"/>
      </tp>
      <tp t="e">
        <v>#N/A</v>
        <stp/>
        <stp>BDH|4814003027704973214</stp>
        <tr r="G60" s="18"/>
      </tp>
      <tp t="e">
        <v>#N/A</v>
        <stp/>
        <stp>BDH|9135802331365303744</stp>
        <tr r="X22" s="7"/>
      </tp>
      <tp t="e">
        <v>#N/A</v>
        <stp/>
        <stp>BDH|3771542586417008927</stp>
        <tr r="H31" s="26"/>
        <tr r="E14" s="9"/>
      </tp>
      <tp t="e">
        <v>#N/A</v>
        <stp/>
        <stp>BDH|6624805361600278820</stp>
        <tr r="W36" s="4"/>
      </tp>
      <tp t="e">
        <v>#N/A</v>
        <stp/>
        <stp>BDH|1419762435974953199</stp>
        <tr r="Y211" s="18"/>
      </tp>
      <tp t="e">
        <v>#N/A</v>
        <stp/>
        <stp>BDH|7019283229747374054</stp>
        <tr r="R27" s="26"/>
      </tp>
      <tp t="e">
        <v>#N/A</v>
        <stp/>
        <stp>BDH|4470199061352271193</stp>
        <tr r="Z93" s="12"/>
      </tp>
      <tp t="e">
        <v>#N/A</v>
        <stp/>
        <stp>BDH|7057746305857455727</stp>
        <tr r="I52" s="13"/>
      </tp>
      <tp t="e">
        <v>#N/A</v>
        <stp/>
        <stp>BDH|6316776719239383995</stp>
        <tr r="I50" s="21"/>
      </tp>
      <tp t="e">
        <v>#N/A</v>
        <stp/>
        <stp>BDH|1683265191778329253</stp>
        <tr r="V79" s="34"/>
      </tp>
      <tp t="e">
        <v>#N/A</v>
        <stp/>
        <stp>BDH|7120951230429552468</stp>
        <tr r="R15" s="34"/>
      </tp>
      <tp t="e">
        <v>#N/A</v>
        <stp/>
        <stp>BDH|5956811152800834855</stp>
        <tr r="AA77" s="24"/>
      </tp>
      <tp t="e">
        <v>#N/A</v>
        <stp/>
        <stp>BDH|9297882590858998040</stp>
        <tr r="E60" s="18"/>
      </tp>
      <tp t="e">
        <v>#N/A</v>
        <stp/>
        <stp>BDH|5780013821895265228</stp>
        <tr r="T52" s="12"/>
      </tp>
      <tp t="e">
        <v>#N/A</v>
        <stp/>
        <stp>BDH|6581775200384171544</stp>
        <tr r="Z14" s="24"/>
      </tp>
      <tp t="e">
        <v>#N/A</v>
        <stp/>
        <stp>BDH|2577438087417627905</stp>
        <tr r="L60" s="17"/>
      </tp>
      <tp t="e">
        <v>#N/A</v>
        <stp/>
        <stp>BDH|3197740159632368385</stp>
        <tr r="N26" s="18"/>
      </tp>
      <tp t="e">
        <v>#N/A</v>
        <stp/>
        <stp>BDH|4002607591898017362</stp>
        <tr r="E48" s="18"/>
      </tp>
      <tp t="e">
        <v>#N/A</v>
        <stp/>
        <stp>BDH|8603350444849508654</stp>
        <tr r="R82" s="24"/>
      </tp>
      <tp t="e">
        <v>#N/A</v>
        <stp/>
        <stp>BDH|2661176326164372539</stp>
        <tr r="M42" s="6"/>
      </tp>
      <tp t="e">
        <v>#N/A</v>
        <stp/>
        <stp>BDH|2726079272351300467</stp>
        <tr r="E78" s="17"/>
      </tp>
      <tp t="e">
        <v>#N/A</v>
        <stp/>
        <stp>BDH|7132249545533669216</stp>
        <tr r="K14" s="8"/>
      </tp>
      <tp t="e">
        <v>#N/A</v>
        <stp/>
        <stp>BDH|4269461763490749678</stp>
        <tr r="M28" s="12"/>
      </tp>
      <tp t="e">
        <v>#N/A</v>
        <stp/>
        <stp>BDH|3198308324436187432</stp>
        <tr r="X30" s="24"/>
      </tp>
      <tp t="e">
        <v>#N/A</v>
        <stp/>
        <stp>BDH|2489134923787129627</stp>
        <tr r="K98" s="12"/>
      </tp>
      <tp t="e">
        <v>#N/A</v>
        <stp/>
        <stp>BDH|5889794869385798188</stp>
        <tr r="I72" s="18"/>
      </tp>
      <tp t="e">
        <v>#N/A</v>
        <stp/>
        <stp>BDH|3184477572775345502</stp>
        <tr r="Q142" s="18"/>
      </tp>
      <tp t="e">
        <v>#N/A</v>
        <stp/>
        <stp>BDH|9155633187321743660</stp>
        <tr r="N57" s="34"/>
      </tp>
      <tp t="e">
        <v>#N/A</v>
        <stp/>
        <stp>BDH|8932280435671367832</stp>
        <tr r="H43" s="22"/>
      </tp>
      <tp t="e">
        <v>#N/A</v>
        <stp/>
        <stp>BDH|5170316259463525086</stp>
        <tr r="E72" s="18"/>
      </tp>
      <tp t="e">
        <v>#N/A</v>
        <stp/>
        <stp>BDH|1334545957368459901</stp>
        <tr r="C108" s="18"/>
      </tp>
      <tp t="e">
        <v>#N/A</v>
        <stp/>
        <stp>BDH|2774475633521402436</stp>
        <tr r="Q29" s="6"/>
      </tp>
      <tp t="e">
        <v>#N/A</v>
        <stp/>
        <stp>BDH|4729502460706030135</stp>
        <tr r="AA9" s="26"/>
      </tp>
      <tp t="e">
        <v>#N/A</v>
        <stp/>
        <stp>BDH|6316841105086230842</stp>
        <tr r="G20" s="10"/>
      </tp>
      <tp t="e">
        <v>#N/A</v>
        <stp/>
        <stp>BDH|2370077382892083821</stp>
        <tr r="V44" s="22"/>
      </tp>
      <tp t="e">
        <v>#N/A</v>
        <stp/>
        <stp>BDH|3530163837241449046</stp>
        <tr r="C43" s="22"/>
      </tp>
      <tp t="e">
        <v>#N/A</v>
        <stp/>
        <stp>BDH|4303150601366123321</stp>
        <tr r="W18" s="10"/>
      </tp>
      <tp t="e">
        <v>#N/A</v>
        <stp/>
        <stp>BDH|4580452056683548678</stp>
        <tr r="V190" s="18"/>
      </tp>
      <tp t="e">
        <v>#N/A</v>
        <stp/>
        <stp>BDH|2402710013602110637</stp>
        <tr r="X169" s="18"/>
      </tp>
      <tp t="e">
        <v>#N/A</v>
        <stp/>
        <stp>BDH|8348857145627027377</stp>
        <tr r="C81" s="17"/>
      </tp>
      <tp t="e">
        <v>#N/A</v>
        <stp/>
        <stp>BDH|7660091852640903201</stp>
        <tr r="C14" s="3"/>
      </tp>
      <tp t="e">
        <v>#N/A</v>
        <stp/>
        <stp>BDH|6943002923516922271</stp>
        <tr r="U54" s="24"/>
      </tp>
      <tp t="e">
        <v>#N/A</v>
        <stp/>
        <stp>BDH|3861757719413352633</stp>
        <tr r="AA130" s="18"/>
      </tp>
      <tp t="e">
        <v>#N/A</v>
        <stp/>
        <stp>BDH|6386835961609681130</stp>
        <tr r="X33" s="21"/>
      </tp>
      <tp t="e">
        <v>#N/A</v>
        <stp/>
        <stp>BDH|6316610926413261120</stp>
        <tr r="Q30" s="24"/>
      </tp>
      <tp t="e">
        <v>#N/A</v>
        <stp/>
        <stp>BDH|7120740550175598049</stp>
        <tr r="D8" s="24"/>
      </tp>
      <tp t="e">
        <v>#N/A</v>
        <stp/>
        <stp>BDH|9158893316819896925</stp>
        <tr r="H107" s="18"/>
      </tp>
      <tp t="e">
        <v>#N/A</v>
        <stp/>
        <stp>BDH|8853784471048369065</stp>
        <tr r="I14" s="27"/>
        <tr r="I28" s="25"/>
      </tp>
      <tp t="e">
        <v>#N/A</v>
        <stp/>
        <stp>BDH|5604262652002176070</stp>
        <tr r="S32" s="21"/>
      </tp>
      <tp t="e">
        <v>#N/A</v>
        <stp/>
        <stp>BDH|4654656152747024053</stp>
        <tr r="T95" s="18"/>
      </tp>
      <tp t="e">
        <v>#N/A</v>
        <stp/>
        <stp>BDH|8792083749415726959</stp>
        <tr r="R50" s="34"/>
      </tp>
      <tp t="e">
        <v>#N/A</v>
        <stp/>
        <stp>BDH|1135338637052865398</stp>
        <tr r="D16" s="23"/>
      </tp>
      <tp t="e">
        <v>#N/A</v>
        <stp/>
        <stp>BDH|2819038658181758608</stp>
        <tr r="F70" s="34"/>
      </tp>
      <tp t="e">
        <v>#N/A</v>
        <stp/>
        <stp>BDH|9113361082612249037</stp>
        <tr r="V40" s="13"/>
        <tr r="T24" s="10"/>
        <tr r="T46" s="4"/>
      </tp>
      <tp t="e">
        <v>#N/A</v>
        <stp/>
        <stp>BDH|9124535015688617555</stp>
        <tr r="L15" s="18"/>
      </tp>
      <tp t="e">
        <v>#N/A</v>
        <stp/>
        <stp>BDH|2161751363663630056</stp>
        <tr r="D8" s="26"/>
      </tp>
      <tp t="e">
        <v>#N/A</v>
        <stp/>
        <stp>BDH|8633322780060157310</stp>
        <tr r="I90" s="17"/>
      </tp>
      <tp t="e">
        <v>#N/A</v>
        <stp/>
        <stp>BDH|2058740807377331242</stp>
        <tr r="V12" s="13"/>
      </tp>
      <tp t="e">
        <v>#N/A</v>
        <stp/>
        <stp>BDH|3308174966822223649</stp>
        <tr r="E34" s="22"/>
      </tp>
      <tp t="e">
        <v>#N/A</v>
        <stp/>
        <stp>BDH|7551224952769704961</stp>
        <tr r="S112" s="12"/>
      </tp>
      <tp t="e">
        <v>#N/A</v>
        <stp/>
        <stp>BDH|4109926984127736242</stp>
        <tr r="E38" s="6"/>
      </tp>
      <tp t="e">
        <v>#N/A</v>
        <stp/>
        <stp>BDH|2001133636166406654</stp>
        <tr r="W46" s="17"/>
      </tp>
      <tp t="e">
        <v>#N/A</v>
        <stp/>
        <stp>BDH|3743844854736738842</stp>
        <tr r="K213" s="18"/>
      </tp>
      <tp t="e">
        <v>#N/A</v>
        <stp/>
        <stp>BDH|8619584016098840447</stp>
        <tr r="I41" s="12"/>
      </tp>
      <tp t="e">
        <v>#N/A</v>
        <stp/>
        <stp>BDH|1486346999982555984</stp>
        <tr r="M66" s="17"/>
      </tp>
      <tp t="e">
        <v>#N/A</v>
        <stp/>
        <stp>BDH|7554621939925832728</stp>
        <tr r="W12" s="25"/>
      </tp>
      <tp t="e">
        <v>#N/A</v>
        <stp/>
        <stp>BDH|3920202018388656830</stp>
        <tr r="Y179" s="18"/>
      </tp>
      <tp t="e">
        <v>#N/A</v>
        <stp/>
        <stp>BDH|7630416439648383892</stp>
        <tr r="J22" s="21"/>
      </tp>
      <tp t="e">
        <v>#N/A</v>
        <stp/>
        <stp>BDH|1264712494917148820</stp>
        <tr r="G56" s="12"/>
      </tp>
      <tp t="e">
        <v>#N/A</v>
        <stp/>
        <stp>BDH|1761203639944876423</stp>
        <tr r="E53" s="17"/>
      </tp>
      <tp t="e">
        <v>#N/A</v>
        <stp/>
        <stp>BDH|9467166912671160858</stp>
        <tr r="F46" s="18"/>
      </tp>
      <tp t="e">
        <v>#N/A</v>
        <stp/>
        <stp>BDH|1721767808281887754</stp>
        <tr r="AA65" s="18"/>
      </tp>
      <tp t="e">
        <v>#N/A</v>
        <stp/>
        <stp>BDH|2493964456669377737</stp>
        <tr r="C65" s="18"/>
      </tp>
      <tp t="e">
        <v>#N/A</v>
        <stp/>
        <stp>BDH|7032621681270425939</stp>
        <tr r="O31" s="21"/>
      </tp>
      <tp t="e">
        <v>#N/A</v>
        <stp/>
        <stp>BDH|3439410735947223363</stp>
        <tr r="Y16" s="12"/>
      </tp>
      <tp t="e">
        <v>#N/A</v>
        <stp/>
        <stp>BDH|1782477035600342627</stp>
        <tr r="C7" s="11"/>
      </tp>
      <tp t="e">
        <v>#N/A</v>
        <stp/>
        <stp>BDH|3265472342747193420</stp>
        <tr r="X18" s="13"/>
      </tp>
      <tp t="e">
        <v>#N/A</v>
        <stp/>
        <stp>BDH|9842231294802917021</stp>
        <tr r="Z110" s="18"/>
      </tp>
      <tp t="e">
        <v>#N/A</v>
        <stp/>
        <stp>BDH|8152995823464684790</stp>
        <tr r="W30" s="24"/>
      </tp>
      <tp t="e">
        <v>#N/A</v>
        <stp/>
        <stp>BDH|6888515710077561587</stp>
        <tr r="E86" s="12"/>
      </tp>
      <tp t="e">
        <v>#N/A</v>
        <stp/>
        <stp>BDH|6046492268070029458</stp>
        <tr r="T70" s="13"/>
        <tr r="R49" s="11"/>
        <tr r="R58" s="10"/>
        <tr r="R19" s="7"/>
        <tr r="R18" s="4"/>
        <tr r="R20" s="2"/>
      </tp>
      <tp t="e">
        <v>#N/A</v>
        <stp/>
        <stp>BDH|4290662922319573973</stp>
        <tr r="J49" s="24"/>
      </tp>
      <tp t="e">
        <v>#N/A</v>
        <stp/>
        <stp>BDH|2472736500731780441</stp>
        <tr r="F36" s="18"/>
      </tp>
      <tp t="e">
        <v>#N/A</v>
        <stp/>
        <stp>BDH|1838516023415770399</stp>
        <tr r="M50" s="13"/>
      </tp>
      <tp t="e">
        <v>#N/A</v>
        <stp/>
        <stp>BDH|6560163607183985493</stp>
        <tr r="W63" s="10"/>
      </tp>
      <tp t="e">
        <v>#N/A</v>
        <stp/>
        <stp>BDH|5218079649441978015</stp>
        <tr r="J58" s="17"/>
      </tp>
      <tp t="e">
        <v>#N/A</v>
        <stp/>
        <stp>BDH|2813886254749299627</stp>
        <tr r="M34" s="29"/>
      </tp>
      <tp t="e">
        <v>#N/A</v>
        <stp/>
        <stp>BDH|8422408344871761925</stp>
        <tr r="N16" s="25"/>
      </tp>
      <tp t="e">
        <v>#N/A</v>
        <stp/>
        <stp>BDH|2082711559304597482</stp>
        <tr r="U157" s="18"/>
      </tp>
      <tp t="e">
        <v>#N/A</v>
        <stp/>
        <stp>BDH|7221065683126664941</stp>
        <tr r="C189" s="18"/>
      </tp>
      <tp t="e">
        <v>#N/A</v>
        <stp/>
        <stp>BDH|3600655240382158372</stp>
        <tr r="Q104" s="18"/>
      </tp>
      <tp t="e">
        <v>#N/A</v>
        <stp/>
        <stp>BDH|5544207772281449164</stp>
        <tr r="H18" s="6"/>
      </tp>
      <tp t="e">
        <v>#N/A</v>
        <stp/>
        <stp>BDH|3735244863587529001</stp>
        <tr r="S94" s="12"/>
      </tp>
      <tp t="e">
        <v>#N/A</v>
        <stp/>
        <stp>BDH|1206577551844078519</stp>
        <tr r="U51" s="21"/>
      </tp>
      <tp t="e">
        <v>#N/A</v>
        <stp/>
        <stp>BDH|8542044899288534981</stp>
        <tr r="G111" s="12"/>
      </tp>
      <tp t="e">
        <v>#N/A</v>
        <stp/>
        <stp>BDH|8915191244128078516</stp>
        <tr r="G16" s="12"/>
      </tp>
      <tp t="e">
        <v>#N/A</v>
        <stp/>
        <stp>BDH|7609663615391632160</stp>
        <tr r="P32" s="18"/>
      </tp>
      <tp t="e">
        <v>#N/A</v>
        <stp/>
        <stp>BDH|8910991049550967550</stp>
        <tr r="E125" s="18"/>
      </tp>
      <tp t="e">
        <v>#N/A</v>
        <stp/>
        <stp>BDH|5576497820131111283</stp>
        <tr r="C71" s="34"/>
      </tp>
      <tp t="e">
        <v>#N/A</v>
        <stp/>
        <stp>BDH|5412125979037833424</stp>
        <tr r="D97" s="17"/>
      </tp>
      <tp t="e">
        <v>#N/A</v>
        <stp/>
        <stp>BDH|2843760677732566097</stp>
        <tr r="N94" s="12"/>
      </tp>
      <tp t="e">
        <v>#N/A</v>
        <stp/>
        <stp>BDH|5067208538023491795</stp>
        <tr r="U63" s="12"/>
      </tp>
      <tp t="e">
        <v>#N/A</v>
        <stp/>
        <stp>BDH|8180520340839141076</stp>
        <tr r="R87" s="17"/>
      </tp>
      <tp t="e">
        <v>#N/A</v>
        <stp/>
        <stp>BDH|4493558141186027350</stp>
        <tr r="V69" s="12"/>
      </tp>
      <tp t="e">
        <v>#N/A</v>
        <stp/>
        <stp>BDH|1920587806072745653</stp>
        <tr r="R49" s="18"/>
      </tp>
      <tp t="e">
        <v>#N/A</v>
        <stp/>
        <stp>BDH|3170747411161763462</stp>
        <tr r="C8" s="13"/>
      </tp>
      <tp t="e">
        <v>#N/A</v>
        <stp/>
        <stp>BDH|6348317636384354220</stp>
        <tr r="K30" s="12"/>
      </tp>
      <tp t="e">
        <v>#N/A</v>
        <stp/>
        <stp>BDH|2074729584985304802</stp>
        <tr r="H91" s="18"/>
      </tp>
      <tp t="e">
        <v>#N/A</v>
        <stp/>
        <stp>BDH|6282431750577000048</stp>
        <tr r="F58" s="18"/>
      </tp>
      <tp t="e">
        <v>#N/A</v>
        <stp/>
        <stp>BDH|9894850055034599084</stp>
        <tr r="P106" s="12"/>
      </tp>
      <tp t="e">
        <v>#N/A</v>
        <stp/>
        <stp>BDH|8068413010574615925</stp>
        <tr r="P177" s="18"/>
      </tp>
      <tp t="e">
        <v>#N/A</v>
        <stp/>
        <stp>BDH|4477069206994477054</stp>
        <tr r="U213" s="18"/>
      </tp>
      <tp t="e">
        <v>#N/A</v>
        <stp/>
        <stp>BDH|7260634065250125705</stp>
        <tr r="R32" s="11"/>
        <tr r="R41" s="10"/>
      </tp>
      <tp t="e">
        <v>#N/A</v>
        <stp/>
        <stp>BDH|6441962314378277615</stp>
        <tr r="P34" s="34"/>
      </tp>
      <tp t="e">
        <v>#N/A</v>
        <stp/>
        <stp>BDH|3356708993808553507</stp>
        <tr r="X48" s="12"/>
      </tp>
      <tp t="e">
        <v>#N/A</v>
        <stp/>
        <stp>BDH|2567368724973306011</stp>
        <tr r="O33" s="34"/>
      </tp>
      <tp t="e">
        <v>#N/A</v>
        <stp/>
        <stp>BDH|3792455273748386875</stp>
        <tr r="K32" s="21"/>
      </tp>
      <tp t="e">
        <v>#N/A</v>
        <stp/>
        <stp>BDH|9683876896018406068</stp>
        <tr r="R57" s="18"/>
      </tp>
      <tp t="e">
        <v>#N/A</v>
        <stp/>
        <stp>BDH|6551649646995173134</stp>
        <tr r="T10" s="28"/>
      </tp>
      <tp t="e">
        <v>#N/A</v>
        <stp/>
        <stp>BDH|2920327720283697088</stp>
        <tr r="Z23" s="26"/>
      </tp>
      <tp t="e">
        <v>#N/A</v>
        <stp/>
        <stp>BDH|2889140013494245681</stp>
        <tr r="K18" s="21"/>
      </tp>
      <tp t="e">
        <v>#N/A</v>
        <stp/>
        <stp>BDH|6898351371293107183</stp>
        <tr r="X33" s="9"/>
      </tp>
      <tp t="e">
        <v>#N/A</v>
        <stp/>
        <stp>BDH|5620318156217302471</stp>
        <tr r="C37" s="25"/>
        <tr r="C59" s="21"/>
      </tp>
      <tp t="e">
        <v>#N/A</v>
        <stp/>
        <stp>BDH|5057570062471488740</stp>
        <tr r="D44" s="11"/>
        <tr r="D53" s="10"/>
        <tr r="D16" s="7"/>
      </tp>
      <tp t="e">
        <v>#N/A</v>
        <stp/>
        <stp>BDH|5708202703911219632</stp>
        <tr r="F7" s="6"/>
      </tp>
      <tp t="e">
        <v>#N/A</v>
        <stp/>
        <stp>BDH|9755992051405929039</stp>
        <tr r="V49" s="34"/>
      </tp>
      <tp t="e">
        <v>#N/A</v>
        <stp/>
        <stp>BDH|7696239921916566144</stp>
        <tr r="P60" s="11"/>
      </tp>
      <tp t="e">
        <v>#N/A</v>
        <stp/>
        <stp>BDH|8240515034298002628</stp>
        <tr r="R68" s="17"/>
      </tp>
      <tp t="e">
        <v>#N/A</v>
        <stp/>
        <stp>BDH|6431464506834012613</stp>
        <tr r="O55" s="13"/>
        <tr r="M37" s="11"/>
        <tr r="M46" s="10"/>
        <tr r="M53" s="4"/>
        <tr r="M18" s="2"/>
      </tp>
      <tp t="e">
        <v>#N/A</v>
        <stp/>
        <stp>BDH|8148574445109159079</stp>
        <tr r="R65" s="21"/>
        <tr r="P23" s="7"/>
      </tp>
      <tp t="e">
        <v>#N/A</v>
        <stp/>
        <stp>BDH|6626169275479630961</stp>
        <tr r="T13" s="30"/>
      </tp>
      <tp t="e">
        <v>#N/A</v>
        <stp/>
        <stp>BDH|2969169527137540687</stp>
        <tr r="AA41" s="34"/>
      </tp>
      <tp t="e">
        <v>#N/A</v>
        <stp/>
        <stp>BDH|9566188354428407586</stp>
        <tr r="G34" s="9"/>
      </tp>
      <tp t="e">
        <v>#N/A</v>
        <stp/>
        <stp>BDH|7291567200896489452</stp>
        <tr r="O19" s="18"/>
      </tp>
      <tp t="e">
        <v>#N/A</v>
        <stp/>
        <stp>BDH|1611090853445897110</stp>
        <tr r="I20" s="27"/>
      </tp>
      <tp t="e">
        <v>#N/A</v>
        <stp/>
        <stp>BDH|5072949467518237247</stp>
        <tr r="C86" s="24"/>
      </tp>
      <tp t="e">
        <v>#N/A</v>
        <stp/>
        <stp>BDH|5737494563704879308</stp>
        <tr r="H66" s="13"/>
      </tp>
      <tp t="e">
        <v>#N/A</v>
        <stp/>
        <stp>BDH|6855895012998359752</stp>
        <tr r="I25" s="9"/>
      </tp>
      <tp t="e">
        <v>#N/A</v>
        <stp/>
        <stp>BDH|71571081788831884</stp>
        <tr r="D38" s="21"/>
        <tr r="D24" s="3"/>
      </tp>
      <tp t="e">
        <v>#N/A</v>
        <stp/>
        <stp>BDH|73939351911484019</stp>
        <tr r="N153" s="18"/>
      </tp>
      <tp t="e">
        <v>#N/A</v>
        <stp/>
        <stp>BDH|85337450139430245</stp>
        <tr r="K102" s="12"/>
      </tp>
      <tp t="e">
        <v>#N/A</v>
        <stp/>
        <stp>BDH|42109845090632829</stp>
        <tr r="X35" s="18"/>
      </tp>
      <tp t="e">
        <v>#N/A</v>
        <stp/>
        <stp>BDH|11422958884562873</stp>
        <tr r="T203" s="18"/>
      </tp>
      <tp t="e">
        <v>#N/A</v>
        <stp/>
        <stp>BDH|5463408206719904918</stp>
        <tr r="C26" s="26"/>
      </tp>
      <tp t="e">
        <v>#N/A</v>
        <stp/>
        <stp>BDH|8900903432960222339</stp>
        <tr r="S34" s="24"/>
      </tp>
      <tp t="e">
        <v>#N/A</v>
        <stp/>
        <stp>BDH|4261187422744417267</stp>
        <tr r="M18" s="27"/>
        <tr r="M32" s="25"/>
      </tp>
      <tp t="e">
        <v>#N/A</v>
        <stp/>
        <stp>BDH|3482743668353780050</stp>
        <tr r="H17" s="21"/>
      </tp>
      <tp t="e">
        <v>#N/A</v>
        <stp/>
        <stp>BDH|7850089262567005789</stp>
        <tr r="E44" s="18"/>
      </tp>
      <tp t="e">
        <v>#N/A</v>
        <stp/>
        <stp>BDH|2999651716554090004</stp>
        <tr r="G21" s="18"/>
      </tp>
      <tp t="e">
        <v>#N/A</v>
        <stp/>
        <stp>BDH|4236680564317727231</stp>
        <tr r="E36" s="21"/>
      </tp>
      <tp t="e">
        <v>#N/A</v>
        <stp/>
        <stp>BDH|4761971699186007335</stp>
        <tr r="I59" s="17"/>
      </tp>
      <tp t="e">
        <v>#N/A</v>
        <stp/>
        <stp>BDH|1361278328719437928</stp>
        <tr r="Y192" s="18"/>
      </tp>
      <tp t="e">
        <v>#N/A</v>
        <stp/>
        <stp>BDH|6751352188644833880</stp>
        <tr r="Y33" s="24"/>
      </tp>
      <tp t="e">
        <v>#N/A</v>
        <stp/>
        <stp>BDH|4552746868327447376</stp>
        <tr r="O11" s="9"/>
      </tp>
      <tp t="e">
        <v>#N/A</v>
        <stp/>
        <stp>BDH|8374927206684956441</stp>
        <tr r="T140" s="18"/>
      </tp>
      <tp t="e">
        <v>#N/A</v>
        <stp/>
        <stp>BDH|4104910217774827950</stp>
        <tr r="N34" s="11"/>
        <tr r="N43" s="10"/>
      </tp>
      <tp t="e">
        <v>#N/A</v>
        <stp/>
        <stp>BDH|7564824398466440117</stp>
        <tr r="N32" s="17"/>
      </tp>
      <tp t="e">
        <v>#N/A</v>
        <stp/>
        <stp>BDH|4043697633565540557</stp>
        <tr r="Z51" s="17"/>
      </tp>
      <tp t="e">
        <v>#N/A</v>
        <stp/>
        <stp>BDH|3532451510606293189</stp>
        <tr r="J110" s="12"/>
      </tp>
      <tp t="e">
        <v>#N/A</v>
        <stp/>
        <stp>BDH|9780207997473988037</stp>
        <tr r="W189" s="18"/>
      </tp>
      <tp t="e">
        <v>#N/A</v>
        <stp/>
        <stp>BDH|2300686555808784832</stp>
        <tr r="S31" s="11"/>
        <tr r="S40" s="10"/>
      </tp>
      <tp t="e">
        <v>#N/A</v>
        <stp/>
        <stp>BDH|4848371484809188702</stp>
        <tr r="C42" s="21"/>
      </tp>
      <tp t="e">
        <v>#N/A</v>
        <stp/>
        <stp>BDH|6303140334253831616</stp>
        <tr r="T15" s="26"/>
      </tp>
      <tp t="e">
        <v>#N/A</v>
        <stp/>
        <stp>BDH|4583430118091399176</stp>
        <tr r="I55" s="13"/>
        <tr r="G37" s="11"/>
        <tr r="G46" s="10"/>
        <tr r="G53" s="4"/>
        <tr r="G18" s="2"/>
      </tp>
      <tp t="e">
        <v>#N/A</v>
        <stp/>
        <stp>BDH|3856196528398066931</stp>
        <tr r="N36" s="4"/>
      </tp>
      <tp t="e">
        <v>#N/A</v>
        <stp/>
        <stp>BDH|7668261734015715291</stp>
        <tr r="N155" s="18"/>
      </tp>
      <tp t="e">
        <v>#N/A</v>
        <stp/>
        <stp>BDH|8102885608345996429</stp>
        <tr r="K13" s="7"/>
      </tp>
      <tp t="e">
        <v>#N/A</v>
        <stp/>
        <stp>BDH|7353719738770848289</stp>
        <tr r="D60" s="12"/>
      </tp>
      <tp t="e">
        <v>#N/A</v>
        <stp/>
        <stp>BDH|5968448773385304274</stp>
        <tr r="I25" s="17"/>
      </tp>
      <tp t="e">
        <v>#N/A</v>
        <stp/>
        <stp>BDH|5113299343142400051</stp>
        <tr r="O28" s="26"/>
      </tp>
      <tp t="e">
        <v>#N/A</v>
        <stp/>
        <stp>BDH|1554765129555895084</stp>
        <tr r="N79" s="17"/>
        <tr r="K9" s="9"/>
        <tr r="K9" s="5"/>
      </tp>
      <tp t="e">
        <v>#N/A</v>
        <stp/>
        <stp>BDH|2670250835947809546</stp>
        <tr r="P8" s="17"/>
      </tp>
      <tp t="e">
        <v>#N/A</v>
        <stp/>
        <stp>BDH|4336850184270199590</stp>
        <tr r="C45" s="17"/>
      </tp>
      <tp t="e">
        <v>#N/A</v>
        <stp/>
        <stp>BDH|3794963718389430372</stp>
        <tr r="T23" s="18"/>
      </tp>
      <tp t="e">
        <v>#N/A</v>
        <stp/>
        <stp>BDH|5995550065363108422</stp>
        <tr r="O30" s="26"/>
      </tp>
      <tp t="e">
        <v>#N/A</v>
        <stp/>
        <stp>BDH|4390385379614117590</stp>
        <tr r="I19" s="10"/>
      </tp>
      <tp t="e">
        <v>#N/A</v>
        <stp/>
        <stp>BDH|7078046031523768689</stp>
        <tr r="I43" s="18"/>
      </tp>
      <tp t="e">
        <v>#N/A</v>
        <stp/>
        <stp>BDH|7828488453414970302</stp>
        <tr r="H114" s="12"/>
      </tp>
      <tp t="e">
        <v>#N/A</v>
        <stp/>
        <stp>BDH|1940222981168486244</stp>
        <tr r="J25" s="7"/>
      </tp>
      <tp t="e">
        <v>#N/A</v>
        <stp/>
        <stp>BDH|2794581161087249766</stp>
        <tr r="D13" s="11"/>
      </tp>
      <tp t="e">
        <v>#N/A</v>
        <stp/>
        <stp>BDH|5057866226849975736</stp>
        <tr r="V29" s="12"/>
      </tp>
      <tp t="e">
        <v>#N/A</v>
        <stp/>
        <stp>BDH|1898517685634328950</stp>
        <tr r="J18" s="27"/>
        <tr r="J32" s="25"/>
      </tp>
      <tp t="e">
        <v>#N/A</v>
        <stp/>
        <stp>BDH|2950609949224355591</stp>
        <tr r="V59" s="13"/>
      </tp>
      <tp t="e">
        <v>#N/A</v>
        <stp/>
        <stp>BDH|4882246897576869890</stp>
        <tr r="C38" s="12"/>
      </tp>
      <tp t="e">
        <v>#N/A</v>
        <stp/>
        <stp>BDH|2026129442501210782</stp>
        <tr r="K87" s="17"/>
      </tp>
      <tp t="e">
        <v>#N/A</v>
        <stp/>
        <stp>BDH|9457885952956174353</stp>
        <tr r="K32" s="26"/>
      </tp>
      <tp t="e">
        <v>#N/A</v>
        <stp/>
        <stp>BDH|9067055069658699601</stp>
        <tr r="D133" s="18"/>
      </tp>
      <tp t="e">
        <v>#N/A</v>
        <stp/>
        <stp>BDH|6012623149362542749</stp>
        <tr r="S106" s="18"/>
      </tp>
      <tp t="e">
        <v>#N/A</v>
        <stp/>
        <stp>BDH|5971617929981802135</stp>
        <tr r="R151" s="18"/>
      </tp>
      <tp t="e">
        <v>#N/A</v>
        <stp/>
        <stp>BDH|4204233376924579481</stp>
        <tr r="P25" s="29"/>
        <tr r="P19" s="29"/>
        <tr r="P10" s="29"/>
        <tr r="N6" s="9"/>
        <tr r="P12" s="8"/>
        <tr r="N6" s="5"/>
        <tr r="O6" s="2"/>
      </tp>
      <tp t="e">
        <v>#N/A</v>
        <stp/>
        <stp>BDH|1801799164482946365</stp>
        <tr r="L7" s="23"/>
      </tp>
      <tp t="e">
        <v>#N/A</v>
        <stp/>
        <stp>BDH|2332987261784361839</stp>
        <tr r="I106" s="18"/>
      </tp>
      <tp t="e">
        <v>#N/A</v>
        <stp/>
        <stp>BDH|4403318537573145696</stp>
        <tr r="N16" s="11"/>
      </tp>
      <tp t="e">
        <v>#N/A</v>
        <stp/>
        <stp>BDH|6216854689976477104</stp>
        <tr r="P80" s="18"/>
      </tp>
      <tp t="e">
        <v>#N/A</v>
        <stp/>
        <stp>BDH|3443609533797460093</stp>
        <tr r="K18" s="34"/>
      </tp>
      <tp t="e">
        <v>#N/A</v>
        <stp/>
        <stp>BDH|8899842901111430037</stp>
        <tr r="C136" s="18"/>
      </tp>
      <tp t="e">
        <v>#N/A</v>
        <stp/>
        <stp>BDH|4687079991929342592</stp>
        <tr r="H33" s="9"/>
      </tp>
      <tp t="e">
        <v>#N/A</v>
        <stp/>
        <stp>BDH|2101204439515660757</stp>
        <tr r="M38" s="21"/>
        <tr r="M24" s="3"/>
      </tp>
      <tp t="e">
        <v>#N/A</v>
        <stp/>
        <stp>BDH|4206959498346721338</stp>
        <tr r="W181" s="18"/>
      </tp>
      <tp t="e">
        <v>#N/A</v>
        <stp/>
        <stp>BDH|7924274472771640215</stp>
        <tr r="R64" s="34"/>
      </tp>
      <tp t="e">
        <v>#N/A</v>
        <stp/>
        <stp>BDH|6228135942747175597</stp>
        <tr r="P13" s="28"/>
        <tr r="P96" s="17"/>
      </tp>
      <tp t="e">
        <v>#N/A</v>
        <stp/>
        <stp>BDH|1384805676627632888</stp>
        <tr r="G38" s="12"/>
      </tp>
      <tp t="e">
        <v>#N/A</v>
        <stp/>
        <stp>BDH|7543104217192941406</stp>
        <tr r="X133" s="18"/>
      </tp>
      <tp t="e">
        <v>#N/A</v>
        <stp/>
        <stp>BDH|5812502418950911029</stp>
        <tr r="N114" s="12"/>
      </tp>
      <tp t="e">
        <v>#N/A</v>
        <stp/>
        <stp>BDH|9482307748857336841</stp>
        <tr r="G10" s="18"/>
      </tp>
      <tp t="e">
        <v>#N/A</v>
        <stp/>
        <stp>BDH|5318445065466824017</stp>
        <tr r="S24" s="12"/>
      </tp>
      <tp t="e">
        <v>#N/A</v>
        <stp/>
        <stp>BDH|7170937874710422890</stp>
        <tr r="M59" s="17"/>
      </tp>
      <tp t="e">
        <v>#N/A</v>
        <stp/>
        <stp>BDH|1216711200362007587</stp>
        <tr r="D6" s="19"/>
        <tr r="D37" s="17"/>
        <tr r="D16" s="3"/>
      </tp>
      <tp t="e">
        <v>#N/A</v>
        <stp/>
        <stp>BDH|4822456320765662601</stp>
        <tr r="W85" s="24"/>
      </tp>
      <tp t="e">
        <v>#N/A</v>
        <stp/>
        <stp>BDH|1971463624943911598</stp>
        <tr r="K33" s="34"/>
      </tp>
      <tp t="e">
        <v>#N/A</v>
        <stp/>
        <stp>BDH|2852200236937610539</stp>
        <tr r="M144" s="18"/>
      </tp>
      <tp t="e">
        <v>#N/A</v>
        <stp/>
        <stp>BDH|3563690870197311442</stp>
        <tr r="G75" s="24"/>
      </tp>
      <tp t="e">
        <v>#N/A</v>
        <stp/>
        <stp>BDH|4590994907125186910</stp>
        <tr r="I125" s="12"/>
      </tp>
      <tp t="e">
        <v>#N/A</v>
        <stp/>
        <stp>BDH|7675078668850329011</stp>
        <tr r="J20" s="34"/>
      </tp>
      <tp t="e">
        <v>#N/A</v>
        <stp/>
        <stp>BDH|5988466971022203579</stp>
        <tr r="D68" s="10"/>
      </tp>
      <tp t="e">
        <v>#N/A</v>
        <stp/>
        <stp>BDH|8378314813643374895</stp>
        <tr r="G15" s="34"/>
      </tp>
      <tp t="e">
        <v>#N/A</v>
        <stp/>
        <stp>BDH|1177207237632477396</stp>
        <tr r="AA64" s="24"/>
      </tp>
      <tp t="e">
        <v>#N/A</v>
        <stp/>
        <stp>BDH|5140725140280902714</stp>
        <tr r="O64" s="17"/>
      </tp>
      <tp t="e">
        <v>#N/A</v>
        <stp/>
        <stp>BDH|4929835596086145265</stp>
        <tr r="F112" s="18"/>
      </tp>
      <tp t="e">
        <v>#N/A</v>
        <stp/>
        <stp>BDH|6571658220301356282</stp>
        <tr r="T28" s="14"/>
      </tp>
      <tp t="e">
        <v>#N/A</v>
        <stp/>
        <stp>BDH|4795141078231674266</stp>
        <tr r="F75" s="18"/>
      </tp>
      <tp t="e">
        <v>#N/A</v>
        <stp/>
        <stp>BDH|4870307645402399056</stp>
        <tr r="J37" s="18"/>
      </tp>
      <tp t="e">
        <v>#N/A</v>
        <stp/>
        <stp>BDH|3630707024913956402</stp>
        <tr r="J27" s="12"/>
      </tp>
      <tp t="e">
        <v>#N/A</v>
        <stp/>
        <stp>BDH|7828430860570896484</stp>
        <tr r="V27" s="7"/>
      </tp>
      <tp t="e">
        <v>#N/A</v>
        <stp/>
        <stp>BDH|8732788731739697438</stp>
        <tr r="O94" s="24"/>
      </tp>
      <tp t="e">
        <v>#N/A</v>
        <stp/>
        <stp>BDH|1874604274667692611</stp>
        <tr r="J80" s="17"/>
        <tr r="J19" s="3"/>
      </tp>
      <tp t="e">
        <v>#N/A</v>
        <stp/>
        <stp>BDH|7029835359419565249</stp>
        <tr r="Y49" s="17"/>
      </tp>
      <tp t="e">
        <v>#N/A</v>
        <stp/>
        <stp>BDH|9649313694971966314</stp>
        <tr r="G61" s="12"/>
      </tp>
      <tp t="e">
        <v>#N/A</v>
        <stp/>
        <stp>BDH|6201730445481902568</stp>
        <tr r="Q33" s="13"/>
        <tr r="O26" s="10"/>
      </tp>
      <tp t="e">
        <v>#N/A</v>
        <stp/>
        <stp>BDH|8780946538883818088</stp>
        <tr r="F14" s="11"/>
      </tp>
      <tp t="e">
        <v>#N/A</v>
        <stp/>
        <stp>BDH|7582290935113466460</stp>
        <tr r="M20" s="17"/>
      </tp>
      <tp t="e">
        <v>#N/A</v>
        <stp/>
        <stp>BDH|6369546616193814011</stp>
        <tr r="Q37" s="29"/>
        <tr r="Q23" s="29"/>
        <tr r="Q14" s="29"/>
      </tp>
      <tp t="e">
        <v>#N/A</v>
        <stp/>
        <stp>BDH|1813605741920655279</stp>
        <tr r="AA22" s="20"/>
      </tp>
      <tp t="e">
        <v>#N/A</v>
        <stp/>
        <stp>BDH|1579595901702538706</stp>
        <tr r="E104" s="18"/>
      </tp>
      <tp t="e">
        <v>#N/A</v>
        <stp/>
        <stp>BDH|6125494948516107193</stp>
        <tr r="G95" s="24"/>
      </tp>
      <tp t="e">
        <v>#N/A</v>
        <stp/>
        <stp>BDH|3328708798534377808</stp>
        <tr r="E106" s="12"/>
      </tp>
      <tp t="e">
        <v>#N/A</v>
        <stp/>
        <stp>BDH|1046645966223999339</stp>
        <tr r="N23" s="17"/>
      </tp>
      <tp t="e">
        <v>#N/A</v>
        <stp/>
        <stp>BDH|4136479055961996529</stp>
        <tr r="I28" s="21"/>
      </tp>
      <tp t="e">
        <v>#N/A</v>
        <stp/>
        <stp>BDH|2476523433374442190</stp>
        <tr r="N77" s="34"/>
      </tp>
      <tp t="e">
        <v>#N/A</v>
        <stp/>
        <stp>BDH|5487949758441953993</stp>
        <tr r="K66" s="13"/>
      </tp>
      <tp t="e">
        <v>#N/A</v>
        <stp/>
        <stp>BDH|8033359927129293181</stp>
        <tr r="J97" s="17"/>
      </tp>
      <tp t="e">
        <v>#N/A</v>
        <stp/>
        <stp>BDH|3755085420722535226</stp>
        <tr r="X18" s="6"/>
      </tp>
      <tp t="e">
        <v>#N/A</v>
        <stp/>
        <stp>BDH|5555082624066423057</stp>
        <tr r="T13" s="2"/>
      </tp>
      <tp t="e">
        <v>#N/A</v>
        <stp/>
        <stp>BDH|2978622472334421656</stp>
        <tr r="E32" s="6"/>
      </tp>
      <tp t="e">
        <v>#N/A</v>
        <stp/>
        <stp>BDH|4008921273529026294</stp>
        <tr r="Y31" s="21"/>
      </tp>
      <tp t="e">
        <v>#N/A</v>
        <stp/>
        <stp>BDH|5748398074972420265</stp>
        <tr r="G24" s="2"/>
      </tp>
      <tp t="e">
        <v>#N/A</v>
        <stp/>
        <stp>BDH|9220930072215959327</stp>
        <tr r="P48" s="6"/>
      </tp>
      <tp t="e">
        <v>#N/A</v>
        <stp/>
        <stp>BDH|2897454922351481434</stp>
        <tr r="X68" s="24"/>
      </tp>
      <tp t="e">
        <v>#N/A</v>
        <stp/>
        <stp>BDH|8680208167149823416</stp>
        <tr r="R15" s="21"/>
      </tp>
      <tp t="e">
        <v>#N/A</v>
        <stp/>
        <stp>BDH|2670937749867243969</stp>
        <tr r="F9" s="20"/>
        <tr r="F119" s="18"/>
      </tp>
      <tp t="e">
        <v>#N/A</v>
        <stp/>
        <stp>BDH|7058707049183718667</stp>
        <tr r="AA208" s="18"/>
      </tp>
      <tp t="e">
        <v>#N/A</v>
        <stp/>
        <stp>BDH|7981915736968064466</stp>
        <tr r="S28" s="22"/>
      </tp>
      <tp t="e">
        <v>#N/A</v>
        <stp/>
        <stp>BDH|5392933928858805786</stp>
        <tr r="O73" s="12"/>
      </tp>
      <tp t="e">
        <v>#N/A</v>
        <stp/>
        <stp>BDH|2822020712593371137</stp>
        <tr r="S62" s="13"/>
      </tp>
      <tp t="e">
        <v>#N/A</v>
        <stp/>
        <stp>BDH|5919013404013054740</stp>
        <tr r="G33" s="24"/>
      </tp>
      <tp t="e">
        <v>#N/A</v>
        <stp/>
        <stp>BDH|6741454157693940545</stp>
        <tr r="T64" s="17"/>
      </tp>
      <tp t="e">
        <v>#N/A</v>
        <stp/>
        <stp>BDH|3735599891876660813</stp>
        <tr r="Q35" s="17"/>
      </tp>
      <tp t="e">
        <v>#N/A</v>
        <stp/>
        <stp>BDH|7695089243763572106</stp>
        <tr r="H10" s="34"/>
      </tp>
      <tp t="e">
        <v>#N/A</v>
        <stp/>
        <stp>BDH|5405646250935119298</stp>
        <tr r="U33" s="6"/>
      </tp>
      <tp t="e">
        <v>#N/A</v>
        <stp/>
        <stp>BDH|7645143140155296687</stp>
        <tr r="K184" s="18"/>
      </tp>
      <tp t="e">
        <v>#N/A</v>
        <stp/>
        <stp>BDH|4551039152699554997</stp>
        <tr r="L82" s="12"/>
      </tp>
      <tp t="e">
        <v>#N/A</v>
        <stp/>
        <stp>BDH|3646335809467753638</stp>
        <tr r="T32" s="21"/>
      </tp>
      <tp t="e">
        <v>#N/A</v>
        <stp/>
        <stp>BDH|4180049074312809019</stp>
        <tr r="X18" s="25"/>
      </tp>
      <tp t="e">
        <v>#N/A</v>
        <stp/>
        <stp>BDH|3578501819933067543</stp>
        <tr r="E43" s="6"/>
      </tp>
      <tp t="e">
        <v>#N/A</v>
        <stp/>
        <stp>BDH|9669391898621986363</stp>
        <tr r="AA68" s="17"/>
      </tp>
      <tp t="e">
        <v>#N/A</v>
        <stp/>
        <stp>BDH|5894596330476946405</stp>
        <tr r="W16" s="24"/>
      </tp>
      <tp t="e">
        <v>#N/A</v>
        <stp/>
        <stp>BDH|7747789187799503050</stp>
        <tr r="Y18" s="10"/>
      </tp>
      <tp t="e">
        <v>#N/A</v>
        <stp/>
        <stp>BDH|3824366473314336269</stp>
        <tr r="D55" s="21"/>
      </tp>
      <tp t="e">
        <v>#N/A</v>
        <stp/>
        <stp>BDH|6598479925851975062</stp>
        <tr r="P67" s="18"/>
      </tp>
      <tp t="e">
        <v>#N/A</v>
        <stp/>
        <stp>BDH|8469307385632995003</stp>
        <tr r="M16" s="20"/>
      </tp>
      <tp t="e">
        <v>#N/A</v>
        <stp/>
        <stp>BDH|2203864314709064389</stp>
        <tr r="R10" s="12"/>
      </tp>
      <tp t="e">
        <v>#N/A</v>
        <stp/>
        <stp>BDH|2017687442853701252</stp>
        <tr r="D83" s="12"/>
      </tp>
      <tp t="e">
        <v>#N/A</v>
        <stp/>
        <stp>BDH|5992234846185603723</stp>
        <tr r="P22" s="27"/>
      </tp>
      <tp t="e">
        <v>#N/A</v>
        <stp/>
        <stp>BDH|9639720959939472312</stp>
        <tr r="P12" s="17"/>
      </tp>
      <tp t="e">
        <v>#N/A</v>
        <stp/>
        <stp>BDH|7298281972551169214</stp>
        <tr r="AA77" s="12"/>
      </tp>
      <tp t="e">
        <v>#N/A</v>
        <stp/>
        <stp>BDH|9786710280084958373</stp>
        <tr r="E15" s="25"/>
      </tp>
      <tp t="e">
        <v>#N/A</v>
        <stp/>
        <stp>BDH|9717280457568533759</stp>
        <tr r="H8" s="14"/>
      </tp>
      <tp t="e">
        <v>#N/A</v>
        <stp/>
        <stp>BDH|2756733269037194541</stp>
        <tr r="E20" s="27"/>
      </tp>
      <tp t="e">
        <v>#N/A</v>
        <stp/>
        <stp>BDH|8278047399486277642</stp>
        <tr r="AA35" s="13"/>
        <tr r="Y28" s="10"/>
      </tp>
      <tp t="e">
        <v>#N/A</v>
        <stp/>
        <stp>BDH|1812476086519325531</stp>
        <tr r="T189" s="18"/>
      </tp>
      <tp t="e">
        <v>#N/A</v>
        <stp/>
        <stp>BDH|6707552522152001292</stp>
        <tr r="I38" s="25"/>
      </tp>
      <tp t="e">
        <v>#N/A</v>
        <stp/>
        <stp>BDH|1511813937799831227</stp>
        <tr r="I156" s="18"/>
      </tp>
      <tp t="e">
        <v>#N/A</v>
        <stp/>
        <stp>BDH|6667019372831879141</stp>
        <tr r="O11" s="29"/>
      </tp>
      <tp t="e">
        <v>#N/A</v>
        <stp/>
        <stp>BDH|2971012166295206056</stp>
        <tr r="X122" s="12"/>
      </tp>
      <tp t="e">
        <v>#N/A</v>
        <stp/>
        <stp>BDH|2386705637836939147</stp>
        <tr r="D26" s="6"/>
      </tp>
      <tp t="e">
        <v>#N/A</v>
        <stp/>
        <stp>BDH|3951383039754009611</stp>
        <tr r="Q80" s="12"/>
      </tp>
      <tp t="e">
        <v>#N/A</v>
        <stp/>
        <stp>BDH|8852350885567751565</stp>
        <tr r="H8" s="2"/>
      </tp>
      <tp t="e">
        <v>#N/A</v>
        <stp/>
        <stp>BDH|1768222079351659431</stp>
        <tr r="F18" s="13"/>
      </tp>
      <tp t="e">
        <v>#N/A</v>
        <stp/>
        <stp>BDH|4812199109471282537</stp>
        <tr r="F13" s="24"/>
      </tp>
      <tp t="e">
        <v>#N/A</v>
        <stp/>
        <stp>BDH|8140626636934919858</stp>
        <tr r="W35" s="13"/>
        <tr r="U28" s="10"/>
      </tp>
      <tp t="e">
        <v>#N/A</v>
        <stp/>
        <stp>BDH|2265700639734246300</stp>
        <tr r="H61" s="11"/>
        <tr r="H70" s="10"/>
        <tr r="H20" s="7"/>
      </tp>
      <tp t="e">
        <v>#N/A</v>
        <stp/>
        <stp>BDH|9677926830707849557</stp>
        <tr r="I8" s="20"/>
        <tr r="I118" s="18"/>
      </tp>
      <tp t="e">
        <v>#N/A</v>
        <stp/>
        <stp>BDH|6956594684882896855</stp>
        <tr r="P19" s="20"/>
      </tp>
      <tp t="e">
        <v>#N/A</v>
        <stp/>
        <stp>BDH|5214523847610823562</stp>
        <tr r="Q13" s="8"/>
      </tp>
      <tp t="e">
        <v>#N/A</v>
        <stp/>
        <stp>BDH|1067519474104886641</stp>
        <tr r="U64" s="17"/>
      </tp>
      <tp t="e">
        <v>#N/A</v>
        <stp/>
        <stp>BDH|9111218909632997891</stp>
        <tr r="Z36" s="14"/>
      </tp>
      <tp t="e">
        <v>#N/A</v>
        <stp/>
        <stp>BDH|2774247657065970141</stp>
        <tr r="R13" s="5"/>
      </tp>
      <tp t="e">
        <v>#N/A</v>
        <stp/>
        <stp>BDH|4685228261090562190</stp>
        <tr r="S134" s="18"/>
      </tp>
      <tp t="e">
        <v>#N/A</v>
        <stp/>
        <stp>BDH|9829266307513507957</stp>
        <tr r="H9" s="13"/>
      </tp>
      <tp t="e">
        <v>#N/A</v>
        <stp/>
        <stp>BDH|6942589269704957086</stp>
        <tr r="M90" s="24"/>
      </tp>
      <tp t="e">
        <v>#N/A</v>
        <stp/>
        <stp>BDH|3391254234056836537</stp>
        <tr r="S19" s="26"/>
      </tp>
      <tp t="e">
        <v>#N/A</v>
        <stp/>
        <stp>BDH|6108402300906918513</stp>
        <tr r="R32" s="12"/>
      </tp>
      <tp t="e">
        <v>#N/A</v>
        <stp/>
        <stp>BDH|3817809497280001363</stp>
        <tr r="V34" s="14"/>
      </tp>
      <tp t="e">
        <v>#N/A</v>
        <stp/>
        <stp>BDH|1627512947886002790</stp>
        <tr r="D64" s="10"/>
      </tp>
      <tp t="e">
        <v>#N/A</v>
        <stp/>
        <stp>BDH|5739797946207175009</stp>
        <tr r="Q116" s="12"/>
      </tp>
      <tp t="e">
        <v>#N/A</v>
        <stp/>
        <stp>BDH|6281941991085745295</stp>
        <tr r="S68" s="13"/>
      </tp>
      <tp t="e">
        <v>#N/A</v>
        <stp/>
        <stp>BDH|5504283646200199230</stp>
        <tr r="X25" s="11"/>
        <tr r="X34" s="10"/>
      </tp>
      <tp t="e">
        <v>#N/A</v>
        <stp/>
        <stp>BDH|3938129774056608200</stp>
        <tr r="S82" s="18"/>
      </tp>
      <tp t="e">
        <v>#N/A</v>
        <stp/>
        <stp>BDH|5076104791164185890</stp>
        <tr r="G10" s="14"/>
      </tp>
      <tp t="e">
        <v>#N/A</v>
        <stp/>
        <stp>BDH|8787080298975691582</stp>
        <tr r="Q196" s="18"/>
      </tp>
      <tp t="e">
        <v>#N/A</v>
        <stp/>
        <stp>BDH|9095234448668114630</stp>
        <tr r="K98" s="18"/>
      </tp>
      <tp t="e">
        <v>#N/A</v>
        <stp/>
        <stp>BDH|1454719304150191799</stp>
        <tr r="U13" s="18"/>
      </tp>
      <tp t="e">
        <v>#N/A</v>
        <stp/>
        <stp>BDH|1464042496520950968</stp>
        <tr r="W34" s="21"/>
      </tp>
      <tp t="e">
        <v>#N/A</v>
        <stp/>
        <stp>BDH|5360051588264511828</stp>
        <tr r="E29" s="18"/>
      </tp>
      <tp t="e">
        <v>#N/A</v>
        <stp/>
        <stp>BDH|9728537288470056558</stp>
        <tr r="H34" s="25"/>
        <tr r="H93" s="17"/>
      </tp>
      <tp t="e">
        <v>#N/A</v>
        <stp/>
        <stp>BDH|6985779850924649113</stp>
        <tr r="N98" s="17"/>
      </tp>
      <tp t="e">
        <v>#N/A</v>
        <stp/>
        <stp>BDH|4610022743523601288</stp>
        <tr r="Q16" s="28"/>
        <tr r="Q13" s="17"/>
      </tp>
      <tp t="e">
        <v>#N/A</v>
        <stp/>
        <stp>BDH|8102920544911873560</stp>
        <tr r="X26" s="14"/>
      </tp>
      <tp t="e">
        <v>#N/A</v>
        <stp/>
        <stp>BDH|8880831687558355167</stp>
        <tr r="E6" s="16"/>
        <tr r="F6" s="11"/>
        <tr r="F10" s="4"/>
        <tr r="H6" s="3"/>
      </tp>
      <tp t="e">
        <v>#N/A</v>
        <stp/>
        <stp>BDH|4821219721095062013</stp>
        <tr r="C21" s="2"/>
      </tp>
      <tp t="e">
        <v>#N/A</v>
        <stp/>
        <stp>BDH|7880466330650691160</stp>
        <tr r="Z88" s="18"/>
      </tp>
      <tp t="e">
        <v>#N/A</v>
        <stp/>
        <stp>BDH|9772927898250330800</stp>
        <tr r="E185" s="18"/>
      </tp>
      <tp t="e">
        <v>#N/A</v>
        <stp/>
        <stp>BDH|2722084573791092528</stp>
        <tr r="V186" s="18"/>
      </tp>
      <tp t="e">
        <v>#N/A</v>
        <stp/>
        <stp>BDH|3563538512611809728</stp>
        <tr r="F37" s="34"/>
      </tp>
      <tp t="e">
        <v>#N/A</v>
        <stp/>
        <stp>BDH|2953560640733316120</stp>
        <tr r="AA19" s="18"/>
      </tp>
      <tp t="e">
        <v>#N/A</v>
        <stp/>
        <stp>BDH|8619850616692325286</stp>
        <tr r="V18" s="26"/>
      </tp>
      <tp t="e">
        <v>#N/A</v>
        <stp/>
        <stp>BDH|6978470892199555370</stp>
        <tr r="C50" s="4"/>
      </tp>
      <tp t="e">
        <v>#N/A</v>
        <stp/>
        <stp>BDH|4174642705784864767</stp>
        <tr r="J44" s="22"/>
      </tp>
      <tp t="e">
        <v>#N/A</v>
        <stp/>
        <stp>BDH|5738386203592062524</stp>
        <tr r="X31" s="26"/>
        <tr r="U14" s="9"/>
      </tp>
      <tp t="e">
        <v>#N/A</v>
        <stp/>
        <stp>BDH|5984020552387185661</stp>
        <tr r="AA59" s="24"/>
      </tp>
      <tp t="e">
        <v>#N/A</v>
        <stp/>
        <stp>BDH|6028536058540635730</stp>
        <tr r="T185" s="18"/>
      </tp>
      <tp t="e">
        <v>#N/A</v>
        <stp/>
        <stp>BDH|5370747829878049909</stp>
        <tr r="K33" s="11"/>
        <tr r="K42" s="10"/>
      </tp>
      <tp t="e">
        <v>#N/A</v>
        <stp/>
        <stp>BDH|5237781198129843342</stp>
        <tr r="V10" s="25"/>
        <tr r="V55" s="17"/>
      </tp>
      <tp t="e">
        <v>#N/A</v>
        <stp/>
        <stp>BDH|4521984435146141976</stp>
        <tr r="R44" s="21"/>
      </tp>
      <tp t="e">
        <v>#N/A</v>
        <stp/>
        <stp>BDH|8428804801714932527</stp>
        <tr r="D10" s="28"/>
      </tp>
      <tp t="e">
        <v>#N/A</v>
        <stp/>
        <stp>BDH|5189893494554330118</stp>
        <tr r="E9" s="21"/>
      </tp>
      <tp t="e">
        <v>#N/A</v>
        <stp/>
        <stp>BDH|7998852195406609118</stp>
        <tr r="U112" s="18"/>
      </tp>
      <tp t="e">
        <v>#N/A</v>
        <stp/>
        <stp>BDH|9888943932486994491</stp>
        <tr r="X88" s="17"/>
      </tp>
      <tp t="e">
        <v>#N/A</v>
        <stp/>
        <stp>BDH|8548693506236130951</stp>
        <tr r="H65" s="18"/>
      </tp>
      <tp t="e">
        <v>#N/A</v>
        <stp/>
        <stp>BDH|2368475203310052792</stp>
        <tr r="C24" s="21"/>
      </tp>
      <tp t="e">
        <v>#N/A</v>
        <stp/>
        <stp>BDH|8050785390742120573</stp>
        <tr r="M23" s="11"/>
      </tp>
      <tp t="e">
        <v>#N/A</v>
        <stp/>
        <stp>BDH|3807082678391252442</stp>
        <tr r="S9" s="21"/>
      </tp>
      <tp t="e">
        <v>#N/A</v>
        <stp/>
        <stp>BDH|5588112994065819962</stp>
        <tr r="Q41" s="18"/>
      </tp>
      <tp t="e">
        <v>#N/A</v>
        <stp/>
        <stp>BDH|7003189797697549941</stp>
        <tr r="N42" s="12"/>
      </tp>
      <tp t="e">
        <v>#N/A</v>
        <stp/>
        <stp>BDH|8993408445741345818</stp>
        <tr r="Y34" s="14"/>
      </tp>
      <tp t="e">
        <v>#N/A</v>
        <stp/>
        <stp>BDH|7780410808315213720</stp>
        <tr r="K7" s="20"/>
        <tr r="K117" s="18"/>
      </tp>
      <tp t="e">
        <v>#N/A</v>
        <stp/>
        <stp>BDH|8788877871412835475</stp>
        <tr r="I31" s="11"/>
        <tr r="I40" s="10"/>
      </tp>
      <tp t="e">
        <v>#N/A</v>
        <stp/>
        <stp>BDH|2163019026041860004</stp>
        <tr r="L33" s="12"/>
      </tp>
      <tp t="e">
        <v>#N/A</v>
        <stp/>
        <stp>BDH|1925260092519588262</stp>
        <tr r="O182" s="18"/>
      </tp>
      <tp t="e">
        <v>#N/A</v>
        <stp/>
        <stp>BDH|3697203367005669391</stp>
        <tr r="S81" s="17"/>
      </tp>
      <tp t="e">
        <v>#N/A</v>
        <stp/>
        <stp>BDH|4599754032533471282</stp>
        <tr r="T24" s="2"/>
      </tp>
      <tp t="e">
        <v>#N/A</v>
        <stp/>
        <stp>BDH|9918697768149290143</stp>
        <tr r="K30" s="22"/>
      </tp>
      <tp t="e">
        <v>#N/A</v>
        <stp/>
        <stp>BDH|5846257438514324188</stp>
        <tr r="W71" s="24"/>
      </tp>
      <tp t="e">
        <v>#N/A</v>
        <stp/>
        <stp>BDH|3625788139034014297</stp>
        <tr r="V25" s="34"/>
      </tp>
      <tp t="e">
        <v>#N/A</v>
        <stp/>
        <stp>BDH|7126715428917418423</stp>
        <tr r="Q17" s="30"/>
      </tp>
      <tp t="e">
        <v>#N/A</v>
        <stp/>
        <stp>BDH|9588371870658437483</stp>
        <tr r="F13" s="30"/>
      </tp>
      <tp t="e">
        <v>#N/A</v>
        <stp/>
        <stp>BDH|8430882445073460638</stp>
        <tr r="D33" s="24"/>
      </tp>
      <tp t="e">
        <v>#N/A</v>
        <stp/>
        <stp>BDH|6168472378641194514</stp>
        <tr r="E35" s="18"/>
      </tp>
      <tp t="e">
        <v>#N/A</v>
        <stp/>
        <stp>BDH|7444708315615850571</stp>
        <tr r="J44" s="12"/>
      </tp>
      <tp t="e">
        <v>#N/A</v>
        <stp/>
        <stp>BDH|6876593443671845748</stp>
        <tr r="G192" s="18"/>
      </tp>
      <tp t="e">
        <v>#N/A</v>
        <stp/>
        <stp>BDH|7814124832517101361</stp>
        <tr r="F34" s="12"/>
      </tp>
      <tp t="e">
        <v>#N/A</v>
        <stp/>
        <stp>BDH|9870478886477022368</stp>
        <tr r="F46" s="12"/>
      </tp>
      <tp t="e">
        <v>#N/A</v>
        <stp/>
        <stp>BDH|2367789060156362478</stp>
        <tr r="I16" s="10"/>
      </tp>
      <tp t="e">
        <v>#N/A</v>
        <stp/>
        <stp>BDH|5375495113722767310</stp>
        <tr r="Q57" s="34"/>
      </tp>
      <tp t="e">
        <v>#N/A</v>
        <stp/>
        <stp>BDH|1975944562247119813</stp>
        <tr r="U13" s="6"/>
      </tp>
      <tp t="e">
        <v>#N/A</v>
        <stp/>
        <stp>BDH|4740477846677040292</stp>
        <tr r="V51" s="13"/>
      </tp>
      <tp t="e">
        <v>#N/A</v>
        <stp/>
        <stp>BDH|3748117859411701775</stp>
        <tr r="H89" s="17"/>
      </tp>
      <tp t="e">
        <v>#N/A</v>
        <stp/>
        <stp>BDH|4611788867485281147</stp>
        <tr r="Y91" s="12"/>
      </tp>
      <tp t="e">
        <v>#N/A</v>
        <stp/>
        <stp>BDH|1208655339437869292</stp>
        <tr r="L187" s="18"/>
      </tp>
      <tp t="e">
        <v>#N/A</v>
        <stp/>
        <stp>BDH|8024373639849452058</stp>
        <tr r="N30" s="18"/>
      </tp>
      <tp t="e">
        <v>#N/A</v>
        <stp/>
        <stp>BDH|9974831366632274413</stp>
        <tr r="Q35" s="4"/>
      </tp>
      <tp t="e">
        <v>#N/A</v>
        <stp/>
        <stp>BDH|7826029085429736778</stp>
        <tr r="S38" s="11"/>
        <tr r="S47" s="10"/>
      </tp>
      <tp t="e">
        <v>#N/A</v>
        <stp/>
        <stp>BDH|8831533887223412777</stp>
        <tr r="O57" s="6"/>
      </tp>
      <tp t="e">
        <v>#N/A</v>
        <stp/>
        <stp>BDH|1125713770910683097</stp>
        <tr r="C24" s="24"/>
      </tp>
      <tp t="e">
        <v>#N/A</v>
        <stp/>
        <stp>BDH|5733494526486767402</stp>
        <tr r="M175" s="18"/>
      </tp>
      <tp t="e">
        <v>#N/A</v>
        <stp/>
        <stp>BDH|7880184562127537688</stp>
        <tr r="I51" s="24"/>
      </tp>
      <tp t="e">
        <v>#N/A</v>
        <stp/>
        <stp>BDH|2039672129203275432</stp>
        <tr r="P15" s="34"/>
      </tp>
      <tp t="e">
        <v>#N/A</v>
        <stp/>
        <stp>BDH|5881130811254424011</stp>
        <tr r="U91" s="18"/>
      </tp>
      <tp t="e">
        <v>#N/A</v>
        <stp/>
        <stp>BDH|4782646728999498806</stp>
        <tr r="Q79" s="17"/>
        <tr r="N9" s="9"/>
        <tr r="N9" s="5"/>
      </tp>
      <tp t="e">
        <v>#N/A</v>
        <stp/>
        <stp>BDH|3843674721763387527</stp>
        <tr r="F74" s="34"/>
      </tp>
      <tp t="e">
        <v>#N/A</v>
        <stp/>
        <stp>BDH|3893456940790686248</stp>
        <tr r="Z52" s="12"/>
      </tp>
      <tp t="e">
        <v>#N/A</v>
        <stp/>
        <stp>BDH|6811124784086284835</stp>
        <tr r="N12" s="13"/>
      </tp>
      <tp t="e">
        <v>#N/A</v>
        <stp/>
        <stp>BDH|5435493911138304909</stp>
        <tr r="Y127" s="12"/>
      </tp>
      <tp t="e">
        <v>#N/A</v>
        <stp/>
        <stp>BDH|4690509958877768265</stp>
        <tr r="R214" s="18"/>
      </tp>
      <tp t="e">
        <v>#N/A</v>
        <stp/>
        <stp>BDH|3155139823561947076</stp>
        <tr r="M35" s="21"/>
      </tp>
      <tp t="e">
        <v>#N/A</v>
        <stp/>
        <stp>BDH|3881739837642684454</stp>
        <tr r="Y13" s="24"/>
      </tp>
      <tp t="e">
        <v>#N/A</v>
        <stp/>
        <stp>BDH|6007621516877830730</stp>
        <tr r="Y74" s="34"/>
      </tp>
      <tp t="e">
        <v>#N/A</v>
        <stp/>
        <stp>BDH|4968269900020952790</stp>
        <tr r="U33" s="12"/>
      </tp>
      <tp t="e">
        <v>#N/A</v>
        <stp/>
        <stp>BDH|1718055772845755283</stp>
        <tr r="Z65" s="13"/>
      </tp>
      <tp t="e">
        <v>#N/A</v>
        <stp/>
        <stp>BDH|2026562384888572685</stp>
        <tr r="M101" s="18"/>
      </tp>
      <tp t="e">
        <v>#N/A</v>
        <stp/>
        <stp>BDH|5533790677857056343</stp>
        <tr r="K63" s="12"/>
      </tp>
      <tp t="e">
        <v>#N/A</v>
        <stp/>
        <stp>BDH|6777904171620015999</stp>
        <tr r="Z48" s="34"/>
      </tp>
      <tp t="e">
        <v>#N/A</v>
        <stp/>
        <stp>BDH|2061508001160945676</stp>
        <tr r="U24" s="2"/>
      </tp>
      <tp t="e">
        <v>#N/A</v>
        <stp/>
        <stp>BDH|3533401379256752749</stp>
        <tr r="D30" s="34"/>
      </tp>
      <tp t="e">
        <v>#N/A</v>
        <stp/>
        <stp>BDH|5161209674442933334</stp>
        <tr r="R30" s="21"/>
      </tp>
      <tp t="e">
        <v>#N/A</v>
        <stp/>
        <stp>BDH|3469664706637397381</stp>
        <tr r="T13" s="9"/>
      </tp>
      <tp t="e">
        <v>#N/A</v>
        <stp/>
        <stp>BDH|1247682139671488487</stp>
        <tr r="G26" s="11"/>
        <tr r="G35" s="10"/>
      </tp>
      <tp t="e">
        <v>#N/A</v>
        <stp/>
        <stp>BDH|2868738367290459276</stp>
        <tr r="H32" s="12"/>
      </tp>
      <tp t="e">
        <v>#N/A</v>
        <stp/>
        <stp>BDH|4106799623786795639</stp>
        <tr r="G134" s="18"/>
      </tp>
      <tp t="e">
        <v>#N/A</v>
        <stp/>
        <stp>BDH|6345630560681941668</stp>
        <tr r="Z34" s="13"/>
        <tr r="X27" s="10"/>
      </tp>
      <tp t="e">
        <v>#N/A</v>
        <stp/>
        <stp>BDH|1194723329156078352</stp>
        <tr r="U50" s="34"/>
      </tp>
      <tp t="e">
        <v>#N/A</v>
        <stp/>
        <stp>BDH|6511863980753749480</stp>
        <tr r="E48" s="17"/>
      </tp>
      <tp t="e">
        <v>#N/A</v>
        <stp/>
        <stp>BDH|1795986482011581046</stp>
        <tr r="U78" s="18"/>
      </tp>
      <tp t="e">
        <v>#N/A</v>
        <stp/>
        <stp>BDH|8915815114440132012</stp>
        <tr r="AA156" s="18"/>
      </tp>
      <tp t="e">
        <v>#N/A</v>
        <stp/>
        <stp>BDH|4318090664304113732</stp>
        <tr r="C42" s="12"/>
      </tp>
      <tp t="e">
        <v>#N/A</v>
        <stp/>
        <stp>BDH|9951230146016456840</stp>
        <tr r="Q44" s="6"/>
      </tp>
      <tp t="e">
        <v>#N/A</v>
        <stp/>
        <stp>BDH|2227014237164023485</stp>
        <tr r="D34" s="11"/>
        <tr r="D43" s="10"/>
      </tp>
      <tp t="e">
        <v>#N/A</v>
        <stp/>
        <stp>BDH|9544020679247477861</stp>
        <tr r="AA25" s="21"/>
      </tp>
      <tp t="e">
        <v>#N/A</v>
        <stp/>
        <stp>BDH|3077801633670944964</stp>
        <tr r="E153" s="18"/>
      </tp>
      <tp t="e">
        <v>#N/A</v>
        <stp/>
        <stp>BDH|2330311962545567391</stp>
        <tr r="C69" s="12"/>
      </tp>
      <tp t="e">
        <v>#N/A</v>
        <stp/>
        <stp>BDH|9339989916293803398</stp>
        <tr r="G24" s="22"/>
      </tp>
      <tp t="e">
        <v>#N/A</v>
        <stp/>
        <stp>BDH|8888782413508848778</stp>
        <tr r="I17" s="20"/>
      </tp>
      <tp t="e">
        <v>#N/A</v>
        <stp/>
        <stp>BDH|3109466533926898305</stp>
        <tr r="L13" s="12"/>
      </tp>
      <tp t="e">
        <v>#N/A</v>
        <stp/>
        <stp>BDH|4620012646561442092</stp>
        <tr r="H9" s="12"/>
      </tp>
      <tp t="e">
        <v>#N/A</v>
        <stp/>
        <stp>BDH|5229354595378622684</stp>
        <tr r="I9" s="29"/>
      </tp>
      <tp t="e">
        <v>#N/A</v>
        <stp/>
        <stp>BDH|8832230543876605929</stp>
        <tr r="F98" s="17"/>
      </tp>
      <tp t="e">
        <v>#N/A</v>
        <stp/>
        <stp>BDH|2874077255556065061</stp>
        <tr r="U19" s="30"/>
      </tp>
      <tp t="e">
        <v>#N/A</v>
        <stp/>
        <stp>BDH|8262515049971287940</stp>
        <tr r="I11" s="30"/>
      </tp>
      <tp t="e">
        <v>#N/A</v>
        <stp/>
        <stp>BDH|1182752345095897651</stp>
        <tr r="G19" s="10"/>
      </tp>
      <tp t="e">
        <v>#N/A</v>
        <stp/>
        <stp>BDH|9329981751706206246</stp>
        <tr r="V35" s="13"/>
        <tr r="T28" s="10"/>
      </tp>
      <tp t="e">
        <v>#N/A</v>
        <stp/>
        <stp>BDH|1362111112795810543</stp>
        <tr r="O17" s="14"/>
      </tp>
      <tp t="e">
        <v>#N/A</v>
        <stp/>
        <stp>BDH|6239354189875284905</stp>
        <tr r="C38" s="11"/>
        <tr r="C47" s="10"/>
      </tp>
      <tp t="e">
        <v>#N/A</v>
        <stp/>
        <stp>BDH|7710204356561478092</stp>
        <tr r="F34" s="9"/>
      </tp>
      <tp t="e">
        <v>#N/A</v>
        <stp/>
        <stp>BDH|9915962468137236095</stp>
        <tr r="Y11" s="24"/>
      </tp>
      <tp t="e">
        <v>#N/A</v>
        <stp/>
        <stp>BDH|3261328607047285692</stp>
        <tr r="H15" s="13"/>
      </tp>
      <tp t="e">
        <v>#N/A</v>
        <stp/>
        <stp>BDH|4179984112538548525</stp>
        <tr r="Q42" s="29"/>
        <tr r="Q33" s="29"/>
        <tr r="O55" s="6"/>
        <tr r="O11" s="5"/>
        <tr r="P10" s="2"/>
      </tp>
      <tp t="e">
        <v>#N/A</v>
        <stp/>
        <stp>BDH|4268476919733377336</stp>
        <tr r="J40" s="13"/>
        <tr r="H24" s="10"/>
        <tr r="H46" s="4"/>
      </tp>
      <tp t="e">
        <v>#N/A</v>
        <stp/>
        <stp>BDH|5225254447255541796</stp>
        <tr r="U22" s="21"/>
      </tp>
      <tp t="e">
        <v>#N/A</v>
        <stp/>
        <stp>BDH|1875817905290344830</stp>
        <tr r="N209" s="18"/>
      </tp>
      <tp t="e">
        <v>#N/A</v>
        <stp/>
        <stp>BDH|5514097353934705549</stp>
        <tr r="D12" s="21"/>
      </tp>
      <tp t="e">
        <v>#N/A</v>
        <stp/>
        <stp>BDH|9835269190776230508</stp>
        <tr r="O7" s="9"/>
        <tr r="O7" s="5"/>
        <tr r="R14" s="3"/>
        <tr r="P7" s="2"/>
      </tp>
      <tp t="e">
        <v>#N/A</v>
        <stp/>
        <stp>BDH|3857673430453336408</stp>
        <tr r="X21" s="12"/>
      </tp>
      <tp t="e">
        <v>#N/A</v>
        <stp/>
        <stp>BDH|8247165694338999952</stp>
        <tr r="Y67" s="17"/>
      </tp>
      <tp t="e">
        <v>#N/A</v>
        <stp/>
        <stp>BDH|1529295830367654669</stp>
        <tr r="I13" s="28"/>
        <tr r="I96" s="17"/>
      </tp>
      <tp t="e">
        <v>#N/A</v>
        <stp/>
        <stp>BDH|6597056446803880027</stp>
        <tr r="Q17" s="28"/>
        <tr r="Q14" s="17"/>
      </tp>
      <tp t="e">
        <v>#N/A</v>
        <stp/>
        <stp>BDH|1905046617128599936</stp>
        <tr r="C41" s="21"/>
      </tp>
      <tp t="e">
        <v>#N/A</v>
        <stp/>
        <stp>BDH|2040892376685588963</stp>
        <tr r="H176" s="18"/>
      </tp>
      <tp t="e">
        <v>#N/A</v>
        <stp/>
        <stp>BDH|8831718965551660963</stp>
        <tr r="Z40" s="13"/>
        <tr r="X24" s="10"/>
        <tr r="X46" s="4"/>
      </tp>
      <tp t="e">
        <v>#N/A</v>
        <stp/>
        <stp>BDH|4446800989482093713</stp>
        <tr r="T39" s="18"/>
      </tp>
      <tp t="e">
        <v>#N/A</v>
        <stp/>
        <stp>BDH|1909816782659127978</stp>
        <tr r="I209" s="18"/>
      </tp>
      <tp t="e">
        <v>#N/A</v>
        <stp/>
        <stp>BDH|8886065991151166120</stp>
        <tr r="T22" s="34"/>
      </tp>
      <tp t="e">
        <v>#N/A</v>
        <stp/>
        <stp>BDH|3710997181833406073</stp>
        <tr r="F18" s="25"/>
      </tp>
      <tp t="e">
        <v>#N/A</v>
        <stp/>
        <stp>BDH|5735695736164680522</stp>
        <tr r="S50" s="4"/>
      </tp>
      <tp t="e">
        <v>#N/A</v>
        <stp/>
        <stp>BDH|9024103013339880177</stp>
        <tr r="R53" s="24"/>
      </tp>
      <tp t="e">
        <v>#N/A</v>
        <stp/>
        <stp>BDH|8089324011149837273</stp>
        <tr r="X67" s="34"/>
      </tp>
      <tp t="e">
        <v>#N/A</v>
        <stp/>
        <stp>BDH|9715767494984128281</stp>
        <tr r="O36" s="22"/>
      </tp>
      <tp t="e">
        <v>#N/A</v>
        <stp/>
        <stp>BDH|1476658039706164352</stp>
        <tr r="I7" s="6"/>
      </tp>
      <tp t="e">
        <v>#N/A</v>
        <stp/>
        <stp>BDH|2690791599955988836</stp>
        <tr r="L12" s="17"/>
      </tp>
      <tp t="e">
        <v>#N/A</v>
        <stp/>
        <stp>BDH|1161268894999684291</stp>
        <tr r="I81" s="34"/>
      </tp>
      <tp t="e">
        <v>#N/A</v>
        <stp/>
        <stp>BDH|7771414829750796043</stp>
        <tr r="Z36" s="21"/>
      </tp>
      <tp t="e">
        <v>#N/A</v>
        <stp/>
        <stp>BDH|2334675547745623482</stp>
        <tr r="M45" s="34"/>
      </tp>
      <tp t="e">
        <v>#N/A</v>
        <stp/>
        <stp>BDH|8130391791345680628</stp>
        <tr r="S42" s="21"/>
      </tp>
      <tp t="e">
        <v>#N/A</v>
        <stp/>
        <stp>BDH|1308286286009006307</stp>
        <tr r="N9" s="29"/>
      </tp>
      <tp t="e">
        <v>#N/A</v>
        <stp/>
        <stp>BDH|5032726204535289699</stp>
        <tr r="C32" s="22"/>
      </tp>
      <tp t="e">
        <v>#N/A</v>
        <stp/>
        <stp>BDH|1113249819795866699</stp>
        <tr r="R191" s="18"/>
      </tp>
      <tp t="e">
        <v>#N/A</v>
        <stp/>
        <stp>BDH|7961039241565781712</stp>
        <tr r="K30" s="18"/>
      </tp>
      <tp t="e">
        <v>#N/A</v>
        <stp/>
        <stp>BDH|4282271213986927022</stp>
        <tr r="P62" s="12"/>
      </tp>
      <tp t="e">
        <v>#N/A</v>
        <stp/>
        <stp>BDH|4829760333562531357</stp>
        <tr r="C37" s="6"/>
      </tp>
      <tp t="e">
        <v>#N/A</v>
        <stp/>
        <stp>BDH|5942032777276523554</stp>
        <tr r="W27" s="17"/>
      </tp>
      <tp t="e">
        <v>#N/A</v>
        <stp/>
        <stp>BDH|8762895119474215484</stp>
        <tr r="V78" s="34"/>
      </tp>
      <tp t="e">
        <v>#N/A</v>
        <stp/>
        <stp>BDH|9640574081234902140</stp>
        <tr r="R23" s="6"/>
      </tp>
      <tp t="e">
        <v>#N/A</v>
        <stp/>
        <stp>BDH|7732522465285990048</stp>
        <tr r="AA27" s="14"/>
      </tp>
      <tp t="e">
        <v>#N/A</v>
        <stp/>
        <stp>BDH|2699797910406374318</stp>
        <tr r="X22" s="22"/>
      </tp>
      <tp t="e">
        <v>#N/A</v>
        <stp/>
        <stp>BDH|7010339507100093595</stp>
        <tr r="W17" s="24"/>
      </tp>
      <tp t="e">
        <v>#N/A</v>
        <stp/>
        <stp>BDH|5162388715915316323</stp>
        <tr r="Q12" s="25"/>
      </tp>
      <tp t="e">
        <v>#N/A</v>
        <stp/>
        <stp>BDH|2804803850659025752</stp>
        <tr r="E27" s="22"/>
      </tp>
      <tp t="e">
        <v>#N/A</v>
        <stp/>
        <stp>BDH|3002574979553418374</stp>
        <tr r="N42" s="22"/>
      </tp>
      <tp t="e">
        <v>#N/A</v>
        <stp/>
        <stp>BDH|7279231821611928746</stp>
        <tr r="F43" s="11"/>
        <tr r="F52" s="10"/>
        <tr r="F15" s="7"/>
      </tp>
      <tp t="e">
        <v>#N/A</v>
        <stp/>
        <stp>BDH|1515069069590317648</stp>
        <tr r="L22" s="10"/>
      </tp>
      <tp t="e">
        <v>#N/A</v>
        <stp/>
        <stp>BDH|6105902282502651485</stp>
        <tr r="G96" s="18"/>
      </tp>
      <tp t="e">
        <v>#N/A</v>
        <stp/>
        <stp>BDH|2321135526125826533</stp>
        <tr r="C73" s="17"/>
      </tp>
      <tp t="e">
        <v>#N/A</v>
        <stp/>
        <stp>BDH|8344730482393904560</stp>
        <tr r="M87" s="12"/>
      </tp>
      <tp t="e">
        <v>#N/A</v>
        <stp/>
        <stp>BDH|7659102316335901343</stp>
        <tr r="C46" s="6"/>
        <tr r="C19" s="5"/>
      </tp>
      <tp t="e">
        <v>#N/A</v>
        <stp/>
        <stp>BDH|5117034121416633084</stp>
        <tr r="M31" s="22"/>
      </tp>
      <tp t="e">
        <v>#N/A</v>
        <stp/>
        <stp>BDH|4621091354236156672</stp>
        <tr r="Z171" s="18"/>
      </tp>
      <tp t="e">
        <v>#N/A</v>
        <stp/>
        <stp>BDH|3914137555983688541</stp>
        <tr r="X106" s="12"/>
      </tp>
      <tp t="e">
        <v>#N/A</v>
        <stp/>
        <stp>BDH|1965006973832082576</stp>
        <tr r="U14" s="23"/>
      </tp>
      <tp t="e">
        <v>#N/A</v>
        <stp/>
        <stp>BDH|6834631754442649644</stp>
        <tr r="C101" s="12"/>
      </tp>
      <tp t="e">
        <v>#N/A</v>
        <stp/>
        <stp>BDH|3213227412358959966</stp>
        <tr r="J103" s="18"/>
      </tp>
      <tp t="e">
        <v>#N/A</v>
        <stp/>
        <stp>BDH|6702468879672608637</stp>
        <tr r="H21" s="5"/>
      </tp>
      <tp t="e">
        <v>#N/A</v>
        <stp/>
        <stp>BDH|2470564027620893405</stp>
        <tr r="W7" s="6"/>
      </tp>
      <tp t="e">
        <v>#N/A</v>
        <stp/>
        <stp>BDH|5076175279960203212</stp>
        <tr r="H40" s="17"/>
      </tp>
      <tp t="e">
        <v>#N/A</v>
        <stp/>
        <stp>BDH|7974181960876466781</stp>
        <tr r="K46" s="18"/>
      </tp>
      <tp t="e">
        <v>#N/A</v>
        <stp/>
        <stp>BDH|5296870534746409987</stp>
        <tr r="X79" s="18"/>
      </tp>
      <tp t="e">
        <v>#N/A</v>
        <stp/>
        <stp>BDH|8579161723958575281</stp>
        <tr r="F15" s="23"/>
        <tr r="D58" s="11"/>
      </tp>
      <tp t="e">
        <v>#N/A</v>
        <stp/>
        <stp>BDH|3586901851509831716</stp>
        <tr r="E38" s="29"/>
        <tr r="E15" s="29"/>
      </tp>
      <tp t="e">
        <v>#N/A</v>
        <stp/>
        <stp>BDH|4501724373747190282</stp>
        <tr r="L9" s="22"/>
      </tp>
      <tp t="e">
        <v>#N/A</v>
        <stp/>
        <stp>BDH|9913314806952020936</stp>
        <tr r="N134" s="18"/>
      </tp>
      <tp t="e">
        <v>#N/A</v>
        <stp/>
        <stp>BDH|7592609057850820571</stp>
        <tr r="M48" s="34"/>
      </tp>
      <tp t="e">
        <v>#N/A</v>
        <stp/>
        <stp>BDH|4992505069590829650</stp>
        <tr r="H57" s="12"/>
      </tp>
      <tp t="e">
        <v>#N/A</v>
        <stp/>
        <stp>BDH|1574081940860225427</stp>
        <tr r="P206" s="18"/>
      </tp>
      <tp t="e">
        <v>#N/A</v>
        <stp/>
        <stp>BDH|6556461808645414628</stp>
        <tr r="M30" s="17"/>
      </tp>
      <tp t="e">
        <v>#N/A</v>
        <stp/>
        <stp>BDH|6065951818138954798</stp>
        <tr r="C90" s="24"/>
      </tp>
      <tp t="e">
        <v>#N/A</v>
        <stp/>
        <stp>BDH|4374271520007092295</stp>
        <tr r="G23" s="23"/>
      </tp>
      <tp t="e">
        <v>#N/A</v>
        <stp/>
        <stp>BDH|1892891975907134888</stp>
        <tr r="D9" s="29"/>
      </tp>
      <tp t="e">
        <v>#N/A</v>
        <stp/>
        <stp>BDH|2492848971048553499</stp>
        <tr r="K195" s="18"/>
      </tp>
      <tp t="e">
        <v>#N/A</v>
        <stp/>
        <stp>BDH|8085312594575060685</stp>
        <tr r="Y98" s="18"/>
      </tp>
      <tp t="e">
        <v>#N/A</v>
        <stp/>
        <stp>BDH|3166154879297957399</stp>
        <tr r="O13" s="13"/>
      </tp>
      <tp t="e">
        <v>#N/A</v>
        <stp/>
        <stp>BDH|4574938620878896632</stp>
        <tr r="G81" s="24"/>
      </tp>
      <tp t="e">
        <v>#N/A</v>
        <stp/>
        <stp>BDH|2751910697825878646</stp>
        <tr r="J72" s="17"/>
      </tp>
      <tp t="e">
        <v>#N/A</v>
        <stp/>
        <stp>BDH|1978927515320791846</stp>
        <tr r="P61" s="12"/>
      </tp>
      <tp t="e">
        <v>#N/A</v>
        <stp/>
        <stp>BDH|1196971525182645982</stp>
        <tr r="C8" s="34"/>
      </tp>
      <tp t="e">
        <v>#N/A</v>
        <stp/>
        <stp>BDH|9347784890024783217</stp>
        <tr r="D9" s="8"/>
      </tp>
      <tp t="e">
        <v>#N/A</v>
        <stp/>
        <stp>BDH|3842450704445669329</stp>
        <tr r="U37" s="26"/>
      </tp>
      <tp t="e">
        <v>#N/A</v>
        <stp/>
        <stp>BDH|4983223206932397535</stp>
        <tr r="S19" s="30"/>
      </tp>
      <tp t="e">
        <v>#N/A</v>
        <stp/>
        <stp>BDH|6695509606707585581</stp>
        <tr r="T17" s="27"/>
        <tr r="T31" s="25"/>
        <tr r="Q14" s="5"/>
      </tp>
      <tp t="e">
        <v>#N/A</v>
        <stp/>
        <stp>BDH|9419487484534381065</stp>
        <tr r="U43" s="22"/>
      </tp>
      <tp t="e">
        <v>#N/A</v>
        <stp/>
        <stp>BDH|2108165692849110292</stp>
        <tr r="E80" s="12"/>
      </tp>
      <tp t="e">
        <v>#N/A</v>
        <stp/>
        <stp>BDH|2269339879285223271</stp>
        <tr r="C102" s="12"/>
      </tp>
      <tp t="e">
        <v>#N/A</v>
        <stp/>
        <stp>BDH|6607604422825443629</stp>
        <tr r="X34" s="21"/>
      </tp>
      <tp t="e">
        <v>#N/A</v>
        <stp/>
        <stp>BDH|1451231335491014000</stp>
        <tr r="Q95" s="18"/>
      </tp>
      <tp t="e">
        <v>#N/A</v>
        <stp/>
        <stp>BDH|1059426128313110590</stp>
        <tr r="C30" s="26"/>
      </tp>
      <tp t="e">
        <v>#N/A</v>
        <stp/>
        <stp>BDH|2757353901107604776</stp>
        <tr r="X19" s="20"/>
      </tp>
      <tp t="e">
        <v>#N/A</v>
        <stp/>
        <stp>BDH|8494229340196444904</stp>
        <tr r="O32" s="29"/>
        <tr r="M34" s="5"/>
      </tp>
      <tp t="e">
        <v>#N/A</v>
        <stp/>
        <stp>BDH|4315972965482330804</stp>
        <tr r="Z36" s="12"/>
      </tp>
      <tp t="e">
        <v>#N/A</v>
        <stp/>
        <stp>BDH|4248629659925310385</stp>
        <tr r="W62" s="18"/>
      </tp>
      <tp t="e">
        <v>#N/A</v>
        <stp/>
        <stp>BDH|6168135912550208706</stp>
        <tr r="N58" s="18"/>
      </tp>
      <tp t="e">
        <v>#N/A</v>
        <stp/>
        <stp>BDH|7917556668633419620</stp>
        <tr r="P23" s="25"/>
        <tr r="N20" s="11"/>
      </tp>
      <tp t="e">
        <v>#N/A</v>
        <stp/>
        <stp>BDH|4944369600750816658</stp>
        <tr r="S19" s="22"/>
      </tp>
      <tp t="e">
        <v>#N/A</v>
        <stp/>
        <stp>BDH|4331238573755668579</stp>
        <tr r="H87" s="18"/>
      </tp>
      <tp t="e">
        <v>#N/A</v>
        <stp/>
        <stp>BDH|2729054139732971205</stp>
        <tr r="V58" s="18"/>
      </tp>
      <tp t="e">
        <v>#N/A</v>
        <stp/>
        <stp>BDH|4004205332785115110</stp>
        <tr r="Y91" s="24"/>
      </tp>
      <tp t="e">
        <v>#N/A</v>
        <stp/>
        <stp>BDH|7493739438274921642</stp>
        <tr r="P16" s="6"/>
      </tp>
      <tp t="e">
        <v>#N/A</v>
        <stp/>
        <stp>BDH|2117464340492434110</stp>
        <tr r="M79" s="34"/>
      </tp>
      <tp t="e">
        <v>#N/A</v>
        <stp/>
        <stp>BDH|4069945003668255472</stp>
        <tr r="AA41" s="17"/>
      </tp>
      <tp t="e">
        <v>#N/A</v>
        <stp/>
        <stp>BDH|2247414569553930213</stp>
        <tr r="K69" s="13"/>
      </tp>
      <tp t="e">
        <v>#N/A</v>
        <stp/>
        <stp>BDH|6713010678581481189</stp>
        <tr r="F64" s="11"/>
        <tr r="F73" s="10"/>
      </tp>
      <tp t="e">
        <v>#N/A</v>
        <stp/>
        <stp>BDH|5206235800785631355</stp>
        <tr r="F96" s="18"/>
      </tp>
      <tp t="e">
        <v>#N/A</v>
        <stp/>
        <stp>BDH|3880618118096525366</stp>
        <tr r="F90" s="12"/>
      </tp>
      <tp t="e">
        <v>#N/A</v>
        <stp/>
        <stp>BDH|4227731139980396197</stp>
        <tr r="O21" s="27"/>
      </tp>
      <tp t="e">
        <v>#N/A</v>
        <stp/>
        <stp>BDH|7609696261005471385</stp>
        <tr r="F161" s="18"/>
      </tp>
      <tp t="e">
        <v>#N/A</v>
        <stp/>
        <stp>BDH|8715537437628848790</stp>
        <tr r="X18" s="27"/>
        <tr r="X32" s="25"/>
      </tp>
      <tp t="e">
        <v>#N/A</v>
        <stp/>
        <stp>BDH|2739962161568040427</stp>
        <tr r="Y22" s="17"/>
        <tr r="Y15" s="3"/>
      </tp>
      <tp t="e">
        <v>#N/A</v>
        <stp/>
        <stp>BDH|7034078032825059071</stp>
        <tr r="M74" s="18"/>
      </tp>
      <tp t="e">
        <v>#N/A</v>
        <stp/>
        <stp>BDH|7404073828052176683</stp>
        <tr r="AA73" s="34"/>
      </tp>
      <tp t="e">
        <v>#N/A</v>
        <stp/>
        <stp>BDH|5102069137905449263</stp>
        <tr r="X18" s="22"/>
      </tp>
      <tp t="e">
        <v>#N/A</v>
        <stp/>
        <stp>BDH|5357913121988414759</stp>
        <tr r="N64" s="34"/>
      </tp>
      <tp t="e">
        <v>#N/A</v>
        <stp/>
        <stp>BDH|8120941742553578706</stp>
        <tr r="U50" s="18"/>
      </tp>
      <tp t="e">
        <v>#N/A</v>
        <stp/>
        <stp>BDH|4652367168227935735</stp>
        <tr r="P55" s="24"/>
      </tp>
      <tp t="e">
        <v>#N/A</v>
        <stp/>
        <stp>BDH|4927512034564844768</stp>
        <tr r="E169" s="18"/>
      </tp>
      <tp t="e">
        <v>#N/A</v>
        <stp/>
        <stp>BDH|4497143342919923998</stp>
        <tr r="I29" s="34"/>
      </tp>
      <tp t="e">
        <v>#N/A</v>
        <stp/>
        <stp>BDH|4121975626169160739</stp>
        <tr r="D21" s="12"/>
      </tp>
      <tp t="e">
        <v>#N/A</v>
        <stp/>
        <stp>BDH|4938292726066718339</stp>
        <tr r="W21" s="4"/>
      </tp>
      <tp t="e">
        <v>#N/A</v>
        <stp/>
        <stp>BDH|3437677695258766539</stp>
        <tr r="P167" s="18"/>
      </tp>
      <tp t="e">
        <v>#N/A</v>
        <stp/>
        <stp>BDH|7350338850132344211</stp>
        <tr r="R14" s="22"/>
      </tp>
      <tp t="e">
        <v>#N/A</v>
        <stp/>
        <stp>BDH|1161645228084931069</stp>
        <tr r="G43" s="12"/>
      </tp>
      <tp t="e">
        <v>#N/A</v>
        <stp/>
        <stp>BDH|1687744736010246440</stp>
        <tr r="W70" s="18"/>
      </tp>
      <tp t="e">
        <v>#N/A</v>
        <stp/>
        <stp>BDH|4176731053814246312</stp>
        <tr r="Q129" s="18"/>
      </tp>
      <tp t="e">
        <v>#N/A</v>
        <stp/>
        <stp>BDH|8115467451950709837</stp>
        <tr r="E37" s="25"/>
        <tr r="E59" s="21"/>
        <tr r="C53" s="11"/>
        <tr r="C31" s="4"/>
      </tp>
      <tp t="e">
        <v>#N/A</v>
        <stp/>
        <stp>BDH|4651314708902924441</stp>
        <tr r="Q7" s="14"/>
      </tp>
      <tp t="e">
        <v>#N/A</v>
        <stp/>
        <stp>BDH|1347222517157489404</stp>
        <tr r="AA73" s="24"/>
      </tp>
      <tp t="e">
        <v>#N/A</v>
        <stp/>
        <stp>BDH|8667335293893644024</stp>
        <tr r="L47" s="18"/>
      </tp>
      <tp t="e">
        <v>#N/A</v>
        <stp/>
        <stp>BDH|7784463925353671304</stp>
        <tr r="S42" s="34"/>
      </tp>
      <tp t="e">
        <v>#N/A</v>
        <stp/>
        <stp>BDH|4384805877033450922</stp>
        <tr r="Y68" s="13"/>
      </tp>
      <tp t="e">
        <v>#N/A</v>
        <stp/>
        <stp>BDH|8752915576021752658</stp>
        <tr r="AA87" s="12"/>
      </tp>
      <tp t="e">
        <v>#N/A</v>
        <stp/>
        <stp>BDH|8282686238685768973</stp>
        <tr r="J42" s="21"/>
      </tp>
      <tp t="e">
        <v>#N/A</v>
        <stp/>
        <stp>BDH|6109956740062635808</stp>
        <tr r="U43" s="11"/>
        <tr r="U52" s="10"/>
        <tr r="U15" s="7"/>
      </tp>
      <tp t="e">
        <v>#N/A</v>
        <stp/>
        <stp>BDH|1680634669702658283</stp>
        <tr r="O34" s="25"/>
        <tr r="O93" s="17"/>
      </tp>
      <tp t="e">
        <v>#N/A</v>
        <stp/>
        <stp>BDH|2731264302816447757</stp>
        <tr r="J38" s="13"/>
        <tr r="H31" s="10"/>
      </tp>
      <tp t="e">
        <v>#N/A</v>
        <stp/>
        <stp>BDH|3740329666474343321</stp>
        <tr r="P53" s="21"/>
      </tp>
      <tp t="e">
        <v>#N/A</v>
        <stp/>
        <stp>BDH|3144442126867320320</stp>
        <tr r="X55" s="21"/>
      </tp>
      <tp t="e">
        <v>#N/A</v>
        <stp/>
        <stp>BDH|1104314695592645819</stp>
        <tr r="L7" s="6"/>
      </tp>
      <tp t="e">
        <v>#N/A</v>
        <stp/>
        <stp>BDH|5951221278312539348</stp>
        <tr r="P52" s="24"/>
      </tp>
      <tp t="e">
        <v>#N/A</v>
        <stp/>
        <stp>BDH|9363883041433189796</stp>
        <tr r="I18" s="20"/>
      </tp>
      <tp t="e">
        <v>#N/A</v>
        <stp/>
        <stp>BDH|8914111796803868241</stp>
        <tr r="F77" s="34"/>
      </tp>
      <tp t="e">
        <v>#N/A</v>
        <stp/>
        <stp>BDH|1061783148950412363</stp>
        <tr r="J32" s="29"/>
        <tr r="H34" s="5"/>
      </tp>
      <tp t="e">
        <v>#N/A</v>
        <stp/>
        <stp>BDH|1309279827469144907</stp>
        <tr r="H10" s="18"/>
      </tp>
      <tp t="e">
        <v>#N/A</v>
        <stp/>
        <stp>BDH|2288376307465621566</stp>
        <tr r="P77" s="24"/>
      </tp>
      <tp t="e">
        <v>#N/A</v>
        <stp/>
        <stp>BDH|7489041044346664402</stp>
        <tr r="E11" s="11"/>
      </tp>
      <tp t="e">
        <v>#N/A</v>
        <stp/>
        <stp>BDH|7059525993039415360</stp>
        <tr r="E73" s="34"/>
      </tp>
      <tp t="e">
        <v>#N/A</v>
        <stp/>
        <stp>BDH|6630600126763030036</stp>
        <tr r="I7" s="34"/>
      </tp>
      <tp t="e">
        <v>#N/A</v>
        <stp/>
        <stp>BDH|6490077217111183766</stp>
        <tr r="F196" s="18"/>
      </tp>
      <tp t="e">
        <v>#N/A</v>
        <stp/>
        <stp>BDH|6023101104342685419</stp>
        <tr r="W44" s="18"/>
      </tp>
      <tp t="e">
        <v>#N/A</v>
        <stp/>
        <stp>BDH|1946545411592657690</stp>
        <tr r="V113" s="18"/>
      </tp>
      <tp t="e">
        <v>#N/A</v>
        <stp/>
        <stp>BDH|4619917455890668979</stp>
        <tr r="Q29" s="12"/>
      </tp>
      <tp t="e">
        <v>#N/A</v>
        <stp/>
        <stp>BDH|6043247950251163166</stp>
        <tr r="W55" s="11"/>
      </tp>
      <tp t="e">
        <v>#N/A</v>
        <stp/>
        <stp>BDH|3778245165800133648</stp>
        <tr r="X52" s="13"/>
      </tp>
      <tp t="e">
        <v>#N/A</v>
        <stp/>
        <stp>BDH|7910291887824704838</stp>
        <tr r="K46" s="6"/>
        <tr r="K19" s="5"/>
      </tp>
      <tp t="e">
        <v>#N/A</v>
        <stp/>
        <stp>BDH|4477966214145139843</stp>
        <tr r="P18" s="21"/>
      </tp>
      <tp t="e">
        <v>#N/A</v>
        <stp/>
        <stp>BDH|4024775223903083375</stp>
        <tr r="N19" s="12"/>
      </tp>
      <tp t="e">
        <v>#N/A</v>
        <stp/>
        <stp>BDH|4136041188148944574</stp>
        <tr r="D11" s="6"/>
      </tp>
      <tp t="e">
        <v>#N/A</v>
        <stp/>
        <stp>BDH|6840568609992338075</stp>
        <tr r="K44" s="34"/>
      </tp>
      <tp t="e">
        <v>#N/A</v>
        <stp/>
        <stp>BDH|6621511309664544682</stp>
        <tr r="Y123" s="12"/>
      </tp>
      <tp t="e">
        <v>#N/A</v>
        <stp/>
        <stp>BDH|8259965656250112500</stp>
        <tr r="U22" s="27"/>
      </tp>
      <tp t="e">
        <v>#N/A</v>
        <stp/>
        <stp>BDH|6111424723299012834</stp>
        <tr r="Y12" s="14"/>
      </tp>
      <tp t="e">
        <v>#N/A</v>
        <stp/>
        <stp>BDH|5567421240422418600</stp>
        <tr r="T48" s="18"/>
      </tp>
      <tp t="e">
        <v>#N/A</v>
        <stp/>
        <stp>BDH|3719402400636727035</stp>
        <tr r="P12" s="25"/>
      </tp>
      <tp t="e">
        <v>#N/A</v>
        <stp/>
        <stp>BDH|7234650501693723325</stp>
        <tr r="S175" s="18"/>
      </tp>
      <tp t="e">
        <v>#N/A</v>
        <stp/>
        <stp>BDH|4761313156810309308</stp>
        <tr r="M89" s="12"/>
      </tp>
      <tp t="e">
        <v>#N/A</v>
        <stp/>
        <stp>BDH|9522838445176569258</stp>
        <tr r="O8" s="22"/>
      </tp>
      <tp t="e">
        <v>#N/A</v>
        <stp/>
        <stp>BDH|1783421217966501344</stp>
        <tr r="X152" s="18"/>
      </tp>
      <tp t="e">
        <v>#N/A</v>
        <stp/>
        <stp>BDH|6658576932703386238</stp>
        <tr r="Z67" s="13"/>
      </tp>
      <tp t="e">
        <v>#N/A</v>
        <stp/>
        <stp>BDH|2927521506270717694</stp>
        <tr r="AA9" s="25"/>
        <tr r="AA44" s="17"/>
      </tp>
      <tp t="e">
        <v>#N/A</v>
        <stp/>
        <stp>BDH|7262403221649608967</stp>
        <tr r="T18" s="12"/>
      </tp>
      <tp t="e">
        <v>#N/A</v>
        <stp/>
        <stp>BDH|9841378895841049397</stp>
        <tr r="X38" s="11"/>
        <tr r="X47" s="10"/>
      </tp>
      <tp t="e">
        <v>#N/A</v>
        <stp/>
        <stp>BDH|6972321573235272694</stp>
        <tr r="Z80" s="17"/>
        <tr r="Z19" s="3"/>
      </tp>
      <tp t="e">
        <v>#N/A</v>
        <stp/>
        <stp>BDH|3604291540315512194</stp>
        <tr r="H11" s="9"/>
      </tp>
      <tp t="e">
        <v>#N/A</v>
        <stp/>
        <stp>BDH|4852587073857354038</stp>
        <tr r="J16" s="26"/>
      </tp>
      <tp t="e">
        <v>#N/A</v>
        <stp/>
        <stp>BDH|7511623078395830245</stp>
        <tr r="R26" s="24"/>
      </tp>
      <tp t="e">
        <v>#N/A</v>
        <stp/>
        <stp>BDH|7951170566781357080</stp>
        <tr r="U25" s="3"/>
      </tp>
      <tp t="e">
        <v>#N/A</v>
        <stp/>
        <stp>BDH|5461072346134250446</stp>
        <tr r="G36" s="17"/>
      </tp>
      <tp t="e">
        <v>#N/A</v>
        <stp/>
        <stp>BDH|8664904378563953444</stp>
        <tr r="O20" s="34"/>
      </tp>
      <tp t="e">
        <v>#N/A</v>
        <stp/>
        <stp>BDH|2666533126613655760</stp>
        <tr r="I59" s="34"/>
      </tp>
      <tp t="e">
        <v>#N/A</v>
        <stp/>
        <stp>BDH|2416114631794655511</stp>
        <tr r="D14" s="28"/>
      </tp>
      <tp t="e">
        <v>#N/A</v>
        <stp/>
        <stp>BDH|3427787218552348642</stp>
        <tr r="E22" s="10"/>
      </tp>
      <tp t="e">
        <v>#N/A</v>
        <stp/>
        <stp>BDH|6800361343790962076</stp>
        <tr r="W10" s="25"/>
        <tr r="W55" s="17"/>
      </tp>
      <tp t="e">
        <v>#N/A</v>
        <stp/>
        <stp>BDH|9051102883042247325</stp>
        <tr r="I8" s="2"/>
      </tp>
      <tp t="e">
        <v>#N/A</v>
        <stp/>
        <stp>BDH|3056828759236810907</stp>
        <tr r="F211" s="18"/>
      </tp>
      <tp t="e">
        <v>#N/A</v>
        <stp/>
        <stp>BDH|7416366845768289963</stp>
        <tr r="N80" s="24"/>
      </tp>
      <tp t="e">
        <v>#N/A</v>
        <stp/>
        <stp>BDH|8771907377504380306</stp>
        <tr r="T188" s="18"/>
      </tp>
      <tp t="e">
        <v>#N/A</v>
        <stp/>
        <stp>BDH|5568682648935106376</stp>
        <tr r="G44" s="13"/>
        <tr r="E28" s="11"/>
        <tr r="E37" s="10"/>
      </tp>
      <tp t="e">
        <v>#N/A</v>
        <stp/>
        <stp>BDH|6931739733705960631</stp>
        <tr r="O210" s="18"/>
      </tp>
      <tp t="e">
        <v>#N/A</v>
        <stp/>
        <stp>BDH|2296022804112417131</stp>
        <tr r="Y98" s="12"/>
      </tp>
      <tp t="e">
        <v>#N/A</v>
        <stp/>
        <stp>BDH|9086601311656146936</stp>
        <tr r="X12" s="26"/>
      </tp>
      <tp t="e">
        <v>#N/A</v>
        <stp/>
        <stp>BDH|9923901129225086634</stp>
        <tr r="W59" s="34"/>
      </tp>
      <tp t="e">
        <v>#N/A</v>
        <stp/>
        <stp>BDH|6905590221606289603</stp>
        <tr r="T17" s="20"/>
      </tp>
      <tp t="e">
        <v>#N/A</v>
        <stp/>
        <stp>BDH|4477447849537988231</stp>
        <tr r="L36" s="4"/>
      </tp>
      <tp t="e">
        <v>#N/A</v>
        <stp/>
        <stp>BDH|9481366921400749972</stp>
        <tr r="G19" s="24"/>
      </tp>
      <tp t="e">
        <v>#N/A</v>
        <stp/>
        <stp>BDH|3817707445992816362</stp>
        <tr r="Q6" s="6"/>
      </tp>
      <tp t="e">
        <v>#N/A</v>
        <stp/>
        <stp>BDH|2265708033283534473</stp>
        <tr r="T63" s="13"/>
      </tp>
      <tp t="e">
        <v>#N/A</v>
        <stp/>
        <stp>BDH|2211656443040703108</stp>
        <tr r="N9" s="8"/>
        <tr r="L52" s="6"/>
      </tp>
      <tp t="e">
        <v>#N/A</v>
        <stp/>
        <stp>BDH|5128729970054720077</stp>
        <tr r="W23" s="12"/>
      </tp>
      <tp t="e">
        <v>#N/A</v>
        <stp/>
        <stp>BDH|3380497228322541646</stp>
        <tr r="K23" s="18"/>
      </tp>
      <tp t="e">
        <v>#N/A</v>
        <stp/>
        <stp>BDH|1371077364851055733</stp>
        <tr r="G105" s="18"/>
      </tp>
      <tp t="e">
        <v>#N/A</v>
        <stp/>
        <stp>BDH|1798026876090255724</stp>
        <tr r="F67" s="10"/>
      </tp>
      <tp t="e">
        <v>#N/A</v>
        <stp/>
        <stp>BDH|1357027908885318595</stp>
        <tr r="X55" s="24"/>
      </tp>
      <tp t="e">
        <v>#N/A</v>
        <stp/>
        <stp>BDH|4728101198988884573</stp>
        <tr r="G41" s="22"/>
      </tp>
      <tp t="e">
        <v>#N/A</v>
        <stp/>
        <stp>BDH|2067818646088082777</stp>
        <tr r="X62" s="18"/>
      </tp>
      <tp t="e">
        <v>#N/A</v>
        <stp/>
        <stp>BDH|7132746340514215171</stp>
        <tr r="W40" s="18"/>
      </tp>
      <tp t="e">
        <v>#N/A</v>
        <stp/>
        <stp>BDH|3514526756815694776</stp>
        <tr r="Q42" s="21"/>
      </tp>
      <tp t="e">
        <v>#N/A</v>
        <stp/>
        <stp>BDH|4211820374043631920</stp>
        <tr r="G86" s="17"/>
      </tp>
      <tp t="e">
        <v>#N/A</v>
        <stp/>
        <stp>BDH|9190957962810648700</stp>
        <tr r="L23" s="18"/>
      </tp>
      <tp t="e">
        <v>#N/A</v>
        <stp/>
        <stp>BDH|1985836391478303988</stp>
        <tr r="C41" s="34"/>
      </tp>
      <tp t="e">
        <v>#N/A</v>
        <stp/>
        <stp>BDH|6182342364546799464</stp>
        <tr r="D43" s="34"/>
      </tp>
      <tp t="e">
        <v>#N/A</v>
        <stp/>
        <stp>BDH|4319516272107573053</stp>
        <tr r="O9" s="12"/>
      </tp>
      <tp t="e">
        <v>#N/A</v>
        <stp/>
        <stp>BDH|5667469182371069928</stp>
        <tr r="M187" s="18"/>
      </tp>
      <tp t="e">
        <v>#N/A</v>
        <stp/>
        <stp>BDH|5500262931111459463</stp>
        <tr r="Y8" s="20"/>
        <tr r="Y118" s="18"/>
      </tp>
      <tp t="e">
        <v>#N/A</v>
        <stp/>
        <stp>BDH|2326862132371212957</stp>
        <tr r="W19" s="13"/>
        <tr r="U62" s="10"/>
        <tr r="U32" s="4"/>
        <tr r="U16" s="2"/>
      </tp>
      <tp t="e">
        <v>#N/A</v>
        <stp/>
        <stp>BDH|5227503800512086329</stp>
        <tr r="Y78" s="24"/>
      </tp>
      <tp t="e">
        <v>#N/A</v>
        <stp/>
        <stp>BDH|9188915558410180495</stp>
        <tr r="J12" s="22"/>
      </tp>
      <tp t="e">
        <v>#N/A</v>
        <stp/>
        <stp>BDH|4018532971820146738</stp>
        <tr r="S25" s="27"/>
      </tp>
      <tp t="e">
        <v>#N/A</v>
        <stp/>
        <stp>BDH|5142286825013471782</stp>
        <tr r="Y55" s="34"/>
      </tp>
      <tp t="e">
        <v>#N/A</v>
        <stp/>
        <stp>BDH|3625804491585062672</stp>
        <tr r="X34" s="22"/>
      </tp>
      <tp t="e">
        <v>#N/A</v>
        <stp/>
        <stp>BDH|4995762432096853759</stp>
        <tr r="S19" s="9"/>
      </tp>
      <tp t="e">
        <v>#N/A</v>
        <stp/>
        <stp>BDH|4580644835798593814</stp>
        <tr r="R56" s="11"/>
        <tr r="R24" s="4"/>
      </tp>
      <tp t="e">
        <v>#N/A</v>
        <stp/>
        <stp>BDH|4925481947761025460</stp>
        <tr r="M155" s="18"/>
      </tp>
      <tp t="e">
        <v>#N/A</v>
        <stp/>
        <stp>BDH|8602527701789245572</stp>
        <tr r="J125" s="12"/>
      </tp>
      <tp t="e">
        <v>#N/A</v>
        <stp/>
        <stp>BDH|3219608212965019008</stp>
        <tr r="O37" s="25"/>
        <tr r="O59" s="21"/>
        <tr r="M53" s="11"/>
        <tr r="M31" s="4"/>
      </tp>
      <tp t="e">
        <v>#N/A</v>
        <stp/>
        <stp>BDH|4996337418315765252</stp>
        <tr r="F7" s="24"/>
      </tp>
      <tp t="e">
        <v>#N/A</v>
        <stp/>
        <stp>BDH|5634529981039328061</stp>
        <tr r="X176" s="18"/>
      </tp>
      <tp t="e">
        <v>#N/A</v>
        <stp/>
        <stp>BDH|4636428437517614556</stp>
        <tr r="D109" s="18"/>
      </tp>
      <tp t="e">
        <v>#N/A</v>
        <stp/>
        <stp>BDH|8398938207805418531</stp>
        <tr r="S24" s="17"/>
      </tp>
      <tp t="e">
        <v>#N/A</v>
        <stp/>
        <stp>BDH|9742675434649289466</stp>
        <tr r="H49" s="6"/>
      </tp>
      <tp t="e">
        <v>#N/A</v>
        <stp/>
        <stp>BDH|8867974366867012193</stp>
        <tr r="N77" s="12"/>
      </tp>
      <tp t="e">
        <v>#N/A</v>
        <stp/>
        <stp>BDH|5456347376351212148</stp>
        <tr r="I23" s="25"/>
        <tr r="G20" s="11"/>
      </tp>
      <tp t="e">
        <v>#N/A</v>
        <stp/>
        <stp>BDH|2391285975704662285</stp>
        <tr r="I15" s="25"/>
      </tp>
      <tp t="e">
        <v>#N/A</v>
        <stp/>
        <stp>BDH|3387024874490541507</stp>
        <tr r="L32" s="18"/>
      </tp>
      <tp t="e">
        <v>#N/A</v>
        <stp/>
        <stp>BDH|8048813911959738976</stp>
        <tr r="F18" s="26"/>
      </tp>
      <tp t="e">
        <v>#N/A</v>
        <stp/>
        <stp>BDH|5542909223799575637</stp>
        <tr r="G23" s="24"/>
      </tp>
      <tp t="e">
        <v>#N/A</v>
        <stp/>
        <stp>BDH|7283614657366226360</stp>
        <tr r="P67" s="13"/>
      </tp>
      <tp t="e">
        <v>#N/A</v>
        <stp/>
        <stp>BDH|8482461306204406906</stp>
        <tr r="J67" s="10"/>
      </tp>
      <tp t="e">
        <v>#N/A</v>
        <stp/>
        <stp>BDH|4483152014613750624</stp>
        <tr r="J47" s="6"/>
      </tp>
      <tp t="e">
        <v>#N/A</v>
        <stp/>
        <stp>BDH|2873262139742072079</stp>
        <tr r="Y64" s="10"/>
      </tp>
      <tp t="e">
        <v>#N/A</v>
        <stp/>
        <stp>BDH|3327569322644765107</stp>
        <tr r="L25" s="21"/>
      </tp>
      <tp t="e">
        <v>#N/A</v>
        <stp/>
        <stp>BDH|7562015137450733548</stp>
        <tr r="T11" s="17"/>
      </tp>
      <tp t="e">
        <v>#N/A</v>
        <stp/>
        <stp>BDH|7834152467330973139</stp>
        <tr r="Q85" s="17"/>
        <tr r="O6" s="7"/>
        <tr r="Q20" s="3"/>
      </tp>
      <tp t="e">
        <v>#N/A</v>
        <stp/>
        <stp>BDH|9926936877543552588</stp>
        <tr r="W22" s="12"/>
      </tp>
      <tp t="e">
        <v>#N/A</v>
        <stp/>
        <stp>BDH|9684092612411436893</stp>
        <tr r="Y74" s="18"/>
      </tp>
      <tp t="e">
        <v>#N/A</v>
        <stp/>
        <stp>BDH|1625054226215696733</stp>
        <tr r="J37" s="29"/>
        <tr r="J23" s="29"/>
        <tr r="J14" s="29"/>
      </tp>
      <tp t="e">
        <v>#N/A</v>
        <stp/>
        <stp>BDH|1237926784927303672</stp>
        <tr r="M22" s="4"/>
      </tp>
      <tp t="e">
        <v>#N/A</v>
        <stp/>
        <stp>BDH|3144157265824919184</stp>
        <tr r="T214" s="18"/>
      </tp>
      <tp t="e">
        <v>#N/A</v>
        <stp/>
        <stp>BDH|2672155092232614960</stp>
        <tr r="F47" s="12"/>
      </tp>
      <tp t="e">
        <v>#N/A</v>
        <stp/>
        <stp>BDH|4833516664516427083</stp>
        <tr r="O72" s="24"/>
      </tp>
      <tp t="e">
        <v>#N/A</v>
        <stp/>
        <stp>BDH|9227973823985514628</stp>
        <tr r="N23" s="11"/>
      </tp>
      <tp t="e">
        <v>#N/A</v>
        <stp/>
        <stp>BDH|8223310850027476864</stp>
        <tr r="Z36" s="13"/>
        <tr r="X29" s="10"/>
      </tp>
      <tp t="e">
        <v>#N/A</v>
        <stp/>
        <stp>BDH|1155450880575146944</stp>
        <tr r="Z13" s="22"/>
      </tp>
      <tp t="e">
        <v>#N/A</v>
        <stp/>
        <stp>BDH|4333408417894420411</stp>
        <tr r="C123" s="12"/>
      </tp>
      <tp t="e">
        <v>#N/A</v>
        <stp/>
        <stp>BDH|2375622110540555456</stp>
        <tr r="D26" s="34"/>
      </tp>
      <tp t="e">
        <v>#N/A</v>
        <stp/>
        <stp>BDH|4120013454120311062</stp>
        <tr r="P35" s="21"/>
      </tp>
      <tp t="e">
        <v>#N/A</v>
        <stp/>
        <stp>BDH|1307390429558475961</stp>
        <tr r="T19" s="12"/>
      </tp>
      <tp t="e">
        <v>#N/A</v>
        <stp/>
        <stp>BDH|2125634846518742924</stp>
        <tr r="C59" s="34"/>
      </tp>
      <tp t="e">
        <v>#N/A</v>
        <stp/>
        <stp>BDH|3582411730507481216</stp>
        <tr r="R92" s="18"/>
      </tp>
      <tp t="e">
        <v>#N/A</v>
        <stp/>
        <stp>BDH|8761007094151151130</stp>
        <tr r="W9" s="25"/>
        <tr r="W44" s="17"/>
      </tp>
      <tp t="e">
        <v>#N/A</v>
        <stp/>
        <stp>BDH|3029067131725640403</stp>
        <tr r="S74" s="17"/>
      </tp>
      <tp t="e">
        <v>#N/A</v>
        <stp/>
        <stp>BDH|2772749939782297594</stp>
        <tr r="G170" s="18"/>
      </tp>
      <tp t="e">
        <v>#N/A</v>
        <stp/>
        <stp>BDH|3500922981584114762</stp>
        <tr r="N14" s="34"/>
      </tp>
      <tp t="e">
        <v>#N/A</v>
        <stp/>
        <stp>BDH|8843566371038634385</stp>
        <tr r="O15" s="14"/>
      </tp>
      <tp t="e">
        <v>#N/A</v>
        <stp/>
        <stp>BDH|6417291335586910000</stp>
        <tr r="P79" s="24"/>
      </tp>
      <tp t="e">
        <v>#N/A</v>
        <stp/>
        <stp>BDH|8451389137078332198</stp>
        <tr r="M13" s="25"/>
      </tp>
      <tp t="e">
        <v>#N/A</v>
        <stp/>
        <stp>BDH|1070949776617460979</stp>
        <tr r="X20" s="17"/>
      </tp>
      <tp t="e">
        <v>#N/A</v>
        <stp/>
        <stp>BDH|5889624828502281216</stp>
        <tr r="M43" s="4"/>
      </tp>
      <tp t="e">
        <v>#N/A</v>
        <stp/>
        <stp>BDH|7769222874331892289</stp>
        <tr r="U18" s="12"/>
      </tp>
      <tp t="e">
        <v>#N/A</v>
        <stp/>
        <stp>BDH|4036441924577634473</stp>
        <tr r="M16" s="25"/>
      </tp>
      <tp t="e">
        <v>#N/A</v>
        <stp/>
        <stp>BDH|6238370427360506667</stp>
        <tr r="O22" s="21"/>
      </tp>
      <tp t="e">
        <v>#N/A</v>
        <stp/>
        <stp>BDH|8796446244181393850</stp>
        <tr r="J45" s="12"/>
      </tp>
      <tp t="e">
        <v>#N/A</v>
        <stp/>
        <stp>BDH|1219190162696845105</stp>
        <tr r="S43" s="22"/>
      </tp>
      <tp t="e">
        <v>#N/A</v>
        <stp/>
        <stp>BDH|7423159860889932896</stp>
        <tr r="I34" s="21"/>
      </tp>
      <tp t="e">
        <v>#N/A</v>
        <stp/>
        <stp>BDH|2002113952892254507</stp>
        <tr r="F68" s="13"/>
      </tp>
      <tp t="e">
        <v>#N/A</v>
        <stp/>
        <stp>BDH|2209661835334732278</stp>
        <tr r="P43" s="21"/>
      </tp>
      <tp t="e">
        <v>#N/A</v>
        <stp/>
        <stp>BDH|5272158389174778980</stp>
        <tr r="O80" s="18"/>
      </tp>
      <tp t="e">
        <v>#N/A</v>
        <stp/>
        <stp>BDH|3202475763785687513</stp>
        <tr r="P25" s="21"/>
      </tp>
      <tp t="e">
        <v>#N/A</v>
        <stp/>
        <stp>BDH|2611228374673650572</stp>
        <tr r="V41" s="21"/>
      </tp>
      <tp t="e">
        <v>#N/A</v>
        <stp/>
        <stp>BDH|5370050642905251573</stp>
        <tr r="J30" s="17"/>
      </tp>
      <tp t="e">
        <v>#N/A</v>
        <stp/>
        <stp>BDH|8059122371629296600</stp>
        <tr r="F45" s="12"/>
      </tp>
      <tp t="e">
        <v>#N/A</v>
        <stp/>
        <stp>BDH|1854192747677795203</stp>
        <tr r="AA70" s="24"/>
      </tp>
      <tp t="e">
        <v>#N/A</v>
        <stp/>
        <stp>BDH|4328510335912408120</stp>
        <tr r="X10" s="22"/>
      </tp>
      <tp t="e">
        <v>#N/A</v>
        <stp/>
        <stp>BDH|2162403464096071749</stp>
        <tr r="Q72" s="17"/>
      </tp>
      <tp t="e">
        <v>#N/A</v>
        <stp/>
        <stp>BDH|4256132665846040451</stp>
        <tr r="E9" s="28"/>
      </tp>
      <tp t="e">
        <v>#N/A</v>
        <stp/>
        <stp>BDH|5337703192412372839</stp>
        <tr r="M32" s="5"/>
      </tp>
      <tp t="e">
        <v>#N/A</v>
        <stp/>
        <stp>BDH|9627470783372590662</stp>
        <tr r="J92" s="18"/>
      </tp>
      <tp t="e">
        <v>#N/A</v>
        <stp/>
        <stp>BDH|7233676444477788373</stp>
        <tr r="H53" s="17"/>
      </tp>
      <tp t="e">
        <v>#N/A</v>
        <stp/>
        <stp>BDH|2280017179904220099</stp>
        <tr r="N32" s="18"/>
      </tp>
      <tp t="e">
        <v>#N/A</v>
        <stp/>
        <stp>BDH|1163384835916539685</stp>
        <tr r="E30" s="17"/>
      </tp>
      <tp t="e">
        <v>#N/A</v>
        <stp/>
        <stp>BDH|4312054847758093906</stp>
        <tr r="I165" s="18"/>
      </tp>
      <tp t="e">
        <v>#N/A</v>
        <stp/>
        <stp>BDH|9777154000990467971</stp>
        <tr r="C196" s="18"/>
      </tp>
      <tp t="e">
        <v>#N/A</v>
        <stp/>
        <stp>BDH|5266752246325122219</stp>
        <tr r="Y25" s="27"/>
      </tp>
      <tp t="e">
        <v>#N/A</v>
        <stp/>
        <stp>BDH|8442398799164385769</stp>
        <tr r="R33" s="12"/>
      </tp>
      <tp t="e">
        <v>#N/A</v>
        <stp/>
        <stp>BDH|7196616726721474333</stp>
        <tr r="E38" s="22"/>
      </tp>
      <tp t="e">
        <v>#N/A</v>
        <stp/>
        <stp>BDH|7772571448652980504</stp>
        <tr r="O127" s="18"/>
      </tp>
      <tp t="e">
        <v>#N/A</v>
        <stp/>
        <stp>BDH|1797877891000474145</stp>
        <tr r="I81" s="18"/>
      </tp>
      <tp t="e">
        <v>#N/A</v>
        <stp/>
        <stp>BDH|9145670031399327459</stp>
        <tr r="F23" s="22"/>
      </tp>
      <tp t="e">
        <v>#N/A</v>
        <stp/>
        <stp>BDH|8728145023889966386</stp>
        <tr r="I62" s="34"/>
      </tp>
      <tp t="e">
        <v>#N/A</v>
        <stp/>
        <stp>BDH|7358951835954515873</stp>
        <tr r="F51" s="13"/>
      </tp>
      <tp t="e">
        <v>#N/A</v>
        <stp/>
        <stp>BDH|6349109202217822182</stp>
        <tr r="L35" s="14"/>
      </tp>
      <tp t="e">
        <v>#N/A</v>
        <stp/>
        <stp>BDH|1307585468542683146</stp>
        <tr r="I17" s="27"/>
        <tr r="I31" s="25"/>
        <tr r="F14" s="5"/>
      </tp>
      <tp t="e">
        <v>#N/A</v>
        <stp/>
        <stp>BDH|4421328010772425531</stp>
        <tr r="J64" s="11"/>
        <tr r="J73" s="10"/>
      </tp>
      <tp t="e">
        <v>#N/A</v>
        <stp/>
        <stp>BDH|6976862510897927971</stp>
        <tr r="D35" s="14"/>
      </tp>
      <tp t="e">
        <v>#N/A</v>
        <stp/>
        <stp>BDH|8274179819168537182</stp>
        <tr r="N193" s="18"/>
      </tp>
      <tp t="e">
        <v>#N/A</v>
        <stp/>
        <stp>BDH|3233840122178144037</stp>
        <tr r="E7" s="17"/>
      </tp>
      <tp t="e">
        <v>#N/A</v>
        <stp/>
        <stp>BDH|2366222460654534320</stp>
        <tr r="F38" s="12"/>
      </tp>
      <tp t="e">
        <v>#N/A</v>
        <stp/>
        <stp>BDH|6689371409722891666</stp>
        <tr r="V48" s="24"/>
      </tp>
      <tp t="e">
        <v>#N/A</v>
        <stp/>
        <stp>BDH|2679854452177235950</stp>
        <tr r="AA38" s="22"/>
      </tp>
      <tp t="e">
        <v>#N/A</v>
        <stp/>
        <stp>BDH|9283161986941105051</stp>
        <tr r="I31" s="26"/>
        <tr r="F14" s="9"/>
      </tp>
      <tp t="e">
        <v>#N/A</v>
        <stp/>
        <stp>BDH|1589629491818228728</stp>
        <tr r="E98" s="17"/>
      </tp>
      <tp t="e">
        <v>#N/A</v>
        <stp/>
        <stp>BDH|7592657764373276509</stp>
        <tr r="X13" s="34"/>
      </tp>
      <tp t="e">
        <v>#N/A</v>
        <stp/>
        <stp>BDH|8523700553648114316</stp>
        <tr r="S71" s="12"/>
      </tp>
      <tp t="e">
        <v>#N/A</v>
        <stp/>
        <stp>BDH|1782071564852115433</stp>
        <tr r="M29" s="21"/>
      </tp>
      <tp t="e">
        <v>#N/A</v>
        <stp/>
        <stp>BDH|2227975352006675973</stp>
        <tr r="X53" s="17"/>
      </tp>
      <tp t="e">
        <v>#N/A</v>
        <stp/>
        <stp>BDH|4196743433907436642</stp>
        <tr r="S46" s="18"/>
      </tp>
      <tp t="e">
        <v>#N/A</v>
        <stp/>
        <stp>BDH|5707547257241601547</stp>
        <tr r="R31" s="24"/>
      </tp>
      <tp t="e">
        <v>#N/A</v>
        <stp/>
        <stp>BDH|9637917917778399858</stp>
        <tr r="F43" s="17"/>
      </tp>
      <tp t="e">
        <v>#N/A</v>
        <stp/>
        <stp>BDH|1532903822459832295</stp>
        <tr r="I14" s="18"/>
      </tp>
      <tp t="e">
        <v>#N/A</v>
        <stp/>
        <stp>BDH|1019108075933254517</stp>
        <tr r="H70" s="34"/>
      </tp>
      <tp t="e">
        <v>#N/A</v>
        <stp/>
        <stp>BDH|1801261158670619764</stp>
        <tr r="R73" s="18"/>
      </tp>
      <tp t="e">
        <v>#N/A</v>
        <stp/>
        <stp>BDH|5475546907780341127</stp>
        <tr r="X12" s="12"/>
      </tp>
      <tp t="e">
        <v>#N/A</v>
        <stp/>
        <stp>BDH|4263037445419660846</stp>
        <tr r="G41" s="11"/>
        <tr r="G50" s="10"/>
        <tr r="G8" s="7"/>
        <tr r="I11" s="3"/>
      </tp>
      <tp t="e">
        <v>#N/A</v>
        <stp/>
        <stp>BDH|4234513779736420180</stp>
        <tr r="S26" s="17"/>
      </tp>
      <tp t="e">
        <v>#N/A</v>
        <stp/>
        <stp>BDH|5245194431090958651</stp>
        <tr r="I51" s="17"/>
      </tp>
      <tp t="e">
        <v>#N/A</v>
        <stp/>
        <stp>BDH|5015058446757589702</stp>
        <tr r="L173" s="18"/>
      </tp>
      <tp t="e">
        <v>#N/A</v>
        <stp/>
        <stp>BDH|8681939006760441015</stp>
        <tr r="G34" s="25"/>
        <tr r="G93" s="17"/>
      </tp>
      <tp t="e">
        <v>#N/A</v>
        <stp/>
        <stp>BDH|6813766919756442753</stp>
        <tr r="K24" s="2"/>
      </tp>
      <tp t="e">
        <v>#N/A</v>
        <stp/>
        <stp>BDH|6441562465084747065</stp>
        <tr r="N60" s="12"/>
      </tp>
      <tp t="e">
        <v>#N/A</v>
        <stp/>
        <stp>BDH|7105475378865157091</stp>
        <tr r="AA129" s="18"/>
      </tp>
      <tp t="e">
        <v>#N/A</v>
        <stp/>
        <stp>BDH|4767413369261092697</stp>
        <tr r="Y61" s="34"/>
      </tp>
      <tp t="e">
        <v>#N/A</v>
        <stp/>
        <stp>BDH|2751730752180252128</stp>
        <tr r="I42" s="22"/>
      </tp>
      <tp t="e">
        <v>#N/A</v>
        <stp/>
        <stp>BDH|2309296139020162249</stp>
        <tr r="U194" s="18"/>
      </tp>
      <tp t="e">
        <v>#N/A</v>
        <stp/>
        <stp>BDH|1597229700866742464</stp>
        <tr r="E10" s="22"/>
      </tp>
      <tp t="e">
        <v>#N/A</v>
        <stp/>
        <stp>BDH|9687972044033221610</stp>
        <tr r="L192" s="18"/>
      </tp>
      <tp t="e">
        <v>#N/A</v>
        <stp/>
        <stp>BDH|3708279830086149575</stp>
        <tr r="F18" s="18"/>
      </tp>
      <tp t="e">
        <v>#N/A</v>
        <stp/>
        <stp>BDH|4486250986297878895</stp>
        <tr r="C8" s="2"/>
      </tp>
      <tp t="e">
        <v>#N/A</v>
        <stp/>
        <stp>BDH|5167885684976878235</stp>
        <tr r="L33" s="5"/>
      </tp>
      <tp t="e">
        <v>#N/A</v>
        <stp/>
        <stp>BDH|3283702152622511236</stp>
        <tr r="S20" s="5"/>
      </tp>
      <tp t="e">
        <v>#N/A</v>
        <stp/>
        <stp>BDH|1587553047559450850</stp>
        <tr r="I27" s="17"/>
      </tp>
      <tp t="e">
        <v>#N/A</v>
        <stp/>
        <stp>BDH|1748365704771056238</stp>
        <tr r="R73" s="24"/>
      </tp>
      <tp t="e">
        <v>#N/A</v>
        <stp/>
        <stp>BDH|5395747797282655802</stp>
        <tr r="Y12" s="17"/>
      </tp>
      <tp t="e">
        <v>#N/A</v>
        <stp/>
        <stp>BDH|7478156801785347259</stp>
        <tr r="E40" s="18"/>
      </tp>
      <tp t="e">
        <v>#N/A</v>
        <stp/>
        <stp>BDH|9940707955448384294</stp>
        <tr r="K90" s="17"/>
      </tp>
      <tp t="e">
        <v>#N/A</v>
        <stp/>
        <stp>BDH|1145638355724764767</stp>
        <tr r="C110" s="18"/>
      </tp>
      <tp t="e">
        <v>#N/A</v>
        <stp/>
        <stp>BDH|7239008570731510017</stp>
        <tr r="D17" s="9"/>
      </tp>
      <tp t="e">
        <v>#N/A</v>
        <stp/>
        <stp>BDH|9223163980327283600</stp>
        <tr r="X35" s="24"/>
      </tp>
      <tp t="e">
        <v>#N/A</v>
        <stp/>
        <stp>BDH|3805344167927991049</stp>
        <tr r="N84" s="18"/>
      </tp>
      <tp t="e">
        <v>#N/A</v>
        <stp/>
        <stp>BDH|5037836127958742655</stp>
        <tr r="O70" s="17"/>
        <tr r="O18" s="3"/>
      </tp>
      <tp t="e">
        <v>#N/A</v>
        <stp/>
        <stp>BDH|4720716013723591067</stp>
        <tr r="R32" s="29"/>
        <tr r="P34" s="5"/>
      </tp>
      <tp t="e">
        <v>#N/A</v>
        <stp/>
        <stp>BDH|7606375686908355525</stp>
        <tr r="F15" s="22"/>
      </tp>
      <tp t="e">
        <v>#N/A</v>
        <stp/>
        <stp>BDH|1486442125997178128</stp>
        <tr r="Q9" s="12"/>
      </tp>
      <tp t="e">
        <v>#N/A</v>
        <stp/>
        <stp>BDH|9576942165427355018</stp>
        <tr r="X93" s="12"/>
      </tp>
      <tp t="e">
        <v>#N/A</v>
        <stp/>
        <stp>BDH|3160719473281612330</stp>
        <tr r="W57" s="34"/>
      </tp>
      <tp t="e">
        <v>#N/A</v>
        <stp/>
        <stp>BDH|1006745314307781111</stp>
        <tr r="I109" s="18"/>
      </tp>
      <tp t="e">
        <v>#N/A</v>
        <stp/>
        <stp>BDH|6110216757502686275</stp>
        <tr r="W19" s="24"/>
      </tp>
      <tp t="e">
        <v>#N/A</v>
        <stp/>
        <stp>BDH|7664706561591085612</stp>
        <tr r="I18" s="25"/>
      </tp>
      <tp t="e">
        <v>#N/A</v>
        <stp/>
        <stp>BDH|4477063824836974194</stp>
        <tr r="L89" s="12"/>
      </tp>
      <tp t="e">
        <v>#N/A</v>
        <stp/>
        <stp>BDH|8416852803831026046</stp>
        <tr r="E16" s="23"/>
      </tp>
      <tp t="e">
        <v>#N/A</v>
        <stp/>
        <stp>BDH|7911286143779562918</stp>
        <tr r="X70" s="12"/>
      </tp>
      <tp t="e">
        <v>#N/A</v>
        <stp/>
        <stp>BDH|8924901477816836106</stp>
        <tr r="O115" s="12"/>
      </tp>
      <tp t="e">
        <v>#N/A</v>
        <stp/>
        <stp>BDH|8112447903189481441</stp>
        <tr r="I28" s="22"/>
      </tp>
      <tp t="e">
        <v>#N/A</v>
        <stp/>
        <stp>BDH|9253336957358483646</stp>
        <tr r="W38" s="11"/>
        <tr r="W47" s="10"/>
      </tp>
      <tp t="e">
        <v>#N/A</v>
        <stp/>
        <stp>BDH|8348900633864077765</stp>
        <tr r="R39" s="24"/>
      </tp>
      <tp t="e">
        <v>#N/A</v>
        <stp/>
        <stp>BDH|4270030517113923785</stp>
        <tr r="F188" s="18"/>
      </tp>
      <tp t="e">
        <v>#N/A</v>
        <stp/>
        <stp>BDH|1653316716253340155</stp>
        <tr r="AA10" s="13"/>
      </tp>
      <tp t="e">
        <v>#N/A</v>
        <stp/>
        <stp>BDH|9587634512046685954</stp>
        <tr r="O47" s="17"/>
      </tp>
      <tp t="e">
        <v>#N/A</v>
        <stp/>
        <stp>BDH|7355234407535504157</stp>
        <tr r="Z99" s="12"/>
      </tp>
      <tp t="e">
        <v>#N/A</v>
        <stp/>
        <stp>BDH|1214104046353100625</stp>
        <tr r="L84" s="12"/>
      </tp>
      <tp t="e">
        <v>#N/A</v>
        <stp/>
        <stp>BDH|6171735300812310268</stp>
        <tr r="D76" s="34"/>
      </tp>
      <tp t="e">
        <v>#N/A</v>
        <stp/>
        <stp>BDH|6221751380048075007</stp>
        <tr r="G118" s="12"/>
      </tp>
      <tp t="e">
        <v>#N/A</v>
        <stp/>
        <stp>BDH|4500562554697872280</stp>
        <tr r="X34" s="14"/>
      </tp>
      <tp t="e">
        <v>#N/A</v>
        <stp/>
        <stp>BDH|6363503811901183247</stp>
        <tr r="F48" s="34"/>
      </tp>
      <tp t="e">
        <v>#N/A</v>
        <stp/>
        <stp>BDH|1604541830031319762</stp>
        <tr r="M20" s="26"/>
      </tp>
      <tp t="e">
        <v>#N/A</v>
        <stp/>
        <stp>BDH|4537513678314986329</stp>
        <tr r="O11" s="30"/>
      </tp>
      <tp t="e">
        <v>#N/A</v>
        <stp/>
        <stp>BDH|5443147777180223222</stp>
        <tr r="J20" s="24"/>
      </tp>
      <tp t="e">
        <v>#N/A</v>
        <stp/>
        <stp>BDH|4022963955059106053</stp>
        <tr r="Y196" s="18"/>
      </tp>
      <tp t="e">
        <v>#N/A</v>
        <stp/>
        <stp>BDH|8225891438284261665</stp>
        <tr r="Y71" s="24"/>
      </tp>
      <tp t="e">
        <v>#N/A</v>
        <stp/>
        <stp>BDH|4149098903920968551</stp>
        <tr r="M93" s="12"/>
      </tp>
      <tp t="e">
        <v>#N/A</v>
        <stp/>
        <stp>BDH|2171133754116833193</stp>
        <tr r="J125" s="18"/>
      </tp>
      <tp t="e">
        <v>#N/A</v>
        <stp/>
        <stp>BDH|6395075174530692015</stp>
        <tr r="L18" s="21"/>
      </tp>
      <tp t="e">
        <v>#N/A</v>
        <stp/>
        <stp>BDH|3204760463157444440</stp>
        <tr r="G35" s="34"/>
      </tp>
      <tp t="e">
        <v>#N/A</v>
        <stp/>
        <stp>BDH|4363273890376722841</stp>
        <tr r="P25" s="17"/>
      </tp>
      <tp t="e">
        <v>#N/A</v>
        <stp/>
        <stp>BDH|9555095838979143228</stp>
        <tr r="C27" s="6"/>
      </tp>
      <tp t="e">
        <v>#N/A</v>
        <stp/>
        <stp>BDH|7865076028612128610</stp>
        <tr r="W69" s="10"/>
      </tp>
      <tp t="e">
        <v>#N/A</v>
        <stp/>
        <stp>BDH|4218160266421387369</stp>
        <tr r="T83" s="12"/>
      </tp>
      <tp t="e">
        <v>#N/A</v>
        <stp/>
        <stp>BDH|5218805433309158675</stp>
        <tr r="R21" s="11"/>
      </tp>
      <tp t="e">
        <v>#N/A</v>
        <stp/>
        <stp>BDH|7235252641037704766</stp>
        <tr r="S41" s="22"/>
      </tp>
      <tp t="e">
        <v>#N/A</v>
        <stp/>
        <stp>BDH|2739182348941079708</stp>
        <tr r="V54" s="13"/>
      </tp>
      <tp t="e">
        <v>#N/A</v>
        <stp/>
        <stp>BDH|9340106451149460512</stp>
        <tr r="J93" s="18"/>
      </tp>
      <tp t="e">
        <v>#N/A</v>
        <stp/>
        <stp>BDH|9680628984497213152</stp>
        <tr r="K26" s="11"/>
        <tr r="K35" s="10"/>
      </tp>
      <tp t="e">
        <v>#N/A</v>
        <stp/>
        <stp>BDH|5481053232362669529</stp>
        <tr r="H61" s="12"/>
      </tp>
      <tp t="e">
        <v>#N/A</v>
        <stp/>
        <stp>BDH|1070433867732134027</stp>
        <tr r="V22" s="24"/>
      </tp>
      <tp t="e">
        <v>#N/A</v>
        <stp/>
        <stp>BDH|4346392890718924744</stp>
        <tr r="L79" s="24"/>
      </tp>
      <tp t="e">
        <v>#N/A</v>
        <stp/>
        <stp>BDH|2452196679187539267</stp>
        <tr r="Z57" s="24"/>
      </tp>
      <tp t="e">
        <v>#N/A</v>
        <stp/>
        <stp>BDH|8426547893395282068</stp>
        <tr r="D86" s="12"/>
      </tp>
      <tp t="e">
        <v>#N/A</v>
        <stp/>
        <stp>BDH|5172974776492265857</stp>
        <tr r="S39" s="18"/>
      </tp>
      <tp t="e">
        <v>#N/A</v>
        <stp/>
        <stp>BDH|2432024825840219167</stp>
        <tr r="H180" s="18"/>
      </tp>
      <tp t="e">
        <v>#N/A</v>
        <stp/>
        <stp>BDH|9105565656878719015</stp>
        <tr r="Y62" s="12"/>
      </tp>
      <tp t="e">
        <v>#N/A</v>
        <stp/>
        <stp>BDH|4106460271922368426</stp>
        <tr r="R48" s="24"/>
      </tp>
      <tp t="e">
        <v>#N/A</v>
        <stp/>
        <stp>BDH|7562658894491003832</stp>
        <tr r="C30" s="9"/>
        <tr r="C30" s="5"/>
      </tp>
      <tp t="e">
        <v>#N/A</v>
        <stp/>
        <stp>BDH|8205823800388394941</stp>
        <tr r="S15" s="4"/>
      </tp>
      <tp t="e">
        <v>#N/A</v>
        <stp/>
        <stp>BDH|5115846796991536415</stp>
        <tr r="G52" s="13"/>
      </tp>
      <tp t="e">
        <v>#N/A</v>
        <stp/>
        <stp>BDH|3857278379215364222</stp>
        <tr r="N109" s="18"/>
      </tp>
      <tp t="e">
        <v>#N/A</v>
        <stp/>
        <stp>BDH|7012038564417745772</stp>
        <tr r="C57" s="17"/>
      </tp>
      <tp t="e">
        <v>#N/A</v>
        <stp/>
        <stp>BDH|7277215725995924382</stp>
        <tr r="Y142" s="18"/>
      </tp>
      <tp t="e">
        <v>#N/A</v>
        <stp/>
        <stp>BDH|8312250165609056448</stp>
        <tr r="AA143" s="18"/>
      </tp>
      <tp t="e">
        <v>#N/A</v>
        <stp/>
        <stp>BDH|8278862371197595177</stp>
        <tr r="M27" s="22"/>
      </tp>
      <tp t="e">
        <v>#N/A</v>
        <stp/>
        <stp>BDH|4520245796019546759</stp>
        <tr r="AA90" s="18"/>
      </tp>
      <tp t="e">
        <v>#N/A</v>
        <stp/>
        <stp>BDH|1129442705167333348</stp>
        <tr r="E12" s="17"/>
      </tp>
      <tp t="e">
        <v>#N/A</v>
        <stp/>
        <stp>BDH|1096605854693140023</stp>
        <tr r="G43" s="6"/>
      </tp>
      <tp t="e">
        <v>#N/A</v>
        <stp/>
        <stp>BDH|8550202486403785036</stp>
        <tr r="I28" s="13"/>
      </tp>
      <tp t="e">
        <v>#N/A</v>
        <stp/>
        <stp>BDH|1291305288742905946</stp>
        <tr r="J35" s="34"/>
      </tp>
      <tp t="e">
        <v>#N/A</v>
        <stp/>
        <stp>BDH|5504690327393976359</stp>
        <tr r="AA92" s="24"/>
      </tp>
      <tp t="e">
        <v>#N/A</v>
        <stp/>
        <stp>BDH|6632407932336121628</stp>
        <tr r="X10" s="17"/>
      </tp>
      <tp t="e">
        <v>#N/A</v>
        <stp/>
        <stp>BDH|2743269161535254251</stp>
        <tr r="P32" s="5"/>
      </tp>
      <tp t="e">
        <v>#N/A</v>
        <stp/>
        <stp>BDH|5304089420263454582</stp>
        <tr r="W14" s="4"/>
      </tp>
      <tp t="e">
        <v>#N/A</v>
        <stp/>
        <stp>BDH|3905808310389742293</stp>
        <tr r="V47" s="17"/>
      </tp>
      <tp t="e">
        <v>#N/A</v>
        <stp/>
        <stp>BDH|6670053467489440878</stp>
        <tr r="F81" s="34"/>
      </tp>
      <tp t="e">
        <v>#N/A</v>
        <stp/>
        <stp>BDH|2076438606802488563</stp>
        <tr r="D63" s="24"/>
      </tp>
      <tp t="e">
        <v>#N/A</v>
        <stp/>
        <stp>BDH|9905344260395286883</stp>
        <tr r="F127" s="18"/>
      </tp>
      <tp t="e">
        <v>#N/A</v>
        <stp/>
        <stp>BDH|9437764234805667976</stp>
        <tr r="AA183" s="18"/>
      </tp>
      <tp t="e">
        <v>#N/A</v>
        <stp/>
        <stp>BDH|8985980291299252050</stp>
        <tr r="Y178" s="18"/>
      </tp>
      <tp t="e">
        <v>#N/A</v>
        <stp/>
        <stp>BDH|9099659053673607879</stp>
        <tr r="U37" s="25"/>
        <tr r="U59" s="21"/>
        <tr r="S53" s="11"/>
        <tr r="S31" s="4"/>
      </tp>
      <tp t="e">
        <v>#N/A</v>
        <stp/>
        <stp>BDH|5005732223186595725</stp>
        <tr r="M65" s="21"/>
        <tr r="K23" s="7"/>
      </tp>
      <tp t="e">
        <v>#N/A</v>
        <stp/>
        <stp>BDH|8790237085241704212</stp>
        <tr r="V64" s="11"/>
        <tr r="V73" s="10"/>
      </tp>
      <tp t="e">
        <v>#N/A</v>
        <stp/>
        <stp>BDH|8992337023381918972</stp>
        <tr r="P88" s="17"/>
      </tp>
      <tp t="e">
        <v>#N/A</v>
        <stp/>
        <stp>BDH|5822523619334022471</stp>
        <tr r="O92" s="18"/>
      </tp>
      <tp t="e">
        <v>#N/A</v>
        <stp/>
        <stp>BDH|3201295735014265782</stp>
        <tr r="F96" s="12"/>
      </tp>
      <tp t="e">
        <v>#N/A</v>
        <stp/>
        <stp>BDH|3365758933903061510</stp>
        <tr r="T8" s="25"/>
        <tr r="Q10" s="5"/>
        <tr r="R9" s="2"/>
      </tp>
      <tp t="e">
        <v>#N/A</v>
        <stp/>
        <stp>BDH|9059963552463912792</stp>
        <tr r="Y47" s="12"/>
      </tp>
      <tp t="e">
        <v>#N/A</v>
        <stp/>
        <stp>BDH|6427176266434315421</stp>
        <tr r="N18" s="14"/>
      </tp>
      <tp t="e">
        <v>#N/A</v>
        <stp/>
        <stp>BDH|3554922276739338563</stp>
        <tr r="Y66" s="17"/>
      </tp>
      <tp t="e">
        <v>#N/A</v>
        <stp/>
        <stp>BDH|3168552142145256600</stp>
        <tr r="J124" s="18"/>
      </tp>
      <tp t="e">
        <v>#N/A</v>
        <stp/>
        <stp>BDH|3462539977435780530</stp>
        <tr r="F71" s="34"/>
      </tp>
      <tp t="e">
        <v>#N/A</v>
        <stp/>
        <stp>BDH|1794453852775172459</stp>
        <tr r="V23" s="22"/>
      </tp>
      <tp t="e">
        <v>#N/A</v>
        <stp/>
        <stp>BDH|2218898321880645987</stp>
        <tr r="J86" s="24"/>
      </tp>
      <tp t="e">
        <v>#N/A</v>
        <stp/>
        <stp>BDH|5083270188979252796</stp>
        <tr r="I62" s="13"/>
      </tp>
      <tp t="e">
        <v>#N/A</v>
        <stp/>
        <stp>BDH|9740471873778630313</stp>
        <tr r="P11" s="30"/>
      </tp>
      <tp t="e">
        <v>#N/A</v>
        <stp/>
        <stp>BDH|2553280218460770063</stp>
        <tr r="L79" s="12"/>
      </tp>
      <tp t="e">
        <v>#N/A</v>
        <stp/>
        <stp>BDH|5024119600465293073</stp>
        <tr r="S31" s="5"/>
      </tp>
      <tp t="e">
        <v>#N/A</v>
        <stp/>
        <stp>BDH|9597758857589720343</stp>
        <tr r="J115" s="18"/>
      </tp>
      <tp t="e">
        <v>#N/A</v>
        <stp/>
        <stp>BDH|3605798009242170738</stp>
        <tr r="D44" s="22"/>
      </tp>
      <tp t="e">
        <v>#N/A</v>
        <stp/>
        <stp>BDH|3876235939142637105</stp>
        <tr r="V18" s="13"/>
      </tp>
      <tp t="e">
        <v>#N/A</v>
        <stp/>
        <stp>BDH|7765932093863290511</stp>
        <tr r="M20" s="34"/>
      </tp>
      <tp t="e">
        <v>#N/A</v>
        <stp/>
        <stp>BDH|2084169512351168210</stp>
        <tr r="J13" s="9"/>
      </tp>
      <tp t="e">
        <v>#N/A</v>
        <stp/>
        <stp>BDH|5403023227197412117</stp>
        <tr r="D117" s="12"/>
      </tp>
      <tp t="e">
        <v>#N/A</v>
        <stp/>
        <stp>BDH|4728223541402811183</stp>
        <tr r="S177" s="18"/>
      </tp>
      <tp t="e">
        <v>#N/A</v>
        <stp/>
        <stp>BDH|1449584379635727763</stp>
        <tr r="S41" s="12"/>
      </tp>
      <tp t="e">
        <v>#N/A</v>
        <stp/>
        <stp>BDH|7425717831770351230</stp>
        <tr r="S56" s="24"/>
      </tp>
      <tp t="e">
        <v>#N/A</v>
        <stp/>
        <stp>BDH|2620383151515976025</stp>
        <tr r="S89" s="18"/>
      </tp>
      <tp t="e">
        <v>#N/A</v>
        <stp/>
        <stp>BDH|7090907046948097328</stp>
        <tr r="D114" s="12"/>
      </tp>
      <tp t="e">
        <v>#N/A</v>
        <stp/>
        <stp>BDH|9468963784971255800</stp>
        <tr r="K22" s="27"/>
      </tp>
      <tp t="e">
        <v>#N/A</v>
        <stp/>
        <stp>BDH|1029638426246407251</stp>
        <tr r="G73" s="17"/>
      </tp>
      <tp t="e">
        <v>#N/A</v>
        <stp/>
        <stp>BDH|1487403200582743673</stp>
        <tr r="R61" s="18"/>
      </tp>
      <tp t="e">
        <v>#N/A</v>
        <stp/>
        <stp>BDH|2692754240239472930</stp>
        <tr r="Y23" s="24"/>
      </tp>
      <tp t="e">
        <v>#N/A</v>
        <stp/>
        <stp>BDH|1908742034943433790</stp>
        <tr r="K190" s="18"/>
      </tp>
      <tp t="e">
        <v>#N/A</v>
        <stp/>
        <stp>BDH|5657477331523799036</stp>
        <tr r="W63" s="21"/>
      </tp>
      <tp t="e">
        <v>#N/A</v>
        <stp/>
        <stp>BDH|2730316738800311396</stp>
        <tr r="Z9" s="27"/>
      </tp>
      <tp t="e">
        <v>#N/A</v>
        <stp/>
        <stp>BDH|3982597857055579762</stp>
        <tr r="E22" s="12"/>
      </tp>
      <tp t="e">
        <v>#N/A</v>
        <stp/>
        <stp>BDH|4981914210259441480</stp>
        <tr r="X20" s="34"/>
      </tp>
      <tp t="e">
        <v>#N/A</v>
        <stp/>
        <stp>BDH|8912728548458123265</stp>
        <tr r="F18" s="14"/>
      </tp>
      <tp t="e">
        <v>#N/A</v>
        <stp/>
        <stp>BDH|1379206136669483855</stp>
        <tr r="P28" s="34"/>
      </tp>
      <tp t="e">
        <v>#N/A</v>
        <stp/>
        <stp>BDH|2701640882779741429</stp>
        <tr r="N26" s="27"/>
      </tp>
      <tp t="e">
        <v>#N/A</v>
        <stp/>
        <stp>BDH|2641809696091647323</stp>
        <tr r="K17" s="18"/>
      </tp>
      <tp t="e">
        <v>#N/A</v>
        <stp/>
        <stp>BDH|5091743211692761060</stp>
        <tr r="L72" s="18"/>
      </tp>
      <tp t="e">
        <v>#N/A</v>
        <stp/>
        <stp>BDH|7857528209283606015</stp>
        <tr r="G43" s="21"/>
      </tp>
      <tp t="e">
        <v>#N/A</v>
        <stp/>
        <stp>BDH|7862783846786697346</stp>
        <tr r="L77" s="18"/>
      </tp>
      <tp t="e">
        <v>#N/A</v>
        <stp/>
        <stp>BDH|5530666263674468008</stp>
        <tr r="O10" s="8"/>
        <tr r="M53" s="6"/>
      </tp>
      <tp t="e">
        <v>#N/A</v>
        <stp/>
        <stp>BDH|8494044776489155731</stp>
        <tr r="F70" s="13"/>
        <tr r="D49" s="11"/>
        <tr r="D58" s="10"/>
        <tr r="D19" s="7"/>
        <tr r="D18" s="4"/>
        <tr r="D20" s="2"/>
      </tp>
      <tp t="e">
        <v>#N/A</v>
        <stp/>
        <stp>BDH|6065083721971907440</stp>
        <tr r="O8" s="17"/>
      </tp>
      <tp t="e">
        <v>#N/A</v>
        <stp/>
        <stp>BDH|7696011772972963388</stp>
        <tr r="M32" s="9"/>
      </tp>
      <tp t="e">
        <v>#N/A</v>
        <stp/>
        <stp>BDH|1497492590749831410</stp>
        <tr r="D11" s="28"/>
      </tp>
      <tp t="e">
        <v>#N/A</v>
        <stp/>
        <stp>BDH|3248258896740744920</stp>
        <tr r="J21" s="22"/>
      </tp>
      <tp t="e">
        <v>#N/A</v>
        <stp/>
        <stp>BDH|6733675776376039029</stp>
        <tr r="Q25" s="5"/>
      </tp>
      <tp t="e">
        <v>#N/A</v>
        <stp/>
        <stp>BDH|5954291555062097113</stp>
        <tr r="W213" s="18"/>
      </tp>
      <tp t="e">
        <v>#N/A</v>
        <stp/>
        <stp>BDH|5068720457926182009</stp>
        <tr r="G42" s="11"/>
        <tr r="G51" s="10"/>
        <tr r="G14" s="7"/>
        <tr r="I9" s="3"/>
      </tp>
      <tp t="e">
        <v>#N/A</v>
        <stp/>
        <stp>BDH|1079320879672798686</stp>
        <tr r="M12" s="18"/>
      </tp>
      <tp t="e">
        <v>#N/A</v>
        <stp/>
        <stp>BDH|9029840200767635768</stp>
        <tr r="S58" s="24"/>
      </tp>
      <tp t="e">
        <v>#N/A</v>
        <stp/>
        <stp>BDH|4829945890297082283</stp>
        <tr r="F21" s="14"/>
      </tp>
      <tp t="e">
        <v>#N/A</v>
        <stp/>
        <stp>BDH|2432717013840443579</stp>
        <tr r="Y9" s="25"/>
        <tr r="Y44" s="17"/>
      </tp>
      <tp t="e">
        <v>#N/A</v>
        <stp/>
        <stp>BDH|9819399686891591278</stp>
        <tr r="I15" s="9"/>
      </tp>
      <tp t="e">
        <v>#N/A</v>
        <stp/>
        <stp>BDH|2148133569457815363</stp>
        <tr r="J42" s="22"/>
      </tp>
      <tp t="e">
        <v>#N/A</v>
        <stp/>
        <stp>BDH|1718053052054143147</stp>
        <tr r="D12" s="3"/>
      </tp>
      <tp t="e">
        <v>#N/A</v>
        <stp/>
        <stp>BDH|3911310647332850727</stp>
        <tr r="T7" s="14"/>
      </tp>
      <tp t="e">
        <v>#N/A</v>
        <stp/>
        <stp>BDH|4201840751521722957</stp>
        <tr r="H21" s="18"/>
      </tp>
      <tp t="e">
        <v>#N/A</v>
        <stp/>
        <stp>BDH|1766171219144921454</stp>
        <tr r="H162" s="18"/>
      </tp>
      <tp t="e">
        <v>#N/A</v>
        <stp/>
        <stp>BDH|6414046630782479617</stp>
        <tr r="S152" s="18"/>
      </tp>
      <tp t="e">
        <v>#N/A</v>
        <stp/>
        <stp>BDH|8445452715885074919</stp>
        <tr r="Z46" s="22"/>
      </tp>
      <tp t="e">
        <v>#N/A</v>
        <stp/>
        <stp>BDH|1668263107315567770</stp>
        <tr r="C7" s="27"/>
        <tr r="C95" s="17"/>
      </tp>
      <tp t="e">
        <v>#N/A</v>
        <stp/>
        <stp>BDH|3329241952820338538</stp>
        <tr r="L210" s="18"/>
      </tp>
      <tp t="e">
        <v>#N/A</v>
        <stp/>
        <stp>BDH|7227741899689335195</stp>
        <tr r="X28" s="24"/>
      </tp>
      <tp t="e">
        <v>#N/A</v>
        <stp/>
        <stp>BDH|1950820329582271854</stp>
        <tr r="Z214" s="18"/>
      </tp>
      <tp t="e">
        <v>#N/A</v>
        <stp/>
        <stp>BDH|4474794734725873441</stp>
        <tr r="O107" s="18"/>
      </tp>
      <tp t="e">
        <v>#N/A</v>
        <stp/>
        <stp>BDH|3346224047067228310</stp>
        <tr r="Y11" s="18"/>
      </tp>
      <tp t="e">
        <v>#N/A</v>
        <stp/>
        <stp>BDH|3653721001367310233</stp>
        <tr r="K36" s="34"/>
      </tp>
      <tp t="e">
        <v>#N/A</v>
        <stp/>
        <stp>BDH|4119711193809349259</stp>
        <tr r="R34" s="9"/>
      </tp>
      <tp t="e">
        <v>#N/A</v>
        <stp/>
        <stp>BDH|3358459636937751225</stp>
        <tr r="M157" s="18"/>
      </tp>
      <tp t="e">
        <v>#N/A</v>
        <stp/>
        <stp>BDH|5537015920117323120</stp>
        <tr r="V148" s="18"/>
      </tp>
      <tp t="e">
        <v>#N/A</v>
        <stp/>
        <stp>BDH|1428714626571212447</stp>
        <tr r="E18" s="9"/>
      </tp>
      <tp t="e">
        <v>#N/A</v>
        <stp/>
        <stp>BDH|5379627176067403264</stp>
        <tr r="S28" s="17"/>
      </tp>
      <tp t="e">
        <v>#N/A</v>
        <stp/>
        <stp>BDH|4983787547670559668</stp>
        <tr r="P27" s="12"/>
      </tp>
      <tp t="e">
        <v>#N/A</v>
        <stp/>
        <stp>BDH|4091976484684179079</stp>
        <tr r="Y55" s="11"/>
      </tp>
      <tp t="e">
        <v>#N/A</v>
        <stp/>
        <stp>BDH|7676673612720527137</stp>
        <tr r="R29" s="18"/>
      </tp>
      <tp t="e">
        <v>#N/A</v>
        <stp/>
        <stp>BDH|7905397605096002301</stp>
        <tr r="AA10" s="14"/>
      </tp>
      <tp t="e">
        <v>#N/A</v>
        <stp/>
        <stp>BDH|2585264455363440772</stp>
        <tr r="W103" s="18"/>
      </tp>
      <tp t="e">
        <v>#N/A</v>
        <stp/>
        <stp>BDH|6232094269157197667</stp>
        <tr r="G70" s="18"/>
      </tp>
      <tp t="e">
        <v>#N/A</v>
        <stp/>
        <stp>BDH|4587971906108554445</stp>
        <tr r="K24" s="12"/>
      </tp>
      <tp t="e">
        <v>#N/A</v>
        <stp/>
        <stp>BDH|4114073451026482661</stp>
        <tr r="H21" s="24"/>
      </tp>
      <tp t="e">
        <v>#N/A</v>
        <stp/>
        <stp>BDH|7781891888101228711</stp>
        <tr r="O14" s="10"/>
      </tp>
      <tp t="e">
        <v>#N/A</v>
        <stp/>
        <stp>BDH|4217162193904460966</stp>
        <tr r="K31" s="11"/>
        <tr r="K40" s="10"/>
      </tp>
      <tp t="e">
        <v>#N/A</v>
        <stp/>
        <stp>BDH|6942396543945765517</stp>
        <tr r="D10" s="27"/>
        <tr r="D25" s="25"/>
      </tp>
      <tp t="e">
        <v>#N/A</v>
        <stp/>
        <stp>BDH|9771321697855775703</stp>
        <tr r="I14" s="24"/>
      </tp>
      <tp t="e">
        <v>#N/A</v>
        <stp/>
        <stp>BDH|1380169396989456127</stp>
        <tr r="F112" s="12"/>
      </tp>
      <tp t="e">
        <v>#N/A</v>
        <stp/>
        <stp>BDH|2648644907364298120</stp>
        <tr r="D25" s="26"/>
      </tp>
      <tp t="e">
        <v>#N/A</v>
        <stp/>
        <stp>BDH|4233132852904224540</stp>
        <tr r="X77" s="18"/>
      </tp>
      <tp t="e">
        <v>#N/A</v>
        <stp/>
        <stp>BDH|2994711156796805735</stp>
        <tr r="H20" s="5"/>
      </tp>
      <tp t="e">
        <v>#N/A</v>
        <stp/>
        <stp>BDH|3932630864150985220</stp>
        <tr r="G30" s="17"/>
      </tp>
      <tp t="e">
        <v>#N/A</v>
        <stp/>
        <stp>BDH|3346675606181223558</stp>
        <tr r="R201" s="18"/>
      </tp>
      <tp t="e">
        <v>#N/A</v>
        <stp/>
        <stp>BDH|4902871030067897935</stp>
        <tr r="J178" s="18"/>
      </tp>
      <tp t="e">
        <v>#N/A</v>
        <stp/>
        <stp>BDH|4073403003026489721</stp>
        <tr r="G78" s="24"/>
      </tp>
      <tp t="e">
        <v>#N/A</v>
        <stp/>
        <stp>BDH|9039128106038052113</stp>
        <tr r="R12" s="12"/>
      </tp>
      <tp t="e">
        <v>#N/A</v>
        <stp/>
        <stp>BDH|8169227856249290726</stp>
        <tr r="C36" s="12"/>
      </tp>
      <tp t="e">
        <v>#N/A</v>
        <stp/>
        <stp>BDH|1163408585724822897</stp>
        <tr r="R14" s="13"/>
      </tp>
      <tp t="e">
        <v>#N/A</v>
        <stp/>
        <stp>BDH|7474839984791055763</stp>
        <tr r="AA39" s="22"/>
      </tp>
      <tp t="e">
        <v>#N/A</v>
        <stp/>
        <stp>BDH|6594583501025901705</stp>
        <tr r="N37" s="34"/>
      </tp>
      <tp t="e">
        <v>#N/A</v>
        <stp/>
        <stp>BDH|1128328097279279331</stp>
        <tr r="P93" s="24"/>
      </tp>
      <tp t="e">
        <v>#N/A</v>
        <stp/>
        <stp>BDH|4927679435206944673</stp>
        <tr r="D58" s="13"/>
        <tr r="D10" s="3"/>
      </tp>
      <tp t="e">
        <v>#N/A</v>
        <stp/>
        <stp>BDH|27385622029985452</stp>
        <tr r="P13" s="12"/>
      </tp>
      <tp t="e">
        <v>#N/A</v>
        <stp/>
        <stp>BDH|49712093295205747</stp>
        <tr r="H51" s="17"/>
      </tp>
      <tp t="e">
        <v>#N/A</v>
        <stp/>
        <stp>BDH|92130982906783384</stp>
        <tr r="E21" s="12"/>
      </tp>
      <tp t="e">
        <v>#N/A</v>
        <stp/>
        <stp>BDH|29062560488995228</stp>
        <tr r="P78" s="34"/>
      </tp>
      <tp t="e">
        <v>#N/A</v>
        <stp/>
        <stp>BDH|50845682295878951</stp>
        <tr r="P89" s="18"/>
      </tp>
      <tp t="e">
        <v>#N/A</v>
        <stp/>
        <stp>BDH|4166323144662917343</stp>
        <tr r="W16" s="23"/>
      </tp>
      <tp t="e">
        <v>#N/A</v>
        <stp/>
        <stp>BDH|7547489889370874968</stp>
        <tr r="J15" s="9"/>
      </tp>
      <tp t="e">
        <v>#N/A</v>
        <stp/>
        <stp>BDH|1609328544041902539</stp>
        <tr r="X132" s="18"/>
      </tp>
      <tp t="e">
        <v>#N/A</v>
        <stp/>
        <stp>BDH|1730304291190831944</stp>
        <tr r="D47" s="17"/>
      </tp>
      <tp t="e">
        <v>#N/A</v>
        <stp/>
        <stp>BDH|2480038121442541090</stp>
        <tr r="X13" s="28"/>
        <tr r="X96" s="17"/>
      </tp>
      <tp t="e">
        <v>#N/A</v>
        <stp/>
        <stp>BDH|7884547967964564240</stp>
        <tr r="Y12" s="7"/>
      </tp>
      <tp t="e">
        <v>#N/A</v>
        <stp/>
        <stp>BDH|6837236651414325730</stp>
        <tr r="E69" s="17"/>
      </tp>
      <tp t="e">
        <v>#N/A</v>
        <stp/>
        <stp>BDH|8684471648179037338</stp>
        <tr r="T45" s="18"/>
      </tp>
      <tp t="e">
        <v>#N/A</v>
        <stp/>
        <stp>BDH|9668470202849193684</stp>
        <tr r="L172" s="18"/>
      </tp>
      <tp t="e">
        <v>#N/A</v>
        <stp/>
        <stp>BDH|7877662914712540055</stp>
        <tr r="W80" s="34"/>
      </tp>
      <tp t="e">
        <v>#N/A</v>
        <stp/>
        <stp>BDH|7003175664817990506</stp>
        <tr r="H122" s="12"/>
      </tp>
      <tp t="e">
        <v>#N/A</v>
        <stp/>
        <stp>BDH|3600411563660674382</stp>
        <tr r="D169" s="18"/>
      </tp>
      <tp t="e">
        <v>#N/A</v>
        <stp/>
        <stp>BDH|1326353113304625592</stp>
        <tr r="D150" s="18"/>
      </tp>
      <tp t="e">
        <v>#N/A</v>
        <stp/>
        <stp>BDH|6936462911890224169</stp>
        <tr r="O74" s="17"/>
      </tp>
      <tp t="e">
        <v>#N/A</v>
        <stp/>
        <stp>BDH|7704229219547080166</stp>
        <tr r="G138" s="18"/>
      </tp>
      <tp t="e">
        <v>#N/A</v>
        <stp/>
        <stp>BDH|1999339311237876697</stp>
        <tr r="Y23" s="10"/>
      </tp>
      <tp t="e">
        <v>#N/A</v>
        <stp/>
        <stp>BDH|9070284595142726205</stp>
        <tr r="W60" s="12"/>
      </tp>
      <tp t="e">
        <v>#N/A</v>
        <stp/>
        <stp>BDH|4449137099049052743</stp>
        <tr r="N198" s="18"/>
      </tp>
      <tp t="e">
        <v>#N/A</v>
        <stp/>
        <stp>BDH|6665684433285116464</stp>
        <tr r="U52" s="12"/>
      </tp>
      <tp t="e">
        <v>#N/A</v>
        <stp/>
        <stp>BDH|6435077979700675361</stp>
        <tr r="P25" s="11"/>
        <tr r="P34" s="10"/>
      </tp>
      <tp t="e">
        <v>#N/A</v>
        <stp/>
        <stp>BDH|1981316439862838130</stp>
        <tr r="U128" s="18"/>
      </tp>
      <tp t="e">
        <v>#N/A</v>
        <stp/>
        <stp>BDH|2775115579155215376</stp>
        <tr r="Q100" s="12"/>
      </tp>
      <tp t="e">
        <v>#N/A</v>
        <stp/>
        <stp>BDH|6709100104790156585</stp>
        <tr r="K34" s="34"/>
      </tp>
      <tp t="e">
        <v>#N/A</v>
        <stp/>
        <stp>BDH|9035956838660036177</stp>
        <tr r="G195" s="18"/>
      </tp>
      <tp t="e">
        <v>#N/A</v>
        <stp/>
        <stp>BDH|1804484067378851954</stp>
        <tr r="H47" s="18"/>
      </tp>
      <tp t="e">
        <v>#N/A</v>
        <stp/>
        <stp>BDH|5758503068005204170</stp>
        <tr r="F74" s="17"/>
      </tp>
      <tp t="e">
        <v>#N/A</v>
        <stp/>
        <stp>BDH|3871074823564350755</stp>
        <tr r="V101" s="18"/>
      </tp>
      <tp t="e">
        <v>#N/A</v>
        <stp/>
        <stp>BDH|6619909387022879736</stp>
        <tr r="Y88" s="17"/>
      </tp>
      <tp t="e">
        <v>#N/A</v>
        <stp/>
        <stp>BDH|9133104887347983554</stp>
        <tr r="L53" s="12"/>
      </tp>
      <tp t="e">
        <v>#N/A</v>
        <stp/>
        <stp>BDH|2328664372025461498</stp>
        <tr r="H163" s="18"/>
      </tp>
      <tp t="e">
        <v>#N/A</v>
        <stp/>
        <stp>BDH|9972308213011905894</stp>
        <tr r="P34" s="25"/>
        <tr r="P93" s="17"/>
      </tp>
      <tp t="e">
        <v>#N/A</v>
        <stp/>
        <stp>BDH|5528704546606098292</stp>
        <tr r="P27" s="24"/>
      </tp>
      <tp t="e">
        <v>#N/A</v>
        <stp/>
        <stp>BDH|7385747369673103752</stp>
        <tr r="AA55" s="18"/>
      </tp>
      <tp t="e">
        <v>#N/A</v>
        <stp/>
        <stp>BDH|2858408717714422113</stp>
        <tr r="R69" s="12"/>
      </tp>
      <tp t="e">
        <v>#N/A</v>
        <stp/>
        <stp>BDH|1881403510154364216</stp>
        <tr r="Z76" s="12"/>
      </tp>
      <tp t="e">
        <v>#N/A</v>
        <stp/>
        <stp>BDH|5265975059872443925</stp>
        <tr r="W146" s="18"/>
      </tp>
      <tp t="e">
        <v>#N/A</v>
        <stp/>
        <stp>BDH|2748139322601579296</stp>
        <tr r="Y16" s="28"/>
        <tr r="Y13" s="17"/>
      </tp>
      <tp t="e">
        <v>#N/A</v>
        <stp/>
        <stp>BDH|4580454994182839964</stp>
        <tr r="F27" s="18"/>
      </tp>
      <tp t="e">
        <v>#N/A</v>
        <stp/>
        <stp>BDH|2637180021777384461</stp>
        <tr r="V53" s="17"/>
      </tp>
      <tp t="e">
        <v>#N/A</v>
        <stp/>
        <stp>BDH|5803185354263626088</stp>
        <tr r="K63" s="17"/>
      </tp>
      <tp t="e">
        <v>#N/A</v>
        <stp/>
        <stp>BDH|7386722368003108727</stp>
        <tr r="I34" s="34"/>
      </tp>
      <tp t="e">
        <v>#N/A</v>
        <stp/>
        <stp>BDH|2516787647925528650</stp>
        <tr r="F29" s="12"/>
      </tp>
      <tp t="e">
        <v>#N/A</v>
        <stp/>
        <stp>BDH|3640795556181092235</stp>
        <tr r="F10" s="24"/>
      </tp>
      <tp t="e">
        <v>#N/A</v>
        <stp/>
        <stp>BDH|1552743807965939153</stp>
        <tr r="F19" s="9"/>
      </tp>
      <tp t="e">
        <v>#N/A</v>
        <stp/>
        <stp>BDH|3456214771457781392</stp>
        <tr r="P30" s="17"/>
      </tp>
      <tp t="e">
        <v>#N/A</v>
        <stp/>
        <stp>BDH|3558642707902409581</stp>
        <tr r="W92" s="17"/>
      </tp>
      <tp t="e">
        <v>#N/A</v>
        <stp/>
        <stp>BDH|1504145551292316599</stp>
        <tr r="R39" s="25"/>
        <tr r="R22" s="13"/>
        <tr r="R7" s="13"/>
        <tr r="P17" s="11"/>
        <tr r="R7" s="3"/>
      </tp>
      <tp t="e">
        <v>#N/A</v>
        <stp/>
        <stp>BDH|1671909586083219181</stp>
        <tr r="Z156" s="18"/>
      </tp>
      <tp t="e">
        <v>#N/A</v>
        <stp/>
        <stp>BDH|1163701498884219910</stp>
        <tr r="K69" s="12"/>
      </tp>
      <tp t="e">
        <v>#N/A</v>
        <stp/>
        <stp>BDH|3081281260426531370</stp>
        <tr r="N83" s="24"/>
      </tp>
      <tp t="e">
        <v>#N/A</v>
        <stp/>
        <stp>BDH|9899235725862196953</stp>
        <tr r="AA21" s="27"/>
      </tp>
      <tp t="e">
        <v>#N/A</v>
        <stp/>
        <stp>BDH|5444417089933718815</stp>
        <tr r="C8" s="23"/>
      </tp>
      <tp t="e">
        <v>#N/A</v>
        <stp/>
        <stp>BDH|4091758162504865343</stp>
        <tr r="W82" s="24"/>
      </tp>
      <tp t="e">
        <v>#N/A</v>
        <stp/>
        <stp>BDH|3980777511814002346</stp>
        <tr r="Y15" s="23"/>
        <tr r="W58" s="11"/>
      </tp>
      <tp t="e">
        <v>#N/A</v>
        <stp/>
        <stp>BDH|9056591975291060871</stp>
        <tr r="M32" s="6"/>
      </tp>
      <tp t="e">
        <v>#N/A</v>
        <stp/>
        <stp>BDH|9196428799393418552</stp>
        <tr r="M14" s="22"/>
      </tp>
      <tp t="e">
        <v>#N/A</v>
        <stp/>
        <stp>BDH|6230617308296616466</stp>
        <tr r="G162" s="18"/>
      </tp>
      <tp t="e">
        <v>#N/A</v>
        <stp/>
        <stp>BDH|6602111194185007981</stp>
        <tr r="I16" s="25"/>
      </tp>
      <tp t="e">
        <v>#N/A</v>
        <stp/>
        <stp>BDH|2847048800119180964</stp>
        <tr r="AA10" s="27"/>
        <tr r="AA25" s="25"/>
      </tp>
      <tp t="e">
        <v>#N/A</v>
        <stp/>
        <stp>BDH|4798349359543646370</stp>
        <tr r="Z146" s="18"/>
      </tp>
      <tp t="e">
        <v>#N/A</v>
        <stp/>
        <stp>BDH|4099192919327806138</stp>
        <tr r="K60" s="13"/>
      </tp>
      <tp t="e">
        <v>#N/A</v>
        <stp/>
        <stp>BDH|7237744129178040842</stp>
        <tr r="R129" s="18"/>
      </tp>
      <tp t="e">
        <v>#N/A</v>
        <stp/>
        <stp>BDH|9848106335128477124</stp>
        <tr r="G35" s="18"/>
      </tp>
      <tp t="e">
        <v>#N/A</v>
        <stp/>
        <stp>BDH|3189266392098896264</stp>
        <tr r="M9" s="14"/>
      </tp>
      <tp t="e">
        <v>#N/A</v>
        <stp/>
        <stp>BDH|7452974988385690168</stp>
        <tr r="C202" s="18"/>
      </tp>
      <tp t="e">
        <v>#N/A</v>
        <stp/>
        <stp>BDH|9466223327883992836</stp>
        <tr r="F36" s="34"/>
      </tp>
      <tp t="e">
        <v>#N/A</v>
        <stp/>
        <stp>BDH|4894713342050084507</stp>
        <tr r="H36" s="18"/>
      </tp>
      <tp t="e">
        <v>#N/A</v>
        <stp/>
        <stp>BDH|2990079419733440286</stp>
        <tr r="U17" s="34"/>
      </tp>
      <tp t="e">
        <v>#N/A</v>
        <stp/>
        <stp>BDH|4674512199823585900</stp>
        <tr r="T31" s="5"/>
      </tp>
      <tp t="e">
        <v>#N/A</v>
        <stp/>
        <stp>BDH|1967932530480039916</stp>
        <tr r="H75" s="18"/>
      </tp>
      <tp t="e">
        <v>#N/A</v>
        <stp/>
        <stp>BDH|3323795040185568745</stp>
        <tr r="W19" s="11"/>
      </tp>
      <tp t="e">
        <v>#N/A</v>
        <stp/>
        <stp>BDH|5559444237078813855</stp>
        <tr r="R9" s="12"/>
      </tp>
      <tp t="e">
        <v>#N/A</v>
        <stp/>
        <stp>BDH|9155325988160101014</stp>
        <tr r="D50" s="13"/>
      </tp>
      <tp t="e">
        <v>#N/A</v>
        <stp/>
        <stp>BDH|6921579900944601536</stp>
        <tr r="K71" s="17"/>
        <tr r="H8" s="9"/>
        <tr r="H8" s="5"/>
      </tp>
      <tp t="e">
        <v>#N/A</v>
        <stp/>
        <stp>BDH|4916553846593565446</stp>
        <tr r="Q18" s="17"/>
      </tp>
      <tp t="e">
        <v>#N/A</v>
        <stp/>
        <stp>BDH|4717483215183478052</stp>
        <tr r="U9" s="17"/>
      </tp>
      <tp t="e">
        <v>#N/A</v>
        <stp/>
        <stp>BDH|3935860024202572950</stp>
        <tr r="M61" s="18"/>
      </tp>
      <tp t="e">
        <v>#N/A</v>
        <stp/>
        <stp>BDH|6726525041854671191</stp>
        <tr r="T14" s="21"/>
      </tp>
      <tp t="e">
        <v>#N/A</v>
        <stp/>
        <stp>BDH|9272259393049646993</stp>
        <tr r="H90" s="24"/>
      </tp>
      <tp t="e">
        <v>#N/A</v>
        <stp/>
        <stp>BDH|5451392583719081550</stp>
        <tr r="P53" s="17"/>
      </tp>
      <tp t="e">
        <v>#N/A</v>
        <stp/>
        <stp>BDH|3840445618924732083</stp>
        <tr r="I184" s="18"/>
      </tp>
      <tp t="e">
        <v>#N/A</v>
        <stp/>
        <stp>BDH|5538483302921373276</stp>
        <tr r="F43" s="34"/>
      </tp>
      <tp t="e">
        <v>#N/A</v>
        <stp/>
        <stp>BDH|8819298398169626842</stp>
        <tr r="T44" s="24"/>
      </tp>
      <tp t="e">
        <v>#N/A</v>
        <stp/>
        <stp>BDH|3024643017236880000</stp>
        <tr r="E204" s="18"/>
      </tp>
      <tp t="e">
        <v>#N/A</v>
        <stp/>
        <stp>BDH|9737230473139818748</stp>
        <tr r="G125" s="18"/>
      </tp>
      <tp t="e">
        <v>#N/A</v>
        <stp/>
        <stp>BDH|5331274983104497985</stp>
        <tr r="C62" s="12"/>
      </tp>
      <tp t="e">
        <v>#N/A</v>
        <stp/>
        <stp>BDH|5977404937881329163</stp>
        <tr r="S25" s="26"/>
      </tp>
      <tp t="e">
        <v>#N/A</v>
        <stp/>
        <stp>BDH|7988704431304068534</stp>
        <tr r="M22" s="21"/>
      </tp>
      <tp t="e">
        <v>#N/A</v>
        <stp/>
        <stp>BDH|1434151606860943253</stp>
        <tr r="I100" s="12"/>
      </tp>
      <tp t="e">
        <v>#N/A</v>
        <stp/>
        <stp>BDH|9851463098580899657</stp>
        <tr r="I33" s="17"/>
      </tp>
      <tp t="e">
        <v>#N/A</v>
        <stp/>
        <stp>BDH|7422757418951721253</stp>
        <tr r="S27" s="24"/>
      </tp>
      <tp t="e">
        <v>#N/A</v>
        <stp/>
        <stp>BDH|5256998604787376970</stp>
        <tr r="I40" s="29"/>
        <tr r="I17" s="29"/>
      </tp>
      <tp t="e">
        <v>#N/A</v>
        <stp/>
        <stp>BDH|6815099302017854301</stp>
        <tr r="I12" s="13"/>
      </tp>
      <tp t="e">
        <v>#N/A</v>
        <stp/>
        <stp>BDH|2192301560974889125</stp>
        <tr r="Z178" s="18"/>
      </tp>
      <tp t="e">
        <v>#N/A</v>
        <stp/>
        <stp>BDH|3469114101842775281</stp>
        <tr r="K37" s="29"/>
        <tr r="K23" s="29"/>
        <tr r="K14" s="29"/>
      </tp>
      <tp t="e">
        <v>#N/A</v>
        <stp/>
        <stp>BDH|3904669581037613837</stp>
        <tr r="Q31" s="11"/>
        <tr r="Q40" s="10"/>
      </tp>
      <tp t="e">
        <v>#N/A</v>
        <stp/>
        <stp>BDH|4924479749330502697</stp>
        <tr r="X79" s="12"/>
      </tp>
      <tp t="e">
        <v>#N/A</v>
        <stp/>
        <stp>BDH|7149780203433885197</stp>
        <tr r="J82" s="18"/>
      </tp>
      <tp t="e">
        <v>#N/A</v>
        <stp/>
        <stp>BDH|1356496767017596634</stp>
        <tr r="H67" s="10"/>
      </tp>
      <tp t="e">
        <v>#N/A</v>
        <stp/>
        <stp>BDH|7040163008840096467</stp>
        <tr r="C19" s="34"/>
      </tp>
      <tp t="e">
        <v>#N/A</v>
        <stp/>
        <stp>BDH|9976136827208050057</stp>
        <tr r="Z44" s="12"/>
      </tp>
      <tp t="e">
        <v>#N/A</v>
        <stp/>
        <stp>BDH|8030077972475487899</stp>
        <tr r="X7" s="4"/>
      </tp>
      <tp t="e">
        <v>#N/A</v>
        <stp/>
        <stp>BDH|4561312829122761522</stp>
        <tr r="L77" s="34"/>
      </tp>
      <tp t="e">
        <v>#N/A</v>
        <stp/>
        <stp>BDH|4159213838447245026</stp>
        <tr r="Q126" s="18"/>
      </tp>
      <tp t="e">
        <v>#N/A</v>
        <stp/>
        <stp>BDH|3900491762114327792</stp>
        <tr r="S98" s="18"/>
      </tp>
      <tp t="e">
        <v>#N/A</v>
        <stp/>
        <stp>BDH|4730130010655577392</stp>
        <tr r="V27" s="13"/>
      </tp>
      <tp t="e">
        <v>#N/A</v>
        <stp/>
        <stp>BDH|5453669311749296992</stp>
        <tr r="S24" s="13"/>
      </tp>
      <tp t="e">
        <v>#N/A</v>
        <stp/>
        <stp>BDH|2505191079185563386</stp>
        <tr r="Y43" s="22"/>
      </tp>
      <tp t="e">
        <v>#N/A</v>
        <stp/>
        <stp>BDH|2703269976990854576</stp>
        <tr r="I42" s="24"/>
      </tp>
      <tp t="e">
        <v>#N/A</v>
        <stp/>
        <stp>BDH|7771193747325418555</stp>
        <tr r="D15" s="9"/>
      </tp>
      <tp t="e">
        <v>#N/A</v>
        <stp/>
        <stp>BDH|3728632338606156250</stp>
        <tr r="O54" s="17"/>
        <tr r="O17" s="3"/>
      </tp>
      <tp t="e">
        <v>#N/A</v>
        <stp/>
        <stp>BDH|7039618792918992228</stp>
        <tr r="C40" s="24"/>
      </tp>
      <tp t="e">
        <v>#N/A</v>
        <stp/>
        <stp>BDH|5851977192104098359</stp>
        <tr r="K80" s="17"/>
        <tr r="K19" s="3"/>
      </tp>
      <tp t="e">
        <v>#N/A</v>
        <stp/>
        <stp>BDH|9594420836159832518</stp>
        <tr r="Y15" s="22"/>
      </tp>
      <tp t="e">
        <v>#N/A</v>
        <stp/>
        <stp>BDH|6020763713770407294</stp>
        <tr r="G18" s="27"/>
        <tr r="G32" s="25"/>
      </tp>
      <tp t="e">
        <v>#N/A</v>
        <stp/>
        <stp>BDH|6490089119375949045</stp>
        <tr r="S27" s="13"/>
      </tp>
      <tp t="e">
        <v>#N/A</v>
        <stp/>
        <stp>BDH|7983333601963622554</stp>
        <tr r="M73" s="24"/>
      </tp>
      <tp t="e">
        <v>#N/A</v>
        <stp/>
        <stp>BDH|7702464577150988679</stp>
        <tr r="V9" s="10"/>
      </tp>
      <tp t="e">
        <v>#N/A</v>
        <stp/>
        <stp>BDH|5204457562826817359</stp>
        <tr r="D45" s="21"/>
      </tp>
      <tp t="e">
        <v>#N/A</v>
        <stp/>
        <stp>BDH|6916345450244122643</stp>
        <tr r="G63" s="12"/>
      </tp>
      <tp t="e">
        <v>#N/A</v>
        <stp/>
        <stp>BDH|4328769900712591382</stp>
        <tr r="U40" s="17"/>
      </tp>
      <tp t="e">
        <v>#N/A</v>
        <stp/>
        <stp>BDH|5624311859851347058</stp>
        <tr r="O160" s="18"/>
      </tp>
      <tp t="e">
        <v>#N/A</v>
        <stp/>
        <stp>BDH|8842042855476012914</stp>
        <tr r="M25" s="7"/>
      </tp>
      <tp t="e">
        <v>#N/A</v>
        <stp/>
        <stp>BDH|1793106924893989328</stp>
        <tr r="V63" s="34"/>
      </tp>
      <tp t="e">
        <v>#N/A</v>
        <stp/>
        <stp>BDH|7200526331151847215</stp>
        <tr r="AA29" s="22"/>
      </tp>
      <tp t="e">
        <v>#N/A</v>
        <stp/>
        <stp>BDH|6642425932120873361</stp>
        <tr r="N72" s="17"/>
      </tp>
      <tp t="e">
        <v>#N/A</v>
        <stp/>
        <stp>BDH|5318232544474431582</stp>
        <tr r="W25" s="27"/>
      </tp>
      <tp t="e">
        <v>#N/A</v>
        <stp/>
        <stp>BDH|5894924323489068516</stp>
        <tr r="Y20" s="24"/>
      </tp>
      <tp t="e">
        <v>#N/A</v>
        <stp/>
        <stp>BDH|5820019521214734173</stp>
        <tr r="J209" s="18"/>
      </tp>
      <tp t="e">
        <v>#N/A</v>
        <stp/>
        <stp>BDH|5756105628155688110</stp>
        <tr r="Q32" s="24"/>
      </tp>
      <tp t="e">
        <v>#N/A</v>
        <stp/>
        <stp>BDH|6598787066933794647</stp>
        <tr r="I26" s="7"/>
      </tp>
      <tp t="e">
        <v>#N/A</v>
        <stp/>
        <stp>BDH|1515389443452223646</stp>
        <tr r="H17" s="20"/>
      </tp>
      <tp t="e">
        <v>#N/A</v>
        <stp/>
        <stp>BDH|1641892292067694537</stp>
        <tr r="H43" s="12"/>
      </tp>
      <tp t="e">
        <v>#N/A</v>
        <stp/>
        <stp>BDH|2610524709211790425</stp>
        <tr r="C23" s="6"/>
      </tp>
      <tp t="e">
        <v>#N/A</v>
        <stp/>
        <stp>BDH|1501517812675630289</stp>
        <tr r="Y72" s="12"/>
      </tp>
      <tp t="e">
        <v>#N/A</v>
        <stp/>
        <stp>BDH|1793487312456023052</stp>
        <tr r="E23" s="23"/>
      </tp>
      <tp t="e">
        <v>#N/A</v>
        <stp/>
        <stp>BDH|9975914245363296573</stp>
        <tr r="P143" s="18"/>
      </tp>
      <tp t="e">
        <v>#N/A</v>
        <stp/>
        <stp>BDH|7107419176333945574</stp>
        <tr r="S136" s="18"/>
      </tp>
      <tp t="e">
        <v>#N/A</v>
        <stp/>
        <stp>BDH|1416960876604483985</stp>
        <tr r="O36" s="13"/>
        <tr r="M29" s="10"/>
      </tp>
      <tp t="e">
        <v>#N/A</v>
        <stp/>
        <stp>BDH|2045873882360471099</stp>
        <tr r="E14" s="34"/>
      </tp>
      <tp t="e">
        <v>#N/A</v>
        <stp/>
        <stp>BDH|9801421125999437436</stp>
        <tr r="L72" s="12"/>
      </tp>
      <tp t="e">
        <v>#N/A</v>
        <stp/>
        <stp>BDH|9725615988551091466</stp>
        <tr r="G49" s="13"/>
      </tp>
      <tp t="e">
        <v>#N/A</v>
        <stp/>
        <stp>BDH|4544970545779771288</stp>
        <tr r="S20" s="26"/>
      </tp>
      <tp t="e">
        <v>#N/A</v>
        <stp/>
        <stp>BDH|2594409224371941708</stp>
        <tr r="E41" s="12"/>
      </tp>
      <tp t="e">
        <v>#N/A</v>
        <stp/>
        <stp>BDH|1806214017030234048</stp>
        <tr r="M23" s="24"/>
      </tp>
      <tp t="e">
        <v>#N/A</v>
        <stp/>
        <stp>BDH|4037265368953529132</stp>
        <tr r="M168" s="18"/>
      </tp>
      <tp t="e">
        <v>#N/A</v>
        <stp/>
        <stp>BDH|4507468709023077121</stp>
        <tr r="K17" s="22"/>
      </tp>
      <tp t="e">
        <v>#N/A</v>
        <stp/>
        <stp>BDH|2201159406710995109</stp>
        <tr r="T23" s="13"/>
      </tp>
      <tp t="e">
        <v>#N/A</v>
        <stp/>
        <stp>BDH|7389697733250879094</stp>
        <tr r="O36" s="6"/>
        <tr r="O17" s="5"/>
      </tp>
      <tp t="e">
        <v>#N/A</v>
        <stp/>
        <stp>BDH|2569510428366783133</stp>
        <tr r="G157" s="18"/>
      </tp>
      <tp t="e">
        <v>#N/A</v>
        <stp/>
        <stp>BDH|5982000623574185124</stp>
        <tr r="P29" s="13"/>
        <tr r="P16" s="13"/>
        <tr r="N17" s="10"/>
      </tp>
      <tp t="e">
        <v>#N/A</v>
        <stp/>
        <stp>BDH|8854972976245938197</stp>
        <tr r="Z29" s="21"/>
      </tp>
      <tp t="e">
        <v>#N/A</v>
        <stp/>
        <stp>BDH|6067112874041977352</stp>
        <tr r="R92" s="12"/>
      </tp>
      <tp t="e">
        <v>#N/A</v>
        <stp/>
        <stp>BDH|5986722685858678014</stp>
        <tr r="T105" s="18"/>
      </tp>
      <tp t="e">
        <v>#N/A</v>
        <stp/>
        <stp>BDH|7246923179803480847</stp>
        <tr r="X58" s="6"/>
      </tp>
      <tp t="e">
        <v>#N/A</v>
        <stp/>
        <stp>BDH|5399591861130212408</stp>
        <tr r="Y11" s="21"/>
      </tp>
      <tp t="e">
        <v>#N/A</v>
        <stp/>
        <stp>BDH|3568690348406569584</stp>
        <tr r="AA33" s="14"/>
      </tp>
      <tp t="e">
        <v>#N/A</v>
        <stp/>
        <stp>BDH|5836305339030029784</stp>
        <tr r="P39" s="6"/>
      </tp>
      <tp t="e">
        <v>#N/A</v>
        <stp/>
        <stp>BDH|6606691369056778286</stp>
        <tr r="W22" s="17"/>
        <tr r="W15" s="3"/>
      </tp>
      <tp t="e">
        <v>#N/A</v>
        <stp/>
        <stp>BDH|2232051867602173483</stp>
        <tr r="H60" s="18"/>
      </tp>
      <tp t="e">
        <v>#N/A</v>
        <stp/>
        <stp>BDH|6397299237060225561</stp>
        <tr r="T9" s="22"/>
      </tp>
      <tp t="e">
        <v>#N/A</v>
        <stp/>
        <stp>BDH|2642273609043031117</stp>
        <tr r="J37" s="26"/>
      </tp>
      <tp t="e">
        <v>#N/A</v>
        <stp/>
        <stp>BDH|7573319161568407888</stp>
        <tr r="D88" s="17"/>
      </tp>
      <tp t="e">
        <v>#N/A</v>
        <stp/>
        <stp>BDH|7423030888964680900</stp>
        <tr r="G13" s="13"/>
      </tp>
      <tp t="e">
        <v>#N/A</v>
        <stp/>
        <stp>BDH|4858828429715988930</stp>
        <tr r="W183" s="18"/>
      </tp>
      <tp t="e">
        <v>#N/A</v>
        <stp/>
        <stp>BDH|9053879765766283391</stp>
        <tr r="L13" s="25"/>
      </tp>
      <tp t="e">
        <v>#N/A</v>
        <stp/>
        <stp>BDH|3575481274383921195</stp>
        <tr r="U13" s="27"/>
        <tr r="U27" s="25"/>
      </tp>
      <tp t="e">
        <v>#N/A</v>
        <stp/>
        <stp>BDH|8714905952472868443</stp>
        <tr r="U67" s="21"/>
      </tp>
      <tp t="e">
        <v>#N/A</v>
        <stp/>
        <stp>BDH|4337685766601358770</stp>
        <tr r="K176" s="18"/>
      </tp>
      <tp t="e">
        <v>#N/A</v>
        <stp/>
        <stp>BDH|7497950289685387122</stp>
        <tr r="U23" s="25"/>
        <tr r="S20" s="11"/>
      </tp>
      <tp t="e">
        <v>#N/A</v>
        <stp/>
        <stp>BDH|9605968954967470093</stp>
        <tr r="F6" s="16"/>
        <tr r="G6" s="11"/>
        <tr r="G10" s="4"/>
        <tr r="I6" s="3"/>
      </tp>
      <tp t="e">
        <v>#N/A</v>
        <stp/>
        <stp>BDH|2131158569960433705</stp>
        <tr r="W37" s="13"/>
        <tr r="U30" s="10"/>
      </tp>
      <tp t="e">
        <v>#N/A</v>
        <stp/>
        <stp>BDH|1275130218620907395</stp>
        <tr r="S68" s="24"/>
      </tp>
      <tp t="e">
        <v>#N/A</v>
        <stp/>
        <stp>BDH|5809829087946147150</stp>
        <tr r="R13" s="6"/>
      </tp>
      <tp t="e">
        <v>#N/A</v>
        <stp/>
        <stp>BDH|8265415800128834625</stp>
        <tr r="P11" s="7"/>
      </tp>
      <tp t="e">
        <v>#N/A</v>
        <stp/>
        <stp>BDH|3037546817641205484</stp>
        <tr r="J17" s="27"/>
        <tr r="J31" s="25"/>
        <tr r="G14" s="5"/>
      </tp>
      <tp t="e">
        <v>#N/A</v>
        <stp/>
        <stp>BDH|7619746159785629245</stp>
        <tr r="J48" s="13"/>
      </tp>
      <tp t="e">
        <v>#N/A</v>
        <stp/>
        <stp>BDH|7454781829891824147</stp>
        <tr r="D55" s="13"/>
      </tp>
      <tp t="e">
        <v>#N/A</v>
        <stp/>
        <stp>BDH|3103988882579113935</stp>
        <tr r="U75" s="18"/>
      </tp>
      <tp t="e">
        <v>#N/A</v>
        <stp/>
        <stp>BDH|2022167415983946331</stp>
        <tr r="Q75" s="24"/>
      </tp>
      <tp t="e">
        <v>#N/A</v>
        <stp/>
        <stp>BDH|4988241232045667206</stp>
        <tr r="Q69" s="34"/>
      </tp>
      <tp t="e">
        <v>#N/A</v>
        <stp/>
        <stp>BDH|7829571486809977195</stp>
        <tr r="W92" s="18"/>
      </tp>
      <tp t="e">
        <v>#N/A</v>
        <stp/>
        <stp>BDH|9401109119323246866</stp>
        <tr r="R179" s="18"/>
      </tp>
      <tp t="e">
        <v>#N/A</v>
        <stp/>
        <stp>BDH|6927076151926627707</stp>
        <tr r="Q31" s="24"/>
      </tp>
      <tp t="e">
        <v>#N/A</v>
        <stp/>
        <stp>BDH|7693120728054169247</stp>
        <tr r="N96" s="18"/>
      </tp>
      <tp t="e">
        <v>#N/A</v>
        <stp/>
        <stp>BDH|8820102317528071269</stp>
        <tr r="L36" s="22"/>
      </tp>
      <tp t="e">
        <v>#N/A</v>
        <stp/>
        <stp>BDH|5124929948052163836</stp>
        <tr r="U19" s="21"/>
        <tr r="U23" s="3"/>
        <tr r="S23" s="2"/>
      </tp>
      <tp t="e">
        <v>#N/A</v>
        <stp/>
        <stp>BDH|9089106982507285599</stp>
        <tr r="K30" s="11"/>
        <tr r="K39" s="10"/>
      </tp>
      <tp t="e">
        <v>#N/A</v>
        <stp/>
        <stp>BDH|6885568757716855288</stp>
        <tr r="AA21" s="30"/>
      </tp>
      <tp t="e">
        <v>#N/A</v>
        <stp/>
        <stp>BDH|4366285177885268677</stp>
        <tr r="W165" s="18"/>
      </tp>
      <tp t="e">
        <v>#N/A</v>
        <stp/>
        <stp>BDH|2032063017894037581</stp>
        <tr r="C44" s="18"/>
      </tp>
      <tp t="e">
        <v>#N/A</v>
        <stp/>
        <stp>BDH|4829568172301355566</stp>
        <tr r="R8" s="34"/>
      </tp>
      <tp t="e">
        <v>#N/A</v>
        <stp/>
        <stp>BDH|5185916527195650980</stp>
        <tr r="F8" s="25"/>
        <tr r="C10" s="5"/>
        <tr r="D9" s="2"/>
      </tp>
      <tp t="e">
        <v>#N/A</v>
        <stp/>
        <stp>BDH|1596620420012709593</stp>
        <tr r="T113" s="18"/>
      </tp>
      <tp t="e">
        <v>#N/A</v>
        <stp/>
        <stp>BDH|5274022569138884981</stp>
        <tr r="S125" s="12"/>
      </tp>
      <tp t="e">
        <v>#N/A</v>
        <stp/>
        <stp>BDH|4845348833672058462</stp>
        <tr r="E80" s="34"/>
      </tp>
      <tp t="e">
        <v>#N/A</v>
        <stp/>
        <stp>BDH|7940460040687565239</stp>
        <tr r="Q11" s="7"/>
      </tp>
      <tp t="e">
        <v>#N/A</v>
        <stp/>
        <stp>BDH|1301319807778868844</stp>
        <tr r="C89" s="17"/>
      </tp>
      <tp t="e">
        <v>#N/A</v>
        <stp/>
        <stp>BDH|4375629358664136117</stp>
        <tr r="R141" s="18"/>
      </tp>
      <tp t="e">
        <v>#N/A</v>
        <stp/>
        <stp>BDH|7393581542883353739</stp>
        <tr r="D26" s="22"/>
      </tp>
      <tp t="e">
        <v>#N/A</v>
        <stp/>
        <stp>BDH|3533046261555875218</stp>
        <tr r="M24" s="20"/>
      </tp>
      <tp t="e">
        <v>#N/A</v>
        <stp/>
        <stp>BDH|9793307923478870252</stp>
        <tr r="W68" s="18"/>
      </tp>
      <tp t="e">
        <v>#N/A</v>
        <stp/>
        <stp>BDH|8495543888570474757</stp>
        <tr r="T11" s="22"/>
      </tp>
      <tp t="e">
        <v>#N/A</v>
        <stp/>
        <stp>BDH|7494052902455847024</stp>
        <tr r="W62" s="13"/>
      </tp>
      <tp t="e">
        <v>#N/A</v>
        <stp/>
        <stp>BDH|9699292699936755688</stp>
        <tr r="H48" s="34"/>
      </tp>
      <tp t="e">
        <v>#N/A</v>
        <stp/>
        <stp>BDH|2126403158501132019</stp>
        <tr r="N67" s="17"/>
      </tp>
      <tp t="e">
        <v>#N/A</v>
        <stp/>
        <stp>BDH|3955842347604071938</stp>
        <tr r="V25" s="29"/>
        <tr r="V19" s="29"/>
        <tr r="V10" s="29"/>
        <tr r="T6" s="9"/>
        <tr r="V12" s="8"/>
        <tr r="T6" s="5"/>
        <tr r="U6" s="2"/>
      </tp>
      <tp t="e">
        <v>#N/A</v>
        <stp/>
        <stp>BDH|5176504589093949989</stp>
        <tr r="S11" s="6"/>
      </tp>
      <tp t="e">
        <v>#N/A</v>
        <stp/>
        <stp>BDH|6691584745793676643</stp>
        <tr r="V65" s="24"/>
      </tp>
      <tp t="e">
        <v>#N/A</v>
        <stp/>
        <stp>BDH|1480531933162504786</stp>
        <tr r="Z29" s="12"/>
      </tp>
      <tp t="e">
        <v>#N/A</v>
        <stp/>
        <stp>BDH|1106635248600071145</stp>
        <tr r="Q137" s="18"/>
      </tp>
      <tp t="e">
        <v>#N/A</v>
        <stp/>
        <stp>BDH|8409516660630919920</stp>
        <tr r="I41" s="17"/>
      </tp>
      <tp t="e">
        <v>#N/A</v>
        <stp/>
        <stp>BDH|7285092263556295547</stp>
        <tr r="Q73" s="34"/>
      </tp>
      <tp t="e">
        <v>#N/A</v>
        <stp/>
        <stp>BDH|7325759952945217282</stp>
        <tr r="Q23" s="11"/>
      </tp>
      <tp t="e">
        <v>#N/A</v>
        <stp/>
        <stp>BDH|4776280646994183467</stp>
        <tr r="X114" s="18"/>
      </tp>
      <tp t="e">
        <v>#N/A</v>
        <stp/>
        <stp>BDH|9944231386169027826</stp>
        <tr r="X53" s="24"/>
      </tp>
      <tp t="e">
        <v>#N/A</v>
        <stp/>
        <stp>BDH|3277087231942293070</stp>
        <tr r="N56" s="6"/>
      </tp>
      <tp t="e">
        <v>#N/A</v>
        <stp/>
        <stp>BDH|7210570073612172590</stp>
        <tr r="N13" s="25"/>
      </tp>
      <tp t="e">
        <v>#N/A</v>
        <stp/>
        <stp>BDH|9817662037978388642</stp>
        <tr r="S59" s="13"/>
      </tp>
      <tp t="e">
        <v>#N/A</v>
        <stp/>
        <stp>BDH|2951527351824102459</stp>
        <tr r="Q189" s="18"/>
      </tp>
      <tp t="e">
        <v>#N/A</v>
        <stp/>
        <stp>BDH|9885769872643521876</stp>
        <tr r="R60" s="12"/>
      </tp>
      <tp t="e">
        <v>#N/A</v>
        <stp/>
        <stp>BDH|8419076986882951029</stp>
        <tr r="O40" s="13"/>
        <tr r="M24" s="10"/>
        <tr r="M46" s="4"/>
      </tp>
      <tp t="e">
        <v>#N/A</v>
        <stp/>
        <stp>BDH|8209785472693324953</stp>
        <tr r="K160" s="18"/>
      </tp>
      <tp t="e">
        <v>#N/A</v>
        <stp/>
        <stp>BDH|4879437850256235173</stp>
        <tr r="N114" s="18"/>
      </tp>
      <tp t="e">
        <v>#N/A</v>
        <stp/>
        <stp>BDH|8603052609932709839</stp>
        <tr r="K35" s="26"/>
      </tp>
      <tp t="e">
        <v>#N/A</v>
        <stp/>
        <stp>BDH|4252853099422310536</stp>
        <tr r="R16" s="14"/>
      </tp>
      <tp t="e">
        <v>#N/A</v>
        <stp/>
        <stp>BDH|7374134568183277140</stp>
        <tr r="W42" s="17"/>
      </tp>
      <tp t="e">
        <v>#N/A</v>
        <stp/>
        <stp>BDH|8828219747964807887</stp>
        <tr r="X14" s="18"/>
      </tp>
      <tp t="e">
        <v>#N/A</v>
        <stp/>
        <stp>BDH|4955131965751534044</stp>
        <tr r="I57" s="12"/>
      </tp>
      <tp t="e">
        <v>#N/A</v>
        <stp/>
        <stp>BDH|7211315856697973422</stp>
        <tr r="R7" s="10"/>
      </tp>
      <tp t="e">
        <v>#N/A</v>
        <stp/>
        <stp>BDH|5540357979184257751</stp>
        <tr r="Q64" s="13"/>
      </tp>
      <tp t="e">
        <v>#N/A</v>
        <stp/>
        <stp>BDH|2265696175971687068</stp>
        <tr r="J17" s="14"/>
      </tp>
      <tp t="e">
        <v>#N/A</v>
        <stp/>
        <stp>BDH|1098145869500223412</stp>
        <tr r="M34" s="6"/>
      </tp>
      <tp t="e">
        <v>#N/A</v>
        <stp/>
        <stp>BDH|3170659862858160999</stp>
        <tr r="V18" s="11"/>
      </tp>
      <tp t="e">
        <v>#N/A</v>
        <stp/>
        <stp>BDH|3241515119581296464</stp>
        <tr r="N172" s="18"/>
      </tp>
      <tp t="e">
        <v>#N/A</v>
        <stp/>
        <stp>BDH|2831918093903189353</stp>
        <tr r="Y37" s="13"/>
        <tr r="W30" s="10"/>
      </tp>
      <tp t="e">
        <v>#N/A</v>
        <stp/>
        <stp>BDH|8786037343018955602</stp>
        <tr r="D18" s="34"/>
      </tp>
      <tp t="e">
        <v>#N/A</v>
        <stp/>
        <stp>BDH|5006284636682232429</stp>
        <tr r="C104" s="18"/>
      </tp>
      <tp t="e">
        <v>#N/A</v>
        <stp/>
        <stp>BDH|3797925395631730092</stp>
        <tr r="M186" s="18"/>
      </tp>
      <tp t="e">
        <v>#N/A</v>
        <stp/>
        <stp>BDH|3823835044145458858</stp>
        <tr r="U27" s="7"/>
      </tp>
      <tp t="e">
        <v>#N/A</v>
        <stp/>
        <stp>BDH|3917824527823754852</stp>
        <tr r="Y16" s="27"/>
        <tr r="Y30" s="25"/>
      </tp>
      <tp t="e">
        <v>#N/A</v>
        <stp/>
        <stp>BDH|4956633543667293353</stp>
        <tr r="H55" s="21"/>
      </tp>
      <tp t="e">
        <v>#N/A</v>
        <stp/>
        <stp>BDH|6707728840026977125</stp>
        <tr r="L46" s="13"/>
      </tp>
      <tp t="e">
        <v>#N/A</v>
        <stp/>
        <stp>BDH|7686180147762504222</stp>
        <tr r="F49" s="17"/>
      </tp>
      <tp t="e">
        <v>#N/A</v>
        <stp/>
        <stp>BDH|5962712217883224232</stp>
        <tr r="D50" s="24"/>
      </tp>
      <tp t="e">
        <v>#N/A</v>
        <stp/>
        <stp>BDH|5680323853201011097</stp>
        <tr r="G204" s="18"/>
      </tp>
      <tp t="e">
        <v>#N/A</v>
        <stp/>
        <stp>BDH|6314641227408829868</stp>
        <tr r="C11" s="18"/>
      </tp>
      <tp t="e">
        <v>#N/A</v>
        <stp/>
        <stp>BDH|5509728339674876787</stp>
        <tr r="H26" s="24"/>
      </tp>
      <tp t="e">
        <v>#N/A</v>
        <stp/>
        <stp>BDH|3153157332274140785</stp>
        <tr r="P9" s="10"/>
      </tp>
      <tp t="e">
        <v>#N/A</v>
        <stp/>
        <stp>BDH|2757728194808802665</stp>
        <tr r="H71" s="34"/>
      </tp>
      <tp t="e">
        <v>#N/A</v>
        <stp/>
        <stp>BDH|9804122780721133346</stp>
        <tr r="X6" s="16"/>
        <tr r="Y6" s="11"/>
        <tr r="Y10" s="4"/>
        <tr r="AA6" s="3"/>
      </tp>
      <tp t="e">
        <v>#N/A</v>
        <stp/>
        <stp>BDH|2213018672396630189</stp>
        <tr r="F33" s="6"/>
      </tp>
      <tp t="e">
        <v>#N/A</v>
        <stp/>
        <stp>BDH|2012083276313949485</stp>
        <tr r="X12" s="6"/>
      </tp>
      <tp t="e">
        <v>#N/A</v>
        <stp/>
        <stp>BDH|3849202601254033767</stp>
        <tr r="T63" s="24"/>
      </tp>
      <tp t="e">
        <v>#N/A</v>
        <stp/>
        <stp>BDH|6747447249056205270</stp>
        <tr r="Z29" s="17"/>
      </tp>
      <tp t="e">
        <v>#N/A</v>
        <stp/>
        <stp>BDH|8884092024981379997</stp>
        <tr r="I68" s="17"/>
      </tp>
      <tp t="e">
        <v>#N/A</v>
        <stp/>
        <stp>BDH|5695012307331838678</stp>
        <tr r="G27" s="18"/>
      </tp>
      <tp t="e">
        <v>#N/A</v>
        <stp/>
        <stp>BDH|4210553179414049011</stp>
        <tr r="O50" s="34"/>
      </tp>
      <tp t="e">
        <v>#N/A</v>
        <stp/>
        <stp>BDH|2143304129680428136</stp>
        <tr r="C24" s="6"/>
      </tp>
      <tp t="e">
        <v>#N/A</v>
        <stp/>
        <stp>BDH|1680564926111867519</stp>
        <tr r="D7" s="17"/>
      </tp>
      <tp t="e">
        <v>#N/A</v>
        <stp/>
        <stp>BDH|5718694671065461341</stp>
        <tr r="K27" s="13"/>
      </tp>
      <tp t="e">
        <v>#N/A</v>
        <stp/>
        <stp>BDH|2469120128793405054</stp>
        <tr r="F48" s="21"/>
      </tp>
      <tp t="e">
        <v>#N/A</v>
        <stp/>
        <stp>BDH|1903514273647443603</stp>
        <tr r="J8" s="23"/>
      </tp>
      <tp t="e">
        <v>#N/A</v>
        <stp/>
        <stp>BDH|2167397552873342568</stp>
        <tr r="Q16" s="26"/>
      </tp>
      <tp t="e">
        <v>#N/A</v>
        <stp/>
        <stp>BDH|7335897041860013948</stp>
        <tr r="N62" s="24"/>
      </tp>
      <tp t="e">
        <v>#N/A</v>
        <stp/>
        <stp>BDH|4520418373282045788</stp>
        <tr r="L76" s="34"/>
      </tp>
      <tp t="e">
        <v>#N/A</v>
        <stp/>
        <stp>BDH|7047857697186461290</stp>
        <tr r="S12" s="27"/>
        <tr r="S26" s="25"/>
      </tp>
      <tp t="e">
        <v>#N/A</v>
        <stp/>
        <stp>BDH|3016504143482475282</stp>
        <tr r="Q42" s="24"/>
      </tp>
      <tp t="e">
        <v>#N/A</v>
        <stp/>
        <stp>BDH|9236104599933382071</stp>
        <tr r="G9" s="17"/>
      </tp>
      <tp t="e">
        <v>#N/A</v>
        <stp/>
        <stp>BDH|1296223045345988037</stp>
        <tr r="R146" s="18"/>
      </tp>
      <tp t="e">
        <v>#N/A</v>
        <stp/>
        <stp>BDH|7488207615236669082</stp>
        <tr r="C57" s="6"/>
      </tp>
      <tp t="e">
        <v>#N/A</v>
        <stp/>
        <stp>BDH|8309108656028849625</stp>
        <tr r="M64" s="11"/>
        <tr r="M73" s="10"/>
      </tp>
      <tp t="e">
        <v>#N/A</v>
        <stp/>
        <stp>BDH|1801637580279496405</stp>
        <tr r="Z188" s="18"/>
      </tp>
      <tp t="e">
        <v>#N/A</v>
        <stp/>
        <stp>BDH|3788587667093560120</stp>
        <tr r="Q8" s="20"/>
        <tr r="Q118" s="18"/>
      </tp>
      <tp t="e">
        <v>#N/A</v>
        <stp/>
        <stp>BDH|5284264709010332516</stp>
        <tr r="R41" s="6"/>
        <tr r="R18" s="5"/>
      </tp>
      <tp t="e">
        <v>#N/A</v>
        <stp/>
        <stp>BDH|3454121328910547240</stp>
        <tr r="X28" s="13"/>
      </tp>
      <tp t="e">
        <v>#N/A</v>
        <stp/>
        <stp>BDH|5732789566731057761</stp>
        <tr r="N46" s="6"/>
        <tr r="N19" s="5"/>
      </tp>
      <tp t="e">
        <v>#N/A</v>
        <stp/>
        <stp>BDH|7996972447551469921</stp>
        <tr r="O88" s="24"/>
      </tp>
      <tp t="e">
        <v>#N/A</v>
        <stp/>
        <stp>BDH|9159547429414692857</stp>
        <tr r="O10" s="26"/>
      </tp>
      <tp t="e">
        <v>#N/A</v>
        <stp/>
        <stp>BDH|4494412549777559161</stp>
        <tr r="M24" s="18"/>
      </tp>
      <tp t="e">
        <v>#N/A</v>
        <stp/>
        <stp>BDH|8527394558154391885</stp>
        <tr r="V17" s="34"/>
      </tp>
      <tp t="e">
        <v>#N/A</v>
        <stp/>
        <stp>BDH|7614187519273065689</stp>
        <tr r="F50" s="34"/>
      </tp>
      <tp t="e">
        <v>#N/A</v>
        <stp/>
        <stp>BDH|2414228039420474140</stp>
        <tr r="U36" s="17"/>
      </tp>
      <tp t="e">
        <v>#N/A</v>
        <stp/>
        <stp>BDH|8608760101319995470</stp>
        <tr r="N48" s="21"/>
      </tp>
      <tp t="e">
        <v>#N/A</v>
        <stp/>
        <stp>BDH|1315601512083849769</stp>
        <tr r="N19" s="17"/>
      </tp>
      <tp t="e">
        <v>#N/A</v>
        <stp/>
        <stp>BDH|4158754741166256388</stp>
        <tr r="F15" s="25"/>
      </tp>
      <tp t="e">
        <v>#N/A</v>
        <stp/>
        <stp>BDH|2077509450838686892</stp>
        <tr r="D49" s="6"/>
      </tp>
      <tp t="e">
        <v>#N/A</v>
        <stp/>
        <stp>BDH|2124756790198808639</stp>
        <tr r="V31" s="17"/>
      </tp>
      <tp t="e">
        <v>#N/A</v>
        <stp/>
        <stp>BDH|5578928150293040886</stp>
        <tr r="J132" s="18"/>
      </tp>
      <tp t="e">
        <v>#N/A</v>
        <stp/>
        <stp>BDH|5373954649848912295</stp>
        <tr r="Z7" s="8"/>
      </tp>
      <tp t="e">
        <v>#N/A</v>
        <stp/>
        <stp>BDH|6932845389863894738</stp>
        <tr r="O13" s="8"/>
      </tp>
      <tp t="e">
        <v>#N/A</v>
        <stp/>
        <stp>BDH|1114929605472012893</stp>
        <tr r="W38" s="12"/>
      </tp>
      <tp t="e">
        <v>#N/A</v>
        <stp/>
        <stp>BDH|9658139279284280918</stp>
        <tr r="M58" s="34"/>
      </tp>
      <tp t="e">
        <v>#N/A</v>
        <stp/>
        <stp>BDH|5986761075221486623</stp>
        <tr r="T12" s="26"/>
      </tp>
      <tp t="e">
        <v>#N/A</v>
        <stp/>
        <stp>BDH|9895562307539598707</stp>
        <tr r="H88" s="12"/>
      </tp>
      <tp t="e">
        <v>#N/A</v>
        <stp/>
        <stp>BDH|7388367230972872711</stp>
        <tr r="I8" s="14"/>
      </tp>
      <tp t="e">
        <v>#N/A</v>
        <stp/>
        <stp>BDH|2400471961747765590</stp>
        <tr r="G15" s="12"/>
      </tp>
      <tp t="e">
        <v>#N/A</v>
        <stp/>
        <stp>BDH|7360755414301850266</stp>
        <tr r="C114" s="12"/>
      </tp>
      <tp t="e">
        <v>#N/A</v>
        <stp/>
        <stp>BDH|6918593154190012481</stp>
        <tr r="P63" s="24"/>
      </tp>
      <tp t="e">
        <v>#N/A</v>
        <stp/>
        <stp>BDH|4018483939198956945</stp>
        <tr r="O7" s="6"/>
      </tp>
      <tp t="e">
        <v>#N/A</v>
        <stp/>
        <stp>BDH|8491108788223829083</stp>
        <tr r="E15" s="14"/>
      </tp>
      <tp t="e">
        <v>#N/A</v>
        <stp/>
        <stp>BDH|4261226089244135845</stp>
        <tr r="S71" s="18"/>
      </tp>
      <tp t="e">
        <v>#N/A</v>
        <stp/>
        <stp>BDH|1469161044096912032</stp>
        <tr r="H35" s="34"/>
      </tp>
      <tp t="e">
        <v>#N/A</v>
        <stp/>
        <stp>BDH|7871102244053094308</stp>
        <tr r="Y96" s="18"/>
      </tp>
      <tp t="e">
        <v>#N/A</v>
        <stp/>
        <stp>BDH|6989382015907125195</stp>
        <tr r="N29" s="6"/>
      </tp>
      <tp t="e">
        <v>#N/A</v>
        <stp/>
        <stp>BDH|2408068584750989830</stp>
        <tr r="T124" s="12"/>
      </tp>
      <tp t="e">
        <v>#N/A</v>
        <stp/>
        <stp>BDH|4037416802264972669</stp>
        <tr r="K53" s="18"/>
      </tp>
      <tp t="e">
        <v>#N/A</v>
        <stp/>
        <stp>BDH|3220429448125420400</stp>
        <tr r="I18" s="12"/>
      </tp>
      <tp t="e">
        <v>#N/A</v>
        <stp/>
        <stp>BDH|5185835817668042694</stp>
        <tr r="F20" s="25"/>
      </tp>
      <tp t="e">
        <v>#N/A</v>
        <stp/>
        <stp>BDH|1375746714652743789</stp>
        <tr r="S32" s="6"/>
      </tp>
      <tp t="e">
        <v>#N/A</v>
        <stp/>
        <stp>BDH|4797203533715007287</stp>
        <tr r="F84" s="12"/>
      </tp>
      <tp t="e">
        <v>#N/A</v>
        <stp/>
        <stp>BDH|1309455877587589785</stp>
        <tr r="D15" s="13"/>
      </tp>
      <tp t="e">
        <v>#N/A</v>
        <stp/>
        <stp>BDH|9811836913882218063</stp>
        <tr r="K10" s="14"/>
      </tp>
      <tp t="e">
        <v>#N/A</v>
        <stp/>
        <stp>BDH|5825638337787224522</stp>
        <tr r="L175" s="18"/>
      </tp>
      <tp t="e">
        <v>#N/A</v>
        <stp/>
        <stp>BDH|7803128147307948782</stp>
        <tr r="K26" s="27"/>
      </tp>
      <tp t="e">
        <v>#N/A</v>
        <stp/>
        <stp>BDH|7311498061054757300</stp>
        <tr r="G20" s="5"/>
      </tp>
      <tp t="e">
        <v>#N/A</v>
        <stp/>
        <stp>BDH|6353788626392171305</stp>
        <tr r="S8" s="10"/>
      </tp>
      <tp t="e">
        <v>#N/A</v>
        <stp/>
        <stp>BDH|6656725259780337628</stp>
        <tr r="N83" s="12"/>
      </tp>
      <tp t="e">
        <v>#N/A</v>
        <stp/>
        <stp>BDH|9183443384790419792</stp>
        <tr r="Z15" s="18"/>
      </tp>
      <tp t="e">
        <v>#N/A</v>
        <stp/>
        <stp>BDH|6325663678876067310</stp>
        <tr r="G49" s="34"/>
      </tp>
      <tp t="e">
        <v>#N/A</v>
        <stp/>
        <stp>BDH|2021249131008833916</stp>
        <tr r="G17" s="28"/>
        <tr r="G14" s="17"/>
      </tp>
      <tp t="e">
        <v>#N/A</v>
        <stp/>
        <stp>BDH|3776529609006261239</stp>
        <tr r="U73" s="12"/>
      </tp>
      <tp t="e">
        <v>#N/A</v>
        <stp/>
        <stp>BDH|3412549158991299079</stp>
        <tr r="Q29" s="4"/>
      </tp>
      <tp t="e">
        <v>#N/A</v>
        <stp/>
        <stp>BDH|7774344934767325297</stp>
        <tr r="W21" s="18"/>
      </tp>
      <tp t="e">
        <v>#N/A</v>
        <stp/>
        <stp>BDH|9303338103780971879</stp>
        <tr r="U64" s="18"/>
      </tp>
      <tp t="e">
        <v>#N/A</v>
        <stp/>
        <stp>BDH|9824969539074823529</stp>
        <tr r="L67" s="21"/>
      </tp>
      <tp t="e">
        <v>#N/A</v>
        <stp/>
        <stp>BDH|7965120550279736817</stp>
        <tr r="O92" s="12"/>
      </tp>
      <tp t="e">
        <v>#N/A</v>
        <stp/>
        <stp>BDH|1588746395189970408</stp>
        <tr r="G9" s="23"/>
      </tp>
      <tp t="e">
        <v>#N/A</v>
        <stp/>
        <stp>BDH|9739345362679874747</stp>
        <tr r="V43" s="17"/>
      </tp>
      <tp t="e">
        <v>#N/A</v>
        <stp/>
        <stp>BDH|4944371477627519512</stp>
        <tr r="AA50" s="18"/>
      </tp>
      <tp t="e">
        <v>#N/A</v>
        <stp/>
        <stp>BDH|5088095973954706407</stp>
        <tr r="K56" s="12"/>
      </tp>
      <tp t="e">
        <v>#N/A</v>
        <stp/>
        <stp>BDH|6399622578717097246</stp>
        <tr r="M11" s="13"/>
      </tp>
      <tp t="e">
        <v>#N/A</v>
        <stp/>
        <stp>BDH|3960039944683792642</stp>
        <tr r="C12" s="13"/>
      </tp>
      <tp t="e">
        <v>#N/A</v>
        <stp/>
        <stp>BDH|4458186723062056724</stp>
        <tr r="G18" s="9"/>
      </tp>
      <tp t="e">
        <v>#N/A</v>
        <stp/>
        <stp>BDH|2367139434983838110</stp>
        <tr r="V36" s="29"/>
        <tr r="V22" s="29"/>
        <tr r="V13" s="29"/>
      </tp>
      <tp t="e">
        <v>#N/A</v>
        <stp/>
        <stp>BDH|5250164550551874217</stp>
        <tr r="M10" s="21"/>
      </tp>
      <tp t="e">
        <v>#N/A</v>
        <stp/>
        <stp>BDH|8564437388981758749</stp>
        <tr r="D21" s="4"/>
      </tp>
      <tp t="e">
        <v>#N/A</v>
        <stp/>
        <stp>BDH|1611302479600696748</stp>
        <tr r="M26" s="34"/>
      </tp>
      <tp t="e">
        <v>#N/A</v>
        <stp/>
        <stp>BDH|1657911876918487581</stp>
        <tr r="H198" s="18"/>
      </tp>
      <tp t="e">
        <v>#N/A</v>
        <stp/>
        <stp>BDH|5860461172735262131</stp>
        <tr r="N69" s="18"/>
      </tp>
      <tp t="e">
        <v>#N/A</v>
        <stp/>
        <stp>BDH|4996457403856163436</stp>
        <tr r="H13" s="26"/>
      </tp>
      <tp t="e">
        <v>#N/A</v>
        <stp/>
        <stp>BDH|6631065326646927024</stp>
        <tr r="M97" s="18"/>
      </tp>
      <tp t="e">
        <v>#N/A</v>
        <stp/>
        <stp>BDH|9113701394494850107</stp>
        <tr r="Z18" s="28"/>
        <tr r="Z15" s="17"/>
      </tp>
      <tp t="e">
        <v>#N/A</v>
        <stp/>
        <stp>BDH|2767257614846394589</stp>
        <tr r="R22" s="4"/>
      </tp>
      <tp t="e">
        <v>#N/A</v>
        <stp/>
        <stp>BDH|8615824978671199403</stp>
        <tr r="U74" s="18"/>
      </tp>
      <tp t="e">
        <v>#N/A</v>
        <stp/>
        <stp>BDH|8129036508269573329</stp>
        <tr r="W48" s="21"/>
      </tp>
      <tp t="e">
        <v>#N/A</v>
        <stp/>
        <stp>BDH|6752789300532754157</stp>
        <tr r="Y109" s="18"/>
      </tp>
      <tp t="e">
        <v>#N/A</v>
        <stp/>
        <stp>BDH|6995375701774123332</stp>
        <tr r="J31" s="9"/>
      </tp>
      <tp t="e">
        <v>#N/A</v>
        <stp/>
        <stp>BDH|3328842904961738891</stp>
        <tr r="J39" s="18"/>
      </tp>
      <tp t="e">
        <v>#N/A</v>
        <stp/>
        <stp>BDH|1046297313963258354</stp>
        <tr r="W105" s="18"/>
      </tp>
      <tp t="e">
        <v>#N/A</v>
        <stp/>
        <stp>BDH|4618594233895445553</stp>
        <tr r="D28" s="34"/>
      </tp>
      <tp t="e">
        <v>#N/A</v>
        <stp/>
        <stp>BDH|3193780741565753723</stp>
        <tr r="AA45" s="17"/>
      </tp>
      <tp t="e">
        <v>#N/A</v>
        <stp/>
        <stp>BDH|4485568277271819509</stp>
        <tr r="V43" s="18"/>
      </tp>
      <tp t="e">
        <v>#N/A</v>
        <stp/>
        <stp>BDH|8004340938013585942</stp>
        <tr r="Q69" s="24"/>
      </tp>
      <tp t="e">
        <v>#N/A</v>
        <stp/>
        <stp>BDH|6675640297928937310</stp>
        <tr r="R111" s="18"/>
      </tp>
      <tp t="e">
        <v>#N/A</v>
        <stp/>
        <stp>BDH|7980169607415195141</stp>
        <tr r="D77" s="18"/>
      </tp>
      <tp t="e">
        <v>#N/A</v>
        <stp/>
        <stp>BDH|7920953069888044280</stp>
        <tr r="Y171" s="18"/>
      </tp>
      <tp t="e">
        <v>#N/A</v>
        <stp/>
        <stp>BDH|3593405170307826501</stp>
        <tr r="H22" s="30"/>
        <tr r="H24" s="23"/>
      </tp>
      <tp t="e">
        <v>#N/A</v>
        <stp/>
        <stp>BDH|8243857089428235218</stp>
        <tr r="K38" s="13"/>
        <tr r="I31" s="10"/>
      </tp>
      <tp t="e">
        <v>#N/A</v>
        <stp/>
        <stp>BDH|5716989814189213644</stp>
        <tr r="U63" s="17"/>
      </tp>
      <tp t="e">
        <v>#N/A</v>
        <stp/>
        <stp>BDH|6851378132261924591</stp>
        <tr r="X13" s="5"/>
      </tp>
      <tp t="e">
        <v>#N/A</v>
        <stp/>
        <stp>BDH|6198384567205545467</stp>
        <tr r="W33" s="13"/>
        <tr r="U26" s="10"/>
      </tp>
      <tp t="e">
        <v>#N/A</v>
        <stp/>
        <stp>BDH|6483227510527252090</stp>
        <tr r="AA52" s="18"/>
      </tp>
      <tp t="e">
        <v>#N/A</v>
        <stp/>
        <stp>BDH|8732846139270494131</stp>
        <tr r="L50" s="17"/>
      </tp>
      <tp t="e">
        <v>#N/A</v>
        <stp/>
        <stp>BDH|6818908034608821692</stp>
        <tr r="W12" s="7"/>
      </tp>
      <tp t="e">
        <v>#N/A</v>
        <stp/>
        <stp>BDH|4637121356703985163</stp>
        <tr r="Q23" s="25"/>
        <tr r="O20" s="11"/>
      </tp>
      <tp t="e">
        <v>#N/A</v>
        <stp/>
        <stp>BDH|6775905577918468293</stp>
        <tr r="W22" s="14"/>
      </tp>
      <tp t="e">
        <v>#N/A</v>
        <stp/>
        <stp>BDH|2279118978723059563</stp>
        <tr r="S111" s="18"/>
      </tp>
      <tp t="e">
        <v>#N/A</v>
        <stp/>
        <stp>BDH|5500351058957210688</stp>
        <tr r="X41" s="21"/>
      </tp>
      <tp t="e">
        <v>#N/A</v>
        <stp/>
        <stp>BDH|4211274141642275245</stp>
        <tr r="P28" s="17"/>
      </tp>
      <tp t="e">
        <v>#N/A</v>
        <stp/>
        <stp>BDH|6444549508817221686</stp>
        <tr r="L177" s="18"/>
      </tp>
      <tp t="e">
        <v>#N/A</v>
        <stp/>
        <stp>BDH|8057974394719907387</stp>
        <tr r="L46" s="11"/>
        <tr r="L55" s="10"/>
        <tr r="L7" s="7"/>
        <tr r="N12" s="3"/>
      </tp>
      <tp t="e">
        <v>#N/A</v>
        <stp/>
        <stp>BDH|9446304314108171135</stp>
        <tr r="M44" s="21"/>
      </tp>
      <tp t="e">
        <v>#N/A</v>
        <stp/>
        <stp>BDH|9281787364958942251</stp>
        <tr r="D66" s="13"/>
      </tp>
      <tp t="e">
        <v>#N/A</v>
        <stp/>
        <stp>BDH|2439135544944699175</stp>
        <tr r="Z22" s="30"/>
        <tr r="Z24" s="23"/>
      </tp>
      <tp t="e">
        <v>#N/A</v>
        <stp/>
        <stp>BDH|2425175543066065322</stp>
        <tr r="W85" s="18"/>
      </tp>
      <tp t="e">
        <v>#N/A</v>
        <stp/>
        <stp>BDH|9100810347346509100</stp>
        <tr r="P7" s="20"/>
        <tr r="P117" s="18"/>
      </tp>
      <tp t="e">
        <v>#N/A</v>
        <stp/>
        <stp>BDH|3642766746161175356</stp>
        <tr r="E15" s="30"/>
      </tp>
      <tp t="e">
        <v>#N/A</v>
        <stp/>
        <stp>BDH|6575062008646021293</stp>
        <tr r="V7" s="11"/>
      </tp>
      <tp t="e">
        <v>#N/A</v>
        <stp/>
        <stp>BDH|5429007651052509027</stp>
        <tr r="J170" s="18"/>
      </tp>
      <tp t="e">
        <v>#N/A</v>
        <stp/>
        <stp>BDH|8329174906643570852</stp>
        <tr r="N13" s="6"/>
      </tp>
      <tp t="e">
        <v>#N/A</v>
        <stp/>
        <stp>BDH|8018294189135068527</stp>
        <tr r="K40" s="24"/>
      </tp>
      <tp t="e">
        <v>#N/A</v>
        <stp/>
        <stp>BDH|6731444116015162464</stp>
        <tr r="G62" s="12"/>
      </tp>
      <tp t="e">
        <v>#N/A</v>
        <stp/>
        <stp>BDH|5075744944743135732</stp>
        <tr r="M50" s="21"/>
      </tp>
      <tp t="e">
        <v>#N/A</v>
        <stp/>
        <stp>BDH|3258865756178436447</stp>
        <tr r="G49" s="12"/>
      </tp>
      <tp t="e">
        <v>#N/A</v>
        <stp/>
        <stp>BDH|7324516824674375670</stp>
        <tr r="M44" s="11"/>
        <tr r="M53" s="10"/>
        <tr r="M16" s="7"/>
      </tp>
      <tp t="e">
        <v>#N/A</v>
        <stp/>
        <stp>BDH|1825891684525358646</stp>
        <tr r="X19" s="21"/>
        <tr r="X23" s="3"/>
        <tr r="V23" s="2"/>
      </tp>
      <tp t="e">
        <v>#N/A</v>
        <stp/>
        <stp>BDH|6372290722764359090</stp>
        <tr r="I11" s="24"/>
      </tp>
      <tp t="e">
        <v>#N/A</v>
        <stp/>
        <stp>BDH|3056711352693409055</stp>
        <tr r="L21" s="4"/>
      </tp>
      <tp t="e">
        <v>#N/A</v>
        <stp/>
        <stp>BDH|4370965092565343364</stp>
        <tr r="U56" s="11"/>
        <tr r="U24" s="4"/>
      </tp>
      <tp t="e">
        <v>#N/A</v>
        <stp/>
        <stp>BDH|7076011333201952796</stp>
        <tr r="V108" s="18"/>
      </tp>
      <tp t="e">
        <v>#N/A</v>
        <stp/>
        <stp>BDH|5730334579073861076</stp>
        <tr r="K7" s="30"/>
      </tp>
      <tp t="e">
        <v>#N/A</v>
        <stp/>
        <stp>BDH|7425169686355773919</stp>
        <tr r="W12" s="6"/>
      </tp>
      <tp t="e">
        <v>#N/A</v>
        <stp/>
        <stp>BDH|2341832591228479975</stp>
        <tr r="H157" s="18"/>
      </tp>
      <tp t="e">
        <v>#N/A</v>
        <stp/>
        <stp>BDH|3409835506470502967</stp>
        <tr r="E66" s="13"/>
      </tp>
      <tp t="e">
        <v>#N/A</v>
        <stp/>
        <stp>BDH|1813716863454128698</stp>
        <tr r="P38" s="22"/>
      </tp>
      <tp t="e">
        <v>#N/A</v>
        <stp/>
        <stp>BDH|4691204649063926346</stp>
        <tr r="F86" s="17"/>
      </tp>
      <tp t="e">
        <v>#N/A</v>
        <stp/>
        <stp>BDH|5817057149850274340</stp>
        <tr r="G200" s="18"/>
      </tp>
      <tp t="e">
        <v>#N/A</v>
        <stp/>
        <stp>BDH|2851213177455585093</stp>
        <tr r="G40" s="18"/>
      </tp>
      <tp t="e">
        <v>#N/A</v>
        <stp/>
        <stp>BDH|7265691709576694562</stp>
        <tr r="J192" s="18"/>
      </tp>
      <tp t="e">
        <v>#N/A</v>
        <stp/>
        <stp>BDH|1250388872120949731</stp>
        <tr r="S30" s="26"/>
      </tp>
      <tp t="e">
        <v>#N/A</v>
        <stp/>
        <stp>BDH|9283321283681117107</stp>
        <tr r="G58" s="6"/>
      </tp>
      <tp t="e">
        <v>#N/A</v>
        <stp/>
        <stp>BDH|9676465273289380120</stp>
        <tr r="W58" s="18"/>
      </tp>
      <tp t="e">
        <v>#N/A</v>
        <stp/>
        <stp>BDH|3934468853445715596</stp>
        <tr r="Y9" s="22"/>
      </tp>
      <tp t="e">
        <v>#N/A</v>
        <stp/>
        <stp>BDH|6755298943451832372</stp>
        <tr r="T35" s="34"/>
      </tp>
      <tp t="e">
        <v>#N/A</v>
        <stp/>
        <stp>BDH|5509062928823814610</stp>
        <tr r="Y39" s="25"/>
        <tr r="Y22" s="13"/>
        <tr r="Y7" s="13"/>
        <tr r="W17" s="11"/>
        <tr r="Y7" s="3"/>
      </tp>
      <tp t="e">
        <v>#N/A</v>
        <stp/>
        <stp>BDH|5975793192130583957</stp>
        <tr r="D24" s="17"/>
      </tp>
      <tp t="e">
        <v>#N/A</v>
        <stp/>
        <stp>BDH|7695356636207242253</stp>
        <tr r="X58" s="12"/>
      </tp>
      <tp t="e">
        <v>#N/A</v>
        <stp/>
        <stp>BDH|8761433162810609827</stp>
        <tr r="Y71" s="18"/>
      </tp>
      <tp t="e">
        <v>#N/A</v>
        <stp/>
        <stp>BDH|4308886580402979408</stp>
        <tr r="V67" s="18"/>
      </tp>
      <tp t="e">
        <v>#N/A</v>
        <stp/>
        <stp>BDH|4127807287853695528</stp>
        <tr r="N9" s="24"/>
      </tp>
      <tp t="e">
        <v>#N/A</v>
        <stp/>
        <stp>BDH|6181166300810421518</stp>
        <tr r="X17" s="13"/>
      </tp>
      <tp t="e">
        <v>#N/A</v>
        <stp/>
        <stp>BDH|3329005987270792913</stp>
        <tr r="G19" s="11"/>
      </tp>
      <tp t="e">
        <v>#N/A</v>
        <stp/>
        <stp>BDH|5185021171265422546</stp>
        <tr r="E73" s="24"/>
      </tp>
      <tp t="e">
        <v>#N/A</v>
        <stp/>
        <stp>BDH|6649214451977222464</stp>
        <tr r="T25" s="17"/>
      </tp>
      <tp t="e">
        <v>#N/A</v>
        <stp/>
        <stp>BDH|3507909483711667126</stp>
        <tr r="X59" s="24"/>
      </tp>
      <tp t="e">
        <v>#N/A</v>
        <stp/>
        <stp>BDH|1532285837335129799</stp>
        <tr r="S91" s="18"/>
      </tp>
      <tp t="e">
        <v>#N/A</v>
        <stp/>
        <stp>BDH|2664425501977146360</stp>
        <tr r="O162" s="18"/>
      </tp>
      <tp t="e">
        <v>#N/A</v>
        <stp/>
        <stp>BDH|9191148486693093110</stp>
        <tr r="T82" s="12"/>
      </tp>
      <tp t="e">
        <v>#N/A</v>
        <stp/>
        <stp>BDH|3291856180014548505</stp>
        <tr r="R123" s="12"/>
      </tp>
      <tp t="e">
        <v>#N/A</v>
        <stp/>
        <stp>BDH|5851045945475896633</stp>
        <tr r="P45" s="21"/>
      </tp>
      <tp t="e">
        <v>#N/A</v>
        <stp/>
        <stp>BDH|6593254816941428617</stp>
        <tr r="S32" s="22"/>
      </tp>
      <tp t="e">
        <v>#N/A</v>
        <stp/>
        <stp>BDH|9348539381104486265</stp>
        <tr r="L15" s="5"/>
      </tp>
      <tp t="e">
        <v>#N/A</v>
        <stp/>
        <stp>BDH|1960282933480418250</stp>
        <tr r="Y109" s="12"/>
      </tp>
      <tp t="e">
        <v>#N/A</v>
        <stp/>
        <stp>BDH|5584370362157296510</stp>
        <tr r="K21" s="3"/>
      </tp>
      <tp t="e">
        <v>#N/A</v>
        <stp/>
        <stp>BDH|2260151018718467886</stp>
        <tr r="H45" s="34"/>
      </tp>
      <tp t="e">
        <v>#N/A</v>
        <stp/>
        <stp>BDH|7575553725873587137</stp>
        <tr r="AA49" s="34"/>
      </tp>
      <tp t="e">
        <v>#N/A</v>
        <stp/>
        <stp>BDH|1462160925813391374</stp>
        <tr r="M30" s="26"/>
      </tp>
      <tp t="e">
        <v>#N/A</v>
        <stp/>
        <stp>BDH|5616774193160154903</stp>
        <tr r="I37" s="34"/>
      </tp>
      <tp t="e">
        <v>#N/A</v>
        <stp/>
        <stp>BDH|9630964951777569074</stp>
        <tr r="X56" s="24"/>
      </tp>
      <tp t="e">
        <v>#N/A</v>
        <stp/>
        <stp>BDH|5377344945265778564</stp>
        <tr r="P45" s="34"/>
      </tp>
      <tp t="e">
        <v>#N/A</v>
        <stp/>
        <stp>BDH|1099448023561336475</stp>
        <tr r="O22" s="17"/>
        <tr r="O15" s="3"/>
      </tp>
      <tp t="e">
        <v>#N/A</v>
        <stp/>
        <stp>BDH|5135501507425538707</stp>
        <tr r="L55" s="11"/>
      </tp>
      <tp t="e">
        <v>#N/A</v>
        <stp/>
        <stp>BDH|1400596389328016671</stp>
        <tr r="S49" s="21"/>
      </tp>
      <tp t="e">
        <v>#N/A</v>
        <stp/>
        <stp>BDH|1487559738783229681</stp>
        <tr r="K13" s="27"/>
        <tr r="K27" s="25"/>
      </tp>
      <tp t="e">
        <v>#N/A</v>
        <stp/>
        <stp>BDH|2347430556875617438</stp>
        <tr r="V24" s="22"/>
      </tp>
      <tp t="e">
        <v>#N/A</v>
        <stp/>
        <stp>BDH|4626261167753340175</stp>
        <tr r="S100" s="18"/>
      </tp>
      <tp t="e">
        <v>#N/A</v>
        <stp/>
        <stp>BDH|7663014755858473858</stp>
        <tr r="L13" s="22"/>
      </tp>
      <tp t="e">
        <v>#N/A</v>
        <stp/>
        <stp>BDH|6003691028598223803</stp>
        <tr r="W38" s="24"/>
      </tp>
      <tp t="e">
        <v>#N/A</v>
        <stp/>
        <stp>BDH|6543914173773715932</stp>
        <tr r="X38" s="22"/>
      </tp>
      <tp t="e">
        <v>#N/A</v>
        <stp/>
        <stp>BDH|7156342876714969591</stp>
        <tr r="N54" s="13"/>
      </tp>
      <tp t="e">
        <v>#N/A</v>
        <stp/>
        <stp>BDH|2002713267760768125</stp>
        <tr r="R44" s="12"/>
      </tp>
      <tp t="e">
        <v>#N/A</v>
        <stp/>
        <stp>BDH|1329972267118270421</stp>
        <tr r="I104" s="12"/>
      </tp>
      <tp t="e">
        <v>#N/A</v>
        <stp/>
        <stp>BDH|7570341692519151610</stp>
        <tr r="W22" s="10"/>
      </tp>
      <tp t="e">
        <v>#N/A</v>
        <stp/>
        <stp>BDH|8405756878328249287</stp>
        <tr r="Y8" s="24"/>
      </tp>
      <tp t="e">
        <v>#N/A</v>
        <stp/>
        <stp>BDH|7427112713106527305</stp>
        <tr r="N19" s="18"/>
      </tp>
      <tp t="e">
        <v>#N/A</v>
        <stp/>
        <stp>BDH|8546923133509175963</stp>
        <tr r="X38" s="6"/>
      </tp>
      <tp t="e">
        <v>#N/A</v>
        <stp/>
        <stp>BDH|2962173709638475902</stp>
        <tr r="K88" s="17"/>
      </tp>
      <tp t="e">
        <v>#N/A</v>
        <stp/>
        <stp>BDH|3396357244851892799</stp>
        <tr r="Z64" s="34"/>
      </tp>
      <tp t="e">
        <v>#N/A</v>
        <stp/>
        <stp>BDH|7510850900165326804</stp>
        <tr r="U28" s="4"/>
      </tp>
      <tp t="e">
        <v>#N/A</v>
        <stp/>
        <stp>BDH|5698064431205679140</stp>
        <tr r="H62" s="11"/>
        <tr r="H71" s="10"/>
      </tp>
      <tp t="e">
        <v>#N/A</v>
        <stp/>
        <stp>BDH|2039775611906732024</stp>
        <tr r="O23" s="18"/>
      </tp>
      <tp t="e">
        <v>#N/A</v>
        <stp/>
        <stp>BDH|5823210291388994423</stp>
        <tr r="F151" s="18"/>
      </tp>
      <tp t="e">
        <v>#N/A</v>
        <stp/>
        <stp>BDH|4885345248577579624</stp>
        <tr r="Z79" s="17"/>
        <tr r="W9" s="9"/>
        <tr r="W9" s="5"/>
      </tp>
      <tp t="e">
        <v>#N/A</v>
        <stp/>
        <stp>BDH|2592264800135713777</stp>
        <tr r="Y126" s="18"/>
      </tp>
      <tp t="e">
        <v>#N/A</v>
        <stp/>
        <stp>BDH|7401321330611637439</stp>
        <tr r="J68" s="18"/>
      </tp>
      <tp t="e">
        <v>#N/A</v>
        <stp/>
        <stp>BDH|2511738170566635632</stp>
        <tr r="V45" s="18"/>
      </tp>
      <tp t="e">
        <v>#N/A</v>
        <stp/>
        <stp>BDH|5465121102320088671</stp>
        <tr r="I62" s="12"/>
      </tp>
      <tp t="e">
        <v>#N/A</v>
        <stp/>
        <stp>BDH|4430325251860153057</stp>
        <tr r="AA113" s="12"/>
      </tp>
      <tp t="e">
        <v>#N/A</v>
        <stp/>
        <stp>BDH|4794511120408374967</stp>
        <tr r="E45" s="13"/>
        <tr r="C29" s="11"/>
        <tr r="C38" s="10"/>
      </tp>
      <tp t="e">
        <v>#N/A</v>
        <stp/>
        <stp>BDH|7222363434471335409</stp>
        <tr r="U46" s="13"/>
      </tp>
      <tp t="e">
        <v>#N/A</v>
        <stp/>
        <stp>BDH|4086046140257717502</stp>
        <tr r="G25" s="14"/>
      </tp>
      <tp t="e">
        <v>#N/A</v>
        <stp/>
        <stp>BDH|1102448978799935973</stp>
        <tr r="E16" s="26"/>
      </tp>
      <tp t="e">
        <v>#N/A</v>
        <stp/>
        <stp>BDH|4019657418668768999</stp>
        <tr r="F118" s="12"/>
      </tp>
      <tp t="e">
        <v>#N/A</v>
        <stp/>
        <stp>BDH|5666824392841502705</stp>
        <tr r="P191" s="18"/>
      </tp>
      <tp t="e">
        <v>#N/A</v>
        <stp/>
        <stp>BDH|2653401819665483085</stp>
        <tr r="I13" s="2"/>
      </tp>
      <tp t="e">
        <v>#N/A</v>
        <stp/>
        <stp>BDH|4592367654037538712</stp>
        <tr r="Q59" s="34"/>
      </tp>
      <tp t="e">
        <v>#N/A</v>
        <stp/>
        <stp>BDH|4839857095750347788</stp>
        <tr r="Z17" s="14"/>
      </tp>
      <tp t="e">
        <v>#N/A</v>
        <stp/>
        <stp>BDH|5787241194059114556</stp>
        <tr r="N65" s="13"/>
      </tp>
      <tp t="e">
        <v>#N/A</v>
        <stp/>
        <stp>BDH|3676171288240973802</stp>
        <tr r="Q66" s="13"/>
      </tp>
      <tp t="e">
        <v>#N/A</v>
        <stp/>
        <stp>BDH|7586107195239398435</stp>
        <tr r="P175" s="18"/>
      </tp>
      <tp t="e">
        <v>#N/A</v>
        <stp/>
        <stp>BDH|2580662819685994235</stp>
        <tr r="M27" s="18"/>
      </tp>
      <tp t="e">
        <v>#N/A</v>
        <stp/>
        <stp>BDH|6165221532530516543</stp>
        <tr r="O28" s="22"/>
      </tp>
      <tp t="e">
        <v>#N/A</v>
        <stp/>
        <stp>BDH|1437238472767158149</stp>
        <tr r="O19" s="9"/>
      </tp>
      <tp t="e">
        <v>#N/A</v>
        <stp/>
        <stp>BDH|1531030443891309668</stp>
        <tr r="F13" s="20"/>
        <tr r="F122" s="18"/>
      </tp>
      <tp t="e">
        <v>#N/A</v>
        <stp/>
        <stp>BDH|9117207410348142002</stp>
        <tr r="F7" s="21"/>
      </tp>
      <tp t="e">
        <v>#N/A</v>
        <stp/>
        <stp>BDH|9479719334229079619</stp>
        <tr r="AA81" s="18"/>
      </tp>
      <tp t="e">
        <v>#N/A</v>
        <stp/>
        <stp>BDH|6502593089048731125</stp>
        <tr r="U56" s="18"/>
      </tp>
      <tp t="e">
        <v>#N/A</v>
        <stp/>
        <stp>BDH|7613167942550232005</stp>
        <tr r="E25" s="27"/>
      </tp>
      <tp t="e">
        <v>#N/A</v>
        <stp/>
        <stp>BDH|1393541741837558530</stp>
        <tr r="M202" s="18"/>
      </tp>
      <tp t="e">
        <v>#N/A</v>
        <stp/>
        <stp>BDH|9768947923179507954</stp>
        <tr r="Z55" s="21"/>
      </tp>
      <tp t="e">
        <v>#N/A</v>
        <stp/>
        <stp>BDH|2782048836860290376</stp>
        <tr r="F150" s="18"/>
      </tp>
      <tp t="e">
        <v>#N/A</v>
        <stp/>
        <stp>BDH|8549067111573332812</stp>
        <tr r="X11" s="13"/>
      </tp>
      <tp t="e">
        <v>#N/A</v>
        <stp/>
        <stp>BDH|6353712851662153423</stp>
        <tr r="N11" s="10"/>
        <tr r="N14" s="2"/>
      </tp>
      <tp t="e">
        <v>#N/A</v>
        <stp/>
        <stp>BDH|4567708950577190345</stp>
        <tr r="Q64" s="10"/>
      </tp>
      <tp t="e">
        <v>#N/A</v>
        <stp/>
        <stp>BDH|7478748991882263936</stp>
        <tr r="P35" s="22"/>
      </tp>
      <tp t="e">
        <v>#N/A</v>
        <stp/>
        <stp>BDH|5677675811618958897</stp>
        <tr r="S14" s="34"/>
      </tp>
      <tp t="e">
        <v>#N/A</v>
        <stp/>
        <stp>BDH|2357583717475818145</stp>
        <tr r="R41" s="24"/>
      </tp>
      <tp t="e">
        <v>#N/A</v>
        <stp/>
        <stp>BDH|6080106941604362528</stp>
        <tr r="P161" s="18"/>
      </tp>
      <tp t="e">
        <v>#N/A</v>
        <stp/>
        <stp>BDH|6184797898888661268</stp>
        <tr r="R31" s="9"/>
      </tp>
      <tp t="e">
        <v>#N/A</v>
        <stp/>
        <stp>BDH|4072772098399699196</stp>
        <tr r="Z33" s="13"/>
        <tr r="X26" s="10"/>
      </tp>
      <tp t="e">
        <v>#N/A</v>
        <stp/>
        <stp>BDH|5786866543298567373</stp>
        <tr r="Y47" s="13"/>
      </tp>
      <tp t="e">
        <v>#N/A</v>
        <stp/>
        <stp>BDH|2637168945241175447</stp>
        <tr r="D24" s="9"/>
      </tp>
      <tp t="e">
        <v>#N/A</v>
        <stp/>
        <stp>BDH|3997694745552530100</stp>
        <tr r="K16" s="10"/>
      </tp>
      <tp t="e">
        <v>#N/A</v>
        <stp/>
        <stp>BDH|7773150388359873528</stp>
        <tr r="V197" s="18"/>
      </tp>
      <tp t="e">
        <v>#N/A</v>
        <stp/>
        <stp>BDH|1111785033842945533</stp>
        <tr r="U49" s="24"/>
      </tp>
      <tp t="e">
        <v>#N/A</v>
        <stp/>
        <stp>BDH|4631451111972526172</stp>
        <tr r="S62" s="11"/>
        <tr r="S71" s="10"/>
      </tp>
      <tp t="e">
        <v>#N/A</v>
        <stp/>
        <stp>BDH|1348714259287210698</stp>
        <tr r="U66" s="18"/>
      </tp>
      <tp t="e">
        <v>#N/A</v>
        <stp/>
        <stp>BDH|6706264376778211959</stp>
        <tr r="T85" s="12"/>
      </tp>
      <tp t="e">
        <v>#N/A</v>
        <stp/>
        <stp>BDH|6899900355318586089</stp>
        <tr r="O11" s="6"/>
      </tp>
      <tp t="e">
        <v>#N/A</v>
        <stp/>
        <stp>BDH|5339751755593181622</stp>
        <tr r="W94" s="24"/>
      </tp>
      <tp t="e">
        <v>#N/A</v>
        <stp/>
        <stp>BDH|1106273804185281407</stp>
        <tr r="L98" s="12"/>
      </tp>
      <tp t="e">
        <v>#N/A</v>
        <stp/>
        <stp>BDH|2667542374297481523</stp>
        <tr r="Y15" s="34"/>
      </tp>
      <tp t="e">
        <v>#N/A</v>
        <stp/>
        <stp>BDH|3105712835853333664</stp>
        <tr r="G17" s="23"/>
      </tp>
      <tp t="e">
        <v>#N/A</v>
        <stp/>
        <stp>BDH|3988296936578153872</stp>
        <tr r="U47" s="17"/>
      </tp>
      <tp t="e">
        <v>#N/A</v>
        <stp/>
        <stp>BDH|1457366336870573310</stp>
        <tr r="S9" s="28"/>
      </tp>
      <tp t="e">
        <v>#N/A</v>
        <stp/>
        <stp>BDH|3159627869466928738</stp>
        <tr r="C27" s="17"/>
      </tp>
      <tp t="e">
        <v>#N/A</v>
        <stp/>
        <stp>BDH|2029715493106409869</stp>
        <tr r="Q100" s="18"/>
      </tp>
      <tp t="e">
        <v>#N/A</v>
        <stp/>
        <stp>BDH|6761345527836071343</stp>
        <tr r="I111" s="18"/>
      </tp>
      <tp t="e">
        <v>#N/A</v>
        <stp/>
        <stp>BDH|2007711485948064740</stp>
        <tr r="H8" s="10"/>
      </tp>
      <tp t="e">
        <v>#N/A</v>
        <stp/>
        <stp>BDH|7766728164420909484</stp>
        <tr r="T19" s="25"/>
      </tp>
      <tp t="e">
        <v>#N/A</v>
        <stp/>
        <stp>BDH|7677733218390986341</stp>
        <tr r="J79" s="34"/>
      </tp>
      <tp t="e">
        <v>#N/A</v>
        <stp/>
        <stp>BDH|5962371503584412082</stp>
        <tr r="I69" s="34"/>
      </tp>
      <tp t="e">
        <v>#N/A</v>
        <stp/>
        <stp>BDH|1183642416544798057</stp>
        <tr r="Z16" s="24"/>
      </tp>
      <tp t="e">
        <v>#N/A</v>
        <stp/>
        <stp>BDH|2269707127700033544</stp>
        <tr r="M96" s="18"/>
      </tp>
      <tp t="e">
        <v>#N/A</v>
        <stp/>
        <stp>BDH|1760310468877866178</stp>
        <tr r="P17" s="20"/>
      </tp>
      <tp t="e">
        <v>#N/A</v>
        <stp/>
        <stp>BDH|2236022060714226234</stp>
        <tr r="V110" s="18"/>
      </tp>
      <tp t="e">
        <v>#N/A</v>
        <stp/>
        <stp>BDH|6037125233425834381</stp>
        <tr r="Q74" s="12"/>
      </tp>
      <tp t="e">
        <v>#N/A</v>
        <stp/>
        <stp>BDH|9660334112568530137</stp>
        <tr r="R37" s="25"/>
        <tr r="R59" s="21"/>
        <tr r="P53" s="11"/>
        <tr r="P31" s="4"/>
      </tp>
      <tp t="e">
        <v>#N/A</v>
        <stp/>
        <stp>BDH|7860168057687838608</stp>
        <tr r="O133" s="18"/>
      </tp>
      <tp t="e">
        <v>#N/A</v>
        <stp/>
        <stp>BDH|9267595929255067935</stp>
        <tr r="Z48" s="17"/>
      </tp>
      <tp t="e">
        <v>#N/A</v>
        <stp/>
        <stp>BDH|7499108452456751702</stp>
        <tr r="I45" s="21"/>
      </tp>
      <tp t="e">
        <v>#N/A</v>
        <stp/>
        <stp>BDH|3930252331415585598</stp>
        <tr r="Y185" s="18"/>
      </tp>
      <tp t="e">
        <v>#N/A</v>
        <stp/>
        <stp>BDH|6911485311574314525</stp>
        <tr r="R166" s="18"/>
      </tp>
      <tp t="e">
        <v>#N/A</v>
        <stp/>
        <stp>BDH|9612772998266026386</stp>
        <tr r="N62" s="13"/>
      </tp>
      <tp t="e">
        <v>#N/A</v>
        <stp/>
        <stp>BDH|3071904313550672945</stp>
        <tr r="L80" s="24"/>
      </tp>
      <tp t="e">
        <v>#N/A</v>
        <stp/>
        <stp>BDH|7409047974884696632</stp>
        <tr r="T44" s="34"/>
      </tp>
      <tp t="e">
        <v>#N/A</v>
        <stp/>
        <stp>BDH|4859424515131767292</stp>
        <tr r="V52" s="13"/>
      </tp>
      <tp t="e">
        <v>#N/A</v>
        <stp/>
        <stp>BDH|1598038509231829266</stp>
        <tr r="I7" s="27"/>
        <tr r="I95" s="17"/>
      </tp>
      <tp t="e">
        <v>#N/A</v>
        <stp/>
        <stp>BDH|9963872739367713711</stp>
        <tr r="P23" s="10"/>
      </tp>
      <tp t="e">
        <v>#N/A</v>
        <stp/>
        <stp>BDH|5304600373153176500</stp>
        <tr r="T91" s="24"/>
      </tp>
      <tp t="e">
        <v>#N/A</v>
        <stp/>
        <stp>BDH|9261293191282216290</stp>
        <tr r="L35" s="24"/>
      </tp>
      <tp t="e">
        <v>#N/A</v>
        <stp/>
        <stp>BDH|2001435943333823392</stp>
        <tr r="J73" s="17"/>
      </tp>
      <tp t="e">
        <v>#N/A</v>
        <stp/>
        <stp>BDH|2846651988739735737</stp>
        <tr r="M88" s="18"/>
      </tp>
      <tp t="e">
        <v>#N/A</v>
        <stp/>
        <stp>BDH|7403472042870140517</stp>
        <tr r="Z39" s="18"/>
      </tp>
      <tp t="e">
        <v>#N/A</v>
        <stp/>
        <stp>BDH|2252218351610570764</stp>
        <tr r="X11" s="30"/>
      </tp>
      <tp t="e">
        <v>#N/A</v>
        <stp/>
        <stp>BDH|2111879905399512172</stp>
        <tr r="D56" s="12"/>
      </tp>
      <tp t="e">
        <v>#N/A</v>
        <stp/>
        <stp>BDH|2788313127648443941</stp>
        <tr r="E16" s="27"/>
        <tr r="E30" s="25"/>
      </tp>
      <tp t="e">
        <v>#N/A</v>
        <stp/>
        <stp>BDH|9462918246586562075</stp>
        <tr r="F60" s="12"/>
      </tp>
      <tp t="e">
        <v>#N/A</v>
        <stp/>
        <stp>BDH|5377446015047395503</stp>
        <tr r="P30" s="21"/>
      </tp>
      <tp t="e">
        <v>#N/A</v>
        <stp/>
        <stp>BDH|8433249271027831882</stp>
        <tr r="C12" s="27"/>
        <tr r="C26" s="25"/>
      </tp>
      <tp t="e">
        <v>#N/A</v>
        <stp/>
        <stp>BDH|4829377638340143679</stp>
        <tr r="J35" s="25"/>
      </tp>
      <tp t="e">
        <v>#N/A</v>
        <stp/>
        <stp>BDH|1289734546062133274</stp>
        <tr r="S32" s="5"/>
      </tp>
      <tp t="e">
        <v>#N/A</v>
        <stp/>
        <stp>BDH|8404338651929321549</stp>
        <tr r="C50" s="24"/>
      </tp>
      <tp t="e">
        <v>#N/A</v>
        <stp/>
        <stp>BDH|2115816091915910492</stp>
        <tr r="M122" s="12"/>
      </tp>
      <tp t="e">
        <v>#N/A</v>
        <stp/>
        <stp>BDH|4009031802932327437</stp>
        <tr r="O68" s="10"/>
      </tp>
      <tp t="e">
        <v>#N/A</v>
        <stp/>
        <stp>BDH|7383675537316276604</stp>
        <tr r="T131" s="18"/>
      </tp>
      <tp t="e">
        <v>#N/A</v>
        <stp/>
        <stp>BDH|2639593067034859718</stp>
        <tr r="R26" s="34"/>
      </tp>
      <tp t="e">
        <v>#N/A</v>
        <stp/>
        <stp>BDH|3667047356697582302</stp>
        <tr r="P36" s="4"/>
      </tp>
      <tp t="e">
        <v>#N/A</v>
        <stp/>
        <stp>BDH|3550479562683644073</stp>
        <tr r="F31" s="5"/>
      </tp>
      <tp t="e">
        <v>#N/A</v>
        <stp/>
        <stp>BDH|5656116071479424839</stp>
        <tr r="I49" s="34"/>
      </tp>
      <tp t="e">
        <v>#N/A</v>
        <stp/>
        <stp>BDH|2093005640632254633</stp>
        <tr r="Z88" s="12"/>
      </tp>
      <tp t="e">
        <v>#N/A</v>
        <stp/>
        <stp>BDH|9797992735905883426</stp>
        <tr r="V25" s="7"/>
      </tp>
      <tp t="e">
        <v>#N/A</v>
        <stp/>
        <stp>BDH|9652359494117309651</stp>
        <tr r="W8" s="26"/>
        <tr r="T10" s="9"/>
      </tp>
      <tp t="e">
        <v>#N/A</v>
        <stp/>
        <stp>BDH|4361744817272385224</stp>
        <tr r="G135" s="18"/>
      </tp>
      <tp t="e">
        <v>#N/A</v>
        <stp/>
        <stp>BDH|5609396235854945326</stp>
        <tr r="X24" s="2"/>
      </tp>
      <tp t="e">
        <v>#N/A</v>
        <stp/>
        <stp>BDH|4221363713351447528</stp>
        <tr r="G17" s="34"/>
      </tp>
      <tp t="e">
        <v>#N/A</v>
        <stp/>
        <stp>BDH|8304132491531293320</stp>
        <tr r="P74" s="12"/>
      </tp>
      <tp t="e">
        <v>#N/A</v>
        <stp/>
        <stp>BDH|3514225965646058339</stp>
        <tr r="S78" s="17"/>
      </tp>
      <tp t="e">
        <v>#N/A</v>
        <stp/>
        <stp>BDH|3781043530204200678</stp>
        <tr r="G62" s="21"/>
        <tr r="E25" s="2"/>
      </tp>
      <tp t="e">
        <v>#N/A</v>
        <stp/>
        <stp>BDH|2766896758244630960</stp>
        <tr r="J68" s="10"/>
      </tp>
      <tp t="e">
        <v>#N/A</v>
        <stp/>
        <stp>BDH|4573569333392489224</stp>
        <tr r="U7" s="4"/>
      </tp>
      <tp t="e">
        <v>#N/A</v>
        <stp/>
        <stp>BDH|5458104493297028810</stp>
        <tr r="M59" s="24"/>
      </tp>
      <tp t="e">
        <v>#N/A</v>
        <stp/>
        <stp>BDH|4202356913685595179</stp>
        <tr r="J11" s="10"/>
        <tr r="J14" s="2"/>
      </tp>
      <tp t="e">
        <v>#N/A</v>
        <stp/>
        <stp>BDH|4989026778243496215</stp>
        <tr r="Q43" s="13"/>
        <tr r="O35" s="11"/>
        <tr r="O44" s="10"/>
        <tr r="O52" s="4"/>
        <tr r="Q8" s="3"/>
      </tp>
      <tp t="e">
        <v>#N/A</v>
        <stp/>
        <stp>BDH|4389231511190388540</stp>
        <tr r="U78" s="34"/>
      </tp>
      <tp t="e">
        <v>#N/A</v>
        <stp/>
        <stp>BDH|5603293667384956775</stp>
        <tr r="M82" s="18"/>
      </tp>
      <tp t="e">
        <v>#N/A</v>
        <stp/>
        <stp>BDH|2073020269477902140</stp>
        <tr r="R74" s="12"/>
      </tp>
      <tp t="e">
        <v>#N/A</v>
        <stp/>
        <stp>BDH|9902621316514874830</stp>
        <tr r="X84" s="18"/>
      </tp>
      <tp t="e">
        <v>#N/A</v>
        <stp/>
        <stp>BDH|6263075253815395431</stp>
        <tr r="N95" s="12"/>
      </tp>
      <tp t="e">
        <v>#N/A</v>
        <stp/>
        <stp>BDH|1072831964545738862</stp>
        <tr r="T18" s="34"/>
      </tp>
      <tp t="e">
        <v>#N/A</v>
        <stp/>
        <stp>BDH|7047096009153498628</stp>
        <tr r="F129" s="18"/>
      </tp>
      <tp t="e">
        <v>#N/A</v>
        <stp/>
        <stp>BDH|7526306956375028650</stp>
        <tr r="D31" s="24"/>
      </tp>
      <tp t="e">
        <v>#N/A</v>
        <stp/>
        <stp>BDH|3191653565918407936</stp>
        <tr r="S201" s="18"/>
      </tp>
      <tp t="e">
        <v>#N/A</v>
        <stp/>
        <stp>BDH|7624656306051511260</stp>
        <tr r="V69" s="10"/>
      </tp>
      <tp t="e">
        <v>#N/A</v>
        <stp/>
        <stp>BDH|2330009733167379459</stp>
        <tr r="C60" s="11"/>
      </tp>
      <tp t="e">
        <v>#N/A</v>
        <stp/>
        <stp>BDH|6433405714330556134</stp>
        <tr r="S61" s="21"/>
      </tp>
      <tp t="e">
        <v>#N/A</v>
        <stp/>
        <stp>BDH|9946818047915924203</stp>
        <tr r="F49" s="6"/>
      </tp>
      <tp t="e">
        <v>#N/A</v>
        <stp/>
        <stp>BDH|7725159514311788474</stp>
        <tr r="L21" s="20"/>
      </tp>
      <tp t="e">
        <v>#N/A</v>
        <stp/>
        <stp>BDH|8109369686208381944</stp>
        <tr r="Q10" s="14"/>
      </tp>
      <tp t="e">
        <v>#N/A</v>
        <stp/>
        <stp>BDH|5517117200161097728</stp>
        <tr r="T115" s="18"/>
      </tp>
      <tp t="e">
        <v>#N/A</v>
        <stp/>
        <stp>BDH|1360027137704477447</stp>
        <tr r="S135" s="18"/>
      </tp>
      <tp t="e">
        <v>#N/A</v>
        <stp/>
        <stp>BDH|3225642327602339743</stp>
        <tr r="G31" s="9"/>
      </tp>
      <tp t="e">
        <v>#N/A</v>
        <stp/>
        <stp>BDH|4893727418489550916</stp>
        <tr r="Z11" s="14"/>
      </tp>
      <tp t="e">
        <v>#N/A</v>
        <stp/>
        <stp>BDH|4510010448827385599</stp>
        <tr r="U42" s="11"/>
        <tr r="U51" s="10"/>
        <tr r="U14" s="7"/>
        <tr r="W9" s="3"/>
      </tp>
      <tp t="e">
        <v>#N/A</v>
        <stp/>
        <stp>BDH|2675808781004262432</stp>
        <tr r="D62" s="18"/>
      </tp>
      <tp t="e">
        <v>#N/A</v>
        <stp/>
        <stp>BDH|2343388932303855371</stp>
        <tr r="D39" s="29"/>
        <tr r="D16" s="29"/>
      </tp>
      <tp t="e">
        <v>#N/A</v>
        <stp/>
        <stp>BDH|2750957167067608858</stp>
        <tr r="J29" s="4"/>
      </tp>
      <tp t="e">
        <v>#N/A</v>
        <stp/>
        <stp>BDH|5186508781229182377</stp>
        <tr r="E44" s="11"/>
        <tr r="E53" s="10"/>
        <tr r="E16" s="7"/>
      </tp>
      <tp t="e">
        <v>#N/A</v>
        <stp/>
        <stp>BDH|9007299605799829021</stp>
        <tr r="W32" s="9"/>
      </tp>
      <tp t="e">
        <v>#N/A</v>
        <stp/>
        <stp>BDH|6090551135382727014</stp>
        <tr r="H30" s="9"/>
        <tr r="H30" s="5"/>
      </tp>
      <tp t="e">
        <v>#N/A</v>
        <stp/>
        <stp>BDH|4495635844306422210</stp>
        <tr r="Y39" s="24"/>
      </tp>
      <tp t="e">
        <v>#N/A</v>
        <stp/>
        <stp>BDH|9837815628482276358</stp>
        <tr r="G46" s="6"/>
        <tr r="G19" s="5"/>
      </tp>
      <tp t="e">
        <v>#N/A</v>
        <stp/>
        <stp>BDH|4697643591569741027</stp>
        <tr r="H33" s="14"/>
      </tp>
      <tp t="e">
        <v>#N/A</v>
        <stp/>
        <stp>BDH|7896286763748477913</stp>
        <tr r="O35" s="4"/>
      </tp>
      <tp t="e">
        <v>#N/A</v>
        <stp/>
        <stp>BDH|1464059557147530152</stp>
        <tr r="F58" s="34"/>
      </tp>
      <tp t="e">
        <v>#N/A</v>
        <stp/>
        <stp>BDH|2657151144354783160</stp>
        <tr r="U148" s="18"/>
      </tp>
      <tp t="e">
        <v>#N/A</v>
        <stp/>
        <stp>BDH|4533472378947906257</stp>
        <tr r="V7" s="9"/>
        <tr r="V7" s="5"/>
        <tr r="Y14" s="3"/>
        <tr r="W7" s="2"/>
      </tp>
      <tp t="e">
        <v>#N/A</v>
        <stp/>
        <stp>BDH|1784072126482856384</stp>
        <tr r="X63" s="21"/>
      </tp>
      <tp t="e">
        <v>#N/A</v>
        <stp/>
        <stp>BDH|6340273275709367848</stp>
        <tr r="T20" s="5"/>
      </tp>
      <tp t="e">
        <v>#N/A</v>
        <stp/>
        <stp>BDH|5794056140075005641</stp>
        <tr r="Q62" s="11"/>
        <tr r="Q71" s="10"/>
      </tp>
      <tp t="e">
        <v>#N/A</v>
        <stp/>
        <stp>BDH|2439414283658508440</stp>
        <tr r="C111" s="18"/>
      </tp>
      <tp t="e">
        <v>#N/A</v>
        <stp/>
        <stp>BDH|6041492094239803025</stp>
        <tr r="P11" s="29"/>
      </tp>
      <tp t="e">
        <v>#N/A</v>
        <stp/>
        <stp>BDH|8413859158695684287</stp>
        <tr r="R33" s="6"/>
      </tp>
      <tp t="e">
        <v>#N/A</v>
        <stp/>
        <stp>BDH|2258751244630727330</stp>
        <tr r="J58" s="12"/>
      </tp>
      <tp t="e">
        <v>#N/A</v>
        <stp/>
        <stp>BDH|7893021439044337278</stp>
        <tr r="AA55" s="21"/>
      </tp>
      <tp t="e">
        <v>#N/A</v>
        <stp/>
        <stp>BDH|7419039013283182721</stp>
        <tr r="J11" s="6"/>
      </tp>
      <tp t="e">
        <v>#N/A</v>
        <stp/>
        <stp>BDH|6795185729766488150</stp>
        <tr r="W78" s="12"/>
      </tp>
      <tp t="e">
        <v>#N/A</v>
        <stp/>
        <stp>BDH|3859199256802435744</stp>
        <tr r="G203" s="18"/>
      </tp>
      <tp t="e">
        <v>#N/A</v>
        <stp/>
        <stp>BDH|4794585195058898256</stp>
        <tr r="I47" s="18"/>
      </tp>
      <tp t="e">
        <v>#N/A</v>
        <stp/>
        <stp>BDH|2419853331473124867</stp>
        <tr r="D69" s="34"/>
      </tp>
      <tp t="e">
        <v>#N/A</v>
        <stp/>
        <stp>BDH|3506060037990126228</stp>
        <tr r="U67" s="18"/>
      </tp>
      <tp t="e">
        <v>#N/A</v>
        <stp/>
        <stp>BDH|8416845105745319711</stp>
        <tr r="I16" s="22"/>
      </tp>
      <tp t="e">
        <v>#N/A</v>
        <stp/>
        <stp>BDH|3727207379797879317</stp>
        <tr r="E14" s="6"/>
      </tp>
      <tp t="e">
        <v>#N/A</v>
        <stp/>
        <stp>BDH|2222215305503746164</stp>
        <tr r="R37" s="6"/>
      </tp>
      <tp t="e">
        <v>#N/A</v>
        <stp/>
        <stp>BDH|7571133818797147285</stp>
        <tr r="O70" s="12"/>
      </tp>
      <tp t="e">
        <v>#N/A</v>
        <stp/>
        <stp>BDH|1241412170807282764</stp>
        <tr r="T66" s="21"/>
        <tr r="Q31" s="6"/>
      </tp>
      <tp t="e">
        <v>#N/A</v>
        <stp/>
        <stp>BDH|1618354212593360254</stp>
        <tr r="Q34" s="11"/>
        <tr r="Q43" s="10"/>
      </tp>
      <tp t="e">
        <v>#N/A</v>
        <stp/>
        <stp>BDH|6629776024752265307</stp>
        <tr r="E55" s="18"/>
      </tp>
      <tp t="e">
        <v>#N/A</v>
        <stp/>
        <stp>BDH|6359861520226359816</stp>
        <tr r="H174" s="18"/>
      </tp>
      <tp t="e">
        <v>#N/A</v>
        <stp/>
        <stp>BDH|1722470867424525551</stp>
        <tr r="N25" s="3"/>
      </tp>
      <tp t="e">
        <v>#N/A</v>
        <stp/>
        <stp>BDH|1089070200802364133</stp>
        <tr r="W48" s="34"/>
      </tp>
      <tp t="e">
        <v>#N/A</v>
        <stp/>
        <stp>BDH|6807567468847828098</stp>
        <tr r="L93" s="24"/>
      </tp>
      <tp t="e">
        <v>#N/A</v>
        <stp/>
        <stp>BDH|6138420142895194176</stp>
        <tr r="G72" s="17"/>
      </tp>
      <tp t="e">
        <v>#N/A</v>
        <stp/>
        <stp>BDH|8560943424151080028</stp>
        <tr r="P137" s="18"/>
      </tp>
      <tp t="e">
        <v>#N/A</v>
        <stp/>
        <stp>BDH|9560302201639760140</stp>
        <tr r="X41" s="11"/>
        <tr r="X50" s="10"/>
        <tr r="X8" s="7"/>
        <tr r="Z11" s="3"/>
      </tp>
      <tp t="e">
        <v>#N/A</v>
        <stp/>
        <stp>BDH|5966556835119770892</stp>
        <tr r="E183" s="18"/>
      </tp>
      <tp t="e">
        <v>#N/A</v>
        <stp/>
        <stp>BDH|2184968357554149865</stp>
        <tr r="I55" s="21"/>
      </tp>
      <tp t="e">
        <v>#N/A</v>
        <stp/>
        <stp>BDH|1065248896540489814</stp>
        <tr r="E150" s="18"/>
      </tp>
      <tp t="e">
        <v>#N/A</v>
        <stp/>
        <stp>BDH|3283877542595782875</stp>
        <tr r="G14" s="22"/>
      </tp>
      <tp t="e">
        <v>#N/A</v>
        <stp/>
        <stp>BDH|3120863996262436227</stp>
        <tr r="X11" s="10"/>
        <tr r="X14" s="2"/>
      </tp>
      <tp t="e">
        <v>#N/A</v>
        <stp/>
        <stp>BDH|1538694679345614743</stp>
        <tr r="N18" s="23"/>
      </tp>
      <tp t="e">
        <v>#N/A</v>
        <stp/>
        <stp>BDH|8556005970608740554</stp>
        <tr r="W17" s="9"/>
      </tp>
      <tp t="e">
        <v>#N/A</v>
        <stp/>
        <stp>BDH|1893603161776900574</stp>
        <tr r="O90" s="18"/>
      </tp>
      <tp t="e">
        <v>#N/A</v>
        <stp/>
        <stp>BDH|7265000203096178378</stp>
        <tr r="P16" s="12"/>
      </tp>
      <tp t="e">
        <v>#N/A</v>
        <stp/>
        <stp>BDH|4956686473715344269</stp>
        <tr r="W114" s="18"/>
      </tp>
      <tp t="e">
        <v>#N/A</v>
        <stp/>
        <stp>BDH|7824382668852628293</stp>
        <tr r="H31" s="24"/>
      </tp>
      <tp t="e">
        <v>#N/A</v>
        <stp/>
        <stp>BDH|9399396443144640883</stp>
        <tr r="K135" s="18"/>
      </tp>
      <tp t="e">
        <v>#N/A</v>
        <stp/>
        <stp>BDH|6157299603295922355</stp>
        <tr r="W24" s="13"/>
      </tp>
      <tp t="e">
        <v>#N/A</v>
        <stp/>
        <stp>BDH|8478614322339702779</stp>
        <tr r="K34" s="6"/>
      </tp>
      <tp t="e">
        <v>#N/A</v>
        <stp/>
        <stp>BDH|8100640406705070948</stp>
        <tr r="S65" s="17"/>
      </tp>
      <tp t="e">
        <v>#N/A</v>
        <stp/>
        <stp>BDH|3294200323962504338</stp>
        <tr r="Y21" s="24"/>
      </tp>
      <tp t="e">
        <v>#N/A</v>
        <stp/>
        <stp>BDH|8232798828969129658</stp>
        <tr r="U15" s="10"/>
      </tp>
      <tp t="e">
        <v>#N/A</v>
        <stp/>
        <stp>BDH|4164445343312909488</stp>
        <tr r="X12" s="14"/>
      </tp>
      <tp t="e">
        <v>#N/A</v>
        <stp/>
        <stp>BDH|7393422776265630361</stp>
        <tr r="N51" s="17"/>
      </tp>
      <tp t="e">
        <v>#N/A</v>
        <stp/>
        <stp>BDH|4140048603152272430</stp>
        <tr r="G27" s="17"/>
      </tp>
      <tp t="e">
        <v>#N/A</v>
        <stp/>
        <stp>BDH|5674052651847414516</stp>
        <tr r="T88" s="17"/>
      </tp>
      <tp t="e">
        <v>#N/A</v>
        <stp/>
        <stp>BDH|6874050301594212099</stp>
        <tr r="O16" s="34"/>
      </tp>
      <tp t="e">
        <v>#N/A</v>
        <stp/>
        <stp>BDH|2252905686895507462</stp>
        <tr r="T19" s="24"/>
      </tp>
      <tp t="e">
        <v>#N/A</v>
        <stp/>
        <stp>BDH|5346711551391290465</stp>
        <tr r="L66" s="10"/>
        <tr r="L39" s="4"/>
      </tp>
      <tp t="e">
        <v>#N/A</v>
        <stp/>
        <stp>BDH|8827155206152936958</stp>
        <tr r="D24" s="27"/>
      </tp>
      <tp t="e">
        <v>#N/A</v>
        <stp/>
        <stp>BDH|1170705838890901777</stp>
        <tr r="F27" s="14"/>
      </tp>
      <tp t="e">
        <v>#N/A</v>
        <stp/>
        <stp>BDH|4306114747853435062</stp>
        <tr r="D34" s="26"/>
      </tp>
      <tp t="e">
        <v>#N/A</v>
        <stp/>
        <stp>BDH|6210350507833657411</stp>
        <tr r="Z102" s="12"/>
      </tp>
      <tp t="e">
        <v>#N/A</v>
        <stp/>
        <stp>BDH|6631518656030632404</stp>
        <tr r="U70" s="17"/>
        <tr r="U18" s="3"/>
      </tp>
      <tp t="e">
        <v>#N/A</v>
        <stp/>
        <stp>BDH|6192767376577174370</stp>
        <tr r="W43" s="12"/>
      </tp>
      <tp t="e">
        <v>#N/A</v>
        <stp/>
        <stp>BDH|2401299258295166231</stp>
        <tr r="O6" s="19"/>
        <tr r="O37" s="17"/>
        <tr r="O16" s="3"/>
      </tp>
      <tp t="e">
        <v>#N/A</v>
        <stp/>
        <stp>BDH|5349329177816896590</stp>
        <tr r="M40" s="13"/>
        <tr r="K24" s="10"/>
        <tr r="K46" s="4"/>
      </tp>
      <tp t="e">
        <v>#N/A</v>
        <stp/>
        <stp>BDH|7328762137580187143</stp>
        <tr r="F209" s="18"/>
      </tp>
      <tp t="e">
        <v>#N/A</v>
        <stp/>
        <stp>BDH|9915579148242441850</stp>
        <tr r="P20" s="27"/>
      </tp>
      <tp t="e">
        <v>#N/A</v>
        <stp/>
        <stp>BDH|2413850572358091745</stp>
        <tr r="F41" s="29"/>
        <tr r="F18" s="29"/>
      </tp>
      <tp t="e">
        <v>#N/A</v>
        <stp/>
        <stp>BDH|8585527535515678933</stp>
        <tr r="H26" s="26"/>
      </tp>
      <tp t="e">
        <v>#N/A</v>
        <stp/>
        <stp>BDH|3116070540095381027</stp>
        <tr r="V58" s="12"/>
      </tp>
      <tp t="e">
        <v>#N/A</v>
        <stp/>
        <stp>BDH|9351575982400128637</stp>
        <tr r="M98" s="12"/>
      </tp>
      <tp t="e">
        <v>#N/A</v>
        <stp/>
        <stp>BDH|8031721782003308673</stp>
        <tr r="I9" s="14"/>
      </tp>
      <tp t="e">
        <v>#N/A</v>
        <stp/>
        <stp>BDH|7414843499656463292</stp>
        <tr r="C58" s="17"/>
      </tp>
      <tp t="e">
        <v>#N/A</v>
        <stp/>
        <stp>BDH|1383082562731884455</stp>
        <tr r="Z20" s="14"/>
      </tp>
      <tp t="e">
        <v>#N/A</v>
        <stp/>
        <stp>BDH|1049672762412672175</stp>
        <tr r="Z47" s="13"/>
      </tp>
      <tp t="e">
        <v>#N/A</v>
        <stp/>
        <stp>BDH|5616140842206623421</stp>
        <tr r="W68" s="13"/>
      </tp>
      <tp t="e">
        <v>#N/A</v>
        <stp/>
        <stp>BDH|1461285734315409780</stp>
        <tr r="F6" s="6"/>
      </tp>
      <tp t="e">
        <v>#N/A</v>
        <stp/>
        <stp>BDH|2038475755076558730</stp>
        <tr r="U77" s="18"/>
      </tp>
      <tp t="e">
        <v>#N/A</v>
        <stp/>
        <stp>BDH|3227715045746421461</stp>
        <tr r="T62" s="13"/>
      </tp>
      <tp t="e">
        <v>#N/A</v>
        <stp/>
        <stp>BDH|9153957806492010064</stp>
        <tr r="Y56" s="34"/>
      </tp>
      <tp t="e">
        <v>#N/A</v>
        <stp/>
        <stp>BDH|1539634263924641779</stp>
        <tr r="P62" s="13"/>
      </tp>
      <tp t="e">
        <v>#N/A</v>
        <stp/>
        <stp>BDH|2672435740091854194</stp>
        <tr r="K89" s="17"/>
      </tp>
      <tp t="e">
        <v>#N/A</v>
        <stp/>
        <stp>BDH|3175737644280763257</stp>
        <tr r="F13" s="6"/>
      </tp>
      <tp t="e">
        <v>#N/A</v>
        <stp/>
        <stp>BDH|4539161149232853166</stp>
        <tr r="C68" s="34"/>
      </tp>
      <tp t="e">
        <v>#N/A</v>
        <stp/>
        <stp>BDH|8177411117116643951</stp>
        <tr r="K12" s="24"/>
      </tp>
      <tp t="e">
        <v>#N/A</v>
        <stp/>
        <stp>BDH|2194360167517379279</stp>
        <tr r="N25" s="11"/>
        <tr r="N34" s="10"/>
      </tp>
      <tp t="e">
        <v>#N/A</v>
        <stp/>
        <stp>BDH|2453400517602513727</stp>
        <tr r="T24" s="21"/>
      </tp>
      <tp t="e">
        <v>#N/A</v>
        <stp/>
        <stp>BDH|5645339663326534478</stp>
        <tr r="D79" s="12"/>
      </tp>
      <tp t="e">
        <v>#N/A</v>
        <stp/>
        <stp>BDH|3526052522794046766</stp>
        <tr r="Z87" s="17"/>
      </tp>
      <tp t="e">
        <v>#N/A</v>
        <stp/>
        <stp>BDH|2113221272474598108</stp>
        <tr r="H49" s="21"/>
      </tp>
      <tp t="e">
        <v>#N/A</v>
        <stp/>
        <stp>BDH|2498899689920954099</stp>
        <tr r="Y32" s="26"/>
      </tp>
      <tp t="e">
        <v>#N/A</v>
        <stp/>
        <stp>BDH|6908173599359360503</stp>
        <tr r="H61" s="18"/>
      </tp>
      <tp t="e">
        <v>#N/A</v>
        <stp/>
        <stp>BDH|4417225570094152735</stp>
        <tr r="M112" s="12"/>
      </tp>
      <tp t="e">
        <v>#N/A</v>
        <stp/>
        <stp>BDH|2400947969438466792</stp>
        <tr r="J13" s="25"/>
      </tp>
      <tp t="e">
        <v>#N/A</v>
        <stp/>
        <stp>BDH|2177735441495420633</stp>
        <tr r="T32" s="17"/>
      </tp>
      <tp t="e">
        <v>#N/A</v>
        <stp/>
        <stp>BDH|9034196073424643983</stp>
        <tr r="X100" s="12"/>
      </tp>
      <tp t="e">
        <v>#N/A</v>
        <stp/>
        <stp>BDH|6566706663510636540</stp>
        <tr r="O27" s="13"/>
      </tp>
      <tp t="e">
        <v>#N/A</v>
        <stp/>
        <stp>BDH|3664325915971457219</stp>
        <tr r="L65" s="17"/>
      </tp>
      <tp t="e">
        <v>#N/A</v>
        <stp/>
        <stp>BDH|7598765462950606433</stp>
        <tr r="P10" s="25"/>
        <tr r="P55" s="17"/>
      </tp>
      <tp t="e">
        <v>#N/A</v>
        <stp/>
        <stp>BDH|9434066394386000420</stp>
        <tr r="F55" s="21"/>
      </tp>
      <tp t="e">
        <v>#N/A</v>
        <stp/>
        <stp>BDH|6610253541073393152</stp>
        <tr r="K75" s="18"/>
      </tp>
      <tp t="e">
        <v>#N/A</v>
        <stp/>
        <stp>BDH|9109331904568791055</stp>
        <tr r="K18" s="10"/>
      </tp>
      <tp t="e">
        <v>#N/A</v>
        <stp/>
        <stp>BDH|8724368233369001361</stp>
        <tr r="D72" s="12"/>
      </tp>
      <tp t="e">
        <v>#N/A</v>
        <stp/>
        <stp>BDH|7381621405536265522</stp>
        <tr r="V41" s="11"/>
        <tr r="V50" s="10"/>
        <tr r="V8" s="7"/>
        <tr r="X11" s="3"/>
      </tp>
      <tp t="e">
        <v>#N/A</v>
        <stp/>
        <stp>BDH|7069627866693186617</stp>
        <tr r="N78" s="18"/>
      </tp>
      <tp t="e">
        <v>#N/A</v>
        <stp/>
        <stp>BDH|4989407572454661195</stp>
        <tr r="Z77" s="24"/>
      </tp>
      <tp t="e">
        <v>#N/A</v>
        <stp/>
        <stp>BDH|5991946338894990986</stp>
        <tr r="G48" s="12"/>
      </tp>
      <tp t="e">
        <v>#N/A</v>
        <stp/>
        <stp>BDH|1389739078272408189</stp>
        <tr r="R88" s="12"/>
      </tp>
      <tp t="e">
        <v>#N/A</v>
        <stp/>
        <stp>BDH|3725618208301861625</stp>
        <tr r="P59" s="34"/>
      </tp>
      <tp t="e">
        <v>#N/A</v>
        <stp/>
        <stp>BDH|3662596623831835701</stp>
        <tr r="D69" s="10"/>
      </tp>
      <tp t="e">
        <v>#N/A</v>
        <stp/>
        <stp>BDH|8213698883845833148</stp>
        <tr r="P78" s="24"/>
      </tp>
      <tp t="e">
        <v>#N/A</v>
        <stp/>
        <stp>BDH|7997418142986901372</stp>
        <tr r="D44" s="21"/>
      </tp>
      <tp t="e">
        <v>#N/A</v>
        <stp/>
        <stp>BDH|3261548563674512644</stp>
        <tr r="S41" s="29"/>
        <tr r="S18" s="29"/>
      </tp>
      <tp t="e">
        <v>#N/A</v>
        <stp/>
        <stp>BDH|4261839683572521435</stp>
        <tr r="X33" s="24"/>
      </tp>
      <tp t="e">
        <v>#N/A</v>
        <stp/>
        <stp>BDH|6487723729335274493</stp>
        <tr r="S169" s="18"/>
      </tp>
      <tp t="e">
        <v>#N/A</v>
        <stp/>
        <stp>BDH|7414445041882665736</stp>
        <tr r="P73" s="34"/>
      </tp>
      <tp t="e">
        <v>#N/A</v>
        <stp/>
        <stp>BDH|2815590459024483486</stp>
        <tr r="M43" s="11"/>
        <tr r="M52" s="10"/>
        <tr r="M15" s="7"/>
      </tp>
      <tp t="e">
        <v>#N/A</v>
        <stp/>
        <stp>BDH|6334472426725482721</stp>
        <tr r="X18" s="34"/>
      </tp>
      <tp t="e">
        <v>#N/A</v>
        <stp/>
        <stp>BDH|8162640300878976486</stp>
        <tr r="K20" s="34"/>
      </tp>
      <tp t="e">
        <v>#N/A</v>
        <stp/>
        <stp>BDH|8364960226022209359</stp>
        <tr r="P39" s="26"/>
      </tp>
      <tp t="e">
        <v>#N/A</v>
        <stp/>
        <stp>BDH|4249233008082818659</stp>
        <tr r="C209" s="18"/>
      </tp>
      <tp t="e">
        <v>#N/A</v>
        <stp/>
        <stp>BDH|5593741255254849180</stp>
        <tr r="W7" s="9"/>
        <tr r="W7" s="5"/>
        <tr r="Z14" s="3"/>
        <tr r="X7" s="2"/>
      </tp>
      <tp t="e">
        <v>#N/A</v>
        <stp/>
        <stp>BDH|7036234122880181549</stp>
        <tr r="Z42" s="22"/>
      </tp>
      <tp t="e">
        <v>#N/A</v>
        <stp/>
        <stp>BDH|2900801170376820941</stp>
        <tr r="H68" s="34"/>
      </tp>
      <tp t="e">
        <v>#N/A</v>
        <stp/>
        <stp>BDH|8460216609718010097</stp>
        <tr r="J94" s="17"/>
      </tp>
      <tp t="e">
        <v>#N/A</v>
        <stp/>
        <stp>BDH|7205048323744490347</stp>
        <tr r="Y201" s="18"/>
      </tp>
      <tp t="e">
        <v>#N/A</v>
        <stp/>
        <stp>BDH|2535811203381783958</stp>
        <tr r="L30" s="18"/>
      </tp>
      <tp t="e">
        <v>#N/A</v>
        <stp/>
        <stp>BDH|4372076465386057646</stp>
        <tr r="F8" s="21"/>
      </tp>
      <tp t="e">
        <v>#N/A</v>
        <stp/>
        <stp>BDH|7543446958402940653</stp>
        <tr r="X82" s="18"/>
      </tp>
      <tp t="e">
        <v>#N/A</v>
        <stp/>
        <stp>BDH|5797069045991599240</stp>
        <tr r="F39" s="24"/>
      </tp>
      <tp t="e">
        <v>#N/A</v>
        <stp/>
        <stp>BDH|3774144755046177324</stp>
        <tr r="I32" s="9"/>
      </tp>
      <tp t="e">
        <v>#N/A</v>
        <stp/>
        <stp>BDH|7015926555358629146</stp>
        <tr r="Z68" s="18"/>
      </tp>
      <tp t="e">
        <v>#N/A</v>
        <stp/>
        <stp>BDH|9762839650820722666</stp>
        <tr r="F189" s="18"/>
      </tp>
      <tp t="e">
        <v>#N/A</v>
        <stp/>
        <stp>BDH|1995117520800817054</stp>
        <tr r="J79" s="17"/>
        <tr r="G9" s="9"/>
        <tr r="G9" s="5"/>
      </tp>
      <tp t="e">
        <v>#N/A</v>
        <stp/>
        <stp>BDH|8246709553808754033</stp>
        <tr r="L15" s="12"/>
      </tp>
      <tp t="e">
        <v>#N/A</v>
        <stp/>
        <stp>BDH|9865730728788459627</stp>
        <tr r="M17" s="13"/>
      </tp>
      <tp t="e">
        <v>#N/A</v>
        <stp/>
        <stp>BDH|1791704825377480135</stp>
        <tr r="Y83" s="18"/>
      </tp>
      <tp t="e">
        <v>#N/A</v>
        <stp/>
        <stp>BDH|1390422514155308339</stp>
        <tr r="Q25" s="11"/>
        <tr r="Q34" s="10"/>
      </tp>
      <tp t="e">
        <v>#N/A</v>
        <stp/>
        <stp>BDH|6926473062763959500</stp>
        <tr r="X19" s="10"/>
      </tp>
      <tp t="e">
        <v>#N/A</v>
        <stp/>
        <stp>BDH|1566799579717099402</stp>
        <tr r="Z34" s="26"/>
      </tp>
      <tp t="e">
        <v>#N/A</v>
        <stp/>
        <stp>BDH|5614514142161259723</stp>
        <tr r="N7" s="30"/>
      </tp>
      <tp t="e">
        <v>#N/A</v>
        <stp/>
        <stp>BDH|4611405032335402452</stp>
        <tr r="D21" s="14"/>
      </tp>
      <tp t="e">
        <v>#N/A</v>
        <stp/>
        <stp>BDH|4567102834374339071</stp>
        <tr r="C66" s="18"/>
      </tp>
      <tp t="e">
        <v>#N/A</v>
        <stp/>
        <stp>BDH|5881693780439338079</stp>
        <tr r="R19" s="10"/>
      </tp>
      <tp t="e">
        <v>#N/A</v>
        <stp/>
        <stp>BDH|2134850888718128882</stp>
        <tr r="H33" s="6"/>
      </tp>
      <tp t="e">
        <v>#N/A</v>
        <stp/>
        <stp>BDH|7148495959750475405</stp>
        <tr r="X211" s="18"/>
      </tp>
      <tp t="e">
        <v>#N/A</v>
        <stp/>
        <stp>BDH|5319339035932838586</stp>
        <tr r="D32" s="9"/>
      </tp>
      <tp t="e">
        <v>#N/A</v>
        <stp/>
        <stp>BDH|2607018358173990634</stp>
        <tr r="W60" s="13"/>
      </tp>
      <tp t="e">
        <v>#N/A</v>
        <stp/>
        <stp>BDH|6367166831555725363</stp>
        <tr r="I57" s="18"/>
      </tp>
      <tp t="e">
        <v>#N/A</v>
        <stp/>
        <stp>BDH|3705597849104118430</stp>
        <tr r="R9" s="17"/>
      </tp>
      <tp t="e">
        <v>#N/A</v>
        <stp/>
        <stp>BDH|9491969106551969384</stp>
        <tr r="C22" s="24"/>
      </tp>
      <tp t="e">
        <v>#N/A</v>
        <stp/>
        <stp>BDH|7788262814080485645</stp>
        <tr r="C29" s="6"/>
      </tp>
      <tp t="e">
        <v>#N/A</v>
        <stp/>
        <stp>BDH|1391428972774671406</stp>
        <tr r="U46" s="22"/>
      </tp>
      <tp t="e">
        <v>#N/A</v>
        <stp/>
        <stp>BDH|8001720072589507302</stp>
        <tr r="P41" s="11"/>
        <tr r="P50" s="10"/>
        <tr r="P8" s="7"/>
        <tr r="R11" s="3"/>
      </tp>
      <tp t="e">
        <v>#N/A</v>
        <stp/>
        <stp>BDH|4740567746781427661</stp>
        <tr r="H7" s="4"/>
      </tp>
      <tp t="e">
        <v>#N/A</v>
        <stp/>
        <stp>BDH|6875237560694778497</stp>
        <tr r="E34" s="14"/>
      </tp>
      <tp t="e">
        <v>#N/A</v>
        <stp/>
        <stp>BDH|5292579632447522670</stp>
        <tr r="K17" s="6"/>
      </tp>
      <tp t="e">
        <v>#N/A</v>
        <stp/>
        <stp>BDH|1706568974717858683</stp>
        <tr r="L168" s="18"/>
      </tp>
      <tp t="e">
        <v>#N/A</v>
        <stp/>
        <stp>BDH|7000348547600514236</stp>
        <tr r="J58" s="6"/>
      </tp>
      <tp t="e">
        <v>#N/A</v>
        <stp/>
        <stp>BDH|3227355123617314729</stp>
        <tr r="Z15" s="13"/>
      </tp>
      <tp t="e">
        <v>#N/A</v>
        <stp/>
        <stp>BDH|9359811381762280942</stp>
        <tr r="C94" s="17"/>
      </tp>
      <tp t="e">
        <v>#N/A</v>
        <stp/>
        <stp>BDH|1426095267186993366</stp>
        <tr r="K139" s="18"/>
      </tp>
      <tp t="e">
        <v>#N/A</v>
        <stp/>
        <stp>BDH|5835251118731358539</stp>
        <tr r="K8" s="27"/>
      </tp>
      <tp t="e">
        <v>#N/A</v>
        <stp/>
        <stp>BDH|8641976277222718648</stp>
        <tr r="H188" s="18"/>
      </tp>
      <tp t="e">
        <v>#N/A</v>
        <stp/>
        <stp>BDH|4606484388569713348</stp>
        <tr r="E23" s="22"/>
      </tp>
      <tp t="e">
        <v>#N/A</v>
        <stp/>
        <stp>BDH|5273099948342472122</stp>
        <tr r="N62" s="11"/>
        <tr r="N71" s="10"/>
      </tp>
      <tp t="e">
        <v>#N/A</v>
        <stp/>
        <stp>BDH|7384357909274955230</stp>
        <tr r="W23" s="23"/>
      </tp>
      <tp t="e">
        <v>#N/A</v>
        <stp/>
        <stp>BDH|9003401607038682742</stp>
        <tr r="G72" s="34"/>
      </tp>
      <tp t="e">
        <v>#N/A</v>
        <stp/>
        <stp>BDH|9050069283731055205</stp>
        <tr r="Q10" s="34"/>
      </tp>
      <tp t="e">
        <v>#N/A</v>
        <stp/>
        <stp>BDH|9695152587702916086</stp>
        <tr r="M21" s="14"/>
      </tp>
      <tp t="e">
        <v>#N/A</v>
        <stp/>
        <stp>BDH|5263024735643461749</stp>
        <tr r="W12" s="24"/>
      </tp>
      <tp t="e">
        <v>#N/A</v>
        <stp/>
        <stp>BDH|3760478131563659525</stp>
        <tr r="Q37" s="22"/>
      </tp>
      <tp t="e">
        <v>#N/A</v>
        <stp/>
        <stp>BDH|3514538918482812736</stp>
        <tr r="L64" s="13"/>
      </tp>
      <tp t="e">
        <v>#N/A</v>
        <stp/>
        <stp>BDH|3497625956240646230</stp>
        <tr r="Q20" s="14"/>
      </tp>
      <tp t="e">
        <v>#N/A</v>
        <stp/>
        <stp>BDH|4652463617596597570</stp>
        <tr r="M13" s="13"/>
      </tp>
      <tp t="e">
        <v>#N/A</v>
        <stp/>
        <stp>BDH|2335725307146199124</stp>
        <tr r="P23" s="22"/>
      </tp>
      <tp t="e">
        <v>#N/A</v>
        <stp/>
        <stp>BDH|6777304032945237124</stp>
        <tr r="R21" s="3"/>
      </tp>
      <tp t="e">
        <v>#N/A</v>
        <stp/>
        <stp>BDH|8274412366909473146</stp>
        <tr r="O25" s="29"/>
        <tr r="O19" s="29"/>
        <tr r="O10" s="29"/>
        <tr r="M6" s="9"/>
        <tr r="O12" s="8"/>
        <tr r="M6" s="5"/>
        <tr r="N6" s="2"/>
      </tp>
      <tp t="e">
        <v>#N/A</v>
        <stp/>
        <stp>BDH|9644515375319280056</stp>
        <tr r="S81" s="34"/>
      </tp>
      <tp t="e">
        <v>#N/A</v>
        <stp/>
        <stp>BDH|9357439791166356074</stp>
        <tr r="K20" s="17"/>
      </tp>
      <tp t="e">
        <v>#N/A</v>
        <stp/>
        <stp>BDH|4706338148262838315</stp>
        <tr r="U9" s="25"/>
        <tr r="U44" s="17"/>
      </tp>
      <tp t="e">
        <v>#N/A</v>
        <stp/>
        <stp>BDH|9178563895993230452</stp>
        <tr r="E72" s="12"/>
      </tp>
      <tp t="e">
        <v>#N/A</v>
        <stp/>
        <stp>BDH|7759571664084293232</stp>
        <tr r="E179" s="18"/>
      </tp>
      <tp t="e">
        <v>#N/A</v>
        <stp/>
        <stp>BDH|4110008472151213046</stp>
        <tr r="S47" s="17"/>
      </tp>
      <tp t="e">
        <v>#N/A</v>
        <stp/>
        <stp>BDH|6987084073336577527</stp>
        <tr r="F78" s="24"/>
      </tp>
      <tp t="e">
        <v>#N/A</v>
        <stp/>
        <stp>BDH|1266568763785747552</stp>
        <tr r="R36" s="22"/>
      </tp>
      <tp t="e">
        <v>#N/A</v>
        <stp/>
        <stp>BDH|3707411888688318589</stp>
        <tr r="O49" s="12"/>
      </tp>
      <tp t="e">
        <v>#N/A</v>
        <stp/>
        <stp>BDH|3604256808092701198</stp>
        <tr r="E59" s="34"/>
      </tp>
      <tp t="e">
        <v>#N/A</v>
        <stp/>
        <stp>BDH|2494157702145682409</stp>
        <tr r="Y41" s="34"/>
      </tp>
      <tp t="e">
        <v>#N/A</v>
        <stp/>
        <stp>BDH|3896556198179380438</stp>
        <tr r="AA85" s="18"/>
      </tp>
      <tp t="e">
        <v>#N/A</v>
        <stp/>
        <stp>BDH|76317314869341429</stp>
        <tr r="H168" s="18"/>
      </tp>
      <tp t="e">
        <v>#N/A</v>
        <stp/>
        <stp>BDH|79568593287320480</stp>
        <tr r="Y75" s="12"/>
      </tp>
      <tp t="e">
        <v>#N/A</v>
        <stp/>
        <stp>BDH|34737209271271961</stp>
        <tr r="S42" s="4"/>
      </tp>
      <tp t="e">
        <v>#N/A</v>
        <stp/>
        <stp>BDH|97435159236460823</stp>
        <tr r="J16" s="12"/>
      </tp>
      <tp t="e">
        <v>#N/A</v>
        <stp/>
        <stp>BDH|66926135714568186</stp>
        <tr r="U130" s="18"/>
      </tp>
      <tp t="e">
        <v>#N/A</v>
        <stp/>
        <stp>BDH|62813836712871654</stp>
        <tr r="J57" s="6"/>
      </tp>
      <tp t="e">
        <v>#N/A</v>
        <stp/>
        <stp>BDH|39710804129843149</stp>
        <tr r="J55" s="21"/>
      </tp>
      <tp t="e">
        <v>#N/A</v>
        <stp/>
        <stp>BDH|1946954193657116546</stp>
        <tr r="D26" s="21"/>
      </tp>
      <tp t="e">
        <v>#N/A</v>
        <stp/>
        <stp>BDH|6347665596733160981</stp>
        <tr r="M89" s="17"/>
      </tp>
      <tp t="e">
        <v>#N/A</v>
        <stp/>
        <stp>BDH|9954099736718496182</stp>
        <tr r="Q50" s="13"/>
      </tp>
      <tp t="e">
        <v>#N/A</v>
        <stp/>
        <stp>BDH|7767631108924289646</stp>
        <tr r="Y60" s="12"/>
      </tp>
      <tp t="e">
        <v>#N/A</v>
        <stp/>
        <stp>BDH|6259220353435876716</stp>
        <tr r="Y18" s="12"/>
      </tp>
      <tp t="e">
        <v>#N/A</v>
        <stp/>
        <stp>BDH|4924424773733065724</stp>
        <tr r="U71" s="34"/>
      </tp>
      <tp t="e">
        <v>#N/A</v>
        <stp/>
        <stp>BDH|6731162476497879451</stp>
        <tr r="S96" s="18"/>
      </tp>
      <tp t="e">
        <v>#N/A</v>
        <stp/>
        <stp>BDH|9550930924546128791</stp>
        <tr r="X25" s="21"/>
      </tp>
      <tp t="e">
        <v>#N/A</v>
        <stp/>
        <stp>BDH|1263253007413329390</stp>
        <tr r="R38" s="22"/>
      </tp>
      <tp t="e">
        <v>#N/A</v>
        <stp/>
        <stp>BDH|6732284542243217056</stp>
        <tr r="V115" s="12"/>
      </tp>
      <tp t="e">
        <v>#N/A</v>
        <stp/>
        <stp>BDH|4536192750713337057</stp>
        <tr r="E11" s="17"/>
      </tp>
      <tp t="e">
        <v>#N/A</v>
        <stp/>
        <stp>BDH|1412222129040515200</stp>
        <tr r="H209" s="18"/>
      </tp>
      <tp t="e">
        <v>#N/A</v>
        <stp/>
        <stp>BDH|5475137373682943270</stp>
        <tr r="D116" s="12"/>
      </tp>
      <tp t="e">
        <v>#N/A</v>
        <stp/>
        <stp>BDH|5209305299614624873</stp>
        <tr r="F29" s="18"/>
      </tp>
      <tp t="e">
        <v>#N/A</v>
        <stp/>
        <stp>BDH|6473420787880252998</stp>
        <tr r="L137" s="18"/>
      </tp>
      <tp t="e">
        <v>#N/A</v>
        <stp/>
        <stp>BDH|5043989183930828794</stp>
        <tr r="Y91" s="17"/>
      </tp>
      <tp t="e">
        <v>#N/A</v>
        <stp/>
        <stp>BDH|7775561853104917014</stp>
        <tr r="J49" s="18"/>
      </tp>
      <tp t="e">
        <v>#N/A</v>
        <stp/>
        <stp>BDH|2586575869052997081</stp>
        <tr r="R12" s="10"/>
      </tp>
      <tp t="e">
        <v>#N/A</v>
        <stp/>
        <stp>BDH|4734632936557193598</stp>
        <tr r="T14" s="22"/>
      </tp>
      <tp t="e">
        <v>#N/A</v>
        <stp/>
        <stp>BDH|5502086660118133860</stp>
        <tr r="F34" s="13"/>
        <tr r="D27" s="10"/>
      </tp>
      <tp t="e">
        <v>#N/A</v>
        <stp/>
        <stp>BDH|8998738103308077431</stp>
        <tr r="F32" s="29"/>
        <tr r="D34" s="5"/>
      </tp>
      <tp t="e">
        <v>#N/A</v>
        <stp/>
        <stp>BDH|3987139425142663131</stp>
        <tr r="D56" s="11"/>
        <tr r="D24" s="4"/>
      </tp>
      <tp t="e">
        <v>#N/A</v>
        <stp/>
        <stp>BDH|3971614549513810130</stp>
        <tr r="AA19" s="21"/>
        <tr r="AA23" s="3"/>
        <tr r="Y23" s="2"/>
      </tp>
      <tp t="e">
        <v>#N/A</v>
        <stp/>
        <stp>BDH|8579289039869818360</stp>
        <tr r="U23" s="21"/>
      </tp>
      <tp t="e">
        <v>#N/A</v>
        <stp/>
        <stp>BDH|1933229845955322176</stp>
        <tr r="U20" s="28"/>
        <tr r="U17" s="17"/>
      </tp>
      <tp t="e">
        <v>#N/A</v>
        <stp/>
        <stp>BDH|8729656653000251896</stp>
        <tr r="N38" s="34"/>
      </tp>
      <tp t="e">
        <v>#N/A</v>
        <stp/>
        <stp>BDH|1660117109661212260</stp>
        <tr r="F93" s="12"/>
      </tp>
      <tp t="e">
        <v>#N/A</v>
        <stp/>
        <stp>BDH|2805294949131029621</stp>
        <tr r="Z35" s="26"/>
      </tp>
      <tp t="e">
        <v>#N/A</v>
        <stp/>
        <stp>BDH|3503202078375765001</stp>
        <tr r="S113" s="18"/>
      </tp>
      <tp t="e">
        <v>#N/A</v>
        <stp/>
        <stp>BDH|5896964684354530354</stp>
        <tr r="U94" s="24"/>
      </tp>
      <tp t="e">
        <v>#N/A</v>
        <stp/>
        <stp>BDH|5815468514706803587</stp>
        <tr r="O56" s="18"/>
      </tp>
      <tp t="e">
        <v>#N/A</v>
        <stp/>
        <stp>BDH|7697091775374924790</stp>
        <tr r="Y83" s="24"/>
      </tp>
      <tp t="e">
        <v>#N/A</v>
        <stp/>
        <stp>BDH|9827015121821779951</stp>
        <tr r="V24" s="17"/>
      </tp>
      <tp t="e">
        <v>#N/A</v>
        <stp/>
        <stp>BDH|5973683073475893201</stp>
        <tr r="Q23" s="26"/>
      </tp>
      <tp t="e">
        <v>#N/A</v>
        <stp/>
        <stp>BDH|5821309970707114535</stp>
        <tr r="X16" s="24"/>
      </tp>
      <tp t="e">
        <v>#N/A</v>
        <stp/>
        <stp>BDH|3082051569191473727</stp>
        <tr r="J7" s="21"/>
      </tp>
      <tp t="e">
        <v>#N/A</v>
        <stp/>
        <stp>BDH|3576839184685902510</stp>
        <tr r="U64" s="21"/>
      </tp>
      <tp t="e">
        <v>#N/A</v>
        <stp/>
        <stp>BDH|5754155368861031000</stp>
        <tr r="D33" s="14"/>
      </tp>
      <tp t="e">
        <v>#N/A</v>
        <stp/>
        <stp>BDH|8807555744603301908</stp>
        <tr r="R47" s="13"/>
      </tp>
      <tp t="e">
        <v>#N/A</v>
        <stp/>
        <stp>BDH|9089285193772821393</stp>
        <tr r="S144" s="18"/>
      </tp>
      <tp t="e">
        <v>#N/A</v>
        <stp/>
        <stp>BDH|2094961052519974470</stp>
        <tr r="L10" s="21"/>
      </tp>
      <tp t="e">
        <v>#N/A</v>
        <stp/>
        <stp>BDH|3909290039512677358</stp>
        <tr r="N51" s="21"/>
      </tp>
      <tp t="e">
        <v>#N/A</v>
        <stp/>
        <stp>BDH|8555527829848791439</stp>
        <tr r="M15" s="10"/>
      </tp>
      <tp t="e">
        <v>#N/A</v>
        <stp/>
        <stp>BDH|8929929464271102543</stp>
        <tr r="Q20" s="29"/>
      </tp>
      <tp t="e">
        <v>#N/A</v>
        <stp/>
        <stp>BDH|1525119588178742313</stp>
        <tr r="W168" s="18"/>
      </tp>
      <tp t="e">
        <v>#N/A</v>
        <stp/>
        <stp>BDH|8643854038841261133</stp>
        <tr r="J34" s="11"/>
        <tr r="J43" s="10"/>
      </tp>
      <tp t="e">
        <v>#N/A</v>
        <stp/>
        <stp>BDH|5593112560824784597</stp>
        <tr r="X21" s="34"/>
      </tp>
      <tp t="e">
        <v>#N/A</v>
        <stp/>
        <stp>BDH|5156827550449096293</stp>
        <tr r="G30" s="11"/>
        <tr r="G39" s="10"/>
      </tp>
      <tp t="e">
        <v>#N/A</v>
        <stp/>
        <stp>BDH|9690826569311500523</stp>
        <tr r="V115" s="18"/>
      </tp>
      <tp t="e">
        <v>#N/A</v>
        <stp/>
        <stp>BDH|1164967388114370768</stp>
        <tr r="V56" s="6"/>
      </tp>
      <tp t="e">
        <v>#N/A</v>
        <stp/>
        <stp>BDH|3233077468235782301</stp>
        <tr r="F66" s="13"/>
      </tp>
      <tp t="e">
        <v>#N/A</v>
        <stp/>
        <stp>BDH|2911640390908433634</stp>
        <tr r="M7" s="20"/>
        <tr r="M117" s="18"/>
      </tp>
      <tp t="e">
        <v>#N/A</v>
        <stp/>
        <stp>BDH|4940100207870434600</stp>
        <tr r="P75" s="24"/>
      </tp>
      <tp t="e">
        <v>#N/A</v>
        <stp/>
        <stp>BDH|8475043467689894454</stp>
        <tr r="H195" s="18"/>
      </tp>
      <tp t="e">
        <v>#N/A</v>
        <stp/>
        <stp>BDH|1943669090648204575</stp>
        <tr r="Q82" s="24"/>
      </tp>
      <tp t="e">
        <v>#N/A</v>
        <stp/>
        <stp>BDH|3107391134963011378</stp>
        <tr r="F85" s="18"/>
      </tp>
      <tp t="e">
        <v>#N/A</v>
        <stp/>
        <stp>BDH|1952326686170161975</stp>
        <tr r="N93" s="18"/>
      </tp>
      <tp t="e">
        <v>#N/A</v>
        <stp/>
        <stp>BDH|8165872636292947223</stp>
        <tr r="T165" s="18"/>
      </tp>
      <tp t="e">
        <v>#N/A</v>
        <stp/>
        <stp>BDH|5061112666098971952</stp>
        <tr r="P60" s="17"/>
      </tp>
      <tp t="e">
        <v>#N/A</v>
        <stp/>
        <stp>BDH|7947892396580463594</stp>
        <tr r="J33" s="14"/>
      </tp>
      <tp t="e">
        <v>#N/A</v>
        <stp/>
        <stp>BDH|8759941783263841933</stp>
        <tr r="F41" s="22"/>
      </tp>
      <tp t="e">
        <v>#N/A</v>
        <stp/>
        <stp>BDH|7830062237233228401</stp>
        <tr r="P12" s="11"/>
      </tp>
      <tp t="e">
        <v>#N/A</v>
        <stp/>
        <stp>BDH|7976861387886188225</stp>
        <tr r="D41" s="24"/>
      </tp>
      <tp t="e">
        <v>#N/A</v>
        <stp/>
        <stp>BDH|7537352315040742697</stp>
        <tr r="H43" s="11"/>
        <tr r="H52" s="10"/>
        <tr r="H15" s="7"/>
      </tp>
      <tp t="e">
        <v>#N/A</v>
        <stp/>
        <stp>BDH|1445023034016104782</stp>
        <tr r="V36" s="22"/>
      </tp>
      <tp t="e">
        <v>#N/A</v>
        <stp/>
        <stp>BDH|2059432742126360795</stp>
        <tr r="N12" s="25"/>
      </tp>
      <tp t="e">
        <v>#N/A</v>
        <stp/>
        <stp>BDH|4691478244713702492</stp>
        <tr r="M27" s="21"/>
      </tp>
      <tp t="e">
        <v>#N/A</v>
        <stp/>
        <stp>BDH|4250635718840151039</stp>
        <tr r="S61" s="12"/>
      </tp>
      <tp t="e">
        <v>#N/A</v>
        <stp/>
        <stp>BDH|5420354959858093833</stp>
        <tr r="V38" s="12"/>
      </tp>
      <tp t="e">
        <v>#N/A</v>
        <stp/>
        <stp>BDH|4789382437880351700</stp>
        <tr r="N10" s="17"/>
      </tp>
      <tp t="e">
        <v>#N/A</v>
        <stp/>
        <stp>BDH|7966651024607723744</stp>
        <tr r="G70" s="17"/>
        <tr r="G18" s="3"/>
      </tp>
      <tp t="e">
        <v>#N/A</v>
        <stp/>
        <stp>BDH|1912171525686737772</stp>
        <tr r="W35" s="14"/>
      </tp>
      <tp t="e">
        <v>#N/A</v>
        <stp/>
        <stp>BDH|8430719139278681716</stp>
        <tr r="D144" s="18"/>
      </tp>
      <tp t="e">
        <v>#N/A</v>
        <stp/>
        <stp>BDH|1065258650152807769</stp>
        <tr r="P14" s="27"/>
        <tr r="P28" s="25"/>
      </tp>
      <tp t="e">
        <v>#N/A</v>
        <stp/>
        <stp>BDH|9820450562119068143</stp>
        <tr r="Q36" s="6"/>
        <tr r="Q17" s="5"/>
      </tp>
      <tp t="e">
        <v>#N/A</v>
        <stp/>
        <stp>BDH|6706529976942019588</stp>
        <tr r="L55" s="21"/>
      </tp>
      <tp t="e">
        <v>#N/A</v>
        <stp/>
        <stp>BDH|7274841484123191787</stp>
        <tr r="Q12" s="13"/>
      </tp>
      <tp t="e">
        <v>#N/A</v>
        <stp/>
        <stp>BDH|1584717970783728183</stp>
        <tr r="AA44" s="34"/>
      </tp>
      <tp t="e">
        <v>#N/A</v>
        <stp/>
        <stp>BDH|1986123955026660034</stp>
        <tr r="X24" s="20"/>
      </tp>
      <tp t="e">
        <v>#N/A</v>
        <stp/>
        <stp>BDH|7316605935846874752</stp>
        <tr r="Y69" s="17"/>
      </tp>
      <tp t="e">
        <v>#N/A</v>
        <stp/>
        <stp>BDH|3327636338744296112</stp>
        <tr r="D18" s="11"/>
      </tp>
      <tp t="e">
        <v>#N/A</v>
        <stp/>
        <stp>BDH|4616286356973064330</stp>
        <tr r="G28" s="18"/>
      </tp>
      <tp t="e">
        <v>#N/A</v>
        <stp/>
        <stp>BDH|2395003118651858181</stp>
        <tr r="N14" s="6"/>
      </tp>
      <tp t="e">
        <v>#N/A</v>
        <stp/>
        <stp>BDH|8983943803693738126</stp>
        <tr r="Z12" s="13"/>
      </tp>
      <tp t="e">
        <v>#N/A</v>
        <stp/>
        <stp>BDH|3526030638877396469</stp>
        <tr r="X26" s="6"/>
      </tp>
      <tp t="e">
        <v>#N/A</v>
        <stp/>
        <stp>BDH|5351586927171691011</stp>
        <tr r="S33" s="6"/>
      </tp>
      <tp t="e">
        <v>#N/A</v>
        <stp/>
        <stp>BDH|8836978761000507406</stp>
        <tr r="H10" s="10"/>
      </tp>
      <tp t="e">
        <v>#N/A</v>
        <stp/>
        <stp>BDH|9987254073357460804</stp>
        <tr r="T9" s="28"/>
      </tp>
      <tp t="e">
        <v>#N/A</v>
        <stp/>
        <stp>BDH|4523736956122885730</stp>
        <tr r="Z210" s="18"/>
      </tp>
      <tp t="e">
        <v>#N/A</v>
        <stp/>
        <stp>BDH|5542701721233830078</stp>
        <tr r="Z69" s="17"/>
      </tp>
      <tp t="e">
        <v>#N/A</v>
        <stp/>
        <stp>BDH|3492061854865570088</stp>
        <tr r="K70" s="24"/>
      </tp>
      <tp t="e">
        <v>#N/A</v>
        <stp/>
        <stp>BDH|1047624149887470740</stp>
        <tr r="D24" s="13"/>
      </tp>
      <tp t="e">
        <v>#N/A</v>
        <stp/>
        <stp>BDH|5019327635355592393</stp>
        <tr r="H8" s="34"/>
      </tp>
      <tp t="e">
        <v>#N/A</v>
        <stp/>
        <stp>BDH|1206160330670433084</stp>
        <tr r="H10" s="8"/>
        <tr r="F53" s="6"/>
      </tp>
      <tp t="e">
        <v>#N/A</v>
        <stp/>
        <stp>BDH|4711255449133224216</stp>
        <tr r="V36" s="14"/>
      </tp>
      <tp t="e">
        <v>#N/A</v>
        <stp/>
        <stp>BDH|8134073935009396188</stp>
        <tr r="G64" s="18"/>
      </tp>
      <tp t="e">
        <v>#N/A</v>
        <stp/>
        <stp>BDH|9406337262657535882</stp>
        <tr r="R59" s="24"/>
      </tp>
      <tp t="e">
        <v>#N/A</v>
        <stp/>
        <stp>BDH|1503945989566079507</stp>
        <tr r="Q31" s="12"/>
      </tp>
      <tp t="e">
        <v>#N/A</v>
        <stp/>
        <stp>BDH|2803039681889405061</stp>
        <tr r="V19" s="6"/>
      </tp>
      <tp t="e">
        <v>#N/A</v>
        <stp/>
        <stp>BDH|3397306445506906179</stp>
        <tr r="L13" s="28"/>
        <tr r="L96" s="17"/>
      </tp>
      <tp t="e">
        <v>#N/A</v>
        <stp/>
        <stp>BDH|3525586641455416402</stp>
        <tr r="O15" s="22"/>
      </tp>
      <tp t="e">
        <v>#N/A</v>
        <stp/>
        <stp>BDH|2467539240913676392</stp>
        <tr r="Z9" s="34"/>
      </tp>
      <tp t="e">
        <v>#N/A</v>
        <stp/>
        <stp>BDH|3741781054305739746</stp>
        <tr r="S18" s="10"/>
      </tp>
      <tp t="e">
        <v>#N/A</v>
        <stp/>
        <stp>BDH|5828179716111207739</stp>
        <tr r="R77" s="24"/>
      </tp>
      <tp t="e">
        <v>#N/A</v>
        <stp/>
        <stp>BDH|6652316635071296488</stp>
        <tr r="S182" s="18"/>
      </tp>
      <tp t="e">
        <v>#N/A</v>
        <stp/>
        <stp>BDH|9566945359414344231</stp>
        <tr r="Q25" s="17"/>
      </tp>
      <tp t="e">
        <v>#N/A</v>
        <stp/>
        <stp>BDH|2272246880822629989</stp>
        <tr r="P41" s="24"/>
      </tp>
      <tp t="e">
        <v>#N/A</v>
        <stp/>
        <stp>BDH|9555977265280825570</stp>
        <tr r="H20" s="14"/>
      </tp>
      <tp t="e">
        <v>#N/A</v>
        <stp/>
        <stp>BDH|7257575822641957266</stp>
        <tr r="F17" s="23"/>
      </tp>
      <tp t="e">
        <v>#N/A</v>
        <stp/>
        <stp>BDH|1476040634667408684</stp>
        <tr r="O41" s="17"/>
      </tp>
      <tp t="e">
        <v>#N/A</v>
        <stp/>
        <stp>BDH|6512887256311705941</stp>
        <tr r="Y56" s="18"/>
      </tp>
      <tp t="e">
        <v>#N/A</v>
        <stp/>
        <stp>BDH|5368088975814746516</stp>
        <tr r="J73" s="12"/>
      </tp>
      <tp t="e">
        <v>#N/A</v>
        <stp/>
        <stp>BDH|7711633329697623731</stp>
        <tr r="T30" s="24"/>
      </tp>
      <tp t="e">
        <v>#N/A</v>
        <stp/>
        <stp>BDH|8720965515897495481</stp>
        <tr r="U138" s="18"/>
      </tp>
      <tp t="e">
        <v>#N/A</v>
        <stp/>
        <stp>BDH|8295572129724780832</stp>
        <tr r="L38" s="29"/>
        <tr r="L15" s="29"/>
      </tp>
      <tp t="e">
        <v>#N/A</v>
        <stp/>
        <stp>BDH|4926073912103550513</stp>
        <tr r="W84" s="12"/>
      </tp>
      <tp t="e">
        <v>#N/A</v>
        <stp/>
        <stp>BDH|9298294713708503151</stp>
        <tr r="V21" s="14"/>
      </tp>
      <tp t="e">
        <v>#N/A</v>
        <stp/>
        <stp>BDH|7990535154615002160</stp>
        <tr r="E91" s="24"/>
      </tp>
      <tp t="e">
        <v>#N/A</v>
        <stp/>
        <stp>BDH|1068960114769223389</stp>
        <tr r="J30" s="22"/>
      </tp>
      <tp t="e">
        <v>#N/A</v>
        <stp/>
        <stp>BDH|4185390861350785269</stp>
        <tr r="K32" s="24"/>
      </tp>
      <tp t="e">
        <v>#N/A</v>
        <stp/>
        <stp>BDH|9122526766858594189</stp>
        <tr r="X63" s="13"/>
      </tp>
      <tp t="e">
        <v>#N/A</v>
        <stp/>
        <stp>BDH|5590881787505381319</stp>
        <tr r="S7" s="10"/>
      </tp>
      <tp t="e">
        <v>#N/A</v>
        <stp/>
        <stp>BDH|7071691032734642559</stp>
        <tr r="V35" s="12"/>
      </tp>
      <tp t="e">
        <v>#N/A</v>
        <stp/>
        <stp>BDH|3842121865907156065</stp>
        <tr r="AA186" s="18"/>
      </tp>
      <tp t="e">
        <v>#N/A</v>
        <stp/>
        <stp>BDH|6783644202754838714</stp>
        <tr r="L151" s="18"/>
      </tp>
      <tp t="e">
        <v>#N/A</v>
        <stp/>
        <stp>BDH|4741283812964717020</stp>
        <tr r="L131" s="18"/>
      </tp>
      <tp t="e">
        <v>#N/A</v>
        <stp/>
        <stp>BDH|7992755277154271014</stp>
        <tr r="O29" s="29"/>
        <tr r="O7" s="29"/>
      </tp>
      <tp t="e">
        <v>#N/A</v>
        <stp/>
        <stp>BDH|6833293824465921048</stp>
        <tr r="C77" s="34"/>
      </tp>
      <tp t="e">
        <v>#N/A</v>
        <stp/>
        <stp>BDH|6605494987858734171</stp>
        <tr r="C153" s="18"/>
      </tp>
      <tp t="e">
        <v>#N/A</v>
        <stp/>
        <stp>BDH|6559309253620747390</stp>
        <tr r="H7" s="27"/>
        <tr r="H95" s="17"/>
      </tp>
      <tp t="e">
        <v>#N/A</v>
        <stp/>
        <stp>BDH|5102118161240020189</stp>
        <tr r="V42" s="18"/>
      </tp>
      <tp t="e">
        <v>#N/A</v>
        <stp/>
        <stp>BDH|6823344430255564002</stp>
        <tr r="E146" s="18"/>
      </tp>
      <tp t="e">
        <v>#N/A</v>
        <stp/>
        <stp>BDH|6772590266300448650</stp>
        <tr r="Z30" s="18"/>
      </tp>
      <tp t="e">
        <v>#N/A</v>
        <stp/>
        <stp>BDH|3030163089271744815</stp>
        <tr r="N10" s="12"/>
      </tp>
      <tp t="e">
        <v>#N/A</v>
        <stp/>
        <stp>BDH|6998367123942501604</stp>
        <tr r="G16" s="10"/>
      </tp>
      <tp t="e">
        <v>#N/A</v>
        <stp/>
        <stp>BDH|3234773572787822766</stp>
        <tr r="E17" s="21"/>
      </tp>
      <tp t="e">
        <v>#N/A</v>
        <stp/>
        <stp>BDH|6979903797973599626</stp>
        <tr r="R32" s="6"/>
      </tp>
      <tp t="e">
        <v>#N/A</v>
        <stp/>
        <stp>BDH|9623422708457151943</stp>
        <tr r="G64" s="11"/>
        <tr r="G73" s="10"/>
      </tp>
      <tp t="e">
        <v>#N/A</v>
        <stp/>
        <stp>BDH|3132780419645069391</stp>
        <tr r="T7" s="8"/>
      </tp>
      <tp t="e">
        <v>#N/A</v>
        <stp/>
        <stp>BDH|6740524669203461511</stp>
        <tr r="L30" s="26"/>
      </tp>
      <tp t="e">
        <v>#N/A</v>
        <stp/>
        <stp>BDH|8938843137049332906</stp>
        <tr r="V62" s="13"/>
      </tp>
      <tp t="e">
        <v>#N/A</v>
        <stp/>
        <stp>BDH|6256298693819884799</stp>
        <tr r="Q66" s="17"/>
      </tp>
      <tp t="e">
        <v>#N/A</v>
        <stp/>
        <stp>BDH|7320828131567187883</stp>
        <tr r="V20" s="26"/>
      </tp>
      <tp t="e">
        <v>#N/A</v>
        <stp/>
        <stp>BDH|4329594870073414673</stp>
        <tr r="T8" s="26"/>
        <tr r="Q10" s="9"/>
      </tp>
      <tp t="e">
        <v>#N/A</v>
        <stp/>
        <stp>BDH|1974223426543047141</stp>
        <tr r="P82" s="18"/>
      </tp>
      <tp t="e">
        <v>#N/A</v>
        <stp/>
        <stp>BDH|5471115306635949234</stp>
        <tr r="O65" s="12"/>
      </tp>
      <tp t="e">
        <v>#N/A</v>
        <stp/>
        <stp>BDH|1048374331517770586</stp>
        <tr r="X46" s="17"/>
      </tp>
      <tp t="e">
        <v>#N/A</v>
        <stp/>
        <stp>BDH|2501568206302887644</stp>
        <tr r="K19" s="6"/>
      </tp>
      <tp t="e">
        <v>#N/A</v>
        <stp/>
        <stp>BDH|3440302923540928176</stp>
        <tr r="F33" s="17"/>
      </tp>
      <tp t="e">
        <v>#N/A</v>
        <stp/>
        <stp>BDH|1436235113001511080</stp>
        <tr r="O59" s="13"/>
      </tp>
      <tp t="e">
        <v>#N/A</v>
        <stp/>
        <stp>BDH|6349359947745887705</stp>
        <tr r="V32" s="18"/>
      </tp>
      <tp t="e">
        <v>#N/A</v>
        <stp/>
        <stp>BDH|6487026851497845769</stp>
        <tr r="D29" s="22"/>
      </tp>
      <tp t="e">
        <v>#N/A</v>
        <stp/>
        <stp>BDH|1536491343692130070</stp>
        <tr r="X69" s="13"/>
      </tp>
      <tp t="e">
        <v>#N/A</v>
        <stp/>
        <stp>BDH|6433040038663539541</stp>
        <tr r="T35" s="24"/>
      </tp>
      <tp t="e">
        <v>#N/A</v>
        <stp/>
        <stp>BDH|9457549997616992074</stp>
        <tr r="I15" s="13"/>
      </tp>
      <tp t="e">
        <v>#N/A</v>
        <stp/>
        <stp>BDH|5123652915705094489</stp>
        <tr r="X95" s="18"/>
      </tp>
      <tp t="e">
        <v>#N/A</v>
        <stp/>
        <stp>BDH|4353585541556476074</stp>
        <tr r="W51" s="21"/>
      </tp>
      <tp t="e">
        <v>#N/A</v>
        <stp/>
        <stp>BDH|8217297030633164930</stp>
        <tr r="J82" s="12"/>
      </tp>
      <tp t="e">
        <v>#N/A</v>
        <stp/>
        <stp>BDH|3985219304455056759</stp>
        <tr r="J63" s="17"/>
      </tp>
      <tp t="e">
        <v>#N/A</v>
        <stp/>
        <stp>BDH|5406344411927001384</stp>
        <tr r="S9" s="23"/>
      </tp>
      <tp t="e">
        <v>#N/A</v>
        <stp/>
        <stp>BDH|6832646740731495612</stp>
        <tr r="W196" s="18"/>
      </tp>
      <tp t="e">
        <v>#N/A</v>
        <stp/>
        <stp>BDH|1333397980000191924</stp>
        <tr r="U85" s="12"/>
      </tp>
      <tp t="e">
        <v>#N/A</v>
        <stp/>
        <stp>BDH|9501356246074796987</stp>
        <tr r="M146" s="18"/>
      </tp>
      <tp t="e">
        <v>#N/A</v>
        <stp/>
        <stp>BDH|3488321224572274390</stp>
        <tr r="C137" s="18"/>
      </tp>
      <tp t="e">
        <v>#N/A</v>
        <stp/>
        <stp>BDH|4101496125220768139</stp>
        <tr r="Z18" s="27"/>
        <tr r="Z32" s="25"/>
      </tp>
      <tp t="e">
        <v>#N/A</v>
        <stp/>
        <stp>BDH|8425811586488993335</stp>
        <tr r="V125" s="12"/>
      </tp>
      <tp t="e">
        <v>#N/A</v>
        <stp/>
        <stp>BDH|9067124324800783988</stp>
        <tr r="L54" s="17"/>
        <tr r="L17" s="3"/>
      </tp>
      <tp t="e">
        <v>#N/A</v>
        <stp/>
        <stp>BDH|6853075458749790994</stp>
        <tr r="G98" s="17"/>
      </tp>
      <tp t="e">
        <v>#N/A</v>
        <stp/>
        <stp>BDH|6025744350127432099</stp>
        <tr r="R34" s="25"/>
        <tr r="R93" s="17"/>
      </tp>
      <tp t="e">
        <v>#N/A</v>
        <stp/>
        <stp>BDH|3909116005888431900</stp>
        <tr r="T19" s="6"/>
      </tp>
      <tp t="e">
        <v>#N/A</v>
        <stp/>
        <stp>BDH|4043493110373518158</stp>
        <tr r="J33" s="6"/>
      </tp>
      <tp t="e">
        <v>#N/A</v>
        <stp/>
        <stp>BDH|7797687320988438828</stp>
        <tr r="D24" s="12"/>
      </tp>
      <tp t="e">
        <v>#N/A</v>
        <stp/>
        <stp>BDH|5436781472956702007</stp>
        <tr r="F191" s="18"/>
      </tp>
      <tp t="e">
        <v>#N/A</v>
        <stp/>
        <stp>BDH|2918590333486385191</stp>
        <tr r="N100" s="18"/>
      </tp>
      <tp t="e">
        <v>#N/A</v>
        <stp/>
        <stp>BDH|5587280716037753251</stp>
        <tr r="L36" s="13"/>
        <tr r="J29" s="10"/>
      </tp>
      <tp t="e">
        <v>#N/A</v>
        <stp/>
        <stp>BDH|1626997751826482839</stp>
        <tr r="N99" s="18"/>
      </tp>
      <tp t="e">
        <v>#N/A</v>
        <stp/>
        <stp>BDH|4478926484293378588</stp>
        <tr r="W31" s="5"/>
      </tp>
      <tp t="e">
        <v>#N/A</v>
        <stp/>
        <stp>BDH|4357907359802363903</stp>
        <tr r="U69" s="34"/>
      </tp>
      <tp t="e">
        <v>#N/A</v>
        <stp/>
        <stp>BDH|5915658423051054363</stp>
        <tr r="U79" s="17"/>
        <tr r="R9" s="9"/>
        <tr r="R9" s="5"/>
      </tp>
      <tp t="e">
        <v>#N/A</v>
        <stp/>
        <stp>BDH|3977042930586474508</stp>
        <tr r="X13" s="27"/>
        <tr r="X27" s="25"/>
      </tp>
      <tp t="e">
        <v>#N/A</v>
        <stp/>
        <stp>BDH|7560359410144003291</stp>
        <tr r="F70" s="24"/>
      </tp>
      <tp t="e">
        <v>#N/A</v>
        <stp/>
        <stp>BDH|3211986127968522312</stp>
        <tr r="K29" s="34"/>
      </tp>
      <tp t="e">
        <v>#N/A</v>
        <stp/>
        <stp>BDH|3360130438907690578</stp>
        <tr r="M14" s="23"/>
      </tp>
      <tp t="e">
        <v>#N/A</v>
        <stp/>
        <stp>BDH|5426345853305828528</stp>
        <tr r="O75" s="12"/>
      </tp>
      <tp t="e">
        <v>#N/A</v>
        <stp/>
        <stp>BDH|3987666143017366566</stp>
        <tr r="E69" s="12"/>
      </tp>
      <tp t="e">
        <v>#N/A</v>
        <stp/>
        <stp>BDH|6851707520963430356</stp>
        <tr r="E10" s="25"/>
        <tr r="E55" s="17"/>
      </tp>
      <tp t="e">
        <v>#N/A</v>
        <stp/>
        <stp>BDH|6533992892827440233</stp>
        <tr r="J34" s="29"/>
      </tp>
      <tp t="e">
        <v>#N/A</v>
        <stp/>
        <stp>BDH|6266181454534851586</stp>
        <tr r="R25" s="26"/>
      </tp>
      <tp t="e">
        <v>#N/A</v>
        <stp/>
        <stp>BDH|2098587705387399305</stp>
        <tr r="V146" s="18"/>
      </tp>
      <tp t="e">
        <v>#N/A</v>
        <stp/>
        <stp>BDH|9093938138030473016</stp>
        <tr r="R208" s="18"/>
      </tp>
      <tp t="e">
        <v>#N/A</v>
        <stp/>
        <stp>BDH|6692981272853578877</stp>
        <tr r="G38" s="13"/>
        <tr r="E31" s="10"/>
      </tp>
      <tp t="e">
        <v>#N/A</v>
        <stp/>
        <stp>BDH|1748284273704461361</stp>
        <tr r="R47" s="17"/>
      </tp>
      <tp t="e">
        <v>#N/A</v>
        <stp/>
        <stp>BDH|6434739706120800278</stp>
        <tr r="X19" s="26"/>
      </tp>
      <tp t="e">
        <v>#N/A</v>
        <stp/>
        <stp>BDH|3358829128208256258</stp>
        <tr r="H55" s="11"/>
      </tp>
      <tp t="e">
        <v>#N/A</v>
        <stp/>
        <stp>BDH|1830132874594849093</stp>
        <tr r="J16" s="25"/>
      </tp>
      <tp t="e">
        <v>#N/A</v>
        <stp/>
        <stp>BDH|1176671862897947538</stp>
        <tr r="T30" s="11"/>
        <tr r="T39" s="10"/>
      </tp>
      <tp t="e">
        <v>#N/A</v>
        <stp/>
        <stp>BDH|1895948386084665725</stp>
        <tr r="M199" s="18"/>
      </tp>
      <tp t="e">
        <v>#N/A</v>
        <stp/>
        <stp>BDH|1871265298838182197</stp>
        <tr r="R26" s="14"/>
      </tp>
      <tp t="e">
        <v>#N/A</v>
        <stp/>
        <stp>BDH|3166896954764440966</stp>
        <tr r="N32" s="29"/>
        <tr r="L34" s="5"/>
      </tp>
      <tp t="e">
        <v>#N/A</v>
        <stp/>
        <stp>BDH|8533183792361978281</stp>
        <tr r="AA9" s="24"/>
      </tp>
      <tp t="e">
        <v>#N/A</v>
        <stp/>
        <stp>BDH|4884004484867406860</stp>
        <tr r="Z30" s="17"/>
      </tp>
      <tp t="e">
        <v>#N/A</v>
        <stp/>
        <stp>BDH|9973059443636986884</stp>
        <tr r="W187" s="18"/>
      </tp>
      <tp t="e">
        <v>#N/A</v>
        <stp/>
        <stp>BDH|6579891376439474301</stp>
        <tr r="M106" s="12"/>
      </tp>
      <tp t="e">
        <v>#N/A</v>
        <stp/>
        <stp>BDH|8603633887642477786</stp>
        <tr r="N22" s="18"/>
      </tp>
      <tp t="e">
        <v>#N/A</v>
        <stp/>
        <stp>BDH|1824997286804022798</stp>
        <tr r="S34" s="26"/>
      </tp>
      <tp t="e">
        <v>#N/A</v>
        <stp/>
        <stp>BDH|4106924205059150796</stp>
        <tr r="V27" s="26"/>
      </tp>
      <tp t="e">
        <v>#N/A</v>
        <stp/>
        <stp>BDH|1873485645965859739</stp>
        <tr r="S52" s="17"/>
      </tp>
      <tp t="e">
        <v>#N/A</v>
        <stp/>
        <stp>BDH|7429696897413023844</stp>
        <tr r="T82" s="18"/>
      </tp>
      <tp t="e">
        <v>#N/A</v>
        <stp/>
        <stp>BDH|9560063390880815355</stp>
        <tr r="S92" s="24"/>
      </tp>
      <tp t="e">
        <v>#N/A</v>
        <stp/>
        <stp>BDH|6806265485857003855</stp>
        <tr r="D64" s="18"/>
      </tp>
      <tp t="e">
        <v>#N/A</v>
        <stp/>
        <stp>BDH|6418895880824627156</stp>
        <tr r="P28" s="6"/>
      </tp>
      <tp t="e">
        <v>#N/A</v>
        <stp/>
        <stp>BDH|9224607410544502998</stp>
        <tr r="N25" s="13"/>
      </tp>
      <tp t="e">
        <v>#N/A</v>
        <stp/>
        <stp>BDH|7717936050941344992</stp>
        <tr r="Z186" s="18"/>
      </tp>
      <tp t="e">
        <v>#N/A</v>
        <stp/>
        <stp>BDH|9508253197466898715</stp>
        <tr r="W20" s="27"/>
      </tp>
      <tp t="e">
        <v>#N/A</v>
        <stp/>
        <stp>BDH|1218993193110086260</stp>
        <tr r="F7" s="17"/>
      </tp>
      <tp t="e">
        <v>#N/A</v>
        <stp/>
        <stp>BDH|3186550579496433474</stp>
        <tr r="N8" s="21"/>
      </tp>
      <tp t="e">
        <v>#N/A</v>
        <stp/>
        <stp>BDH|2731464248687550629</stp>
        <tr r="E53" s="18"/>
      </tp>
      <tp t="e">
        <v>#N/A</v>
        <stp/>
        <stp>BDH|3492794022456758360</stp>
        <tr r="C62" s="21"/>
      </tp>
      <tp t="e">
        <v>#N/A</v>
        <stp/>
        <stp>BDH|7602449491390804956</stp>
        <tr r="M126" s="12"/>
      </tp>
      <tp t="e">
        <v>#N/A</v>
        <stp/>
        <stp>BDH|2379981138908524382</stp>
        <tr r="E46" s="22"/>
      </tp>
      <tp t="e">
        <v>#N/A</v>
        <stp/>
        <stp>BDH|8892756504139524522</stp>
        <tr r="T42" s="22"/>
      </tp>
      <tp t="e">
        <v>#N/A</v>
        <stp/>
        <stp>BDH|1886279070362140517</stp>
        <tr r="F40" s="24"/>
      </tp>
      <tp t="e">
        <v>#N/A</v>
        <stp/>
        <stp>BDH|6881613059285618399</stp>
        <tr r="W14" s="6"/>
      </tp>
      <tp t="e">
        <v>#N/A</v>
        <stp/>
        <stp>BDH|6465023843811248089</stp>
        <tr r="R12" s="21"/>
      </tp>
      <tp t="e">
        <v>#N/A</v>
        <stp/>
        <stp>BDH|9678193472015568972</stp>
        <tr r="L10" s="27"/>
        <tr r="L25" s="25"/>
      </tp>
      <tp t="e">
        <v>#N/A</v>
        <stp/>
        <stp>BDH|9944592186422942505</stp>
        <tr r="C40" s="18"/>
      </tp>
      <tp t="e">
        <v>#N/A</v>
        <stp/>
        <stp>BDH|1803056159485214290</stp>
        <tr r="Z43" s="29"/>
      </tp>
      <tp t="e">
        <v>#N/A</v>
        <stp/>
        <stp>BDH|1987508231581333545</stp>
        <tr r="L23" s="21"/>
      </tp>
      <tp t="e">
        <v>#N/A</v>
        <stp/>
        <stp>BDH|7071596304293263206</stp>
        <tr r="Y58" s="18"/>
      </tp>
      <tp t="e">
        <v>#N/A</v>
        <stp/>
        <stp>BDH|3902234993972369959</stp>
        <tr r="J46" s="18"/>
      </tp>
      <tp t="e">
        <v>#N/A</v>
        <stp/>
        <stp>BDH|8326619163058687381</stp>
        <tr r="V63" s="21"/>
      </tp>
      <tp t="e">
        <v>#N/A</v>
        <stp/>
        <stp>BDH|9918465883642352405</stp>
        <tr r="X25" s="5"/>
      </tp>
      <tp t="e">
        <v>#N/A</v>
        <stp/>
        <stp>BDH|6215494521711621232</stp>
        <tr r="Z19" s="21"/>
        <tr r="Z23" s="3"/>
        <tr r="X23" s="2"/>
      </tp>
      <tp t="e">
        <v>#N/A</v>
        <stp/>
        <stp>BDH|8111441882146041187</stp>
        <tr r="Y12" s="25"/>
      </tp>
      <tp t="e">
        <v>#N/A</v>
        <stp/>
        <stp>BDH|4760418328963278232</stp>
        <tr r="Z128" s="18"/>
      </tp>
      <tp t="e">
        <v>#N/A</v>
        <stp/>
        <stp>BDH|7733382352443639144</stp>
        <tr r="E15" s="22"/>
      </tp>
      <tp t="e">
        <v>#N/A</v>
        <stp/>
        <stp>BDH|5869530424457690669</stp>
        <tr r="G63" s="18"/>
      </tp>
      <tp t="e">
        <v>#N/A</v>
        <stp/>
        <stp>BDH|3864549773163184112</stp>
        <tr r="I53" s="17"/>
      </tp>
      <tp t="e">
        <v>#N/A</v>
        <stp/>
        <stp>BDH|2749131535721875261</stp>
        <tr r="W155" s="18"/>
      </tp>
      <tp t="e">
        <v>#N/A</v>
        <stp/>
        <stp>BDH|2819627663209369855</stp>
        <tr r="H43" s="29"/>
      </tp>
      <tp t="e">
        <v>#N/A</v>
        <stp/>
        <stp>BDH|6827204772044004451</stp>
        <tr r="Y8" s="18"/>
      </tp>
      <tp t="e">
        <v>#N/A</v>
        <stp/>
        <stp>BDH|8653808867234695181</stp>
        <tr r="N9" s="10"/>
      </tp>
      <tp t="e">
        <v>#N/A</v>
        <stp/>
        <stp>BDH|7234640465200847443</stp>
        <tr r="L14" s="13"/>
      </tp>
      <tp t="e">
        <v>#N/A</v>
        <stp/>
        <stp>BDH|7391062693204184987</stp>
        <tr r="T103" s="18"/>
      </tp>
      <tp t="e">
        <v>#N/A</v>
        <stp/>
        <stp>BDH|4102098301504343350</stp>
        <tr r="W11" s="10"/>
        <tr r="W14" s="2"/>
      </tp>
      <tp t="e">
        <v>#N/A</v>
        <stp/>
        <stp>BDH|3006058043144838013</stp>
        <tr r="V65" s="18"/>
      </tp>
      <tp t="e">
        <v>#N/A</v>
        <stp/>
        <stp>BDH|1714550092797673999</stp>
        <tr r="V28" s="14"/>
      </tp>
      <tp t="e">
        <v>#N/A</v>
        <stp/>
        <stp>BDH|5128986589352695595</stp>
        <tr r="F11" s="21"/>
      </tp>
      <tp t="e">
        <v>#N/A</v>
        <stp/>
        <stp>BDH|6775236059336299401</stp>
        <tr r="E31" s="26"/>
      </tp>
      <tp t="e">
        <v>#N/A</v>
        <stp/>
        <stp>BDH|7689706386638776385</stp>
        <tr r="O65" s="17"/>
      </tp>
      <tp t="e">
        <v>#N/A</v>
        <stp/>
        <stp>BDH|6419338912555964237</stp>
        <tr r="E43" s="13"/>
        <tr r="C35" s="11"/>
        <tr r="C44" s="10"/>
        <tr r="C52" s="4"/>
        <tr r="E8" s="3"/>
      </tp>
      <tp t="e">
        <v>#N/A</v>
        <stp/>
        <stp>BDH|8158040081350821339</stp>
        <tr r="Y73" s="34"/>
      </tp>
      <tp t="e">
        <v>#N/A</v>
        <stp/>
        <stp>BDH|5395287673190127361</stp>
        <tr r="H131" s="18"/>
      </tp>
      <tp t="e">
        <v>#N/A</v>
        <stp/>
        <stp>BDH|3128874746814841876</stp>
        <tr r="D23" s="20"/>
      </tp>
      <tp t="e">
        <v>#N/A</v>
        <stp/>
        <stp>BDH|3590039387978768090</stp>
        <tr r="L41" s="17"/>
      </tp>
      <tp t="e">
        <v>#N/A</v>
        <stp/>
        <stp>BDH|7007396290258399652</stp>
        <tr r="U14" s="8"/>
      </tp>
      <tp t="e">
        <v>#N/A</v>
        <stp/>
        <stp>BDH|2100214057681099785</stp>
        <tr r="Q58" s="6"/>
      </tp>
      <tp t="e">
        <v>#N/A</v>
        <stp/>
        <stp>BDH|2671928446009864557</stp>
        <tr r="AA57" s="18"/>
      </tp>
      <tp t="e">
        <v>#N/A</v>
        <stp/>
        <stp>BDH|4851987691324877368</stp>
        <tr r="D80" s="17"/>
        <tr r="D19" s="3"/>
      </tp>
      <tp t="e">
        <v>#N/A</v>
        <stp/>
        <stp>BDH|5152734049265557018</stp>
        <tr r="J36" s="22"/>
      </tp>
      <tp t="e">
        <v>#N/A</v>
        <stp/>
        <stp>BDH|9290274237298525383</stp>
        <tr r="T16" s="25"/>
      </tp>
      <tp t="e">
        <v>#N/A</v>
        <stp/>
        <stp>BDH|8776995013352522142</stp>
        <tr r="Z6" s="27"/>
      </tp>
      <tp t="e">
        <v>#N/A</v>
        <stp/>
        <stp>BDH|5807853237029265444</stp>
        <tr r="R19" s="6"/>
      </tp>
      <tp t="e">
        <v>#N/A</v>
        <stp/>
        <stp>BDH|9714470639185399868</stp>
        <tr r="K87" s="12"/>
      </tp>
      <tp t="e">
        <v>#N/A</v>
        <stp/>
        <stp>BDH|5388293550919005863</stp>
        <tr r="J14" s="28"/>
      </tp>
      <tp t="e">
        <v>#N/A</v>
        <stp/>
        <stp>BDH|8271460084901895647</stp>
        <tr r="J61" s="21"/>
      </tp>
      <tp t="e">
        <v>#N/A</v>
        <stp/>
        <stp>BDH|4135944439165250823</stp>
        <tr r="S22" s="27"/>
      </tp>
      <tp t="e">
        <v>#N/A</v>
        <stp/>
        <stp>BDH|9767998678865840121</stp>
        <tr r="F73" s="18"/>
      </tp>
      <tp t="e">
        <v>#N/A</v>
        <stp/>
        <stp>BDH|5157580160571451416</stp>
        <tr r="D35" s="21"/>
      </tp>
      <tp t="e">
        <v>#N/A</v>
        <stp/>
        <stp>BDH|2170473958834092426</stp>
        <tr r="W63" s="24"/>
      </tp>
      <tp t="e">
        <v>#N/A</v>
        <stp/>
        <stp>BDH|3875634093116595919</stp>
        <tr r="L26" s="7"/>
      </tp>
      <tp t="e">
        <v>#N/A</v>
        <stp/>
        <stp>BDH|3938321194403314905</stp>
        <tr r="X70" s="18"/>
      </tp>
      <tp t="e">
        <v>#N/A</v>
        <stp/>
        <stp>BDH|8886809431611533101</stp>
        <tr r="T91" s="12"/>
      </tp>
      <tp t="e">
        <v>#N/A</v>
        <stp/>
        <stp>BDH|6004898761928660322</stp>
        <tr r="D11" s="22"/>
      </tp>
      <tp t="e">
        <v>#N/A</v>
        <stp/>
        <stp>BDH|6712545561281773794</stp>
        <tr r="S77" s="34"/>
      </tp>
      <tp t="e">
        <v>#N/A</v>
        <stp/>
        <stp>BDH|3628591454269419934</stp>
        <tr r="S7" s="28"/>
      </tp>
      <tp t="e">
        <v>#N/A</v>
        <stp/>
        <stp>BDH|5902525694363430972</stp>
        <tr r="R13" s="11"/>
      </tp>
      <tp t="e">
        <v>#N/A</v>
        <stp/>
        <stp>BDH|7943202051317139451</stp>
        <tr r="T26" s="21"/>
      </tp>
      <tp t="e">
        <v>#N/A</v>
        <stp/>
        <stp>BDH|6641999734837644817</stp>
        <tr r="L94" s="18"/>
      </tp>
      <tp t="e">
        <v>#N/A</v>
        <stp/>
        <stp>BDH|3643195756723164749</stp>
        <tr r="K32" s="12"/>
      </tp>
      <tp t="e">
        <v>#N/A</v>
        <stp/>
        <stp>BDH|8105711772618981376</stp>
        <tr r="U76" s="12"/>
      </tp>
      <tp t="e">
        <v>#N/A</v>
        <stp/>
        <stp>BDH|5219469068592128616</stp>
        <tr r="S23" s="24"/>
      </tp>
      <tp t="e">
        <v>#N/A</v>
        <stp/>
        <stp>BDH|1906166887503195853</stp>
        <tr r="H71" s="12"/>
      </tp>
      <tp t="e">
        <v>#N/A</v>
        <stp/>
        <stp>BDH|5071563409590096330</stp>
        <tr r="Z138" s="18"/>
      </tp>
      <tp t="e">
        <v>#N/A</v>
        <stp/>
        <stp>BDH|9470259167748820620</stp>
        <tr r="T193" s="18"/>
      </tp>
      <tp t="e">
        <v>#N/A</v>
        <stp/>
        <stp>BDH|4998212813634345042</stp>
        <tr r="U147" s="18"/>
      </tp>
      <tp t="e">
        <v>#N/A</v>
        <stp/>
        <stp>BDH|7256517667681965619</stp>
        <tr r="Y13" s="8"/>
      </tp>
      <tp t="e">
        <v>#N/A</v>
        <stp/>
        <stp>BDH|7802654123825624544</stp>
        <tr r="O16" s="6"/>
      </tp>
      <tp t="e">
        <v>#N/A</v>
        <stp/>
        <stp>BDH|4726400279806132233</stp>
        <tr r="H69" s="17"/>
      </tp>
      <tp t="e">
        <v>#N/A</v>
        <stp/>
        <stp>BDH|8079350432178383384</stp>
        <tr r="I13" s="11"/>
      </tp>
      <tp t="e">
        <v>#N/A</v>
        <stp/>
        <stp>BDH|9416028048047339917</stp>
        <tr r="Q11" s="10"/>
        <tr r="Q14" s="2"/>
      </tp>
      <tp t="e">
        <v>#N/A</v>
        <stp/>
        <stp>BDH|9700933126123795294</stp>
        <tr r="O214" s="18"/>
      </tp>
      <tp t="e">
        <v>#N/A</v>
        <stp/>
        <stp>BDH|6288263017054801274</stp>
        <tr r="H98" s="18"/>
      </tp>
      <tp t="e">
        <v>#N/A</v>
        <stp/>
        <stp>BDH|1291889770995128875</stp>
        <tr r="H78" s="18"/>
      </tp>
      <tp t="e">
        <v>#N/A</v>
        <stp/>
        <stp>BDH|2584777543806883451</stp>
        <tr r="D52" s="24"/>
      </tp>
      <tp t="e">
        <v>#N/A</v>
        <stp/>
        <stp>BDH|3868085376073885425</stp>
        <tr r="G97" s="18"/>
      </tp>
      <tp t="e">
        <v>#N/A</v>
        <stp/>
        <stp>BDH|3571128429851647252</stp>
        <tr r="AA98" s="17"/>
      </tp>
      <tp t="e">
        <v>#N/A</v>
        <stp/>
        <stp>BDH|3992057106808762801</stp>
        <tr r="Y8" s="2"/>
      </tp>
      <tp t="e">
        <v>#N/A</v>
        <stp/>
        <stp>BDH|9233723097761877521</stp>
        <tr r="AA14" s="21"/>
      </tp>
      <tp t="e">
        <v>#N/A</v>
        <stp/>
        <stp>BDH|7007511207476941720</stp>
        <tr r="M77" s="34"/>
      </tp>
      <tp t="e">
        <v>#N/A</v>
        <stp/>
        <stp>BDH|6764354730374600191</stp>
        <tr r="F45" s="22"/>
      </tp>
      <tp t="e">
        <v>#N/A</v>
        <stp/>
        <stp>BDH|7302587201135417437</stp>
        <tr r="N43" s="18"/>
      </tp>
      <tp t="e">
        <v>#N/A</v>
        <stp/>
        <stp>BDH|1716734160100875313</stp>
        <tr r="R64" s="18"/>
      </tp>
      <tp t="e">
        <v>#N/A</v>
        <stp/>
        <stp>BDH|6550914168058626273</stp>
        <tr r="R116" s="12"/>
      </tp>
      <tp t="e">
        <v>#N/A</v>
        <stp/>
        <stp>BDH|2984116502292285254</stp>
        <tr r="M11" s="14"/>
      </tp>
      <tp t="e">
        <v>#N/A</v>
        <stp/>
        <stp>BDH|3207193546212457747</stp>
        <tr r="X74" s="24"/>
      </tp>
      <tp t="e">
        <v>#N/A</v>
        <stp/>
        <stp>BDH|4939172012951599642</stp>
        <tr r="U12" s="22"/>
      </tp>
      <tp t="e">
        <v>#N/A</v>
        <stp/>
        <stp>BDH|3512532968250237311</stp>
        <tr r="K19" s="30"/>
      </tp>
      <tp t="e">
        <v>#N/A</v>
        <stp/>
        <stp>BDH|7999358678316174686</stp>
        <tr r="L11" s="9"/>
      </tp>
      <tp t="e">
        <v>#N/A</v>
        <stp/>
        <stp>BDH|4366154905170636682</stp>
        <tr r="U20" s="10"/>
      </tp>
      <tp t="e">
        <v>#N/A</v>
        <stp/>
        <stp>BDH|4929114896967633859</stp>
        <tr r="E140" s="18"/>
      </tp>
      <tp t="e">
        <v>#N/A</v>
        <stp/>
        <stp>BDH|3692755647627964409</stp>
        <tr r="Z25" s="24"/>
      </tp>
      <tp t="e">
        <v>#N/A</v>
        <stp/>
        <stp>BDH|9738730306008635595</stp>
        <tr r="S22" s="24"/>
      </tp>
      <tp t="e">
        <v>#N/A</v>
        <stp/>
        <stp>BDH|9085969952555933302</stp>
        <tr r="Z31" s="17"/>
      </tp>
      <tp t="e">
        <v>#N/A</v>
        <stp/>
        <stp>BDH|9834734553558036055</stp>
        <tr r="D13" s="21"/>
      </tp>
      <tp t="e">
        <v>#N/A</v>
        <stp/>
        <stp>BDH|9551337395100631084</stp>
        <tr r="C165" s="18"/>
      </tp>
      <tp t="e">
        <v>#N/A</v>
        <stp/>
        <stp>BDH|5420437537786941742</stp>
        <tr r="E7" s="14"/>
      </tp>
      <tp t="e">
        <v>#N/A</v>
        <stp/>
        <stp>BDH|3600530168233219027</stp>
        <tr r="R65" s="13"/>
      </tp>
      <tp t="e">
        <v>#N/A</v>
        <stp/>
        <stp>BDH|2123339708540492230</stp>
        <tr r="R11" s="7"/>
      </tp>
      <tp t="e">
        <v>#N/A</v>
        <stp/>
        <stp>BDH|1458405859051846283</stp>
        <tr r="X68" s="17"/>
      </tp>
      <tp t="e">
        <v>#N/A</v>
        <stp/>
        <stp>BDH|8707703698936551378</stp>
        <tr r="I7" s="23"/>
      </tp>
      <tp t="e">
        <v>#N/A</v>
        <stp/>
        <stp>BDH|5599452157947934036</stp>
        <tr r="N41" s="22"/>
      </tp>
      <tp t="e">
        <v>#N/A</v>
        <stp/>
        <stp>BDH|6919637203407362473</stp>
        <tr r="I26" s="27"/>
      </tp>
      <tp t="e">
        <v>#N/A</v>
        <stp/>
        <stp>BDH|8342086274599618540</stp>
        <tr r="V82" s="18"/>
      </tp>
      <tp t="e">
        <v>#N/A</v>
        <stp/>
        <stp>BDH|4179990730305736821</stp>
        <tr r="D20" s="28"/>
        <tr r="D17" s="17"/>
      </tp>
      <tp t="e">
        <v>#N/A</v>
        <stp/>
        <stp>BDH|7896126359581718192</stp>
        <tr r="Z54" s="24"/>
      </tp>
      <tp t="e">
        <v>#N/A</v>
        <stp/>
        <stp>BDH|9171215078466282977</stp>
        <tr r="V13" s="10"/>
      </tp>
      <tp t="e">
        <v>#N/A</v>
        <stp/>
        <stp>BDH|2280991719811890871</stp>
        <tr r="I8" s="6"/>
      </tp>
      <tp t="e">
        <v>#N/A</v>
        <stp/>
        <stp>BDH|8891807705161868280</stp>
        <tr r="AA17" s="18"/>
      </tp>
      <tp t="e">
        <v>#N/A</v>
        <stp/>
        <stp>BDH|4284723909026308673</stp>
        <tr r="N19" s="25"/>
      </tp>
      <tp t="e">
        <v>#N/A</v>
        <stp/>
        <stp>BDH|4592427617601923342</stp>
        <tr r="D27" s="7"/>
      </tp>
      <tp t="e">
        <v>#N/A</v>
        <stp/>
        <stp>BDH|3468888298338822917</stp>
        <tr r="C21" s="30"/>
      </tp>
      <tp t="e">
        <v>#N/A</v>
        <stp/>
        <stp>BDH|5284105290766747885</stp>
        <tr r="U21" s="3"/>
      </tp>
      <tp t="e">
        <v>#N/A</v>
        <stp/>
        <stp>BDH|9297849782069094392</stp>
        <tr r="U34" s="34"/>
      </tp>
      <tp t="e">
        <v>#N/A</v>
        <stp/>
        <stp>BDH|4494722193459113094</stp>
        <tr r="O49" s="18"/>
      </tp>
      <tp t="e">
        <v>#N/A</v>
        <stp/>
        <stp>BDH|3444196877476354049</stp>
        <tr r="Y39" s="22"/>
      </tp>
      <tp t="e">
        <v>#N/A</v>
        <stp/>
        <stp>BDH|8160818363000618585</stp>
        <tr r="E10" s="21"/>
      </tp>
      <tp t="e">
        <v>#N/A</v>
        <stp/>
        <stp>BDH|8847883404817152487</stp>
        <tr r="H13" s="7"/>
      </tp>
      <tp t="e">
        <v>#N/A</v>
        <stp/>
        <stp>BDH|6091943995673902651</stp>
        <tr r="X11" s="21"/>
      </tp>
      <tp t="e">
        <v>#N/A</v>
        <stp/>
        <stp>BDH|5597482480548329231</stp>
        <tr r="P25" s="26"/>
      </tp>
      <tp t="e">
        <v>#N/A</v>
        <stp/>
        <stp>BDH|2702117420494370689</stp>
        <tr r="K43" s="6"/>
      </tp>
      <tp t="e">
        <v>#N/A</v>
        <stp/>
        <stp>BDH|1421885565794057848</stp>
        <tr r="P68" s="24"/>
      </tp>
      <tp t="e">
        <v>#N/A</v>
        <stp/>
        <stp>BDH|1185052789368630266</stp>
        <tr r="P65" s="12"/>
      </tp>
      <tp t="e">
        <v>#N/A</v>
        <stp/>
        <stp>BDH|6692435085348912142</stp>
        <tr r="N28" s="22"/>
      </tp>
      <tp t="e">
        <v>#N/A</v>
        <stp/>
        <stp>BDH|7148189246076618740</stp>
        <tr r="U18" s="24"/>
      </tp>
      <tp t="e">
        <v>#N/A</v>
        <stp/>
        <stp>BDH|1653346228515023678</stp>
        <tr r="Y154" s="18"/>
      </tp>
      <tp t="e">
        <v>#N/A</v>
        <stp/>
        <stp>BDH|1145007305530198280</stp>
        <tr r="X78" s="12"/>
      </tp>
      <tp t="e">
        <v>#N/A</v>
        <stp/>
        <stp>BDH|9736208652404924913</stp>
        <tr r="I36" s="22"/>
      </tp>
      <tp t="e">
        <v>#N/A</v>
        <stp/>
        <stp>BDH|5745090321065335119</stp>
        <tr r="F14" s="21"/>
      </tp>
      <tp t="e">
        <v>#N/A</v>
        <stp/>
        <stp>BDH|8537311608910300825</stp>
        <tr r="I30" s="24"/>
      </tp>
      <tp t="e">
        <v>#N/A</v>
        <stp/>
        <stp>BDH|9017569908496616953</stp>
        <tr r="D68" s="24"/>
      </tp>
      <tp t="e">
        <v>#N/A</v>
        <stp/>
        <stp>BDH|6721422359484226038</stp>
        <tr r="C33" s="14"/>
      </tp>
      <tp t="e">
        <v>#N/A</v>
        <stp/>
        <stp>BDH|7516322829920473573</stp>
        <tr r="G45" s="21"/>
      </tp>
      <tp t="e">
        <v>#N/A</v>
        <stp/>
        <stp>BDH|3605992809299587019</stp>
        <tr r="G18" s="28"/>
        <tr r="G15" s="17"/>
      </tp>
      <tp t="e">
        <v>#N/A</v>
        <stp/>
        <stp>BDH|6900786374046534324</stp>
        <tr r="K26" s="26"/>
      </tp>
      <tp t="e">
        <v>#N/A</v>
        <stp/>
        <stp>BDH|4578121121044065041</stp>
        <tr r="K14" s="10"/>
      </tp>
      <tp t="e">
        <v>#N/A</v>
        <stp/>
        <stp>BDH|6757761926602457216</stp>
        <tr r="D28" s="14"/>
      </tp>
      <tp t="e">
        <v>#N/A</v>
        <stp/>
        <stp>BDH|5700162613177055106</stp>
        <tr r="G66" s="21"/>
        <tr r="D31" s="6"/>
      </tp>
      <tp t="e">
        <v>#N/A</v>
        <stp/>
        <stp>BDH|4581704089300694886</stp>
        <tr r="V19" s="18"/>
      </tp>
      <tp t="e">
        <v>#N/A</v>
        <stp/>
        <stp>BDH|5852010330932954729</stp>
        <tr r="R14" s="21"/>
      </tp>
      <tp t="e">
        <v>#N/A</v>
        <stp/>
        <stp>BDH|2545127026856633458</stp>
        <tr r="K16" s="28"/>
        <tr r="K13" s="17"/>
      </tp>
      <tp t="e">
        <v>#N/A</v>
        <stp/>
        <stp>BDH|7240454873022215541</stp>
        <tr r="H148" s="18"/>
      </tp>
      <tp t="e">
        <v>#N/A</v>
        <stp/>
        <stp>BDH|6607433910467273750</stp>
        <tr r="L57" s="6"/>
      </tp>
      <tp t="e">
        <v>#N/A</v>
        <stp/>
        <stp>BDH|1005256866282051412</stp>
        <tr r="E15" s="5"/>
      </tp>
      <tp t="e">
        <v>#N/A</v>
        <stp/>
        <stp>BDH|2280108676322251545</stp>
        <tr r="T15" s="21"/>
      </tp>
      <tp t="e">
        <v>#N/A</v>
        <stp/>
        <stp>BDH|3064254575474266103</stp>
        <tr r="I19" s="17"/>
      </tp>
      <tp t="e">
        <v>#N/A</v>
        <stp/>
        <stp>BDH|5410148167249007858</stp>
        <tr r="G75" s="17"/>
      </tp>
      <tp t="e">
        <v>#N/A</v>
        <stp/>
        <stp>BDH|7854460397911384887</stp>
        <tr r="G35" s="13"/>
        <tr r="E28" s="10"/>
      </tp>
      <tp t="e">
        <v>#N/A</v>
        <stp/>
        <stp>BDH|9174128211593188910</stp>
        <tr r="T64" s="24"/>
      </tp>
      <tp t="e">
        <v>#N/A</v>
        <stp/>
        <stp>BDH|2537414134161708754</stp>
        <tr r="S56" s="11"/>
        <tr r="S24" s="4"/>
      </tp>
      <tp t="e">
        <v>#N/A</v>
        <stp/>
        <stp>BDH|2644516002276439231</stp>
        <tr r="N63" s="12"/>
      </tp>
      <tp t="e">
        <v>#N/A</v>
        <stp/>
        <stp>BDH|6592561760072588442</stp>
        <tr r="F9" s="28"/>
      </tp>
      <tp t="e">
        <v>#N/A</v>
        <stp/>
        <stp>BDH|5278222410482147730</stp>
        <tr r="O60" s="13"/>
      </tp>
      <tp t="e">
        <v>#N/A</v>
        <stp/>
        <stp>BDH|7932094777556504506</stp>
        <tr r="E24" s="2"/>
      </tp>
      <tp t="e">
        <v>#N/A</v>
        <stp/>
        <stp>BDH|7970072279007536402</stp>
        <tr r="AA26" s="18"/>
      </tp>
      <tp t="e">
        <v>#N/A</v>
        <stp/>
        <stp>BDH|1761272060715607347</stp>
        <tr r="T28" s="21"/>
      </tp>
      <tp t="e">
        <v>#N/A</v>
        <stp/>
        <stp>BDH|6677601511655120746</stp>
        <tr r="U41" s="24"/>
      </tp>
      <tp t="e">
        <v>#N/A</v>
        <stp/>
        <stp>BDH|2600967602238115010</stp>
        <tr r="U14" s="10"/>
      </tp>
      <tp t="e">
        <v>#N/A</v>
        <stp/>
        <stp>BDH|5741949594076197043</stp>
        <tr r="N14" s="11"/>
      </tp>
      <tp t="e">
        <v>#N/A</v>
        <stp/>
        <stp>BDH|1916936264079416481</stp>
        <tr r="S10" s="8"/>
        <tr r="Q53" s="6"/>
      </tp>
      <tp t="e">
        <v>#N/A</v>
        <stp/>
        <stp>BDH|1272387707520831171</stp>
        <tr r="H201" s="18"/>
      </tp>
      <tp t="e">
        <v>#N/A</v>
        <stp/>
        <stp>BDH|6211755359832433588</stp>
        <tr r="G191" s="18"/>
      </tp>
      <tp t="e">
        <v>#N/A</v>
        <stp/>
        <stp>BDH|7407957945840318959</stp>
        <tr r="I10" s="27"/>
        <tr r="I25" s="25"/>
      </tp>
      <tp t="e">
        <v>#N/A</v>
        <stp/>
        <stp>BDH|9084520698075076388</stp>
        <tr r="M53" s="12"/>
      </tp>
      <tp t="e">
        <v>#N/A</v>
        <stp/>
        <stp>BDH|9007714697581045542</stp>
        <tr r="V24" s="13"/>
      </tp>
      <tp t="e">
        <v>#N/A</v>
        <stp/>
        <stp>BDH|6102522705649128951</stp>
        <tr r="D101" s="12"/>
      </tp>
      <tp t="e">
        <v>#N/A</v>
        <stp/>
        <stp>BDH|7185619087223023957</stp>
        <tr r="V9" s="26"/>
      </tp>
      <tp t="e">
        <v>#N/A</v>
        <stp/>
        <stp>BDH|1269136537650554015</stp>
        <tr r="Q49" s="34"/>
      </tp>
      <tp t="e">
        <v>#N/A</v>
        <stp/>
        <stp>BDH|4938707577963826449</stp>
        <tr r="P70" s="34"/>
      </tp>
      <tp t="e">
        <v>#N/A</v>
        <stp/>
        <stp>BDH|2746633862795508416</stp>
        <tr r="X24" s="12"/>
      </tp>
      <tp t="e">
        <v>#N/A</v>
        <stp/>
        <stp>BDH|4465026804142920595</stp>
        <tr r="J23" s="26"/>
      </tp>
      <tp t="e">
        <v>#N/A</v>
        <stp/>
        <stp>BDH|9652801278990422589</stp>
        <tr r="V83" s="12"/>
      </tp>
      <tp t="e">
        <v>#N/A</v>
        <stp/>
        <stp>BDH|7902487627220750239</stp>
        <tr r="D13" s="22"/>
      </tp>
      <tp t="e">
        <v>#N/A</v>
        <stp/>
        <stp>BDH|3551509908104858171</stp>
        <tr r="M10" s="28"/>
      </tp>
      <tp t="e">
        <v>#N/A</v>
        <stp/>
        <stp>BDH|1309213300452864288</stp>
        <tr r="J39" s="25"/>
        <tr r="J22" s="13"/>
        <tr r="J7" s="13"/>
        <tr r="H17" s="11"/>
        <tr r="J7" s="3"/>
      </tp>
      <tp t="e">
        <v>#N/A</v>
        <stp/>
        <stp>BDH|5176579362761417420</stp>
        <tr r="H12" s="7"/>
      </tp>
      <tp t="e">
        <v>#N/A</v>
        <stp/>
        <stp>BDH|1635258320416340423</stp>
        <tr r="P141" s="18"/>
      </tp>
      <tp t="e">
        <v>#N/A</v>
        <stp/>
        <stp>BDH|6252584321446855418</stp>
        <tr r="W31" s="29"/>
      </tp>
      <tp t="e">
        <v>#N/A</v>
        <stp/>
        <stp>BDH|4020034971194091406</stp>
        <tr r="S90" s="24"/>
      </tp>
      <tp t="e">
        <v>#N/A</v>
        <stp/>
        <stp>BDH|8145032110279192315</stp>
        <tr r="V34" s="22"/>
      </tp>
      <tp t="e">
        <v>#N/A</v>
        <stp/>
        <stp>BDH|4325459301667353460</stp>
        <tr r="S14" s="18"/>
      </tp>
      <tp t="e">
        <v>#N/A</v>
        <stp/>
        <stp>BDH|3741742359204966619</stp>
        <tr r="H69" s="34"/>
      </tp>
      <tp t="e">
        <v>#N/A</v>
        <stp/>
        <stp>BDH|7974200037414911159</stp>
        <tr r="L105" s="12"/>
      </tp>
      <tp t="e">
        <v>#N/A</v>
        <stp/>
        <stp>BDH|2213758312444222355</stp>
        <tr r="D124" s="12"/>
      </tp>
      <tp t="e">
        <v>#N/A</v>
        <stp/>
        <stp>BDH|2427588838181121673</stp>
        <tr r="D9" s="26"/>
      </tp>
      <tp t="e">
        <v>#N/A</v>
        <stp/>
        <stp>BDH|4864220864736829549</stp>
        <tr r="Z7" s="23"/>
      </tp>
      <tp t="e">
        <v>#N/A</v>
        <stp/>
        <stp>BDH|3576496049855752506</stp>
        <tr r="F36" s="6"/>
        <tr r="F17" s="5"/>
      </tp>
      <tp t="e">
        <v>#N/A</v>
        <stp/>
        <stp>BDH|9242874001924041667</stp>
        <tr r="P66" s="13"/>
      </tp>
      <tp t="e">
        <v>#N/A</v>
        <stp/>
        <stp>BDH|7258968735258509665</stp>
        <tr r="L84" s="18"/>
      </tp>
      <tp t="e">
        <v>#N/A</v>
        <stp/>
        <stp>BDH|1901492956907256464</stp>
        <tr r="W72" s="24"/>
      </tp>
      <tp t="e">
        <v>#N/A</v>
        <stp/>
        <stp>BDH|3273347434372298220</stp>
        <tr r="P180" s="18"/>
      </tp>
      <tp t="e">
        <v>#N/A</v>
        <stp/>
        <stp>BDH|2121784972546987707</stp>
        <tr r="X23" s="6"/>
      </tp>
      <tp t="e">
        <v>#N/A</v>
        <stp/>
        <stp>BDH|1235017123805246507</stp>
        <tr r="F38" s="13"/>
        <tr r="D31" s="10"/>
      </tp>
      <tp t="e">
        <v>#N/A</v>
        <stp/>
        <stp>BDH|4505685608851514023</stp>
        <tr r="F52" s="13"/>
      </tp>
      <tp t="e">
        <v>#N/A</v>
        <stp/>
        <stp>BDH|9017313278379281796</stp>
        <tr r="H23" s="25"/>
        <tr r="F20" s="11"/>
      </tp>
      <tp t="e">
        <v>#N/A</v>
        <stp/>
        <stp>BDH|1062705606792224769</stp>
        <tr r="N108" s="12"/>
      </tp>
      <tp t="e">
        <v>#N/A</v>
        <stp/>
        <stp>BDH|2051471518530482497</stp>
        <tr r="J17" s="12"/>
      </tp>
      <tp t="e">
        <v>#N/A</v>
        <stp/>
        <stp>BDH|7673538900394265554</stp>
        <tr r="P20" s="17"/>
      </tp>
      <tp t="e">
        <v>#N/A</v>
        <stp/>
        <stp>BDH|4635861300557102839</stp>
        <tr r="I43" s="22"/>
      </tp>
      <tp t="e">
        <v>#N/A</v>
        <stp/>
        <stp>BDH|7362140058753898356</stp>
        <tr r="E59" s="18"/>
      </tp>
      <tp t="e">
        <v>#N/A</v>
        <stp/>
        <stp>BDH|4249148426207786358</stp>
        <tr r="M10" s="27"/>
        <tr r="M25" s="25"/>
      </tp>
      <tp t="e">
        <v>#N/A</v>
        <stp/>
        <stp>BDH|4763691142044932165</stp>
        <tr r="N22" s="11"/>
      </tp>
      <tp t="e">
        <v>#N/A</v>
        <stp/>
        <stp>BDH|3706910331493052940</stp>
        <tr r="I9" s="11"/>
      </tp>
      <tp t="e">
        <v>#N/A</v>
        <stp/>
        <stp>BDH|8988277920299880254</stp>
        <tr r="R21" s="5"/>
      </tp>
      <tp t="e">
        <v>#N/A</v>
        <stp/>
        <stp>BDH|6379579375387788054</stp>
        <tr r="Y15" s="18"/>
      </tp>
      <tp t="e">
        <v>#N/A</v>
        <stp/>
        <stp>BDH|7663169061801416266</stp>
        <tr r="Q16" s="24"/>
      </tp>
      <tp t="e">
        <v>#N/A</v>
        <stp/>
        <stp>BDH|1713047839673150285</stp>
        <tr r="I19" s="6"/>
      </tp>
      <tp t="e">
        <v>#N/A</v>
        <stp/>
        <stp>BDH|5065465015512478141</stp>
        <tr r="AA128" s="18"/>
      </tp>
      <tp t="e">
        <v>#N/A</v>
        <stp/>
        <stp>BDH|9007760323186346955</stp>
        <tr r="W19" s="10"/>
      </tp>
      <tp t="e">
        <v>#N/A</v>
        <stp/>
        <stp>BDH|2287863105849758055</stp>
        <tr r="Y31" s="17"/>
      </tp>
      <tp t="e">
        <v>#N/A</v>
        <stp/>
        <stp>BDH|3895842555199902439</stp>
        <tr r="N8" s="4"/>
      </tp>
      <tp t="e">
        <v>#N/A</v>
        <stp/>
        <stp>BDH|4423556774097166271</stp>
        <tr r="O50" s="21"/>
      </tp>
      <tp t="e">
        <v>#N/A</v>
        <stp/>
        <stp>BDH|4813557801580624293</stp>
        <tr r="V34" s="18"/>
      </tp>
      <tp t="e">
        <v>#N/A</v>
        <stp/>
        <stp>BDH|2460921938129478293</stp>
        <tr r="H55" s="34"/>
      </tp>
      <tp t="e">
        <v>#N/A</v>
        <stp/>
        <stp>BDH|5528555835043627307</stp>
        <tr r="S75" s="24"/>
      </tp>
      <tp t="e">
        <v>#N/A</v>
        <stp/>
        <stp>BDH|3073374369406448391</stp>
        <tr r="Y7" s="17"/>
      </tp>
      <tp t="e">
        <v>#N/A</v>
        <stp/>
        <stp>BDH|7362317901334519356</stp>
        <tr r="D74" s="17"/>
      </tp>
      <tp t="e">
        <v>#N/A</v>
        <stp/>
        <stp>BDH|6174883641721212897</stp>
        <tr r="I12" s="21"/>
      </tp>
      <tp t="e">
        <v>#N/A</v>
        <stp/>
        <stp>BDH|9926861057634309380</stp>
        <tr r="O8" s="4"/>
      </tp>
      <tp t="e">
        <v>#N/A</v>
        <stp/>
        <stp>BDH|2516059935975723716</stp>
        <tr r="I15" s="18"/>
      </tp>
      <tp t="e">
        <v>#N/A</v>
        <stp/>
        <stp>BDH|5634583839364209467</stp>
        <tr r="M55" s="18"/>
      </tp>
      <tp t="e">
        <v>#N/A</v>
        <stp/>
        <stp>BDH|8052837266974594136</stp>
        <tr r="C22" s="10"/>
      </tp>
      <tp t="e">
        <v>#N/A</v>
        <stp/>
        <stp>BDH|7659640041671128716</stp>
        <tr r="M11" s="28"/>
      </tp>
      <tp t="e">
        <v>#N/A</v>
        <stp/>
        <stp>BDH|2419461740748976987</stp>
        <tr r="M24" s="2"/>
      </tp>
      <tp t="e">
        <v>#N/A</v>
        <stp/>
        <stp>BDH|1414916987003432053</stp>
        <tr r="R183" s="18"/>
      </tp>
      <tp t="e">
        <v>#N/A</v>
        <stp/>
        <stp>BDH|3218832242309923595</stp>
        <tr r="C7" s="8"/>
      </tp>
      <tp t="e">
        <v>#N/A</v>
        <stp/>
        <stp>BDH|6749667604157213444</stp>
        <tr r="F13" s="11"/>
      </tp>
      <tp t="e">
        <v>#N/A</v>
        <stp/>
        <stp>BDH|1775314936461341304</stp>
        <tr r="D32" s="11"/>
        <tr r="D41" s="10"/>
      </tp>
      <tp t="e">
        <v>#N/A</v>
        <stp/>
        <stp>BDH|6389453324484914788</stp>
        <tr r="G18" s="11"/>
      </tp>
      <tp t="e">
        <v>#N/A</v>
        <stp/>
        <stp>BDH|7205115210286368237</stp>
        <tr r="Z147" s="18"/>
      </tp>
      <tp t="e">
        <v>#N/A</v>
        <stp/>
        <stp>BDH|6079491615521641191</stp>
        <tr r="S15" s="18"/>
      </tp>
      <tp t="e">
        <v>#N/A</v>
        <stp/>
        <stp>BDH|6180721321303707363</stp>
        <tr r="I154" s="18"/>
      </tp>
      <tp t="e">
        <v>#N/A</v>
        <stp/>
        <stp>BDH|1568179496239271353</stp>
        <tr r="L49" s="17"/>
      </tp>
      <tp t="e">
        <v>#N/A</v>
        <stp/>
        <stp>BDH|2211169722600422214</stp>
        <tr r="G64" s="34"/>
      </tp>
      <tp t="e">
        <v>#N/A</v>
        <stp/>
        <stp>BDH|3678037814746391716</stp>
        <tr r="H19" s="12"/>
      </tp>
      <tp t="e">
        <v>#N/A</v>
        <stp/>
        <stp>BDH|6950627558953845584</stp>
        <tr r="U23" s="20"/>
      </tp>
      <tp t="e">
        <v>#N/A</v>
        <stp/>
        <stp>BDH|8639325519839679082</stp>
        <tr r="R6" s="20"/>
        <tr r="R116" s="18"/>
      </tp>
      <tp t="e">
        <v>#N/A</v>
        <stp/>
        <stp>BDH|9436385630833925967</stp>
        <tr r="W29" s="4"/>
      </tp>
      <tp t="e">
        <v>#N/A</v>
        <stp/>
        <stp>BDH|6592221965255708460</stp>
        <tr r="AA67" s="13"/>
      </tp>
      <tp t="e">
        <v>#N/A</v>
        <stp/>
        <stp>BDH|6372090048970614175</stp>
        <tr r="H30" s="11"/>
        <tr r="H39" s="10"/>
      </tp>
      <tp t="e">
        <v>#N/A</v>
        <stp/>
        <stp>BDH|4451623294910731866</stp>
        <tr r="Q90" s="12"/>
      </tp>
      <tp t="e">
        <v>#N/A</v>
        <stp/>
        <stp>BDH|1577901030598412028</stp>
        <tr r="K167" s="18"/>
      </tp>
      <tp t="e">
        <v>#N/A</v>
        <stp/>
        <stp>BDH|7110357753264710638</stp>
        <tr r="K49" s="13"/>
      </tp>
      <tp t="e">
        <v>#N/A</v>
        <stp/>
        <stp>BDH|3599760693288654653</stp>
        <tr r="I24" s="13"/>
      </tp>
      <tp t="e">
        <v>#N/A</v>
        <stp/>
        <stp>BDH|1272877246347092906</stp>
        <tr r="W65" s="18"/>
      </tp>
      <tp t="e">
        <v>#N/A</v>
        <stp/>
        <stp>BDH|6922008679546060435</stp>
        <tr r="J32" s="9"/>
      </tp>
      <tp t="e">
        <v>#N/A</v>
        <stp/>
        <stp>BDH|6997722481762048894</stp>
        <tr r="Z21" s="30"/>
      </tp>
      <tp t="e">
        <v>#N/A</v>
        <stp/>
        <stp>BDH|6481983184427356385</stp>
        <tr r="AA10" s="28"/>
      </tp>
      <tp t="e">
        <v>#N/A</v>
        <stp/>
        <stp>BDH|3683125172802524408</stp>
        <tr r="F12" s="6"/>
      </tp>
      <tp t="e">
        <v>#N/A</v>
        <stp/>
        <stp>BDH|4614119064133040302</stp>
        <tr r="T73" s="24"/>
      </tp>
      <tp t="e">
        <v>#N/A</v>
        <stp/>
        <stp>BDH|7491839197474635158</stp>
        <tr r="K27" s="12"/>
      </tp>
      <tp t="e">
        <v>#N/A</v>
        <stp/>
        <stp>BDH|2327679547837552459</stp>
        <tr r="C33" s="17"/>
      </tp>
      <tp t="e">
        <v>#N/A</v>
        <stp/>
        <stp>BDH|1280588906946611197</stp>
        <tr r="C51" s="21"/>
      </tp>
      <tp t="e">
        <v>#N/A</v>
        <stp/>
        <stp>BDH|6211229861834275508</stp>
        <tr r="F19" s="22"/>
      </tp>
      <tp t="e">
        <v>#N/A</v>
        <stp/>
        <stp>BDH|7949469039402301166</stp>
        <tr r="I7" s="11"/>
      </tp>
      <tp t="e">
        <v>#N/A</v>
        <stp/>
        <stp>BDH|3921799495196028866</stp>
        <tr r="M76" s="12"/>
      </tp>
      <tp t="e">
        <v>#N/A</v>
        <stp/>
        <stp>BDH|6185924543421770941</stp>
        <tr r="U27" s="34"/>
      </tp>
      <tp t="e">
        <v>#N/A</v>
        <stp/>
        <stp>BDH|9756868324215028563</stp>
        <tr r="P88" s="18"/>
      </tp>
      <tp t="e">
        <v>#N/A</v>
        <stp/>
        <stp>BDH|4654715057711863480</stp>
        <tr r="I100" s="18"/>
      </tp>
      <tp t="e">
        <v>#N/A</v>
        <stp/>
        <stp>BDH|4152745227264464665</stp>
        <tr r="S26" s="14"/>
      </tp>
      <tp t="e">
        <v>#N/A</v>
        <stp/>
        <stp>BDH|3821881793110113123</stp>
        <tr r="Q72" s="24"/>
      </tp>
      <tp t="e">
        <v>#N/A</v>
        <stp/>
        <stp>BDH|5396530047860566727</stp>
        <tr r="T75" s="17"/>
      </tp>
      <tp t="e">
        <v>#N/A</v>
        <stp/>
        <stp>BDH|4794464110711025318</stp>
        <tr r="S23" s="18"/>
      </tp>
      <tp t="e">
        <v>#N/A</v>
        <stp/>
        <stp>BDH|1701911671195102960</stp>
        <tr r="L35" s="25"/>
      </tp>
      <tp t="e">
        <v>#N/A</v>
        <stp/>
        <stp>BDH|4374108026857119346</stp>
        <tr r="M13" s="22"/>
      </tp>
      <tp t="e">
        <v>#N/A</v>
        <stp/>
        <stp>BDH|8940611838378234625</stp>
        <tr r="I9" s="25"/>
        <tr r="I44" s="17"/>
      </tp>
      <tp t="e">
        <v>#N/A</v>
        <stp/>
        <stp>BDH|7785474477677283051</stp>
        <tr r="J63" s="11"/>
        <tr r="J72" s="10"/>
      </tp>
      <tp t="e">
        <v>#N/A</v>
        <stp/>
        <stp>BDH|1286749346682432347</stp>
        <tr r="Z14" s="34"/>
      </tp>
      <tp t="e">
        <v>#N/A</v>
        <stp/>
        <stp>BDH|5505141811077655167</stp>
        <tr r="F70" s="17"/>
        <tr r="F18" s="3"/>
      </tp>
      <tp t="e">
        <v>#N/A</v>
        <stp/>
        <stp>BDH|2409533743375120551</stp>
        <tr r="K45" s="18"/>
      </tp>
      <tp t="e">
        <v>#N/A</v>
        <stp/>
        <stp>BDH|3340036216074046564</stp>
        <tr r="Q19" s="30"/>
      </tp>
      <tp t="e">
        <v>#N/A</v>
        <stp/>
        <stp>BDH|5647321846410239107</stp>
        <tr r="V133" s="18"/>
      </tp>
      <tp t="e">
        <v>#N/A</v>
        <stp/>
        <stp>BDH|9623943151642034431</stp>
        <tr r="K56" s="24"/>
      </tp>
      <tp t="e">
        <v>#N/A</v>
        <stp/>
        <stp>BDH|7871293245394376675</stp>
        <tr r="Y14" s="11"/>
      </tp>
      <tp t="e">
        <v>#N/A</v>
        <stp/>
        <stp>BDH|8117062682305536607</stp>
        <tr r="V61" s="18"/>
      </tp>
      <tp t="e">
        <v>#N/A</v>
        <stp/>
        <stp>BDH|8777220787210456164</stp>
        <tr r="G8" s="28"/>
      </tp>
      <tp t="e">
        <v>#N/A</v>
        <stp/>
        <stp>BDH|6406672748452914523</stp>
        <tr r="G60" s="17"/>
      </tp>
      <tp t="e">
        <v>#N/A</v>
        <stp/>
        <stp>BDH|2734967581298115813</stp>
        <tr r="X12" s="7"/>
      </tp>
      <tp t="e">
        <v>#N/A</v>
        <stp/>
        <stp>BDH|5709234522737411125</stp>
        <tr r="N48" s="13"/>
      </tp>
      <tp t="e">
        <v>#N/A</v>
        <stp/>
        <stp>BDH|2697777540324931688</stp>
        <tr r="H45" s="13"/>
        <tr r="F29" s="11"/>
        <tr r="F38" s="10"/>
      </tp>
      <tp t="e">
        <v>#N/A</v>
        <stp/>
        <stp>BDH|5250531298208903200</stp>
        <tr r="E205" s="18"/>
      </tp>
      <tp t="e">
        <v>#N/A</v>
        <stp/>
        <stp>BDH|5136757557767617354</stp>
        <tr r="I21" s="11"/>
      </tp>
      <tp t="e">
        <v>#N/A</v>
        <stp/>
        <stp>BDH|3997553641441833054</stp>
        <tr r="S39" s="26"/>
      </tp>
      <tp t="e">
        <v>#N/A</v>
        <stp/>
        <stp>BDH|4000564053972040550</stp>
        <tr r="R47" s="18"/>
      </tp>
      <tp t="e">
        <v>#N/A</v>
        <stp/>
        <stp>BDH|4676535870997475215</stp>
        <tr r="E6" s="6"/>
      </tp>
      <tp t="e">
        <v>#N/A</v>
        <stp/>
        <stp>BDH|9275888930323277282</stp>
        <tr r="J11" s="28"/>
      </tp>
      <tp t="e">
        <v>#N/A</v>
        <stp/>
        <stp>BDH|6684036658059967940</stp>
        <tr r="U39" s="25"/>
        <tr r="U22" s="13"/>
        <tr r="U7" s="13"/>
        <tr r="S17" s="11"/>
        <tr r="U7" s="3"/>
      </tp>
      <tp t="e">
        <v>#N/A</v>
        <stp/>
        <stp>BDH|2321076000850556111</stp>
        <tr r="M85" s="18"/>
      </tp>
      <tp t="e">
        <v>#N/A</v>
        <stp/>
        <stp>BDH|8461840972121398516</stp>
        <tr r="H12" s="11"/>
      </tp>
      <tp t="e">
        <v>#N/A</v>
        <stp/>
        <stp>BDH|5440359312481575566</stp>
        <tr r="S24" s="18"/>
      </tp>
      <tp t="e">
        <v>#N/A</v>
        <stp/>
        <stp>BDH|3143383576810618496</stp>
        <tr r="S21" s="27"/>
      </tp>
      <tp t="e">
        <v>#N/A</v>
        <stp/>
        <stp>BDH|4482054866125670412</stp>
        <tr r="R38" s="21"/>
        <tr r="R24" s="3"/>
      </tp>
      <tp t="e">
        <v>#N/A</v>
        <stp/>
        <stp>BDH|8846237990540872039</stp>
        <tr r="T24" s="9"/>
      </tp>
      <tp t="e">
        <v>#N/A</v>
        <stp/>
        <stp>BDH|1596778713703255738</stp>
        <tr r="Q11" s="11"/>
      </tp>
      <tp t="e">
        <v>#N/A</v>
        <stp/>
        <stp>BDH|9182633697671307466</stp>
        <tr r="N38" s="6"/>
      </tp>
      <tp t="e">
        <v>#N/A</v>
        <stp/>
        <stp>BDH|1161545736074797041</stp>
        <tr r="W18" s="12"/>
      </tp>
      <tp t="e">
        <v>#N/A</v>
        <stp/>
        <stp>BDH|5886397838442958405</stp>
        <tr r="Y65" s="13"/>
      </tp>
      <tp t="e">
        <v>#N/A</v>
        <stp/>
        <stp>BDH|1150820577924701936</stp>
        <tr r="AA43" s="22"/>
      </tp>
      <tp t="e">
        <v>#N/A</v>
        <stp/>
        <stp>BDH|4111557822789438928</stp>
        <tr r="D98" s="17"/>
      </tp>
      <tp t="e">
        <v>#N/A</v>
        <stp/>
        <stp>BDH|4359850292306240068</stp>
        <tr r="K42" s="11"/>
        <tr r="K51" s="10"/>
        <tr r="K14" s="7"/>
        <tr r="M9" s="3"/>
      </tp>
      <tp t="e">
        <v>#N/A</v>
        <stp/>
        <stp>BDH|3407776346850154346</stp>
        <tr r="M39" s="6"/>
      </tp>
      <tp t="e">
        <v>#N/A</v>
        <stp/>
        <stp>BDH|6388294737915918149</stp>
        <tr r="D15" s="21"/>
      </tp>
      <tp t="e">
        <v>#N/A</v>
        <stp/>
        <stp>BDH|8880770795017901235</stp>
        <tr r="H18" s="11"/>
      </tp>
      <tp t="e">
        <v>#N/A</v>
        <stp/>
        <stp>BDH|8494936576451334425</stp>
        <tr r="O58" s="12"/>
      </tp>
      <tp t="e">
        <v>#N/A</v>
        <stp/>
        <stp>BDH|2363521861933204123</stp>
        <tr r="Y23" s="25"/>
        <tr r="W20" s="11"/>
      </tp>
      <tp t="e">
        <v>#N/A</v>
        <stp/>
        <stp>BDH|2012034805495788414</stp>
        <tr r="X116" s="12"/>
      </tp>
      <tp t="e">
        <v>#N/A</v>
        <stp/>
        <stp>BDH|9595821995922445969</stp>
        <tr r="L102" s="12"/>
      </tp>
      <tp t="e">
        <v>#N/A</v>
        <stp/>
        <stp>BDH|2657435893999341552</stp>
        <tr r="O24" s="21"/>
      </tp>
      <tp t="e">
        <v>#N/A</v>
        <stp/>
        <stp>BDH|4073589096192912971</stp>
        <tr r="K112" s="18"/>
      </tp>
      <tp t="e">
        <v>#N/A</v>
        <stp/>
        <stp>BDH|5045407905177582505</stp>
        <tr r="Q48" s="6"/>
      </tp>
      <tp t="e">
        <v>#N/A</v>
        <stp/>
        <stp>BDH|1696649274874426724</stp>
        <tr r="V18" s="22"/>
      </tp>
      <tp t="e">
        <v>#N/A</v>
        <stp/>
        <stp>BDH|5739508026540268136</stp>
        <tr r="M16" s="22"/>
      </tp>
      <tp t="e">
        <v>#N/A</v>
        <stp/>
        <stp>BDH|5744636662441493721</stp>
        <tr r="V14" s="34"/>
      </tp>
      <tp t="e">
        <v>#N/A</v>
        <stp/>
        <stp>BDH|9264528165371145847</stp>
        <tr r="S37" s="29"/>
        <tr r="S23" s="29"/>
        <tr r="S14" s="29"/>
      </tp>
      <tp t="e">
        <v>#N/A</v>
        <stp/>
        <stp>BDH|3462686418024500301</stp>
        <tr r="H51" s="24"/>
      </tp>
      <tp t="e">
        <v>#N/A</v>
        <stp/>
        <stp>BDH|1310126503686615551</stp>
        <tr r="T94" s="12"/>
      </tp>
      <tp t="e">
        <v>#N/A</v>
        <stp/>
        <stp>BDH|8453746686683567722</stp>
        <tr r="L37" s="29"/>
        <tr r="L23" s="29"/>
        <tr r="L14" s="29"/>
      </tp>
      <tp t="e">
        <v>#N/A</v>
        <stp/>
        <stp>BDH|3918364842901974658</stp>
        <tr r="L92" s="24"/>
      </tp>
      <tp t="e">
        <v>#N/A</v>
        <stp/>
        <stp>BDH|4529861585210618713</stp>
        <tr r="U12" s="26"/>
      </tp>
      <tp t="e">
        <v>#N/A</v>
        <stp/>
        <stp>BDH|6127810931698321635</stp>
        <tr r="Q42" s="11"/>
        <tr r="Q51" s="10"/>
        <tr r="Q14" s="7"/>
        <tr r="S9" s="3"/>
      </tp>
      <tp t="e">
        <v>#N/A</v>
        <stp/>
        <stp>BDH|8381851255517390116</stp>
        <tr r="G58" s="18"/>
      </tp>
      <tp t="e">
        <v>#N/A</v>
        <stp/>
        <stp>BDH|5220610884930286840</stp>
        <tr r="Q16" s="11"/>
      </tp>
      <tp t="e">
        <v>#N/A</v>
        <stp/>
        <stp>BDH|8195547493827568023</stp>
        <tr r="W78" s="34"/>
      </tp>
      <tp t="e">
        <v>#N/A</v>
        <stp/>
        <stp>BDH|1335355826065809694</stp>
        <tr r="P202" s="18"/>
      </tp>
      <tp t="e">
        <v>#N/A</v>
        <stp/>
        <stp>BDH|2252004435050161275</stp>
        <tr r="J46" s="12"/>
      </tp>
      <tp t="e">
        <v>#N/A</v>
        <stp/>
        <stp>BDH|5404105393147048962</stp>
        <tr r="H133" s="18"/>
      </tp>
      <tp t="e">
        <v>#N/A</v>
        <stp/>
        <stp>BDH|6649369235451785433</stp>
        <tr r="G69" s="12"/>
      </tp>
      <tp t="e">
        <v>#N/A</v>
        <stp/>
        <stp>BDH|3372721366198548936</stp>
        <tr r="H68" s="18"/>
      </tp>
      <tp t="e">
        <v>#N/A</v>
        <stp/>
        <stp>BDH|4763872018288018692</stp>
        <tr r="F45" s="13"/>
        <tr r="D29" s="11"/>
        <tr r="D38" s="10"/>
      </tp>
      <tp t="e">
        <v>#N/A</v>
        <stp/>
        <stp>BDH|6713421905622131300</stp>
        <tr r="I12" s="25"/>
      </tp>
      <tp t="e">
        <v>#N/A</v>
        <stp/>
        <stp>BDH|7363047047962093215</stp>
        <tr r="Y90" s="12"/>
      </tp>
      <tp t="e">
        <v>#N/A</v>
        <stp/>
        <stp>BDH|9531946272034187039</stp>
        <tr r="G7" s="28"/>
      </tp>
      <tp t="e">
        <v>#N/A</v>
        <stp/>
        <stp>BDH|2149163765274629253</stp>
        <tr r="O31" s="26"/>
        <tr r="L14" s="9"/>
      </tp>
      <tp t="e">
        <v>#N/A</v>
        <stp/>
        <stp>BDH|7686497551745657099</stp>
        <tr r="L47" s="13"/>
      </tp>
      <tp t="e">
        <v>#N/A</v>
        <stp/>
        <stp>BDH|7343069830605269269</stp>
        <tr r="H60" s="13"/>
      </tp>
      <tp t="e">
        <v>#N/A</v>
        <stp/>
        <stp>BDH|7034517878970005689</stp>
        <tr r="N21" s="30"/>
      </tp>
      <tp t="e">
        <v>#N/A</v>
        <stp/>
        <stp>BDH|1473599132650787497</stp>
        <tr r="Y79" s="34"/>
      </tp>
      <tp t="e">
        <v>#N/A</v>
        <stp/>
        <stp>BDH|3093569161525522630</stp>
        <tr r="T34" s="26"/>
      </tp>
      <tp t="e">
        <v>#N/A</v>
        <stp/>
        <stp>BDH|2944552143034799498</stp>
        <tr r="M28" s="26"/>
      </tp>
      <tp t="e">
        <v>#N/A</v>
        <stp/>
        <stp>BDH|7748483000915803569</stp>
        <tr r="AA135" s="18"/>
      </tp>
      <tp t="e">
        <v>#N/A</v>
        <stp/>
        <stp>BDH|1324947785861525269</stp>
        <tr r="K49" s="18"/>
      </tp>
      <tp t="e">
        <v>#N/A</v>
        <stp/>
        <stp>BDH|6569770162446275233</stp>
        <tr r="S20" s="24"/>
      </tp>
      <tp t="e">
        <v>#N/A</v>
        <stp/>
        <stp>BDH|5628772803020601159</stp>
        <tr r="Z53" s="12"/>
      </tp>
      <tp t="e">
        <v>#N/A</v>
        <stp/>
        <stp>BDH|1430479367386196649</stp>
        <tr r="S19" s="28"/>
        <tr r="S16" s="17"/>
      </tp>
      <tp t="e">
        <v>#N/A</v>
        <stp/>
        <stp>BDH|1631538521123262674</stp>
        <tr r="L67" s="10"/>
      </tp>
      <tp t="e">
        <v>#N/A</v>
        <stp/>
        <stp>BDH|6045118655030140140</stp>
        <tr r="H69" s="13"/>
      </tp>
      <tp t="e">
        <v>#N/A</v>
        <stp/>
        <stp>BDH|2763837029128803348</stp>
        <tr r="P9" s="29"/>
      </tp>
      <tp t="e">
        <v>#N/A</v>
        <stp/>
        <stp>BDH|5480749491088190010</stp>
        <tr r="V11" s="17"/>
      </tp>
      <tp t="e">
        <v>#N/A</v>
        <stp/>
        <stp>BDH|9587923306153948096</stp>
        <tr r="W47" s="6"/>
      </tp>
      <tp t="e">
        <v>#N/A</v>
        <stp/>
        <stp>BDH|3722671202395382300</stp>
        <tr r="L64" s="34"/>
      </tp>
      <tp t="e">
        <v>#N/A</v>
        <stp/>
        <stp>BDH|2967029605508886979</stp>
        <tr r="H38" s="24"/>
      </tp>
      <tp t="e">
        <v>#N/A</v>
        <stp/>
        <stp>BDH|1301478094099265635</stp>
        <tr r="J66" s="10"/>
        <tr r="J39" s="4"/>
      </tp>
      <tp t="e">
        <v>#N/A</v>
        <stp/>
        <stp>BDH|3629049206781490118</stp>
        <tr r="R71" s="18"/>
      </tp>
      <tp t="e">
        <v>#N/A</v>
        <stp/>
        <stp>BDH|1090334643322447756</stp>
        <tr r="H18" s="12"/>
      </tp>
      <tp t="e">
        <v>#N/A</v>
        <stp/>
        <stp>BDH|1340610686424798825</stp>
        <tr r="H67" s="21"/>
      </tp>
      <tp t="e">
        <v>#N/A</v>
        <stp/>
        <stp>BDH|5833650723834631697</stp>
        <tr r="Y21" s="17"/>
      </tp>
      <tp t="e">
        <v>#N/A</v>
        <stp/>
        <stp>BDH|9215319790198643842</stp>
        <tr r="Q35" s="18"/>
      </tp>
      <tp t="e">
        <v>#N/A</v>
        <stp/>
        <stp>BDH|8412848811647195519</stp>
        <tr r="G75" s="12"/>
      </tp>
      <tp t="e">
        <v>#N/A</v>
        <stp/>
        <stp>BDH|2391562345255710566</stp>
        <tr r="O51" s="24"/>
      </tp>
      <tp t="e">
        <v>#N/A</v>
        <stp/>
        <stp>BDH|6712159815633458625</stp>
        <tr r="I31" s="17"/>
      </tp>
      <tp t="e">
        <v>#N/A</v>
        <stp/>
        <stp>BDH|6818361714702282591</stp>
        <tr r="T127" s="12"/>
      </tp>
      <tp t="e">
        <v>#N/A</v>
        <stp/>
        <stp>BDH|8903830349792387511</stp>
        <tr r="Y19" s="25"/>
      </tp>
      <tp t="e">
        <v>#N/A</v>
        <stp/>
        <stp>BDH|4902117127182809617</stp>
        <tr r="R22" s="10"/>
      </tp>
      <tp t="e">
        <v>#N/A</v>
        <stp/>
        <stp>BDH|1365193792613719993</stp>
        <tr r="D13" s="12"/>
      </tp>
      <tp t="e">
        <v>#N/A</v>
        <stp/>
        <stp>BDH|3101961421808011308</stp>
        <tr r="F38" s="25"/>
      </tp>
      <tp t="e">
        <v>#N/A</v>
        <stp/>
        <stp>BDH|9821732348728604137</stp>
        <tr r="V12" s="14"/>
      </tp>
      <tp t="e">
        <v>#N/A</v>
        <stp/>
        <stp>BDH|2393534449524600498</stp>
        <tr r="D9" s="10"/>
      </tp>
      <tp t="e">
        <v>#N/A</v>
        <stp/>
        <stp>BDH|2405980139728211316</stp>
        <tr r="S19" s="12"/>
      </tp>
      <tp t="e">
        <v>#N/A</v>
        <stp/>
        <stp>BDH|9147940200485543664</stp>
        <tr r="Y18" s="27"/>
        <tr r="Y32" s="25"/>
      </tp>
      <tp t="e">
        <v>#N/A</v>
        <stp/>
        <stp>BDH|5556650969940750689</stp>
        <tr r="O34" s="21"/>
      </tp>
      <tp t="e">
        <v>#N/A</v>
        <stp/>
        <stp>BDH|5602272736600041713</stp>
        <tr r="K93" s="18"/>
      </tp>
      <tp t="e">
        <v>#N/A</v>
        <stp/>
        <stp>BDH|8079910167140009405</stp>
        <tr r="J17" s="13"/>
      </tp>
      <tp t="e">
        <v>#N/A</v>
        <stp/>
        <stp>BDH|6810248273114923409</stp>
        <tr r="F9" s="18"/>
      </tp>
      <tp t="e">
        <v>#N/A</v>
        <stp/>
        <stp>BDH|9806582490771254743</stp>
        <tr r="X60" s="21"/>
        <tr r="V54" s="11"/>
      </tp>
      <tp t="e">
        <v>#N/A</v>
        <stp/>
        <stp>BDH|5996764860857159083</stp>
        <tr r="W77" s="12"/>
      </tp>
      <tp t="e">
        <v>#N/A</v>
        <stp/>
        <stp>BDH|9460843026093317337</stp>
        <tr r="R49" s="13"/>
      </tp>
      <tp t="e">
        <v>#N/A</v>
        <stp/>
        <stp>BDH|4361650919600947007</stp>
        <tr r="N59" s="12"/>
      </tp>
      <tp t="e">
        <v>#N/A</v>
        <stp/>
        <stp>BDH|3562206805745176773</stp>
        <tr r="K154" s="18"/>
      </tp>
      <tp t="e">
        <v>#N/A</v>
        <stp/>
        <stp>BDH|1474836685205362777</stp>
        <tr r="Y23" s="22"/>
      </tp>
      <tp t="e">
        <v>#N/A</v>
        <stp/>
        <stp>BDH|2457206950545026326</stp>
        <tr r="Z8" s="8"/>
      </tp>
      <tp t="e">
        <v>#N/A</v>
        <stp/>
        <stp>BDH|7647646957811771648</stp>
        <tr r="AA90" s="17"/>
      </tp>
      <tp t="e">
        <v>#N/A</v>
        <stp/>
        <stp>BDH|2260958710091191802</stp>
        <tr r="E26" s="6"/>
      </tp>
      <tp t="e">
        <v>#N/A</v>
        <stp/>
        <stp>BDH|7442171564115297639</stp>
        <tr r="V19" s="28"/>
        <tr r="V16" s="17"/>
      </tp>
      <tp t="e">
        <v>#N/A</v>
        <stp/>
        <stp>BDH|8176358666949045746</stp>
        <tr r="G60" s="13"/>
      </tp>
      <tp t="e">
        <v>#N/A</v>
        <stp/>
        <stp>BDH|7345634777182618774</stp>
        <tr r="W35" s="26"/>
      </tp>
      <tp t="e">
        <v>#N/A</v>
        <stp/>
        <stp>BDH|2121523476597766446</stp>
        <tr r="S130" s="18"/>
      </tp>
      <tp t="e">
        <v>#N/A</v>
        <stp/>
        <stp>BDH|1419147861710226554</stp>
        <tr r="P203" s="18"/>
      </tp>
      <tp t="e">
        <v>#N/A</v>
        <stp/>
        <stp>BDH|7795541603248490924</stp>
        <tr r="Z48" s="13"/>
      </tp>
      <tp t="e">
        <v>#N/A</v>
        <stp/>
        <stp>BDH|2234147712946582773</stp>
        <tr r="K57" s="12"/>
      </tp>
      <tp t="e">
        <v>#N/A</v>
        <stp/>
        <stp>BDH|4206814620674376963</stp>
        <tr r="R30" s="11"/>
        <tr r="R39" s="10"/>
      </tp>
      <tp t="e">
        <v>#N/A</v>
        <stp/>
        <stp>BDH|2903427013552634687</stp>
        <tr r="J49" s="21"/>
      </tp>
      <tp t="e">
        <v>#N/A</v>
        <stp/>
        <stp>BDH|4624441740040474702</stp>
        <tr r="F24" s="24"/>
      </tp>
      <tp t="e">
        <v>#N/A</v>
        <stp/>
        <stp>BDH|5141237757144741540</stp>
        <tr r="V19" s="13"/>
        <tr r="T62" s="10"/>
        <tr r="T32" s="4"/>
        <tr r="T16" s="2"/>
      </tp>
      <tp t="e">
        <v>#N/A</v>
        <stp/>
        <stp>BDH|7421662900320146251</stp>
        <tr r="W67" s="17"/>
      </tp>
      <tp t="e">
        <v>#N/A</v>
        <stp/>
        <stp>BDH|6017144808427910336</stp>
        <tr r="AA12" s="13"/>
      </tp>
      <tp t="e">
        <v>#N/A</v>
        <stp/>
        <stp>BDH|5719268167484888683</stp>
        <tr r="Q30" s="26"/>
      </tp>
      <tp t="e">
        <v>#N/A</v>
        <stp/>
        <stp>BDH|6233501617628453978</stp>
        <tr r="Q22" s="18"/>
      </tp>
      <tp t="e">
        <v>#N/A</v>
        <stp/>
        <stp>BDH|5547769737030425266</stp>
        <tr r="Z9" s="18"/>
      </tp>
      <tp t="e">
        <v>#N/A</v>
        <stp/>
        <stp>BDH|2194053571333336502</stp>
        <tr r="J12" s="27"/>
        <tr r="J26" s="25"/>
      </tp>
      <tp t="e">
        <v>#N/A</v>
        <stp/>
        <stp>BDH|6066256420063210619</stp>
        <tr r="S60" s="11"/>
      </tp>
      <tp t="e">
        <v>#N/A</v>
        <stp/>
        <stp>BDH|6371164961885624741</stp>
        <tr r="H9" s="8"/>
        <tr r="F52" s="6"/>
      </tp>
      <tp t="e">
        <v>#N/A</v>
        <stp/>
        <stp>BDH|7006096863394996654</stp>
        <tr r="U13" s="24"/>
      </tp>
      <tp t="e">
        <v>#N/A</v>
        <stp/>
        <stp>BDH|6379371457637413419</stp>
        <tr r="Z24" s="13"/>
      </tp>
      <tp t="e">
        <v>#N/A</v>
        <stp/>
        <stp>BDH|3995634445476178486</stp>
        <tr r="K18" s="11"/>
      </tp>
      <tp t="e">
        <v>#N/A</v>
        <stp/>
        <stp>BDH|6117854787161249478</stp>
        <tr r="S32" s="13"/>
        <tr r="Q24" s="11"/>
        <tr r="Q33" s="10"/>
        <tr r="Q45" s="4"/>
      </tp>
      <tp t="e">
        <v>#N/A</v>
        <stp/>
        <stp>BDH|7659244597279780640</stp>
        <tr r="D213" s="18"/>
      </tp>
      <tp t="e">
        <v>#N/A</v>
        <stp/>
        <stp>BDH|3290507571714454616</stp>
        <tr r="N8" s="17"/>
      </tp>
      <tp t="e">
        <v>#N/A</v>
        <stp/>
        <stp>BDH|3835660308995365336</stp>
        <tr r="F12" s="18"/>
      </tp>
      <tp t="e">
        <v>#N/A</v>
        <stp/>
        <stp>BDH|9704854721700091057</stp>
        <tr r="Q27" s="21"/>
      </tp>
      <tp t="e">
        <v>#N/A</v>
        <stp/>
        <stp>BDH|2837972994982858350</stp>
        <tr r="Z59" s="13"/>
      </tp>
      <tp t="e">
        <v>#N/A</v>
        <stp/>
        <stp>BDH|3258478979466348590</stp>
        <tr r="T21" s="24"/>
      </tp>
      <tp t="e">
        <v>#N/A</v>
        <stp/>
        <stp>BDH|4750587133831326094</stp>
        <tr r="P16" s="25"/>
      </tp>
      <tp t="e">
        <v>#N/A</v>
        <stp/>
        <stp>BDH|1716811607802434834</stp>
        <tr r="M70" s="24"/>
      </tp>
      <tp t="e">
        <v>#N/A</v>
        <stp/>
        <stp>BDH|3294840983547230710</stp>
        <tr r="O38" s="25"/>
      </tp>
      <tp t="e">
        <v>#N/A</v>
        <stp/>
        <stp>BDH|3221521838414885261</stp>
        <tr r="V13" s="6"/>
      </tp>
      <tp t="e">
        <v>#N/A</v>
        <stp/>
        <stp>BDH|4831535215770904300</stp>
        <tr r="X94" s="18"/>
      </tp>
      <tp t="e">
        <v>#N/A</v>
        <stp/>
        <stp>BDH|4030732354446574353</stp>
        <tr r="X71" s="12"/>
      </tp>
      <tp t="e">
        <v>#N/A</v>
        <stp/>
        <stp>BDH|4444343765052709056</stp>
        <tr r="T34" s="17"/>
      </tp>
      <tp t="e">
        <v>#N/A</v>
        <stp/>
        <stp>BDH|7409268533864733112</stp>
        <tr r="G99" s="18"/>
      </tp>
      <tp t="e">
        <v>#N/A</v>
        <stp/>
        <stp>BDH|1979014507644032687</stp>
        <tr r="D167" s="18"/>
      </tp>
      <tp t="e">
        <v>#N/A</v>
        <stp/>
        <stp>BDH|4126184978994593536</stp>
        <tr r="Y68" s="12"/>
      </tp>
      <tp t="e">
        <v>#N/A</v>
        <stp/>
        <stp>BDH|9139982641745804276</stp>
        <tr r="J12" s="18"/>
      </tp>
      <tp t="e">
        <v>#N/A</v>
        <stp/>
        <stp>BDH|4412775257614303101</stp>
        <tr r="Z51" s="24"/>
      </tp>
      <tp t="e">
        <v>#N/A</v>
        <stp/>
        <stp>BDH|8235442956369161367</stp>
        <tr r="N31" s="5"/>
      </tp>
      <tp t="e">
        <v>#N/A</v>
        <stp/>
        <stp>BDH|7409299493497063899</stp>
        <tr r="S120" s="12"/>
      </tp>
      <tp t="e">
        <v>#N/A</v>
        <stp/>
        <stp>BDH|4056405872372366667</stp>
        <tr r="M115" s="12"/>
      </tp>
      <tp t="e">
        <v>#N/A</v>
        <stp/>
        <stp>BDH|8385065622831069801</stp>
        <tr r="S22" s="34"/>
      </tp>
      <tp t="e">
        <v>#N/A</v>
        <stp/>
        <stp>BDH|3325231745405232301</stp>
        <tr r="Y29" s="18"/>
      </tp>
      <tp t="e">
        <v>#N/A</v>
        <stp/>
        <stp>BDH|9987957360951250496</stp>
        <tr r="G152" s="18"/>
      </tp>
      <tp t="e">
        <v>#N/A</v>
        <stp/>
        <stp>BDH|4150880063350967945</stp>
        <tr r="Q95" s="12"/>
      </tp>
      <tp t="e">
        <v>#N/A</v>
        <stp/>
        <stp>BDH|6008514336147426442</stp>
        <tr r="F49" s="34"/>
      </tp>
      <tp t="e">
        <v>#N/A</v>
        <stp/>
        <stp>BDH|1638780064317565482</stp>
        <tr r="H128" s="18"/>
      </tp>
      <tp t="e">
        <v>#N/A</v>
        <stp/>
        <stp>BDH|3726666927065667175</stp>
        <tr r="AA22" s="34"/>
      </tp>
      <tp t="e">
        <v>#N/A</v>
        <stp/>
        <stp>BDH|6807676348637409047</stp>
        <tr r="K56" s="17"/>
      </tp>
      <tp t="e">
        <v>#N/A</v>
        <stp/>
        <stp>BDH|2020662308545178285</stp>
        <tr r="G60" s="11"/>
      </tp>
      <tp t="e">
        <v>#N/A</v>
        <stp/>
        <stp>BDH|9308680643450601893</stp>
        <tr r="Q39" s="6"/>
      </tp>
      <tp t="e">
        <v>#N/A</v>
        <stp/>
        <stp>BDH|5274898617619867639</stp>
        <tr r="R87" s="18"/>
      </tp>
      <tp t="e">
        <v>#N/A</v>
        <stp/>
        <stp>BDH|7952222108927504118</stp>
        <tr r="D89" s="18"/>
      </tp>
      <tp t="e">
        <v>#N/A</v>
        <stp/>
        <stp>BDH|5307726800307239640</stp>
        <tr r="F21" s="11"/>
      </tp>
      <tp t="e">
        <v>#N/A</v>
        <stp/>
        <stp>BDH|2640726087857433900</stp>
        <tr r="G20" s="9"/>
      </tp>
      <tp t="e">
        <v>#N/A</v>
        <stp/>
        <stp>BDH|7027164221813724475</stp>
        <tr r="W11" s="6"/>
      </tp>
      <tp t="e">
        <v>#N/A</v>
        <stp/>
        <stp>BDH|7295054471250264330</stp>
        <tr r="F47" s="24"/>
      </tp>
      <tp t="e">
        <v>#N/A</v>
        <stp/>
        <stp>BDH|1029739063610358340</stp>
        <tr r="X25" s="29"/>
        <tr r="X19" s="29"/>
        <tr r="X10" s="29"/>
        <tr r="V6" s="9"/>
        <tr r="X12" s="8"/>
        <tr r="V6" s="5"/>
        <tr r="W6" s="2"/>
      </tp>
      <tp t="e">
        <v>#N/A</v>
        <stp/>
        <stp>BDH|4563445229862907360</stp>
        <tr r="AA15" s="12"/>
      </tp>
      <tp t="e">
        <v>#N/A</v>
        <stp/>
        <stp>BDH|2199602825436461372</stp>
        <tr r="R63" s="13"/>
      </tp>
      <tp t="e">
        <v>#N/A</v>
        <stp/>
        <stp>BDH|4259134747980919282</stp>
        <tr r="U20" s="24"/>
      </tp>
      <tp t="e">
        <v>#N/A</v>
        <stp/>
        <stp>BDH|6262198314011104494</stp>
        <tr r="M11" s="20"/>
        <tr r="M120" s="18"/>
      </tp>
      <tp t="e">
        <v>#N/A</v>
        <stp/>
        <stp>BDH|2285640364576262771</stp>
        <tr r="K175" s="18"/>
      </tp>
      <tp t="e">
        <v>#N/A</v>
        <stp/>
        <stp>BDH|1854294510977148671</stp>
        <tr r="P14" s="23"/>
      </tp>
      <tp t="e">
        <v>#N/A</v>
        <stp/>
        <stp>BDH|2126159364346705004</stp>
        <tr r="Q7" s="27"/>
        <tr r="Q95" s="17"/>
      </tp>
      <tp t="e">
        <v>#N/A</v>
        <stp/>
        <stp>BDH|2128693325374388196</stp>
        <tr r="I90" s="12"/>
      </tp>
      <tp t="e">
        <v>#N/A</v>
        <stp/>
        <stp>BDH|4882290731845246358</stp>
        <tr r="L8" s="20"/>
        <tr r="L118" s="18"/>
      </tp>
      <tp t="e">
        <v>#N/A</v>
        <stp/>
        <stp>BDH|5431615645224407038</stp>
        <tr r="C94" s="12"/>
      </tp>
      <tp t="e">
        <v>#N/A</v>
        <stp/>
        <stp>BDH|7953380573247731728</stp>
        <tr r="D130" s="18"/>
      </tp>
      <tp t="e">
        <v>#N/A</v>
        <stp/>
        <stp>BDH|7053442723313198111</stp>
        <tr r="J78" s="12"/>
      </tp>
      <tp t="e">
        <v>#N/A</v>
        <stp/>
        <stp>BDH|7491856961002612812</stp>
        <tr r="C69" s="10"/>
      </tp>
      <tp t="e">
        <v>#N/A</v>
        <stp/>
        <stp>BDH|1561769223347716002</stp>
        <tr r="S13" s="8"/>
      </tp>
      <tp t="e">
        <v>#N/A</v>
        <stp/>
        <stp>BDH|9790724661859592263</stp>
        <tr r="I21" s="27"/>
      </tp>
      <tp t="e">
        <v>#N/A</v>
        <stp/>
        <stp>BDH|7841382522914657134</stp>
        <tr r="L9" s="24"/>
      </tp>
      <tp t="e">
        <v>#N/A</v>
        <stp/>
        <stp>BDH|1000283359292364759</stp>
        <tr r="T33" s="18"/>
      </tp>
      <tp t="e">
        <v>#N/A</v>
        <stp/>
        <stp>BDH|4023673492009279108</stp>
        <tr r="G14" s="24"/>
      </tp>
      <tp t="e">
        <v>#N/A</v>
        <stp/>
        <stp>BDH|4798025971107139720</stp>
        <tr r="U11" s="28"/>
      </tp>
      <tp t="e">
        <v>#N/A</v>
        <stp/>
        <stp>BDH|1751920816262115858</stp>
        <tr r="L157" s="18"/>
      </tp>
      <tp t="e">
        <v>#N/A</v>
        <stp/>
        <stp>BDH|2887499066594734779</stp>
        <tr r="S23" s="6"/>
      </tp>
      <tp t="e">
        <v>#N/A</v>
        <stp/>
        <stp>BDH|1848727988799639406</stp>
        <tr r="R24" s="2"/>
      </tp>
      <tp t="e">
        <v>#N/A</v>
        <stp/>
        <stp>BDH|2492105817936607714</stp>
        <tr r="Z203" s="18"/>
      </tp>
      <tp t="e">
        <v>#N/A</v>
        <stp/>
        <stp>BDH|4208265213650011433</stp>
        <tr r="I46" s="22"/>
      </tp>
      <tp t="e">
        <v>#N/A</v>
        <stp/>
        <stp>BDH|9680972687132091922</stp>
        <tr r="Z151" s="18"/>
      </tp>
      <tp t="e">
        <v>#N/A</v>
        <stp/>
        <stp>BDH|5029609393980522920</stp>
        <tr r="J157" s="18"/>
      </tp>
      <tp t="e">
        <v>#N/A</v>
        <stp/>
        <stp>BDH|7651843313309429417</stp>
        <tr r="X38" s="24"/>
      </tp>
      <tp t="e">
        <v>#N/A</v>
        <stp/>
        <stp>BDH|1065693315503102692</stp>
        <tr r="R34" s="17"/>
      </tp>
      <tp t="e">
        <v>#N/A</v>
        <stp/>
        <stp>BDH|1838445552394338794</stp>
        <tr r="N33" s="5"/>
      </tp>
      <tp t="e">
        <v>#N/A</v>
        <stp/>
        <stp>BDH|1543636904640023464</stp>
        <tr r="T33" s="17"/>
      </tp>
      <tp t="e">
        <v>#N/A</v>
        <stp/>
        <stp>BDH|9515918767985477035</stp>
        <tr r="V24" s="21"/>
      </tp>
      <tp t="e">
        <v>#N/A</v>
        <stp/>
        <stp>BDH|1141596679491400113</stp>
        <tr r="K22" s="21"/>
      </tp>
      <tp t="e">
        <v>#N/A</v>
        <stp/>
        <stp>BDH|1829218959717205269</stp>
        <tr r="S142" s="18"/>
      </tp>
      <tp t="e">
        <v>#N/A</v>
        <stp/>
        <stp>BDH|3996264161311383592</stp>
        <tr r="C24" s="27"/>
      </tp>
      <tp t="e">
        <v>#N/A</v>
        <stp/>
        <stp>BDH|6382697715554995627</stp>
        <tr r="G38" s="25"/>
      </tp>
      <tp t="e">
        <v>#N/A</v>
        <stp/>
        <stp>BDH|3930203546945991324</stp>
        <tr r="N86" s="17"/>
      </tp>
      <tp t="e">
        <v>#N/A</v>
        <stp/>
        <stp>BDH|5712317205270766506</stp>
        <tr r="J19" s="23"/>
        <tr r="H59" s="11"/>
      </tp>
      <tp t="e">
        <v>#N/A</v>
        <stp/>
        <stp>BDH|2195105214417149608</stp>
        <tr r="S17" s="30"/>
      </tp>
      <tp t="e">
        <v>#N/A</v>
        <stp/>
        <stp>BDH|5780175105883741465</stp>
        <tr r="H34" s="21"/>
      </tp>
      <tp t="e">
        <v>#N/A</v>
        <stp/>
        <stp>BDH|3804464291119360484</stp>
        <tr r="AA111" s="18"/>
      </tp>
      <tp t="e">
        <v>#N/A</v>
        <stp/>
        <stp>BDH|1165771466903581011</stp>
        <tr r="Z21" s="17"/>
      </tp>
      <tp t="e">
        <v>#N/A</v>
        <stp/>
        <stp>BDH|8247691783705564092</stp>
        <tr r="L7" s="17"/>
      </tp>
      <tp t="e">
        <v>#N/A</v>
        <stp/>
        <stp>BDH|6993799443035751303</stp>
        <tr r="G42" s="17"/>
      </tp>
      <tp t="e">
        <v>#N/A</v>
        <stp/>
        <stp>BDH|6588265096876518842</stp>
        <tr r="N68" s="17"/>
      </tp>
      <tp t="e">
        <v>#N/A</v>
        <stp/>
        <stp>BDH|6970953799394039112</stp>
        <tr r="E95" s="18"/>
      </tp>
      <tp t="e">
        <v>#N/A</v>
        <stp/>
        <stp>BDH|6086454376936255056</stp>
        <tr r="M30" s="22"/>
      </tp>
      <tp t="e">
        <v>#N/A</v>
        <stp/>
        <stp>BDH|4135511653822799505</stp>
        <tr r="U62" s="12"/>
      </tp>
      <tp t="e">
        <v>#N/A</v>
        <stp/>
        <stp>BDH|7213564111140242039</stp>
        <tr r="S98" s="17"/>
      </tp>
      <tp t="e">
        <v>#N/A</v>
        <stp/>
        <stp>BDH|8263850512184588646</stp>
        <tr r="U31" s="22"/>
      </tp>
      <tp t="e">
        <v>#N/A</v>
        <stp/>
        <stp>BDH|8298917150655774206</stp>
        <tr r="M18" s="21"/>
      </tp>
      <tp t="e">
        <v>#N/A</v>
        <stp/>
        <stp>BDH|4779408795293012964</stp>
        <tr r="O19" s="22"/>
      </tp>
      <tp t="e">
        <v>#N/A</v>
        <stp/>
        <stp>BDH|9863801518082488107</stp>
        <tr r="Z103" s="18"/>
      </tp>
      <tp t="e">
        <v>#N/A</v>
        <stp/>
        <stp>BDH|7992636230971977079</stp>
        <tr r="D13" s="9"/>
      </tp>
      <tp t="e">
        <v>#N/A</v>
        <stp/>
        <stp>BDH|5409258316191122423</stp>
        <tr r="Y14" s="28"/>
      </tp>
      <tp t="e">
        <v>#N/A</v>
        <stp/>
        <stp>BDH|3207405146053241329</stp>
        <tr r="Z38" s="12"/>
      </tp>
      <tp t="e">
        <v>#N/A</v>
        <stp/>
        <stp>BDH|2379611757737028518</stp>
        <tr r="P9" s="12"/>
      </tp>
      <tp t="e">
        <v>#N/A</v>
        <stp/>
        <stp>BDH|1589662864607662551</stp>
        <tr r="N18" s="10"/>
      </tp>
      <tp t="e">
        <v>#N/A</v>
        <stp/>
        <stp>BDH|5651791679783282500</stp>
        <tr r="V13" s="8"/>
      </tp>
      <tp t="e">
        <v>#N/A</v>
        <stp/>
        <stp>BDH|6783340111005457227</stp>
        <tr r="M36" s="14"/>
      </tp>
      <tp t="e">
        <v>#N/A</v>
        <stp/>
        <stp>BDH|7239094338931208654</stp>
        <tr r="V14" s="20"/>
        <tr r="V123" s="18"/>
      </tp>
      <tp t="e">
        <v>#N/A</v>
        <stp/>
        <stp>BDH|7549744457675040328</stp>
        <tr r="P56" s="24"/>
      </tp>
      <tp t="e">
        <v>#N/A</v>
        <stp/>
        <stp>BDH|5055862061960445877</stp>
        <tr r="N33" s="18"/>
      </tp>
      <tp t="e">
        <v>#N/A</v>
        <stp/>
        <stp>BDH|7012561263216263139</stp>
        <tr r="K26" s="6"/>
      </tp>
      <tp t="e">
        <v>#N/A</v>
        <stp/>
        <stp>BDH|4336866297932118470</stp>
        <tr r="Y92" s="18"/>
      </tp>
      <tp t="e">
        <v>#N/A</v>
        <stp/>
        <stp>BDH|2766518140227608740</stp>
        <tr r="V8" s="24"/>
      </tp>
      <tp t="e">
        <v>#N/A</v>
        <stp/>
        <stp>BDH|6117178222383023504</stp>
        <tr r="J95" s="24"/>
      </tp>
      <tp t="e">
        <v>#N/A</v>
        <stp/>
        <stp>BDH|3390641005742566436</stp>
        <tr r="Y39" s="26"/>
      </tp>
      <tp t="e">
        <v>#N/A</v>
        <stp/>
        <stp>BDH|5813438529719278946</stp>
        <tr r="J81" s="12"/>
      </tp>
      <tp t="e">
        <v>#N/A</v>
        <stp/>
        <stp>BDH|7294671515672533113</stp>
        <tr r="X6" s="28"/>
      </tp>
      <tp t="e">
        <v>#N/A</v>
        <stp/>
        <stp>BDH|6324774697323521829</stp>
        <tr r="Y33" s="12"/>
      </tp>
      <tp t="e">
        <v>#N/A</v>
        <stp/>
        <stp>BDH|7495350434942087616</stp>
        <tr r="S13" s="6"/>
      </tp>
      <tp t="e">
        <v>#N/A</v>
        <stp/>
        <stp>BDH|4530656974293989591</stp>
        <tr r="U25" s="34"/>
      </tp>
      <tp t="e">
        <v>#N/A</v>
        <stp/>
        <stp>BDH|7333328050804315673</stp>
        <tr r="N82" s="24"/>
      </tp>
      <tp t="e">
        <v>#N/A</v>
        <stp/>
        <stp>BDH|1256817134361590879</stp>
        <tr r="Y20" s="17"/>
      </tp>
      <tp t="e">
        <v>#N/A</v>
        <stp/>
        <stp>BDH|2294237084579322238</stp>
        <tr r="P9" s="25"/>
        <tr r="P44" s="17"/>
      </tp>
      <tp t="e">
        <v>#N/A</v>
        <stp/>
        <stp>BDH|5447768495540389810</stp>
        <tr r="U64" s="10"/>
      </tp>
      <tp t="e">
        <v>#N/A</v>
        <stp/>
        <stp>BDH|7063703070573673737</stp>
        <tr r="V21" s="27"/>
      </tp>
      <tp t="e">
        <v>#N/A</v>
        <stp/>
        <stp>BDH|1684010669862234693</stp>
        <tr r="G92" s="24"/>
      </tp>
      <tp t="e">
        <v>#N/A</v>
        <stp/>
        <stp>BDH|5704619200854693458</stp>
        <tr r="V13" s="21"/>
      </tp>
      <tp t="e">
        <v>#N/A</v>
        <stp/>
        <stp>BDH|9273102930499463137</stp>
        <tr r="X22" s="14"/>
      </tp>
      <tp t="e">
        <v>#N/A</v>
        <stp/>
        <stp>BDH|3317179981488254129</stp>
        <tr r="P26" s="34"/>
      </tp>
      <tp t="e">
        <v>#N/A</v>
        <stp/>
        <stp>BDH|3622600045757178572</stp>
        <tr r="M26" s="29"/>
      </tp>
      <tp t="e">
        <v>#N/A</v>
        <stp/>
        <stp>BDH|6216540752636156301</stp>
        <tr r="D7" s="8"/>
      </tp>
      <tp t="e">
        <v>#N/A</v>
        <stp/>
        <stp>BDH|7221513576423471541</stp>
        <tr r="U88" s="17"/>
      </tp>
      <tp t="e">
        <v>#N/A</v>
        <stp/>
        <stp>BDH|7244838144690992890</stp>
        <tr r="N23" s="6"/>
      </tp>
      <tp t="e">
        <v>#N/A</v>
        <stp/>
        <stp>BDH|8713939869545167198</stp>
        <tr r="M104" s="12"/>
      </tp>
      <tp t="e">
        <v>#N/A</v>
        <stp/>
        <stp>BDH|9701776897423451764</stp>
        <tr r="U26" s="27"/>
      </tp>
      <tp t="e">
        <v>#N/A</v>
        <stp/>
        <stp>BDH|8434539933714767968</stp>
        <tr r="J105" s="18"/>
      </tp>
      <tp t="e">
        <v>#N/A</v>
        <stp/>
        <stp>BDH|4303199558846136560</stp>
        <tr r="F181" s="18"/>
      </tp>
      <tp t="e">
        <v>#N/A</v>
        <stp/>
        <stp>BDH|4262984214678938725</stp>
        <tr r="O68" s="12"/>
      </tp>
      <tp t="e">
        <v>#N/A</v>
        <stp/>
        <stp>BDH|1502237499498326193</stp>
        <tr r="C185" s="18"/>
      </tp>
      <tp t="e">
        <v>#N/A</v>
        <stp/>
        <stp>BDH|7710864922029722715</stp>
        <tr r="J13" s="5"/>
      </tp>
      <tp t="e">
        <v>#N/A</v>
        <stp/>
        <stp>BDH|8233386494718900927</stp>
        <tr r="P28" s="21"/>
      </tp>
      <tp t="e">
        <v>#N/A</v>
        <stp/>
        <stp>BDH|1298426080968202673</stp>
        <tr r="G22" s="34"/>
      </tp>
      <tp t="e">
        <v>#N/A</v>
        <stp/>
        <stp>BDH|4867694666206748150</stp>
        <tr r="N60" s="13"/>
      </tp>
      <tp t="e">
        <v>#N/A</v>
        <stp/>
        <stp>BDH|7828624439670362152</stp>
        <tr r="I147" s="18"/>
      </tp>
      <tp t="e">
        <v>#N/A</v>
        <stp/>
        <stp>BDH|5094486829358783833</stp>
        <tr r="P13" s="34"/>
      </tp>
      <tp t="e">
        <v>#N/A</v>
        <stp/>
        <stp>BDH|9226962350163347523</stp>
        <tr r="W161" s="18"/>
      </tp>
      <tp t="e">
        <v>#N/A</v>
        <stp/>
        <stp>BDH|7371435732877396445</stp>
        <tr r="E42" s="22"/>
      </tp>
      <tp t="e">
        <v>#N/A</v>
        <stp/>
        <stp>BDH|3987936692130888051</stp>
        <tr r="O14" s="20"/>
        <tr r="O123" s="18"/>
      </tp>
      <tp t="e">
        <v>#N/A</v>
        <stp/>
        <stp>BDH|1873364706713552288</stp>
        <tr r="R182" s="18"/>
      </tp>
      <tp t="e">
        <v>#N/A</v>
        <stp/>
        <stp>BDH|9980983465130276534</stp>
        <tr r="L59" s="34"/>
      </tp>
      <tp t="e">
        <v>#N/A</v>
        <stp/>
        <stp>BDH|7437142505836663366</stp>
        <tr r="J55" s="24"/>
      </tp>
      <tp t="e">
        <v>#N/A</v>
        <stp/>
        <stp>BDH|4193651303056646745</stp>
        <tr r="P37" s="22"/>
      </tp>
      <tp t="e">
        <v>#N/A</v>
        <stp/>
        <stp>BDH|7256539220223535014</stp>
        <tr r="X34" s="9"/>
      </tp>
      <tp t="e">
        <v>#N/A</v>
        <stp/>
        <stp>BDH|3532579030003173565</stp>
        <tr r="U10" s="13"/>
      </tp>
      <tp t="e">
        <v>#N/A</v>
        <stp/>
        <stp>BDH|1764152757240894687</stp>
        <tr r="S17" s="20"/>
      </tp>
      <tp t="e">
        <v>#N/A</v>
        <stp/>
        <stp>BDH|8189339395924500570</stp>
        <tr r="Q19" s="24"/>
      </tp>
      <tp t="e">
        <v>#N/A</v>
        <stp/>
        <stp>BDH|1565818437058547130</stp>
        <tr r="Y65" s="12"/>
      </tp>
      <tp t="e">
        <v>#N/A</v>
        <stp/>
        <stp>BDH|4024426602053398067</stp>
        <tr r="R54" s="17"/>
        <tr r="R17" s="3"/>
      </tp>
      <tp t="e">
        <v>#N/A</v>
        <stp/>
        <stp>BDH|6351009658269769992</stp>
        <tr r="V8" s="2"/>
      </tp>
      <tp t="e">
        <v>#N/A</v>
        <stp/>
        <stp>BDH|6240003103755043049</stp>
        <tr r="N42" s="34"/>
      </tp>
      <tp t="e">
        <v>#N/A</v>
        <stp/>
        <stp>BDH|8550268890082240244</stp>
        <tr r="D79" s="18"/>
      </tp>
      <tp t="e">
        <v>#N/A</v>
        <stp/>
        <stp>BDH|8884300964469099798</stp>
        <tr r="F26" s="34"/>
      </tp>
      <tp t="e">
        <v>#N/A</v>
        <stp/>
        <stp>BDH|6735105317086292372</stp>
        <tr r="J13" s="22"/>
      </tp>
      <tp t="e">
        <v>#N/A</v>
        <stp/>
        <stp>BDH|9296226860249467716</stp>
        <tr r="U45" s="18"/>
      </tp>
      <tp t="e">
        <v>#N/A</v>
        <stp/>
        <stp>BDH|8613993689723703949</stp>
        <tr r="Q74" s="17"/>
      </tp>
      <tp t="e">
        <v>#N/A</v>
        <stp/>
        <stp>BDH|7256554262737990093</stp>
        <tr r="Y127" s="18"/>
      </tp>
      <tp t="e">
        <v>#N/A</v>
        <stp/>
        <stp>BDH|8508461993370281676</stp>
        <tr r="E50" s="12"/>
      </tp>
      <tp t="e">
        <v>#N/A</v>
        <stp/>
        <stp>BDH|3407518644576054744</stp>
        <tr r="P20" s="29"/>
      </tp>
      <tp t="e">
        <v>#N/A</v>
        <stp/>
        <stp>BDH|9085940464537531202</stp>
        <tr r="G78" s="18"/>
      </tp>
      <tp t="e">
        <v>#N/A</v>
        <stp/>
        <stp>BDH|7028619472461267445</stp>
        <tr r="W9" s="30"/>
      </tp>
      <tp t="e">
        <v>#N/A</v>
        <stp/>
        <stp>BDH|1721587015796844079</stp>
        <tr r="O35" s="21"/>
      </tp>
      <tp t="e">
        <v>#N/A</v>
        <stp/>
        <stp>BDH|5035697991358484190</stp>
        <tr r="Y8" s="21"/>
      </tp>
      <tp t="e">
        <v>#N/A</v>
        <stp/>
        <stp>BDH|2416666854680492276</stp>
        <tr r="M8" s="21"/>
      </tp>
      <tp t="e">
        <v>#N/A</v>
        <stp/>
        <stp>BDH|4032411006444403768</stp>
        <tr r="C151" s="18"/>
      </tp>
      <tp t="e">
        <v>#N/A</v>
        <stp/>
        <stp>BDH|8751842055872110420</stp>
        <tr r="L108" s="12"/>
      </tp>
      <tp t="e">
        <v>#N/A</v>
        <stp/>
        <stp>BDH|1638142272235549109</stp>
        <tr r="S176" s="18"/>
      </tp>
      <tp t="e">
        <v>#N/A</v>
        <stp/>
        <stp>BDH|3566556930371688735</stp>
        <tr r="M8" s="13"/>
      </tp>
      <tp t="e">
        <v>#N/A</v>
        <stp/>
        <stp>BDH|8400274244804171935</stp>
        <tr r="K62" s="13"/>
      </tp>
      <tp t="e">
        <v>#N/A</v>
        <stp/>
        <stp>BDH|1582099679831349433</stp>
        <tr r="E46" s="6"/>
        <tr r="E19" s="5"/>
      </tp>
      <tp t="e">
        <v>#N/A</v>
        <stp/>
        <stp>BDH|2537013806961046073</stp>
        <tr r="Y77" s="24"/>
      </tp>
      <tp t="e">
        <v>#N/A</v>
        <stp/>
        <stp>BDH|1076644900263862799</stp>
        <tr r="K214" s="18"/>
      </tp>
      <tp t="e">
        <v>#N/A</v>
        <stp/>
        <stp>BDH|27028396961327608</stp>
        <tr r="V35" s="14"/>
      </tp>
      <tp t="e">
        <v>#N/A</v>
        <stp/>
        <stp>BDH|14877402545273337</stp>
        <tr r="R80" s="34"/>
      </tp>
      <tp t="e">
        <v>#N/A</v>
        <stp/>
        <stp>BDH|17376893573501743</stp>
        <tr r="V41" s="29"/>
        <tr r="V18" s="29"/>
      </tp>
      <tp t="e">
        <v>#N/A</v>
        <stp/>
        <stp>BDH|45652841825747914</stp>
        <tr r="Q21" s="22"/>
      </tp>
      <tp t="e">
        <v>#N/A</v>
        <stp/>
        <stp>BDH|58849898426987951</stp>
        <tr r="L121" s="12"/>
      </tp>
      <tp t="e">
        <v>#N/A</v>
        <stp/>
        <stp>BDH|47798080648310941</stp>
        <tr r="U209" s="18"/>
      </tp>
      <tp t="e">
        <v>#N/A</v>
        <stp/>
        <stp>BDH|31376659099260164</stp>
        <tr r="Y71" s="34"/>
      </tp>
      <tp t="e">
        <v>#N/A</v>
        <stp/>
        <stp>BDH|37699882528008806</stp>
        <tr r="S51" s="12"/>
      </tp>
      <tp t="e">
        <v>#N/A</v>
        <stp/>
        <stp>BDH|38278834729980615</stp>
        <tr r="I23" s="23"/>
      </tp>
      <tp t="e">
        <v>#N/A</v>
        <stp/>
        <stp>BDH|61657988605018541</stp>
        <tr r="S29" s="12"/>
      </tp>
      <tp t="e">
        <v>#N/A</v>
        <stp/>
        <stp>BDH|510794572176247303</stp>
        <tr r="U65" s="12"/>
      </tp>
      <tp t="e">
        <v>#N/A</v>
        <stp/>
        <stp>BDH|434615768595618074</stp>
        <tr r="E16" s="14"/>
      </tp>
      <tp t="e">
        <v>#N/A</v>
        <stp/>
        <stp>BDH|242363824115812140</stp>
        <tr r="E31" s="11"/>
        <tr r="E40" s="10"/>
      </tp>
      <tp t="e">
        <v>#N/A</v>
        <stp/>
        <stp>BDH|475883454039520109</stp>
        <tr r="D58" s="24"/>
      </tp>
      <tp t="e">
        <v>#N/A</v>
        <stp/>
        <stp>BDH|334595573057576017</stp>
        <tr r="N25" s="9"/>
      </tp>
      <tp t="e">
        <v>#N/A</v>
        <stp/>
        <stp>BDH|408971791844944157</stp>
        <tr r="L13" s="13"/>
      </tp>
      <tp t="e">
        <v>#N/A</v>
        <stp/>
        <stp>BDH|477339529105513151</stp>
        <tr r="R69" s="10"/>
      </tp>
      <tp t="e">
        <v>#N/A</v>
        <stp/>
        <stp>BDH|432492732707085513</stp>
        <tr r="X30" s="26"/>
      </tp>
      <tp t="e">
        <v>#N/A</v>
        <stp/>
        <stp>BDH|551656928724059563</stp>
        <tr r="G22" s="30"/>
        <tr r="G24" s="23"/>
      </tp>
      <tp t="e">
        <v>#N/A</v>
        <stp/>
        <stp>BDH|355372717911953648</stp>
        <tr r="G94" s="18"/>
      </tp>
      <tp t="e">
        <v>#N/A</v>
        <stp/>
        <stp>BDH|374442015626866646</stp>
        <tr r="Q33" s="34"/>
      </tp>
      <tp t="e">
        <v>#N/A</v>
        <stp/>
        <stp>BDH|831208702961107651</stp>
        <tr r="Y28" s="17"/>
      </tp>
      <tp t="e">
        <v>#N/A</v>
        <stp/>
        <stp>BDH|110552702994099487</stp>
        <tr r="J22" s="30"/>
        <tr r="J24" s="23"/>
      </tp>
      <tp t="e">
        <v>#N/A</v>
        <stp/>
        <stp>BDH|411322546644725685</stp>
        <tr r="T16" s="26"/>
      </tp>
      <tp t="e">
        <v>#N/A</v>
        <stp/>
        <stp>BDH|257702812093812070</stp>
        <tr r="E35" s="14"/>
      </tp>
      <tp t="e">
        <v>#N/A</v>
        <stp/>
        <stp>BDH|600657564656007387</stp>
        <tr r="Q136" s="18"/>
      </tp>
      <tp t="e">
        <v>#N/A</v>
        <stp/>
        <stp>BDH|351592155323552654</stp>
        <tr r="X28" s="34"/>
      </tp>
      <tp t="e">
        <v>#N/A</v>
        <stp/>
        <stp>BDH|135404988038972189</stp>
        <tr r="M98" s="17"/>
      </tp>
      <tp t="e">
        <v>#N/A</v>
        <stp/>
        <stp>BDH|577122787799948519</stp>
        <tr r="W149" s="18"/>
      </tp>
      <tp t="e">
        <v>#N/A</v>
        <stp/>
        <stp>BDH|827712916172765108</stp>
        <tr r="Q6" s="15"/>
        <tr r="Q6" s="10"/>
        <tr r="Q11" s="4"/>
        <tr r="Q12" s="2"/>
      </tp>
      <tp t="e">
        <v>#N/A</v>
        <stp/>
        <stp>BDH|610795215457039421</stp>
        <tr r="J18" s="22"/>
      </tp>
      <tp t="e">
        <v>#N/A</v>
        <stp/>
        <stp>BDH|624915543330938854</stp>
        <tr r="AA8" s="28"/>
      </tp>
      <tp t="e">
        <v>#N/A</v>
        <stp/>
        <stp>BDH|264454537217118597</stp>
        <tr r="D30" s="18"/>
      </tp>
      <tp t="e">
        <v>#N/A</v>
        <stp/>
        <stp>BDH|314504715649948873</stp>
        <tr r="S97" s="12"/>
      </tp>
      <tp t="e">
        <v>#N/A</v>
        <stp/>
        <stp>BDH|973631173456748263</stp>
        <tr r="X29" s="18"/>
      </tp>
      <tp t="e">
        <v>#N/A</v>
        <stp/>
        <stp>BDH|763792913870442302</stp>
        <tr r="X10" s="21"/>
      </tp>
      <tp t="e">
        <v>#N/A</v>
        <stp/>
        <stp>BDH|429766573936913314</stp>
        <tr r="F22" s="30"/>
        <tr r="F24" s="23"/>
      </tp>
      <tp t="e">
        <v>#N/A</v>
        <stp/>
        <stp>BDH|762674858086996089</stp>
        <tr r="C41" s="6"/>
        <tr r="C18" s="5"/>
      </tp>
      <tp t="e">
        <v>#N/A</v>
        <stp/>
        <stp>BDH|126056919087228364</stp>
        <tr r="F56" s="12"/>
      </tp>
      <tp t="e">
        <v>#N/A</v>
        <stp/>
        <stp>BDH|139643235306160684</stp>
        <tr r="X174" s="18"/>
      </tp>
      <tp t="e">
        <v>#N/A</v>
        <stp/>
        <stp>BDH|557543999268649174</stp>
        <tr r="D75" s="18"/>
      </tp>
      <tp t="e">
        <v>#N/A</v>
        <stp/>
        <stp>BDH|849100974434632708</stp>
        <tr r="T12" s="6"/>
      </tp>
      <tp t="e">
        <v>#N/A</v>
        <stp/>
        <stp>BDH|990291185589922661</stp>
        <tr r="H28" s="26"/>
      </tp>
      <tp t="e">
        <v>#N/A</v>
        <stp/>
        <stp>BDH|590189654215458479</stp>
        <tr r="U15" s="22"/>
      </tp>
      <tp t="e">
        <v>#N/A</v>
        <stp/>
        <stp>BDH|805652367015656068</stp>
        <tr r="G9" s="10"/>
      </tp>
      <tp t="e">
        <v>#N/A</v>
        <stp/>
        <stp>BDH|867023273531546366</stp>
        <tr r="M16" s="23"/>
      </tp>
      <tp t="e">
        <v>#N/A</v>
        <stp/>
        <stp>BDH|190386061990060023</stp>
        <tr r="N27" s="12"/>
      </tp>
      <tp t="e">
        <v>#N/A</v>
        <stp/>
        <stp>BDH|843172837027436078</stp>
        <tr r="K95" s="18"/>
      </tp>
      <tp t="e">
        <v>#N/A</v>
        <stp/>
        <stp>BDH|122654475624350096</stp>
        <tr r="N62" s="34"/>
      </tp>
      <tp t="e">
        <v>#N/A</v>
        <stp/>
        <stp>BDH|539555905837716799</stp>
        <tr r="L19" s="13"/>
        <tr r="J62" s="10"/>
        <tr r="J32" s="4"/>
        <tr r="J16" s="2"/>
      </tp>
      <tp t="e">
        <v>#N/A</v>
        <stp/>
        <stp>BDH|298251656187001555</stp>
        <tr r="P45" s="13"/>
        <tr r="N29" s="11"/>
        <tr r="N38" s="10"/>
      </tp>
      <tp t="e">
        <v>#N/A</v>
        <stp/>
        <stp>BDH|851695247292186521</stp>
        <tr r="Q20" s="9"/>
      </tp>
      <tp t="e">
        <v>#N/A</v>
        <stp/>
        <stp>BDH|854217547965272692</stp>
        <tr r="S199" s="18"/>
      </tp>
      <tp t="e">
        <v>#N/A</v>
        <stp/>
        <stp>BDH|300162035794363361</stp>
        <tr r="Y49" s="13"/>
      </tp>
      <tp t="e">
        <v>#N/A</v>
        <stp/>
        <stp>BDH|120416616598262816</stp>
        <tr r="U30" s="26"/>
      </tp>
      <tp t="e">
        <v>#N/A</v>
        <stp/>
        <stp>BDH|214335790198395744</stp>
        <tr r="S67" s="13"/>
      </tp>
      <tp t="e">
        <v>#N/A</v>
        <stp/>
        <stp>BDH|272465912443097301</stp>
        <tr r="Y55" s="21"/>
      </tp>
      <tp t="e">
        <v>#N/A</v>
        <stp/>
        <stp>BDH|131509356464565144</stp>
        <tr r="U24" s="22"/>
      </tp>
      <tp t="e">
        <v>#N/A</v>
        <stp/>
        <stp>BDH|743186984885902946</stp>
        <tr r="W66" s="13"/>
      </tp>
      <tp t="e">
        <v>#N/A</v>
        <stp/>
        <stp>BDH|292158917081582434</stp>
        <tr r="C88" s="24"/>
      </tp>
      <tp t="e">
        <v>#N/A</v>
        <stp/>
        <stp>BDH|499034222365117222</stp>
        <tr r="H44" s="13"/>
        <tr r="F28" s="11"/>
        <tr r="F37" s="10"/>
      </tp>
      <tp t="e">
        <v>#N/A</v>
        <stp/>
        <stp>BDH|990562571683199494</stp>
        <tr r="L18" s="9"/>
      </tp>
      <tp t="e">
        <v>#N/A</v>
        <stp/>
        <stp>BDH|771101452646199729</stp>
        <tr r="V24" s="24"/>
      </tp>
      <tp t="e">
        <v>#N/A</v>
        <stp/>
        <stp>BDH|611528117657723635</stp>
        <tr r="U12" s="6"/>
      </tp>
      <tp t="e">
        <v>#N/A</v>
        <stp/>
        <stp>BDH|610816325858652735</stp>
        <tr r="C12" s="20"/>
        <tr r="C121" s="18"/>
      </tp>
      <tp t="e">
        <v>#N/A</v>
        <stp/>
        <stp>BDH|376543025406270478</stp>
        <tr r="G19" s="30"/>
      </tp>
      <tp t="e">
        <v>#N/A</v>
        <stp/>
        <stp>BDH|808663978020466457</stp>
        <tr r="V68" s="10"/>
      </tp>
      <tp t="e">
        <v>#N/A</v>
        <stp/>
        <stp>BDH|627704393602506977</stp>
        <tr r="X36" s="14"/>
      </tp>
      <tp t="e">
        <v>#N/A</v>
        <stp/>
        <stp>BDH|517404802339643865</stp>
        <tr r="R41" s="34"/>
      </tp>
      <tp t="e">
        <v>#N/A</v>
        <stp/>
        <stp>BDH|727714432677197652</stp>
        <tr r="K150" s="18"/>
      </tp>
      <tp t="e">
        <v>#N/A</v>
        <stp/>
        <stp>BDH|283034365976771539</stp>
        <tr r="K31" s="21"/>
      </tp>
      <tp t="e">
        <v>#N/A</v>
        <stp/>
        <stp>BDH|893212503132952536</stp>
        <tr r="Z59" s="17"/>
      </tp>
      <tp t="e">
        <v>#N/A</v>
        <stp/>
        <stp>BDH|687610736505616575</stp>
        <tr r="W169" s="18"/>
      </tp>
      <tp t="e">
        <v>#N/A</v>
        <stp/>
        <stp>BDH|475234401591329658</stp>
        <tr r="U36" s="22"/>
      </tp>
      <tp t="e">
        <v>#N/A</v>
        <stp/>
        <stp>BDH|217038548693992204</stp>
        <tr r="L152" s="18"/>
      </tp>
      <tp t="e">
        <v>#N/A</v>
        <stp/>
        <stp>BDH|205607028337341691</stp>
        <tr r="T59" s="13"/>
      </tp>
      <tp t="e">
        <v>#N/A</v>
        <stp/>
        <stp>BDH|431226764420610145</stp>
        <tr r="D18" s="20"/>
      </tp>
      <tp t="e">
        <v>#N/A</v>
        <stp/>
        <stp>BDH|650042930135057338</stp>
        <tr r="I44" s="12"/>
      </tp>
      <tp t="e">
        <v>#N/A</v>
        <stp/>
        <stp>BDH|745665710855874786</stp>
        <tr r="L97" s="17"/>
      </tp>
      <tp t="e">
        <v>#N/A</v>
        <stp/>
        <stp>BDH|164578108663712385</stp>
        <tr r="I65" s="12"/>
      </tp>
      <tp t="e">
        <v>#N/A</v>
        <stp/>
        <stp>BDH|147779277063993694</stp>
        <tr r="J98" s="17"/>
      </tp>
      <tp t="e">
        <v>#N/A</v>
        <stp/>
        <stp>BDH|932198314646432319</stp>
        <tr r="Y8" s="14"/>
      </tp>
      <tp t="e">
        <v>#N/A</v>
        <stp/>
        <stp>BDH|493806985931832482</stp>
        <tr r="C47" s="13"/>
      </tp>
      <tp t="e">
        <v>#N/A</v>
        <stp/>
        <stp>BDH|132304910744866382</stp>
        <tr r="R58" s="6"/>
      </tp>
      <tp t="e">
        <v>#N/A</v>
        <stp/>
        <stp>BDH|848615624510992166</stp>
        <tr r="L27" s="26"/>
      </tp>
      <tp t="e">
        <v>#N/A</v>
        <stp/>
        <stp>BDH|897252461420640186</stp>
        <tr r="S19" s="34"/>
      </tp>
      <tp t="e">
        <v>#N/A</v>
        <stp/>
        <stp>BDH|581421198778889051</stp>
        <tr r="Q56" s="34"/>
      </tp>
      <tp t="e">
        <v>#N/A</v>
        <stp/>
        <stp>BDH|405086218762653600</stp>
        <tr r="H94" s="24"/>
      </tp>
      <tp t="e">
        <v>#N/A</v>
        <stp/>
        <stp>BDH|832186179413966037</stp>
        <tr r="F15" s="14"/>
      </tp>
      <tp t="e">
        <v>#N/A</v>
        <stp/>
        <stp>BDH|230196452013849220</stp>
        <tr r="R18" s="26"/>
      </tp>
      <tp t="e">
        <v>#N/A</v>
        <stp/>
        <stp>BDH|476818030597599937</stp>
        <tr r="I32" s="12"/>
      </tp>
      <tp t="e">
        <v>#N/A</v>
        <stp/>
        <stp>BDH|114420796548436022</stp>
        <tr r="AA36" s="34"/>
      </tp>
      <tp t="e">
        <v>#N/A</v>
        <stp/>
        <stp>BDH|102374378386813753</stp>
        <tr r="P15" s="9"/>
      </tp>
      <tp t="e">
        <v>#N/A</v>
        <stp/>
        <stp>BDH|202187280589380451</stp>
        <tr r="O120" s="12"/>
      </tp>
      <tp t="e">
        <v>#N/A</v>
        <stp/>
        <stp>BDH|908122419843867765</stp>
        <tr r="X37" s="21"/>
      </tp>
      <tp t="e">
        <v>#N/A</v>
        <stp/>
        <stp>BDH|497941675053909906</stp>
        <tr r="AA28" s="14"/>
      </tp>
      <tp t="e">
        <v>#N/A</v>
        <stp/>
        <stp>BDH|184899885654996080</stp>
        <tr r="Y13" s="34"/>
      </tp>
      <tp t="e">
        <v>#N/A</v>
        <stp/>
        <stp>BDH|607361463592888370</stp>
        <tr r="W11" s="24"/>
      </tp>
      <tp t="e">
        <v>#N/A</v>
        <stp/>
        <stp>BDH|332266681797170997</stp>
        <tr r="S23" s="23"/>
      </tp>
      <tp t="e">
        <v>#N/A</v>
        <stp/>
        <stp>BDH|506641349667245166</stp>
        <tr r="M18" s="34"/>
      </tp>
      <tp t="e">
        <v>#N/A</v>
        <stp/>
        <stp>BDH|834159079727824516</stp>
        <tr r="D38" s="6"/>
      </tp>
      <tp t="e">
        <v>#N/A</v>
        <stp/>
        <stp>BDH|420769902006478592</stp>
        <tr r="L203" s="18"/>
      </tp>
      <tp t="e">
        <v>#N/A</v>
        <stp/>
        <stp>BDH|768799937299619923</stp>
        <tr r="C158" s="18"/>
      </tp>
      <tp t="e">
        <v>#N/A</v>
        <stp/>
        <stp>BDH|164053426485937360</stp>
        <tr r="P104" s="18"/>
      </tp>
      <tp t="e">
        <v>#N/A</v>
        <stp/>
        <stp>BDH|613888276708787325</stp>
        <tr r="W19" s="21"/>
        <tr r="W23" s="3"/>
        <tr r="U23" s="2"/>
      </tp>
      <tp t="e">
        <v>#N/A</v>
        <stp/>
        <stp>BDH|311643979453062631</stp>
        <tr r="C58" s="34"/>
      </tp>
      <tp t="e">
        <v>#N/A</v>
        <stp/>
        <stp>BDH|555595925966668514</stp>
        <tr r="U27" s="6"/>
      </tp>
      <tp t="e">
        <v>#N/A</v>
        <stp/>
        <stp>BDH|899125100657054244</stp>
        <tr r="AA36" s="22"/>
      </tp>
      <tp t="e">
        <v>#N/A</v>
        <stp/>
        <stp>BDH|628111559945167514</stp>
        <tr r="X61" s="21"/>
      </tp>
      <tp t="e">
        <v>#N/A</v>
        <stp/>
        <stp>BDH|808509640012572731</stp>
        <tr r="W26" s="7"/>
      </tp>
      <tp t="e">
        <v>#N/A</v>
        <stp/>
        <stp>BDH|157591347271491452</stp>
        <tr r="U60" s="21"/>
        <tr r="S54" s="11"/>
      </tp>
      <tp t="e">
        <v>#N/A</v>
        <stp/>
        <stp>BDH|890753397569254371</stp>
        <tr r="L76" s="12"/>
      </tp>
      <tp t="e">
        <v>#N/A</v>
        <stp/>
        <stp>BDH|857011032984521317</stp>
        <tr r="X72" s="12"/>
      </tp>
      <tp t="e">
        <v>#N/A</v>
        <stp/>
        <stp>BDH|558391726290762529</stp>
        <tr r="H99" s="12"/>
      </tp>
      <tp t="e">
        <v>#N/A</v>
        <stp/>
        <stp>BDH|970523256337288306</stp>
        <tr r="S129" s="18"/>
      </tp>
      <tp t="e">
        <v>#N/A</v>
        <stp/>
        <stp>BDH|733543915800037092</stp>
        <tr r="V57" s="18"/>
      </tp>
      <tp t="e">
        <v>#N/A</v>
        <stp/>
        <stp>BDH|555430763231395790</stp>
        <tr r="O59" s="34"/>
      </tp>
      <tp t="e">
        <v>#N/A</v>
        <stp/>
        <stp>BDH|959081631892072584</stp>
        <tr r="K117" s="12"/>
      </tp>
      <tp t="e">
        <v>#N/A</v>
        <stp/>
        <stp>BDH|835543680310384974</stp>
        <tr r="W158" s="18"/>
      </tp>
      <tp t="e">
        <v>#N/A</v>
        <stp/>
        <stp>BDH|673780541660349749</stp>
        <tr r="S50" s="17"/>
      </tp>
      <tp t="e">
        <v>#N/A</v>
        <stp/>
        <stp>BDH|511240276816632798</stp>
        <tr r="H12" s="13"/>
      </tp>
      <tp t="e">
        <v>#N/A</v>
        <stp/>
        <stp>BDH|444361323252965705</stp>
        <tr r="P179" s="18"/>
      </tp>
      <tp t="e">
        <v>#N/A</v>
        <stp/>
        <stp>BDH|413305268443609224</stp>
        <tr r="T24" s="20"/>
      </tp>
      <tp t="e">
        <v>#N/A</v>
        <stp/>
        <stp>BDH|320426220110936218</stp>
        <tr r="T17" s="30"/>
      </tp>
      <tp t="e">
        <v>#N/A</v>
        <stp/>
        <stp>BDH|218499972090425749</stp>
        <tr r="U32" s="17"/>
      </tp>
      <tp t="e">
        <v>#N/A</v>
        <stp/>
        <stp>BDH|718048113917071296</stp>
        <tr r="R18" s="17"/>
      </tp>
      <tp t="e">
        <v>#N/A</v>
        <stp/>
        <stp>BDH|282625019306720546</stp>
        <tr r="L209" s="18"/>
      </tp>
      <tp t="e">
        <v>#N/A</v>
        <stp/>
        <stp>BDH|301068325221260787</stp>
        <tr r="O80" s="24"/>
      </tp>
      <tp t="e">
        <v>#N/A</v>
        <stp/>
        <stp>BDH|132300049654246708</stp>
        <tr r="V54" s="24"/>
      </tp>
      <tp t="e">
        <v>#N/A</v>
        <stp/>
        <stp>BDH|802771453736517038</stp>
        <tr r="T207" s="18"/>
      </tp>
      <tp t="e">
        <v>#N/A</v>
        <stp/>
        <stp>BDH|596304066770134186</stp>
        <tr r="U49" s="12"/>
      </tp>
      <tp t="e">
        <v>#N/A</v>
        <stp/>
        <stp>BDH|929802134726293951</stp>
        <tr r="E62" s="21"/>
        <tr r="C25" s="2"/>
      </tp>
      <tp t="e">
        <v>#N/A</v>
        <stp/>
        <stp>BDH|389797430517167706</stp>
        <tr r="H75" s="12"/>
      </tp>
      <tp t="e">
        <v>#N/A</v>
        <stp/>
        <stp>BDH|729829631177806871</stp>
        <tr r="O35" s="12"/>
      </tp>
      <tp t="e">
        <v>#N/A</v>
        <stp/>
        <stp>BDH|933707013535703768</stp>
        <tr r="L14" s="34"/>
      </tp>
      <tp t="e">
        <v>#N/A</v>
        <stp/>
        <stp>BDH|762086806542591675</stp>
        <tr r="X19" s="24"/>
      </tp>
      <tp t="e">
        <v>#N/A</v>
        <stp/>
        <stp>BDH|405329765986090787</stp>
        <tr r="C173" s="18"/>
      </tp>
      <tp t="e">
        <v>#N/A</v>
        <stp/>
        <stp>BDH|436240758364698756</stp>
        <tr r="K61" s="21"/>
      </tp>
      <tp t="e">
        <v>#N/A</v>
        <stp/>
        <stp>BDH|271087842643476371</stp>
        <tr r="V183" s="18"/>
      </tp>
      <tp t="e">
        <v>#N/A</v>
        <stp/>
        <stp>BDH|230779442347721044</stp>
        <tr r="N38" s="25"/>
      </tp>
      <tp t="e">
        <v>#N/A</v>
        <stp/>
        <stp>BDH|789415548854302099</stp>
        <tr r="D48" s="6"/>
      </tp>
      <tp t="e">
        <v>#N/A</v>
        <stp/>
        <stp>BDH|733182444831629099</stp>
        <tr r="W24" s="6"/>
      </tp>
      <tp t="e">
        <v>#N/A</v>
        <stp/>
        <stp>BDH|831456458663213633</stp>
        <tr r="S116" s="12"/>
      </tp>
      <tp t="e">
        <v>#N/A</v>
        <stp/>
        <stp>BDH|160254175817529609</stp>
        <tr r="N64" s="13"/>
      </tp>
      <tp t="e">
        <v>#N/A</v>
        <stp/>
        <stp>BDH|184400143427499321</stp>
        <tr r="F43" s="13"/>
        <tr r="D35" s="11"/>
        <tr r="D44" s="10"/>
        <tr r="D52" s="4"/>
        <tr r="F8" s="3"/>
      </tp>
      <tp t="e">
        <v>#N/A</v>
        <stp/>
        <stp>BDH|589224978032807326</stp>
        <tr r="K19" s="22"/>
      </tp>
      <tp t="e">
        <v>#N/A</v>
        <stp/>
        <stp>BDH|939024041320690096</stp>
        <tr r="V61" s="21"/>
      </tp>
      <tp t="e">
        <v>#N/A</v>
        <stp/>
        <stp>BDH|861020019622265740</stp>
        <tr r="K11" s="11"/>
      </tp>
      <tp t="e">
        <v>#N/A</v>
        <stp/>
        <stp>BDH|788388160553217283</stp>
        <tr r="P22" s="14"/>
      </tp>
      <tp t="e">
        <v>#N/A</v>
        <stp/>
        <stp>BDH|229413204982401252</stp>
        <tr r="N45" s="21"/>
      </tp>
      <tp t="e">
        <v>#N/A</v>
        <stp/>
        <stp>BDH|653907914488689426</stp>
        <tr r="O67" s="10"/>
      </tp>
      <tp t="e">
        <v>#N/A</v>
        <stp/>
        <stp>BDH|464631670277286233</stp>
        <tr r="E94" s="12"/>
      </tp>
      <tp t="e">
        <v>#N/A</v>
        <stp/>
        <stp>BDH|604156167920088328</stp>
        <tr r="X21" s="17"/>
      </tp>
      <tp t="e">
        <v>#N/A</v>
        <stp/>
        <stp>BDH|415456614970428171</stp>
        <tr r="O50" s="18"/>
      </tp>
      <tp t="e">
        <v>#N/A</v>
        <stp/>
        <stp>BDH|710651236596175734</stp>
        <tr r="W23" s="6"/>
      </tp>
      <tp t="e">
        <v>#N/A</v>
        <stp/>
        <stp>BDH|668406275104421316</stp>
        <tr r="F65" s="13"/>
      </tp>
      <tp t="e">
        <v>#N/A</v>
        <stp/>
        <stp>BDH|782708635603119352</stp>
        <tr r="U56" s="6"/>
      </tp>
      <tp t="e">
        <v>#N/A</v>
        <stp/>
        <stp>BDH|585471472434112367</stp>
        <tr r="M48" s="6"/>
      </tp>
      <tp t="e">
        <v>#N/A</v>
        <stp/>
        <stp>BDH|697012968574009687</stp>
        <tr r="I21" s="10"/>
      </tp>
      <tp t="e">
        <v>#N/A</v>
        <stp/>
        <stp>BDH|155118465047046425</stp>
        <tr r="I25" s="5"/>
      </tp>
      <tp t="e">
        <v>#N/A</v>
        <stp/>
        <stp>BDH|872948655950729890</stp>
        <tr r="X9" s="6"/>
      </tp>
      <tp t="e">
        <v>#N/A</v>
        <stp/>
        <stp>BDH|130871257528516144</stp>
        <tr r="F65" s="12"/>
      </tp>
      <tp t="e">
        <v>#N/A</v>
        <stp/>
        <stp>BDH|769230074051771072</stp>
        <tr r="U35" s="26"/>
      </tp>
      <tp t="e">
        <v>#N/A</v>
        <stp/>
        <stp>BDH|402551948674995108</stp>
        <tr r="K8" s="25"/>
        <tr r="H10" s="5"/>
        <tr r="I9" s="2"/>
      </tp>
      <tp t="e">
        <v>#N/A</v>
        <stp/>
        <stp>BDH|348245550417602413</stp>
        <tr r="R64" s="13"/>
      </tp>
      <tp t="e">
        <v>#N/A</v>
        <stp/>
        <stp>BDH|407770022931787064</stp>
        <tr r="E45" s="12"/>
      </tp>
      <tp t="e">
        <v>#N/A</v>
        <stp/>
        <stp>BDH|275791928427154638</stp>
        <tr r="G13" s="21"/>
      </tp>
      <tp t="e">
        <v>#N/A</v>
        <stp/>
        <stp>BDH|649736573780392440</stp>
        <tr r="V18" s="21"/>
      </tp>
      <tp t="e">
        <v>#N/A</v>
        <stp/>
        <stp>BDH|872034439921029635</stp>
        <tr r="G14" s="20"/>
        <tr r="G123" s="18"/>
      </tp>
      <tp t="e">
        <v>#N/A</v>
        <stp/>
        <stp>BDH|636379027324528126</stp>
        <tr r="D7" s="14"/>
      </tp>
      <tp t="e">
        <v>#N/A</v>
        <stp/>
        <stp>BDH|237954196454784078</stp>
        <tr r="Z54" s="17"/>
        <tr r="Z17" s="3"/>
      </tp>
      <tp t="e">
        <v>#N/A</v>
        <stp/>
        <stp>BDH|248530287628408134</stp>
        <tr r="S7" s="23"/>
      </tp>
      <tp t="e">
        <v>#N/A</v>
        <stp/>
        <stp>BDH|954512603278851927</stp>
        <tr r="F31" s="9"/>
      </tp>
      <tp t="e">
        <v>#N/A</v>
        <stp/>
        <stp>BDH|193915810995940985</stp>
        <tr r="Q13" s="12"/>
      </tp>
      <tp t="e">
        <v>#N/A</v>
        <stp/>
        <stp>BDH|663181731697847161</stp>
        <tr r="O36" s="29"/>
        <tr r="O22" s="29"/>
        <tr r="O13" s="29"/>
      </tp>
      <tp t="e">
        <v>#N/A</v>
        <stp/>
        <stp>BDH|288365834625431160</stp>
        <tr r="U49" s="18"/>
      </tp>
      <tp t="e">
        <v>#N/A</v>
        <stp/>
        <stp>BDH|999088542447710766</stp>
        <tr r="J24" s="22"/>
      </tp>
      <tp t="e">
        <v>#N/A</v>
        <stp/>
        <stp>BDH|518701541226750115</stp>
        <tr r="G158" s="18"/>
      </tp>
      <tp t="e">
        <v>#N/A</v>
        <stp/>
        <stp>BDH|532711117680741263</stp>
        <tr r="AA79" s="24"/>
      </tp>
      <tp t="e">
        <v>#N/A</v>
        <stp/>
        <stp>BDH|211362486118179713</stp>
        <tr r="S14" s="24"/>
      </tp>
      <tp t="e">
        <v>#N/A</v>
        <stp/>
        <stp>BDH|428695209555290753</stp>
        <tr r="K33" s="21"/>
      </tp>
      <tp t="e">
        <v>#N/A</v>
        <stp/>
        <stp>BDH|585450200279021931</stp>
        <tr r="E30" s="22"/>
      </tp>
      <tp t="e">
        <v>#N/A</v>
        <stp/>
        <stp>BDH|586783650334966277</stp>
        <tr r="T44" s="12"/>
      </tp>
      <tp t="e">
        <v>#N/A</v>
        <stp/>
        <stp>BDH|817008528014794249</stp>
        <tr r="F55" s="13"/>
        <tr r="D37" s="11"/>
        <tr r="D46" s="10"/>
        <tr r="D53" s="4"/>
        <tr r="D18" s="2"/>
      </tp>
      <tp t="e">
        <v>#N/A</v>
        <stp/>
        <stp>BDH|833929330067061990</stp>
        <tr r="P40" s="22"/>
      </tp>
      <tp t="e">
        <v>#N/A</v>
        <stp/>
        <stp>BDH|153705124991160073</stp>
        <tr r="S126" s="18"/>
      </tp>
      <tp t="e">
        <v>#N/A</v>
        <stp/>
        <stp>BDH|678374345473151063</stp>
        <tr r="T14" s="11"/>
      </tp>
      <tp t="e">
        <v>#N/A</v>
        <stp/>
        <stp>BDH|191357910792270458</stp>
        <tr r="T67" s="18"/>
      </tp>
      <tp t="e">
        <v>#N/A</v>
        <stp/>
        <stp>BDH|526635814931198201</stp>
        <tr r="F109" s="12"/>
      </tp>
      <tp t="e">
        <v>#N/A</v>
        <stp/>
        <stp>BDH|739069842072081207</stp>
        <tr r="Q6" s="27"/>
      </tp>
      <tp t="e">
        <v>#N/A</v>
        <stp/>
        <stp>BDH|857965381871065736</stp>
        <tr r="W13" s="23"/>
        <tr r="U57" s="11"/>
        <tr r="U38" s="4"/>
      </tp>
      <tp t="e">
        <v>#N/A</v>
        <stp/>
        <stp>BDH|909515583382696811</stp>
        <tr r="N212" s="18"/>
      </tp>
      <tp t="e">
        <v>#N/A</v>
        <stp/>
        <stp>BDH|405028346607459485</stp>
        <tr r="C38" s="6"/>
      </tp>
      <tp t="e">
        <v>#N/A</v>
        <stp/>
        <stp>BDH|447093060214392523</stp>
        <tr r="T102" s="18"/>
      </tp>
      <tp t="e">
        <v>#N/A</v>
        <stp/>
        <stp>BDH|995907044088215230</stp>
        <tr r="S32" s="24"/>
      </tp>
      <tp t="e">
        <v>#N/A</v>
        <stp/>
        <stp>BDH|624225169647931484</stp>
        <tr r="E26" s="26"/>
      </tp>
      <tp t="e">
        <v>#N/A</v>
        <stp/>
        <stp>BDH|532689207854706514</stp>
        <tr r="AA112" s="18"/>
      </tp>
      <tp t="e">
        <v>#N/A</v>
        <stp/>
        <stp>BDH|431376258186023770</stp>
        <tr r="H33" s="21"/>
      </tp>
      <tp t="e">
        <v>#N/A</v>
        <stp/>
        <stp>BDH|867371153334214522</stp>
        <tr r="O25" s="24"/>
      </tp>
      <tp t="e">
        <v>#N/A</v>
        <stp/>
        <stp>BDH|391199812916764120</stp>
        <tr r="F24" s="12"/>
      </tp>
      <tp t="e">
        <v>#N/A</v>
        <stp/>
        <stp>BDH|499486870964163002</stp>
        <tr r="I190" s="18"/>
      </tp>
      <tp t="e">
        <v>#N/A</v>
        <stp/>
        <stp>BDH|882316114443599651</stp>
        <tr r="P18" s="13"/>
      </tp>
      <tp t="e">
        <v>#N/A</v>
        <stp/>
        <stp>BDH|752741427286171487</stp>
        <tr r="M7" s="14"/>
      </tp>
      <tp t="e">
        <v>#N/A</v>
        <stp/>
        <stp>BDH|729238248282391326</stp>
        <tr r="H55" s="24"/>
      </tp>
      <tp t="e">
        <v>#N/A</v>
        <stp/>
        <stp>BDH|413153043241779382</stp>
        <tr r="D7" s="6"/>
      </tp>
      <tp t="e">
        <v>#N/A</v>
        <stp/>
        <stp>BDH|896305019765884078</stp>
        <tr r="N32" s="6"/>
      </tp>
      <tp t="e">
        <v>#N/A</v>
        <stp/>
        <stp>BDH|582429669916336335</stp>
        <tr r="P69" s="12"/>
      </tp>
      <tp t="e">
        <v>#N/A</v>
        <stp/>
        <stp>BDH|118775619935432446</stp>
        <tr r="D26" s="26"/>
      </tp>
      <tp t="e">
        <v>#N/A</v>
        <stp/>
        <stp>BDH|686985339235956813</stp>
        <tr r="W195" s="18"/>
      </tp>
      <tp t="e">
        <v>#N/A</v>
        <stp/>
        <stp>BDH|270564088728710249</stp>
        <tr r="I98" s="17"/>
      </tp>
      <tp t="e">
        <v>#N/A</v>
        <stp/>
        <stp>BDH|479049138110008479</stp>
        <tr r="Z62" s="17"/>
      </tp>
      <tp t="e">
        <v>#N/A</v>
        <stp/>
        <stp>BDH|357488457696213060</stp>
        <tr r="R36" s="13"/>
        <tr r="P29" s="10"/>
      </tp>
      <tp t="e">
        <v>#N/A</v>
        <stp/>
        <stp>BDH|425249317091842575</stp>
        <tr r="O56" s="34"/>
      </tp>
      <tp t="e">
        <v>#N/A</v>
        <stp/>
        <stp>BDH|669219185405804821</stp>
        <tr r="E107" s="12"/>
      </tp>
      <tp t="e">
        <v>#N/A</v>
        <stp/>
        <stp>BDH|951734350705198037</stp>
        <tr r="C45" s="34"/>
      </tp>
      <tp t="e">
        <v>#N/A</v>
        <stp/>
        <stp>BDH|594092762334016560</stp>
        <tr r="M18" s="13"/>
      </tp>
      <tp t="e">
        <v>#N/A</v>
        <stp/>
        <stp>BDH|796510411511947265</stp>
        <tr r="S7" s="11"/>
      </tp>
      <tp t="e">
        <v>#N/A</v>
        <stp/>
        <stp>BDH|731229930966896058</stp>
        <tr r="U124" s="18"/>
      </tp>
      <tp t="e">
        <v>#N/A</v>
        <stp/>
        <stp>BDH|224517639894500578</stp>
        <tr r="C30" s="18"/>
      </tp>
      <tp t="e">
        <v>#N/A</v>
        <stp/>
        <stp>BDH|691476369317733261</stp>
        <tr r="O10" s="12"/>
      </tp>
      <tp t="e">
        <v>#N/A</v>
        <stp/>
        <stp>BDH|138820285231877678</stp>
        <tr r="V15" s="5"/>
      </tp>
      <tp t="e">
        <v>#N/A</v>
        <stp/>
        <stp>BDH|142728802217925711</stp>
        <tr r="Q18" s="14"/>
      </tp>
      <tp t="e">
        <v>#N/A</v>
        <stp/>
        <stp>BDH|491455130832028287</stp>
        <tr r="C23" s="22"/>
      </tp>
      <tp t="e">
        <v>#N/A</v>
        <stp/>
        <stp>BDH|282869429684044945</stp>
        <tr r="O23" s="30"/>
        <tr r="O25" s="23"/>
      </tp>
      <tp t="e">
        <v>#N/A</v>
        <stp/>
        <stp>BDH|546821502958728784</stp>
        <tr r="M71" s="34"/>
      </tp>
      <tp t="e">
        <v>#N/A</v>
        <stp/>
        <stp>BDH|505659568553266402</stp>
        <tr r="V187" s="18"/>
      </tp>
      <tp t="e">
        <v>#N/A</v>
        <stp/>
        <stp>BDH|523887324758047535</stp>
        <tr r="X39" s="22"/>
      </tp>
      <tp t="e">
        <v>#N/A</v>
        <stp/>
        <stp>BDH|484743003092031299</stp>
        <tr r="D97" s="12"/>
      </tp>
      <tp t="e">
        <v>#N/A</v>
        <stp/>
        <stp>BDH|968668557525447169</stp>
        <tr r="E19" s="25"/>
      </tp>
      <tp t="e">
        <v>#N/A</v>
        <stp/>
        <stp>BDH|920302496964518915</stp>
        <tr r="V12" s="7"/>
      </tp>
      <tp t="e">
        <v>#N/A</v>
        <stp/>
        <stp>BDH|952572037716346717</stp>
        <tr r="K42" s="21"/>
      </tp>
      <tp t="e">
        <v>#N/A</v>
        <stp/>
        <stp>BDH|943642051281606517</stp>
        <tr r="O44" s="6"/>
      </tp>
      <tp t="e">
        <v>#N/A</v>
        <stp/>
        <stp>BDH|321780637733350040</stp>
        <tr r="S49" s="6"/>
      </tp>
      <tp t="e">
        <v>#N/A</v>
        <stp/>
        <stp>BDH|579602985798605128</stp>
        <tr r="J68" s="24"/>
      </tp>
      <tp t="e">
        <v>#N/A</v>
        <stp/>
        <stp>BDH|641648625680359307</stp>
        <tr r="H30" s="12"/>
      </tp>
      <tp t="e">
        <v>#N/A</v>
        <stp/>
        <stp>BDH|368846121798666548</stp>
        <tr r="D77" s="12"/>
      </tp>
      <tp t="e">
        <v>#N/A</v>
        <stp/>
        <stp>BDH|562451100254101758</stp>
        <tr r="H15" s="22"/>
      </tp>
      <tp t="e">
        <v>#N/A</v>
        <stp/>
        <stp>BDH|448862695300709644</stp>
        <tr r="O49" s="24"/>
      </tp>
      <tp t="e">
        <v>#N/A</v>
        <stp/>
        <stp>BDH|960834975210329885</stp>
        <tr r="O6" s="16"/>
        <tr r="P6" s="11"/>
        <tr r="P10" s="4"/>
        <tr r="R6" s="3"/>
      </tp>
      <tp t="e">
        <v>#N/A</v>
        <stp/>
        <stp>BDH|532746656054174125</stp>
        <tr r="I13" s="7"/>
      </tp>
      <tp t="e">
        <v>#N/A</v>
        <stp/>
        <stp>BDH|705524607570115274</stp>
        <tr r="N27" s="14"/>
      </tp>
      <tp t="e">
        <v>#N/A</v>
        <stp/>
        <stp>BDH|257183808017036160</stp>
        <tr r="X79" s="17"/>
        <tr r="U9" s="9"/>
        <tr r="U9" s="5"/>
      </tp>
      <tp t="e">
        <v>#N/A</v>
        <stp/>
        <stp>BDH|601717329280804220</stp>
        <tr r="K26" s="17"/>
      </tp>
      <tp t="e">
        <v>#N/A</v>
        <stp/>
        <stp>BDH|281490655493379580</stp>
        <tr r="X21" s="22"/>
      </tp>
      <tp t="e">
        <v>#N/A</v>
        <stp/>
        <stp>BDH|762001615684586221</stp>
        <tr r="W20" s="25"/>
      </tp>
      <tp t="e">
        <v>#N/A</v>
        <stp/>
        <stp>BDH|409315306950628400</stp>
        <tr r="J8" s="4"/>
      </tp>
      <tp t="e">
        <v>#N/A</v>
        <stp/>
        <stp>BDH|417408919783053184</stp>
        <tr r="M38" s="12"/>
      </tp>
      <tp t="e">
        <v>#N/A</v>
        <stp/>
        <stp>BDH|941559638527033617</stp>
        <tr r="T123" s="12"/>
      </tp>
      <tp t="e">
        <v>#N/A</v>
        <stp/>
        <stp>BDH|659072636340136435</stp>
        <tr r="V49" s="13"/>
      </tp>
      <tp t="e">
        <v>#N/A</v>
        <stp/>
        <stp>BDH|790016602542035518</stp>
        <tr r="I148" s="18"/>
      </tp>
      <tp t="e">
        <v>#N/A</v>
        <stp/>
        <stp>BDH|410754543151446509</stp>
        <tr r="W58" s="6"/>
      </tp>
      <tp t="e">
        <v>#N/A</v>
        <stp/>
        <stp>BDH|472601716341587114</stp>
        <tr r="T26" s="34"/>
      </tp>
      <tp t="e">
        <v>#N/A</v>
        <stp/>
        <stp>BDH|159259125846458132</stp>
        <tr r="AA104" s="12"/>
      </tp>
      <tp t="e">
        <v>#N/A</v>
        <stp/>
        <stp>BDH|843073271408121891</stp>
        <tr r="G71" s="34"/>
      </tp>
      <tp t="e">
        <v>#N/A</v>
        <stp/>
        <stp>BDH|935133379316252773</stp>
        <tr r="Q22" s="12"/>
      </tp>
      <tp t="e">
        <v>#N/A</v>
        <stp/>
        <stp>BDH|374867192393581552</stp>
        <tr r="R115" s="18"/>
      </tp>
      <tp t="e">
        <v>#N/A</v>
        <stp/>
        <stp>BDH|711380556453894263</stp>
        <tr r="L116" s="12"/>
      </tp>
      <tp t="e">
        <v>#N/A</v>
        <stp/>
        <stp>BDH|214439865831494478</stp>
        <tr r="G43" s="34"/>
      </tp>
      <tp t="e">
        <v>#N/A</v>
        <stp/>
        <stp>BDH|229064222012638773</stp>
        <tr r="G13" s="8"/>
      </tp>
      <tp t="e">
        <v>#N/A</v>
        <stp/>
        <stp>BDH|923167105215509383</stp>
        <tr r="E186" s="18"/>
      </tp>
      <tp t="e">
        <v>#N/A</v>
        <stp/>
        <stp>BDH|538543370661075464</stp>
        <tr r="AA207" s="18"/>
      </tp>
      <tp t="e">
        <v>#N/A</v>
        <stp/>
        <stp>BDH|446340960627495541</stp>
        <tr r="X32" s="21"/>
      </tp>
      <tp t="e">
        <v>#N/A</v>
        <stp/>
        <stp>BDH|786717624336278400</stp>
        <tr r="I19" s="11"/>
      </tp>
      <tp t="e">
        <v>#N/A</v>
        <stp/>
        <stp>BDH|390117890657437862</stp>
        <tr r="P27" s="34"/>
      </tp>
      <tp t="e">
        <v>#N/A</v>
        <stp/>
        <stp>BDH|942917296884813365</stp>
        <tr r="W10" s="8"/>
        <tr r="U53" s="6"/>
      </tp>
      <tp t="e">
        <v>#N/A</v>
        <stp/>
        <stp>BDH|497922257229643270</stp>
        <tr r="I126" s="18"/>
      </tp>
      <tp t="e">
        <v>#N/A</v>
        <stp/>
        <stp>BDH|467873154078101265</stp>
        <tr r="N20" s="27"/>
      </tp>
      <tp t="e">
        <v>#N/A</v>
        <stp/>
        <stp>BDH|308721784098085059</stp>
        <tr r="Y36" s="22"/>
      </tp>
      <tp t="e">
        <v>#N/A</v>
        <stp/>
        <stp>BDH|756218827317864099</stp>
        <tr r="W127" s="12"/>
      </tp>
      <tp t="e">
        <v>#N/A</v>
        <stp/>
        <stp>BDH|250563114403154010</stp>
        <tr r="Z42" s="21"/>
      </tp>
      <tp t="e">
        <v>#N/A</v>
        <stp/>
        <stp>BDH|939388947994453435</stp>
        <tr r="M48" s="18"/>
      </tp>
      <tp t="e">
        <v>#N/A</v>
        <stp/>
        <stp>BDH|699980483632487484</stp>
        <tr r="U20" s="14"/>
      </tp>
      <tp t="e">
        <v>#N/A</v>
        <stp/>
        <stp>BDH|950889902846428960</stp>
        <tr r="J38" s="11"/>
        <tr r="J47" s="10"/>
      </tp>
      <tp t="e">
        <v>#N/A</v>
        <stp/>
        <stp>BDH|971041325911084491</stp>
        <tr r="E36" s="4"/>
      </tp>
      <tp t="e">
        <v>#N/A</v>
        <stp/>
        <stp>BDH|970626392721397984</stp>
        <tr r="Q63" s="18"/>
      </tp>
      <tp t="e">
        <v>#N/A</v>
        <stp/>
        <stp>BDH|699557969963847703</stp>
        <tr r="T74" s="18"/>
      </tp>
      <tp t="e">
        <v>#N/A</v>
        <stp/>
        <stp>BDH|572527461392034641</stp>
        <tr r="K32" s="6"/>
      </tp>
      <tp t="e">
        <v>#N/A</v>
        <stp/>
        <stp>BDH|606787895729941002</stp>
        <tr r="E12" s="11"/>
      </tp>
      <tp t="e">
        <v>#N/A</v>
        <stp/>
        <stp>BDH|181770795799183001</stp>
        <tr r="I46" s="13"/>
      </tp>
      <tp t="e">
        <v>#N/A</v>
        <stp/>
        <stp>BDH|949130866437843763</stp>
        <tr r="P6" s="15"/>
        <tr r="P6" s="10"/>
        <tr r="P11" s="4"/>
        <tr r="P12" s="2"/>
      </tp>
      <tp t="e">
        <v>#N/A</v>
        <stp/>
        <stp>BDH|160077073952773208</stp>
        <tr r="H27" s="13"/>
      </tp>
      <tp t="e">
        <v>#N/A</v>
        <stp/>
        <stp>BDH|454701940174017063</stp>
        <tr r="I48" s="34"/>
      </tp>
      <tp t="e">
        <v>#N/A</v>
        <stp/>
        <stp>BDH|970769648996698224</stp>
        <tr r="S16" s="23"/>
      </tp>
      <tp t="e">
        <v>#N/A</v>
        <stp/>
        <stp>BDH|416297232852903457</stp>
        <tr r="I32" s="13"/>
        <tr r="G24" s="11"/>
        <tr r="G33" s="10"/>
        <tr r="G45" s="4"/>
      </tp>
      <tp t="e">
        <v>#N/A</v>
        <stp/>
        <stp>BDH|647022473884341477</stp>
        <tr r="V26" s="13"/>
      </tp>
      <tp t="e">
        <v>#N/A</v>
        <stp/>
        <stp>BDH|232882613746364892</stp>
        <tr r="E112" s="18"/>
      </tp>
      <tp t="e">
        <v>#N/A</v>
        <stp/>
        <stp>BDH|447476092672056823</stp>
        <tr r="X87" s="12"/>
      </tp>
      <tp t="e">
        <v>#N/A</v>
        <stp/>
        <stp>BDH|537613355760351412</stp>
        <tr r="J167" s="18"/>
      </tp>
      <tp t="e">
        <v>#N/A</v>
        <stp/>
        <stp>BDH|214729015205723418</stp>
        <tr r="AA60" s="17"/>
      </tp>
      <tp t="e">
        <v>#N/A</v>
        <stp/>
        <stp>BDH|597411575812704651</stp>
        <tr r="J59" s="12"/>
      </tp>
      <tp t="e">
        <v>#N/A</v>
        <stp/>
        <stp>BDH|811834048762850981</stp>
        <tr r="Z66" s="21"/>
        <tr r="W31" s="6"/>
      </tp>
      <tp t="e">
        <v>#N/A</v>
        <stp/>
        <stp>BDH|286450331513696333</stp>
        <tr r="C88" s="18"/>
      </tp>
      <tp t="e">
        <v>#N/A</v>
        <stp/>
        <stp>BDH|667262850969099930</stp>
        <tr r="I8" s="13"/>
      </tp>
      <tp t="e">
        <v>#N/A</v>
        <stp/>
        <stp>BDH|325864552959825234</stp>
        <tr r="V19" s="11"/>
      </tp>
      <tp t="e">
        <v>#N/A</v>
        <stp/>
        <stp>BDH|985292044729167992</stp>
        <tr r="F87" s="17"/>
      </tp>
      <tp t="e">
        <v>#N/A</v>
        <stp/>
        <stp>BDH|883863897423457419</stp>
        <tr r="L109" s="12"/>
      </tp>
      <tp t="e">
        <v>#N/A</v>
        <stp/>
        <stp>BDH|583105871041091181</stp>
        <tr r="C11" s="14"/>
      </tp>
      <tp t="e">
        <v>#N/A</v>
        <stp/>
        <stp>BDH|924706774984495249</stp>
        <tr r="H19" s="24"/>
      </tp>
      <tp t="e">
        <v>#N/A</v>
        <stp/>
        <stp>BDH|502954573548863064</stp>
        <tr r="T27" s="13"/>
      </tp>
      <tp t="e">
        <v>#N/A</v>
        <stp/>
        <stp>BDH|756781951892060639</stp>
        <tr r="D47" s="21"/>
      </tp>
      <tp t="e">
        <v>#N/A</v>
        <stp/>
        <stp>BDH|265203099034460923</stp>
        <tr r="F10" s="23"/>
      </tp>
      <tp t="e">
        <v>#N/A</v>
        <stp/>
        <stp>BDH|458290230081913691</stp>
        <tr r="AA114" s="18"/>
      </tp>
      <tp t="e">
        <v>#N/A</v>
        <stp/>
        <stp>BDH|341032723951855552</stp>
        <tr r="C17" s="9"/>
      </tp>
      <tp t="e">
        <v>#N/A</v>
        <stp/>
        <stp>BDH|232427517877858417</stp>
        <tr r="U8" s="4"/>
      </tp>
      <tp t="e">
        <v>#N/A</v>
        <stp/>
        <stp>BDH|259187593376010870</stp>
        <tr r="S8" s="28"/>
      </tp>
      <tp t="e">
        <v>#N/A</v>
        <stp/>
        <stp>BDH|637111020906081395</stp>
        <tr r="N91" s="24"/>
      </tp>
      <tp t="e">
        <v>#N/A</v>
        <stp/>
        <stp>BDH|820965431164872896</stp>
        <tr r="F85" s="24"/>
      </tp>
      <tp t="e">
        <v>#N/A</v>
        <stp/>
        <stp>BDH|400673040161972540</stp>
        <tr r="K124" s="12"/>
      </tp>
      <tp t="e">
        <v>#N/A</v>
        <stp/>
        <stp>BDH|124709109202612317</stp>
        <tr r="Q54" s="17"/>
        <tr r="Q17" s="3"/>
      </tp>
      <tp t="e">
        <v>#N/A</v>
        <stp/>
        <stp>BDH|982965535494512804</stp>
        <tr r="W17" s="27"/>
        <tr r="W31" s="25"/>
        <tr r="T14" s="5"/>
      </tp>
      <tp t="e">
        <v>#N/A</v>
        <stp/>
        <stp>BDH|300655350307841217</stp>
        <tr r="C28" s="4"/>
      </tp>
      <tp t="e">
        <v>#N/A</v>
        <stp/>
        <stp>BDH|350262638805713225</stp>
        <tr r="V42" s="12"/>
      </tp>
      <tp t="e">
        <v>#N/A</v>
        <stp/>
        <stp>BDH|388098061034538460</stp>
        <tr r="H59" s="17"/>
      </tp>
      <tp t="e">
        <v>#N/A</v>
        <stp/>
        <stp>BDH|809486818680930393</stp>
        <tr r="T148" s="18"/>
      </tp>
      <tp t="e">
        <v>#N/A</v>
        <stp/>
        <stp>BDH|812863064439612143</stp>
        <tr r="Z20" s="17"/>
      </tp>
      <tp t="e">
        <v>#N/A</v>
        <stp/>
        <stp>BDH|864980119487239935</stp>
        <tr r="L36" s="21"/>
      </tp>
      <tp t="e">
        <v>#N/A</v>
        <stp/>
        <stp>BDH|827103442470159334</stp>
        <tr r="J48" s="34"/>
      </tp>
      <tp t="e">
        <v>#N/A</v>
        <stp/>
        <stp>BDH|611169114176965047</stp>
        <tr r="F7" s="10"/>
      </tp>
      <tp t="e">
        <v>#N/A</v>
        <stp/>
        <stp>BDH|595772680300851930</stp>
        <tr r="E164" s="18"/>
      </tp>
      <tp t="e">
        <v>#N/A</v>
        <stp/>
        <stp>BDH|438205253631863065</stp>
        <tr r="L60" s="21"/>
        <tr r="J54" s="11"/>
      </tp>
      <tp t="e">
        <v>#N/A</v>
        <stp/>
        <stp>BDH|958512360054046117</stp>
        <tr r="I43" s="4"/>
      </tp>
      <tp t="e">
        <v>#N/A</v>
        <stp/>
        <stp>BDH|858132636273573728</stp>
        <tr r="AA74" s="24"/>
      </tp>
      <tp t="e">
        <v>#N/A</v>
        <stp/>
        <stp>BDH|718366079804605644</stp>
        <tr r="J126" s="18"/>
      </tp>
      <tp t="e">
        <v>#N/A</v>
        <stp/>
        <stp>BDH|101749556075820112</stp>
        <tr r="L28" s="18"/>
      </tp>
      <tp t="e">
        <v>#N/A</v>
        <stp/>
        <stp>BDH|613303445947108684</stp>
        <tr r="R44" s="34"/>
      </tp>
      <tp t="e">
        <v>#N/A</v>
        <stp/>
        <stp>BDH|760418442995954371</stp>
        <tr r="T20" s="18"/>
      </tp>
      <tp t="e">
        <v>#N/A</v>
        <stp/>
        <stp>BDH|668873070411998828</stp>
        <tr r="J30" s="21"/>
      </tp>
      <tp t="e">
        <v>#N/A</v>
        <stp/>
        <stp>BDH|571467876111843471</stp>
        <tr r="W80" s="18"/>
      </tp>
      <tp t="e">
        <v>#N/A</v>
        <stp/>
        <stp>BDH|202415644637848148</stp>
        <tr r="X59" s="34"/>
      </tp>
      <tp t="e">
        <v>#N/A</v>
        <stp/>
        <stp>BDH|837437228859017981</stp>
        <tr r="L17" s="18"/>
      </tp>
      <tp t="e">
        <v>#N/A</v>
        <stp/>
        <stp>BDH|740535668512643714</stp>
        <tr r="Q202" s="18"/>
      </tp>
      <tp t="e">
        <v>#N/A</v>
        <stp/>
        <stp>BDH|567969150208034276</stp>
        <tr r="X31" s="22"/>
      </tp>
      <tp t="e">
        <v>#N/A</v>
        <stp/>
        <stp>BDH|138521087902861985</stp>
        <tr r="P98" s="18"/>
      </tp>
      <tp t="e">
        <v>#N/A</v>
        <stp/>
        <stp>BDH|142487173384719198</stp>
        <tr r="F13" s="9"/>
      </tp>
      <tp t="e">
        <v>#N/A</v>
        <stp/>
        <stp>BDH|251505527459486851</stp>
        <tr r="W208" s="18"/>
      </tp>
      <tp t="e">
        <v>#N/A</v>
        <stp/>
        <stp>BDH|507568441852608506</stp>
        <tr r="Z28" s="34"/>
      </tp>
      <tp t="e">
        <v>#N/A</v>
        <stp/>
        <stp>BDH|875894387542017423</stp>
        <tr r="R25" s="21"/>
      </tp>
      <tp t="e">
        <v>#N/A</v>
        <stp/>
        <stp>BDH|403094268776614668</stp>
        <tr r="O26" s="14"/>
      </tp>
      <tp t="e">
        <v>#N/A</v>
        <stp/>
        <stp>BDH|896183186118427771</stp>
        <tr r="H61" s="24"/>
      </tp>
      <tp t="e">
        <v>#N/A</v>
        <stp/>
        <stp>BDH|390515487773971894</stp>
        <tr r="H16" s="24"/>
      </tp>
      <tp t="e">
        <v>#N/A</v>
        <stp/>
        <stp>BDH|585753778006571082</stp>
        <tr r="M92" s="18"/>
      </tp>
      <tp t="e">
        <v>#N/A</v>
        <stp/>
        <stp>BDH|954904819878222674</stp>
        <tr r="R15" s="18"/>
      </tp>
      <tp t="e">
        <v>#N/A</v>
        <stp/>
        <stp>BDH|870545458171350725</stp>
        <tr r="T8" s="11"/>
      </tp>
      <tp t="e">
        <v>#N/A</v>
        <stp/>
        <stp>BDH|573320711007709344</stp>
        <tr r="I92" s="17"/>
      </tp>
      <tp t="e">
        <v>#N/A</v>
        <stp/>
        <stp>BDH|857534219441333346</stp>
        <tr r="G33" s="17"/>
      </tp>
      <tp t="e">
        <v>#N/A</v>
        <stp/>
        <stp>BDH|165220774370762353</stp>
        <tr r="S124" s="18"/>
      </tp>
      <tp t="e">
        <v>#N/A</v>
        <stp/>
        <stp>BDH|590232388814973825</stp>
        <tr r="Y212" s="18"/>
      </tp>
      <tp t="e">
        <v>#N/A</v>
        <stp/>
        <stp>BDH|104879382077034122</stp>
        <tr r="F79" s="12"/>
      </tp>
      <tp t="e">
        <v>#N/A</v>
        <stp/>
        <stp>BDH|237363056648633827</stp>
        <tr r="V24" s="5"/>
      </tp>
      <tp t="e">
        <v>#N/A</v>
        <stp/>
        <stp>BDH|311770721572404176</stp>
        <tr r="X68" s="13"/>
      </tp>
      <tp t="e">
        <v>#N/A</v>
        <stp/>
        <stp>BDH|372087483458662698</stp>
        <tr r="P100" s="12"/>
      </tp>
      <tp t="e">
        <v>#N/A</v>
        <stp/>
        <stp>BDH|953376942792879339</stp>
        <tr r="R19" s="23"/>
        <tr r="P59" s="11"/>
      </tp>
      <tp t="e">
        <v>#N/A</v>
        <stp/>
        <stp>BDH|275918501507434811</stp>
        <tr r="W12" s="10"/>
      </tp>
      <tp t="e">
        <v>#N/A</v>
        <stp/>
        <stp>BDH|581609856516381370</stp>
        <tr r="J25" s="24"/>
      </tp>
      <tp t="e">
        <v>#N/A</v>
        <stp/>
        <stp>BDH|533446751460404733</stp>
        <tr r="Y79" s="12"/>
      </tp>
      <tp t="e">
        <v>#N/A</v>
        <stp/>
        <stp>BDH|307714782649221053</stp>
        <tr r="C23" s="23"/>
      </tp>
      <tp t="e">
        <v>#N/A</v>
        <stp/>
        <stp>BDH|192260620597203157</stp>
        <tr r="D212" s="18"/>
      </tp>
      <tp t="e">
        <v>#N/A</v>
        <stp/>
        <stp>BDH|913150574729812909</stp>
        <tr r="C74" s="17"/>
      </tp>
      <tp t="e">
        <v>#N/A</v>
        <stp/>
        <stp>BDH|972583286518264355</stp>
        <tr r="C182" s="18"/>
      </tp>
      <tp t="e">
        <v>#N/A</v>
        <stp/>
        <stp>BDH|353106224031279457</stp>
        <tr r="M105" s="12"/>
      </tp>
      <tp t="e">
        <v>#N/A</v>
        <stp/>
        <stp>BDH|553122762388017955</stp>
        <tr r="AA48" s="18"/>
      </tp>
      <tp t="e">
        <v>#N/A</v>
        <stp/>
        <stp>BDH|309132792076717853</stp>
        <tr r="N21" s="5"/>
      </tp>
      <tp t="e">
        <v>#N/A</v>
        <stp/>
        <stp>BDH|778063603983084524</stp>
        <tr r="E61" s="12"/>
      </tp>
      <tp t="e">
        <v>#N/A</v>
        <stp/>
        <stp>BDH|823079548897255550</stp>
        <tr r="X19" s="25"/>
      </tp>
      <tp t="e">
        <v>#N/A</v>
        <stp/>
        <stp>BDH|814416052507942023</stp>
        <tr r="S33" s="21"/>
      </tp>
      <tp t="e">
        <v>#N/A</v>
        <stp/>
        <stp>BDH|339450055801448664</stp>
        <tr r="Y11" s="7"/>
      </tp>
      <tp t="e">
        <v>#N/A</v>
        <stp/>
        <stp>BDH|701697519494536538</stp>
        <tr r="E31" s="24"/>
      </tp>
      <tp t="e">
        <v>#N/A</v>
        <stp/>
        <stp>BDH|895232824880609682</stp>
        <tr r="T46" s="22"/>
      </tp>
      <tp t="e">
        <v>#N/A</v>
        <stp/>
        <stp>BDH|580045231886007310</stp>
        <tr r="T45" s="17"/>
      </tp>
      <tp t="e">
        <v>#N/A</v>
        <stp/>
        <stp>BDH|670245742910221001</stp>
        <tr r="H171" s="18"/>
      </tp>
      <tp t="e">
        <v>#N/A</v>
        <stp/>
        <stp>BDH|864418879200533571</stp>
        <tr r="E38" s="21"/>
        <tr r="E24" s="3"/>
      </tp>
      <tp t="e">
        <v>#N/A</v>
        <stp/>
        <stp>BDH|296866617308529743</stp>
        <tr r="O200" s="18"/>
      </tp>
      <tp t="e">
        <v>#N/A</v>
        <stp/>
        <stp>BDH|726075105457242155</stp>
        <tr r="S206" s="18"/>
      </tp>
      <tp t="e">
        <v>#N/A</v>
        <stp/>
        <stp>BDH|937732521864941709</stp>
        <tr r="D38" s="24"/>
      </tp>
      <tp t="e">
        <v>#N/A</v>
        <stp/>
        <stp>BDH|331932497173480502</stp>
        <tr r="W62" s="11"/>
        <tr r="W71" s="10"/>
      </tp>
      <tp t="e">
        <v>#N/A</v>
        <stp/>
        <stp>BDH|290371272347784538</stp>
        <tr r="S70" s="12"/>
      </tp>
      <tp t="e">
        <v>#N/A</v>
        <stp/>
        <stp>BDH|451542416940607235</stp>
        <tr r="D10" s="8"/>
      </tp>
      <tp t="e">
        <v>#N/A</v>
        <stp/>
        <stp>BDH|448356133885578345</stp>
        <tr r="AA113" s="18"/>
      </tp>
      <tp t="e">
        <v>#N/A</v>
        <stp/>
        <stp>BDH|489136728544469181</stp>
        <tr r="J33" s="5"/>
      </tp>
      <tp t="e">
        <v>#N/A</v>
        <stp/>
        <stp>BDH|102280086244573899</stp>
        <tr r="S27" s="6"/>
      </tp>
      <tp t="e">
        <v>#N/A</v>
        <stp/>
        <stp>BDH|708193484947010897</stp>
        <tr r="O125" s="18"/>
      </tp>
      <tp t="e">
        <v>#N/A</v>
        <stp/>
        <stp>BDH|154233050476674777</stp>
        <tr r="O35" s="17"/>
      </tp>
      <tp t="e">
        <v>#N/A</v>
        <stp/>
        <stp>BDH|807566817156858422</stp>
        <tr r="H126" s="12"/>
      </tp>
      <tp t="e">
        <v>#N/A</v>
        <stp/>
        <stp>BDH|127044206965176319</stp>
        <tr r="G43" s="4"/>
      </tp>
      <tp t="e">
        <v>#N/A</v>
        <stp/>
        <stp>BDH|539398275995838724</stp>
        <tr r="I61" s="13"/>
        <tr r="G48" s="11"/>
        <tr r="G57" s="10"/>
        <tr r="G18" s="7"/>
      </tp>
      <tp t="e">
        <v>#N/A</v>
        <stp/>
        <stp>BDH|218489959741621197</stp>
        <tr r="D31" s="17"/>
      </tp>
      <tp t="e">
        <v>#N/A</v>
        <stp/>
        <stp>BDH|225124843052890674</stp>
        <tr r="P27" s="26"/>
      </tp>
      <tp t="e">
        <v>#N/A</v>
        <stp/>
        <stp>BDH|411340058392738530</stp>
        <tr r="H73" s="34"/>
      </tp>
      <tp t="e">
        <v>#N/A</v>
        <stp/>
        <stp>BDH|763070309265641436</stp>
        <tr r="Z24" s="12"/>
      </tp>
      <tp t="e">
        <v>#N/A</v>
        <stp/>
        <stp>BDH|613025089160249934</stp>
        <tr r="E29" s="34"/>
      </tp>
      <tp t="e">
        <v>#N/A</v>
        <stp/>
        <stp>BDH|565168223736981449</stp>
        <tr r="C115" s="12"/>
      </tp>
      <tp t="e">
        <v>#N/A</v>
        <stp/>
        <stp>BDH|729924767198970669</stp>
        <tr r="H85" s="24"/>
      </tp>
      <tp t="e">
        <v>#N/A</v>
        <stp/>
        <stp>BDH|880876934143487928</stp>
        <tr r="D17" s="13"/>
      </tp>
      <tp t="e">
        <v>#N/A</v>
        <stp/>
        <stp>BDH|850275585379580227</stp>
        <tr r="Q14" s="23"/>
      </tp>
      <tp t="e">
        <v>#N/A</v>
        <stp/>
        <stp>BDH|283299662601339474</stp>
        <tr r="D24" s="22"/>
      </tp>
      <tp t="e">
        <v>#N/A</v>
        <stp/>
        <stp>BDH|102586654173219220</stp>
        <tr r="W16" s="14"/>
      </tp>
      <tp t="e">
        <v>#N/A</v>
        <stp/>
        <stp>BDH|689290665351689414</stp>
        <tr r="M69" s="24"/>
      </tp>
      <tp t="e">
        <v>#N/A</v>
        <stp/>
        <stp>BDH|832724072111135042</stp>
        <tr r="F59" s="24"/>
      </tp>
      <tp t="e">
        <v>#N/A</v>
        <stp/>
        <stp>BDH|839320804867179516</stp>
        <tr r="V64" s="34"/>
      </tp>
      <tp t="e">
        <v>#N/A</v>
        <stp/>
        <stp>BDH|193773941165130786</stp>
        <tr r="G17" s="9"/>
      </tp>
      <tp t="e">
        <v>#N/A</v>
        <stp/>
        <stp>BDH|563539469110398224</stp>
        <tr r="I60" s="17"/>
      </tp>
      <tp t="e">
        <v>#N/A</v>
        <stp/>
        <stp>BDH|942324675540302532</stp>
        <tr r="L147" s="18"/>
      </tp>
      <tp t="e">
        <v>#N/A</v>
        <stp/>
        <stp>BDH|828418144096795744</stp>
        <tr r="R54" s="12"/>
      </tp>
      <tp t="e">
        <v>#N/A</v>
        <stp/>
        <stp>BDH|628299693962000838</stp>
        <tr r="F30" s="14"/>
      </tp>
      <tp t="e">
        <v>#N/A</v>
        <stp/>
        <stp>BDH|352014729074394770</stp>
        <tr r="Z19" s="22"/>
      </tp>
      <tp t="e">
        <v>#N/A</v>
        <stp/>
        <stp>BDH|923442263151419253</stp>
        <tr r="F97" s="17"/>
      </tp>
      <tp t="e">
        <v>#N/A</v>
        <stp/>
        <stp>BDH|847751637613212672</stp>
        <tr r="G35" s="22"/>
      </tp>
      <tp t="e">
        <v>#N/A</v>
        <stp/>
        <stp>BDH|658415946501817061</stp>
        <tr r="W21" s="17"/>
      </tp>
      <tp t="e">
        <v>#N/A</v>
        <stp/>
        <stp>BDH|145941541209895544</stp>
        <tr r="Y36" s="21"/>
      </tp>
      <tp t="e">
        <v>#N/A</v>
        <stp/>
        <stp>BDH|365259700656755593</stp>
        <tr r="AA37" s="34"/>
      </tp>
      <tp t="e">
        <v>#N/A</v>
        <stp/>
        <stp>BDH|645090884379089032</stp>
        <tr r="G90" s="24"/>
      </tp>
      <tp t="e">
        <v>#N/A</v>
        <stp/>
        <stp>BDH|359650540257987472</stp>
        <tr r="Z75" s="12"/>
      </tp>
      <tp t="e">
        <v>#N/A</v>
        <stp/>
        <stp>BDH|957731854200515330</stp>
        <tr r="V211" s="18"/>
      </tp>
      <tp t="e">
        <v>#N/A</v>
        <stp/>
        <stp>BDH|138262316005815715</stp>
        <tr r="U198" s="18"/>
      </tp>
      <tp t="e">
        <v>#N/A</v>
        <stp/>
        <stp>BDH|419242707476653581</stp>
        <tr r="T72" s="24"/>
      </tp>
      <tp t="e">
        <v>#N/A</v>
        <stp/>
        <stp>BDH|203003519115177532</stp>
        <tr r="E171" s="18"/>
      </tp>
      <tp t="e">
        <v>#N/A</v>
        <stp/>
        <stp>BDH|156715052684825730</stp>
        <tr r="X87" s="18"/>
      </tp>
      <tp t="e">
        <v>#N/A</v>
        <stp/>
        <stp>BDH|502155678511782652</stp>
        <tr r="E27" s="18"/>
      </tp>
      <tp t="e">
        <v>#N/A</v>
        <stp/>
        <stp>BDH|914380968814507064</stp>
        <tr r="E93" s="12"/>
      </tp>
      <tp t="e">
        <v>#N/A</v>
        <stp/>
        <stp>BDH|762950201969945109</stp>
        <tr r="X10" s="34"/>
      </tp>
      <tp t="e">
        <v>#N/A</v>
        <stp/>
        <stp>BDH|894417926802465513</stp>
        <tr r="Y32" s="18"/>
      </tp>
      <tp t="e">
        <v>#N/A</v>
        <stp/>
        <stp>BDH|982105483160283825</stp>
        <tr r="R19" s="17"/>
      </tp>
      <tp t="e">
        <v>#N/A</v>
        <stp/>
        <stp>BDH|833530621982188414</stp>
        <tr r="K59" s="24"/>
      </tp>
      <tp t="e">
        <v>#N/A</v>
        <stp/>
        <stp>BDH|833091673417812101</stp>
        <tr r="I45" s="12"/>
      </tp>
      <tp t="e">
        <v>#N/A</v>
        <stp/>
        <stp>BDH|847369834790065108</stp>
        <tr r="C16" s="11"/>
      </tp>
      <tp t="e">
        <v>#N/A</v>
        <stp/>
        <stp>BDH|916331124515567508</stp>
        <tr r="P58" s="24"/>
      </tp>
      <tp t="e">
        <v>#N/A</v>
        <stp/>
        <stp>BDH|825438330781203725</stp>
        <tr r="C24" s="20"/>
      </tp>
      <tp t="e">
        <v>#N/A</v>
        <stp/>
        <stp>BDH|875537268761001381</stp>
        <tr r="T36" s="22"/>
      </tp>
      <tp t="e">
        <v>#N/A</v>
        <stp/>
        <stp>BDH|826000221623171037</stp>
        <tr r="K19" s="34"/>
      </tp>
      <tp t="e">
        <v>#N/A</v>
        <stp/>
        <stp>BDH|643579303190470423</stp>
        <tr r="N18" s="6"/>
      </tp>
      <tp t="e">
        <v>#N/A</v>
        <stp/>
        <stp>BDH|938705603200676687</stp>
        <tr r="N11" s="7"/>
      </tp>
      <tp t="e">
        <v>#N/A</v>
        <stp/>
        <stp>BDH|335728985899231725</stp>
        <tr r="AA115" s="12"/>
      </tp>
      <tp t="e">
        <v>#N/A</v>
        <stp/>
        <stp>BDH|198184484491873904</stp>
        <tr r="S19" s="25"/>
      </tp>
      <tp t="e">
        <v>#N/A</v>
        <stp/>
        <stp>BDH|275537610813573614</stp>
        <tr r="K57" s="6"/>
      </tp>
      <tp t="e">
        <v>#N/A</v>
        <stp/>
        <stp>BDH|128845776999529737</stp>
        <tr r="L34" s="18"/>
      </tp>
      <tp t="e">
        <v>#N/A</v>
        <stp/>
        <stp>BDH|622743818204966369</stp>
        <tr r="H27" s="24"/>
      </tp>
      <tp t="e">
        <v>#N/A</v>
        <stp/>
        <stp>BDH|821281910534453611</stp>
        <tr r="V7" s="34"/>
      </tp>
      <tp t="e">
        <v>#N/A</v>
        <stp/>
        <stp>BDH|907334850426602191</stp>
        <tr r="I29" s="12"/>
      </tp>
      <tp t="e">
        <v>#N/A</v>
        <stp/>
        <stp>BDH|159700455441826295</stp>
        <tr r="P16" s="23"/>
      </tp>
      <tp t="e">
        <v>#N/A</v>
        <stp/>
        <stp>BDH|995183718549895841</stp>
        <tr r="O34" s="13"/>
        <tr r="M27" s="10"/>
      </tp>
      <tp t="e">
        <v>#N/A</v>
        <stp/>
        <stp>BDH|460453729907506088</stp>
        <tr r="P13" s="2"/>
      </tp>
      <tp t="e">
        <v>#N/A</v>
        <stp/>
        <stp>BDH|485900411559550063</stp>
        <tr r="L22" s="30"/>
        <tr r="L24" s="23"/>
      </tp>
      <tp t="e">
        <v>#N/A</v>
        <stp/>
        <stp>BDH|841623644186887507</stp>
        <tr r="R18" s="34"/>
      </tp>
      <tp t="e">
        <v>#N/A</v>
        <stp/>
        <stp>BDH|860038546144861136</stp>
        <tr r="W96" s="12"/>
      </tp>
      <tp t="e">
        <v>#N/A</v>
        <stp/>
        <stp>BDH|120009378125961360</stp>
        <tr r="P36" s="29"/>
        <tr r="P22" s="29"/>
        <tr r="P13" s="29"/>
      </tp>
      <tp t="e">
        <v>#N/A</v>
        <stp/>
        <stp>BDH|567308423743600365</stp>
        <tr r="G178" s="18"/>
      </tp>
      <tp t="e">
        <v>#N/A</v>
        <stp/>
        <stp>BDH|886235918941747320</stp>
        <tr r="X69" s="17"/>
      </tp>
      <tp t="e">
        <v>#N/A</v>
        <stp/>
        <stp>BDH|678479914451571568</stp>
        <tr r="AA62" s="18"/>
      </tp>
      <tp t="e">
        <v>#N/A</v>
        <stp/>
        <stp>BDH|351524662425349764</stp>
        <tr r="S14" s="22"/>
      </tp>
      <tp t="e">
        <v>#N/A</v>
        <stp/>
        <stp>BDH|864254426880462187</stp>
        <tr r="Q18" s="6"/>
      </tp>
      <tp t="e">
        <v>#N/A</v>
        <stp/>
        <stp>BDH|737268248221958673</stp>
        <tr r="K68" s="13"/>
      </tp>
      <tp t="e">
        <v>#N/A</v>
        <stp/>
        <stp>BDH|324454607813557639</stp>
        <tr r="Y214" s="18"/>
      </tp>
      <tp t="e">
        <v>#N/A</v>
        <stp/>
        <stp>BDH|138174500568958887</stp>
        <tr r="Z58" s="13"/>
        <tr r="X47" s="11"/>
        <tr r="X56" s="10"/>
        <tr r="X17" s="7"/>
        <tr r="X17" s="4"/>
        <tr r="Z10" s="3"/>
      </tp>
      <tp t="e">
        <v>#N/A</v>
        <stp/>
        <stp>BDH|417538018102987768</stp>
        <tr r="Y54" s="13"/>
      </tp>
      <tp t="e">
        <v>#N/A</v>
        <stp/>
        <stp>BDH|794335521686354667</stp>
        <tr r="Y34" s="24"/>
      </tp>
      <tp t="e">
        <v>#N/A</v>
        <stp/>
        <stp>BDH|844838849544547975</stp>
        <tr r="S21" s="22"/>
      </tp>
      <tp t="e">
        <v>#N/A</v>
        <stp/>
        <stp>BDH|497029558686710291</stp>
        <tr r="Z78" s="17"/>
      </tp>
      <tp t="e">
        <v>#N/A</v>
        <stp/>
        <stp>BDH|536154827917438539</stp>
        <tr r="G139" s="18"/>
      </tp>
      <tp t="e">
        <v>#N/A</v>
        <stp/>
        <stp>BDH|311264671186367260</stp>
        <tr r="U48" s="34"/>
      </tp>
      <tp t="e">
        <v>#N/A</v>
        <stp/>
        <stp>BDH|241930755424278975</stp>
        <tr r="U58" s="6"/>
      </tp>
      <tp t="e">
        <v>#N/A</v>
        <stp/>
        <stp>BDH|701264776994071068</stp>
        <tr r="H50" s="12"/>
      </tp>
      <tp t="e">
        <v>#N/A</v>
        <stp/>
        <stp>BDH|935734279143027220</stp>
        <tr r="U68" s="18"/>
      </tp>
      <tp t="e">
        <v>#N/A</v>
        <stp/>
        <stp>BDH|150970734199069208</stp>
        <tr r="I19" s="25"/>
      </tp>
      <tp t="e">
        <v>#N/A</v>
        <stp/>
        <stp>BDH|102337547694234259</stp>
        <tr r="R80" s="12"/>
      </tp>
      <tp t="e">
        <v>#N/A</v>
        <stp/>
        <stp>BDH|543837824813602863</stp>
        <tr r="O168" s="18"/>
      </tp>
      <tp t="e">
        <v>#N/A</v>
        <stp/>
        <stp>BDH|256223467843141646</stp>
        <tr r="D22" s="21"/>
      </tp>
      <tp t="e">
        <v>#N/A</v>
        <stp/>
        <stp>BDH|501211874865525177</stp>
        <tr r="J180" s="18"/>
      </tp>
      <tp t="e">
        <v>#N/A</v>
        <stp/>
        <stp>BDH|318608933896395214</stp>
        <tr r="M8" s="20"/>
        <tr r="M118" s="18"/>
      </tp>
      <tp t="e">
        <v>#N/A</v>
        <stp/>
        <stp>BDH|900282536267446719</stp>
        <tr r="S30" s="17"/>
      </tp>
      <tp t="e">
        <v>#N/A</v>
        <stp/>
        <stp>BDH|634269958321360784</stp>
        <tr r="I11" s="13"/>
      </tp>
      <tp t="e">
        <v>#N/A</v>
        <stp/>
        <stp>BDH|273344319845978655</stp>
        <tr r="C197" s="18"/>
      </tp>
      <tp t="e">
        <v>#N/A</v>
        <stp/>
        <stp>BDH|344632860493174227</stp>
        <tr r="V64" s="13"/>
      </tp>
      <tp t="e">
        <v>#N/A</v>
        <stp/>
        <stp>BDH|389864755468552469</stp>
        <tr r="Q26" s="27"/>
      </tp>
      <tp t="e">
        <v>#N/A</v>
        <stp/>
        <stp>BDH|391282044093434573</stp>
        <tr r="R61" s="12"/>
      </tp>
      <tp t="e">
        <v>#N/A</v>
        <stp/>
        <stp>BDH|691217026308440891</stp>
        <tr r="T48" s="12"/>
      </tp>
      <tp t="e">
        <v>#N/A</v>
        <stp/>
        <stp>BDH|740814311489845038</stp>
        <tr r="F21" s="9"/>
      </tp>
      <tp t="e">
        <v>#N/A</v>
        <stp/>
        <stp>BDH|263020561203447599</stp>
        <tr r="N25" s="21"/>
      </tp>
      <tp t="e">
        <v>#N/A</v>
        <stp/>
        <stp>BDH|538108307668656981</stp>
        <tr r="AA7" s="27"/>
        <tr r="AA95" s="17"/>
      </tp>
      <tp t="e">
        <v>#N/A</v>
        <stp/>
        <stp>BDH|436722081446292990</stp>
        <tr r="N16" s="21"/>
      </tp>
      <tp t="e">
        <v>#N/A</v>
        <stp/>
        <stp>BDH|236387443030355763</stp>
        <tr r="O8" s="27"/>
      </tp>
      <tp t="e">
        <v>#N/A</v>
        <stp/>
        <stp>BDH|425693523205605140</stp>
        <tr r="K93" s="24"/>
      </tp>
      <tp t="e">
        <v>#N/A</v>
        <stp/>
        <stp>BDH|952073342846606268</stp>
        <tr r="S75" s="17"/>
      </tp>
      <tp t="e">
        <v>#N/A</v>
        <stp/>
        <stp>BDH|781724064778985944</stp>
        <tr r="W49" s="21"/>
      </tp>
      <tp t="e">
        <v>#N/A</v>
        <stp/>
        <stp>BDH|653622489817626978</stp>
        <tr r="N21" s="27"/>
      </tp>
      <tp t="e">
        <v>#N/A</v>
        <stp/>
        <stp>BDH|832272216764376764</stp>
        <tr r="X41" s="12"/>
      </tp>
      <tp t="e">
        <v>#N/A</v>
        <stp/>
        <stp>BDH|595831324018625291</stp>
        <tr r="I16" s="24"/>
      </tp>
      <tp t="e">
        <v>#N/A</v>
        <stp/>
        <stp>BDH|546610652125888632</stp>
        <tr r="U10" s="8"/>
        <tr r="S53" s="6"/>
      </tp>
      <tp t="e">
        <v>#N/A</v>
        <stp/>
        <stp>BDH|360101655156807236</stp>
        <tr r="P60" s="18"/>
      </tp>
      <tp t="e">
        <v>#N/A</v>
        <stp/>
        <stp>BDH|587987384913423204</stp>
        <tr r="I36" s="12"/>
      </tp>
      <tp t="e">
        <v>#N/A</v>
        <stp/>
        <stp>BDH|344882312951216850</stp>
        <tr r="I69" s="24"/>
      </tp>
      <tp t="e">
        <v>#N/A</v>
        <stp/>
        <stp>BDH|233737349941753217</stp>
        <tr r="T54" s="17"/>
        <tr r="T17" s="3"/>
      </tp>
      <tp t="e">
        <v>#N/A</v>
        <stp/>
        <stp>BDH|409980485344562526</stp>
        <tr r="O41" s="6"/>
        <tr r="O18" s="5"/>
      </tp>
      <tp t="e">
        <v>#N/A</v>
        <stp/>
        <stp>BDH|804562611521552547</stp>
        <tr r="R11" s="18"/>
      </tp>
      <tp t="e">
        <v>#N/A</v>
        <stp/>
        <stp>BDH|257213000231839352</stp>
        <tr r="Y20" s="34"/>
      </tp>
      <tp t="e">
        <v>#N/A</v>
        <stp/>
        <stp>BDH|590980789395207494</stp>
        <tr r="X26" s="17"/>
      </tp>
      <tp t="e">
        <v>#N/A</v>
        <stp/>
        <stp>BDH|836217952080312773</stp>
        <tr r="W25" s="29"/>
        <tr r="W19" s="29"/>
        <tr r="W10" s="29"/>
        <tr r="U6" s="9"/>
        <tr r="W12" s="8"/>
        <tr r="U6" s="5"/>
        <tr r="V6" s="2"/>
      </tp>
      <tp t="e">
        <v>#N/A</v>
        <stp/>
        <stp>BDH|973965966049075663</stp>
        <tr r="E32" s="9"/>
      </tp>
      <tp t="e">
        <v>#N/A</v>
        <stp/>
        <stp>BDH|803045999978332198</stp>
        <tr r="N71" s="18"/>
      </tp>
      <tp t="e">
        <v>#N/A</v>
        <stp/>
        <stp>BDH|892482750134797587</stp>
        <tr r="G39" s="22"/>
      </tp>
      <tp t="e">
        <v>#N/A</v>
        <stp/>
        <stp>BDH|806475373287648457</stp>
        <tr r="Y28" s="12"/>
      </tp>
      <tp t="e">
        <v>#N/A</v>
        <stp/>
        <stp>BDH|361681072150630100</stp>
        <tr r="E78" s="18"/>
      </tp>
      <tp t="e">
        <v>#N/A</v>
        <stp/>
        <stp>BDH|216320660392906767</stp>
        <tr r="S42" s="6"/>
      </tp>
      <tp t="e">
        <v>#N/A</v>
        <stp/>
        <stp>BDH|909469874865705646</stp>
        <tr r="U25" s="14"/>
      </tp>
      <tp t="e">
        <v>#N/A</v>
        <stp/>
        <stp>BDH|341988385539571825</stp>
        <tr r="M16" s="6"/>
      </tp>
      <tp t="e">
        <v>#N/A</v>
        <stp/>
        <stp>BDH|335708179092439273</stp>
        <tr r="Q48" s="12"/>
      </tp>
      <tp t="e">
        <v>#N/A</v>
        <stp/>
        <stp>BDH|908361725079483876</stp>
        <tr r="G111" s="18"/>
      </tp>
      <tp t="e">
        <v>#N/A</v>
        <stp/>
        <stp>BDH|607844083696839638</stp>
        <tr r="AA32" s="13"/>
        <tr r="Y24" s="11"/>
        <tr r="Y33" s="10"/>
        <tr r="Y45" s="4"/>
      </tp>
      <tp t="e">
        <v>#N/A</v>
        <stp/>
        <stp>BDH|391627520113857734</stp>
        <tr r="Y28" s="24"/>
      </tp>
      <tp t="e">
        <v>#N/A</v>
        <stp/>
        <stp>BDH|456559029514776352</stp>
        <tr r="O25" s="9"/>
      </tp>
      <tp t="e">
        <v>#N/A</v>
        <stp/>
        <stp>BDH|631089333666685512</stp>
        <tr r="R43" s="6"/>
      </tp>
      <tp t="e">
        <v>#N/A</v>
        <stp/>
        <stp>BDH|962003604260158066</stp>
        <tr r="R10" s="17"/>
      </tp>
      <tp t="e">
        <v>#N/A</v>
        <stp/>
        <stp>BDH|775183274783986593</stp>
        <tr r="AA68" s="18"/>
      </tp>
      <tp t="e">
        <v>#N/A</v>
        <stp/>
        <stp>BDH|762063279497096031</stp>
        <tr r="V40" s="17"/>
      </tp>
      <tp t="e">
        <v>#N/A</v>
        <stp/>
        <stp>BDH|406615547286002499</stp>
        <tr r="S151" s="18"/>
      </tp>
      <tp t="e">
        <v>#N/A</v>
        <stp/>
        <stp>BDH|461598864517626448</stp>
        <tr r="AA206" s="18"/>
      </tp>
      <tp t="e">
        <v>#N/A</v>
        <stp/>
        <stp>BDH|828375070314461005</stp>
        <tr r="F107" s="12"/>
      </tp>
      <tp t="e">
        <v>#N/A</v>
        <stp/>
        <stp>BDH|492553616380164427</stp>
        <tr r="T57" s="6"/>
      </tp>
      <tp t="e">
        <v>#N/A</v>
        <stp/>
        <stp>BDH|339063834127458417</stp>
        <tr r="O37" s="34"/>
      </tp>
      <tp t="e">
        <v>#N/A</v>
        <stp/>
        <stp>BDH|988318433064661495</stp>
        <tr r="V48" s="13"/>
      </tp>
      <tp t="e">
        <v>#N/A</v>
        <stp/>
        <stp>BDH|656037415553336272</stp>
        <tr r="R78" s="24"/>
      </tp>
      <tp t="e">
        <v>#N/A</v>
        <stp/>
        <stp>BDH|343538743568415923</stp>
        <tr r="L64" s="12"/>
      </tp>
      <tp t="e">
        <v>#N/A</v>
        <stp/>
        <stp>BDH|330189079570145663</stp>
        <tr r="N80" s="34"/>
      </tp>
      <tp t="e">
        <v>#N/A</v>
        <stp/>
        <stp>BDH|897021092981927841</stp>
        <tr r="Y87" s="12"/>
      </tp>
      <tp t="e">
        <v>#N/A</v>
        <stp/>
        <stp>BDH|359615527196359237</stp>
        <tr r="U16" s="11"/>
      </tp>
      <tp t="e">
        <v>#N/A</v>
        <stp/>
        <stp>BDH|839644467184763490</stp>
        <tr r="N19" s="34"/>
      </tp>
      <tp t="e">
        <v>#N/A</v>
        <stp/>
        <stp>BDH|276911132398244261</stp>
        <tr r="F11" s="20"/>
        <tr r="F120" s="18"/>
      </tp>
      <tp t="e">
        <v>#N/A</v>
        <stp/>
        <stp>BDH|370225082598434225</stp>
        <tr r="X140" s="18"/>
      </tp>
      <tp t="e">
        <v>#N/A</v>
        <stp/>
        <stp>BDH|710841118581841867</stp>
        <tr r="U29" s="22"/>
      </tp>
      <tp t="e">
        <v>#N/A</v>
        <stp/>
        <stp>BDH|114627267221350126</stp>
        <tr r="C74" s="12"/>
      </tp>
      <tp t="e">
        <v>#N/A</v>
        <stp/>
        <stp>BDH|466925707149176051</stp>
        <tr r="AA39" s="18"/>
      </tp>
      <tp t="e">
        <v>#N/A</v>
        <stp/>
        <stp>BDH|706613040370136227</stp>
        <tr r="P149" s="18"/>
      </tp>
      <tp t="e">
        <v>#N/A</v>
        <stp/>
        <stp>BDH|314357975116208242</stp>
        <tr r="R31" s="17"/>
      </tp>
      <tp t="e">
        <v>#N/A</v>
        <stp/>
        <stp>BDH|638572612916149279</stp>
        <tr r="L25" s="17"/>
      </tp>
      <tp t="e">
        <v>#N/A</v>
        <stp/>
        <stp>BDH|974399361560346541</stp>
        <tr r="P197" s="18"/>
      </tp>
      <tp t="e">
        <v>#N/A</v>
        <stp/>
        <stp>BDH|534618466752187258</stp>
        <tr r="I208" s="18"/>
      </tp>
      <tp t="e">
        <v>#N/A</v>
        <stp/>
        <stp>BDH|726223364453435735</stp>
        <tr r="S171" s="18"/>
      </tp>
      <tp t="e">
        <v>#N/A</v>
        <stp/>
        <stp>BDH|740457413120013570</stp>
        <tr r="H51" s="21"/>
      </tp>
      <tp t="e">
        <v>#N/A</v>
        <stp/>
        <stp>BDH|152972123409201215</stp>
        <tr r="Q34" s="17"/>
      </tp>
      <tp t="e">
        <v>#N/A</v>
        <stp/>
        <stp>BDH|133092113005526485</stp>
        <tr r="L58" s="24"/>
      </tp>
      <tp t="e">
        <v>#N/A</v>
        <stp/>
        <stp>BDH|125547051340583065</stp>
        <tr r="V80" s="34"/>
      </tp>
      <tp t="e">
        <v>#N/A</v>
        <stp/>
        <stp>BDH|335682419850423710</stp>
        <tr r="P19" s="17"/>
      </tp>
      <tp t="e">
        <v>#N/A</v>
        <stp/>
        <stp>BDH|290601134721641478</stp>
        <tr r="AA8" s="24"/>
      </tp>
      <tp t="e">
        <v>#N/A</v>
        <stp/>
        <stp>BDH|597632457614786713</stp>
        <tr r="W136" s="18"/>
      </tp>
      <tp t="e">
        <v>#N/A</v>
        <stp/>
        <stp>BDH|997286763511249578</stp>
        <tr r="K30" s="34"/>
      </tp>
      <tp t="e">
        <v>#N/A</v>
        <stp/>
        <stp>BDH|894288731988041910</stp>
        <tr r="Z8" s="12"/>
      </tp>
      <tp t="e">
        <v>#N/A</v>
        <stp/>
        <stp>BDH|835542735465156382</stp>
        <tr r="N142" s="18"/>
      </tp>
      <tp t="e">
        <v>#N/A</v>
        <stp/>
        <stp>BDH|875454873321914272</stp>
        <tr r="M58" s="13"/>
        <tr r="K47" s="11"/>
        <tr r="K56" s="10"/>
        <tr r="K17" s="7"/>
        <tr r="K17" s="4"/>
        <tr r="M10" s="3"/>
      </tp>
      <tp t="e">
        <v>#N/A</v>
        <stp/>
        <stp>BDH|659130401953345279</stp>
        <tr r="I26" s="13"/>
      </tp>
      <tp t="e">
        <v>#N/A</v>
        <stp/>
        <stp>BDH|258121612874727459</stp>
        <tr r="L16" s="12"/>
      </tp>
      <tp t="e">
        <v>#N/A</v>
        <stp/>
        <stp>BDH|673903830089644304</stp>
        <tr r="W22" s="20"/>
      </tp>
      <tp t="e">
        <v>#N/A</v>
        <stp/>
        <stp>BDH|345771040303543008</stp>
        <tr r="Y106" s="12"/>
      </tp>
      <tp t="e">
        <v>#N/A</v>
        <stp/>
        <stp>BDH|828014439227082416</stp>
        <tr r="P77" s="17"/>
      </tp>
      <tp t="e">
        <v>#N/A</v>
        <stp/>
        <stp>BDH|399048937415410658</stp>
        <tr r="J76" s="18"/>
      </tp>
      <tp t="e">
        <v>#N/A</v>
        <stp/>
        <stp>BDH|501142660227851088</stp>
        <tr r="F91" s="17"/>
      </tp>
      <tp t="e">
        <v>#N/A</v>
        <stp/>
        <stp>BDH|502380125619101884</stp>
        <tr r="D74" s="34"/>
      </tp>
      <tp t="e">
        <v>#N/A</v>
        <stp/>
        <stp>BDH|196509960344572757</stp>
        <tr r="L18" s="34"/>
      </tp>
      <tp t="e">
        <v>#N/A</v>
        <stp/>
        <stp>BDH|942757507593840424</stp>
        <tr r="O14" s="12"/>
      </tp>
      <tp t="e">
        <v>#N/A</v>
        <stp/>
        <stp>BDH|205360764204737166</stp>
        <tr r="T8" s="20"/>
        <tr r="T118" s="18"/>
      </tp>
      <tp t="e">
        <v>#N/A</v>
        <stp/>
        <stp>BDH|391482845969650990</stp>
        <tr r="I8" s="22"/>
      </tp>
      <tp t="e">
        <v>#N/A</v>
        <stp/>
        <stp>BDH|376751114082106422</stp>
        <tr r="AA21" s="22"/>
      </tp>
      <tp t="e">
        <v>#N/A</v>
        <stp/>
        <stp>BDH|257068726710857286</stp>
        <tr r="V37" s="13"/>
        <tr r="T30" s="10"/>
      </tp>
      <tp t="e">
        <v>#N/A</v>
        <stp/>
        <stp>BDH|396082834462439193</stp>
        <tr r="X16" s="12"/>
      </tp>
      <tp t="e">
        <v>#N/A</v>
        <stp/>
        <stp>BDH|764818071329743629</stp>
        <tr r="U48" s="6"/>
      </tp>
      <tp t="e">
        <v>#N/A</v>
        <stp/>
        <stp>BDH|444664973531461077</stp>
        <tr r="V68" s="17"/>
      </tp>
      <tp t="e">
        <v>#N/A</v>
        <stp/>
        <stp>BDH|306951796547368717</stp>
        <tr r="O9" s="22"/>
      </tp>
      <tp t="e">
        <v>#N/A</v>
        <stp/>
        <stp>BDH|717766481199796643</stp>
        <tr r="X178" s="18"/>
      </tp>
      <tp t="e">
        <v>#N/A</v>
        <stp/>
        <stp>BDH|239258177857405270</stp>
        <tr r="U32" s="18"/>
      </tp>
      <tp t="e">
        <v>#N/A</v>
        <stp/>
        <stp>BDH|460939861516086955</stp>
        <tr r="C44" s="34"/>
      </tp>
      <tp t="e">
        <v>#N/A</v>
        <stp/>
        <stp>BDH|332827489017126458</stp>
        <tr r="R40" s="29"/>
        <tr r="R17" s="29"/>
      </tp>
      <tp t="e">
        <v>#N/A</v>
        <stp/>
        <stp>BDH|474692312736158228</stp>
        <tr r="U26" s="6"/>
      </tp>
      <tp t="e">
        <v>#N/A</v>
        <stp/>
        <stp>BDH|557411728910029502</stp>
        <tr r="Z71" s="17"/>
        <tr r="W8" s="9"/>
        <tr r="W8" s="5"/>
      </tp>
      <tp t="e">
        <v>#N/A</v>
        <stp/>
        <stp>BDH|502142999449188249</stp>
        <tr r="AA11" s="18"/>
      </tp>
      <tp t="e">
        <v>#N/A</v>
        <stp/>
        <stp>BDH|470546604500989637</stp>
        <tr r="X48" s="13"/>
      </tp>
      <tp t="e">
        <v>#N/A</v>
        <stp/>
        <stp>BDH|755446064138136989</stp>
        <tr r="Z16" s="12"/>
      </tp>
      <tp t="e">
        <v>#N/A</v>
        <stp/>
        <stp>BDH|848911111589102279</stp>
        <tr r="W48" s="17"/>
      </tp>
      <tp t="e">
        <v>#N/A</v>
        <stp/>
        <stp>BDH|985510201406245055</stp>
        <tr r="AA79" s="34"/>
      </tp>
      <tp t="e">
        <v>#N/A</v>
        <stp/>
        <stp>BDH|936175896358633306</stp>
        <tr r="X9" s="23"/>
      </tp>
      <tp t="e">
        <v>#N/A</v>
        <stp/>
        <stp>BDH|857068386358110379</stp>
        <tr r="Q66" s="10"/>
        <tr r="Q39" s="4"/>
      </tp>
      <tp t="e">
        <v>#N/A</v>
        <stp/>
        <stp>BDH|837772232873255406</stp>
        <tr r="C40" s="22"/>
      </tp>
      <tp t="e">
        <v>#N/A</v>
        <stp/>
        <stp>BDH|321057009341944299</stp>
        <tr r="J126" s="12"/>
      </tp>
      <tp t="e">
        <v>#N/A</v>
        <stp/>
        <stp>BDH|991485171820739088</stp>
        <tr r="R7" s="21"/>
      </tp>
      <tp t="e">
        <v>#N/A</v>
        <stp/>
        <stp>BDH|666663039223407524</stp>
        <tr r="T46" s="12"/>
      </tp>
      <tp t="e">
        <v>#N/A</v>
        <stp/>
        <stp>BDH|154392091738296148</stp>
        <tr r="T68" s="13"/>
      </tp>
      <tp t="e">
        <v>#N/A</v>
        <stp/>
        <stp>BDH|599432042580950353</stp>
        <tr r="V26" s="24"/>
      </tp>
      <tp t="e">
        <v>#N/A</v>
        <stp/>
        <stp>BDH|304593671680695159</stp>
        <tr r="E188" s="18"/>
      </tp>
      <tp t="e">
        <v>#N/A</v>
        <stp/>
        <stp>BDH|461460363737149699</stp>
        <tr r="K174" s="18"/>
      </tp>
      <tp t="e">
        <v>#N/A</v>
        <stp/>
        <stp>BDH|611412045120879335</stp>
        <tr r="C97" s="18"/>
      </tp>
      <tp t="e">
        <v>#N/A</v>
        <stp/>
        <stp>BDH|710498435234378018</stp>
        <tr r="Q29" s="18"/>
      </tp>
      <tp t="e">
        <v>#N/A</v>
        <stp/>
        <stp>BDH|247201951953803713</stp>
        <tr r="J28" s="13"/>
      </tp>
      <tp t="e">
        <v>#N/A</v>
        <stp/>
        <stp>BDH|727796947760170029</stp>
        <tr r="V169" s="18"/>
      </tp>
      <tp t="e">
        <v>#N/A</v>
        <stp/>
        <stp>BDH|205721534947703098</stp>
        <tr r="I15" s="11"/>
      </tp>
      <tp t="e">
        <v>#N/A</v>
        <stp/>
        <stp>BDH|705191758302407583</stp>
        <tr r="M30" s="24"/>
      </tp>
      <tp t="e">
        <v>#N/A</v>
        <stp/>
        <stp>BDH|229202153923994727</stp>
        <tr r="C6" s="28"/>
      </tp>
      <tp t="e">
        <v>#N/A</v>
        <stp/>
        <stp>BDH|849614026092640530</stp>
        <tr r="C22" s="11"/>
      </tp>
      <tp t="e">
        <v>#N/A</v>
        <stp/>
        <stp>BDH|111919288863121137</stp>
        <tr r="J27" s="6"/>
      </tp>
      <tp t="e">
        <v>#N/A</v>
        <stp/>
        <stp>BDH|235498270153215323</stp>
        <tr r="Y32" s="11"/>
        <tr r="Y41" s="10"/>
      </tp>
      <tp t="e">
        <v>#N/A</v>
        <stp/>
        <stp>BDH|952572570981514007</stp>
        <tr r="Y60" s="13"/>
      </tp>
      <tp t="e">
        <v>#N/A</v>
        <stp/>
        <stp>BDH|838048166283465656</stp>
        <tr r="E7" s="4"/>
      </tp>
      <tp t="e">
        <v>#N/A</v>
        <stp/>
        <stp>BDH|721198915835176619</stp>
        <tr r="I74" s="12"/>
      </tp>
      <tp t="e">
        <v>#N/A</v>
        <stp/>
        <stp>BDH|876443372612074252</stp>
        <tr r="W179" s="18"/>
      </tp>
      <tp t="e">
        <v>#N/A</v>
        <stp/>
        <stp>BDH|413346739234284708</stp>
        <tr r="X9" s="8"/>
        <tr r="V52" s="6"/>
      </tp>
      <tp t="e">
        <v>#N/A</v>
        <stp/>
        <stp>BDH|927352458607444248</stp>
        <tr r="C17" s="13"/>
      </tp>
      <tp t="e">
        <v>#N/A</v>
        <stp/>
        <stp>BDH|694724847259187969</stp>
        <tr r="Z183" s="18"/>
      </tp>
      <tp t="e">
        <v>#N/A</v>
        <stp/>
        <stp>BDH|842348229004854696</stp>
        <tr r="C18" s="18"/>
      </tp>
      <tp t="e">
        <v>#N/A</v>
        <stp/>
        <stp>BDH|525645506192218715</stp>
        <tr r="S34" s="12"/>
      </tp>
      <tp t="e">
        <v>#N/A</v>
        <stp/>
        <stp>BDH|850540078742864387</stp>
        <tr r="G180" s="18"/>
      </tp>
      <tp t="e">
        <v>#N/A</v>
        <stp/>
        <stp>BDH|321737643063555320</stp>
        <tr r="X19" s="12"/>
      </tp>
      <tp t="e">
        <v>#N/A</v>
        <stp/>
        <stp>BDH|654939588133071181</stp>
        <tr r="V10" s="8"/>
        <tr r="T53" s="6"/>
      </tp>
      <tp t="e">
        <v>#N/A</v>
        <stp/>
        <stp>BDH|328050527301781036</stp>
        <tr r="O65" s="13"/>
      </tp>
      <tp t="e">
        <v>#N/A</v>
        <stp/>
        <stp>BDH|295014601555453639</stp>
        <tr r="M19" s="18"/>
      </tp>
      <tp t="e">
        <v>#N/A</v>
        <stp/>
        <stp>BDH|448508178744882516</stp>
        <tr r="Q71" s="24"/>
      </tp>
      <tp t="e">
        <v>#N/A</v>
        <stp/>
        <stp>BDH|527409465454552530</stp>
        <tr r="P59" s="12"/>
      </tp>
      <tp t="e">
        <v>#N/A</v>
        <stp/>
        <stp>BDH|102345601473113330</stp>
        <tr r="G91" s="24"/>
      </tp>
      <tp t="e">
        <v>#N/A</v>
        <stp/>
        <stp>BDH|658642621662473517</stp>
        <tr r="W127" s="18"/>
      </tp>
      <tp t="e">
        <v>#N/A</v>
        <stp/>
        <stp>BDH|174387591059656083</stp>
        <tr r="J15" s="4"/>
      </tp>
      <tp t="e">
        <v>#N/A</v>
        <stp/>
        <stp>BDH|425554897147609860</stp>
        <tr r="M8" s="11"/>
      </tp>
      <tp t="e">
        <v>#N/A</v>
        <stp/>
        <stp>BDH|578275952903678708</stp>
        <tr r="Z101" s="12"/>
      </tp>
      <tp t="e">
        <v>#N/A</v>
        <stp/>
        <stp>BDH|257759125335113340</stp>
        <tr r="F60" s="17"/>
      </tp>
      <tp t="e">
        <v>#N/A</v>
        <stp/>
        <stp>BDH|323565323116866292</stp>
        <tr r="H166" s="18"/>
      </tp>
      <tp t="e">
        <v>#N/A</v>
        <stp/>
        <stp>BDH|524541371452153363</stp>
        <tr r="U145" s="18"/>
      </tp>
      <tp t="e">
        <v>#N/A</v>
        <stp/>
        <stp>BDH|153557712245761260</stp>
        <tr r="G27" s="6"/>
      </tp>
      <tp t="e">
        <v>#N/A</v>
        <stp/>
        <stp>BDH|361638713866193259</stp>
        <tr r="K46" s="11"/>
        <tr r="K55" s="10"/>
        <tr r="K7" s="7"/>
        <tr r="M12" s="3"/>
      </tp>
      <tp t="e">
        <v>#N/A</v>
        <stp/>
        <stp>BDH|700308576497399053</stp>
        <tr r="E20" s="34"/>
      </tp>
      <tp t="e">
        <v>#N/A</v>
        <stp/>
        <stp>BDH|749311014177415610</stp>
        <tr r="W28" s="4"/>
      </tp>
      <tp t="e">
        <v>#N/A</v>
        <stp/>
        <stp>BDH|589383603361718193</stp>
        <tr r="P25" s="34"/>
      </tp>
      <tp t="e">
        <v>#N/A</v>
        <stp/>
        <stp>BDH|226519817691134647</stp>
        <tr r="Z106" s="18"/>
      </tp>
      <tp t="e">
        <v>#N/A</v>
        <stp/>
        <stp>BDH|179619857275410523</stp>
        <tr r="V35" s="4"/>
      </tp>
      <tp t="e">
        <v>#N/A</v>
        <stp/>
        <stp>BDH|581013475567929392</stp>
        <tr r="K25" s="29"/>
        <tr r="K19" s="29"/>
        <tr r="K10" s="29"/>
        <tr r="I6" s="9"/>
        <tr r="K12" s="8"/>
        <tr r="I6" s="5"/>
        <tr r="J6" s="2"/>
      </tp>
      <tp t="e">
        <v>#N/A</v>
        <stp/>
        <stp>BDH|546282813987956765</stp>
        <tr r="T25" s="3"/>
      </tp>
      <tp t="e">
        <v>#N/A</v>
        <stp/>
        <stp>BDH|315865798587467586</stp>
        <tr r="AA33" s="24"/>
      </tp>
      <tp t="e">
        <v>#N/A</v>
        <stp/>
        <stp>BDH|291553362561198151</stp>
        <tr r="C33" s="24"/>
      </tp>
      <tp t="e">
        <v>#N/A</v>
        <stp/>
        <stp>BDH|924815998364409650</stp>
        <tr r="Y26" s="22"/>
      </tp>
      <tp t="e">
        <v>#N/A</v>
        <stp/>
        <stp>BDH|205573524682270626</stp>
        <tr r="L88" s="17"/>
      </tp>
      <tp t="e">
        <v>#N/A</v>
        <stp/>
        <stp>BDH|316128845536311069</stp>
        <tr r="AA147" s="18"/>
      </tp>
      <tp t="e">
        <v>#N/A</v>
        <stp/>
        <stp>BDH|418307285859456171</stp>
        <tr r="P122" s="12"/>
      </tp>
      <tp t="e">
        <v>#N/A</v>
        <stp/>
        <stp>BDH|382083980339910202</stp>
        <tr r="E17" s="27"/>
        <tr r="E31" s="25"/>
      </tp>
      <tp t="e">
        <v>#N/A</v>
        <stp/>
        <stp>BDH|419253850784540069</stp>
        <tr r="I79" s="24"/>
      </tp>
      <tp t="e">
        <v>#N/A</v>
        <stp/>
        <stp>BDH|573461632977096339</stp>
        <tr r="V121" s="12"/>
      </tp>
      <tp t="e">
        <v>#N/A</v>
        <stp/>
        <stp>BDH|852308211798870932</stp>
        <tr r="V9" s="17"/>
      </tp>
      <tp t="e">
        <v>#N/A</v>
        <stp/>
        <stp>BDH|315769156011823096</stp>
        <tr r="D53" s="13"/>
      </tp>
      <tp t="e">
        <v>#N/A</v>
        <stp/>
        <stp>BDH|201819785025378678</stp>
        <tr r="D18" s="13"/>
      </tp>
      <tp t="e">
        <v>#N/A</v>
        <stp/>
        <stp>BDH|541643142196770766</stp>
        <tr r="AA114" s="12"/>
      </tp>
      <tp t="e">
        <v>#N/A</v>
        <stp/>
        <stp>BDH|927008919205567766</stp>
        <tr r="D105" s="12"/>
      </tp>
      <tp t="e">
        <v>#N/A</v>
        <stp/>
        <stp>BDH|822629128731618673</stp>
        <tr r="U42" s="18"/>
      </tp>
      <tp t="e">
        <v>#N/A</v>
        <stp/>
        <stp>BDH|458362058374800117</stp>
        <tr r="H74" s="12"/>
      </tp>
      <tp t="e">
        <v>#N/A</v>
        <stp/>
        <stp>BDH|626319652821041466</stp>
        <tr r="P96" s="18"/>
      </tp>
      <tp t="e">
        <v>#N/A</v>
        <stp/>
        <stp>BDH|347370890218390149</stp>
        <tr r="C9" s="10"/>
      </tp>
      <tp t="e">
        <v>#N/A</v>
        <stp/>
        <stp>BDH|346200760950867673</stp>
        <tr r="U44" s="18"/>
      </tp>
      <tp t="e">
        <v>#N/A</v>
        <stp/>
        <stp>BDH|143260961851957735</stp>
        <tr r="M120" s="12"/>
      </tp>
      <tp t="e">
        <v>#N/A</v>
        <stp/>
        <stp>BDH|456568840035997679</stp>
        <tr r="P105" s="18"/>
      </tp>
      <tp t="e">
        <v>#N/A</v>
        <stp/>
        <stp>BDH|682988782390842384</stp>
        <tr r="P48" s="18"/>
      </tp>
      <tp t="e">
        <v>#N/A</v>
        <stp/>
        <stp>BDH|446128740646843128</stp>
        <tr r="J193" s="18"/>
      </tp>
      <tp t="e">
        <v>#N/A</v>
        <stp/>
        <stp>BDH|716664834386092183</stp>
        <tr r="Y10" s="10"/>
      </tp>
      <tp t="e">
        <v>#N/A</v>
        <stp/>
        <stp>BDH|821568344013217058</stp>
        <tr r="P24" s="29"/>
      </tp>
      <tp t="e">
        <v>#N/A</v>
        <stp/>
        <stp>BDH|917355435351311375</stp>
        <tr r="D146" s="18"/>
      </tp>
      <tp t="e">
        <v>#N/A</v>
        <stp/>
        <stp>BDH|338364309064027515</stp>
        <tr r="K43" s="4"/>
      </tp>
      <tp t="e">
        <v>#N/A</v>
        <stp/>
        <stp>BDH|103044277763859672</stp>
        <tr r="D28" s="17"/>
      </tp>
      <tp t="e">
        <v>#N/A</v>
        <stp/>
        <stp>BDH|395238428644188675</stp>
        <tr r="P7" s="9"/>
        <tr r="P7" s="5"/>
        <tr r="S14" s="3"/>
        <tr r="Q7" s="2"/>
      </tp>
      <tp t="e">
        <v>#N/A</v>
        <stp/>
        <stp>BDH|858511037196265228</stp>
        <tr r="M75" s="24"/>
      </tp>
      <tp t="e">
        <v>#N/A</v>
        <stp/>
        <stp>BDH|884624944527898798</stp>
        <tr r="Q64" s="21"/>
      </tp>
      <tp t="e">
        <v>#N/A</v>
        <stp/>
        <stp>BDH|431321169403197411</stp>
        <tr r="E136" s="18"/>
      </tp>
      <tp t="e">
        <v>#N/A</v>
        <stp/>
        <stp>BDH|609187204746564508</stp>
        <tr r="K15" s="23"/>
        <tr r="I58" s="11"/>
      </tp>
      <tp t="e">
        <v>#N/A</v>
        <stp/>
        <stp>BDH|703082722728445819</stp>
        <tr r="F13" s="34"/>
      </tp>
      <tp t="e">
        <v>#N/A</v>
        <stp/>
        <stp>BDH|732469523761201583</stp>
        <tr r="X128" s="18"/>
      </tp>
      <tp t="e">
        <v>#N/A</v>
        <stp/>
        <stp>BDH|400167645867945065</stp>
        <tr r="R52" s="17"/>
      </tp>
      <tp t="e">
        <v>#N/A</v>
        <stp/>
        <stp>BDH|263569917132957427</stp>
        <tr r="U28" s="14"/>
      </tp>
      <tp t="e">
        <v>#N/A</v>
        <stp/>
        <stp>BDH|750161618925936788</stp>
        <tr r="H18" s="13"/>
      </tp>
      <tp t="e">
        <v>#N/A</v>
        <stp/>
        <stp>BDH|536087452610760703</stp>
        <tr r="W199" s="18"/>
      </tp>
      <tp t="e">
        <v>#N/A</v>
        <stp/>
        <stp>BDH|858528993628779674</stp>
        <tr r="J36" s="12"/>
      </tp>
      <tp t="e">
        <v>#N/A</v>
        <stp/>
        <stp>BDH|242700023947190098</stp>
        <tr r="Y53" s="24"/>
      </tp>
      <tp t="e">
        <v>#N/A</v>
        <stp/>
        <stp>BDH|918453857667485461</stp>
        <tr r="M32" s="24"/>
      </tp>
      <tp t="e">
        <v>#N/A</v>
        <stp/>
        <stp>BDH|330185234271393150</stp>
        <tr r="G28" s="24"/>
      </tp>
      <tp t="e">
        <v>#N/A</v>
        <stp/>
        <stp>BDH|523283764423412546</stp>
        <tr r="O63" s="11"/>
        <tr r="O72" s="10"/>
      </tp>
      <tp t="e">
        <v>#N/A</v>
        <stp/>
        <stp>BDH|291290920155686743</stp>
        <tr r="J59" s="18"/>
      </tp>
      <tp t="e">
        <v>#N/A</v>
        <stp/>
        <stp>BDH|808320006023231277</stp>
        <tr r="AA30" s="17"/>
      </tp>
      <tp t="e">
        <v>#N/A</v>
        <stp/>
        <stp>BDH|736946169139449474</stp>
        <tr r="G213" s="18"/>
      </tp>
      <tp t="e">
        <v>#N/A</v>
        <stp/>
        <stp>BDH|750650030487245090</stp>
        <tr r="C11" s="6"/>
      </tp>
      <tp t="e">
        <v>#N/A</v>
        <stp/>
        <stp>BDH|840272811121397074</stp>
        <tr r="D32" s="18"/>
      </tp>
      <tp t="e">
        <v>#N/A</v>
        <stp/>
        <stp>BDH|162044786029821319</stp>
        <tr r="T70" s="18"/>
      </tp>
      <tp t="e">
        <v>#N/A</v>
        <stp/>
        <stp>BDH|617387006779265809</stp>
        <tr r="X17" s="18"/>
      </tp>
      <tp t="e">
        <v>#N/A</v>
        <stp/>
        <stp>BDH|887296338324631751</stp>
        <tr r="K26" s="13"/>
      </tp>
      <tp t="e">
        <v>#N/A</v>
        <stp/>
        <stp>BDH|158152877327176381</stp>
        <tr r="Q19" s="22"/>
      </tp>
      <tp t="e">
        <v>#N/A</v>
        <stp/>
        <stp>BDH|829371706092339306</stp>
        <tr r="R24" s="17"/>
      </tp>
      <tp t="e">
        <v>#N/A</v>
        <stp/>
        <stp>BDH|380193176307351346</stp>
        <tr r="V50" s="12"/>
      </tp>
      <tp t="e">
        <v>#N/A</v>
        <stp/>
        <stp>BDH|735595513320194677</stp>
        <tr r="Q201" s="18"/>
      </tp>
      <tp t="e">
        <v>#N/A</v>
        <stp/>
        <stp>BDH|452078736592970371</stp>
        <tr r="W13" s="13"/>
      </tp>
      <tp t="e">
        <v>#N/A</v>
        <stp/>
        <stp>BDH|381504316064932270</stp>
        <tr r="O41" s="18"/>
      </tp>
      <tp t="e">
        <v>#N/A</v>
        <stp/>
        <stp>BDH|811554767313289232</stp>
        <tr r="Y63" s="18"/>
      </tp>
      <tp t="e">
        <v>#N/A</v>
        <stp/>
        <stp>BDH|831475102561454724</stp>
        <tr r="Y149" s="18"/>
      </tp>
      <tp t="e">
        <v>#N/A</v>
        <stp/>
        <stp>BDH|961202740952230608</stp>
        <tr r="Y14" s="8"/>
      </tp>
      <tp t="e">
        <v>#N/A</v>
        <stp/>
        <stp>BDH|956062741640989637</stp>
        <tr r="M39" s="26"/>
      </tp>
      <tp t="e">
        <v>#N/A</v>
        <stp/>
        <stp>BDH|438486620101016587</stp>
        <tr r="F64" s="18"/>
      </tp>
      <tp t="e">
        <v>#N/A</v>
        <stp/>
        <stp>BDH|574761489494856964</stp>
        <tr r="M64" s="18"/>
      </tp>
      <tp t="e">
        <v>#N/A</v>
        <stp/>
        <stp>BDH|249513450074042675</stp>
        <tr r="I23" s="17"/>
      </tp>
      <tp t="e">
        <v>#N/A</v>
        <stp/>
        <stp>BDH|328706834251770744</stp>
        <tr r="C57" s="18"/>
      </tp>
      <tp t="e">
        <v>#N/A</v>
        <stp/>
        <stp>BDH|913723794728231493</stp>
        <tr r="M53" s="18"/>
      </tp>
      <tp t="e">
        <v>#N/A</v>
        <stp/>
        <stp>BDH|910936991280675289</stp>
        <tr r="S29" s="18"/>
      </tp>
      <tp t="e">
        <v>#N/A</v>
        <stp/>
        <stp>BDH|603815332868048100</stp>
        <tr r="S49" s="24"/>
      </tp>
      <tp t="e">
        <v>#N/A</v>
        <stp/>
        <stp>BDH|420621156191649038</stp>
        <tr r="Z56" s="12"/>
      </tp>
      <tp t="e">
        <v>#N/A</v>
        <stp/>
        <stp>BDH|536604004455585118</stp>
        <tr r="K9" s="22"/>
      </tp>
      <tp t="e">
        <v>#N/A</v>
        <stp/>
        <stp>BDH|456722246394353561</stp>
        <tr r="E28" s="26"/>
      </tp>
      <tp t="e">
        <v>#N/A</v>
        <stp/>
        <stp>BDH|143913391423356177</stp>
        <tr r="M27" s="6"/>
      </tp>
      <tp t="e">
        <v>#N/A</v>
        <stp/>
        <stp>BDH|750253983458043041</stp>
        <tr r="S13" s="26"/>
      </tp>
      <tp t="e">
        <v>#N/A</v>
        <stp/>
        <stp>BDH|996061941293049584</stp>
        <tr r="O23" s="24"/>
      </tp>
      <tp t="e">
        <v>#N/A</v>
        <stp/>
        <stp>BDH|811364605314820556</stp>
        <tr r="O56" s="24"/>
      </tp>
      <tp t="e">
        <v>#N/A</v>
        <stp/>
        <stp>BDH|417380923886924512</stp>
        <tr r="L26" s="34"/>
      </tp>
      <tp t="e">
        <v>#N/A</v>
        <stp/>
        <stp>BDH|706708506765718011</stp>
        <tr r="L58" s="17"/>
      </tp>
      <tp t="e">
        <v>#N/A</v>
        <stp/>
        <stp>BDH|291038036959046800</stp>
        <tr r="D13" s="2"/>
      </tp>
      <tp t="e">
        <v>#N/A</v>
        <stp/>
        <stp>BDH|109692509814750013</stp>
        <tr r="R88" s="18"/>
      </tp>
      <tp t="e">
        <v>#N/A</v>
        <stp/>
        <stp>BDH|584516411082096424</stp>
        <tr r="M32" s="29"/>
        <tr r="K34" s="5"/>
      </tp>
      <tp t="e">
        <v>#N/A</v>
        <stp/>
        <stp>BDH|103096408242517025</stp>
        <tr r="C64" s="11"/>
        <tr r="C73" s="10"/>
      </tp>
      <tp t="e">
        <v>#N/A</v>
        <stp/>
        <stp>BDH|958405513147599089</stp>
        <tr r="N113" s="12"/>
      </tp>
      <tp t="e">
        <v>#N/A</v>
        <stp/>
        <stp>BDH|864787516002278632</stp>
        <tr r="E81" s="12"/>
      </tp>
      <tp t="e">
        <v>#N/A</v>
        <stp/>
        <stp>BDH|562297005763859367</stp>
        <tr r="I88" s="24"/>
      </tp>
      <tp t="e">
        <v>#N/A</v>
        <stp/>
        <stp>BDH|976329400445235491</stp>
        <tr r="J9" s="17"/>
      </tp>
      <tp t="e">
        <v>#N/A</v>
        <stp/>
        <stp>BDH|776208337616462541</stp>
        <tr r="F32" s="21"/>
      </tp>
      <tp t="e">
        <v>#N/A</v>
        <stp/>
        <stp>BDH|234851890835453630</stp>
        <tr r="E62" s="17"/>
      </tp>
      <tp t="e">
        <v>#N/A</v>
        <stp/>
        <stp>BDH|199139296909558311</stp>
        <tr r="F78" s="34"/>
      </tp>
      <tp t="e">
        <v>#N/A</v>
        <stp/>
        <stp>BDH|604706810120617406</stp>
        <tr r="P22" s="22"/>
      </tp>
      <tp t="e">
        <v>#N/A</v>
        <stp/>
        <stp>BDH|100305514198258870</stp>
        <tr r="K25" s="3"/>
      </tp>
      <tp t="e">
        <v>#N/A</v>
        <stp/>
        <stp>BDH|618021705554661677</stp>
        <tr r="F30" s="26"/>
      </tp>
      <tp t="e">
        <v>#N/A</v>
        <stp/>
        <stp>BDH|605316637775283731</stp>
        <tr r="D160" s="18"/>
      </tp>
      <tp t="e">
        <v>#N/A</v>
        <stp/>
        <stp>BDH|224439728243944710</stp>
        <tr r="D41" s="21"/>
      </tp>
      <tp t="e">
        <v>#N/A</v>
        <stp/>
        <stp>BDH|328775275666962491</stp>
        <tr r="H104" s="18"/>
      </tp>
      <tp t="e">
        <v>#N/A</v>
        <stp/>
        <stp>BDH|454462963568804885</stp>
        <tr r="R133" s="18"/>
      </tp>
      <tp t="e">
        <v>#N/A</v>
        <stp/>
        <stp>BDH|705894228089153151</stp>
        <tr r="T9" s="18"/>
      </tp>
      <tp t="e">
        <v>#N/A</v>
        <stp/>
        <stp>BDH|357763633056585004</stp>
        <tr r="W119" s="12"/>
      </tp>
      <tp t="e">
        <v>#N/A</v>
        <stp/>
        <stp>BDH|114335183291293801</stp>
        <tr r="Z51" s="21"/>
      </tp>
      <tp t="e">
        <v>#N/A</v>
        <stp/>
        <stp>BDH|220965872658346468</stp>
        <tr r="V20" s="29"/>
      </tp>
      <tp t="e">
        <v>#N/A</v>
        <stp/>
        <stp>BDH|463985427531917815</stp>
        <tr r="F8" s="24"/>
      </tp>
      <tp t="e">
        <v>#N/A</v>
        <stp/>
        <stp>BDH|969881937180443914</stp>
        <tr r="C26" s="24"/>
      </tp>
      <tp t="e">
        <v>#N/A</v>
        <stp/>
        <stp>BDH|881854586445464834</stp>
        <tr r="T18" s="17"/>
      </tp>
      <tp t="e">
        <v>#N/A</v>
        <stp/>
        <stp>BDH|933365333905936895</stp>
        <tr r="J19" s="30"/>
      </tp>
      <tp t="e">
        <v>#N/A</v>
        <stp/>
        <stp>BDH|391871348143456242</stp>
        <tr r="O95" s="12"/>
      </tp>
      <tp t="e">
        <v>#N/A</v>
        <stp/>
        <stp>BDH|487995706100755407</stp>
        <tr r="N77" s="18"/>
      </tp>
      <tp t="e">
        <v>#N/A</v>
        <stp/>
        <stp>BDH|843156009809056580</stp>
        <tr r="J38" s="34"/>
      </tp>
      <tp t="e">
        <v>#N/A</v>
        <stp/>
        <stp>BDH|236460473776922829</stp>
        <tr r="P97" s="17"/>
      </tp>
      <tp t="e">
        <v>#N/A</v>
        <stp/>
        <stp>BDH|278807261046653597</stp>
        <tr r="G39" s="25"/>
        <tr r="G22" s="13"/>
        <tr r="G7" s="13"/>
        <tr r="E17" s="11"/>
        <tr r="G7" s="3"/>
      </tp>
      <tp t="e">
        <v>#N/A</v>
        <stp/>
        <stp>BDH|243557849229109537</stp>
        <tr r="H12" s="24"/>
      </tp>
      <tp t="e">
        <v>#N/A</v>
        <stp/>
        <stp>BDH|445295592554703243</stp>
        <tr r="T47" s="24"/>
      </tp>
      <tp t="e">
        <v>#N/A</v>
        <stp/>
        <stp>BDH|560985093589435462</stp>
        <tr r="X136" s="18"/>
      </tp>
      <tp t="e">
        <v>#N/A</v>
        <stp/>
        <stp>BDH|763062995435821118</stp>
        <tr r="F84" s="18"/>
      </tp>
      <tp t="e">
        <v>#N/A</v>
        <stp/>
        <stp>BDH|901706204082488846</stp>
        <tr r="Z175" s="18"/>
      </tp>
      <tp t="e">
        <v>#N/A</v>
        <stp/>
        <stp>BDH|680722489051028301</stp>
        <tr r="E34" s="11"/>
        <tr r="E43" s="10"/>
      </tp>
      <tp t="e">
        <v>#N/A</v>
        <stp/>
        <stp>BDH|119819571314417683</stp>
        <tr r="G93" s="12"/>
      </tp>
      <tp t="e">
        <v>#N/A</v>
        <stp/>
        <stp>BDH|622008139419130733</stp>
        <tr r="AA96" s="12"/>
      </tp>
      <tp t="e">
        <v>#N/A</v>
        <stp/>
        <stp>BDH|573363695007823036</stp>
        <tr r="R174" s="18"/>
      </tp>
      <tp t="e">
        <v>#N/A</v>
        <stp/>
        <stp>BDH|403380996945610223</stp>
        <tr r="U58" s="17"/>
      </tp>
      <tp t="e">
        <v>#N/A</v>
        <stp/>
        <stp>BDH|279175514628838579</stp>
        <tr r="P56" s="11"/>
        <tr r="P24" s="4"/>
      </tp>
      <tp t="e">
        <v>#N/A</v>
        <stp/>
        <stp>BDH|884440209341240885</stp>
        <tr r="S18" s="17"/>
      </tp>
      <tp t="e">
        <v>#N/A</v>
        <stp/>
        <stp>BDH|434167517978914531</stp>
        <tr r="I10" s="28"/>
      </tp>
      <tp t="e">
        <v>#N/A</v>
        <stp/>
        <stp>BDH|494249090837963168</stp>
        <tr r="J20" s="25"/>
      </tp>
      <tp t="e">
        <v>#N/A</v>
        <stp/>
        <stp>BDH|618291968858173199</stp>
        <tr r="E19" s="30"/>
      </tp>
      <tp t="e">
        <v>#N/A</v>
        <stp/>
        <stp>BDH|923841353633129301</stp>
        <tr r="C9" s="17"/>
      </tp>
      <tp t="e">
        <v>#N/A</v>
        <stp/>
        <stp>BDH|256377088576388061</stp>
        <tr r="Y57" s="24"/>
      </tp>
      <tp t="e">
        <v>#N/A</v>
        <stp/>
        <stp>BDH|529175896873874648</stp>
        <tr r="D32" s="12"/>
      </tp>
      <tp t="e">
        <v>#N/A</v>
        <stp/>
        <stp>BDH|941320197522628525</stp>
        <tr r="Z133" s="18"/>
      </tp>
      <tp t="e">
        <v>#N/A</v>
        <stp/>
        <stp>BDH|582392434888930597</stp>
        <tr r="C105" s="12"/>
      </tp>
      <tp t="e">
        <v>#N/A</v>
        <stp/>
        <stp>BDH|244080243559875091</stp>
        <tr r="N64" s="17"/>
      </tp>
      <tp t="e">
        <v>#N/A</v>
        <stp/>
        <stp>BDH|293853723980961752</stp>
        <tr r="C64" s="24"/>
      </tp>
      <tp t="e">
        <v>#N/A</v>
        <stp/>
        <stp>BDH|213668498441511302</stp>
        <tr r="M30" s="12"/>
      </tp>
      <tp t="e">
        <v>#N/A</v>
        <stp/>
        <stp>BDH|138194818769966406</stp>
        <tr r="P20" s="22"/>
      </tp>
      <tp t="e">
        <v>#N/A</v>
        <stp/>
        <stp>BDH|772118752869420094</stp>
        <tr r="F19" s="21"/>
        <tr r="F23" s="3"/>
        <tr r="D23" s="2"/>
      </tp>
      <tp t="e">
        <v>#N/A</v>
        <stp/>
        <stp>BDH|456194156169181005</stp>
        <tr r="D108" s="12"/>
      </tp>
      <tp t="e">
        <v>#N/A</v>
        <stp/>
        <stp>BDH|196089253940132819</stp>
        <tr r="AA10" s="34"/>
      </tp>
      <tp t="e">
        <v>#N/A</v>
        <stp/>
        <stp>BDH|362827751563214386</stp>
        <tr r="O37" s="18"/>
      </tp>
      <tp t="e">
        <v>#N/A</v>
        <stp/>
        <stp>BDH|719404925169915205</stp>
        <tr r="M201" s="18"/>
      </tp>
      <tp t="e">
        <v>#N/A</v>
        <stp/>
        <stp>BDH|850978324986864085</stp>
        <tr r="V10" s="10"/>
      </tp>
      <tp t="e">
        <v>#N/A</v>
        <stp/>
        <stp>BDH|930822307706522320</stp>
        <tr r="J23" s="23"/>
      </tp>
      <tp t="e">
        <v>#N/A</v>
        <stp/>
        <stp>BDH|988408881137474689</stp>
        <tr r="L30" s="14"/>
      </tp>
      <tp t="e">
        <v>#N/A</v>
        <stp/>
        <stp>BDH|558945690485523807</stp>
        <tr r="G59" s="12"/>
      </tp>
      <tp t="e">
        <v>#N/A</v>
        <stp/>
        <stp>BDH|764929592835745846</stp>
        <tr r="O112" s="18"/>
      </tp>
      <tp t="e">
        <v>#N/A</v>
        <stp/>
        <stp>BDH|698906302900070418</stp>
        <tr r="X28" s="4"/>
      </tp>
      <tp t="e">
        <v>#N/A</v>
        <stp/>
        <stp>BDH|841091254479189110</stp>
        <tr r="N13" s="21"/>
      </tp>
      <tp t="e">
        <v>#N/A</v>
        <stp/>
        <stp>BDH|992203887086937124</stp>
        <tr r="O96" s="12"/>
      </tp>
      <tp t="e">
        <v>#N/A</v>
        <stp/>
        <stp>BDH|142736246946181802</stp>
        <tr r="K10" s="23"/>
      </tp>
      <tp t="e">
        <v>#N/A</v>
        <stp/>
        <stp>BDH|978653288797674472</stp>
        <tr r="X33" s="5"/>
      </tp>
      <tp t="e">
        <v>#N/A</v>
        <stp/>
        <stp>BDH|935166937878805758</stp>
        <tr r="X185" s="18"/>
      </tp>
      <tp t="e">
        <v>#N/A</v>
        <stp/>
        <stp>BDH|745460286534410553</stp>
        <tr r="N68" s="13"/>
      </tp>
      <tp t="e">
        <v>#N/A</v>
        <stp/>
        <stp>BDH|470943762331722336</stp>
        <tr r="S59" s="18"/>
      </tp>
      <tp t="e">
        <v>#N/A</v>
        <stp/>
        <stp>BDH|153252769699253095</stp>
        <tr r="R32" s="24"/>
      </tp>
      <tp t="e">
        <v>#N/A</v>
        <stp/>
        <stp>BDH|804755358007657842</stp>
        <tr r="G32" s="17"/>
      </tp>
      <tp t="e">
        <v>#N/A</v>
        <stp/>
        <stp>BDH|256099176493319998</stp>
        <tr r="H14" s="21"/>
      </tp>
      <tp t="e">
        <v>#N/A</v>
        <stp/>
        <stp>BDH|120276885396447106</stp>
        <tr r="G21" s="3"/>
      </tp>
      <tp t="e">
        <v>#N/A</v>
        <stp/>
        <stp>BDH|170619560105775871</stp>
        <tr r="D19" s="22"/>
      </tp>
      <tp t="e">
        <v>#N/A</v>
        <stp/>
        <stp>BDH|291739142648180622</stp>
        <tr r="X12" s="17"/>
      </tp>
      <tp t="e">
        <v>#N/A</v>
        <stp/>
        <stp>BDH|271809656081032157</stp>
        <tr r="J28" s="34"/>
      </tp>
      <tp t="e">
        <v>#N/A</v>
        <stp/>
        <stp>BDH|389904222432153414</stp>
        <tr r="D75" s="17"/>
      </tp>
      <tp t="e">
        <v>#N/A</v>
        <stp/>
        <stp>BDH|722826261430567305</stp>
        <tr r="J56" s="18"/>
      </tp>
      <tp t="e">
        <v>#N/A</v>
        <stp/>
        <stp>BDH|832913057486965764</stp>
        <tr r="U146" s="18"/>
      </tp>
      <tp t="e">
        <v>#N/A</v>
        <stp/>
        <stp>BDH|612313277909458066</stp>
        <tr r="K58" s="24"/>
      </tp>
      <tp t="e">
        <v>#N/A</v>
        <stp/>
        <stp>BDH|645469180725182430</stp>
        <tr r="T16" s="27"/>
        <tr r="T30" s="25"/>
      </tp>
      <tp t="e">
        <v>#N/A</v>
        <stp/>
        <stp>BDH|190682245386750982</stp>
        <tr r="E9" s="20"/>
        <tr r="E119" s="18"/>
      </tp>
      <tp t="e">
        <v>#N/A</v>
        <stp/>
        <stp>BDH|168915412005198006</stp>
        <tr r="V15" s="30"/>
      </tp>
      <tp t="e">
        <v>#N/A</v>
        <stp/>
        <stp>BDH|377745445606081811</stp>
        <tr r="L23" s="24"/>
      </tp>
      <tp t="e">
        <v>#N/A</v>
        <stp/>
        <stp>BDH|850306052558157381</stp>
        <tr r="Q33" s="14"/>
      </tp>
      <tp t="e">
        <v>#N/A</v>
        <stp/>
        <stp>BDH|472977629242682503</stp>
        <tr r="J28" s="21"/>
      </tp>
      <tp t="e">
        <v>#N/A</v>
        <stp/>
        <stp>BDH|884411601068603024</stp>
        <tr r="Z53" s="13"/>
      </tp>
      <tp t="e">
        <v>#N/A</v>
        <stp/>
        <stp>BDH|303943628361213612</stp>
        <tr r="W59" s="12"/>
      </tp>
      <tp t="e">
        <v>#N/A</v>
        <stp/>
        <stp>BDH|476025434878881761</stp>
        <tr r="F98" s="18"/>
      </tp>
      <tp t="e">
        <v>#N/A</v>
        <stp/>
        <stp>BDH|627368809356632939</stp>
        <tr r="Z13" s="12"/>
      </tp>
      <tp t="e">
        <v>#N/A</v>
        <stp/>
        <stp>BDH|324434054655087889</stp>
        <tr r="F16" s="28"/>
        <tr r="F13" s="17"/>
      </tp>
      <tp t="e">
        <v>#N/A</v>
        <stp/>
        <stp>BDH|169777442629965610</stp>
        <tr r="Y114" s="12"/>
      </tp>
      <tp t="e">
        <v>#N/A</v>
        <stp/>
        <stp>BDH|273938879894579614</stp>
        <tr r="X74" s="18"/>
      </tp>
      <tp t="e">
        <v>#N/A</v>
        <stp/>
        <stp>BDH|165825739765290251</stp>
        <tr r="F61" s="13"/>
        <tr r="D48" s="11"/>
        <tr r="D57" s="10"/>
        <tr r="D18" s="7"/>
      </tp>
      <tp t="e">
        <v>#N/A</v>
        <stp/>
        <stp>BDH|579947554228072889</stp>
        <tr r="W31" s="9"/>
      </tp>
      <tp t="e">
        <v>#N/A</v>
        <stp/>
        <stp>BDH|377978824097668083</stp>
        <tr r="U8" s="10"/>
      </tp>
      <tp t="e">
        <v>#N/A</v>
        <stp/>
        <stp>BDH|819148684675187078</stp>
        <tr r="P13" s="11"/>
      </tp>
      <tp t="e">
        <v>#N/A</v>
        <stp/>
        <stp>BDH|588543398240634019</stp>
        <tr r="P84" s="18"/>
      </tp>
      <tp t="e">
        <v>#N/A</v>
        <stp/>
        <stp>BDH|337033724886395892</stp>
        <tr r="AA35" s="17"/>
      </tp>
      <tp t="e">
        <v>#N/A</v>
        <stp/>
        <stp>BDH|209912570745824756</stp>
        <tr r="F18" s="23"/>
      </tp>
      <tp t="e">
        <v>#N/A</v>
        <stp/>
        <stp>BDH|296989163043788016</stp>
        <tr r="C10" s="34"/>
      </tp>
      <tp t="e">
        <v>#N/A</v>
        <stp/>
        <stp>BDH|300151921047847805</stp>
        <tr r="P13" s="10"/>
      </tp>
      <tp t="e">
        <v>#N/A</v>
        <stp/>
        <stp>BDH|338453998144212536</stp>
        <tr r="F170" s="18"/>
      </tp>
      <tp t="e">
        <v>#N/A</v>
        <stp/>
        <stp>BDH|942062691307774218</stp>
        <tr r="E89" s="17"/>
      </tp>
      <tp t="e">
        <v>#N/A</v>
        <stp/>
        <stp>BDH|343988040089147822</stp>
        <tr r="X106" s="18"/>
      </tp>
      <tp t="e">
        <v>#N/A</v>
        <stp/>
        <stp>BDH|343706441979368696</stp>
        <tr r="Q17" s="6"/>
      </tp>
      <tp t="e">
        <v>#N/A</v>
        <stp/>
        <stp>BDH|890645275048251531</stp>
        <tr r="W8" s="20"/>
        <tr r="W118" s="18"/>
      </tp>
      <tp t="e">
        <v>#N/A</v>
        <stp/>
        <stp>BDH|707066087566845265</stp>
        <tr r="G13" s="12"/>
      </tp>
      <tp t="e">
        <v>#N/A</v>
        <stp/>
        <stp>BDH|480253867660897866</stp>
        <tr r="M83" s="12"/>
      </tp>
      <tp t="e">
        <v>#N/A</v>
        <stp/>
        <stp>BDH|657892206794741066</stp>
        <tr r="H58" s="24"/>
      </tp>
      <tp t="e">
        <v>#N/A</v>
        <stp/>
        <stp>BDH|245889161500392200</stp>
        <tr r="X60" s="13"/>
      </tp>
      <tp t="e">
        <v>#N/A</v>
        <stp/>
        <stp>BDH|938914766375155675</stp>
        <tr r="I37" s="22"/>
      </tp>
      <tp t="e">
        <v>#N/A</v>
        <stp/>
        <stp>BDH|898924512595857197</stp>
        <tr r="Z50" s="21"/>
      </tp>
      <tp t="e">
        <v>#N/A</v>
        <stp/>
        <stp>BDH|862195318294282827</stp>
        <tr r="L66" s="18"/>
      </tp>
      <tp t="e">
        <v>#N/A</v>
        <stp/>
        <stp>BDH|306742307203835812</stp>
        <tr r="AA27" s="18"/>
      </tp>
      <tp t="e">
        <v>#N/A</v>
        <stp/>
        <stp>BDH|836817837670499703</stp>
        <tr r="Q29" s="22"/>
      </tp>
      <tp t="e">
        <v>#N/A</v>
        <stp/>
        <stp>BDH|815956925771694641</stp>
        <tr r="R50" s="4"/>
      </tp>
      <tp t="e">
        <v>#N/A</v>
        <stp/>
        <stp>BDH|490759813162153899</stp>
        <tr r="J75" s="18"/>
      </tp>
      <tp t="e">
        <v>#N/A</v>
        <stp/>
        <stp>BDH|684072699385631053</stp>
        <tr r="C42" s="18"/>
      </tp>
      <tp t="e">
        <v>#N/A</v>
        <stp/>
        <stp>BDH|699178499646181220</stp>
        <tr r="J61" s="17"/>
      </tp>
      <tp t="e">
        <v>#N/A</v>
        <stp/>
        <stp>BDH|679830968096373452</stp>
        <tr r="X60" s="11"/>
      </tp>
      <tp t="e">
        <v>#N/A</v>
        <stp/>
        <stp>BDH|619782317418548273</stp>
        <tr r="S183" s="18"/>
      </tp>
      <tp t="e">
        <v>#N/A</v>
        <stp/>
        <stp>BDH|558135616298200494</stp>
        <tr r="M70" s="12"/>
      </tp>
      <tp t="e">
        <v>#N/A</v>
        <stp/>
        <stp>BDH|280177892280271410</stp>
        <tr r="V61" s="13"/>
        <tr r="T48" s="11"/>
        <tr r="T57" s="10"/>
        <tr r="T18" s="7"/>
      </tp>
      <tp t="e">
        <v>#N/A</v>
        <stp/>
        <stp>BDH|742574057949563565</stp>
        <tr r="Z13" s="28"/>
        <tr r="Z96" s="17"/>
      </tp>
      <tp t="e">
        <v>#N/A</v>
        <stp/>
        <stp>BDH|347749708778344387</stp>
        <tr r="AA24" s="22"/>
      </tp>
      <tp t="e">
        <v>#N/A</v>
        <stp/>
        <stp>BDH|383737691257218572</stp>
        <tr r="S11" s="11"/>
      </tp>
      <tp t="e">
        <v>#N/A</v>
        <stp/>
        <stp>BDH|198746041388262725</stp>
        <tr r="Z26" s="21"/>
      </tp>
      <tp t="e">
        <v>#N/A</v>
        <stp/>
        <stp>BDH|228253915908629705</stp>
        <tr r="N184" s="18"/>
      </tp>
      <tp t="e">
        <v>#N/A</v>
        <stp/>
        <stp>BDH|755389174810743887</stp>
        <tr r="J102" s="18"/>
      </tp>
      <tp t="e">
        <v>#N/A</v>
        <stp/>
        <stp>BDH|130053190415877086</stp>
        <tr r="J35" s="26"/>
      </tp>
      <tp t="e">
        <v>#N/A</v>
        <stp/>
        <stp>BDH|458168219488625480</stp>
        <tr r="Z15" s="22"/>
      </tp>
      <tp t="e">
        <v>#N/A</v>
        <stp/>
        <stp>BDH|506852276956383503</stp>
        <tr r="Y77" s="18"/>
      </tp>
      <tp t="e">
        <v>#N/A</v>
        <stp/>
        <stp>BDH|961896131543030447</stp>
        <tr r="K122" s="12"/>
      </tp>
      <tp t="e">
        <v>#N/A</v>
        <stp/>
        <stp>BDH|936705290657627590</stp>
        <tr r="T22" s="12"/>
      </tp>
      <tp t="e">
        <v>#N/A</v>
        <stp/>
        <stp>BDH|623676880112231053</stp>
        <tr r="J15" s="21"/>
      </tp>
      <tp t="e">
        <v>#N/A</v>
        <stp/>
        <stp>BDH|810266565861816945</stp>
        <tr r="L29" s="4"/>
      </tp>
      <tp t="e">
        <v>#N/A</v>
        <stp/>
        <stp>BDH|428416511259085031</stp>
        <tr r="T18" s="25"/>
      </tp>
      <tp t="e">
        <v>#N/A</v>
        <stp/>
        <stp>BDH|570793397053832144</stp>
        <tr r="Z164" s="18"/>
      </tp>
      <tp t="e">
        <v>#N/A</v>
        <stp/>
        <stp>BDH|771774087575239626</stp>
        <tr r="S32" s="26"/>
      </tp>
      <tp t="e">
        <v>#N/A</v>
        <stp/>
        <stp>BDH|671202182585542362</stp>
        <tr r="Y22" s="20"/>
      </tp>
      <tp t="e">
        <v>#N/A</v>
        <stp/>
        <stp>BDH|243521925593469863</stp>
        <tr r="O148" s="18"/>
      </tp>
      <tp t="e">
        <v>#N/A</v>
        <stp/>
        <stp>BDH|344708894513074172</stp>
        <tr r="Z80" s="34"/>
      </tp>
      <tp t="e">
        <v>#N/A</v>
        <stp/>
        <stp>BDH|417365603046825996</stp>
        <tr r="G16" s="25"/>
      </tp>
      <tp t="e">
        <v>#N/A</v>
        <stp/>
        <stp>BDH|318645229880790894</stp>
        <tr r="X60" s="34"/>
      </tp>
      <tp t="e">
        <v>#N/A</v>
        <stp/>
        <stp>BDH|704264475858516102</stp>
        <tr r="D8" s="22"/>
      </tp>
      <tp t="e">
        <v>#N/A</v>
        <stp/>
        <stp>BDH|957700417002714889</stp>
        <tr r="P14" s="22"/>
      </tp>
      <tp t="e">
        <v>#N/A</v>
        <stp/>
        <stp>BDH|598163315178304446</stp>
        <tr r="W34" s="11"/>
        <tr r="W43" s="10"/>
      </tp>
      <tp t="e">
        <v>#N/A</v>
        <stp/>
        <stp>BDH|137447860308070641</stp>
        <tr r="M33" s="12"/>
      </tp>
      <tp t="e">
        <v>#N/A</v>
        <stp/>
        <stp>BDH|758898415973323692</stp>
        <tr r="W39" s="18"/>
      </tp>
      <tp t="e">
        <v>#N/A</v>
        <stp/>
        <stp>BDH|585170932218344615</stp>
        <tr r="X204" s="18"/>
      </tp>
      <tp t="e">
        <v>#N/A</v>
        <stp/>
        <stp>BDH|119230509778991604</stp>
        <tr r="N61" s="18"/>
      </tp>
      <tp t="e">
        <v>#N/A</v>
        <stp/>
        <stp>BDH|560808867103059102</stp>
        <tr r="P21" s="18"/>
      </tp>
      <tp t="e">
        <v>#N/A</v>
        <stp/>
        <stp>BDH|586930226340240701</stp>
        <tr r="Q50" s="21"/>
      </tp>
      <tp t="e">
        <v>#N/A</v>
        <stp/>
        <stp>BDH|876590223179075203</stp>
        <tr r="M8" s="12"/>
      </tp>
      <tp t="e">
        <v>#N/A</v>
        <stp/>
        <stp>BDH|419125811419730527</stp>
        <tr r="F11" s="13"/>
      </tp>
      <tp t="e">
        <v>#N/A</v>
        <stp/>
        <stp>BDH|153212782464339235</stp>
        <tr r="K17" s="13"/>
      </tp>
      <tp t="e">
        <v>#N/A</v>
        <stp/>
        <stp>BDH|751123313264004852</stp>
        <tr r="G18" s="18"/>
      </tp>
      <tp t="e">
        <v>#N/A</v>
        <stp/>
        <stp>BDH|192700040816172933</stp>
        <tr r="R198" s="18"/>
      </tp>
      <tp t="e">
        <v>#N/A</v>
        <stp/>
        <stp>BDH|980165505958453629</stp>
        <tr r="R199" s="18"/>
      </tp>
      <tp t="e">
        <v>#N/A</v>
        <stp/>
        <stp>BDH|953519539131877852</stp>
        <tr r="G116" s="12"/>
      </tp>
      <tp t="e">
        <v>#N/A</v>
        <stp/>
        <stp>BDH|212928752466717590</stp>
        <tr r="C14" s="11"/>
      </tp>
      <tp t="e">
        <v>#N/A</v>
        <stp/>
        <stp>BDH|952517287665236714</stp>
        <tr r="J56" s="11"/>
        <tr r="J24" s="4"/>
      </tp>
      <tp t="e">
        <v>#N/A</v>
        <stp/>
        <stp>BDH|823900926873297705</stp>
        <tr r="M64" s="34"/>
      </tp>
      <tp t="e">
        <v>#N/A</v>
        <stp/>
        <stp>BDH|136060477800908846</stp>
        <tr r="AA11" s="13"/>
      </tp>
      <tp t="e">
        <v>#N/A</v>
        <stp/>
        <stp>BDH|866639487594185500</stp>
        <tr r="Q36" s="13"/>
        <tr r="O29" s="10"/>
      </tp>
      <tp t="e">
        <v>#N/A</v>
        <stp/>
        <stp>BDH|822616417508062033</stp>
        <tr r="M10" s="23"/>
      </tp>
      <tp t="e">
        <v>#N/A</v>
        <stp/>
        <stp>BDH|716826819143540571</stp>
        <tr r="G49" s="24"/>
      </tp>
      <tp t="e">
        <v>#N/A</v>
        <stp/>
        <stp>BDH|770144436025255893</stp>
        <tr r="D16" s="11"/>
      </tp>
      <tp t="e">
        <v>#N/A</v>
        <stp/>
        <stp>BDH|834697428748326344</stp>
        <tr r="Z211" s="18"/>
      </tp>
      <tp t="e">
        <v>#N/A</v>
        <stp/>
        <stp>BDH|541488755767262955</stp>
        <tr r="K49" s="4"/>
      </tp>
      <tp t="e">
        <v>#N/A</v>
        <stp/>
        <stp>BDH|251098864149322036</stp>
        <tr r="P23" s="23"/>
      </tp>
      <tp t="e">
        <v>#N/A</v>
        <stp/>
        <stp>BDH|684985520066061216</stp>
        <tr r="AA88" s="17"/>
      </tp>
      <tp t="e">
        <v>#N/A</v>
        <stp/>
        <stp>BDH|922205459081896973</stp>
        <tr r="V35" s="18"/>
      </tp>
      <tp t="e">
        <v>#N/A</v>
        <stp/>
        <stp>BDH|597348100469772590</stp>
        <tr r="X203" s="18"/>
      </tp>
      <tp t="e">
        <v>#N/A</v>
        <stp/>
        <stp>BDH|661025748149257215</stp>
        <tr r="X42" s="4"/>
      </tp>
      <tp t="e">
        <v>#N/A</v>
        <stp/>
        <stp>BDH|723803922102371790</stp>
        <tr r="Q59" s="12"/>
      </tp>
      <tp t="e">
        <v>#N/A</v>
        <stp/>
        <stp>BDH|988963477244717577</stp>
        <tr r="Z174" s="18"/>
      </tp>
      <tp t="e">
        <v>#N/A</v>
        <stp/>
        <stp>BDH|483987067876503661</stp>
        <tr r="X7" s="28"/>
      </tp>
      <tp t="e">
        <v>#N/A</v>
        <stp/>
        <stp>BDH|635143089805225302</stp>
        <tr r="T17" s="12"/>
      </tp>
      <tp t="e">
        <v>#N/A</v>
        <stp/>
        <stp>BDH|952372681615598137</stp>
        <tr r="I22" s="27"/>
      </tp>
      <tp t="e">
        <v>#N/A</v>
        <stp/>
        <stp>BDH|359952798988647719</stp>
        <tr r="H80" s="34"/>
      </tp>
      <tp t="e">
        <v>#N/A</v>
        <stp/>
        <stp>BDH|237936268711804186</stp>
        <tr r="D88" s="24"/>
      </tp>
      <tp t="e">
        <v>#N/A</v>
        <stp/>
        <stp>BDH|804615090002750274</stp>
        <tr r="W10" s="23"/>
      </tp>
      <tp t="e">
        <v>#N/A</v>
        <stp/>
        <stp>BDH|349686472696680858</stp>
        <tr r="W26" s="26"/>
      </tp>
      <tp t="e">
        <v>#N/A</v>
        <stp/>
        <stp>BDH|926827960787388633</stp>
        <tr r="AA110" s="12"/>
      </tp>
      <tp t="e">
        <v>#N/A</v>
        <stp/>
        <stp>BDH|771509952129661686</stp>
        <tr r="Z18" s="23"/>
      </tp>
      <tp t="e">
        <v>#N/A</v>
        <stp/>
        <stp>BDH|409400519789248340</stp>
        <tr r="J11" s="22"/>
      </tp>
      <tp t="e">
        <v>#N/A</v>
        <stp/>
        <stp>BDH|102940875131352084</stp>
        <tr r="G14" s="21"/>
      </tp>
      <tp t="e">
        <v>#N/A</v>
        <stp/>
        <stp>BDH|477522359459795639</stp>
        <tr r="F34" s="17"/>
      </tp>
      <tp t="e">
        <v>#N/A</v>
        <stp/>
        <stp>BDH|530182095383352403</stp>
        <tr r="L20" s="27"/>
      </tp>
      <tp t="e">
        <v>#N/A</v>
        <stp/>
        <stp>BDH|661205881785365008</stp>
        <tr r="M6" s="15"/>
        <tr r="M6" s="10"/>
        <tr r="M11" s="4"/>
        <tr r="M12" s="2"/>
      </tp>
      <tp t="e">
        <v>#N/A</v>
        <stp/>
        <stp>BDH|433413914008301260</stp>
        <tr r="AA83" s="12"/>
      </tp>
      <tp t="e">
        <v>#N/A</v>
        <stp/>
        <stp>BDH|815170869870710847</stp>
        <tr r="Q40" s="18"/>
      </tp>
      <tp t="e">
        <v>#N/A</v>
        <stp/>
        <stp>BDH|473396540990044881</stp>
        <tr r="F165" s="18"/>
      </tp>
      <tp t="e">
        <v>#N/A</v>
        <stp/>
        <stp>BDH|243543753166053902</stp>
        <tr r="I72" s="17"/>
      </tp>
      <tp t="e">
        <v>#N/A</v>
        <stp/>
        <stp>BDH|622068189717401088</stp>
        <tr r="V55" s="24"/>
      </tp>
      <tp t="e">
        <v>#N/A</v>
        <stp/>
        <stp>BDH|777412261714672940</stp>
        <tr r="D71" s="18"/>
      </tp>
      <tp t="e">
        <v>#N/A</v>
        <stp/>
        <stp>BDH|664794470839110687</stp>
        <tr r="Q23" s="17"/>
      </tp>
      <tp t="e">
        <v>#N/A</v>
        <stp/>
        <stp>BDH|539119882980371636</stp>
        <tr r="R36" s="6"/>
        <tr r="R17" s="5"/>
      </tp>
      <tp t="e">
        <v>#N/A</v>
        <stp/>
        <stp>BDH|571003053739061306</stp>
        <tr r="V47" s="6"/>
      </tp>
      <tp t="e">
        <v>#N/A</v>
        <stp/>
        <stp>BDH|159506558898658799</stp>
        <tr r="M134" s="18"/>
      </tp>
      <tp t="e">
        <v>#N/A</v>
        <stp/>
        <stp>BDH|370725781896304646</stp>
        <tr r="X73" s="34"/>
      </tp>
      <tp t="e">
        <v>#N/A</v>
        <stp/>
        <stp>BDH|470646460876030977</stp>
        <tr r="S32" s="17"/>
      </tp>
      <tp t="e">
        <v>#N/A</v>
        <stp/>
        <stp>BDH|318194078311226872</stp>
        <tr r="P12" s="22"/>
      </tp>
      <tp t="e">
        <v>#N/A</v>
        <stp/>
        <stp>BDH|765871949086772597</stp>
        <tr r="T37" s="13"/>
        <tr r="R30" s="10"/>
      </tp>
      <tp t="e">
        <v>#N/A</v>
        <stp/>
        <stp>BDH|151834984658923780</stp>
        <tr r="Y180" s="18"/>
      </tp>
      <tp t="e">
        <v>#N/A</v>
        <stp/>
        <stp>BDH|679735016821268816</stp>
        <tr r="AA100" s="12"/>
      </tp>
      <tp t="e">
        <v>#N/A</v>
        <stp/>
        <stp>BDH|963489422100036936</stp>
        <tr r="X15" s="11"/>
      </tp>
      <tp t="e">
        <v>#N/A</v>
        <stp/>
        <stp>BDH|318670382591402026</stp>
        <tr r="M13" s="5"/>
      </tp>
      <tp t="e">
        <v>#N/A</v>
        <stp/>
        <stp>BDH|858182146583704911</stp>
        <tr r="O163" s="18"/>
      </tp>
      <tp t="e">
        <v>#N/A</v>
        <stp/>
        <stp>BDH|994636652099988513</stp>
        <tr r="K8" s="6"/>
      </tp>
      <tp t="e">
        <v>#N/A</v>
        <stp/>
        <stp>BDH|201525844127018940</stp>
        <tr r="C8" s="12"/>
      </tp>
      <tp t="e">
        <v>#N/A</v>
        <stp/>
        <stp>BDH|487949395156572917</stp>
        <tr r="K6" s="28"/>
      </tp>
      <tp t="e">
        <v>#N/A</v>
        <stp/>
        <stp>BDH|456325541001219940</stp>
        <tr r="O118" s="12"/>
      </tp>
      <tp t="e">
        <v>#N/A</v>
        <stp/>
        <stp>BDH|145405394203535116</stp>
        <tr r="O16" s="11"/>
      </tp>
      <tp t="e">
        <v>#N/A</v>
        <stp/>
        <stp>BDH|308251189760982545</stp>
        <tr r="E25" s="9"/>
      </tp>
      <tp t="e">
        <v>#N/A</v>
        <stp/>
        <stp>BDH|445864380718531756</stp>
        <tr r="R211" s="18"/>
      </tp>
      <tp t="e">
        <v>#N/A</v>
        <stp/>
        <stp>BDH|253063157122145800</stp>
        <tr r="Q78" s="17"/>
      </tp>
      <tp t="e">
        <v>#N/A</v>
        <stp/>
        <stp>BDH|315903935761687436</stp>
        <tr r="F30" s="9"/>
        <tr r="F30" s="5"/>
      </tp>
      <tp t="e">
        <v>#N/A</v>
        <stp/>
        <stp>BDH|685922411401663601</stp>
        <tr r="J199" s="18"/>
      </tp>
      <tp t="e">
        <v>#N/A</v>
        <stp/>
        <stp>BDH|126349737586942989</stp>
        <tr r="U17" s="21"/>
      </tp>
      <tp t="e">
        <v>#N/A</v>
        <stp/>
        <stp>BDH|261854897427641951</stp>
        <tr r="D46" s="13"/>
      </tp>
      <tp t="e">
        <v>#N/A</v>
        <stp/>
        <stp>BDH|120134961241507953</stp>
        <tr r="P32" s="12"/>
      </tp>
      <tp t="e">
        <v>#N/A</v>
        <stp/>
        <stp>BDH|915667223002743987</stp>
        <tr r="F12" s="27"/>
        <tr r="F26" s="25"/>
      </tp>
      <tp t="e">
        <v>#N/A</v>
        <stp/>
        <stp>BDH|623346204044248875</stp>
        <tr r="E128" s="18"/>
      </tp>
      <tp t="e">
        <v>#N/A</v>
        <stp/>
        <stp>BDH|280634677847385895</stp>
        <tr r="D83" s="18"/>
      </tp>
      <tp t="e">
        <v>#N/A</v>
        <stp/>
        <stp>BDH|438343032648711695</stp>
        <tr r="I104" s="18"/>
      </tp>
      <tp t="e">
        <v>#N/A</v>
        <stp/>
        <stp>BDH|479253999342050741</stp>
        <tr r="N61" s="11"/>
        <tr r="N70" s="10"/>
        <tr r="N20" s="7"/>
      </tp>
      <tp t="e">
        <v>#N/A</v>
        <stp/>
        <stp>BDH|718613152349903412</stp>
        <tr r="N32" s="5"/>
      </tp>
      <tp t="e">
        <v>#N/A</v>
        <stp/>
        <stp>BDH|865984335322134682</stp>
        <tr r="T23" s="17"/>
      </tp>
      <tp t="e">
        <v>#N/A</v>
        <stp/>
        <stp>BDH|959669753454645968</stp>
        <tr r="T86" s="12"/>
      </tp>
      <tp t="e">
        <v>#N/A</v>
        <stp/>
        <stp>BDH|942351971249147306</stp>
        <tr r="O25" s="10"/>
      </tp>
      <tp t="e">
        <v>#N/A</v>
        <stp/>
        <stp>BDH|619891444362261049</stp>
        <tr r="K110" s="18"/>
      </tp>
      <tp t="e">
        <v>#N/A</v>
        <stp/>
        <stp>BDH|493442497221819211</stp>
        <tr r="M20" s="27"/>
      </tp>
      <tp t="e">
        <v>#N/A</v>
        <stp/>
        <stp>BDH|682826745890949264</stp>
        <tr r="W10" s="18"/>
      </tp>
      <tp t="e">
        <v>#N/A</v>
        <stp/>
        <stp>BDH|854022052142790905</stp>
        <tr r="Q17" s="27"/>
        <tr r="Q31" s="25"/>
        <tr r="N14" s="5"/>
      </tp>
      <tp t="e">
        <v>#N/A</v>
        <stp/>
        <stp>BDH|161660000831806907</stp>
        <tr r="F18" s="21"/>
      </tp>
      <tp t="e">
        <v>#N/A</v>
        <stp/>
        <stp>BDH|593913349812732150</stp>
        <tr r="J56" s="34"/>
      </tp>
      <tp t="e">
        <v>#N/A</v>
        <stp/>
        <stp>BDH|762270840798964061</stp>
        <tr r="Z126" s="18"/>
      </tp>
      <tp t="e">
        <v>#N/A</v>
        <stp/>
        <stp>BDH|862809217461279628</stp>
        <tr r="U22" s="7"/>
      </tp>
      <tp t="e">
        <v>#N/A</v>
        <stp/>
        <stp>BDH|746006686994174285</stp>
        <tr r="S102" s="18"/>
      </tp>
      <tp t="e">
        <v>#N/A</v>
        <stp/>
        <stp>BDH|950989015122938452</stp>
        <tr r="P79" s="34"/>
      </tp>
      <tp t="e">
        <v>#N/A</v>
        <stp/>
        <stp>BDH|527328492915938143</stp>
        <tr r="D7" s="28"/>
      </tp>
      <tp t="e">
        <v>#N/A</v>
        <stp/>
        <stp>BDH|513646148679947584</stp>
        <tr r="I24" s="21"/>
      </tp>
      <tp t="e">
        <v>#N/A</v>
        <stp/>
        <stp>BDH|331704961576804925</stp>
        <tr r="N42" s="6"/>
      </tp>
      <tp t="e">
        <v>#N/A</v>
        <stp/>
        <stp>BDH|926927160520584172</stp>
        <tr r="AA26" s="17"/>
      </tp>
      <tp t="e">
        <v>#N/A</v>
        <stp/>
        <stp>BDH|604559238591501976</stp>
        <tr r="S68" s="12"/>
      </tp>
      <tp t="e">
        <v>#N/A</v>
        <stp/>
        <stp>BDH|633981277225924599</stp>
        <tr r="O193" s="18"/>
      </tp>
      <tp t="e">
        <v>#N/A</v>
        <stp/>
        <stp>BDH|302559328411708806</stp>
        <tr r="T15" s="10"/>
      </tp>
      <tp t="e">
        <v>#N/A</v>
        <stp/>
        <stp>BDH|595520923498922140</stp>
        <tr r="D15" s="5"/>
      </tp>
      <tp t="e">
        <v>#N/A</v>
        <stp/>
        <stp>BDH|795688204501134936</stp>
        <tr r="X192" s="18"/>
      </tp>
      <tp t="e">
        <v>#N/A</v>
        <stp/>
        <stp>BDH|980275644559047106</stp>
        <tr r="J63" s="12"/>
      </tp>
      <tp t="e">
        <v>#N/A</v>
        <stp/>
        <stp>BDH|987313494364100073</stp>
        <tr r="W12" s="12"/>
      </tp>
      <tp t="e">
        <v>#N/A</v>
        <stp/>
        <stp>BDH|411710842785821858</stp>
        <tr r="K19" s="23"/>
        <tr r="I59" s="11"/>
      </tp>
      <tp t="e">
        <v>#N/A</v>
        <stp/>
        <stp>BDH|973384476099466390</stp>
        <tr r="E59" s="12"/>
      </tp>
      <tp t="e">
        <v>#N/A</v>
        <stp/>
        <stp>BDH|928384359319495174</stp>
        <tr r="P18" s="34"/>
      </tp>
      <tp t="e">
        <v>#N/A</v>
        <stp/>
        <stp>BDH|662929979115484528</stp>
        <tr r="V60" s="11"/>
      </tp>
      <tp t="e">
        <v>#N/A</v>
        <stp/>
        <stp>BDH|283345056350945827</stp>
        <tr r="E8" s="23"/>
      </tp>
      <tp t="e">
        <v>#N/A</v>
        <stp/>
        <stp>BDH|552901136370930419</stp>
        <tr r="X28" s="26"/>
      </tp>
      <tp t="e">
        <v>#N/A</v>
        <stp/>
        <stp>BDH|357305208595860883</stp>
        <tr r="R39" s="22"/>
      </tp>
      <tp t="e">
        <v>#N/A</v>
        <stp/>
        <stp>BDH|785838308696476037</stp>
        <tr r="S70" s="17"/>
        <tr r="S18" s="3"/>
      </tp>
      <tp t="e">
        <v>#N/A</v>
        <stp/>
        <stp>BDH|862973572389485929</stp>
        <tr r="Y28" s="34"/>
      </tp>
      <tp t="e">
        <v>#N/A</v>
        <stp/>
        <stp>BDH|659568319618797255</stp>
        <tr r="X10" s="11"/>
      </tp>
      <tp t="e">
        <v>#N/A</v>
        <stp/>
        <stp>BDH|506554159009868758</stp>
        <tr r="D25" s="13"/>
      </tp>
      <tp t="e">
        <v>#N/A</v>
        <stp/>
        <stp>BDH|685226223028560666</stp>
        <tr r="U38" s="13"/>
        <tr r="S31" s="10"/>
      </tp>
      <tp t="e">
        <v>#N/A</v>
        <stp/>
        <stp>BDH|933588132910090877</stp>
        <tr r="F45" s="17"/>
      </tp>
      <tp t="e">
        <v>#N/A</v>
        <stp/>
        <stp>BDH|791837166950708015</stp>
        <tr r="C42" s="34"/>
      </tp>
      <tp t="e">
        <v>#N/A</v>
        <stp/>
        <stp>BDH|290092427705997916</stp>
        <tr r="R17" s="20"/>
      </tp>
      <tp t="e">
        <v>#N/A</v>
        <stp/>
        <stp>BDH|898170773729911101</stp>
        <tr r="O28" s="13"/>
      </tp>
      <tp t="e">
        <v>#N/A</v>
        <stp/>
        <stp>BDH|412738744015655803</stp>
        <tr r="S8" s="11"/>
      </tp>
      <tp t="e">
        <v>#N/A</v>
        <stp/>
        <stp>BDH|176412385460649268</stp>
        <tr r="F66" s="18"/>
      </tp>
      <tp t="e">
        <v>#N/A</v>
        <stp/>
        <stp>BDH|983578984171944267</stp>
        <tr r="I103" s="18"/>
      </tp>
      <tp t="e">
        <v>#N/A</v>
        <stp/>
        <stp>BDH|816356776792944873</stp>
        <tr r="Y58" s="13"/>
        <tr r="W47" s="11"/>
        <tr r="W56" s="10"/>
        <tr r="W17" s="7"/>
        <tr r="W17" s="4"/>
        <tr r="Y10" s="3"/>
      </tp>
      <tp t="e">
        <v>#N/A</v>
        <stp/>
        <stp>BDH|568253873272127970</stp>
        <tr r="R16" s="24"/>
      </tp>
      <tp t="e">
        <v>#N/A</v>
        <stp/>
        <stp>BDH|781081392753987428</stp>
        <tr r="T83" s="24"/>
      </tp>
      <tp t="e">
        <v>#N/A</v>
        <stp/>
        <stp>BDH|940483622851519900</stp>
        <tr r="L158" s="18"/>
      </tp>
      <tp t="e">
        <v>#N/A</v>
        <stp/>
        <stp>BDH|335030979628643188</stp>
        <tr r="N37" s="22"/>
      </tp>
      <tp t="e">
        <v>#N/A</v>
        <stp/>
        <stp>BDH|880816245210896239</stp>
        <tr r="W15" s="10"/>
      </tp>
      <tp t="e">
        <v>#N/A</v>
        <stp/>
        <stp>BDH|470493198463011023</stp>
        <tr r="X61" s="18"/>
      </tp>
      <tp t="e">
        <v>#N/A</v>
        <stp/>
        <stp>BDH|111975412665142325</stp>
        <tr r="N13" s="9"/>
      </tp>
      <tp t="e">
        <v>#N/A</v>
        <stp/>
        <stp>BDH|350798913911828966</stp>
        <tr r="D10" s="11"/>
      </tp>
      <tp t="e">
        <v>#N/A</v>
        <stp/>
        <stp>BDH|844881365700106035</stp>
        <tr r="X59" s="17"/>
      </tp>
      <tp t="e">
        <v>#N/A</v>
        <stp/>
        <stp>BDH|901821326381599589</stp>
        <tr r="H57" s="34"/>
      </tp>
      <tp t="e">
        <v>#N/A</v>
        <stp/>
        <stp>BDH|471873520625536164</stp>
        <tr r="P13" s="23"/>
        <tr r="N57" s="11"/>
        <tr r="N38" s="4"/>
      </tp>
      <tp t="e">
        <v>#N/A</v>
        <stp/>
        <stp>BDH|502433460275646919</stp>
        <tr r="I14" s="34"/>
      </tp>
      <tp t="e">
        <v>#N/A</v>
        <stp/>
        <stp>BDH|645323991723745738</stp>
        <tr r="L33" s="24"/>
      </tp>
      <tp t="e">
        <v>#N/A</v>
        <stp/>
        <stp>BDH|337862512717624004</stp>
        <tr r="S18" s="9"/>
      </tp>
      <tp t="e">
        <v>#N/A</v>
        <stp/>
        <stp>BDH|397756765666017929</stp>
        <tr r="J31" s="24"/>
      </tp>
      <tp t="e">
        <v>#N/A</v>
        <stp/>
        <stp>BDH|441698649025109948</stp>
        <tr r="G8" s="26"/>
        <tr r="D10" s="9"/>
      </tp>
      <tp t="e">
        <v>#N/A</v>
        <stp/>
        <stp>BDH|637641650958034501</stp>
        <tr r="R8" s="6"/>
      </tp>
      <tp t="e">
        <v>#N/A</v>
        <stp/>
        <stp>BDH|130816024197250348</stp>
        <tr r="P38" s="12"/>
      </tp>
      <tp t="e">
        <v>#N/A</v>
        <stp/>
        <stp>BDH|611606384944771477</stp>
        <tr r="D89" s="12"/>
      </tp>
      <tp t="e">
        <v>#N/A</v>
        <stp/>
        <stp>BDH|843592015889049366</stp>
        <tr r="T45" s="24"/>
      </tp>
      <tp t="e">
        <v>#N/A</v>
        <stp/>
        <stp>BDH|187945508995845272</stp>
        <tr r="E18" s="17"/>
      </tp>
      <tp t="e">
        <v>#N/A</v>
        <stp/>
        <stp>BDH|458479101709486343</stp>
        <tr r="E20" s="10"/>
      </tp>
      <tp t="e">
        <v>#N/A</v>
        <stp/>
        <stp>BDH|943907319464328214</stp>
        <tr r="C16" s="24"/>
      </tp>
      <tp t="e">
        <v>#N/A</v>
        <stp/>
        <stp>BDH|518425837741285817</stp>
        <tr r="T96" s="12"/>
      </tp>
      <tp t="e">
        <v>#N/A</v>
        <stp/>
        <stp>BDH|957673372840016807</stp>
        <tr r="Z213" s="18"/>
      </tp>
      <tp t="e">
        <v>#N/A</v>
        <stp/>
        <stp>BDH|986382704798161287</stp>
        <tr r="Q24" s="27"/>
      </tp>
      <tp t="e">
        <v>#N/A</v>
        <stp/>
        <stp>BDH|736804790130986828</stp>
        <tr r="T12" s="27"/>
        <tr r="T26" s="25"/>
      </tp>
      <tp t="e">
        <v>#N/A</v>
        <stp/>
        <stp>BDH|806269412902480859</stp>
        <tr r="P61" s="11"/>
        <tr r="P70" s="10"/>
        <tr r="P20" s="7"/>
      </tp>
      <tp t="e">
        <v>#N/A</v>
        <stp/>
        <stp>BDH|915913763136054060</stp>
        <tr r="S10" s="11"/>
      </tp>
      <tp t="e">
        <v>#N/A</v>
        <stp/>
        <stp>BDH|136833154237212395</stp>
        <tr r="N8" s="27"/>
      </tp>
      <tp t="e">
        <v>#N/A</v>
        <stp/>
        <stp>BDH|934725625189157525</stp>
        <tr r="K28" s="12"/>
      </tp>
      <tp t="e">
        <v>#N/A</v>
        <stp/>
        <stp>BDH|650619168089216009</stp>
        <tr r="T13" s="6"/>
      </tp>
      <tp t="e">
        <v>#N/A</v>
        <stp/>
        <stp>BDH|275704311586442991</stp>
        <tr r="W15" s="13"/>
      </tp>
      <tp t="e">
        <v>#N/A</v>
        <stp/>
        <stp>BDH|804823940650356577</stp>
        <tr r="C32" s="18"/>
      </tp>
      <tp t="e">
        <v>#N/A</v>
        <stp/>
        <stp>BDH|790068033793556996</stp>
        <tr r="V34" s="17"/>
      </tp>
      <tp t="e">
        <v>#N/A</v>
        <stp/>
        <stp>BDH|145972185289589196</stp>
        <tr r="I11" s="17"/>
      </tp>
      <tp t="e">
        <v>#N/A</v>
        <stp/>
        <stp>BDH|204191508310942858</stp>
        <tr r="Z65" s="17"/>
      </tp>
      <tp t="e">
        <v>#N/A</v>
        <stp/>
        <stp>BDH|741849000662923354</stp>
        <tr r="U42" s="24"/>
      </tp>
      <tp t="e">
        <v>#N/A</v>
        <stp/>
        <stp>BDH|812867506678086975</stp>
        <tr r="AA76" s="12"/>
      </tp>
      <tp t="e">
        <v>#N/A</v>
        <stp/>
        <stp>BDH|934583646921997912</stp>
        <tr r="R202" s="18"/>
      </tp>
      <tp t="e">
        <v>#N/A</v>
        <stp/>
        <stp>BDH|916461520946643917</stp>
        <tr r="R11" s="21"/>
      </tp>
      <tp t="e">
        <v>#N/A</v>
        <stp/>
        <stp>BDH|335043641198980573</stp>
        <tr r="K9" s="18"/>
      </tp>
      <tp t="e">
        <v>#N/A</v>
        <stp/>
        <stp>BDH|826753610708521704</stp>
        <tr r="L80" s="18"/>
      </tp>
      <tp t="e">
        <v>#N/A</v>
        <stp/>
        <stp>BDH|764903053187429281</stp>
        <tr r="L87" s="24"/>
      </tp>
      <tp t="e">
        <v>#N/A</v>
        <stp/>
        <stp>BDH|992854944383325627</stp>
        <tr r="G52" s="24"/>
      </tp>
      <tp t="e">
        <v>#N/A</v>
        <stp/>
        <stp>BDH|738979883028325099</stp>
        <tr r="F10" s="25"/>
        <tr r="F55" s="17"/>
      </tp>
      <tp t="e">
        <v>#N/A</v>
        <stp/>
        <stp>BDH|786886715846217611</stp>
        <tr r="X63" s="10"/>
      </tp>
      <tp t="e">
        <v>#N/A</v>
        <stp/>
        <stp>BDH|810180834619954244</stp>
        <tr r="J55" s="34"/>
      </tp>
      <tp t="e">
        <v>#N/A</v>
        <stp/>
        <stp>BDH|282507999991226400</stp>
        <tr r="K6" s="15"/>
        <tr r="K6" s="10"/>
        <tr r="K11" s="4"/>
        <tr r="K12" s="2"/>
      </tp>
      <tp t="e">
        <v>#N/A</v>
        <stp/>
        <stp>BDH|222524692624108198</stp>
        <tr r="J133" s="18"/>
      </tp>
      <tp t="e">
        <v>#N/A</v>
        <stp/>
        <stp>BDH|148529449609129117</stp>
        <tr r="M79" s="24"/>
      </tp>
      <tp t="e">
        <v>#N/A</v>
        <stp/>
        <stp>BDH|740493046791315800</stp>
        <tr r="U19" s="18"/>
      </tp>
      <tp t="e">
        <v>#N/A</v>
        <stp/>
        <stp>BDH|840912013276830790</stp>
        <tr r="I195" s="18"/>
      </tp>
      <tp t="e">
        <v>#N/A</v>
        <stp/>
        <stp>BDH|651083981124045547</stp>
        <tr r="X35" s="17"/>
      </tp>
      <tp t="e">
        <v>#N/A</v>
        <stp/>
        <stp>BDH|467728207288258673</stp>
        <tr r="K10" s="27"/>
        <tr r="K25" s="25"/>
      </tp>
      <tp t="e">
        <v>#N/A</v>
        <stp/>
        <stp>BDH|176962657135793035</stp>
        <tr r="T67" s="34"/>
      </tp>
      <tp t="e">
        <v>#N/A</v>
        <stp/>
        <stp>BDH|796971422073440125</stp>
        <tr r="Y12" s="11"/>
      </tp>
      <tp t="e">
        <v>#N/A</v>
        <stp/>
        <stp>BDH|796223196482375045</stp>
        <tr r="D25" s="3"/>
      </tp>
      <tp t="e">
        <v>#N/A</v>
        <stp/>
        <stp>BDH|492799499365196218</stp>
        <tr r="D67" s="17"/>
      </tp>
      <tp t="e">
        <v>#N/A</v>
        <stp/>
        <stp>BDH|818983716264629542</stp>
        <tr r="E23" s="25"/>
        <tr r="C20" s="11"/>
      </tp>
      <tp t="e">
        <v>#N/A</v>
        <stp/>
        <stp>BDH|512285528890195903</stp>
        <tr r="E26" s="7"/>
      </tp>
      <tp t="e">
        <v>#N/A</v>
        <stp/>
        <stp>BDH|412356995440952390</stp>
        <tr r="Y94" s="12"/>
      </tp>
      <tp t="e">
        <v>#N/A</v>
        <stp/>
        <stp>BDH|932901738975097657</stp>
        <tr r="U12" s="18"/>
      </tp>
      <tp t="e">
        <v>#N/A</v>
        <stp/>
        <stp>BDH|732311194245331656</stp>
        <tr r="V100" s="18"/>
      </tp>
      <tp t="e">
        <v>#N/A</v>
        <stp/>
        <stp>BDH|941054593965252582</stp>
        <tr r="Y87" s="24"/>
      </tp>
      <tp t="e">
        <v>#N/A</v>
        <stp/>
        <stp>BDH|994901382609886163</stp>
        <tr r="K12" s="17"/>
      </tp>
      <tp t="e">
        <v>#N/A</v>
        <stp/>
        <stp>BDH|578793078479793053</stp>
        <tr r="K79" s="34"/>
      </tp>
      <tp t="e">
        <v>#N/A</v>
        <stp/>
        <stp>BDH|252123656174512958</stp>
        <tr r="Y157" s="18"/>
      </tp>
      <tp t="e">
        <v>#N/A</v>
        <stp/>
        <stp>BDH|273973825877745514</stp>
        <tr r="Q155" s="18"/>
      </tp>
      <tp t="e">
        <v>#N/A</v>
        <stp/>
        <stp>BDH|613051325412106912</stp>
        <tr r="AA10" s="25"/>
        <tr r="AA55" s="17"/>
      </tp>
      <tp t="e">
        <v>#N/A</v>
        <stp/>
        <stp>BDH|814036941799449480</stp>
        <tr r="T12" s="21"/>
      </tp>
      <tp t="e">
        <v>#N/A</v>
        <stp/>
        <stp>BDH|745618024614532901</stp>
        <tr r="G66" s="17"/>
      </tp>
      <tp t="e">
        <v>#N/A</v>
        <stp/>
        <stp>BDH|199551973283535856</stp>
        <tr r="W206" s="18"/>
      </tp>
      <tp t="e">
        <v>#N/A</v>
        <stp/>
        <stp>BDH|112949403830454058</stp>
        <tr r="F52" s="24"/>
      </tp>
      <tp t="e">
        <v>#N/A</v>
        <stp/>
        <stp>BDH|727650021404146956</stp>
        <tr r="Y20" s="29"/>
      </tp>
      <tp t="e">
        <v>#N/A</v>
        <stp/>
        <stp>BDH|735309788866878479</stp>
        <tr r="C9" s="20"/>
        <tr r="C119" s="18"/>
      </tp>
      <tp t="e">
        <v>#N/A</v>
        <stp/>
        <stp>BDH|676738229079833541</stp>
        <tr r="H26" s="18"/>
      </tp>
      <tp t="e">
        <v>#N/A</v>
        <stp/>
        <stp>BDH|822990915084606521</stp>
        <tr r="R15" s="30"/>
      </tp>
      <tp t="e">
        <v>#N/A</v>
        <stp/>
        <stp>BDH|567947541806090201</stp>
        <tr r="T55" s="21"/>
      </tp>
      <tp t="e">
        <v>#N/A</v>
        <stp/>
        <stp>BDH|720009586962974383</stp>
        <tr r="Q25" s="3"/>
      </tp>
      <tp t="e">
        <v>#N/A</v>
        <stp/>
        <stp>BDH|632819149711828474</stp>
        <tr r="L9" s="11"/>
      </tp>
      <tp t="e">
        <v>#N/A</v>
        <stp/>
        <stp>BDH|360317681860629243</stp>
        <tr r="I137" s="18"/>
      </tp>
      <tp t="e">
        <v>#N/A</v>
        <stp/>
        <stp>BDH|279160434223055812</stp>
        <tr r="X8" s="21"/>
      </tp>
      <tp t="e">
        <v>#N/A</v>
        <stp/>
        <stp>BDH|188009610030936893</stp>
        <tr r="N36" s="21"/>
      </tp>
      <tp t="e">
        <v>#N/A</v>
        <stp/>
        <stp>BDH|644157883034798452</stp>
        <tr r="I18" s="23"/>
      </tp>
      <tp t="e">
        <v>#N/A</v>
        <stp/>
        <stp>BDH|941399304912093861</stp>
        <tr r="H17" s="6"/>
      </tp>
      <tp t="e">
        <v>#N/A</v>
        <stp/>
        <stp>BDH|308836615799556924</stp>
        <tr r="S17" s="12"/>
      </tp>
      <tp t="e">
        <v>#N/A</v>
        <stp/>
        <stp>BDH|653206101299328263</stp>
        <tr r="T63" s="12"/>
      </tp>
      <tp t="e">
        <v>#N/A</v>
        <stp/>
        <stp>BDH|524625740103033852</stp>
        <tr r="Q30" s="17"/>
      </tp>
      <tp t="e">
        <v>#N/A</v>
        <stp/>
        <stp>BDH|778087687049360892</stp>
        <tr r="U154" s="18"/>
      </tp>
      <tp t="e">
        <v>#N/A</v>
        <stp/>
        <stp>BDH|737479364042762907</stp>
        <tr r="E63" s="21"/>
      </tp>
      <tp t="e">
        <v>#N/A</v>
        <stp/>
        <stp>BDH|211780660920143881</stp>
        <tr r="T33" s="14"/>
      </tp>
      <tp t="e">
        <v>#N/A</v>
        <stp/>
        <stp>BDH|659908104318742999</stp>
        <tr r="O60" s="12"/>
      </tp>
      <tp t="e">
        <v>#N/A</v>
        <stp/>
        <stp>BDH|347085342164379867</stp>
        <tr r="P13" s="8"/>
      </tp>
      <tp t="e">
        <v>#N/A</v>
        <stp/>
        <stp>BDH|511562736006050893</stp>
        <tr r="W31" s="21"/>
      </tp>
      <tp t="e">
        <v>#N/A</v>
        <stp/>
        <stp>BDH|212459886581472580</stp>
        <tr r="V90" s="17"/>
      </tp>
      <tp t="e">
        <v>#N/A</v>
        <stp/>
        <stp>BDH|482682818248072792</stp>
        <tr r="Q28" s="21"/>
      </tp>
      <tp t="e">
        <v>#N/A</v>
        <stp/>
        <stp>BDH|873664998107937025</stp>
        <tr r="V207" s="18"/>
      </tp>
      <tp t="e">
        <v>#N/A</v>
        <stp/>
        <stp>BDH|919054132928514368</stp>
        <tr r="O48" s="12"/>
      </tp>
      <tp t="e">
        <v>#N/A</v>
        <stp/>
        <stp>BDH|868942606603151258</stp>
        <tr r="K44" s="13"/>
        <tr r="I28" s="11"/>
        <tr r="I37" s="10"/>
      </tp>
      <tp t="e">
        <v>#N/A</v>
        <stp/>
        <stp>BDH|909917905012724345</stp>
        <tr r="V66" s="13"/>
      </tp>
      <tp t="e">
        <v>#N/A</v>
        <stp/>
        <stp>BDH|682430188200481476</stp>
        <tr r="M57" s="18"/>
      </tp>
      <tp t="e">
        <v>#N/A</v>
        <stp/>
        <stp>BDH|389128562056535995</stp>
        <tr r="U22" s="12"/>
      </tp>
      <tp t="e">
        <v>#N/A</v>
        <stp/>
        <stp>BDH|745084493558466974</stp>
        <tr r="G187" s="18"/>
      </tp>
      <tp t="e">
        <v>#N/A</v>
        <stp/>
        <stp>BDH|605874758585043019</stp>
        <tr r="Q44" s="22"/>
      </tp>
      <tp t="e">
        <v>#N/A</v>
        <stp/>
        <stp>BDH|886184694680587091</stp>
        <tr r="C18" s="14"/>
      </tp>
      <tp t="e">
        <v>#N/A</v>
        <stp/>
        <stp>BDH|784688971328251145</stp>
        <tr r="O27" s="14"/>
      </tp>
      <tp t="e">
        <v>#N/A</v>
        <stp/>
        <stp>BDH|774174546478615580</stp>
        <tr r="X125" s="12"/>
      </tp>
      <tp t="e">
        <v>#N/A</v>
        <stp/>
        <stp>BDH|510591453739261156</stp>
        <tr r="N36" s="29"/>
        <tr r="N22" s="29"/>
        <tr r="N13" s="29"/>
      </tp>
      <tp t="e">
        <v>#N/A</v>
        <stp/>
        <stp>BDH|665476486604941079</stp>
        <tr r="L65" s="12"/>
      </tp>
      <tp t="e">
        <v>#N/A</v>
        <stp/>
        <stp>BDH|963938064837282055</stp>
        <tr r="H52" s="13"/>
      </tp>
      <tp t="e">
        <v>#N/A</v>
        <stp/>
        <stp>BDH|183623321464247895</stp>
        <tr r="W52" s="13"/>
      </tp>
      <tp t="e">
        <v>#N/A</v>
        <stp/>
        <stp>BDH|628397185717431472</stp>
        <tr r="L162" s="18"/>
      </tp>
      <tp t="e">
        <v>#N/A</v>
        <stp/>
        <stp>BDH|308391347396662920</stp>
        <tr r="G29" s="4"/>
      </tp>
      <tp t="e">
        <v>#N/A</v>
        <stp/>
        <stp>BDH|103825060652146483</stp>
        <tr r="N6" s="6"/>
      </tp>
      <tp t="e">
        <v>#N/A</v>
        <stp/>
        <stp>BDH|388286177188155566</stp>
        <tr r="F18" s="20"/>
      </tp>
      <tp t="e">
        <v>#N/A</v>
        <stp/>
        <stp>BDH|253412750731127892</stp>
        <tr r="O19" s="34"/>
      </tp>
      <tp t="e">
        <v>#N/A</v>
        <stp/>
        <stp>BDH|670668635178701565</stp>
        <tr r="K53" s="13"/>
      </tp>
      <tp t="e">
        <v>#N/A</v>
        <stp/>
        <stp>BDH|877420121588783684</stp>
        <tr r="N9" s="18"/>
      </tp>
      <tp t="e">
        <v>#N/A</v>
        <stp/>
        <stp>BDH|602476583402071669</stp>
        <tr r="AA8" s="14"/>
      </tp>
      <tp t="e">
        <v>#N/A</v>
        <stp/>
        <stp>BDH|109576159520897837</stp>
        <tr r="R71" s="17"/>
        <tr r="O8" s="9"/>
        <tr r="O8" s="5"/>
      </tp>
      <tp t="e">
        <v>#N/A</v>
        <stp/>
        <stp>BDH|808426493137856250</stp>
        <tr r="H48" s="21"/>
      </tp>
      <tp t="e">
        <v>#N/A</v>
        <stp/>
        <stp>BDH|670858462441333773</stp>
        <tr r="S70" s="34"/>
      </tp>
      <tp t="e">
        <v>#N/A</v>
        <stp/>
        <stp>BDH|430125943738978594</stp>
        <tr r="I163" s="18"/>
      </tp>
      <tp t="e">
        <v>#N/A</v>
        <stp/>
        <stp>BDH|900915046455963025</stp>
        <tr r="S18" s="26"/>
      </tp>
      <tp t="e">
        <v>#N/A</v>
        <stp/>
        <stp>BDH|750222882412259001</stp>
        <tr r="X37" s="13"/>
        <tr r="V30" s="10"/>
      </tp>
      <tp t="e">
        <v>#N/A</v>
        <stp/>
        <stp>BDH|348317394425301703</stp>
        <tr r="F46" s="22"/>
      </tp>
      <tp t="e">
        <v>#N/A</v>
        <stp/>
        <stp>BDH|423326470234063835</stp>
        <tr r="S145" s="18"/>
      </tp>
      <tp t="e">
        <v>#N/A</v>
        <stp/>
        <stp>BDH|715497922726890823</stp>
        <tr r="W85" s="17"/>
        <tr r="U6" s="7"/>
        <tr r="W20" s="3"/>
      </tp>
      <tp t="e">
        <v>#N/A</v>
        <stp/>
        <stp>BDH|182977636642186070</stp>
        <tr r="N144" s="18"/>
      </tp>
      <tp t="e">
        <v>#N/A</v>
        <stp/>
        <stp>BDH|104706303348099757</stp>
        <tr r="J24" s="5"/>
      </tp>
      <tp t="e">
        <v>#N/A</v>
        <stp/>
        <stp>BDH|789288399201280233</stp>
        <tr r="R28" s="18"/>
      </tp>
      <tp t="e">
        <v>#N/A</v>
        <stp/>
        <stp>BDH|155107791710323048</stp>
        <tr r="J29" s="29"/>
        <tr r="J7" s="29"/>
      </tp>
      <tp t="e">
        <v>#N/A</v>
        <stp/>
        <stp>BDH|375289315593802818</stp>
        <tr r="P80" s="24"/>
      </tp>
      <tp t="e">
        <v>#N/A</v>
        <stp/>
        <stp>BDH|745189833383885936</stp>
        <tr r="P54" s="24"/>
      </tp>
      <tp t="e">
        <v>#N/A</v>
        <stp/>
        <stp>BDH|277932936670509228</stp>
        <tr r="U14" s="4"/>
      </tp>
      <tp t="e">
        <v>#N/A</v>
        <stp/>
        <stp>BDH|102979586249215025</stp>
        <tr r="H53" s="12"/>
      </tp>
      <tp t="e">
        <v>#N/A</v>
        <stp/>
        <stp>BDH|372439594202161756</stp>
        <tr r="E47" s="18"/>
      </tp>
      <tp t="e">
        <v>#N/A</v>
        <stp/>
        <stp>BDH|846878367804953215</stp>
        <tr r="AA125" s="12"/>
      </tp>
      <tp t="e">
        <v>#N/A</v>
        <stp/>
        <stp>BDH|860404481716070289</stp>
        <tr r="F34" s="25"/>
        <tr r="F93" s="17"/>
      </tp>
      <tp t="e">
        <v>#N/A</v>
        <stp/>
        <stp>BDH|942127783465072499</stp>
        <tr r="I45" s="13"/>
        <tr r="G29" s="11"/>
        <tr r="G38" s="10"/>
      </tp>
      <tp t="e">
        <v>#N/A</v>
        <stp/>
        <stp>BDH|181685320239931510</stp>
        <tr r="L11" s="7"/>
      </tp>
      <tp t="e">
        <v>#N/A</v>
        <stp/>
        <stp>BDH|747567831549817795</stp>
        <tr r="H58" s="17"/>
      </tp>
      <tp t="e">
        <v>#N/A</v>
        <stp/>
        <stp>BDH|658352944868068769</stp>
        <tr r="D197" s="18"/>
      </tp>
      <tp t="e">
        <v>#N/A</v>
        <stp/>
        <stp>BDH|526123135063204910</stp>
        <tr r="M182" s="18"/>
      </tp>
      <tp t="e">
        <v>#N/A</v>
        <stp/>
        <stp>BDH|884693859582979908</stp>
        <tr r="D19" s="21"/>
        <tr r="D23" s="3"/>
      </tp>
      <tp t="e">
        <v>#N/A</v>
        <stp/>
        <stp>BDH|810394010272566856</stp>
        <tr r="S14" s="8"/>
      </tp>
      <tp t="e">
        <v>#N/A</v>
        <stp/>
        <stp>BDH|494168493920497044</stp>
        <tr r="C13" s="30"/>
      </tp>
      <tp t="e">
        <v>#N/A</v>
        <stp/>
        <stp>BDH|499699893705935259</stp>
        <tr r="C135" s="18"/>
      </tp>
      <tp t="e">
        <v>#N/A</v>
        <stp/>
        <stp>BDH|532013643495294970</stp>
        <tr r="X43" s="21"/>
      </tp>
      <tp t="e">
        <v>#N/A</v>
        <stp/>
        <stp>BDH|574950720665240607</stp>
        <tr r="L85" s="12"/>
      </tp>
      <tp t="e">
        <v>#N/A</v>
        <stp/>
        <stp>BDH|296414263578795252</stp>
        <tr r="M7" s="30"/>
      </tp>
      <tp t="e">
        <v>#N/A</v>
        <stp/>
        <stp>BDH|246568792960068440</stp>
        <tr r="T97" s="18"/>
      </tp>
      <tp t="e">
        <v>#N/A</v>
        <stp/>
        <stp>BDH|314223902042952881</stp>
        <tr r="V15" s="25"/>
      </tp>
      <tp t="e">
        <v>#N/A</v>
        <stp/>
        <stp>BDH|468463525159137740</stp>
        <tr r="W49" s="34"/>
      </tp>
      <tp t="e">
        <v>#N/A</v>
        <stp/>
        <stp>BDH|669069523243201927</stp>
        <tr r="D17" s="27"/>
        <tr r="D31" s="25"/>
      </tp>
      <tp t="e">
        <v>#N/A</v>
        <stp/>
        <stp>BDH|779108283578105960</stp>
        <tr r="R55" s="12"/>
      </tp>
      <tp t="e">
        <v>#N/A</v>
        <stp/>
        <stp>BDH|142562898981927552</stp>
        <tr r="N26" s="11"/>
        <tr r="N35" s="10"/>
      </tp>
      <tp t="e">
        <v>#N/A</v>
        <stp/>
        <stp>BDH|447067114109470010</stp>
        <tr r="L7" s="24"/>
      </tp>
      <tp t="e">
        <v>#N/A</v>
        <stp/>
        <stp>BDH|830442611907174907</stp>
        <tr r="C19" s="23"/>
      </tp>
      <tp t="e">
        <v>#N/A</v>
        <stp/>
        <stp>BDH|934138664185135931</stp>
        <tr r="U15" s="34"/>
      </tp>
      <tp t="e">
        <v>#N/A</v>
        <stp/>
        <stp>BDH|740485803079609668</stp>
        <tr r="U13" s="23"/>
        <tr r="S57" s="11"/>
        <tr r="S38" s="4"/>
      </tp>
      <tp t="e">
        <v>#N/A</v>
        <stp/>
        <stp>BDH|145115261995579981</stp>
        <tr r="R147" s="18"/>
      </tp>
      <tp t="e">
        <v>#N/A</v>
        <stp/>
        <stp>BDH|934118922109179171</stp>
        <tr r="N15" s="22"/>
      </tp>
      <tp t="e">
        <v>#N/A</v>
        <stp/>
        <stp>BDH|206863634528432883</stp>
        <tr r="K25" s="11"/>
        <tr r="K34" s="10"/>
      </tp>
      <tp t="e">
        <v>#N/A</v>
        <stp/>
        <stp>BDH|554775917898981505</stp>
        <tr r="P160" s="18"/>
      </tp>
      <tp t="e">
        <v>#N/A</v>
        <stp/>
        <stp>BDH|722191695443333059</stp>
        <tr r="N94" s="18"/>
      </tp>
      <tp t="e">
        <v>#N/A</v>
        <stp/>
        <stp>BDH|449846562485841070</stp>
        <tr r="R25" s="29"/>
        <tr r="R19" s="29"/>
        <tr r="R10" s="29"/>
        <tr r="P6" s="9"/>
        <tr r="R12" s="8"/>
        <tr r="P6" s="5"/>
        <tr r="Q6" s="2"/>
      </tp>
      <tp t="e">
        <v>#N/A</v>
        <stp/>
        <stp>BDH|293136288397294543</stp>
        <tr r="E21" s="17"/>
      </tp>
      <tp t="e">
        <v>#N/A</v>
        <stp/>
        <stp>BDH|637101999083174012</stp>
        <tr r="F18" s="34"/>
      </tp>
      <tp t="e">
        <v>#N/A</v>
        <stp/>
        <stp>BDH|946760744389657126</stp>
        <tr r="O61" s="13"/>
        <tr r="M48" s="11"/>
        <tr r="M57" s="10"/>
        <tr r="M18" s="7"/>
      </tp>
      <tp t="e">
        <v>#N/A</v>
        <stp/>
        <stp>BDH|395201293234964413</stp>
        <tr r="G20" s="25"/>
      </tp>
      <tp t="e">
        <v>#N/A</v>
        <stp/>
        <stp>BDH|586709418574197942</stp>
        <tr r="F42" s="12"/>
      </tp>
      <tp t="e">
        <v>#N/A</v>
        <stp/>
        <stp>BDH|131970331600867172</stp>
        <tr r="K7" s="24"/>
      </tp>
      <tp t="e">
        <v>#N/A</v>
        <stp/>
        <stp>BDH|935938019413869022</stp>
        <tr r="S55" s="11"/>
      </tp>
      <tp t="e">
        <v>#N/A</v>
        <stp/>
        <stp>BDH|682724097640956507</stp>
        <tr r="S32" s="12"/>
      </tp>
      <tp t="e">
        <v>#N/A</v>
        <stp/>
        <stp>BDH|316151978634077949</stp>
        <tr r="J28" s="14"/>
      </tp>
      <tp t="e">
        <v>#N/A</v>
        <stp/>
        <stp>BDH|804310200370488877</stp>
        <tr r="E79" s="12"/>
      </tp>
      <tp t="e">
        <v>#N/A</v>
        <stp/>
        <stp>BDH|324808592022900828</stp>
        <tr r="Z53" s="18"/>
      </tp>
      <tp t="e">
        <v>#N/A</v>
        <stp/>
        <stp>BDH|443478689914215325</stp>
        <tr r="O25" s="7"/>
      </tp>
      <tp t="e">
        <v>#N/A</v>
        <stp/>
        <stp>BDH|749894139190515087</stp>
        <tr r="V66" s="10"/>
        <tr r="V39" s="4"/>
      </tp>
      <tp t="e">
        <v>#N/A</v>
        <stp/>
        <stp>BDH|289974041366678094</stp>
        <tr r="L25" s="24"/>
      </tp>
      <tp t="e">
        <v>#N/A</v>
        <stp/>
        <stp>BDH|517949189119470372</stp>
        <tr r="F89" s="17"/>
      </tp>
      <tp t="e">
        <v>#N/A</v>
        <stp/>
        <stp>BDH|465211793193849355</stp>
        <tr r="J16" s="22"/>
      </tp>
      <tp t="e">
        <v>#N/A</v>
        <stp/>
        <stp>BDH|572499978731853979</stp>
        <tr r="V15" s="23"/>
        <tr r="T58" s="11"/>
      </tp>
      <tp t="e">
        <v>#N/A</v>
        <stp/>
        <stp>BDH|528653934428965695</stp>
        <tr r="U52" s="24"/>
      </tp>
      <tp t="e">
        <v>#N/A</v>
        <stp/>
        <stp>BDH|229690108039266453</stp>
        <tr r="P7" s="28"/>
      </tp>
      <tp t="e">
        <v>#N/A</v>
        <stp/>
        <stp>BDH|202988909652769014</stp>
        <tr r="X108" s="12"/>
      </tp>
      <tp t="e">
        <v>#N/A</v>
        <stp/>
        <stp>BDH|833991575784009111</stp>
        <tr r="P10" s="17"/>
      </tp>
      <tp t="e">
        <v>#N/A</v>
        <stp/>
        <stp>BDH|556989208236704444</stp>
        <tr r="Q13" s="18"/>
      </tp>
      <tp t="e">
        <v>#N/A</v>
        <stp/>
        <stp>BDH|513074733860345840</stp>
        <tr r="AA65" s="24"/>
      </tp>
      <tp t="e">
        <v>#N/A</v>
        <stp/>
        <stp>BDH|388992973443785689</stp>
        <tr r="Y89" s="12"/>
      </tp>
      <tp t="e">
        <v>#N/A</v>
        <stp/>
        <stp>BDH|714471281486798109</stp>
        <tr r="L14" s="4"/>
      </tp>
      <tp t="e">
        <v>#N/A</v>
        <stp/>
        <stp>BDH|244707181131739525</stp>
        <tr r="O56" s="11"/>
        <tr r="O24" s="4"/>
      </tp>
      <tp t="e">
        <v>#N/A</v>
        <stp/>
        <stp>BDH|512951323789268974</stp>
        <tr r="AA54" s="24"/>
      </tp>
      <tp t="e">
        <v>#N/A</v>
        <stp/>
        <stp>BDH|417240122613000859</stp>
        <tr r="N60" s="21"/>
        <tr r="L54" s="11"/>
      </tp>
      <tp t="e">
        <v>#N/A</v>
        <stp/>
        <stp>BDH|910886789933869874</stp>
        <tr r="G84" s="18"/>
      </tp>
      <tp t="e">
        <v>#N/A</v>
        <stp/>
        <stp>BDH|511577398991407693</stp>
        <tr r="L10" s="28"/>
      </tp>
      <tp t="e">
        <v>#N/A</v>
        <stp/>
        <stp>BDH|137189197333078093</stp>
        <tr r="R18" s="11"/>
      </tp>
      <tp t="e">
        <v>#N/A</v>
        <stp/>
        <stp>BDH|132397227699831302</stp>
        <tr r="F28" s="22"/>
      </tp>
      <tp t="e">
        <v>#N/A</v>
        <stp/>
        <stp>BDH|745951440101656731</stp>
        <tr r="Z12" s="12"/>
      </tp>
      <tp t="e">
        <v>#N/A</v>
        <stp/>
        <stp>BDH|745655363582637907</stp>
        <tr r="O14" s="23"/>
      </tp>
      <tp t="e">
        <v>#N/A</v>
        <stp/>
        <stp>BDH|902155979339220404</stp>
        <tr r="E51" s="17"/>
      </tp>
      <tp t="e">
        <v>#N/A</v>
        <stp/>
        <stp>BDH|964792071518609305</stp>
        <tr r="O78" s="17"/>
      </tp>
      <tp t="e">
        <v>#N/A</v>
        <stp/>
        <stp>BDH|218829264331146456</stp>
        <tr r="U39" s="29"/>
        <tr r="U16" s="29"/>
      </tp>
      <tp t="e">
        <v>#N/A</v>
        <stp/>
        <stp>BDH|355623483451371418</stp>
        <tr r="F71" s="17"/>
        <tr r="C8" s="9"/>
        <tr r="C8" s="5"/>
      </tp>
      <tp t="e">
        <v>#N/A</v>
        <stp/>
        <stp>BDH|125395450874809902</stp>
        <tr r="S39" s="13"/>
        <tr r="Q32" s="10"/>
      </tp>
      <tp t="e">
        <v>#N/A</v>
        <stp/>
        <stp>BDH|789934818811435286</stp>
        <tr r="R127" s="12"/>
      </tp>
      <tp t="e">
        <v>#N/A</v>
        <stp/>
        <stp>BDH|527822407857082407</stp>
        <tr r="H22" s="34"/>
      </tp>
      <tp t="e">
        <v>#N/A</v>
        <stp/>
        <stp>BDH|808554626199905532</stp>
        <tr r="Q83" s="18"/>
      </tp>
      <tp t="e">
        <v>#N/A</v>
        <stp/>
        <stp>BDH|567990805446062480</stp>
        <tr r="H46" s="17"/>
      </tp>
      <tp t="e">
        <v>#N/A</v>
        <stp/>
        <stp>BDH|937296059228858439</stp>
        <tr r="X8" s="8"/>
      </tp>
      <tp t="e">
        <v>#N/A</v>
        <stp/>
        <stp>BDH|789770352309717073</stp>
        <tr r="U80" s="18"/>
      </tp>
      <tp t="e">
        <v>#N/A</v>
        <stp/>
        <stp>BDH|882533489845156319</stp>
        <tr r="T29" s="13"/>
        <tr r="T16" s="13"/>
        <tr r="R17" s="10"/>
      </tp>
      <tp t="e">
        <v>#N/A</v>
        <stp/>
        <stp>BDH|867840709901358245</stp>
        <tr r="F31" s="11"/>
        <tr r="F40" s="10"/>
      </tp>
      <tp t="e">
        <v>#N/A</v>
        <stp/>
        <stp>BDH|221543235959856491</stp>
        <tr r="T13" s="25"/>
      </tp>
      <tp t="e">
        <v>#N/A</v>
        <stp/>
        <stp>BDH|111089699241542373</stp>
        <tr r="C51" s="17"/>
      </tp>
      <tp t="e">
        <v>#N/A</v>
        <stp/>
        <stp>BDH|365603732688411675</stp>
        <tr r="I62" s="24"/>
      </tp>
      <tp t="e">
        <v>#N/A</v>
        <stp/>
        <stp>BDH|997660460909445285</stp>
        <tr r="Y7" s="30"/>
      </tp>
      <tp t="e">
        <v>#N/A</v>
        <stp/>
        <stp>BDH|518246351399022531</stp>
        <tr r="W17" s="30"/>
      </tp>
      <tp t="e">
        <v>#N/A</v>
        <stp/>
        <stp>BDH|246979796889229222</stp>
        <tr r="W17" s="14"/>
      </tp>
      <tp t="e">
        <v>#N/A</v>
        <stp/>
        <stp>BDH|826957811900967294</stp>
        <tr r="Y98" s="17"/>
      </tp>
      <tp t="e">
        <v>#N/A</v>
        <stp/>
        <stp>BDH|480811238562499344</stp>
        <tr r="I176" s="18"/>
      </tp>
      <tp t="e">
        <v>#N/A</v>
        <stp/>
        <stp>BDH|791848228719082968</stp>
        <tr r="P11" s="28"/>
      </tp>
      <tp t="e">
        <v>#N/A</v>
        <stp/>
        <stp>BDH|518155744517931805</stp>
        <tr r="M7" s="28"/>
      </tp>
      <tp t="e">
        <v>#N/A</v>
        <stp/>
        <stp>BDH|737701094006646282</stp>
        <tr r="X73" s="17"/>
      </tp>
      <tp t="e">
        <v>#N/A</v>
        <stp/>
        <stp>BDH|317516288743190450</stp>
        <tr r="E64" s="17"/>
      </tp>
      <tp t="e">
        <v>#N/A</v>
        <stp/>
        <stp>BDH|879109822259774036</stp>
        <tr r="O108" s="18"/>
      </tp>
      <tp t="e">
        <v>#N/A</v>
        <stp/>
        <stp>BDH|714887713026493562</stp>
        <tr r="Q8" s="17"/>
      </tp>
      <tp t="e">
        <v>#N/A</v>
        <stp/>
        <stp>BDH|550347048175271848</stp>
        <tr r="AA214" s="18"/>
      </tp>
      <tp t="e">
        <v>#N/A</v>
        <stp/>
        <stp>BDH|946454085202170477</stp>
        <tr r="I31" s="12"/>
      </tp>
      <tp t="e">
        <v>#N/A</v>
        <stp/>
        <stp>BDH|342320991165650591</stp>
        <tr r="L55" s="18"/>
      </tp>
      <tp t="e">
        <v>#N/A</v>
        <stp/>
        <stp>BDH|627990080782696917</stp>
        <tr r="AA64" s="21"/>
      </tp>
      <tp t="e">
        <v>#N/A</v>
        <stp/>
        <stp>BDH|851197028711778871</stp>
        <tr r="S55" s="34"/>
      </tp>
      <tp t="e">
        <v>#N/A</v>
        <stp/>
        <stp>BDH|977933232509642970</stp>
        <tr r="X27" s="6"/>
      </tp>
      <tp t="e">
        <v>#N/A</v>
        <stp/>
        <stp>BDH|669780822848795717</stp>
        <tr r="AA73" s="12"/>
      </tp>
      <tp t="e">
        <v>#N/A</v>
        <stp/>
        <stp>BDH|659945725301939050</stp>
        <tr r="R13" s="24"/>
      </tp>
      <tp t="e">
        <v>#N/A</v>
        <stp/>
        <stp>BDH|558467290825947218</stp>
        <tr r="U19" s="11"/>
      </tp>
      <tp t="e">
        <v>#N/A</v>
        <stp/>
        <stp>BDH|527711321919316621</stp>
        <tr r="I13" s="8"/>
      </tp>
      <tp t="e">
        <v>#N/A</v>
        <stp/>
        <stp>BDH|687169357928602651</stp>
        <tr r="T19" s="34"/>
      </tp>
      <tp t="e">
        <v>#N/A</v>
        <stp/>
        <stp>BDH|590443951853528812</stp>
        <tr r="I25" s="21"/>
      </tp>
      <tp t="e">
        <v>#N/A</v>
        <stp/>
        <stp>BDH|246957166291610431</stp>
        <tr r="Y22" s="11"/>
      </tp>
      <tp t="e">
        <v>#N/A</v>
        <stp/>
        <stp>BDH|608411749353369985</stp>
        <tr r="C16" s="28"/>
        <tr r="C13" s="17"/>
      </tp>
      <tp t="e">
        <v>#N/A</v>
        <stp/>
        <stp>BDH|367490073019770080</stp>
        <tr r="L7" s="9"/>
        <tr r="L7" s="5"/>
        <tr r="O14" s="3"/>
        <tr r="M7" s="2"/>
      </tp>
      <tp t="e">
        <v>#N/A</v>
        <stp/>
        <stp>BDH|742555985742093518</stp>
        <tr r="G17" s="6"/>
      </tp>
      <tp t="e">
        <v>#N/A</v>
        <stp/>
        <stp>BDH|903796997004385034</stp>
        <tr r="N22" s="12"/>
      </tp>
      <tp t="e">
        <v>#N/A</v>
        <stp/>
        <stp>BDH|956026717133280891</stp>
        <tr r="U15" s="21"/>
      </tp>
      <tp t="e">
        <v>#N/A</v>
        <stp/>
        <stp>BDH|997879270510821518</stp>
        <tr r="M46" s="21"/>
      </tp>
      <tp t="e">
        <v>#N/A</v>
        <stp/>
        <stp>BDH|335539083640292769</stp>
        <tr r="Z12" s="14"/>
      </tp>
      <tp t="e">
        <v>#N/A</v>
        <stp/>
        <stp>BDH|443920083089689241</stp>
        <tr r="S115" s="12"/>
      </tp>
      <tp t="e">
        <v>#N/A</v>
        <stp/>
        <stp>BDH|228169420689059038</stp>
        <tr r="G10" s="8"/>
        <tr r="E53" s="6"/>
      </tp>
      <tp t="e">
        <v>#N/A</v>
        <stp/>
        <stp>BDH|708882423004321487</stp>
        <tr r="X65" s="13"/>
      </tp>
      <tp t="e">
        <v>#N/A</v>
        <stp/>
        <stp>BDH|571263547818146458</stp>
        <tr r="V23" s="30"/>
        <tr r="V25" s="23"/>
      </tp>
      <tp t="e">
        <v>#N/A</v>
        <stp/>
        <stp>BDH|721810134183572272</stp>
        <tr r="Q66" s="12"/>
      </tp>
      <tp t="e">
        <v>#N/A</v>
        <stp/>
        <stp>BDH|444945784203655822</stp>
        <tr r="L125" s="12"/>
      </tp>
      <tp t="e">
        <v>#N/A</v>
        <stp/>
        <stp>BDH|785371590114897485</stp>
        <tr r="J21" s="14"/>
      </tp>
      <tp t="e">
        <v>#N/A</v>
        <stp/>
        <stp>BDH|503428633825765828</stp>
        <tr r="I78" s="18"/>
      </tp>
      <tp t="e">
        <v>#N/A</v>
        <stp/>
        <stp>BDH|594569130094588874</stp>
        <tr r="M60" s="11"/>
      </tp>
      <tp t="e">
        <v>#N/A</v>
        <stp/>
        <stp>BDH|229602720096574865</stp>
        <tr r="G119" s="12"/>
      </tp>
      <tp t="e">
        <v>#N/A</v>
        <stp/>
        <stp>BDH|915940428012525315</stp>
        <tr r="T30" s="17"/>
      </tp>
      <tp t="e">
        <v>#N/A</v>
        <stp/>
        <stp>BDH|150138432108906089</stp>
        <tr r="P14" s="13"/>
      </tp>
      <tp t="e">
        <v>#N/A</v>
        <stp/>
        <stp>BDH|741933203287470427</stp>
        <tr r="O25" s="14"/>
      </tp>
      <tp t="e">
        <v>#N/A</v>
        <stp/>
        <stp>BDH|664833736508261934</stp>
        <tr r="P49" s="34"/>
      </tp>
      <tp t="e">
        <v>#N/A</v>
        <stp/>
        <stp>BDH|977052207198958202</stp>
        <tr r="P198" s="18"/>
      </tp>
      <tp t="e">
        <v>#N/A</v>
        <stp/>
        <stp>BDH|675678287015131159</stp>
        <tr r="U26" s="21"/>
      </tp>
      <tp t="e">
        <v>#N/A</v>
        <stp/>
        <stp>BDH|666028201178162277</stp>
        <tr r="O172" s="18"/>
      </tp>
      <tp t="e">
        <v>#N/A</v>
        <stp/>
        <stp>BDH|620934241881400631</stp>
        <tr r="K58" s="18"/>
      </tp>
      <tp t="e">
        <v>#N/A</v>
        <stp/>
        <stp>BDH|144444833488747521</stp>
        <tr r="T77" s="12"/>
      </tp>
      <tp t="e">
        <v>#N/A</v>
        <stp/>
        <stp>BDH|782065846529569718</stp>
        <tr r="J20" s="26"/>
      </tp>
      <tp t="e">
        <v>#N/A</v>
        <stp/>
        <stp>BDH|284576996905069307</stp>
        <tr r="Z80" s="12"/>
      </tp>
      <tp t="e">
        <v>#N/A</v>
        <stp/>
        <stp>BDH|367559917947982</stp>
        <tr r="C25" s="26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workbookViewId="0">
      <selection activeCell="I17" sqref="I17"/>
    </sheetView>
  </sheetViews>
  <sheetFormatPr defaultRowHeight="15" x14ac:dyDescent="0.25"/>
  <cols>
    <col min="1" max="1" width="23.57031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8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60</v>
      </c>
      <c r="B6" s="6" t="s">
        <v>61</v>
      </c>
      <c r="C6" s="19">
        <f>_xll.BDH("GILD US Equity","HISTORICAL_MARKET_CAP","FQ2 2019","FQ2 2019","Currency=USD","Period=FQ","BEST_FPERIOD_OVERRIDE=FQ","FILING_STATUS=MR","SCALING_FORMAT=MLN","Sort=A","Dates=H","DateFormat=P","Fill=—","Direction=H","UseDPDF=Y")</f>
        <v>85598.52</v>
      </c>
      <c r="D6" s="19">
        <f>_xll.BDH("GILD US Equity","HISTORICAL_MARKET_CAP","FQ3 2019","FQ3 2019","Currency=USD","Period=FQ","BEST_FPERIOD_OVERRIDE=FQ","FILING_STATUS=MR","SCALING_FORMAT=MLN","Sort=A","Dates=H","DateFormat=P","Fill=—","Direction=H","UseDPDF=Y")</f>
        <v>80239.08</v>
      </c>
      <c r="E6" s="19">
        <f>_xll.BDH("GILD US Equity","HISTORICAL_MARKET_CAP","FQ4 2019","FQ4 2019","Currency=USD","Period=FQ","BEST_FPERIOD_OVERRIDE=FQ","FILING_STATUS=MR","SCALING_FORMAT=MLN","Sort=A","Dates=H","DateFormat=P","Fill=—","Direction=H","UseDPDF=Y")</f>
        <v>82264.679999999993</v>
      </c>
      <c r="F6" s="19">
        <f>_xll.BDH("GILD US Equity","HISTORICAL_MARKET_CAP","FQ1 2020","FQ1 2020","Currency=USD","Period=FQ","BEST_FPERIOD_OVERRIDE=FQ","FILING_STATUS=MR","SCALING_FORMAT=MLN","Sort=A","Dates=H","DateFormat=P","Fill=—","Direction=H","UseDPDF=Y")</f>
        <v>93749.04</v>
      </c>
      <c r="G6" s="19">
        <f>_xll.BDH("GILD US Equity","HISTORICAL_MARKET_CAP","FQ2 2020","FQ2 2020","Currency=USD","Period=FQ","BEST_FPERIOD_OVERRIDE=FQ","FILING_STATUS=MR","SCALING_FORMAT=MLN","Sort=A","Dates=H","DateFormat=P","Fill=—","Direction=H","UseDPDF=Y")</f>
        <v>96482.76</v>
      </c>
      <c r="H6" s="19">
        <f>_xll.BDH("GILD US Equity","HISTORICAL_MARKET_CAP","FQ3 2020","FQ3 2020","Currency=USD","Period=FQ","BEST_FPERIOD_OVERRIDE=FQ","FILING_STATUS=MR","SCALING_FORMAT=MLN","Sort=A","Dates=H","DateFormat=P","Fill=—","Direction=H","UseDPDF=Y")</f>
        <v>79177.070000000007</v>
      </c>
      <c r="I6" s="19">
        <f>_xll.BDH("GILD US Equity","HISTORICAL_MARKET_CAP","FQ4 2020","FQ4 2020","Currency=USD","Period=FQ","BEST_FPERIOD_OVERRIDE=FQ","FILING_STATUS=MR","SCALING_FORMAT=MLN","Sort=A","Dates=H","DateFormat=P","Fill=—","Direction=H","UseDPDF=Y")</f>
        <v>73058.039999999994</v>
      </c>
      <c r="J6" s="19">
        <f>_xll.BDH("GILD US Equity","HISTORICAL_MARKET_CAP","FQ1 2021","FQ1 2021","Currency=USD","Period=FQ","BEST_FPERIOD_OVERRIDE=FQ","FILING_STATUS=MR","SCALING_FORMAT=MLN","Sort=A","Dates=H","DateFormat=P","Fill=—","Direction=H","UseDPDF=Y")</f>
        <v>81046.02</v>
      </c>
      <c r="K6" s="19">
        <f>_xll.BDH("GILD US Equity","HISTORICAL_MARKET_CAP","FQ2 2021","FQ2 2021","Currency=USD","Period=FQ","BEST_FPERIOD_OVERRIDE=FQ","FILING_STATUS=MR","SCALING_FORMAT=MLN","Sort=A","Dates=H","DateFormat=P","Fill=—","Direction=H","UseDPDF=Y")</f>
        <v>86350.44</v>
      </c>
      <c r="L6" s="19">
        <f>_xll.BDH("GILD US Equity","HISTORICAL_MARKET_CAP","FQ3 2021","FQ3 2021","Currency=USD","Period=FQ","BEST_FPERIOD_OVERRIDE=FQ","FILING_STATUS=MR","SCALING_FORMAT=MLN","Sort=A","Dates=H","DateFormat=P","Fill=—","Direction=H","UseDPDF=Y")</f>
        <v>87661.75</v>
      </c>
      <c r="M6" s="19">
        <f>_xll.BDH("GILD US Equity","HISTORICAL_MARKET_CAP","FQ4 2021","FQ4 2021","Currency=USD","Period=FQ","BEST_FPERIOD_OVERRIDE=FQ","FILING_STATUS=MR","SCALING_FORMAT=MLN","Sort=A","Dates=H","DateFormat=P","Fill=—","Direction=H","UseDPDF=Y")</f>
        <v>91052.94</v>
      </c>
      <c r="N6" s="19">
        <f>_xll.BDH("GILD US Equity","HISTORICAL_MARKET_CAP","FQ1 2022","FQ1 2022","Currency=USD","Period=FQ","BEST_FPERIOD_OVERRIDE=FQ","FILING_STATUS=MR","SCALING_FORMAT=MLN","Sort=A","Dates=H","DateFormat=P","Fill=—","Direction=H","UseDPDF=Y")</f>
        <v>74609.75</v>
      </c>
      <c r="O6" s="19">
        <f>_xll.BDH("GILD US Equity","HISTORICAL_MARKET_CAP","FQ2 2022","FQ2 2022","Currency=USD","Period=FQ","BEST_FPERIOD_OVERRIDE=FQ","FILING_STATUS=MR","SCALING_FORMAT=MLN","Sort=A","Dates=H","DateFormat=P","Fill=—","Direction=H","UseDPDF=Y")</f>
        <v>77509.740000000005</v>
      </c>
      <c r="P6" s="19">
        <f>_xll.BDH("GILD US Equity","HISTORICAL_MARKET_CAP","FQ3 2022","FQ3 2022","Currency=USD","Period=FQ","BEST_FPERIOD_OVERRIDE=FQ","FILING_STATUS=MR","SCALING_FORMAT=MLN","Sort=A","Dates=H","DateFormat=P","Fill=—","Direction=H","UseDPDF=Y")</f>
        <v>77359.259999999995</v>
      </c>
      <c r="Q6" s="19">
        <f>_xll.BDH("GILD US Equity","HISTORICAL_MARKET_CAP","FQ4 2022","FQ4 2022","Currency=USD","Period=FQ","BEST_FPERIOD_OVERRIDE=FQ","FILING_STATUS=MR","SCALING_FORMAT=MLN","Sort=A","Dates=H","DateFormat=P","Fill=—","Direction=H","UseDPDF=Y")</f>
        <v>107054.95</v>
      </c>
      <c r="R6" s="19">
        <f>_xll.BDH("GILD US Equity","HISTORICAL_MARKET_CAP","FQ1 2023","FQ1 2023","Currency=USD","Period=FQ","BEST_FPERIOD_OVERRIDE=FQ","FILING_STATUS=MR","SCALING_FORMAT=MLN","Sort=A","Dates=H","DateFormat=P","Fill=—","Direction=H","UseDPDF=Y")</f>
        <v>103546.56</v>
      </c>
      <c r="S6" s="19">
        <f>_xll.BDH("GILD US Equity","HISTORICAL_MARKET_CAP","FQ2 2023","FQ2 2023","Currency=USD","Period=FQ","BEST_FPERIOD_OVERRIDE=FQ","FILING_STATUS=MR","SCALING_FORMAT=MLN","Sort=A","Dates=H","DateFormat=P","Fill=—","Direction=H","UseDPDF=Y")</f>
        <v>96106.29</v>
      </c>
      <c r="T6" s="19">
        <f>_xll.BDH("GILD US Equity","HISTORICAL_MARKET_CAP","FQ3 2023","FQ3 2023","Currency=USD","Period=FQ","BEST_FPERIOD_OVERRIDE=FQ","FILING_STATUS=MR","SCALING_FORMAT=MLN","Sort=A","Dates=H","DateFormat=P","Fill=—","Direction=H","UseDPDF=Y")</f>
        <v>93450.18</v>
      </c>
      <c r="U6" s="19">
        <f>_xll.BDH("GILD US Equity","HISTORICAL_MARKET_CAP","FQ4 2023","FQ4 2023","Currency=USD","Period=FQ","BEST_FPERIOD_OVERRIDE=FQ","FILING_STATUS=MR","SCALING_FORMAT=MLN","Sort=A","Dates=H","DateFormat=P","Fill=—","Direction=H","UseDPDF=Y")</f>
        <v>100938.46</v>
      </c>
      <c r="V6" s="19">
        <f>_xll.BDH("GILD US Equity","HISTORICAL_MARKET_CAP","FQ1 2024","FQ1 2024","Currency=USD","Period=FQ","BEST_FPERIOD_OVERRIDE=FQ","FILING_STATUS=MR","SCALING_FORMAT=MLN","Sort=A","Dates=H","DateFormat=P","Fill=—","Direction=H","UseDPDF=Y")</f>
        <v>91269.5</v>
      </c>
      <c r="W6" s="19">
        <f>_xll.BDH("GILD US Equity","HISTORICAL_MARKET_CAP","FQ2 2024","FQ2 2024","Currency=USD","Period=FQ","BEST_FPERIOD_OVERRIDE=FQ","FILING_STATUS=MR","SCALING_FORMAT=MLN","Sort=A","Dates=H","DateFormat=P","Fill=—","Direction=H","UseDPDF=Y")</f>
        <v>85488.06</v>
      </c>
      <c r="X6" s="19">
        <f>_xll.BDH("GILD US Equity","HISTORICAL_MARKET_CAP","FQ3 2024","FQ3 2024","Currency=USD","Period=FQ","BEST_FPERIOD_OVERRIDE=FQ","FILING_STATUS=MR","SCALING_FORMAT=MLN","Sort=A","Dates=H","DateFormat=P","Fill=—","Direction=H","UseDPDF=Y")</f>
        <v>104464.64</v>
      </c>
      <c r="Y6" s="19">
        <f>_xll.BDH("GILD US Equity","HISTORICAL_MARKET_CAP","FQ4 2024","FQ4 2024","Currency=USD","Period=FQ","BEST_FPERIOD_OVERRIDE=FQ","FILING_STATUS=MR","SCALING_FORMAT=MLN","Sort=A","Dates=H","DateFormat=P","Fill=—","Direction=H","UseDPDF=Y")</f>
        <v>115093.02</v>
      </c>
      <c r="Z6" s="19"/>
      <c r="AA6" s="19"/>
    </row>
    <row r="7" spans="1:27" x14ac:dyDescent="0.25">
      <c r="A7" s="10" t="s">
        <v>62</v>
      </c>
      <c r="B7" s="10" t="s">
        <v>63</v>
      </c>
      <c r="C7" s="13">
        <f>_xll.BDH("GILD US Equity","CASH_AND_MARKETABLE_SECURITIES","FQ2 2019","FQ2 2019","Currency=USD","Period=FQ","BEST_FPERIOD_OVERRIDE=FQ","FILING_STATUS=MR","SCALING_FORMAT=MLN","Sort=A","Dates=H","DateFormat=P","Fill=—","Direction=H","UseDPDF=Y")</f>
        <v>30234</v>
      </c>
      <c r="D7" s="13">
        <f>_xll.BDH("GILD US Equity","CASH_AND_MARKETABLE_SECURITIES","FQ3 2019","FQ3 2019","Currency=USD","Period=FQ","BEST_FPERIOD_OVERRIDE=FQ","FILING_STATUS=MR","SCALING_FORMAT=MLN","Sort=A","Dates=H","DateFormat=P","Fill=—","Direction=H","UseDPDF=Y")</f>
        <v>25051</v>
      </c>
      <c r="E7" s="13">
        <f>_xll.BDH("GILD US Equity","CASH_AND_MARKETABLE_SECURITIES","FQ4 2019","FQ4 2019","Currency=USD","Period=FQ","BEST_FPERIOD_OVERRIDE=FQ","FILING_STATUS=MR","SCALING_FORMAT=MLN","Sort=A","Dates=H","DateFormat=P","Fill=—","Direction=H","UseDPDF=Y")</f>
        <v>25840</v>
      </c>
      <c r="F7" s="13">
        <f>_xll.BDH("GILD US Equity","CASH_AND_MARKETABLE_SECURITIES","FQ1 2020","FQ1 2020","Currency=USD","Period=FQ","BEST_FPERIOD_OVERRIDE=FQ","FILING_STATUS=MR","SCALING_FORMAT=MLN","Sort=A","Dates=H","DateFormat=P","Fill=—","Direction=H","UseDPDF=Y")</f>
        <v>24314</v>
      </c>
      <c r="G7" s="13">
        <f>_xll.BDH("GILD US Equity","CASH_AND_MARKETABLE_SECURITIES","FQ2 2020","FQ2 2020","Currency=USD","Period=FQ","BEST_FPERIOD_OVERRIDE=FQ","FILING_STATUS=MR","SCALING_FORMAT=MLN","Sort=A","Dates=H","DateFormat=P","Fill=—","Direction=H","UseDPDF=Y")</f>
        <v>21190</v>
      </c>
      <c r="H7" s="13">
        <f>_xll.BDH("GILD US Equity","CASH_AND_MARKETABLE_SECURITIES","FQ3 2020","FQ3 2020","Currency=USD","Period=FQ","BEST_FPERIOD_OVERRIDE=FQ","FILING_STATUS=MR","SCALING_FORMAT=MLN","Sort=A","Dates=H","DateFormat=P","Fill=—","Direction=H","UseDPDF=Y")</f>
        <v>26049</v>
      </c>
      <c r="I7" s="13">
        <f>_xll.BDH("GILD US Equity","CASH_AND_MARKETABLE_SECURITIES","FQ4 2020","FQ4 2020","Currency=USD","Period=FQ","BEST_FPERIOD_OVERRIDE=FQ","FILING_STATUS=MR","SCALING_FORMAT=MLN","Sort=A","Dates=H","DateFormat=P","Fill=—","Direction=H","UseDPDF=Y")</f>
        <v>7910</v>
      </c>
      <c r="J7" s="13">
        <f>_xll.BDH("GILD US Equity","CASH_AND_MARKETABLE_SECURITIES","FQ1 2021","FQ1 2021","Currency=USD","Period=FQ","BEST_FPERIOD_OVERRIDE=FQ","FILING_STATUS=MR","SCALING_FORMAT=MLN","Sort=A","Dates=H","DateFormat=P","Fill=—","Direction=H","UseDPDF=Y")</f>
        <v>6245</v>
      </c>
      <c r="K7" s="13">
        <f>_xll.BDH("GILD US Equity","CASH_AND_MARKETABLE_SECURITIES","FQ2 2021","FQ2 2021","Currency=USD","Period=FQ","BEST_FPERIOD_OVERRIDE=FQ","FILING_STATUS=MR","SCALING_FORMAT=MLN","Sort=A","Dates=H","DateFormat=P","Fill=—","Direction=H","UseDPDF=Y")</f>
        <v>7361</v>
      </c>
      <c r="L7" s="13">
        <f>_xll.BDH("GILD US Equity","CASH_AND_MARKETABLE_SECURITIES","FQ3 2021","FQ3 2021","Currency=USD","Period=FQ","BEST_FPERIOD_OVERRIDE=FQ","FILING_STATUS=MR","SCALING_FORMAT=MLN","Sort=A","Dates=H","DateFormat=P","Fill=—","Direction=H","UseDPDF=Y")</f>
        <v>6837</v>
      </c>
      <c r="M7" s="13">
        <f>_xll.BDH("GILD US Equity","CASH_AND_MARKETABLE_SECURITIES","FQ4 2021","FQ4 2021","Currency=USD","Period=FQ","BEST_FPERIOD_OVERRIDE=FQ","FILING_STATUS=MR","SCALING_FORMAT=MLN","Sort=A","Dates=H","DateFormat=P","Fill=—","Direction=H","UseDPDF=Y")</f>
        <v>7829</v>
      </c>
      <c r="N7" s="13">
        <f>_xll.BDH("GILD US Equity","CASH_AND_MARKETABLE_SECURITIES","FQ1 2022","FQ1 2022","Currency=USD","Period=FQ","BEST_FPERIOD_OVERRIDE=FQ","FILING_STATUS=MR","SCALING_FORMAT=MLN","Sort=A","Dates=H","DateFormat=P","Fill=—","Direction=H","UseDPDF=Y")</f>
        <v>6752</v>
      </c>
      <c r="O7" s="13">
        <f>_xll.BDH("GILD US Equity","CASH_AND_MARKETABLE_SECURITIES","FQ2 2022","FQ2 2022","Currency=USD","Period=FQ","BEST_FPERIOD_OVERRIDE=FQ","FILING_STATUS=MR","SCALING_FORMAT=MLN","Sort=A","Dates=H","DateFormat=P","Fill=—","Direction=H","UseDPDF=Y")</f>
        <v>7000</v>
      </c>
      <c r="P7" s="13">
        <f>_xll.BDH("GILD US Equity","CASH_AND_MARKETABLE_SECURITIES","FQ3 2022","FQ3 2022","Currency=USD","Period=FQ","BEST_FPERIOD_OVERRIDE=FQ","FILING_STATUS=MR","SCALING_FORMAT=MLN","Sort=A","Dates=H","DateFormat=P","Fill=—","Direction=H","UseDPDF=Y")</f>
        <v>6942</v>
      </c>
      <c r="Q7" s="13">
        <f>_xll.BDH("GILD US Equity","CASH_AND_MARKETABLE_SECURITIES","FQ4 2022","FQ4 2022","Currency=USD","Period=FQ","BEST_FPERIOD_OVERRIDE=FQ","FILING_STATUS=MR","SCALING_FORMAT=MLN","Sort=A","Dates=H","DateFormat=P","Fill=—","Direction=H","UseDPDF=Y")</f>
        <v>7630</v>
      </c>
      <c r="R7" s="13">
        <f>_xll.BDH("GILD US Equity","CASH_AND_MARKETABLE_SECURITIES","FQ1 2023","FQ1 2023","Currency=USD","Period=FQ","BEST_FPERIOD_OVERRIDE=FQ","FILING_STATUS=MR","SCALING_FORMAT=MLN","Sort=A","Dates=H","DateFormat=P","Fill=—","Direction=H","UseDPDF=Y")</f>
        <v>7199</v>
      </c>
      <c r="S7" s="13">
        <f>_xll.BDH("GILD US Equity","CASH_AND_MARKETABLE_SECURITIES","FQ2 2023","FQ2 2023","Currency=USD","Period=FQ","BEST_FPERIOD_OVERRIDE=FQ","FILING_STATUS=MR","SCALING_FORMAT=MLN","Sort=A","Dates=H","DateFormat=P","Fill=—","Direction=H","UseDPDF=Y")</f>
        <v>8001</v>
      </c>
      <c r="T7" s="13">
        <f>_xll.BDH("GILD US Equity","CASH_AND_MARKETABLE_SECURITIES","FQ3 2023","FQ3 2023","Currency=USD","Period=FQ","BEST_FPERIOD_OVERRIDE=FQ","FILING_STATUS=MR","SCALING_FORMAT=MLN","Sort=A","Dates=H","DateFormat=P","Fill=—","Direction=H","UseDPDF=Y")</f>
        <v>8020</v>
      </c>
      <c r="U7" s="13">
        <f>_xll.BDH("GILD US Equity","CASH_AND_MARKETABLE_SECURITIES","FQ4 2023","FQ4 2023","Currency=USD","Period=FQ","BEST_FPERIOD_OVERRIDE=FQ","FILING_STATUS=MR","SCALING_FORMAT=MLN","Sort=A","Dates=H","DateFormat=P","Fill=—","Direction=H","UseDPDF=Y")</f>
        <v>8427</v>
      </c>
      <c r="V7" s="13">
        <f>_xll.BDH("GILD US Equity","CASH_AND_MARKETABLE_SECURITIES","FQ1 2024","FQ1 2024","Currency=USD","Period=FQ","BEST_FPERIOD_OVERRIDE=FQ","FILING_STATUS=MR","SCALING_FORMAT=MLN","Sort=A","Dates=H","DateFormat=P","Fill=—","Direction=H","UseDPDF=Y")</f>
        <v>4718</v>
      </c>
      <c r="W7" s="13">
        <f>_xll.BDH("GILD US Equity","CASH_AND_MARKETABLE_SECURITIES","FQ2 2024","FQ2 2024","Currency=USD","Period=FQ","BEST_FPERIOD_OVERRIDE=FQ","FILING_STATUS=MR","SCALING_FORMAT=MLN","Sort=A","Dates=H","DateFormat=P","Fill=—","Direction=H","UseDPDF=Y")</f>
        <v>2772</v>
      </c>
      <c r="X7" s="13">
        <f>_xll.BDH("GILD US Equity","CASH_AND_MARKETABLE_SECURITIES","FQ3 2024","FQ3 2024","Currency=USD","Period=FQ","BEST_FPERIOD_OVERRIDE=FQ","FILING_STATUS=MR","SCALING_FORMAT=MLN","Sort=A","Dates=H","DateFormat=P","Fill=—","Direction=H","UseDPDF=Y")</f>
        <v>5037</v>
      </c>
      <c r="Y7" s="13">
        <f>_xll.BDH("GILD US Equity","CASH_AND_MARKETABLE_SECURITIES","FQ4 2024","FQ4 2024","Currency=USD","Period=FQ","BEST_FPERIOD_OVERRIDE=FQ","FILING_STATUS=MR","SCALING_FORMAT=MLN","Sort=A","Dates=H","DateFormat=P","Fill=—","Direction=H","UseDPDF=Y")</f>
        <v>9991</v>
      </c>
      <c r="Z7" s="13"/>
      <c r="AA7" s="13"/>
    </row>
    <row r="8" spans="1:27" x14ac:dyDescent="0.25">
      <c r="A8" s="10" t="s">
        <v>64</v>
      </c>
      <c r="B8" s="10" t="s">
        <v>65</v>
      </c>
      <c r="C8" s="13">
        <f>_xll.BDH("GILD US Equity","PFD_EQTY_MINORTY_INTEREST","FQ2 2019","FQ2 2019","Currency=USD","Period=FQ","BEST_FPERIOD_OVERRIDE=FQ","FILING_STATUS=MR","SCALING_FORMAT=MLN","Sort=A","Dates=H","DateFormat=P","Fill=—","Direction=H","UseDPDF=Y")</f>
        <v>135</v>
      </c>
      <c r="D8" s="13">
        <f>_xll.BDH("GILD US Equity","PFD_EQTY_MINORTY_INTEREST","FQ3 2019","FQ3 2019","Currency=USD","Period=FQ","BEST_FPERIOD_OVERRIDE=FQ","FILING_STATUS=MR","SCALING_FORMAT=MLN","Sort=A","Dates=H","DateFormat=P","Fill=—","Direction=H","UseDPDF=Y")</f>
        <v>132</v>
      </c>
      <c r="E8" s="13">
        <f>_xll.BDH("GILD US Equity","PFD_EQTY_MINORTY_INTEREST","FQ4 2019","FQ4 2019","Currency=USD","Period=FQ","BEST_FPERIOD_OVERRIDE=FQ","FILING_STATUS=MR","SCALING_FORMAT=MLN","Sort=A","Dates=H","DateFormat=P","Fill=—","Direction=H","UseDPDF=Y")</f>
        <v>125</v>
      </c>
      <c r="F8" s="13">
        <f>_xll.BDH("GILD US Equity","PFD_EQTY_MINORTY_INTEREST","FQ1 2020","FQ1 2020","Currency=USD","Period=FQ","BEST_FPERIOD_OVERRIDE=FQ","FILING_STATUS=MR","SCALING_FORMAT=MLN","Sort=A","Dates=H","DateFormat=P","Fill=—","Direction=H","UseDPDF=Y")</f>
        <v>112</v>
      </c>
      <c r="G8" s="13">
        <f>_xll.BDH("GILD US Equity","PFD_EQTY_MINORTY_INTEREST","FQ2 2020","FQ2 2020","Currency=USD","Period=FQ","BEST_FPERIOD_OVERRIDE=FQ","FILING_STATUS=MR","SCALING_FORMAT=MLN","Sort=A","Dates=H","DateFormat=P","Fill=—","Direction=H","UseDPDF=Y")</f>
        <v>115</v>
      </c>
      <c r="H8" s="13">
        <f>_xll.BDH("GILD US Equity","PFD_EQTY_MINORTY_INTEREST","FQ3 2020","FQ3 2020","Currency=USD","Period=FQ","BEST_FPERIOD_OVERRIDE=FQ","FILING_STATUS=MR","SCALING_FORMAT=MLN","Sort=A","Dates=H","DateFormat=P","Fill=—","Direction=H","UseDPDF=Y")</f>
        <v>26</v>
      </c>
      <c r="I8" s="13">
        <f>_xll.BDH("GILD US Equity","PFD_EQTY_MINORTY_INTEREST","FQ4 2020","FQ4 2020","Currency=USD","Period=FQ","BEST_FPERIOD_OVERRIDE=FQ","FILING_STATUS=MR","SCALING_FORMAT=MLN","Sort=A","Dates=H","DateFormat=P","Fill=—","Direction=H","UseDPDF=Y")</f>
        <v>19</v>
      </c>
      <c r="J8" s="13">
        <f>_xll.BDH("GILD US Equity","PFD_EQTY_MINORTY_INTEREST","FQ1 2021","FQ1 2021","Currency=USD","Period=FQ","BEST_FPERIOD_OVERRIDE=FQ","FILING_STATUS=MR","SCALING_FORMAT=MLN","Sort=A","Dates=H","DateFormat=P","Fill=—","Direction=H","UseDPDF=Y")</f>
        <v>12</v>
      </c>
      <c r="K8" s="13">
        <f>_xll.BDH("GILD US Equity","PFD_EQTY_MINORTY_INTEREST","FQ2 2021","FQ2 2021","Currency=USD","Period=FQ","BEST_FPERIOD_OVERRIDE=FQ","FILING_STATUS=MR","SCALING_FORMAT=MLN","Sort=A","Dates=H","DateFormat=P","Fill=—","Direction=H","UseDPDF=Y")</f>
        <v>7</v>
      </c>
      <c r="L8" s="13">
        <f>_xll.BDH("GILD US Equity","PFD_EQTY_MINORTY_INTEREST","FQ3 2021","FQ3 2021","Currency=USD","Period=FQ","BEST_FPERIOD_OVERRIDE=FQ","FILING_STATUS=MR","SCALING_FORMAT=MLN","Sort=A","Dates=H","DateFormat=P","Fill=—","Direction=H","UseDPDF=Y")</f>
        <v>1</v>
      </c>
      <c r="M8" s="13">
        <f>_xll.BDH("GILD US Equity","PFD_EQTY_MINORTY_INTEREST","FQ4 2021","FQ4 2021","Currency=USD","Period=FQ","BEST_FPERIOD_OVERRIDE=FQ","FILING_STATUS=MR","SCALING_FORMAT=MLN","Sort=A","Dates=H","DateFormat=P","Fill=—","Direction=H","UseDPDF=Y")</f>
        <v>-5</v>
      </c>
      <c r="N8" s="13">
        <f>_xll.BDH("GILD US Equity","PFD_EQTY_MINORTY_INTEREST","FQ1 2022","FQ1 2022","Currency=USD","Period=FQ","BEST_FPERIOD_OVERRIDE=FQ","FILING_STATUS=MR","SCALING_FORMAT=MLN","Sort=A","Dates=H","DateFormat=P","Fill=—","Direction=H","UseDPDF=Y")</f>
        <v>-12</v>
      </c>
      <c r="O8" s="13">
        <f>_xll.BDH("GILD US Equity","PFD_EQTY_MINORTY_INTEREST","FQ2 2022","FQ2 2022","Currency=USD","Period=FQ","BEST_FPERIOD_OVERRIDE=FQ","FILING_STATUS=MR","SCALING_FORMAT=MLN","Sort=A","Dates=H","DateFormat=P","Fill=—","Direction=H","UseDPDF=Y")</f>
        <v>-21</v>
      </c>
      <c r="P8" s="13">
        <f>_xll.BDH("GILD US Equity","PFD_EQTY_MINORTY_INTEREST","FQ3 2022","FQ3 2022","Currency=USD","Period=FQ","BEST_FPERIOD_OVERRIDE=FQ","FILING_STATUS=MR","SCALING_FORMAT=MLN","Sort=A","Dates=H","DateFormat=P","Fill=—","Direction=H","UseDPDF=Y")</f>
        <v>-24</v>
      </c>
      <c r="Q8" s="13">
        <f>_xll.BDH("GILD US Equity","PFD_EQTY_MINORTY_INTEREST","FQ4 2022","FQ4 2022","Currency=USD","Period=FQ","BEST_FPERIOD_OVERRIDE=FQ","FILING_STATUS=MR","SCALING_FORMAT=MLN","Sort=A","Dates=H","DateFormat=P","Fill=—","Direction=H","UseDPDF=Y")</f>
        <v>-31</v>
      </c>
      <c r="R8" s="13">
        <f>_xll.BDH("GILD US Equity","PFD_EQTY_MINORTY_INTEREST","FQ1 2023","FQ1 2023","Currency=USD","Period=FQ","BEST_FPERIOD_OVERRIDE=FQ","FILING_STATUS=MR","SCALING_FORMAT=MLN","Sort=A","Dates=H","DateFormat=P","Fill=—","Direction=H","UseDPDF=Y")</f>
        <v>-58</v>
      </c>
      <c r="S8" s="13">
        <f>_xll.BDH("GILD US Equity","PFD_EQTY_MINORTY_INTEREST","FQ2 2023","FQ2 2023","Currency=USD","Period=FQ","BEST_FPERIOD_OVERRIDE=FQ","FILING_STATUS=MR","SCALING_FORMAT=MLN","Sort=A","Dates=H","DateFormat=P","Fill=—","Direction=H","UseDPDF=Y")</f>
        <v>-64</v>
      </c>
      <c r="T8" s="13">
        <f>_xll.BDH("GILD US Equity","PFD_EQTY_MINORTY_INTEREST","FQ3 2023","FQ3 2023","Currency=USD","Period=FQ","BEST_FPERIOD_OVERRIDE=FQ","FILING_STATUS=MR","SCALING_FORMAT=MLN","Sort=A","Dates=H","DateFormat=P","Fill=—","Direction=H","UseDPDF=Y")</f>
        <v>-72</v>
      </c>
      <c r="U8" s="13">
        <f>_xll.BDH("GILD US Equity","PFD_EQTY_MINORTY_INTEREST","FQ4 2023","FQ4 2023","Currency=USD","Period=FQ","BEST_FPERIOD_OVERRIDE=FQ","FILING_STATUS=MR","SCALING_FORMAT=MLN","Sort=A","Dates=H","DateFormat=P","Fill=—","Direction=H","UseDPDF=Y")</f>
        <v>-84</v>
      </c>
      <c r="V8" s="13">
        <f>_xll.BDH("GILD US Equity","PFD_EQTY_MINORTY_INTEREST","FQ1 2024","FQ1 2024","Currency=USD","Period=FQ","BEST_FPERIOD_OVERRIDE=FQ","FILING_STATUS=MR","SCALING_FORMAT=MLN","Sort=A","Dates=H","DateFormat=P","Fill=—","Direction=H","UseDPDF=Y")</f>
        <v>-84</v>
      </c>
      <c r="W8" s="13">
        <f>_xll.BDH("GILD US Equity","PFD_EQTY_MINORTY_INTEREST","FQ2 2024","FQ2 2024","Currency=USD","Period=FQ","BEST_FPERIOD_OVERRIDE=FQ","FILING_STATUS=MR","SCALING_FORMAT=MLN","Sort=A","Dates=H","DateFormat=P","Fill=—","Direction=H","UseDPDF=Y")</f>
        <v>-84</v>
      </c>
      <c r="X8" s="13">
        <f>_xll.BDH("GILD US Equity","PFD_EQTY_MINORTY_INTEREST","FQ3 2024","FQ3 2024","Currency=USD","Period=FQ","BEST_FPERIOD_OVERRIDE=FQ","FILING_STATUS=MR","SCALING_FORMAT=MLN","Sort=A","Dates=H","DateFormat=P","Fill=—","Direction=H","UseDPDF=Y")</f>
        <v>-84</v>
      </c>
      <c r="Y8" s="13">
        <f>_xll.BDH("GILD US Equity","PFD_EQTY_MINORTY_INTEREST","FQ4 2024","FQ4 2024","Currency=USD","Period=FQ","BEST_FPERIOD_OVERRIDE=FQ","FILING_STATUS=MR","SCALING_FORMAT=MLN","Sort=A","Dates=H","DateFormat=P","Fill=—","Direction=H","UseDPDF=Y")</f>
        <v>-84</v>
      </c>
      <c r="Z8" s="13"/>
      <c r="AA8" s="13"/>
    </row>
    <row r="9" spans="1:27" x14ac:dyDescent="0.25">
      <c r="A9" s="10" t="s">
        <v>66</v>
      </c>
      <c r="B9" s="10" t="s">
        <v>67</v>
      </c>
      <c r="C9" s="13">
        <f>_xll.BDH("GILD US Equity","SHORT_AND_LONG_TERM_DEBT","FQ2 2019","FQ2 2019","Currency=USD","Period=FQ","BEST_FPERIOD_OVERRIDE=FQ","FILING_STATUS=MR","SCALING_FORMAT=MLN","Sort=A","Dates=H","DateFormat=P","Fill=—","Direction=H","UseDPDF=Y")</f>
        <v>26637</v>
      </c>
      <c r="D9" s="13">
        <f>_xll.BDH("GILD US Equity","SHORT_AND_LONG_TERM_DEBT","FQ3 2019","FQ3 2019","Currency=USD","Period=FQ","BEST_FPERIOD_OVERRIDE=FQ","FILING_STATUS=MR","SCALING_FORMAT=MLN","Sort=A","Dates=H","DateFormat=P","Fill=—","Direction=H","UseDPDF=Y")</f>
        <v>25300</v>
      </c>
      <c r="E9" s="13">
        <f>_xll.BDH("GILD US Equity","SHORT_AND_LONG_TERM_DEBT","FQ4 2019","FQ4 2019","Currency=USD","Period=FQ","BEST_FPERIOD_OVERRIDE=FQ","FILING_STATUS=MR","SCALING_FORMAT=MLN","Sort=A","Dates=H","DateFormat=P","Fill=—","Direction=H","UseDPDF=Y")</f>
        <v>25318</v>
      </c>
      <c r="F9" s="13">
        <f>_xll.BDH("GILD US Equity","SHORT_AND_LONG_TERM_DEBT","FQ1 2020","FQ1 2020","Currency=USD","Period=FQ","BEST_FPERIOD_OVERRIDE=FQ","FILING_STATUS=MR","SCALING_FORMAT=MLN","Sort=A","Dates=H","DateFormat=P","Fill=—","Direction=H","UseDPDF=Y")</f>
        <v>24097</v>
      </c>
      <c r="G9" s="13">
        <f>_xll.BDH("GILD US Equity","SHORT_AND_LONG_TERM_DEBT","FQ2 2020","FQ2 2020","Currency=USD","Period=FQ","BEST_FPERIOD_OVERRIDE=FQ","FILING_STATUS=MR","SCALING_FORMAT=MLN","Sort=A","Dates=H","DateFormat=P","Fill=—","Direction=H","UseDPDF=Y")</f>
        <v>24102</v>
      </c>
      <c r="H9" s="13">
        <f>_xll.BDH("GILD US Equity","SHORT_AND_LONG_TERM_DEBT","FQ3 2020","FQ3 2020","Currency=USD","Period=FQ","BEST_FPERIOD_OVERRIDE=FQ","FILING_STATUS=MR","SCALING_FORMAT=MLN","Sort=A","Dates=H","DateFormat=P","Fill=—","Direction=H","UseDPDF=Y")</f>
        <v>29290</v>
      </c>
      <c r="I9" s="13">
        <f>_xll.BDH("GILD US Equity","SHORT_AND_LONG_TERM_DEBT","FQ4 2020","FQ4 2020","Currency=USD","Period=FQ","BEST_FPERIOD_OVERRIDE=FQ","FILING_STATUS=MR","SCALING_FORMAT=MLN","Sort=A","Dates=H","DateFormat=P","Fill=—","Direction=H","UseDPDF=Y")</f>
        <v>32117</v>
      </c>
      <c r="J9" s="13">
        <f>_xll.BDH("GILD US Equity","SHORT_AND_LONG_TERM_DEBT","FQ1 2021","FQ1 2021","Currency=USD","Period=FQ","BEST_FPERIOD_OVERRIDE=FQ","FILING_STATUS=MR","SCALING_FORMAT=MLN","Sort=A","Dates=H","DateFormat=P","Fill=—","Direction=H","UseDPDF=Y")</f>
        <v>30166</v>
      </c>
      <c r="K9" s="13">
        <f>_xll.BDH("GILD US Equity","SHORT_AND_LONG_TERM_DEBT","FQ2 2021","FQ2 2021","Currency=USD","Period=FQ","BEST_FPERIOD_OVERRIDE=FQ","FILING_STATUS=MR","SCALING_FORMAT=MLN","Sort=A","Dates=H","DateFormat=P","Fill=—","Direction=H","UseDPDF=Y")</f>
        <v>30175</v>
      </c>
      <c r="L9" s="13">
        <f>_xll.BDH("GILD US Equity","SHORT_AND_LONG_TERM_DEBT","FQ3 2021","FQ3 2021","Currency=USD","Period=FQ","BEST_FPERIOD_OVERRIDE=FQ","FILING_STATUS=MR","SCALING_FORMAT=MLN","Sort=A","Dates=H","DateFormat=P","Fill=—","Direction=H","UseDPDF=Y")</f>
        <v>27686</v>
      </c>
      <c r="M9" s="13">
        <f>_xll.BDH("GILD US Equity","SHORT_AND_LONG_TERM_DEBT","FQ4 2021","FQ4 2021","Currency=USD","Period=FQ","BEST_FPERIOD_OVERRIDE=FQ","FILING_STATUS=MR","SCALING_FORMAT=MLN","Sort=A","Dates=H","DateFormat=P","Fill=—","Direction=H","UseDPDF=Y")</f>
        <v>27285</v>
      </c>
      <c r="N9" s="13">
        <f>_xll.BDH("GILD US Equity","SHORT_AND_LONG_TERM_DEBT","FQ1 2022","FQ1 2022","Currency=USD","Period=FQ","BEST_FPERIOD_OVERRIDE=FQ","FILING_STATUS=MR","SCALING_FORMAT=MLN","Sort=A","Dates=H","DateFormat=P","Fill=—","Direction=H","UseDPDF=Y")</f>
        <v>26208</v>
      </c>
      <c r="O9" s="13">
        <f>_xll.BDH("GILD US Equity","SHORT_AND_LONG_TERM_DEBT","FQ2 2022","FQ2 2022","Currency=USD","Period=FQ","BEST_FPERIOD_OVERRIDE=FQ","FILING_STATUS=MR","SCALING_FORMAT=MLN","Sort=A","Dates=H","DateFormat=P","Fill=—","Direction=H","UseDPDF=Y")</f>
        <v>26216</v>
      </c>
      <c r="P9" s="13">
        <f>_xll.BDH("GILD US Equity","SHORT_AND_LONG_TERM_DEBT","FQ3 2022","FQ3 2022","Currency=USD","Period=FQ","BEST_FPERIOD_OVERRIDE=FQ","FILING_STATUS=MR","SCALING_FORMAT=MLN","Sort=A","Dates=H","DateFormat=P","Fill=—","Direction=H","UseDPDF=Y")</f>
        <v>25223</v>
      </c>
      <c r="Q9" s="13">
        <f>_xll.BDH("GILD US Equity","SHORT_AND_LONG_TERM_DEBT","FQ4 2022","FQ4 2022","Currency=USD","Period=FQ","BEST_FPERIOD_OVERRIDE=FQ","FILING_STATUS=MR","SCALING_FORMAT=MLN","Sort=A","Dates=H","DateFormat=P","Fill=—","Direction=H","UseDPDF=Y")</f>
        <v>25808</v>
      </c>
      <c r="R9" s="13">
        <f>_xll.BDH("GILD US Equity","SHORT_AND_LONG_TERM_DEBT","FQ1 2023","FQ1 2023","Currency=USD","Period=FQ","BEST_FPERIOD_OVERRIDE=FQ","FILING_STATUS=MR","SCALING_FORMAT=MLN","Sort=A","Dates=H","DateFormat=P","Fill=—","Direction=H","UseDPDF=Y")</f>
        <v>25239</v>
      </c>
      <c r="S9" s="13">
        <f>_xll.BDH("GILD US Equity","SHORT_AND_LONG_TERM_DEBT","FQ2 2023","FQ2 2023","Currency=USD","Period=FQ","BEST_FPERIOD_OVERRIDE=FQ","FILING_STATUS=MR","SCALING_FORMAT=MLN","Sort=A","Dates=H","DateFormat=P","Fill=—","Direction=H","UseDPDF=Y")</f>
        <v>25246</v>
      </c>
      <c r="T9" s="13">
        <f>_xll.BDH("GILD US Equity","SHORT_AND_LONG_TERM_DEBT","FQ3 2023","FQ3 2023","Currency=USD","Period=FQ","BEST_FPERIOD_OVERRIDE=FQ","FILING_STATUS=MR","SCALING_FORMAT=MLN","Sort=A","Dates=H","DateFormat=P","Fill=—","Direction=H","UseDPDF=Y")</f>
        <v>24982</v>
      </c>
      <c r="U9" s="13">
        <f>_xll.BDH("GILD US Equity","SHORT_AND_LONG_TERM_DEBT","FQ4 2023","FQ4 2023","Currency=USD","Period=FQ","BEST_FPERIOD_OVERRIDE=FQ","FILING_STATUS=MR","SCALING_FORMAT=MLN","Sort=A","Dates=H","DateFormat=P","Fill=—","Direction=H","UseDPDF=Y")</f>
        <v>25658</v>
      </c>
      <c r="V9" s="13">
        <f>_xll.BDH("GILD US Equity","SHORT_AND_LONG_TERM_DEBT","FQ1 2024","FQ1 2024","Currency=USD","Period=FQ","BEST_FPERIOD_OVERRIDE=FQ","FILING_STATUS=MR","SCALING_FORMAT=MLN","Sort=A","Dates=H","DateFormat=P","Fill=—","Direction=H","UseDPDF=Y")</f>
        <v>25194</v>
      </c>
      <c r="W9" s="13">
        <f>_xll.BDH("GILD US Equity","SHORT_AND_LONG_TERM_DEBT","FQ2 2024","FQ2 2024","Currency=USD","Period=FQ","BEST_FPERIOD_OVERRIDE=FQ","FILING_STATUS=MR","SCALING_FORMAT=MLN","Sort=A","Dates=H","DateFormat=P","Fill=—","Direction=H","UseDPDF=Y")</f>
        <v>23350</v>
      </c>
      <c r="X9" s="13">
        <f>_xll.BDH("GILD US Equity","SHORT_AND_LONG_TERM_DEBT","FQ3 2024","FQ3 2024","Currency=USD","Period=FQ","BEST_FPERIOD_OVERRIDE=FQ","FILING_STATUS=MR","SCALING_FORMAT=MLN","Sort=A","Dates=H","DateFormat=P","Fill=—","Direction=H","UseDPDF=Y")</f>
        <v>23249</v>
      </c>
      <c r="Y9" s="13">
        <f>_xll.BDH("GILD US Equity","SHORT_AND_LONG_TERM_DEBT","FQ4 2024","FQ4 2024","Currency=USD","Period=FQ","BEST_FPERIOD_OVERRIDE=FQ","FILING_STATUS=MR","SCALING_FORMAT=MLN","Sort=A","Dates=H","DateFormat=P","Fill=—","Direction=H","UseDPDF=Y")</f>
        <v>27322</v>
      </c>
      <c r="Z9" s="13"/>
      <c r="AA9" s="13"/>
    </row>
    <row r="10" spans="1:27" x14ac:dyDescent="0.25">
      <c r="A10" s="6" t="s">
        <v>68</v>
      </c>
      <c r="B10" s="6" t="s">
        <v>69</v>
      </c>
      <c r="C10" s="19">
        <f>_xll.BDH("GILD US Equity","ENTERPRISE_VALUE","FQ2 2019","FQ2 2019","Currency=USD","Period=FQ","BEST_FPERIOD_OVERRIDE=FQ","FILING_STATUS=MR","SCALING_FORMAT=MLN","Sort=A","Dates=H","DateFormat=P","Fill=—","Direction=H","UseDPDF=Y")</f>
        <v>82136.52</v>
      </c>
      <c r="D10" s="19">
        <f>_xll.BDH("GILD US Equity","ENTERPRISE_VALUE","FQ3 2019","FQ3 2019","Currency=USD","Period=FQ","BEST_FPERIOD_OVERRIDE=FQ","FILING_STATUS=MR","SCALING_FORMAT=MLN","Sort=A","Dates=H","DateFormat=P","Fill=—","Direction=H","UseDPDF=Y")</f>
        <v>80620.08</v>
      </c>
      <c r="E10" s="19">
        <f>_xll.BDH("GILD US Equity","ENTERPRISE_VALUE","FQ4 2019","FQ4 2019","Currency=USD","Period=FQ","BEST_FPERIOD_OVERRIDE=FQ","FILING_STATUS=MR","SCALING_FORMAT=MLN","Sort=A","Dates=H","DateFormat=P","Fill=—","Direction=H","UseDPDF=Y")</f>
        <v>81867.679999999993</v>
      </c>
      <c r="F10" s="19">
        <f>_xll.BDH("GILD US Equity","ENTERPRISE_VALUE","FQ1 2020","FQ1 2020","Currency=USD","Period=FQ","BEST_FPERIOD_OVERRIDE=FQ","FILING_STATUS=MR","SCALING_FORMAT=MLN","Sort=A","Dates=H","DateFormat=P","Fill=—","Direction=H","UseDPDF=Y")</f>
        <v>93644.04</v>
      </c>
      <c r="G10" s="19">
        <f>_xll.BDH("GILD US Equity","ENTERPRISE_VALUE","FQ2 2020","FQ2 2020","Currency=USD","Period=FQ","BEST_FPERIOD_OVERRIDE=FQ","FILING_STATUS=MR","SCALING_FORMAT=MLN","Sort=A","Dates=H","DateFormat=P","Fill=—","Direction=H","UseDPDF=Y")</f>
        <v>99509.759999999995</v>
      </c>
      <c r="H10" s="19">
        <f>_xll.BDH("GILD US Equity","ENTERPRISE_VALUE","FQ3 2020","FQ3 2020","Currency=USD","Period=FQ","BEST_FPERIOD_OVERRIDE=FQ","FILING_STATUS=MR","SCALING_FORMAT=MLN","Sort=A","Dates=H","DateFormat=P","Fill=—","Direction=H","UseDPDF=Y")</f>
        <v>82444.070000000007</v>
      </c>
      <c r="I10" s="19">
        <f>_xll.BDH("GILD US Equity","ENTERPRISE_VALUE","FQ4 2020","FQ4 2020","Currency=USD","Period=FQ","BEST_FPERIOD_OVERRIDE=FQ","FILING_STATUS=MR","SCALING_FORMAT=MLN","Sort=A","Dates=H","DateFormat=P","Fill=—","Direction=H","UseDPDF=Y")</f>
        <v>97284.04</v>
      </c>
      <c r="J10" s="19">
        <f>_xll.BDH("GILD US Equity","ENTERPRISE_VALUE","FQ1 2021","FQ1 2021","Currency=USD","Period=FQ","BEST_FPERIOD_OVERRIDE=FQ","FILING_STATUS=MR","SCALING_FORMAT=MLN","Sort=A","Dates=H","DateFormat=P","Fill=—","Direction=H","UseDPDF=Y")</f>
        <v>104979.02</v>
      </c>
      <c r="K10" s="19">
        <f>_xll.BDH("GILD US Equity","ENTERPRISE_VALUE","FQ2 2021","FQ2 2021","Currency=USD","Period=FQ","BEST_FPERIOD_OVERRIDE=FQ","FILING_STATUS=MR","SCALING_FORMAT=MLN","Sort=A","Dates=H","DateFormat=P","Fill=—","Direction=H","UseDPDF=Y")</f>
        <v>109171.44</v>
      </c>
      <c r="L10" s="19">
        <f>_xll.BDH("GILD US Equity","ENTERPRISE_VALUE","FQ3 2021","FQ3 2021","Currency=USD","Period=FQ","BEST_FPERIOD_OVERRIDE=FQ","FILING_STATUS=MR","SCALING_FORMAT=MLN","Sort=A","Dates=H","DateFormat=P","Fill=—","Direction=H","UseDPDF=Y")</f>
        <v>108511.75</v>
      </c>
      <c r="M10" s="19">
        <f>_xll.BDH("GILD US Equity","ENTERPRISE_VALUE","FQ4 2021","FQ4 2021","Currency=USD","Period=FQ","BEST_FPERIOD_OVERRIDE=FQ","FILING_STATUS=MR","SCALING_FORMAT=MLN","Sort=A","Dates=H","DateFormat=P","Fill=—","Direction=H","UseDPDF=Y")</f>
        <v>110503.94</v>
      </c>
      <c r="N10" s="19">
        <f>_xll.BDH("GILD US Equity","ENTERPRISE_VALUE","FQ1 2022","FQ1 2022","Currency=USD","Period=FQ","BEST_FPERIOD_OVERRIDE=FQ","FILING_STATUS=MR","SCALING_FORMAT=MLN","Sort=A","Dates=H","DateFormat=P","Fill=—","Direction=H","UseDPDF=Y")</f>
        <v>94053.75</v>
      </c>
      <c r="O10" s="19">
        <f>_xll.BDH("GILD US Equity","ENTERPRISE_VALUE","FQ2 2022","FQ2 2022","Currency=USD","Period=FQ","BEST_FPERIOD_OVERRIDE=FQ","FILING_STATUS=MR","SCALING_FORMAT=MLN","Sort=A","Dates=H","DateFormat=P","Fill=—","Direction=H","UseDPDF=Y")</f>
        <v>96704.74</v>
      </c>
      <c r="P10" s="19">
        <f>_xll.BDH("GILD US Equity","ENTERPRISE_VALUE","FQ3 2022","FQ3 2022","Currency=USD","Period=FQ","BEST_FPERIOD_OVERRIDE=FQ","FILING_STATUS=MR","SCALING_FORMAT=MLN","Sort=A","Dates=H","DateFormat=P","Fill=—","Direction=H","UseDPDF=Y")</f>
        <v>95616.26</v>
      </c>
      <c r="Q10" s="19">
        <f>_xll.BDH("GILD US Equity","ENTERPRISE_VALUE","FQ4 2022","FQ4 2022","Currency=USD","Period=FQ","BEST_FPERIOD_OVERRIDE=FQ","FILING_STATUS=MR","SCALING_FORMAT=MLN","Sort=A","Dates=H","DateFormat=P","Fill=—","Direction=H","UseDPDF=Y")</f>
        <v>125201.95</v>
      </c>
      <c r="R10" s="19">
        <f>_xll.BDH("GILD US Equity","ENTERPRISE_VALUE","FQ1 2023","FQ1 2023","Currency=USD","Period=FQ","BEST_FPERIOD_OVERRIDE=FQ","FILING_STATUS=MR","SCALING_FORMAT=MLN","Sort=A","Dates=H","DateFormat=P","Fill=—","Direction=H","UseDPDF=Y")</f>
        <v>121528.56</v>
      </c>
      <c r="S10" s="19">
        <f>_xll.BDH("GILD US Equity","ENTERPRISE_VALUE","FQ2 2023","FQ2 2023","Currency=USD","Period=FQ","BEST_FPERIOD_OVERRIDE=FQ","FILING_STATUS=MR","SCALING_FORMAT=MLN","Sort=A","Dates=H","DateFormat=P","Fill=—","Direction=H","UseDPDF=Y")</f>
        <v>113287.29</v>
      </c>
      <c r="T10" s="19">
        <f>_xll.BDH("GILD US Equity","ENTERPRISE_VALUE","FQ3 2023","FQ3 2023","Currency=USD","Period=FQ","BEST_FPERIOD_OVERRIDE=FQ","FILING_STATUS=MR","SCALING_FORMAT=MLN","Sort=A","Dates=H","DateFormat=P","Fill=—","Direction=H","UseDPDF=Y")</f>
        <v>110340.18</v>
      </c>
      <c r="U10" s="19">
        <f>_xll.BDH("GILD US Equity","ENTERPRISE_VALUE","FQ4 2023","FQ4 2023","Currency=USD","Period=FQ","BEST_FPERIOD_OVERRIDE=FQ","FILING_STATUS=MR","SCALING_FORMAT=MLN","Sort=A","Dates=H","DateFormat=P","Fill=—","Direction=H","UseDPDF=Y")</f>
        <v>118085.46</v>
      </c>
      <c r="V10" s="19">
        <f>_xll.BDH("GILD US Equity","ENTERPRISE_VALUE","FQ1 2024","FQ1 2024","Currency=USD","Period=FQ","BEST_FPERIOD_OVERRIDE=FQ","FILING_STATUS=MR","SCALING_FORMAT=MLN","Sort=A","Dates=H","DateFormat=P","Fill=—","Direction=H","UseDPDF=Y")</f>
        <v>111661.5</v>
      </c>
      <c r="W10" s="19">
        <f>_xll.BDH("GILD US Equity","ENTERPRISE_VALUE","FQ2 2024","FQ2 2024","Currency=USD","Period=FQ","BEST_FPERIOD_OVERRIDE=FQ","FILING_STATUS=MR","SCALING_FORMAT=MLN","Sort=A","Dates=H","DateFormat=P","Fill=—","Direction=H","UseDPDF=Y")</f>
        <v>105982.06</v>
      </c>
      <c r="X10" s="19">
        <f>_xll.BDH("GILD US Equity","ENTERPRISE_VALUE","FQ3 2024","FQ3 2024","Currency=USD","Period=FQ","BEST_FPERIOD_OVERRIDE=FQ","FILING_STATUS=MR","SCALING_FORMAT=MLN","Sort=A","Dates=H","DateFormat=P","Fill=—","Direction=H","UseDPDF=Y")</f>
        <v>122592.64</v>
      </c>
      <c r="Y10" s="19">
        <f>_xll.BDH("GILD US Equity","ENTERPRISE_VALUE","FQ4 2024","FQ4 2024","Currency=USD","Period=FQ","BEST_FPERIOD_OVERRIDE=FQ","FILING_STATUS=MR","SCALING_FORMAT=MLN","Sort=A","Dates=H","DateFormat=P","Fill=—","Direction=H","UseDPDF=Y")</f>
        <v>132340.01999999999</v>
      </c>
      <c r="Z10" s="19"/>
      <c r="AA10" s="19"/>
    </row>
    <row r="11" spans="1:27" x14ac:dyDescent="0.25">
      <c r="A11" s="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x14ac:dyDescent="0.25">
      <c r="A12" s="6" t="s">
        <v>70</v>
      </c>
      <c r="B12" s="6" t="s">
        <v>71</v>
      </c>
      <c r="C12" s="19">
        <f>_xll.BDH("GILD US Equity","SALES_REV_TURN","FQ2 2019","FQ2 2019","Currency=USD","Period=FQ","BEST_FPERIOD_OVERRIDE=FQ","FILING_STATUS=MR","SCALING_FORMAT=MLN","FA_ADJUSTED=Adjusted","Sort=A","Dates=H","DateFormat=P","Fill=—","Direction=H","UseDPDF=Y")</f>
        <v>5685</v>
      </c>
      <c r="D12" s="19">
        <f>_xll.BDH("GILD US Equity","SALES_REV_TURN","FQ3 2019","FQ3 2019","Currency=USD","Period=FQ","BEST_FPERIOD_OVERRIDE=FQ","FILING_STATUS=MR","SCALING_FORMAT=MLN","FA_ADJUSTED=Adjusted","Sort=A","Dates=H","DateFormat=P","Fill=—","Direction=H","UseDPDF=Y")</f>
        <v>5604</v>
      </c>
      <c r="E12" s="19">
        <f>_xll.BDH("GILD US Equity","SALES_REV_TURN","FQ4 2019","FQ4 2019","Currency=USD","Period=FQ","BEST_FPERIOD_OVERRIDE=FQ","FILING_STATUS=MR","SCALING_FORMAT=MLN","FA_ADJUSTED=Adjusted","Sort=A","Dates=H","DateFormat=P","Fill=—","Direction=H","UseDPDF=Y")</f>
        <v>5879</v>
      </c>
      <c r="F12" s="19">
        <f>_xll.BDH("GILD US Equity","SALES_REV_TURN","FQ1 2020","FQ1 2020","Currency=USD","Period=FQ","BEST_FPERIOD_OVERRIDE=FQ","FILING_STATUS=MR","SCALING_FORMAT=MLN","FA_ADJUSTED=Adjusted","Sort=A","Dates=H","DateFormat=P","Fill=—","Direction=H","UseDPDF=Y")</f>
        <v>5548</v>
      </c>
      <c r="G12" s="19">
        <f>_xll.BDH("GILD US Equity","SALES_REV_TURN","FQ2 2020","FQ2 2020","Currency=USD","Period=FQ","BEST_FPERIOD_OVERRIDE=FQ","FILING_STATUS=MR","SCALING_FORMAT=MLN","FA_ADJUSTED=Adjusted","Sort=A","Dates=H","DateFormat=P","Fill=—","Direction=H","UseDPDF=Y")</f>
        <v>5143</v>
      </c>
      <c r="H12" s="19">
        <f>_xll.BDH("GILD US Equity","SALES_REV_TURN","FQ3 2020","FQ3 2020","Currency=USD","Period=FQ","BEST_FPERIOD_OVERRIDE=FQ","FILING_STATUS=MR","SCALING_FORMAT=MLN","FA_ADJUSTED=Adjusted","Sort=A","Dates=H","DateFormat=P","Fill=—","Direction=H","UseDPDF=Y")</f>
        <v>6577</v>
      </c>
      <c r="I12" s="19">
        <f>_xll.BDH("GILD US Equity","SALES_REV_TURN","FQ4 2020","FQ4 2020","Currency=USD","Period=FQ","BEST_FPERIOD_OVERRIDE=FQ","FILING_STATUS=MR","SCALING_FORMAT=MLN","FA_ADJUSTED=Adjusted","Sort=A","Dates=H","DateFormat=P","Fill=—","Direction=H","UseDPDF=Y")</f>
        <v>7421</v>
      </c>
      <c r="J12" s="19">
        <f>_xll.BDH("GILD US Equity","SALES_REV_TURN","FQ1 2021","FQ1 2021","Currency=USD","Period=FQ","BEST_FPERIOD_OVERRIDE=FQ","FILING_STATUS=MR","SCALING_FORMAT=MLN","FA_ADJUSTED=Adjusted","Sort=A","Dates=H","DateFormat=P","Fill=—","Direction=H","UseDPDF=Y")</f>
        <v>6423</v>
      </c>
      <c r="K12" s="19">
        <f>_xll.BDH("GILD US Equity","SALES_REV_TURN","FQ2 2021","FQ2 2021","Currency=USD","Period=FQ","BEST_FPERIOD_OVERRIDE=FQ","FILING_STATUS=MR","SCALING_FORMAT=MLN","FA_ADJUSTED=Adjusted","Sort=A","Dates=H","DateFormat=P","Fill=—","Direction=H","UseDPDF=Y")</f>
        <v>6217</v>
      </c>
      <c r="L12" s="19">
        <f>_xll.BDH("GILD US Equity","SALES_REV_TURN","FQ3 2021","FQ3 2021","Currency=USD","Period=FQ","BEST_FPERIOD_OVERRIDE=FQ","FILING_STATUS=MR","SCALING_FORMAT=MLN","FA_ADJUSTED=Adjusted","Sort=A","Dates=H","DateFormat=P","Fill=—","Direction=H","UseDPDF=Y")</f>
        <v>7421</v>
      </c>
      <c r="M12" s="19">
        <f>_xll.BDH("GILD US Equity","SALES_REV_TURN","FQ4 2021","FQ4 2021","Currency=USD","Period=FQ","BEST_FPERIOD_OVERRIDE=FQ","FILING_STATUS=MR","SCALING_FORMAT=MLN","FA_ADJUSTED=Adjusted","Sort=A","Dates=H","DateFormat=P","Fill=—","Direction=H","UseDPDF=Y")</f>
        <v>7244</v>
      </c>
      <c r="N12" s="19">
        <f>_xll.BDH("GILD US Equity","SALES_REV_TURN","FQ1 2022","FQ1 2022","Currency=USD","Period=FQ","BEST_FPERIOD_OVERRIDE=FQ","FILING_STATUS=MR","SCALING_FORMAT=MLN","FA_ADJUSTED=Adjusted","Sort=A","Dates=H","DateFormat=P","Fill=—","Direction=H","UseDPDF=Y")</f>
        <v>6590</v>
      </c>
      <c r="O12" s="19">
        <f>_xll.BDH("GILD US Equity","SALES_REV_TURN","FQ2 2022","FQ2 2022","Currency=USD","Period=FQ","BEST_FPERIOD_OVERRIDE=FQ","FILING_STATUS=MR","SCALING_FORMAT=MLN","FA_ADJUSTED=Adjusted","Sort=A","Dates=H","DateFormat=P","Fill=—","Direction=H","UseDPDF=Y")</f>
        <v>6260</v>
      </c>
      <c r="P12" s="19">
        <f>_xll.BDH("GILD US Equity","SALES_REV_TURN","FQ3 2022","FQ3 2022","Currency=USD","Period=FQ","BEST_FPERIOD_OVERRIDE=FQ","FILING_STATUS=MR","SCALING_FORMAT=MLN","FA_ADJUSTED=Adjusted","Sort=A","Dates=H","DateFormat=P","Fill=—","Direction=H","UseDPDF=Y")</f>
        <v>7042</v>
      </c>
      <c r="Q12" s="19">
        <f>_xll.BDH("GILD US Equity","SALES_REV_TURN","FQ4 2022","FQ4 2022","Currency=USD","Period=FQ","BEST_FPERIOD_OVERRIDE=FQ","FILING_STATUS=MR","SCALING_FORMAT=MLN","FA_ADJUSTED=Adjusted","Sort=A","Dates=H","DateFormat=P","Fill=—","Direction=H","UseDPDF=Y")</f>
        <v>7389</v>
      </c>
      <c r="R12" s="19">
        <f>_xll.BDH("GILD US Equity","SALES_REV_TURN","FQ1 2023","FQ1 2023","Currency=USD","Period=FQ","BEST_FPERIOD_OVERRIDE=FQ","FILING_STATUS=MR","SCALING_FORMAT=MLN","FA_ADJUSTED=Adjusted","Sort=A","Dates=H","DateFormat=P","Fill=—","Direction=H","UseDPDF=Y")</f>
        <v>6352</v>
      </c>
      <c r="S12" s="19">
        <f>_xll.BDH("GILD US Equity","SALES_REV_TURN","FQ2 2023","FQ2 2023","Currency=USD","Period=FQ","BEST_FPERIOD_OVERRIDE=FQ","FILING_STATUS=MR","SCALING_FORMAT=MLN","FA_ADJUSTED=Adjusted","Sort=A","Dates=H","DateFormat=P","Fill=—","Direction=H","UseDPDF=Y")</f>
        <v>6599</v>
      </c>
      <c r="T12" s="19">
        <f>_xll.BDH("GILD US Equity","SALES_REV_TURN","FQ3 2023","FQ3 2023","Currency=USD","Period=FQ","BEST_FPERIOD_OVERRIDE=FQ","FILING_STATUS=MR","SCALING_FORMAT=MLN","FA_ADJUSTED=Adjusted","Sort=A","Dates=H","DateFormat=P","Fill=—","Direction=H","UseDPDF=Y")</f>
        <v>7051</v>
      </c>
      <c r="U12" s="19">
        <f>_xll.BDH("GILD US Equity","SALES_REV_TURN","FQ4 2023","FQ4 2023","Currency=USD","Period=FQ","BEST_FPERIOD_OVERRIDE=FQ","FILING_STATUS=MR","SCALING_FORMAT=MLN","FA_ADJUSTED=Adjusted","Sort=A","Dates=H","DateFormat=P","Fill=—","Direction=H","UseDPDF=Y")</f>
        <v>7115</v>
      </c>
      <c r="V12" s="19">
        <f>_xll.BDH("GILD US Equity","SALES_REV_TURN","FQ1 2024","FQ1 2024","Currency=USD","Period=FQ","BEST_FPERIOD_OVERRIDE=FQ","FILING_STATUS=MR","SCALING_FORMAT=MLN","FA_ADJUSTED=Adjusted","Sort=A","Dates=H","DateFormat=P","Fill=—","Direction=H","UseDPDF=Y")</f>
        <v>6686</v>
      </c>
      <c r="W12" s="19">
        <f>_xll.BDH("GILD US Equity","SALES_REV_TURN","FQ2 2024","FQ2 2024","Currency=USD","Period=FQ","BEST_FPERIOD_OVERRIDE=FQ","FILING_STATUS=MR","SCALING_FORMAT=MLN","FA_ADJUSTED=Adjusted","Sort=A","Dates=H","DateFormat=P","Fill=—","Direction=H","UseDPDF=Y")</f>
        <v>6953</v>
      </c>
      <c r="X12" s="19">
        <f>_xll.BDH("GILD US Equity","SALES_REV_TURN","FQ3 2024","FQ3 2024","Currency=USD","Period=FQ","BEST_FPERIOD_OVERRIDE=FQ","FILING_STATUS=MR","SCALING_FORMAT=MLN","FA_ADJUSTED=Adjusted","Sort=A","Dates=H","DateFormat=P","Fill=—","Direction=H","UseDPDF=Y")</f>
        <v>7545</v>
      </c>
      <c r="Y12" s="19">
        <f>_xll.BDH("GILD US Equity","SALES_REV_TURN","FQ4 2024","FQ4 2024","Currency=USD","Period=FQ","BEST_FPERIOD_OVERRIDE=FQ","FILING_STATUS=MR","SCALING_FORMAT=MLN","FA_ADJUSTED=Adjusted","Sort=A","Dates=H","DateFormat=P","Fill=—","Direction=H","UseDPDF=Y")</f>
        <v>7569</v>
      </c>
      <c r="Z12" s="19">
        <v>6764.3159999999998</v>
      </c>
      <c r="AA12" s="19">
        <v>6947.6840000000002</v>
      </c>
    </row>
    <row r="13" spans="1:27" x14ac:dyDescent="0.25">
      <c r="A13" s="11" t="s">
        <v>72</v>
      </c>
      <c r="B13" s="11" t="s">
        <v>73</v>
      </c>
      <c r="C13" s="25">
        <f>_xll.BDH("GILD US Equity","SALES_GROWTH","FQ2 2019","FQ2 2019","Currency=USD","Period=FQ","BEST_FPERIOD_OVERRIDE=FQ","FILING_STATUS=MR","FA_ADJUSTED=Adjusted","Sort=A","Dates=H","DateFormat=P","Fill=—","Direction=H","UseDPDF=Y")</f>
        <v>0.65510000000000002</v>
      </c>
      <c r="D13" s="25">
        <f>_xll.BDH("GILD US Equity","SALES_GROWTH","FQ3 2019","FQ3 2019","Currency=USD","Period=FQ","BEST_FPERIOD_OVERRIDE=FQ","FILING_STATUS=MR","FA_ADJUSTED=Adjusted","Sort=A","Dates=H","DateFormat=P","Fill=—","Direction=H","UseDPDF=Y")</f>
        <v>0.14299999999999999</v>
      </c>
      <c r="E13" s="25">
        <f>_xll.BDH("GILD US Equity","SALES_GROWTH","FQ4 2019","FQ4 2019","Currency=USD","Period=FQ","BEST_FPERIOD_OVERRIDE=FQ","FILING_STATUS=MR","FA_ADJUSTED=Adjusted","Sort=A","Dates=H","DateFormat=P","Fill=—","Direction=H","UseDPDF=Y")</f>
        <v>1.4495</v>
      </c>
      <c r="F13" s="25">
        <f>_xll.BDH("GILD US Equity","SALES_GROWTH","FQ1 2020","FQ1 2020","Currency=USD","Period=FQ","BEST_FPERIOD_OVERRIDE=FQ","FILING_STATUS=MR","FA_ADJUSTED=Adjusted","Sort=A","Dates=H","DateFormat=P","Fill=—","Direction=H","UseDPDF=Y")</f>
        <v>5.0559000000000003</v>
      </c>
      <c r="G13" s="25">
        <f>_xll.BDH("GILD US Equity","SALES_GROWTH","FQ2 2020","FQ2 2020","Currency=USD","Period=FQ","BEST_FPERIOD_OVERRIDE=FQ","FILING_STATUS=MR","FA_ADJUSTED=Adjusted","Sort=A","Dates=H","DateFormat=P","Fill=—","Direction=H","UseDPDF=Y")</f>
        <v>-9.5338999999999992</v>
      </c>
      <c r="H13" s="25">
        <f>_xll.BDH("GILD US Equity","SALES_GROWTH","FQ3 2020","FQ3 2020","Currency=USD","Period=FQ","BEST_FPERIOD_OVERRIDE=FQ","FILING_STATUS=MR","FA_ADJUSTED=Adjusted","Sort=A","Dates=H","DateFormat=P","Fill=—","Direction=H","UseDPDF=Y")</f>
        <v>17.3626</v>
      </c>
      <c r="I13" s="25">
        <f>_xll.BDH("GILD US Equity","SALES_GROWTH","FQ4 2020","FQ4 2020","Currency=USD","Period=FQ","BEST_FPERIOD_OVERRIDE=FQ","FILING_STATUS=MR","FA_ADJUSTED=Adjusted","Sort=A","Dates=H","DateFormat=P","Fill=—","Direction=H","UseDPDF=Y")</f>
        <v>26.228999999999999</v>
      </c>
      <c r="J13" s="25">
        <f>_xll.BDH("GILD US Equity","SALES_GROWTH","FQ1 2021","FQ1 2021","Currency=USD","Period=FQ","BEST_FPERIOD_OVERRIDE=FQ","FILING_STATUS=MR","FA_ADJUSTED=Adjusted","Sort=A","Dates=H","DateFormat=P","Fill=—","Direction=H","UseDPDF=Y")</f>
        <v>15.7714</v>
      </c>
      <c r="K13" s="25">
        <f>_xll.BDH("GILD US Equity","SALES_GROWTH","FQ2 2021","FQ2 2021","Currency=USD","Period=FQ","BEST_FPERIOD_OVERRIDE=FQ","FILING_STATUS=MR","FA_ADJUSTED=Adjusted","Sort=A","Dates=H","DateFormat=P","Fill=—","Direction=H","UseDPDF=Y")</f>
        <v>20.8828</v>
      </c>
      <c r="L13" s="25">
        <f>_xll.BDH("GILD US Equity","SALES_GROWTH","FQ3 2021","FQ3 2021","Currency=USD","Period=FQ","BEST_FPERIOD_OVERRIDE=FQ","FILING_STATUS=MR","FA_ADJUSTED=Adjusted","Sort=A","Dates=H","DateFormat=P","Fill=—","Direction=H","UseDPDF=Y")</f>
        <v>12.832599999999999</v>
      </c>
      <c r="M13" s="25">
        <f>_xll.BDH("GILD US Equity","SALES_GROWTH","FQ4 2021","FQ4 2021","Currency=USD","Period=FQ","BEST_FPERIOD_OVERRIDE=FQ","FILING_STATUS=MR","FA_ADJUSTED=Adjusted","Sort=A","Dates=H","DateFormat=P","Fill=—","Direction=H","UseDPDF=Y")</f>
        <v>-2.3851</v>
      </c>
      <c r="N13" s="25">
        <f>_xll.BDH("GILD US Equity","SALES_GROWTH","FQ1 2022","FQ1 2022","Currency=USD","Period=FQ","BEST_FPERIOD_OVERRIDE=FQ","FILING_STATUS=MR","FA_ADJUSTED=Adjusted","Sort=A","Dates=H","DateFormat=P","Fill=—","Direction=H","UseDPDF=Y")</f>
        <v>2.6</v>
      </c>
      <c r="O13" s="25">
        <f>_xll.BDH("GILD US Equity","SALES_GROWTH","FQ2 2022","FQ2 2022","Currency=USD","Period=FQ","BEST_FPERIOD_OVERRIDE=FQ","FILING_STATUS=MR","FA_ADJUSTED=Adjusted","Sort=A","Dates=H","DateFormat=P","Fill=—","Direction=H","UseDPDF=Y")</f>
        <v>0.69169999999999998</v>
      </c>
      <c r="P13" s="25">
        <f>_xll.BDH("GILD US Equity","SALES_GROWTH","FQ3 2022","FQ3 2022","Currency=USD","Period=FQ","BEST_FPERIOD_OVERRIDE=FQ","FILING_STATUS=MR","FA_ADJUSTED=Adjusted","Sort=A","Dates=H","DateFormat=P","Fill=—","Direction=H","UseDPDF=Y")</f>
        <v>-5.1071</v>
      </c>
      <c r="Q13" s="25">
        <f>_xll.BDH("GILD US Equity","SALES_GROWTH","FQ4 2022","FQ4 2022","Currency=USD","Period=FQ","BEST_FPERIOD_OVERRIDE=FQ","FILING_STATUS=MR","FA_ADJUSTED=Adjusted","Sort=A","Dates=H","DateFormat=P","Fill=—","Direction=H","UseDPDF=Y")</f>
        <v>2.0017</v>
      </c>
      <c r="R13" s="25">
        <f>_xll.BDH("GILD US Equity","SALES_GROWTH","FQ1 2023","FQ1 2023","Currency=USD","Period=FQ","BEST_FPERIOD_OVERRIDE=FQ","FILING_STATUS=MR","FA_ADJUSTED=Adjusted","Sort=A","Dates=H","DateFormat=P","Fill=—","Direction=H","UseDPDF=Y")</f>
        <v>-3.6114999999999999</v>
      </c>
      <c r="S13" s="25">
        <f>_xll.BDH("GILD US Equity","SALES_GROWTH","FQ2 2023","FQ2 2023","Currency=USD","Period=FQ","BEST_FPERIOD_OVERRIDE=FQ","FILING_STATUS=MR","FA_ADJUSTED=Adjusted","Sort=A","Dates=H","DateFormat=P","Fill=—","Direction=H","UseDPDF=Y")</f>
        <v>5.4153000000000002</v>
      </c>
      <c r="T13" s="25">
        <f>_xll.BDH("GILD US Equity","SALES_GROWTH","FQ3 2023","FQ3 2023","Currency=USD","Period=FQ","BEST_FPERIOD_OVERRIDE=FQ","FILING_STATUS=MR","FA_ADJUSTED=Adjusted","Sort=A","Dates=H","DateFormat=P","Fill=—","Direction=H","UseDPDF=Y")</f>
        <v>0.1278</v>
      </c>
      <c r="U13" s="25">
        <f>_xll.BDH("GILD US Equity","SALES_GROWTH","FQ4 2023","FQ4 2023","Currency=USD","Period=FQ","BEST_FPERIOD_OVERRIDE=FQ","FILING_STATUS=MR","FA_ADJUSTED=Adjusted","Sort=A","Dates=H","DateFormat=P","Fill=—","Direction=H","UseDPDF=Y")</f>
        <v>-3.7082000000000002</v>
      </c>
      <c r="V13" s="25">
        <f>_xll.BDH("GILD US Equity","SALES_GROWTH","FQ1 2024","FQ1 2024","Currency=USD","Period=FQ","BEST_FPERIOD_OVERRIDE=FQ","FILING_STATUS=MR","FA_ADJUSTED=Adjusted","Sort=A","Dates=H","DateFormat=P","Fill=—","Direction=H","UseDPDF=Y")</f>
        <v>5.2582000000000004</v>
      </c>
      <c r="W13" s="25">
        <f>_xll.BDH("GILD US Equity","SALES_GROWTH","FQ2 2024","FQ2 2024","Currency=USD","Period=FQ","BEST_FPERIOD_OVERRIDE=FQ","FILING_STATUS=MR","FA_ADJUSTED=Adjusted","Sort=A","Dates=H","DateFormat=P","Fill=—","Direction=H","UseDPDF=Y")</f>
        <v>5.3643999999999998</v>
      </c>
      <c r="X13" s="25">
        <f>_xll.BDH("GILD US Equity","SALES_GROWTH","FQ3 2024","FQ3 2024","Currency=USD","Period=FQ","BEST_FPERIOD_OVERRIDE=FQ","FILING_STATUS=MR","FA_ADJUSTED=Adjusted","Sort=A","Dates=H","DateFormat=P","Fill=—","Direction=H","UseDPDF=Y")</f>
        <v>7.0061</v>
      </c>
      <c r="Y13" s="25">
        <f>_xll.BDH("GILD US Equity","SALES_GROWTH","FQ4 2024","FQ4 2024","Currency=USD","Period=FQ","BEST_FPERIOD_OVERRIDE=FQ","FILING_STATUS=MR","FA_ADJUSTED=Adjusted","Sort=A","Dates=H","DateFormat=P","Fill=—","Direction=H","UseDPDF=Y")</f>
        <v>6.3808999999999996</v>
      </c>
      <c r="Z13" s="25">
        <v>1.1713431049955101</v>
      </c>
      <c r="AA13" s="25">
        <v>-7.6456205954261502E-2</v>
      </c>
    </row>
    <row r="14" spans="1:27" x14ac:dyDescent="0.25">
      <c r="A14" s="6" t="s">
        <v>74</v>
      </c>
      <c r="B14" s="6" t="s">
        <v>75</v>
      </c>
      <c r="C14" s="19">
        <f>_xll.BDH("GILD US Equity","GROSS_PROFIT","FQ2 2019","FQ2 2019","Currency=USD","Period=FQ","BEST_FPERIOD_OVERRIDE=FQ","FILING_STATUS=MR","SCALING_FORMAT=MLN","FA_ADJUSTED=Adjusted","Sort=A","Dates=H","DateFormat=P","Fill=—","Direction=H","UseDPDF=Y")</f>
        <v>4685</v>
      </c>
      <c r="D14" s="19">
        <f>_xll.BDH("GILD US Equity","GROSS_PROFIT","FQ3 2019","FQ3 2019","Currency=USD","Period=FQ","BEST_FPERIOD_OVERRIDE=FQ","FILING_STATUS=MR","SCALING_FORMAT=MLN","FA_ADJUSTED=Adjusted","Sort=A","Dates=H","DateFormat=P","Fill=—","Direction=H","UseDPDF=Y")</f>
        <v>4569</v>
      </c>
      <c r="E14" s="19">
        <f>_xll.BDH("GILD US Equity","GROSS_PROFIT","FQ4 2019","FQ4 2019","Currency=USD","Period=FQ","BEST_FPERIOD_OVERRIDE=FQ","FILING_STATUS=MR","SCALING_FORMAT=MLN","FA_ADJUSTED=Adjusted","Sort=A","Dates=H","DateFormat=P","Fill=—","Direction=H","UseDPDF=Y")</f>
        <v>4196</v>
      </c>
      <c r="F14" s="19">
        <f>_xll.BDH("GILD US Equity","GROSS_PROFIT","FQ1 2020","FQ1 2020","Currency=USD","Period=FQ","BEST_FPERIOD_OVERRIDE=FQ","FILING_STATUS=MR","SCALING_FORMAT=MLN","FA_ADJUSTED=Adjusted","Sort=A","Dates=H","DateFormat=P","Fill=—","Direction=H","UseDPDF=Y")</f>
        <v>4579</v>
      </c>
      <c r="G14" s="19">
        <f>_xll.BDH("GILD US Equity","GROSS_PROFIT","FQ2 2020","FQ2 2020","Currency=USD","Period=FQ","BEST_FPERIOD_OVERRIDE=FQ","FILING_STATUS=MR","SCALING_FORMAT=MLN","FA_ADJUSTED=Adjusted","Sort=A","Dates=H","DateFormat=P","Fill=—","Direction=H","UseDPDF=Y")</f>
        <v>4079</v>
      </c>
      <c r="H14" s="19">
        <f>_xll.BDH("GILD US Equity","GROSS_PROFIT","FQ3 2020","FQ3 2020","Currency=USD","Period=FQ","BEST_FPERIOD_OVERRIDE=FQ","FILING_STATUS=MR","SCALING_FORMAT=MLN","FA_ADJUSTED=Adjusted","Sort=A","Dates=H","DateFormat=P","Fill=—","Direction=H","UseDPDF=Y")</f>
        <v>5436</v>
      </c>
      <c r="I14" s="19">
        <f>_xll.BDH("GILD US Equity","GROSS_PROFIT","FQ4 2020","FQ4 2020","Currency=USD","Period=FQ","BEST_FPERIOD_OVERRIDE=FQ","FILING_STATUS=MR","SCALING_FORMAT=MLN","FA_ADJUSTED=Adjusted","Sort=A","Dates=H","DateFormat=P","Fill=—","Direction=H","UseDPDF=Y")</f>
        <v>6023</v>
      </c>
      <c r="J14" s="19">
        <f>_xll.BDH("GILD US Equity","GROSS_PROFIT","FQ1 2021","FQ1 2021","Currency=USD","Period=FQ","BEST_FPERIOD_OVERRIDE=FQ","FILING_STATUS=MR","SCALING_FORMAT=MLN","FA_ADJUSTED=Adjusted","Sort=A","Dates=H","DateFormat=P","Fill=—","Direction=H","UseDPDF=Y")</f>
        <v>5062</v>
      </c>
      <c r="K14" s="19">
        <f>_xll.BDH("GILD US Equity","GROSS_PROFIT","FQ2 2021","FQ2 2021","Currency=USD","Period=FQ","BEST_FPERIOD_OVERRIDE=FQ","FILING_STATUS=MR","SCALING_FORMAT=MLN","FA_ADJUSTED=Adjusted","Sort=A","Dates=H","DateFormat=P","Fill=—","Direction=H","UseDPDF=Y")</f>
        <v>4827</v>
      </c>
      <c r="L14" s="19">
        <f>_xll.BDH("GILD US Equity","GROSS_PROFIT","FQ3 2021","FQ3 2021","Currency=USD","Period=FQ","BEST_FPERIOD_OVERRIDE=FQ","FILING_STATUS=MR","SCALING_FORMAT=MLN","FA_ADJUSTED=Adjusted","Sort=A","Dates=H","DateFormat=P","Fill=—","Direction=H","UseDPDF=Y")</f>
        <v>6198</v>
      </c>
      <c r="M14" s="19">
        <f>_xll.BDH("GILD US Equity","GROSS_PROFIT","FQ4 2021","FQ4 2021","Currency=USD","Period=FQ","BEST_FPERIOD_OVERRIDE=FQ","FILING_STATUS=MR","SCALING_FORMAT=MLN","FA_ADJUSTED=Adjusted","Sort=A","Dates=H","DateFormat=P","Fill=—","Direction=H","UseDPDF=Y")</f>
        <v>4617</v>
      </c>
      <c r="N14" s="19">
        <f>_xll.BDH("GILD US Equity","GROSS_PROFIT","FQ1 2022","FQ1 2022","Currency=USD","Period=FQ","BEST_FPERIOD_OVERRIDE=FQ","FILING_STATUS=MR","SCALING_FORMAT=MLN","FA_ADJUSTED=Adjusted","Sort=A","Dates=H","DateFormat=P","Fill=—","Direction=H","UseDPDF=Y")</f>
        <v>5166</v>
      </c>
      <c r="O14" s="19">
        <f>_xll.BDH("GILD US Equity","GROSS_PROFIT","FQ2 2022","FQ2 2022","Currency=USD","Period=FQ","BEST_FPERIOD_OVERRIDE=FQ","FILING_STATUS=MR","SCALING_FORMAT=MLN","FA_ADJUSTED=Adjusted","Sort=A","Dates=H","DateFormat=P","Fill=—","Direction=H","UseDPDF=Y")</f>
        <v>4818</v>
      </c>
      <c r="P14" s="19">
        <f>_xll.BDH("GILD US Equity","GROSS_PROFIT","FQ3 2022","FQ3 2022","Currency=USD","Period=FQ","BEST_FPERIOD_OVERRIDE=FQ","FILING_STATUS=MR","SCALING_FORMAT=MLN","FA_ADJUSTED=Adjusted","Sort=A","Dates=H","DateFormat=P","Fill=—","Direction=H","UseDPDF=Y")</f>
        <v>5647</v>
      </c>
      <c r="Q14" s="19">
        <f>_xll.BDH("GILD US Equity","GROSS_PROFIT","FQ4 2022","FQ4 2022","Currency=USD","Period=FQ","BEST_FPERIOD_OVERRIDE=FQ","FILING_STATUS=MR","SCALING_FORMAT=MLN","FA_ADJUSTED=Adjusted","Sort=A","Dates=H","DateFormat=P","Fill=—","Direction=H","UseDPDF=Y")</f>
        <v>5993</v>
      </c>
      <c r="R14" s="19">
        <f>_xll.BDH("GILD US Equity","GROSS_PROFIT","FQ1 2023","FQ1 2023","Currency=USD","Period=FQ","BEST_FPERIOD_OVERRIDE=FQ","FILING_STATUS=MR","SCALING_FORMAT=MLN","FA_ADJUSTED=Adjusted","Sort=A","Dates=H","DateFormat=P","Fill=—","Direction=H","UseDPDF=Y")</f>
        <v>4951</v>
      </c>
      <c r="S14" s="19">
        <f>_xll.BDH("GILD US Equity","GROSS_PROFIT","FQ2 2023","FQ2 2023","Currency=USD","Period=FQ","BEST_FPERIOD_OVERRIDE=FQ","FILING_STATUS=MR","SCALING_FORMAT=MLN","FA_ADJUSTED=Adjusted","Sort=A","Dates=H","DateFormat=P","Fill=—","Direction=H","UseDPDF=Y")</f>
        <v>5157</v>
      </c>
      <c r="T14" s="19">
        <f>_xll.BDH("GILD US Equity","GROSS_PROFIT","FQ3 2023","FQ3 2023","Currency=USD","Period=FQ","BEST_FPERIOD_OVERRIDE=FQ","FILING_STATUS=MR","SCALING_FORMAT=MLN","FA_ADJUSTED=Adjusted","Sort=A","Dates=H","DateFormat=P","Fill=—","Direction=H","UseDPDF=Y")</f>
        <v>5486</v>
      </c>
      <c r="U14" s="19">
        <f>_xll.BDH("GILD US Equity","GROSS_PROFIT","FQ4 2023","FQ4 2023","Currency=USD","Period=FQ","BEST_FPERIOD_OVERRIDE=FQ","FILING_STATUS=MR","SCALING_FORMAT=MLN","FA_ADJUSTED=Adjusted","Sort=A","Dates=H","DateFormat=P","Fill=—","Direction=H","UseDPDF=Y")</f>
        <v>5453</v>
      </c>
      <c r="V14" s="19">
        <f>_xll.BDH("GILD US Equity","GROSS_PROFIT","FQ1 2024","FQ1 2024","Currency=USD","Period=FQ","BEST_FPERIOD_OVERRIDE=FQ","FILING_STATUS=MR","SCALING_FORMAT=MLN","FA_ADJUSTED=Adjusted","Sort=A","Dates=H","DateFormat=P","Fill=—","Direction=H","UseDPDF=Y")</f>
        <v>5134</v>
      </c>
      <c r="W14" s="19">
        <f>_xll.BDH("GILD US Equity","GROSS_PROFIT","FQ2 2024","FQ2 2024","Currency=USD","Period=FQ","BEST_FPERIOD_OVERRIDE=FQ","FILING_STATUS=MR","SCALING_FORMAT=MLN","FA_ADJUSTED=Adjusted","Sort=A","Dates=H","DateFormat=P","Fill=—","Direction=H","UseDPDF=Y")</f>
        <v>5409</v>
      </c>
      <c r="X14" s="19">
        <f>_xll.BDH("GILD US Equity","GROSS_PROFIT","FQ3 2024","FQ3 2024","Currency=USD","Period=FQ","BEST_FPERIOD_OVERRIDE=FQ","FILING_STATUS=MR","SCALING_FORMAT=MLN","FA_ADJUSTED=Adjusted","Sort=A","Dates=H","DateFormat=P","Fill=—","Direction=H","UseDPDF=Y")</f>
        <v>5971</v>
      </c>
      <c r="Y14" s="19">
        <f>_xll.BDH("GILD US Equity","GROSS_PROFIT","FQ4 2024","FQ4 2024","Currency=USD","Period=FQ","BEST_FPERIOD_OVERRIDE=FQ","FILING_STATUS=MR","SCALING_FORMAT=MLN","FA_ADJUSTED=Adjusted","Sort=A","Dates=H","DateFormat=P","Fill=—","Direction=H","UseDPDF=Y")</f>
        <v>5988</v>
      </c>
      <c r="Z14" s="19">
        <v>5793.5013676799999</v>
      </c>
      <c r="AA14" s="19">
        <v>5952.9840817200002</v>
      </c>
    </row>
    <row r="15" spans="1:27" x14ac:dyDescent="0.25">
      <c r="A15" s="11" t="s">
        <v>76</v>
      </c>
      <c r="B15" s="11" t="s">
        <v>75</v>
      </c>
      <c r="C15" s="25">
        <v>82.409850483729102</v>
      </c>
      <c r="D15" s="25">
        <v>81.531049250535304</v>
      </c>
      <c r="E15" s="25">
        <v>71.372682428984504</v>
      </c>
      <c r="F15" s="25">
        <v>82.534246575342493</v>
      </c>
      <c r="G15" s="25">
        <v>79.311685786505905</v>
      </c>
      <c r="H15" s="25">
        <v>82.651664892808299</v>
      </c>
      <c r="I15" s="25">
        <v>81.161568521762604</v>
      </c>
      <c r="J15" s="25">
        <v>78.810524676942194</v>
      </c>
      <c r="K15" s="25">
        <v>77.641949493324802</v>
      </c>
      <c r="L15" s="25">
        <v>83.519741274760804</v>
      </c>
      <c r="M15" s="25">
        <v>63.735505245720603</v>
      </c>
      <c r="N15" s="25">
        <v>78.391502276175999</v>
      </c>
      <c r="O15" s="25">
        <v>76.964856230031998</v>
      </c>
      <c r="P15" s="25">
        <v>80.190286850326601</v>
      </c>
      <c r="Q15" s="25">
        <v>81.107051021789104</v>
      </c>
      <c r="R15" s="25">
        <v>77.943954659949597</v>
      </c>
      <c r="S15" s="25">
        <v>78.148204273374802</v>
      </c>
      <c r="T15" s="25">
        <v>77.804566728123703</v>
      </c>
      <c r="U15" s="25">
        <v>76.640899508081503</v>
      </c>
      <c r="V15" s="25">
        <v>76.787316781334098</v>
      </c>
      <c r="W15" s="25">
        <v>77.793758090033094</v>
      </c>
      <c r="X15" s="25">
        <v>79.138502319416801</v>
      </c>
      <c r="Y15" s="25">
        <v>79.112168053904099</v>
      </c>
      <c r="Z15" s="25">
        <v>85.647999999999996</v>
      </c>
      <c r="AA15" s="25">
        <v>85.683000000000007</v>
      </c>
    </row>
    <row r="16" spans="1:27" x14ac:dyDescent="0.25">
      <c r="A16" s="6" t="s">
        <v>77</v>
      </c>
      <c r="B16" s="6" t="s">
        <v>78</v>
      </c>
      <c r="C16" s="19">
        <f>_xll.BDH("GILD US Equity","EBITDA","FQ2 2019","FQ2 2019","Currency=USD","Period=FQ","BEST_FPERIOD_OVERRIDE=FQ","FILING_STATUS=MR","SCALING_FORMAT=MLN","FA_ADJUSTED=Adjusted","Sort=A","Dates=H","DateFormat=P","Fill=—","Direction=H","UseDPDF=Y")</f>
        <v>2980</v>
      </c>
      <c r="D16" s="19">
        <f>_xll.BDH("GILD US Equity","EBITDA","FQ3 2019","FQ3 2019","Currency=USD","Period=FQ","BEST_FPERIOD_OVERRIDE=FQ","FILING_STATUS=MR","SCALING_FORMAT=MLN","FA_ADJUSTED=Adjusted","Sort=A","Dates=H","DateFormat=P","Fill=—","Direction=H","UseDPDF=Y")</f>
        <v>2887</v>
      </c>
      <c r="E16" s="19">
        <f>_xll.BDH("GILD US Equity","EBITDA","FQ4 2019","FQ4 2019","Currency=USD","Period=FQ","BEST_FPERIOD_OVERRIDE=FQ","FILING_STATUS=MR","SCALING_FORMAT=MLN","FA_ADJUSTED=Adjusted","Sort=A","Dates=H","DateFormat=P","Fill=—","Direction=H","UseDPDF=Y")</f>
        <v>2283</v>
      </c>
      <c r="F16" s="19">
        <f>_xll.BDH("GILD US Equity","EBITDA","FQ1 2020","FQ1 2020","Currency=USD","Period=FQ","BEST_FPERIOD_OVERRIDE=FQ","FILING_STATUS=MR","SCALING_FORMAT=MLN","FA_ADJUSTED=Adjusted","Sort=A","Dates=H","DateFormat=P","Fill=—","Direction=H","UseDPDF=Y")</f>
        <v>3114</v>
      </c>
      <c r="G16" s="19">
        <f>_xll.BDH("GILD US Equity","EBITDA","FQ2 2020","FQ2 2020","Currency=USD","Period=FQ","BEST_FPERIOD_OVERRIDE=FQ","FILING_STATUS=MR","SCALING_FORMAT=MLN","FA_ADJUSTED=Adjusted","Sort=A","Dates=H","DateFormat=P","Fill=—","Direction=H","UseDPDF=Y")</f>
        <v>2078</v>
      </c>
      <c r="H16" s="19">
        <f>_xll.BDH("GILD US Equity","EBITDA","FQ3 2020","FQ3 2020","Currency=USD","Period=FQ","BEST_FPERIOD_OVERRIDE=FQ","FILING_STATUS=MR","SCALING_FORMAT=MLN","FA_ADJUSTED=Adjusted","Sort=A","Dates=H","DateFormat=P","Fill=—","Direction=H","UseDPDF=Y")</f>
        <v>3541</v>
      </c>
      <c r="I16" s="19">
        <f>_xll.BDH("GILD US Equity","EBITDA","FQ4 2020","FQ4 2020","Currency=USD","Period=FQ","BEST_FPERIOD_OVERRIDE=FQ","FILING_STATUS=MR","SCALING_FORMAT=MLN","FA_ADJUSTED=Adjusted","Sort=A","Dates=H","DateFormat=P","Fill=—","Direction=H","UseDPDF=Y")</f>
        <v>3502</v>
      </c>
      <c r="J16" s="19">
        <f>_xll.BDH("GILD US Equity","EBITDA","FQ1 2021","FQ1 2021","Currency=USD","Period=FQ","BEST_FPERIOD_OVERRIDE=FQ","FILING_STATUS=MR","SCALING_FORMAT=MLN","FA_ADJUSTED=Adjusted","Sort=A","Dates=H","DateFormat=P","Fill=—","Direction=H","UseDPDF=Y")</f>
        <v>3959</v>
      </c>
      <c r="K16" s="19">
        <f>_xll.BDH("GILD US Equity","EBITDA","FQ2 2021","FQ2 2021","Currency=USD","Period=FQ","BEST_FPERIOD_OVERRIDE=FQ","FILING_STATUS=MR","SCALING_FORMAT=MLN","FA_ADJUSTED=Adjusted","Sort=A","Dates=H","DateFormat=P","Fill=—","Direction=H","UseDPDF=Y")</f>
        <v>3141</v>
      </c>
      <c r="L16" s="19">
        <f>_xll.BDH("GILD US Equity","EBITDA","FQ3 2021","FQ3 2021","Currency=USD","Period=FQ","BEST_FPERIOD_OVERRIDE=FQ","FILING_STATUS=MR","SCALING_FORMAT=MLN","FA_ADJUSTED=Adjusted","Sort=A","Dates=H","DateFormat=P","Fill=—","Direction=H","UseDPDF=Y")</f>
        <v>4367</v>
      </c>
      <c r="M16" s="19">
        <f>_xll.BDH("GILD US Equity","EBITDA","FQ4 2021","FQ4 2021","Currency=USD","Period=FQ","BEST_FPERIOD_OVERRIDE=FQ","FILING_STATUS=MR","SCALING_FORMAT=MLN","FA_ADJUSTED=Adjusted","Sort=A","Dates=H","DateFormat=P","Fill=—","Direction=H","UseDPDF=Y")</f>
        <v>2156.7975000000001</v>
      </c>
      <c r="N16" s="19">
        <f>_xll.BDH("GILD US Equity","EBITDA","FQ1 2022","FQ1 2022","Currency=USD","Period=FQ","BEST_FPERIOD_OVERRIDE=FQ","FILING_STATUS=MR","SCALING_FORMAT=MLN","FA_ADJUSTED=Adjusted","Sort=A","Dates=H","DateFormat=P","Fill=—","Direction=H","UseDPDF=Y")</f>
        <v>3492</v>
      </c>
      <c r="O16" s="19">
        <f>_xll.BDH("GILD US Equity","EBITDA","FQ2 2022","FQ2 2022","Currency=USD","Period=FQ","BEST_FPERIOD_OVERRIDE=FQ","FILING_STATUS=MR","SCALING_FORMAT=MLN","FA_ADJUSTED=Adjusted","Sort=A","Dates=H","DateFormat=P","Fill=—","Direction=H","UseDPDF=Y")</f>
        <v>3277</v>
      </c>
      <c r="P16" s="19">
        <f>_xll.BDH("GILD US Equity","EBITDA","FQ3 2022","FQ3 2022","Currency=USD","Period=FQ","BEST_FPERIOD_OVERRIDE=FQ","FILING_STATUS=MR","SCALING_FORMAT=MLN","FA_ADJUSTED=Adjusted","Sort=A","Dates=H","DateFormat=P","Fill=—","Direction=H","UseDPDF=Y")</f>
        <v>4236</v>
      </c>
      <c r="Q16" s="19">
        <f>_xll.BDH("GILD US Equity","EBITDA","FQ4 2022","FQ4 2022","Currency=USD","Period=FQ","BEST_FPERIOD_OVERRIDE=FQ","FILING_STATUS=MR","SCALING_FORMAT=MLN","FA_ADJUSTED=Adjusted","Sort=A","Dates=H","DateFormat=P","Fill=—","Direction=H","UseDPDF=Y")</f>
        <v>2957</v>
      </c>
      <c r="R16" s="19">
        <f>_xll.BDH("GILD US Equity","EBITDA","FQ1 2023","FQ1 2023","Currency=USD","Period=FQ","BEST_FPERIOD_OVERRIDE=FQ","FILING_STATUS=MR","SCALING_FORMAT=MLN","FA_ADJUSTED=Adjusted","Sort=A","Dates=H","DateFormat=P","Fill=—","Direction=H","UseDPDF=Y")</f>
        <v>2835</v>
      </c>
      <c r="S16" s="19">
        <f>_xll.BDH("GILD US Equity","EBITDA","FQ2 2023","FQ2 2023","Currency=USD","Period=FQ","BEST_FPERIOD_OVERRIDE=FQ","FILING_STATUS=MR","SCALING_FORMAT=MLN","FA_ADJUSTED=Adjusted","Sort=A","Dates=H","DateFormat=P","Fill=—","Direction=H","UseDPDF=Y")</f>
        <v>2544</v>
      </c>
      <c r="T16" s="19">
        <f>_xll.BDH("GILD US Equity","EBITDA","FQ3 2023","FQ3 2023","Currency=USD","Period=FQ","BEST_FPERIOD_OVERRIDE=FQ","FILING_STATUS=MR","SCALING_FORMAT=MLN","FA_ADJUSTED=Adjusted","Sort=A","Dates=H","DateFormat=P","Fill=—","Direction=H","UseDPDF=Y")</f>
        <v>3587</v>
      </c>
      <c r="U16" s="19">
        <f>_xll.BDH("GILD US Equity","EBITDA","FQ4 2023","FQ4 2023","Currency=USD","Period=FQ","BEST_FPERIOD_OVERRIDE=FQ","FILING_STATUS=MR","SCALING_FORMAT=MLN","FA_ADJUSTED=Adjusted","Sort=A","Dates=H","DateFormat=P","Fill=—","Direction=H","UseDPDF=Y")</f>
        <v>3194</v>
      </c>
      <c r="V16" s="19">
        <f>_xll.BDH("GILD US Equity","EBITDA","FQ1 2024","FQ1 2024","Currency=USD","Period=FQ","BEST_FPERIOD_OVERRIDE=FQ","FILING_STATUS=MR","SCALING_FORMAT=MLN","FA_ADJUSTED=Adjusted","Sort=A","Dates=H","DateFormat=P","Fill=—","Direction=H","UseDPDF=Y")</f>
        <v>3125</v>
      </c>
      <c r="W16" s="19">
        <f>_xll.BDH("GILD US Equity","EBITDA","FQ2 2024","FQ2 2024","Currency=USD","Period=FQ","BEST_FPERIOD_OVERRIDE=FQ","FILING_STATUS=MR","SCALING_FORMAT=MLN","FA_ADJUSTED=Adjusted","Sort=A","Dates=H","DateFormat=P","Fill=—","Direction=H","UseDPDF=Y")</f>
        <v>3810</v>
      </c>
      <c r="X16" s="19">
        <f>_xll.BDH("GILD US Equity","EBITDA","FQ3 2024","FQ3 2024","Currency=USD","Period=FQ","BEST_FPERIOD_OVERRIDE=FQ","FILING_STATUS=MR","SCALING_FORMAT=MLN","FA_ADJUSTED=Adjusted","Sort=A","Dates=H","DateFormat=P","Fill=—","Direction=H","UseDPDF=Y")</f>
        <v>3874</v>
      </c>
      <c r="Y16" s="19">
        <f>_xll.BDH("GILD US Equity","EBITDA","FQ4 2024","FQ4 2024","Currency=USD","Period=FQ","BEST_FPERIOD_OVERRIDE=FQ","FILING_STATUS=MR","SCALING_FORMAT=MLN","FA_ADJUSTED=Adjusted","Sort=A","Dates=H","DateFormat=P","Fill=—","Direction=H","UseDPDF=Y")</f>
        <v>3217</v>
      </c>
      <c r="Z16" s="19">
        <v>3141</v>
      </c>
      <c r="AA16" s="19">
        <v>3626</v>
      </c>
    </row>
    <row r="17" spans="1:27" x14ac:dyDescent="0.25">
      <c r="A17" s="11" t="s">
        <v>76</v>
      </c>
      <c r="B17" s="11" t="s">
        <v>78</v>
      </c>
      <c r="C17" s="25">
        <v>52.418645558487199</v>
      </c>
      <c r="D17" s="25">
        <v>51.516773733047799</v>
      </c>
      <c r="E17" s="25">
        <v>38.833134886885503</v>
      </c>
      <c r="F17" s="25">
        <v>56.1283345349676</v>
      </c>
      <c r="G17" s="25">
        <v>40.4044332101886</v>
      </c>
      <c r="H17" s="25">
        <v>53.839136384369802</v>
      </c>
      <c r="I17" s="25">
        <v>47.190405605713501</v>
      </c>
      <c r="J17" s="25">
        <v>61.6378639265141</v>
      </c>
      <c r="K17" s="25">
        <v>50.522760173717202</v>
      </c>
      <c r="L17" s="25">
        <v>58.846516641961998</v>
      </c>
      <c r="M17" s="25">
        <v>29.773570789619001</v>
      </c>
      <c r="N17" s="25">
        <v>52.989377845219998</v>
      </c>
      <c r="O17" s="25">
        <v>52.348242811501599</v>
      </c>
      <c r="P17" s="25">
        <v>60.153365521158797</v>
      </c>
      <c r="Q17" s="25">
        <v>40.018947083502503</v>
      </c>
      <c r="R17" s="25">
        <v>44.6316120906801</v>
      </c>
      <c r="S17" s="25">
        <v>38.551295650856197</v>
      </c>
      <c r="T17" s="25">
        <v>50.872216706850097</v>
      </c>
      <c r="U17" s="25">
        <v>44.891075193253698</v>
      </c>
      <c r="V17" s="25">
        <v>46.739455578821399</v>
      </c>
      <c r="W17" s="25">
        <v>54.796490723428697</v>
      </c>
      <c r="X17" s="25">
        <v>51.345261762756799</v>
      </c>
      <c r="Y17" s="25">
        <v>42.5023120623596</v>
      </c>
      <c r="Z17" s="25">
        <v>46.434850175538799</v>
      </c>
      <c r="AA17" s="25">
        <v>52.190053548779701</v>
      </c>
    </row>
    <row r="18" spans="1:27" x14ac:dyDescent="0.25">
      <c r="A18" s="6" t="s">
        <v>79</v>
      </c>
      <c r="B18" s="6" t="s">
        <v>80</v>
      </c>
      <c r="C18" s="19">
        <f>_xll.BDH("GILD US Equity","EARN_FOR_COMMON","FQ2 2019","FQ2 2019","Currency=USD","Period=FQ","BEST_FPERIOD_OVERRIDE=FQ","FILING_STATUS=MR","SCALING_FORMAT=MLN","FA_ADJUSTED=Adjusted","Sort=A","Dates=H","DateFormat=P","Fill=—","Direction=H","UseDPDF=Y")</f>
        <v>1944</v>
      </c>
      <c r="D18" s="19">
        <f>_xll.BDH("GILD US Equity","EARN_FOR_COMMON","FQ3 2019","FQ3 2019","Currency=USD","Period=FQ","BEST_FPERIOD_OVERRIDE=FQ","FILING_STATUS=MR","SCALING_FORMAT=MLN","FA_ADJUSTED=Adjusted","Sort=A","Dates=H","DateFormat=P","Fill=—","Direction=H","UseDPDF=Y")</f>
        <v>1844</v>
      </c>
      <c r="E18" s="19">
        <f>_xll.BDH("GILD US Equity","EARN_FOR_COMMON","FQ4 2019","FQ4 2019","Currency=USD","Period=FQ","BEST_FPERIOD_OVERRIDE=FQ","FILING_STATUS=MR","SCALING_FORMAT=MLN","FA_ADJUSTED=Adjusted","Sort=A","Dates=H","DateFormat=P","Fill=—","Direction=H","UseDPDF=Y")</f>
        <v>1153</v>
      </c>
      <c r="F18" s="19">
        <f>_xll.BDH("GILD US Equity","EARN_FOR_COMMON","FQ1 2020","FQ1 2020","Currency=USD","Period=FQ","BEST_FPERIOD_OVERRIDE=FQ","FILING_STATUS=MR","SCALING_FORMAT=MLN","FA_ADJUSTED=Adjusted","Sort=A","Dates=H","DateFormat=P","Fill=—","Direction=H","UseDPDF=Y")</f>
        <v>2139</v>
      </c>
      <c r="G18" s="19">
        <f>_xll.BDH("GILD US Equity","EARN_FOR_COMMON","FQ2 2020","FQ2 2020","Currency=USD","Period=FQ","BEST_FPERIOD_OVERRIDE=FQ","FILING_STATUS=MR","SCALING_FORMAT=MLN","FA_ADJUSTED=Adjusted","Sort=A","Dates=H","DateFormat=P","Fill=—","Direction=H","UseDPDF=Y")</f>
        <v>1176</v>
      </c>
      <c r="H18" s="19">
        <f>_xll.BDH("GILD US Equity","EARN_FOR_COMMON","FQ3 2020","FQ3 2020","Currency=USD","Period=FQ","BEST_FPERIOD_OVERRIDE=FQ","FILING_STATUS=MR","SCALING_FORMAT=MLN","FA_ADJUSTED=Adjusted","Sort=A","Dates=H","DateFormat=P","Fill=—","Direction=H","UseDPDF=Y")</f>
        <v>2431.21</v>
      </c>
      <c r="I18" s="19">
        <f>_xll.BDH("GILD US Equity","EARN_FOR_COMMON","FQ4 2020","FQ4 2020","Currency=USD","Period=FQ","BEST_FPERIOD_OVERRIDE=FQ","FILING_STATUS=MR","SCALING_FORMAT=MLN","FA_ADJUSTED=Adjusted","Sort=A","Dates=H","DateFormat=P","Fill=—","Direction=H","UseDPDF=Y")</f>
        <v>2433</v>
      </c>
      <c r="J18" s="19">
        <f>_xll.BDH("GILD US Equity","EARN_FOR_COMMON","FQ1 2021","FQ1 2021","Currency=USD","Period=FQ","BEST_FPERIOD_OVERRIDE=FQ","FILING_STATUS=MR","SCALING_FORMAT=MLN","FA_ADJUSTED=Adjusted","Sort=A","Dates=H","DateFormat=P","Fill=—","Direction=H","UseDPDF=Y")</f>
        <v>2628</v>
      </c>
      <c r="K18" s="19">
        <f>_xll.BDH("GILD US Equity","EARN_FOR_COMMON","FQ2 2021","FQ2 2021","Currency=USD","Period=FQ","BEST_FPERIOD_OVERRIDE=FQ","FILING_STATUS=MR","SCALING_FORMAT=MLN","FA_ADJUSTED=Adjusted","Sort=A","Dates=H","DateFormat=P","Fill=—","Direction=H","UseDPDF=Y")</f>
        <v>1907</v>
      </c>
      <c r="L18" s="19">
        <f>_xll.BDH("GILD US Equity","EARN_FOR_COMMON","FQ3 2021","FQ3 2021","Currency=USD","Period=FQ","BEST_FPERIOD_OVERRIDE=FQ","FILING_STATUS=MR","SCALING_FORMAT=MLN","FA_ADJUSTED=Adjusted","Sort=A","Dates=H","DateFormat=P","Fill=—","Direction=H","UseDPDF=Y")</f>
        <v>2912.01</v>
      </c>
      <c r="M18" s="19">
        <f>_xll.BDH("GILD US Equity","EARN_FOR_COMMON","FQ4 2021","FQ4 2021","Currency=USD","Period=FQ","BEST_FPERIOD_OVERRIDE=FQ","FILING_STATUS=MR","SCALING_FORMAT=MLN","FA_ADJUSTED=Adjusted","Sort=A","Dates=H","DateFormat=P","Fill=—","Direction=H","UseDPDF=Y")</f>
        <v>952.62</v>
      </c>
      <c r="N18" s="19">
        <f>_xll.BDH("GILD US Equity","EARN_FOR_COMMON","FQ1 2022","FQ1 2022","Currency=USD","Period=FQ","BEST_FPERIOD_OVERRIDE=FQ","FILING_STATUS=MR","SCALING_FORMAT=MLN","FA_ADJUSTED=Adjusted","Sort=A","Dates=H","DateFormat=P","Fill=—","Direction=H","UseDPDF=Y")</f>
        <v>2169</v>
      </c>
      <c r="O18" s="19">
        <f>_xll.BDH("GILD US Equity","EARN_FOR_COMMON","FQ2 2022","FQ2 2022","Currency=USD","Period=FQ","BEST_FPERIOD_OVERRIDE=FQ","FILING_STATUS=MR","SCALING_FORMAT=MLN","FA_ADJUSTED=Adjusted","Sort=A","Dates=H","DateFormat=P","Fill=—","Direction=H","UseDPDF=Y")</f>
        <v>1802.7</v>
      </c>
      <c r="P18" s="19">
        <f>_xll.BDH("GILD US Equity","EARN_FOR_COMMON","FQ3 2022","FQ3 2022","Currency=USD","Period=FQ","BEST_FPERIOD_OVERRIDE=FQ","FILING_STATUS=MR","SCALING_FORMAT=MLN","FA_ADJUSTED=Adjusted","Sort=A","Dates=H","DateFormat=P","Fill=—","Direction=H","UseDPDF=Y")</f>
        <v>2744.13</v>
      </c>
      <c r="Q18" s="19">
        <f>_xll.BDH("GILD US Equity","EARN_FOR_COMMON","FQ4 2022","FQ4 2022","Currency=USD","Period=FQ","BEST_FPERIOD_OVERRIDE=FQ","FILING_STATUS=MR","SCALING_FORMAT=MLN","FA_ADJUSTED=Adjusted","Sort=A","Dates=H","DateFormat=P","Fill=—","Direction=H","UseDPDF=Y")</f>
        <v>1884.82</v>
      </c>
      <c r="R18" s="19">
        <f>_xll.BDH("GILD US Equity","EARN_FOR_COMMON","FQ1 2023","FQ1 2023","Currency=USD","Period=FQ","BEST_FPERIOD_OVERRIDE=FQ","FILING_STATUS=MR","SCALING_FORMAT=MLN","FA_ADJUSTED=Adjusted","Sort=A","Dates=H","DateFormat=P","Fill=—","Direction=H","UseDPDF=Y")</f>
        <v>1681.99</v>
      </c>
      <c r="S18" s="19">
        <f>_xll.BDH("GILD US Equity","EARN_FOR_COMMON","FQ2 2023","FQ2 2023","Currency=USD","Period=FQ","BEST_FPERIOD_OVERRIDE=FQ","FILING_STATUS=MR","SCALING_FORMAT=MLN","FA_ADJUSTED=Adjusted","Sort=A","Dates=H","DateFormat=P","Fill=—","Direction=H","UseDPDF=Y")</f>
        <v>1456.8065999999999</v>
      </c>
      <c r="T18" s="19">
        <f>_xll.BDH("GILD US Equity","EARN_FOR_COMMON","FQ3 2023","FQ3 2023","Currency=USD","Period=FQ","BEST_FPERIOD_OVERRIDE=FQ","FILING_STATUS=MR","SCALING_FORMAT=MLN","FA_ADJUSTED=Adjusted","Sort=A","Dates=H","DateFormat=P","Fill=—","Direction=H","UseDPDF=Y")</f>
        <v>2490.89</v>
      </c>
      <c r="U18" s="19">
        <f>_xll.BDH("GILD US Equity","EARN_FOR_COMMON","FQ4 2023","FQ4 2023","Currency=USD","Period=FQ","BEST_FPERIOD_OVERRIDE=FQ","FILING_STATUS=MR","SCALING_FORMAT=MLN","FA_ADJUSTED=Adjusted","Sort=A","Dates=H","DateFormat=P","Fill=—","Direction=H","UseDPDF=Y")</f>
        <v>1974.13</v>
      </c>
      <c r="V18" s="19">
        <f>_xll.BDH("GILD US Equity","EARN_FOR_COMMON","FQ1 2024","FQ1 2024","Currency=USD","Period=FQ","BEST_FPERIOD_OVERRIDE=FQ","FILING_STATUS=MR","SCALING_FORMAT=MLN","FA_ADJUSTED=Adjusted","Sort=A","Dates=H","DateFormat=P","Fill=—","Direction=H","UseDPDF=Y")</f>
        <v>1161.49</v>
      </c>
      <c r="W18" s="19">
        <f>_xll.BDH("GILD US Equity","EARN_FOR_COMMON","FQ2 2024","FQ2 2024","Currency=USD","Period=FQ","BEST_FPERIOD_OVERRIDE=FQ","FILING_STATUS=MR","SCALING_FORMAT=MLN","FA_ADJUSTED=Adjusted","Sort=A","Dates=H","DateFormat=P","Fill=—","Direction=H","UseDPDF=Y")</f>
        <v>2091.02</v>
      </c>
      <c r="X18" s="19">
        <f>_xll.BDH("GILD US Equity","EARN_FOR_COMMON","FQ3 2024","FQ3 2024","Currency=USD","Period=FQ","BEST_FPERIOD_OVERRIDE=FQ","FILING_STATUS=MR","SCALING_FORMAT=MLN","FA_ADJUSTED=Adjusted","Sort=A","Dates=H","DateFormat=P","Fill=—","Direction=H","UseDPDF=Y")</f>
        <v>2470.9499999999998</v>
      </c>
      <c r="Y18" s="19">
        <f>_xll.BDH("GILD US Equity","EARN_FOR_COMMON","FQ4 2024","FQ4 2024","Currency=USD","Period=FQ","BEST_FPERIOD_OVERRIDE=FQ","FILING_STATUS=MR","SCALING_FORMAT=MLN","FA_ADJUSTED=Adjusted","Sort=A","Dates=H","DateFormat=P","Fill=—","Direction=H","UseDPDF=Y")</f>
        <v>1923.31</v>
      </c>
      <c r="Z18" s="19">
        <v>2170.1669999999999</v>
      </c>
      <c r="AA18" s="19">
        <v>2384.6669999999999</v>
      </c>
    </row>
    <row r="19" spans="1:27" x14ac:dyDescent="0.25">
      <c r="A19" s="11" t="s">
        <v>76</v>
      </c>
      <c r="B19" s="11" t="s">
        <v>80</v>
      </c>
      <c r="C19" s="25">
        <v>34.195250659630602</v>
      </c>
      <c r="D19" s="25">
        <v>32.905067808708097</v>
      </c>
      <c r="E19" s="25">
        <v>19.612178941996898</v>
      </c>
      <c r="F19" s="25">
        <v>38.5544340302812</v>
      </c>
      <c r="G19" s="25">
        <v>22.866031499125</v>
      </c>
      <c r="H19" s="25">
        <v>36.965333738786697</v>
      </c>
      <c r="I19" s="25">
        <v>32.785338903112802</v>
      </c>
      <c r="J19" s="25">
        <v>40.91546006539</v>
      </c>
      <c r="K19" s="25">
        <v>30.673958500884702</v>
      </c>
      <c r="L19" s="25">
        <v>39.240129362619598</v>
      </c>
      <c r="M19" s="25">
        <v>13.1504693539481</v>
      </c>
      <c r="N19" s="25">
        <v>32.913505311077401</v>
      </c>
      <c r="O19" s="25">
        <v>28.797124600638998</v>
      </c>
      <c r="P19" s="25">
        <v>38.968048849758603</v>
      </c>
      <c r="Q19" s="25">
        <v>25.508458519420799</v>
      </c>
      <c r="R19" s="25">
        <v>26.479691435768299</v>
      </c>
      <c r="S19" s="25">
        <v>22.076172601909398</v>
      </c>
      <c r="T19" s="25">
        <v>35.3267621613955</v>
      </c>
      <c r="U19" s="25">
        <v>27.746029515108901</v>
      </c>
      <c r="V19" s="25">
        <v>17.371971283278501</v>
      </c>
      <c r="W19" s="25">
        <v>30.0736372788724</v>
      </c>
      <c r="X19" s="25">
        <v>32.749502982107401</v>
      </c>
      <c r="Y19" s="25">
        <v>25.410358039371101</v>
      </c>
      <c r="Z19" s="25">
        <v>32.082578637662699</v>
      </c>
      <c r="AA19" s="25">
        <v>34.323193167680103</v>
      </c>
    </row>
    <row r="20" spans="1:27" x14ac:dyDescent="0.25">
      <c r="A20" s="6" t="s">
        <v>81</v>
      </c>
      <c r="B20" s="6" t="s">
        <v>82</v>
      </c>
      <c r="C20" s="20">
        <f>_xll.BDH("GILD US Equity","IS_DIL_EPS_CONT_OPS","FQ2 2019","FQ2 2019","Currency=USD","Period=FQ","BEST_FPERIOD_OVERRIDE=FQ","FILING_STATUS=MR","Sort=A","Dates=H","DateFormat=P","Fill=—","Direction=H","UseDPDF=Y")</f>
        <v>1.5201</v>
      </c>
      <c r="D20" s="20">
        <f>_xll.BDH("GILD US Equity","IS_DIL_EPS_CONT_OPS","FQ3 2019","FQ3 2019","Currency=USD","Period=FQ","BEST_FPERIOD_OVERRIDE=FQ","FILING_STATUS=MR","Sort=A","Dates=H","DateFormat=P","Fill=—","Direction=H","UseDPDF=Y")</f>
        <v>1.4549000000000001</v>
      </c>
      <c r="E20" s="20">
        <f>_xll.BDH("GILD US Equity","IS_DIL_EPS_CONT_OPS","FQ4 2019","FQ4 2019","Currency=USD","Period=FQ","BEST_FPERIOD_OVERRIDE=FQ","FILING_STATUS=MR","Sort=A","Dates=H","DateFormat=P","Fill=—","Direction=H","UseDPDF=Y")</f>
        <v>0.90790000000000004</v>
      </c>
      <c r="F20" s="20">
        <f>_xll.BDH("GILD US Equity","IS_DIL_EPS_CONT_OPS","FQ1 2020","FQ1 2020","Currency=USD","Period=FQ","BEST_FPERIOD_OVERRIDE=FQ","FILING_STATUS=MR","Sort=A","Dates=H","DateFormat=P","Fill=—","Direction=H","UseDPDF=Y")</f>
        <v>1.6830000000000001</v>
      </c>
      <c r="G20" s="20">
        <f>_xll.BDH("GILD US Equity","IS_DIL_EPS_CONT_OPS","FQ2 2020","FQ2 2020","Currency=USD","Period=FQ","BEST_FPERIOD_OVERRIDE=FQ","FILING_STATUS=MR","Sort=A","Dates=H","DateFormat=P","Fill=—","Direction=H","UseDPDF=Y")</f>
        <v>0.93710000000000004</v>
      </c>
      <c r="H20" s="20">
        <f>_xll.BDH("GILD US Equity","IS_DIL_EPS_CONT_OPS","FQ3 2020","FQ3 2020","Currency=USD","Period=FQ","BEST_FPERIOD_OVERRIDE=FQ","FILING_STATUS=MR","Sort=A","Dates=H","DateFormat=P","Fill=—","Direction=H","UseDPDF=Y")</f>
        <v>1.9325000000000001</v>
      </c>
      <c r="I20" s="20">
        <f>_xll.BDH("GILD US Equity","IS_DIL_EPS_CONT_OPS","FQ4 2020","FQ4 2020","Currency=USD","Period=FQ","BEST_FPERIOD_OVERRIDE=FQ","FILING_STATUS=MR","Sort=A","Dates=H","DateFormat=P","Fill=—","Direction=H","UseDPDF=Y")</f>
        <v>1.9306000000000001</v>
      </c>
      <c r="J20" s="20">
        <f>_xll.BDH("GILD US Equity","IS_DIL_EPS_CONT_OPS","FQ1 2021","FQ1 2021","Currency=USD","Period=FQ","BEST_FPERIOD_OVERRIDE=FQ","FILING_STATUS=MR","Sort=A","Dates=H","DateFormat=P","Fill=—","Direction=H","UseDPDF=Y")</f>
        <v>2.0823999999999998</v>
      </c>
      <c r="K20" s="20">
        <f>_xll.BDH("GILD US Equity","IS_DIL_EPS_CONT_OPS","FQ2 2021","FQ2 2021","Currency=USD","Period=FQ","BEST_FPERIOD_OVERRIDE=FQ","FILING_STATUS=MR","Sort=A","Dates=H","DateFormat=P","Fill=—","Direction=H","UseDPDF=Y")</f>
        <v>1.5156000000000001</v>
      </c>
      <c r="L20" s="20">
        <f>_xll.BDH("GILD US Equity","IS_DIL_EPS_CONT_OPS","FQ3 2021","FQ3 2021","Currency=USD","Period=FQ","BEST_FPERIOD_OVERRIDE=FQ","FILING_STATUS=MR","Sort=A","Dates=H","DateFormat=P","Fill=—","Direction=H","UseDPDF=Y")</f>
        <v>2.3035999999999999</v>
      </c>
      <c r="M20" s="20">
        <f>_xll.BDH("GILD US Equity","IS_DIL_EPS_CONT_OPS","FQ4 2021","FQ4 2021","Currency=USD","Period=FQ","BEST_FPERIOD_OVERRIDE=FQ","FILING_STATUS=MR","Sort=A","Dates=H","DateFormat=P","Fill=—","Direction=H","UseDPDF=Y")</f>
        <v>0.75219999999999998</v>
      </c>
      <c r="N20" s="20">
        <f>_xll.BDH("GILD US Equity","IS_DIL_EPS_CONT_OPS","FQ1 2022","FQ1 2022","Currency=USD","Period=FQ","BEST_FPERIOD_OVERRIDE=FQ","FILING_STATUS=MR","Sort=A","Dates=H","DateFormat=P","Fill=—","Direction=H","UseDPDF=Y")</f>
        <v>1.7236</v>
      </c>
      <c r="O20" s="20">
        <f>_xll.BDH("GILD US Equity","IS_DIL_EPS_CONT_OPS","FQ2 2022","FQ2 2022","Currency=USD","Period=FQ","BEST_FPERIOD_OVERRIDE=FQ","FILING_STATUS=MR","Sort=A","Dates=H","DateFormat=P","Fill=—","Direction=H","UseDPDF=Y")</f>
        <v>1.4328000000000001</v>
      </c>
      <c r="P20" s="20">
        <f>_xll.BDH("GILD US Equity","IS_DIL_EPS_CONT_OPS","FQ3 2022","FQ3 2022","Currency=USD","Period=FQ","BEST_FPERIOD_OVERRIDE=FQ","FILING_STATUS=MR","Sort=A","Dates=H","DateFormat=P","Fill=—","Direction=H","UseDPDF=Y")</f>
        <v>2.1774</v>
      </c>
      <c r="Q20" s="20">
        <f>_xll.BDH("GILD US Equity","IS_DIL_EPS_CONT_OPS","FQ4 2022","FQ4 2022","Currency=USD","Period=FQ","BEST_FPERIOD_OVERRIDE=FQ","FILING_STATUS=MR","Sort=A","Dates=H","DateFormat=P","Fill=—","Direction=H","UseDPDF=Y")</f>
        <v>1.4937</v>
      </c>
      <c r="R20" s="20">
        <f>_xll.BDH("GILD US Equity","IS_DIL_EPS_CONT_OPS","FQ1 2023","FQ1 2023","Currency=USD","Period=FQ","BEST_FPERIOD_OVERRIDE=FQ","FILING_STATUS=MR","Sort=A","Dates=H","DateFormat=P","Fill=—","Direction=H","UseDPDF=Y")</f>
        <v>1.3385</v>
      </c>
      <c r="S20" s="20">
        <f>_xll.BDH("GILD US Equity","IS_DIL_EPS_CONT_OPS","FQ2 2023","FQ2 2023","Currency=USD","Period=FQ","BEST_FPERIOD_OVERRIDE=FQ","FILING_STATUS=MR","Sort=A","Dates=H","DateFormat=P","Fill=—","Direction=H","UseDPDF=Y")</f>
        <v>1.1574</v>
      </c>
      <c r="T20" s="20">
        <f>_xll.BDH("GILD US Equity","IS_DIL_EPS_CONT_OPS","FQ3 2023","FQ3 2023","Currency=USD","Period=FQ","BEST_FPERIOD_OVERRIDE=FQ","FILING_STATUS=MR","Sort=A","Dates=H","DateFormat=P","Fill=—","Direction=H","UseDPDF=Y")</f>
        <v>1.9764999999999999</v>
      </c>
      <c r="U20" s="20">
        <f>_xll.BDH("GILD US Equity","IS_DIL_EPS_CONT_OPS","FQ4 2023","FQ4 2023","Currency=USD","Period=FQ","BEST_FPERIOD_OVERRIDE=FQ","FILING_STATUS=MR","Sort=A","Dates=H","DateFormat=P","Fill=—","Direction=H","UseDPDF=Y")</f>
        <v>1.5740000000000001</v>
      </c>
      <c r="V20" s="20">
        <f>_xll.BDH("GILD US Equity","IS_DIL_EPS_CONT_OPS","FQ1 2024","FQ1 2024","Currency=USD","Period=FQ","BEST_FPERIOD_OVERRIDE=FQ","FILING_STATUS=MR","Sort=A","Dates=H","DateFormat=P","Fill=—","Direction=H","UseDPDF=Y")</f>
        <v>0.93140000000000001</v>
      </c>
      <c r="W20" s="20">
        <f>_xll.BDH("GILD US Equity","IS_DIL_EPS_CONT_OPS","FQ2 2024","FQ2 2024","Currency=USD","Period=FQ","BEST_FPERIOD_OVERRIDE=FQ","FILING_STATUS=MR","Sort=A","Dates=H","DateFormat=P","Fill=—","Direction=H","UseDPDF=Y")</f>
        <v>1.6713</v>
      </c>
      <c r="X20" s="20">
        <f>_xll.BDH("GILD US Equity","IS_DIL_EPS_CONT_OPS","FQ3 2024","FQ3 2024","Currency=USD","Period=FQ","BEST_FPERIOD_OVERRIDE=FQ","FILING_STATUS=MR","Sort=A","Dates=H","DateFormat=P","Fill=—","Direction=H","UseDPDF=Y")</f>
        <v>1.9713000000000001</v>
      </c>
      <c r="Y20" s="20">
        <f>_xll.BDH("GILD US Equity","IS_DIL_EPS_CONT_OPS","FQ4 2024","FQ4 2024","Currency=USD","Period=FQ","BEST_FPERIOD_OVERRIDE=FQ","FILING_STATUS=MR","Sort=A","Dates=H","DateFormat=P","Fill=—","Direction=H","UseDPDF=Y")</f>
        <v>1.5314000000000001</v>
      </c>
      <c r="Z20" s="20">
        <v>1.7589999999999999</v>
      </c>
      <c r="AA20" s="20">
        <v>1.94</v>
      </c>
    </row>
    <row r="21" spans="1:27" x14ac:dyDescent="0.25">
      <c r="A21" s="11" t="s">
        <v>72</v>
      </c>
      <c r="B21" s="11" t="s">
        <v>83</v>
      </c>
      <c r="C21" s="26">
        <f>_xll.BDH("GILD US Equity","DILUTED_EPS_AFT_XO_ITEMS_GROWTH","FQ2 2019","FQ2 2019","Currency=USD","Period=FQ","BEST_FPERIOD_OVERRIDE=FQ","FILING_STATUS=MR","FA_ADJUSTED=Adjusted","Sort=A","Dates=H","DateFormat=P","Fill=—","Direction=H","UseDPDF=Y")</f>
        <v>-1.1832</v>
      </c>
      <c r="D21" s="26">
        <f>_xll.BDH("GILD US Equity","DILUTED_EPS_AFT_XO_ITEMS_GROWTH","FQ3 2019","FQ3 2019","Currency=USD","Period=FQ","BEST_FPERIOD_OVERRIDE=FQ","FILING_STATUS=MR","FA_ADJUSTED=Adjusted","Sort=A","Dates=H","DateFormat=P","Fill=—","Direction=H","UseDPDF=Y")</f>
        <v>-1.5860000000000001</v>
      </c>
      <c r="E21" s="26">
        <f>_xll.BDH("GILD US Equity","DILUTED_EPS_AFT_XO_ITEMS_GROWTH","FQ4 2019","FQ4 2019","Currency=USD","Period=FQ","BEST_FPERIOD_OVERRIDE=FQ","FILING_STATUS=MR","FA_ADJUSTED=Adjusted","Sort=A","Dates=H","DateFormat=P","Fill=—","Direction=H","UseDPDF=Y")</f>
        <v>-18.888200000000001</v>
      </c>
      <c r="F21" s="26">
        <f>_xll.BDH("GILD US Equity","DILUTED_EPS_AFT_XO_ITEMS_GROWTH","FQ1 2020","FQ1 2020","Currency=USD","Period=FQ","BEST_FPERIOD_OVERRIDE=FQ","FILING_STATUS=MR","FA_ADJUSTED=Adjusted","Sort=A","Dates=H","DateFormat=P","Fill=—","Direction=H","UseDPDF=Y")</f>
        <v>14.744199999999999</v>
      </c>
      <c r="G21" s="26">
        <f>_xll.BDH("GILD US Equity","DILUTED_EPS_AFT_XO_ITEMS_GROWTH","FQ2 2020","FQ2 2020","Currency=USD","Period=FQ","BEST_FPERIOD_OVERRIDE=FQ","FILING_STATUS=MR","FA_ADJUSTED=Adjusted","Sort=A","Dates=H","DateFormat=P","Fill=—","Direction=H","UseDPDF=Y")</f>
        <v>-38.3566</v>
      </c>
      <c r="H21" s="26">
        <f>_xll.BDH("GILD US Equity","DILUTED_EPS_AFT_XO_ITEMS_GROWTH","FQ3 2020","FQ3 2020","Currency=USD","Period=FQ","BEST_FPERIOD_OVERRIDE=FQ","FILING_STATUS=MR","FA_ADJUSTED=Adjusted","Sort=A","Dates=H","DateFormat=P","Fill=—","Direction=H","UseDPDF=Y")</f>
        <v>32.8279</v>
      </c>
      <c r="I21" s="26">
        <f>_xll.BDH("GILD US Equity","DILUTED_EPS_AFT_XO_ITEMS_GROWTH","FQ4 2020","FQ4 2020","Currency=USD","Period=FQ","BEST_FPERIOD_OVERRIDE=FQ","FILING_STATUS=MR","FA_ADJUSTED=Adjusted","Sort=A","Dates=H","DateFormat=P","Fill=—","Direction=H","UseDPDF=Y")</f>
        <v>112.639</v>
      </c>
      <c r="J21" s="26">
        <f>_xll.BDH("GILD US Equity","DILUTED_EPS_AFT_XO_ITEMS_GROWTH","FQ1 2021","FQ1 2021","Currency=USD","Period=FQ","BEST_FPERIOD_OVERRIDE=FQ","FILING_STATUS=MR","FA_ADJUSTED=Adjusted","Sort=A","Dates=H","DateFormat=P","Fill=—","Direction=H","UseDPDF=Y")</f>
        <v>23.729700000000001</v>
      </c>
      <c r="K21" s="26">
        <f>_xll.BDH("GILD US Equity","DILUTED_EPS_AFT_XO_ITEMS_GROWTH","FQ2 2021","FQ2 2021","Currency=USD","Period=FQ","BEST_FPERIOD_OVERRIDE=FQ","FILING_STATUS=MR","FA_ADJUSTED=Adjusted","Sort=A","Dates=H","DateFormat=P","Fill=—","Direction=H","UseDPDF=Y")</f>
        <v>61.736600000000003</v>
      </c>
      <c r="L21" s="26">
        <f>_xll.BDH("GILD US Equity","DILUTED_EPS_AFT_XO_ITEMS_GROWTH","FQ3 2021","FQ3 2021","Currency=USD","Period=FQ","BEST_FPERIOD_OVERRIDE=FQ","FILING_STATUS=MR","FA_ADJUSTED=Adjusted","Sort=A","Dates=H","DateFormat=P","Fill=—","Direction=H","UseDPDF=Y")</f>
        <v>19.200900000000001</v>
      </c>
      <c r="M21" s="26">
        <f>_xll.BDH("GILD US Equity","DILUTED_EPS_AFT_XO_ITEMS_GROWTH","FQ4 2021","FQ4 2021","Currency=USD","Period=FQ","BEST_FPERIOD_OVERRIDE=FQ","FILING_STATUS=MR","FA_ADJUSTED=Adjusted","Sort=A","Dates=H","DateFormat=P","Fill=—","Direction=H","UseDPDF=Y")</f>
        <v>-61.039499999999997</v>
      </c>
      <c r="N21" s="26">
        <f>_xll.BDH("GILD US Equity","DILUTED_EPS_AFT_XO_ITEMS_GROWTH","FQ1 2022","FQ1 2022","Currency=USD","Period=FQ","BEST_FPERIOD_OVERRIDE=FQ","FILING_STATUS=MR","FA_ADJUSTED=Adjusted","Sort=A","Dates=H","DateFormat=P","Fill=—","Direction=H","UseDPDF=Y")</f>
        <v>-17.226400000000002</v>
      </c>
      <c r="O21" s="26">
        <f>_xll.BDH("GILD US Equity","DILUTED_EPS_AFT_XO_ITEMS_GROWTH","FQ2 2022","FQ2 2022","Currency=USD","Period=FQ","BEST_FPERIOD_OVERRIDE=FQ","FILING_STATUS=MR","FA_ADJUSTED=Adjusted","Sort=A","Dates=H","DateFormat=P","Fill=—","Direction=H","UseDPDF=Y")</f>
        <v>-5.4619</v>
      </c>
      <c r="P21" s="26">
        <f>_xll.BDH("GILD US Equity","DILUTED_EPS_AFT_XO_ITEMS_GROWTH","FQ3 2022","FQ3 2022","Currency=USD","Period=FQ","BEST_FPERIOD_OVERRIDE=FQ","FILING_STATUS=MR","FA_ADJUSTED=Adjusted","Sort=A","Dates=H","DateFormat=P","Fill=—","Direction=H","UseDPDF=Y")</f>
        <v>-5.4756</v>
      </c>
      <c r="Q21" s="26">
        <f>_xll.BDH("GILD US Equity","DILUTED_EPS_AFT_XO_ITEMS_GROWTH","FQ4 2022","FQ4 2022","Currency=USD","Period=FQ","BEST_FPERIOD_OVERRIDE=FQ","FILING_STATUS=MR","FA_ADJUSTED=Adjusted","Sort=A","Dates=H","DateFormat=P","Fill=—","Direction=H","UseDPDF=Y")</f>
        <v>98.587699999999998</v>
      </c>
      <c r="R21" s="26">
        <f>_xll.BDH("GILD US Equity","DILUTED_EPS_AFT_XO_ITEMS_GROWTH","FQ1 2023","FQ1 2023","Currency=USD","Period=FQ","BEST_FPERIOD_OVERRIDE=FQ","FILING_STATUS=MR","FA_ADJUSTED=Adjusted","Sort=A","Dates=H","DateFormat=P","Fill=—","Direction=H","UseDPDF=Y")</f>
        <v>-22.3475</v>
      </c>
      <c r="S21" s="26">
        <f>_xll.BDH("GILD US Equity","DILUTED_EPS_AFT_XO_ITEMS_GROWTH","FQ2 2023","FQ2 2023","Currency=USD","Period=FQ","BEST_FPERIOD_OVERRIDE=FQ","FILING_STATUS=MR","FA_ADJUSTED=Adjusted","Sort=A","Dates=H","DateFormat=P","Fill=—","Direction=H","UseDPDF=Y")</f>
        <v>-19.223400000000002</v>
      </c>
      <c r="T21" s="26">
        <f>_xll.BDH("GILD US Equity","DILUTED_EPS_AFT_XO_ITEMS_GROWTH","FQ3 2023","FQ3 2023","Currency=USD","Period=FQ","BEST_FPERIOD_OVERRIDE=FQ","FILING_STATUS=MR","FA_ADJUSTED=Adjusted","Sort=A","Dates=H","DateFormat=P","Fill=—","Direction=H","UseDPDF=Y")</f>
        <v>-9.2268000000000008</v>
      </c>
      <c r="U21" s="26">
        <f>_xll.BDH("GILD US Equity","DILUTED_EPS_AFT_XO_ITEMS_GROWTH","FQ4 2023","FQ4 2023","Currency=USD","Period=FQ","BEST_FPERIOD_OVERRIDE=FQ","FILING_STATUS=MR","FA_ADJUSTED=Adjusted","Sort=A","Dates=H","DateFormat=P","Fill=—","Direction=H","UseDPDF=Y")</f>
        <v>5.3781999999999996</v>
      </c>
      <c r="V21" s="26">
        <f>_xll.BDH("GILD US Equity","DILUTED_EPS_AFT_XO_ITEMS_GROWTH","FQ1 2024","FQ1 2024","Currency=USD","Period=FQ","BEST_FPERIOD_OVERRIDE=FQ","FILING_STATUS=MR","FA_ADJUSTED=Adjusted","Sort=A","Dates=H","DateFormat=P","Fill=—","Direction=H","UseDPDF=Y")</f>
        <v>-30.4102</v>
      </c>
      <c r="W21" s="26">
        <f>_xll.BDH("GILD US Equity","DILUTED_EPS_AFT_XO_ITEMS_GROWTH","FQ2 2024","FQ2 2024","Currency=USD","Period=FQ","BEST_FPERIOD_OVERRIDE=FQ","FILING_STATUS=MR","FA_ADJUSTED=Adjusted","Sort=A","Dates=H","DateFormat=P","Fill=—","Direction=H","UseDPDF=Y")</f>
        <v>44.4084</v>
      </c>
      <c r="X21" s="26">
        <f>_xll.BDH("GILD US Equity","DILUTED_EPS_AFT_XO_ITEMS_GROWTH","FQ3 2024","FQ3 2024","Currency=USD","Period=FQ","BEST_FPERIOD_OVERRIDE=FQ","FILING_STATUS=MR","FA_ADJUSTED=Adjusted","Sort=A","Dates=H","DateFormat=P","Fill=—","Direction=H","UseDPDF=Y")</f>
        <v>-0.2671</v>
      </c>
      <c r="Y21" s="26">
        <f>_xll.BDH("GILD US Equity","DILUTED_EPS_AFT_XO_ITEMS_GROWTH","FQ4 2024","FQ4 2024","Currency=USD","Period=FQ","BEST_FPERIOD_OVERRIDE=FQ","FILING_STATUS=MR","FA_ADJUSTED=Adjusted","Sort=A","Dates=H","DateFormat=P","Fill=—","Direction=H","UseDPDF=Y")</f>
        <v>-2.7048999999999999</v>
      </c>
      <c r="Z21" s="26">
        <v>88.850011863516997</v>
      </c>
      <c r="AA21" s="26">
        <v>16.076541110541399</v>
      </c>
    </row>
    <row r="22" spans="1:27" x14ac:dyDescent="0.25">
      <c r="A22" s="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x14ac:dyDescent="0.25">
      <c r="A23" s="6" t="s">
        <v>84</v>
      </c>
      <c r="B23" s="6" t="s">
        <v>85</v>
      </c>
      <c r="C23" s="19">
        <f>_xll.BDH("GILD US Equity","CF_CASH_FROM_OPER","FQ2 2019","FQ2 2019","Currency=USD","Period=FQ","BEST_FPERIOD_OVERRIDE=FQ","FILING_STATUS=MR","SCALING_FORMAT=MLN","Sort=A","Dates=H","DateFormat=P","Fill=—","Direction=H","UseDPDF=Y")</f>
        <v>2342</v>
      </c>
      <c r="D23" s="19">
        <f>_xll.BDH("GILD US Equity","CF_CASH_FROM_OPER","FQ3 2019","FQ3 2019","Currency=USD","Period=FQ","BEST_FPERIOD_OVERRIDE=FQ","FILING_STATUS=MR","SCALING_FORMAT=MLN","Sort=A","Dates=H","DateFormat=P","Fill=—","Direction=H","UseDPDF=Y")</f>
        <v>2899</v>
      </c>
      <c r="E23" s="19">
        <f>_xll.BDH("GILD US Equity","CF_CASH_FROM_OPER","FQ4 2019","FQ4 2019","Currency=USD","Period=FQ","BEST_FPERIOD_OVERRIDE=FQ","FILING_STATUS=MR","SCALING_FORMAT=MLN","Sort=A","Dates=H","DateFormat=P","Fill=—","Direction=H","UseDPDF=Y")</f>
        <v>2580</v>
      </c>
      <c r="F23" s="19">
        <f>_xll.BDH("GILD US Equity","CF_CASH_FROM_OPER","FQ1 2020","FQ1 2020","Currency=USD","Period=FQ","BEST_FPERIOD_OVERRIDE=FQ","FILING_STATUS=MR","SCALING_FORMAT=MLN","Sort=A","Dates=H","DateFormat=P","Fill=—","Direction=H","UseDPDF=Y")</f>
        <v>1436</v>
      </c>
      <c r="G23" s="19">
        <f>_xll.BDH("GILD US Equity","CF_CASH_FROM_OPER","FQ2 2020","FQ2 2020","Currency=USD","Period=FQ","BEST_FPERIOD_OVERRIDE=FQ","FILING_STATUS=MR","SCALING_FORMAT=MLN","Sort=A","Dates=H","DateFormat=P","Fill=—","Direction=H","UseDPDF=Y")</f>
        <v>2566</v>
      </c>
      <c r="H23" s="19">
        <f>_xll.BDH("GILD US Equity","CF_CASH_FROM_OPER","FQ3 2020","FQ3 2020","Currency=USD","Period=FQ","BEST_FPERIOD_OVERRIDE=FQ","FILING_STATUS=MR","SCALING_FORMAT=MLN","Sort=A","Dates=H","DateFormat=P","Fill=—","Direction=H","UseDPDF=Y")</f>
        <v>2250</v>
      </c>
      <c r="I23" s="19">
        <f>_xll.BDH("GILD US Equity","CF_CASH_FROM_OPER","FQ4 2020","FQ4 2020","Currency=USD","Period=FQ","BEST_FPERIOD_OVERRIDE=FQ","FILING_STATUS=MR","SCALING_FORMAT=MLN","Sort=A","Dates=H","DateFormat=P","Fill=—","Direction=H","UseDPDF=Y")</f>
        <v>1916</v>
      </c>
      <c r="J23" s="19">
        <f>_xll.BDH("GILD US Equity","CF_CASH_FROM_OPER","FQ1 2021","FQ1 2021","Currency=USD","Period=FQ","BEST_FPERIOD_OVERRIDE=FQ","FILING_STATUS=MR","SCALING_FORMAT=MLN","Sort=A","Dates=H","DateFormat=P","Fill=—","Direction=H","UseDPDF=Y")</f>
        <v>2610</v>
      </c>
      <c r="K23" s="19">
        <f>_xll.BDH("GILD US Equity","CF_CASH_FROM_OPER","FQ2 2021","FQ2 2021","Currency=USD","Period=FQ","BEST_FPERIOD_OVERRIDE=FQ","FILING_STATUS=MR","SCALING_FORMAT=MLN","Sort=A","Dates=H","DateFormat=P","Fill=—","Direction=H","UseDPDF=Y")</f>
        <v>2316</v>
      </c>
      <c r="L23" s="19">
        <f>_xll.BDH("GILD US Equity","CF_CASH_FROM_OPER","FQ3 2021","FQ3 2021","Currency=USD","Period=FQ","BEST_FPERIOD_OVERRIDE=FQ","FILING_STATUS=MR","SCALING_FORMAT=MLN","Sort=A","Dates=H","DateFormat=P","Fill=—","Direction=H","UseDPDF=Y")</f>
        <v>3253</v>
      </c>
      <c r="M23" s="19">
        <f>_xll.BDH("GILD US Equity","CF_CASH_FROM_OPER","FQ4 2021","FQ4 2021","Currency=USD","Period=FQ","BEST_FPERIOD_OVERRIDE=FQ","FILING_STATUS=MR","SCALING_FORMAT=MLN","Sort=A","Dates=H","DateFormat=P","Fill=—","Direction=H","UseDPDF=Y")</f>
        <v>3205</v>
      </c>
      <c r="N23" s="19">
        <f>_xll.BDH("GILD US Equity","CF_CASH_FROM_OPER","FQ1 2022","FQ1 2022","Currency=USD","Period=FQ","BEST_FPERIOD_OVERRIDE=FQ","FILING_STATUS=MR","SCALING_FORMAT=MLN","Sort=A","Dates=H","DateFormat=P","Fill=—","Direction=H","UseDPDF=Y")</f>
        <v>1840</v>
      </c>
      <c r="O23" s="19">
        <f>_xll.BDH("GILD US Equity","CF_CASH_FROM_OPER","FQ2 2022","FQ2 2022","Currency=USD","Period=FQ","BEST_FPERIOD_OVERRIDE=FQ","FILING_STATUS=MR","SCALING_FORMAT=MLN","Sort=A","Dates=H","DateFormat=P","Fill=—","Direction=H","UseDPDF=Y")</f>
        <v>1802</v>
      </c>
      <c r="P23" s="19">
        <f>_xll.BDH("GILD US Equity","CF_CASH_FROM_OPER","FQ3 2022","FQ3 2022","Currency=USD","Period=FQ","BEST_FPERIOD_OVERRIDE=FQ","FILING_STATUS=MR","SCALING_FORMAT=MLN","Sort=A","Dates=H","DateFormat=P","Fill=—","Direction=H","UseDPDF=Y")</f>
        <v>2863</v>
      </c>
      <c r="Q23" s="19">
        <f>_xll.BDH("GILD US Equity","CF_CASH_FROM_OPER","FQ4 2022","FQ4 2022","Currency=USD","Period=FQ","BEST_FPERIOD_OVERRIDE=FQ","FILING_STATUS=MR","SCALING_FORMAT=MLN","Sort=A","Dates=H","DateFormat=P","Fill=—","Direction=H","UseDPDF=Y")</f>
        <v>2567</v>
      </c>
      <c r="R23" s="19">
        <f>_xll.BDH("GILD US Equity","CF_CASH_FROM_OPER","FQ1 2023","FQ1 2023","Currency=USD","Period=FQ","BEST_FPERIOD_OVERRIDE=FQ","FILING_STATUS=MR","SCALING_FORMAT=MLN","Sort=A","Dates=H","DateFormat=P","Fill=—","Direction=H","UseDPDF=Y")</f>
        <v>1744</v>
      </c>
      <c r="S23" s="19">
        <f>_xll.BDH("GILD US Equity","CF_CASH_FROM_OPER","FQ2 2023","FQ2 2023","Currency=USD","Period=FQ","BEST_FPERIOD_OVERRIDE=FQ","FILING_STATUS=MR","SCALING_FORMAT=MLN","Sort=A","Dates=H","DateFormat=P","Fill=—","Direction=H","UseDPDF=Y")</f>
        <v>2338</v>
      </c>
      <c r="T23" s="19">
        <f>_xll.BDH("GILD US Equity","CF_CASH_FROM_OPER","FQ3 2023","FQ3 2023","Currency=USD","Period=FQ","BEST_FPERIOD_OVERRIDE=FQ","FILING_STATUS=MR","SCALING_FORMAT=MLN","Sort=A","Dates=H","DateFormat=P","Fill=—","Direction=H","UseDPDF=Y")</f>
        <v>1755</v>
      </c>
      <c r="U23" s="19">
        <f>_xll.BDH("GILD US Equity","CF_CASH_FROM_OPER","FQ4 2023","FQ4 2023","Currency=USD","Period=FQ","BEST_FPERIOD_OVERRIDE=FQ","FILING_STATUS=MR","SCALING_FORMAT=MLN","Sort=A","Dates=H","DateFormat=P","Fill=—","Direction=H","UseDPDF=Y")</f>
        <v>2169</v>
      </c>
      <c r="V23" s="19">
        <f>_xll.BDH("GILD US Equity","CF_CASH_FROM_OPER","FQ1 2024","FQ1 2024","Currency=USD","Period=FQ","BEST_FPERIOD_OVERRIDE=FQ","FILING_STATUS=MR","SCALING_FORMAT=MLN","Sort=A","Dates=H","DateFormat=P","Fill=—","Direction=H","UseDPDF=Y")</f>
        <v>2219</v>
      </c>
      <c r="W23" s="19">
        <f>_xll.BDH("GILD US Equity","CF_CASH_FROM_OPER","FQ2 2024","FQ2 2024","Currency=USD","Period=FQ","BEST_FPERIOD_OVERRIDE=FQ","FILING_STATUS=MR","SCALING_FORMAT=MLN","Sort=A","Dates=H","DateFormat=P","Fill=—","Direction=H","UseDPDF=Y")</f>
        <v>1325</v>
      </c>
      <c r="X23" s="19">
        <f>_xll.BDH("GILD US Equity","CF_CASH_FROM_OPER","FQ3 2024","FQ3 2024","Currency=USD","Period=FQ","BEST_FPERIOD_OVERRIDE=FQ","FILING_STATUS=MR","SCALING_FORMAT=MLN","Sort=A","Dates=H","DateFormat=P","Fill=—","Direction=H","UseDPDF=Y")</f>
        <v>4309</v>
      </c>
      <c r="Y23" s="19">
        <f>_xll.BDH("GILD US Equity","CF_CASH_FROM_OPER","FQ4 2024","FQ4 2024","Currency=USD","Period=FQ","BEST_FPERIOD_OVERRIDE=FQ","FILING_STATUS=MR","SCALING_FORMAT=MLN","Sort=A","Dates=H","DateFormat=P","Fill=—","Direction=H","UseDPDF=Y")</f>
        <v>2975</v>
      </c>
      <c r="Z23" s="19"/>
      <c r="AA23" s="19"/>
    </row>
    <row r="24" spans="1:27" x14ac:dyDescent="0.25">
      <c r="A24" s="6" t="s">
        <v>86</v>
      </c>
      <c r="B24" s="6" t="s">
        <v>87</v>
      </c>
      <c r="C24" s="19">
        <f>_xll.BDH("GILD US Equity","CAPITAL_EXPEND","FQ2 2019","FQ2 2019","Currency=USD","Period=FQ","BEST_FPERIOD_OVERRIDE=FQ","FILING_STATUS=MR","SCALING_FORMAT=MLN","Sort=A","Dates=H","DateFormat=P","Fill=—","Direction=H","UseDPDF=Y")</f>
        <v>-185</v>
      </c>
      <c r="D24" s="19">
        <f>_xll.BDH("GILD US Equity","CAPITAL_EXPEND","FQ3 2019","FQ3 2019","Currency=USD","Period=FQ","BEST_FPERIOD_OVERRIDE=FQ","FILING_STATUS=MR","SCALING_FORMAT=MLN","Sort=A","Dates=H","DateFormat=P","Fill=—","Direction=H","UseDPDF=Y")</f>
        <v>-200</v>
      </c>
      <c r="E24" s="19">
        <f>_xll.BDH("GILD US Equity","CAPITAL_EXPEND","FQ4 2019","FQ4 2019","Currency=USD","Period=FQ","BEST_FPERIOD_OVERRIDE=FQ","FILING_STATUS=MR","SCALING_FORMAT=MLN","Sort=A","Dates=H","DateFormat=P","Fill=—","Direction=H","UseDPDF=Y")</f>
        <v>-203</v>
      </c>
      <c r="F24" s="19">
        <f>_xll.BDH("GILD US Equity","CAPITAL_EXPEND","FQ1 2020","FQ1 2020","Currency=USD","Period=FQ","BEST_FPERIOD_OVERRIDE=FQ","FILING_STATUS=MR","SCALING_FORMAT=MLN","Sort=A","Dates=H","DateFormat=P","Fill=—","Direction=H","UseDPDF=Y")</f>
        <v>-171</v>
      </c>
      <c r="G24" s="19">
        <f>_xll.BDH("GILD US Equity","CAPITAL_EXPEND","FQ2 2020","FQ2 2020","Currency=USD","Period=FQ","BEST_FPERIOD_OVERRIDE=FQ","FILING_STATUS=MR","SCALING_FORMAT=MLN","Sort=A","Dates=H","DateFormat=P","Fill=—","Direction=H","UseDPDF=Y")</f>
        <v>-143</v>
      </c>
      <c r="H24" s="19">
        <f>_xll.BDH("GILD US Equity","CAPITAL_EXPEND","FQ3 2020","FQ3 2020","Currency=USD","Period=FQ","BEST_FPERIOD_OVERRIDE=FQ","FILING_STATUS=MR","SCALING_FORMAT=MLN","Sort=A","Dates=H","DateFormat=P","Fill=—","Direction=H","UseDPDF=Y")</f>
        <v>-155</v>
      </c>
      <c r="I24" s="19">
        <f>_xll.BDH("GILD US Equity","CAPITAL_EXPEND","FQ4 2020","FQ4 2020","Currency=USD","Period=FQ","BEST_FPERIOD_OVERRIDE=FQ","FILING_STATUS=MR","SCALING_FORMAT=MLN","Sort=A","Dates=H","DateFormat=P","Fill=—","Direction=H","UseDPDF=Y")</f>
        <v>-181</v>
      </c>
      <c r="J24" s="19">
        <f>_xll.BDH("GILD US Equity","CAPITAL_EXPEND","FQ1 2021","FQ1 2021","Currency=USD","Period=FQ","BEST_FPERIOD_OVERRIDE=FQ","FILING_STATUS=MR","SCALING_FORMAT=MLN","Sort=A","Dates=H","DateFormat=P","Fill=—","Direction=H","UseDPDF=Y")</f>
        <v>-165</v>
      </c>
      <c r="K24" s="19">
        <f>_xll.BDH("GILD US Equity","CAPITAL_EXPEND","FQ2 2021","FQ2 2021","Currency=USD","Period=FQ","BEST_FPERIOD_OVERRIDE=FQ","FILING_STATUS=MR","SCALING_FORMAT=MLN","Sort=A","Dates=H","DateFormat=P","Fill=—","Direction=H","UseDPDF=Y")</f>
        <v>-119</v>
      </c>
      <c r="L24" s="19">
        <f>_xll.BDH("GILD US Equity","CAPITAL_EXPEND","FQ3 2021","FQ3 2021","Currency=USD","Period=FQ","BEST_FPERIOD_OVERRIDE=FQ","FILING_STATUS=MR","SCALING_FORMAT=MLN","Sort=A","Dates=H","DateFormat=P","Fill=—","Direction=H","UseDPDF=Y")</f>
        <v>-139</v>
      </c>
      <c r="M24" s="19">
        <f>_xll.BDH("GILD US Equity","CAPITAL_EXPEND","FQ4 2021","FQ4 2021","Currency=USD","Period=FQ","BEST_FPERIOD_OVERRIDE=FQ","FILING_STATUS=MR","SCALING_FORMAT=MLN","Sort=A","Dates=H","DateFormat=P","Fill=—","Direction=H","UseDPDF=Y")</f>
        <v>-156</v>
      </c>
      <c r="N24" s="19">
        <f>_xll.BDH("GILD US Equity","CAPITAL_EXPEND","FQ1 2022","FQ1 2022","Currency=USD","Period=FQ","BEST_FPERIOD_OVERRIDE=FQ","FILING_STATUS=MR","SCALING_FORMAT=MLN","Sort=A","Dates=H","DateFormat=P","Fill=—","Direction=H","UseDPDF=Y")</f>
        <v>-247</v>
      </c>
      <c r="O24" s="19">
        <f>_xll.BDH("GILD US Equity","CAPITAL_EXPEND","FQ2 2022","FQ2 2022","Currency=USD","Period=FQ","BEST_FPERIOD_OVERRIDE=FQ","FILING_STATUS=MR","SCALING_FORMAT=MLN","Sort=A","Dates=H","DateFormat=P","Fill=—","Direction=H","UseDPDF=Y")</f>
        <v>-143</v>
      </c>
      <c r="P24" s="19">
        <f>_xll.BDH("GILD US Equity","CAPITAL_EXPEND","FQ3 2022","FQ3 2022","Currency=USD","Period=FQ","BEST_FPERIOD_OVERRIDE=FQ","FILING_STATUS=MR","SCALING_FORMAT=MLN","Sort=A","Dates=H","DateFormat=P","Fill=—","Direction=H","UseDPDF=Y")</f>
        <v>-157</v>
      </c>
      <c r="Q24" s="19">
        <f>_xll.BDH("GILD US Equity","CAPITAL_EXPEND","FQ4 2022","FQ4 2022","Currency=USD","Period=FQ","BEST_FPERIOD_OVERRIDE=FQ","FILING_STATUS=MR","SCALING_FORMAT=MLN","Sort=A","Dates=H","DateFormat=P","Fill=—","Direction=H","UseDPDF=Y")</f>
        <v>-181</v>
      </c>
      <c r="R24" s="19">
        <f>_xll.BDH("GILD US Equity","CAPITAL_EXPEND","FQ1 2023","FQ1 2023","Currency=USD","Period=FQ","BEST_FPERIOD_OVERRIDE=FQ","FILING_STATUS=MR","SCALING_FORMAT=MLN","Sort=A","Dates=H","DateFormat=P","Fill=—","Direction=H","UseDPDF=Y")</f>
        <v>-109</v>
      </c>
      <c r="S24" s="19">
        <f>_xll.BDH("GILD US Equity","CAPITAL_EXPEND","FQ2 2023","FQ2 2023","Currency=USD","Period=FQ","BEST_FPERIOD_OVERRIDE=FQ","FILING_STATUS=MR","SCALING_FORMAT=MLN","Sort=A","Dates=H","DateFormat=P","Fill=—","Direction=H","UseDPDF=Y")</f>
        <v>-139</v>
      </c>
      <c r="T24" s="19">
        <f>_xll.BDH("GILD US Equity","CAPITAL_EXPEND","FQ3 2023","FQ3 2023","Currency=USD","Period=FQ","BEST_FPERIOD_OVERRIDE=FQ","FILING_STATUS=MR","SCALING_FORMAT=MLN","Sort=A","Dates=H","DateFormat=P","Fill=—","Direction=H","UseDPDF=Y")</f>
        <v>-122</v>
      </c>
      <c r="U24" s="19">
        <f>_xll.BDH("GILD US Equity","CAPITAL_EXPEND","FQ4 2023","FQ4 2023","Currency=USD","Period=FQ","BEST_FPERIOD_OVERRIDE=FQ","FILING_STATUS=MR","SCALING_FORMAT=MLN","Sort=A","Dates=H","DateFormat=P","Fill=—","Direction=H","UseDPDF=Y")</f>
        <v>-215</v>
      </c>
      <c r="V24" s="19">
        <f>_xll.BDH("GILD US Equity","CAPITAL_EXPEND","FQ1 2024","FQ1 2024","Currency=USD","Period=FQ","BEST_FPERIOD_OVERRIDE=FQ","FILING_STATUS=MR","SCALING_FORMAT=MLN","Sort=A","Dates=H","DateFormat=P","Fill=—","Direction=H","UseDPDF=Y")</f>
        <v>-105</v>
      </c>
      <c r="W24" s="19">
        <f>_xll.BDH("GILD US Equity","CAPITAL_EXPEND","FQ2 2024","FQ2 2024","Currency=USD","Period=FQ","BEST_FPERIOD_OVERRIDE=FQ","FILING_STATUS=MR","SCALING_FORMAT=MLN","Sort=A","Dates=H","DateFormat=P","Fill=—","Direction=H","UseDPDF=Y")</f>
        <v>-130</v>
      </c>
      <c r="X24" s="19">
        <f>_xll.BDH("GILD US Equity","CAPITAL_EXPEND","FQ3 2024","FQ3 2024","Currency=USD","Period=FQ","BEST_FPERIOD_OVERRIDE=FQ","FILING_STATUS=MR","SCALING_FORMAT=MLN","Sort=A","Dates=H","DateFormat=P","Fill=—","Direction=H","UseDPDF=Y")</f>
        <v>-141</v>
      </c>
      <c r="Y24" s="19">
        <f>_xll.BDH("GILD US Equity","CAPITAL_EXPEND","FQ4 2024","FQ4 2024","Currency=USD","Period=FQ","BEST_FPERIOD_OVERRIDE=FQ","FILING_STATUS=MR","SCALING_FORMAT=MLN","Sort=A","Dates=H","DateFormat=P","Fill=—","Direction=H","UseDPDF=Y")</f>
        <v>-147</v>
      </c>
      <c r="Z24" s="19">
        <v>-138</v>
      </c>
      <c r="AA24" s="19">
        <v>-139.333</v>
      </c>
    </row>
    <row r="25" spans="1:27" x14ac:dyDescent="0.25">
      <c r="A25" s="6" t="s">
        <v>88</v>
      </c>
      <c r="B25" s="6" t="s">
        <v>89</v>
      </c>
      <c r="C25" s="19">
        <f>_xll.BDH("GILD US Equity","CF_FREE_CASH_FLOW","FQ2 2019","FQ2 2019","Currency=USD","Period=FQ","BEST_FPERIOD_OVERRIDE=FQ","FILING_STATUS=MR","SCALING_FORMAT=MLN","Sort=A","Dates=H","DateFormat=P","Fill=—","Direction=H","UseDPDF=Y")</f>
        <v>2157</v>
      </c>
      <c r="D25" s="19">
        <f>_xll.BDH("GILD US Equity","CF_FREE_CASH_FLOW","FQ3 2019","FQ3 2019","Currency=USD","Period=FQ","BEST_FPERIOD_OVERRIDE=FQ","FILING_STATUS=MR","SCALING_FORMAT=MLN","Sort=A","Dates=H","DateFormat=P","Fill=—","Direction=H","UseDPDF=Y")</f>
        <v>2699</v>
      </c>
      <c r="E25" s="19">
        <f>_xll.BDH("GILD US Equity","CF_FREE_CASH_FLOW","FQ4 2019","FQ4 2019","Currency=USD","Period=FQ","BEST_FPERIOD_OVERRIDE=FQ","FILING_STATUS=MR","SCALING_FORMAT=MLN","Sort=A","Dates=H","DateFormat=P","Fill=—","Direction=H","UseDPDF=Y")</f>
        <v>2377</v>
      </c>
      <c r="F25" s="19">
        <f>_xll.BDH("GILD US Equity","CF_FREE_CASH_FLOW","FQ1 2020","FQ1 2020","Currency=USD","Period=FQ","BEST_FPERIOD_OVERRIDE=FQ","FILING_STATUS=MR","SCALING_FORMAT=MLN","Sort=A","Dates=H","DateFormat=P","Fill=—","Direction=H","UseDPDF=Y")</f>
        <v>1265</v>
      </c>
      <c r="G25" s="19">
        <f>_xll.BDH("GILD US Equity","CF_FREE_CASH_FLOW","FQ2 2020","FQ2 2020","Currency=USD","Period=FQ","BEST_FPERIOD_OVERRIDE=FQ","FILING_STATUS=MR","SCALING_FORMAT=MLN","Sort=A","Dates=H","DateFormat=P","Fill=—","Direction=H","UseDPDF=Y")</f>
        <v>2423</v>
      </c>
      <c r="H25" s="19">
        <f>_xll.BDH("GILD US Equity","CF_FREE_CASH_FLOW","FQ3 2020","FQ3 2020","Currency=USD","Period=FQ","BEST_FPERIOD_OVERRIDE=FQ","FILING_STATUS=MR","SCALING_FORMAT=MLN","Sort=A","Dates=H","DateFormat=P","Fill=—","Direction=H","UseDPDF=Y")</f>
        <v>2095</v>
      </c>
      <c r="I25" s="19">
        <f>_xll.BDH("GILD US Equity","CF_FREE_CASH_FLOW","FQ4 2020","FQ4 2020","Currency=USD","Period=FQ","BEST_FPERIOD_OVERRIDE=FQ","FILING_STATUS=MR","SCALING_FORMAT=MLN","Sort=A","Dates=H","DateFormat=P","Fill=—","Direction=H","UseDPDF=Y")</f>
        <v>1735</v>
      </c>
      <c r="J25" s="19">
        <f>_xll.BDH("GILD US Equity","CF_FREE_CASH_FLOW","FQ1 2021","FQ1 2021","Currency=USD","Period=FQ","BEST_FPERIOD_OVERRIDE=FQ","FILING_STATUS=MR","SCALING_FORMAT=MLN","Sort=A","Dates=H","DateFormat=P","Fill=—","Direction=H","UseDPDF=Y")</f>
        <v>2445</v>
      </c>
      <c r="K25" s="19">
        <f>_xll.BDH("GILD US Equity","CF_FREE_CASH_FLOW","FQ2 2021","FQ2 2021","Currency=USD","Period=FQ","BEST_FPERIOD_OVERRIDE=FQ","FILING_STATUS=MR","SCALING_FORMAT=MLN","Sort=A","Dates=H","DateFormat=P","Fill=—","Direction=H","UseDPDF=Y")</f>
        <v>2197</v>
      </c>
      <c r="L25" s="19">
        <f>_xll.BDH("GILD US Equity","CF_FREE_CASH_FLOW","FQ3 2021","FQ3 2021","Currency=USD","Period=FQ","BEST_FPERIOD_OVERRIDE=FQ","FILING_STATUS=MR","SCALING_FORMAT=MLN","Sort=A","Dates=H","DateFormat=P","Fill=—","Direction=H","UseDPDF=Y")</f>
        <v>3114</v>
      </c>
      <c r="M25" s="19">
        <f>_xll.BDH("GILD US Equity","CF_FREE_CASH_FLOW","FQ4 2021","FQ4 2021","Currency=USD","Period=FQ","BEST_FPERIOD_OVERRIDE=FQ","FILING_STATUS=MR","SCALING_FORMAT=MLN","Sort=A","Dates=H","DateFormat=P","Fill=—","Direction=H","UseDPDF=Y")</f>
        <v>3049</v>
      </c>
      <c r="N25" s="19">
        <f>_xll.BDH("GILD US Equity","CF_FREE_CASH_FLOW","FQ1 2022","FQ1 2022","Currency=USD","Period=FQ","BEST_FPERIOD_OVERRIDE=FQ","FILING_STATUS=MR","SCALING_FORMAT=MLN","Sort=A","Dates=H","DateFormat=P","Fill=—","Direction=H","UseDPDF=Y")</f>
        <v>1593</v>
      </c>
      <c r="O25" s="19">
        <f>_xll.BDH("GILD US Equity","CF_FREE_CASH_FLOW","FQ2 2022","FQ2 2022","Currency=USD","Period=FQ","BEST_FPERIOD_OVERRIDE=FQ","FILING_STATUS=MR","SCALING_FORMAT=MLN","Sort=A","Dates=H","DateFormat=P","Fill=—","Direction=H","UseDPDF=Y")</f>
        <v>1659</v>
      </c>
      <c r="P25" s="19">
        <f>_xll.BDH("GILD US Equity","CF_FREE_CASH_FLOW","FQ3 2022","FQ3 2022","Currency=USD","Period=FQ","BEST_FPERIOD_OVERRIDE=FQ","FILING_STATUS=MR","SCALING_FORMAT=MLN","Sort=A","Dates=H","DateFormat=P","Fill=—","Direction=H","UseDPDF=Y")</f>
        <v>2706</v>
      </c>
      <c r="Q25" s="19">
        <f>_xll.BDH("GILD US Equity","CF_FREE_CASH_FLOW","FQ4 2022","FQ4 2022","Currency=USD","Period=FQ","BEST_FPERIOD_OVERRIDE=FQ","FILING_STATUS=MR","SCALING_FORMAT=MLN","Sort=A","Dates=H","DateFormat=P","Fill=—","Direction=H","UseDPDF=Y")</f>
        <v>2386</v>
      </c>
      <c r="R25" s="19">
        <f>_xll.BDH("GILD US Equity","CF_FREE_CASH_FLOW","FQ1 2023","FQ1 2023","Currency=USD","Period=FQ","BEST_FPERIOD_OVERRIDE=FQ","FILING_STATUS=MR","SCALING_FORMAT=MLN","Sort=A","Dates=H","DateFormat=P","Fill=—","Direction=H","UseDPDF=Y")</f>
        <v>1635</v>
      </c>
      <c r="S25" s="19">
        <f>_xll.BDH("GILD US Equity","CF_FREE_CASH_FLOW","FQ2 2023","FQ2 2023","Currency=USD","Period=FQ","BEST_FPERIOD_OVERRIDE=FQ","FILING_STATUS=MR","SCALING_FORMAT=MLN","Sort=A","Dates=H","DateFormat=P","Fill=—","Direction=H","UseDPDF=Y")</f>
        <v>2199</v>
      </c>
      <c r="T25" s="19">
        <f>_xll.BDH("GILD US Equity","CF_FREE_CASH_FLOW","FQ3 2023","FQ3 2023","Currency=USD","Period=FQ","BEST_FPERIOD_OVERRIDE=FQ","FILING_STATUS=MR","SCALING_FORMAT=MLN","Sort=A","Dates=H","DateFormat=P","Fill=—","Direction=H","UseDPDF=Y")</f>
        <v>1633</v>
      </c>
      <c r="U25" s="19">
        <f>_xll.BDH("GILD US Equity","CF_FREE_CASH_FLOW","FQ4 2023","FQ4 2023","Currency=USD","Period=FQ","BEST_FPERIOD_OVERRIDE=FQ","FILING_STATUS=MR","SCALING_FORMAT=MLN","Sort=A","Dates=H","DateFormat=P","Fill=—","Direction=H","UseDPDF=Y")</f>
        <v>1954</v>
      </c>
      <c r="V25" s="19">
        <f>_xll.BDH("GILD US Equity","CF_FREE_CASH_FLOW","FQ1 2024","FQ1 2024","Currency=USD","Period=FQ","BEST_FPERIOD_OVERRIDE=FQ","FILING_STATUS=MR","SCALING_FORMAT=MLN","Sort=A","Dates=H","DateFormat=P","Fill=—","Direction=H","UseDPDF=Y")</f>
        <v>2114</v>
      </c>
      <c r="W25" s="19">
        <f>_xll.BDH("GILD US Equity","CF_FREE_CASH_FLOW","FQ2 2024","FQ2 2024","Currency=USD","Period=FQ","BEST_FPERIOD_OVERRIDE=FQ","FILING_STATUS=MR","SCALING_FORMAT=MLN","Sort=A","Dates=H","DateFormat=P","Fill=—","Direction=H","UseDPDF=Y")</f>
        <v>1195</v>
      </c>
      <c r="X25" s="19">
        <f>_xll.BDH("GILD US Equity","CF_FREE_CASH_FLOW","FQ3 2024","FQ3 2024","Currency=USD","Period=FQ","BEST_FPERIOD_OVERRIDE=FQ","FILING_STATUS=MR","SCALING_FORMAT=MLN","Sort=A","Dates=H","DateFormat=P","Fill=—","Direction=H","UseDPDF=Y")</f>
        <v>4168</v>
      </c>
      <c r="Y25" s="19">
        <f>_xll.BDH("GILD US Equity","CF_FREE_CASH_FLOW","FQ4 2024","FQ4 2024","Currency=USD","Period=FQ","BEST_FPERIOD_OVERRIDE=FQ","FILING_STATUS=MR","SCALING_FORMAT=MLN","Sort=A","Dates=H","DateFormat=P","Fill=—","Direction=H","UseDPDF=Y")</f>
        <v>2828</v>
      </c>
      <c r="Z25" s="19">
        <v>2245.2429999999999</v>
      </c>
      <c r="AA25" s="19">
        <v>2312.163</v>
      </c>
    </row>
    <row r="26" spans="1:27" x14ac:dyDescent="0.25">
      <c r="A26" s="7" t="s">
        <v>90</v>
      </c>
      <c r="B26" s="7"/>
      <c r="C26" s="7" t="s">
        <v>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65"/>
  <sheetViews>
    <sheetView workbookViewId="0">
      <selection activeCell="L21" sqref="A1:XFD1048576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411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0</v>
      </c>
      <c r="B6" s="6" t="s">
        <v>71</v>
      </c>
      <c r="C6" s="19">
        <f>_xll.BDH("GILD US Equity","SALES_REV_TURN","FQ2 2019","FQ2 2019","Currency=USD","Period=FQ","BEST_FPERIOD_OVERRIDE=FQ","FILING_STATUS=MR","SCALING_FORMAT=MLN","FA_ADJUSTED=GAAP","Sort=A","Dates=H","DateFormat=P","Fill=—","Direction=H","UseDPDF=Y")</f>
        <v>5685</v>
      </c>
      <c r="D6" s="19">
        <f>_xll.BDH("GILD US Equity","SALES_REV_TURN","FQ3 2019","FQ3 2019","Currency=USD","Period=FQ","BEST_FPERIOD_OVERRIDE=FQ","FILING_STATUS=MR","SCALING_FORMAT=MLN","FA_ADJUSTED=GAAP","Sort=A","Dates=H","DateFormat=P","Fill=—","Direction=H","UseDPDF=Y")</f>
        <v>5604</v>
      </c>
      <c r="E6" s="19">
        <f>_xll.BDH("GILD US Equity","SALES_REV_TURN","FQ4 2019","FQ4 2019","Currency=USD","Period=FQ","BEST_FPERIOD_OVERRIDE=FQ","FILING_STATUS=MR","SCALING_FORMAT=MLN","FA_ADJUSTED=GAAP","Sort=A","Dates=H","DateFormat=P","Fill=—","Direction=H","UseDPDF=Y")</f>
        <v>5879</v>
      </c>
      <c r="F6" s="19">
        <f>_xll.BDH("GILD US Equity","SALES_REV_TURN","FQ1 2020","FQ1 2020","Currency=USD","Period=FQ","BEST_FPERIOD_OVERRIDE=FQ","FILING_STATUS=MR","SCALING_FORMAT=MLN","FA_ADJUSTED=GAAP","Sort=A","Dates=H","DateFormat=P","Fill=—","Direction=H","UseDPDF=Y")</f>
        <v>5548</v>
      </c>
      <c r="G6" s="19">
        <f>_xll.BDH("GILD US Equity","SALES_REV_TURN","FQ2 2020","FQ2 2020","Currency=USD","Period=FQ","BEST_FPERIOD_OVERRIDE=FQ","FILING_STATUS=MR","SCALING_FORMAT=MLN","FA_ADJUSTED=GAAP","Sort=A","Dates=H","DateFormat=P","Fill=—","Direction=H","UseDPDF=Y")</f>
        <v>5143</v>
      </c>
      <c r="H6" s="19">
        <f>_xll.BDH("GILD US Equity","SALES_REV_TURN","FQ3 2020","FQ3 2020","Currency=USD","Period=FQ","BEST_FPERIOD_OVERRIDE=FQ","FILING_STATUS=MR","SCALING_FORMAT=MLN","FA_ADJUSTED=GAAP","Sort=A","Dates=H","DateFormat=P","Fill=—","Direction=H","UseDPDF=Y")</f>
        <v>6577</v>
      </c>
      <c r="I6" s="19">
        <f>_xll.BDH("GILD US Equity","SALES_REV_TURN","FQ4 2020","FQ4 2020","Currency=USD","Period=FQ","BEST_FPERIOD_OVERRIDE=FQ","FILING_STATUS=MR","SCALING_FORMAT=MLN","FA_ADJUSTED=GAAP","Sort=A","Dates=H","DateFormat=P","Fill=—","Direction=H","UseDPDF=Y")</f>
        <v>7421</v>
      </c>
      <c r="J6" s="19">
        <f>_xll.BDH("GILD US Equity","SALES_REV_TURN","FQ1 2021","FQ1 2021","Currency=USD","Period=FQ","BEST_FPERIOD_OVERRIDE=FQ","FILING_STATUS=MR","SCALING_FORMAT=MLN","FA_ADJUSTED=GAAP","Sort=A","Dates=H","DateFormat=P","Fill=—","Direction=H","UseDPDF=Y")</f>
        <v>6423</v>
      </c>
      <c r="K6" s="19">
        <f>_xll.BDH("GILD US Equity","SALES_REV_TURN","FQ2 2021","FQ2 2021","Currency=USD","Period=FQ","BEST_FPERIOD_OVERRIDE=FQ","FILING_STATUS=MR","SCALING_FORMAT=MLN","FA_ADJUSTED=GAAP","Sort=A","Dates=H","DateFormat=P","Fill=—","Direction=H","UseDPDF=Y")</f>
        <v>6217</v>
      </c>
      <c r="L6" s="19">
        <f>_xll.BDH("GILD US Equity","SALES_REV_TURN","FQ3 2021","FQ3 2021","Currency=USD","Period=FQ","BEST_FPERIOD_OVERRIDE=FQ","FILING_STATUS=MR","SCALING_FORMAT=MLN","FA_ADJUSTED=GAAP","Sort=A","Dates=H","DateFormat=P","Fill=—","Direction=H","UseDPDF=Y")</f>
        <v>7421</v>
      </c>
      <c r="M6" s="19">
        <f>_xll.BDH("GILD US Equity","SALES_REV_TURN","FQ4 2021","FQ4 2021","Currency=USD","Period=FQ","BEST_FPERIOD_OVERRIDE=FQ","FILING_STATUS=MR","SCALING_FORMAT=MLN","FA_ADJUSTED=GAAP","Sort=A","Dates=H","DateFormat=P","Fill=—","Direction=H","UseDPDF=Y")</f>
        <v>7244</v>
      </c>
      <c r="N6" s="19">
        <f>_xll.BDH("GILD US Equity","SALES_REV_TURN","FQ1 2022","FQ1 2022","Currency=USD","Period=FQ","BEST_FPERIOD_OVERRIDE=FQ","FILING_STATUS=MR","SCALING_FORMAT=MLN","FA_ADJUSTED=GAAP","Sort=A","Dates=H","DateFormat=P","Fill=—","Direction=H","UseDPDF=Y")</f>
        <v>6590</v>
      </c>
      <c r="O6" s="19">
        <f>_xll.BDH("GILD US Equity","SALES_REV_TURN","FQ2 2022","FQ2 2022","Currency=USD","Period=FQ","BEST_FPERIOD_OVERRIDE=FQ","FILING_STATUS=MR","SCALING_FORMAT=MLN","FA_ADJUSTED=GAAP","Sort=A","Dates=H","DateFormat=P","Fill=—","Direction=H","UseDPDF=Y")</f>
        <v>6260</v>
      </c>
      <c r="P6" s="19">
        <f>_xll.BDH("GILD US Equity","SALES_REV_TURN","FQ3 2022","FQ3 2022","Currency=USD","Period=FQ","BEST_FPERIOD_OVERRIDE=FQ","FILING_STATUS=MR","SCALING_FORMAT=MLN","FA_ADJUSTED=GAAP","Sort=A","Dates=H","DateFormat=P","Fill=—","Direction=H","UseDPDF=Y")</f>
        <v>7042</v>
      </c>
      <c r="Q6" s="19">
        <f>_xll.BDH("GILD US Equity","SALES_REV_TURN","FQ4 2022","FQ4 2022","Currency=USD","Period=FQ","BEST_FPERIOD_OVERRIDE=FQ","FILING_STATUS=MR","SCALING_FORMAT=MLN","FA_ADJUSTED=GAAP","Sort=A","Dates=H","DateFormat=P","Fill=—","Direction=H","UseDPDF=Y")</f>
        <v>7389</v>
      </c>
      <c r="R6" s="19">
        <f>_xll.BDH("GILD US Equity","SALES_REV_TURN","FQ1 2023","FQ1 2023","Currency=USD","Period=FQ","BEST_FPERIOD_OVERRIDE=FQ","FILING_STATUS=MR","SCALING_FORMAT=MLN","FA_ADJUSTED=GAAP","Sort=A","Dates=H","DateFormat=P","Fill=—","Direction=H","UseDPDF=Y")</f>
        <v>6352</v>
      </c>
      <c r="S6" s="19">
        <f>_xll.BDH("GILD US Equity","SALES_REV_TURN","FQ2 2023","FQ2 2023","Currency=USD","Period=FQ","BEST_FPERIOD_OVERRIDE=FQ","FILING_STATUS=MR","SCALING_FORMAT=MLN","FA_ADJUSTED=GAAP","Sort=A","Dates=H","DateFormat=P","Fill=—","Direction=H","UseDPDF=Y")</f>
        <v>6599</v>
      </c>
      <c r="T6" s="19">
        <f>_xll.BDH("GILD US Equity","SALES_REV_TURN","FQ3 2023","FQ3 2023","Currency=USD","Period=FQ","BEST_FPERIOD_OVERRIDE=FQ","FILING_STATUS=MR","SCALING_FORMAT=MLN","FA_ADJUSTED=GAAP","Sort=A","Dates=H","DateFormat=P","Fill=—","Direction=H","UseDPDF=Y")</f>
        <v>7051</v>
      </c>
      <c r="U6" s="19">
        <f>_xll.BDH("GILD US Equity","SALES_REV_TURN","FQ4 2023","FQ4 2023","Currency=USD","Period=FQ","BEST_FPERIOD_OVERRIDE=FQ","FILING_STATUS=MR","SCALING_FORMAT=MLN","FA_ADJUSTED=GAAP","Sort=A","Dates=H","DateFormat=P","Fill=—","Direction=H","UseDPDF=Y")</f>
        <v>7115</v>
      </c>
      <c r="V6" s="19">
        <f>_xll.BDH("GILD US Equity","SALES_REV_TURN","FQ1 2024","FQ1 2024","Currency=USD","Period=FQ","BEST_FPERIOD_OVERRIDE=FQ","FILING_STATUS=MR","SCALING_FORMAT=MLN","FA_ADJUSTED=GAAP","Sort=A","Dates=H","DateFormat=P","Fill=—","Direction=H","UseDPDF=Y")</f>
        <v>6686</v>
      </c>
      <c r="W6" s="19">
        <f>_xll.BDH("GILD US Equity","SALES_REV_TURN","FQ2 2024","FQ2 2024","Currency=USD","Period=FQ","BEST_FPERIOD_OVERRIDE=FQ","FILING_STATUS=MR","SCALING_FORMAT=MLN","FA_ADJUSTED=GAAP","Sort=A","Dates=H","DateFormat=P","Fill=—","Direction=H","UseDPDF=Y")</f>
        <v>6953</v>
      </c>
      <c r="X6" s="19">
        <f>_xll.BDH("GILD US Equity","SALES_REV_TURN","FQ3 2024","FQ3 2024","Currency=USD","Period=FQ","BEST_FPERIOD_OVERRIDE=FQ","FILING_STATUS=MR","SCALING_FORMAT=MLN","FA_ADJUSTED=GAAP","Sort=A","Dates=H","DateFormat=P","Fill=—","Direction=H","UseDPDF=Y")</f>
        <v>7545</v>
      </c>
      <c r="Y6" s="19">
        <f>_xll.BDH("GILD US Equity","SALES_REV_TURN","FQ4 2024","FQ4 2024","Currency=USD","Period=FQ","BEST_FPERIOD_OVERRIDE=FQ","FILING_STATUS=MR","SCALING_FORMAT=MLN","FA_ADJUSTED=GAAP","Sort=A","Dates=H","DateFormat=P","Fill=—","Direction=H","UseDPDF=Y")</f>
        <v>7569</v>
      </c>
      <c r="Z6" s="19">
        <v>6764.3159999999998</v>
      </c>
      <c r="AA6" s="19">
        <v>6947.6840000000002</v>
      </c>
    </row>
    <row r="7" spans="1:27" x14ac:dyDescent="0.25">
      <c r="A7" s="10" t="s">
        <v>313</v>
      </c>
      <c r="B7" s="10" t="s">
        <v>314</v>
      </c>
      <c r="C7" s="13">
        <f>_xll.BDH("GILD US Equity","IS_SALES_AND_SERVICES_REVENUES","FQ2 2019","FQ2 2019","Currency=USD","Period=FQ","BEST_FPERIOD_OVERRIDE=FQ","FILING_STATUS=MR","SCALING_FORMAT=MLN","FA_ADJUSTED=GAAP","Sort=A","Dates=H","DateFormat=P","Fill=—","Direction=H","UseDPDF=Y")</f>
        <v>5607</v>
      </c>
      <c r="D7" s="13">
        <f>_xll.BDH("GILD US Equity","IS_SALES_AND_SERVICES_REVENUES","FQ3 2019","FQ3 2019","Currency=USD","Period=FQ","BEST_FPERIOD_OVERRIDE=FQ","FILING_STATUS=MR","SCALING_FORMAT=MLN","FA_ADJUSTED=GAAP","Sort=A","Dates=H","DateFormat=P","Fill=—","Direction=H","UseDPDF=Y")</f>
        <v>5516</v>
      </c>
      <c r="E7" s="13">
        <f>_xll.BDH("GILD US Equity","IS_SALES_AND_SERVICES_REVENUES","FQ4 2019","FQ4 2019","Currency=USD","Period=FQ","BEST_FPERIOD_OVERRIDE=FQ","FILING_STATUS=MR","SCALING_FORMAT=MLN","FA_ADJUSTED=GAAP","Sort=A","Dates=H","DateFormat=P","Fill=—","Direction=H","UseDPDF=Y")</f>
        <v>5796</v>
      </c>
      <c r="F7" s="13">
        <f>_xll.BDH("GILD US Equity","IS_SALES_AND_SERVICES_REVENUES","FQ1 2020","FQ1 2020","Currency=USD","Period=FQ","BEST_FPERIOD_OVERRIDE=FQ","FILING_STATUS=MR","SCALING_FORMAT=MLN","FA_ADJUSTED=GAAP","Sort=A","Dates=H","DateFormat=P","Fill=—","Direction=H","UseDPDF=Y")</f>
        <v>5467</v>
      </c>
      <c r="G7" s="13">
        <f>_xll.BDH("GILD US Equity","IS_SALES_AND_SERVICES_REVENUES","FQ2 2020","FQ2 2020","Currency=USD","Period=FQ","BEST_FPERIOD_OVERRIDE=FQ","FILING_STATUS=MR","SCALING_FORMAT=MLN","FA_ADJUSTED=GAAP","Sort=A","Dates=H","DateFormat=P","Fill=—","Direction=H","UseDPDF=Y")</f>
        <v>5067</v>
      </c>
      <c r="H7" s="13">
        <f>_xll.BDH("GILD US Equity","IS_SALES_AND_SERVICES_REVENUES","FQ3 2020","FQ3 2020","Currency=USD","Period=FQ","BEST_FPERIOD_OVERRIDE=FQ","FILING_STATUS=MR","SCALING_FORMAT=MLN","FA_ADJUSTED=GAAP","Sort=A","Dates=H","DateFormat=P","Fill=—","Direction=H","UseDPDF=Y")</f>
        <v>6493</v>
      </c>
      <c r="I7" s="13">
        <f>_xll.BDH("GILD US Equity","IS_SALES_AND_SERVICES_REVENUES","FQ4 2020","FQ4 2020","Currency=USD","Period=FQ","BEST_FPERIOD_OVERRIDE=FQ","FILING_STATUS=MR","SCALING_FORMAT=MLN","FA_ADJUSTED=GAAP","Sort=A","Dates=H","DateFormat=P","Fill=—","Direction=H","UseDPDF=Y")</f>
        <v>7328</v>
      </c>
      <c r="J7" s="13">
        <f>_xll.BDH("GILD US Equity","IS_SALES_AND_SERVICES_REVENUES","FQ1 2021","FQ1 2021","Currency=USD","Period=FQ","BEST_FPERIOD_OVERRIDE=FQ","FILING_STATUS=MR","SCALING_FORMAT=MLN","FA_ADJUSTED=GAAP","Sort=A","Dates=H","DateFormat=P","Fill=—","Direction=H","UseDPDF=Y")</f>
        <v>6340</v>
      </c>
      <c r="K7" s="13">
        <f>_xll.BDH("GILD US Equity","IS_SALES_AND_SERVICES_REVENUES","FQ2 2021","FQ2 2021","Currency=USD","Period=FQ","BEST_FPERIOD_OVERRIDE=FQ","FILING_STATUS=MR","SCALING_FORMAT=MLN","FA_ADJUSTED=GAAP","Sort=A","Dates=H","DateFormat=P","Fill=—","Direction=H","UseDPDF=Y")</f>
        <v>6152</v>
      </c>
      <c r="L7" s="13">
        <f>_xll.BDH("GILD US Equity","IS_SALES_AND_SERVICES_REVENUES","FQ3 2021","FQ3 2021","Currency=USD","Period=FQ","BEST_FPERIOD_OVERRIDE=FQ","FILING_STATUS=MR","SCALING_FORMAT=MLN","FA_ADJUSTED=GAAP","Sort=A","Dates=H","DateFormat=P","Fill=—","Direction=H","UseDPDF=Y")</f>
        <v>7356</v>
      </c>
      <c r="M7" s="13">
        <f>_xll.BDH("GILD US Equity","IS_SALES_AND_SERVICES_REVENUES","FQ4 2021","FQ4 2021","Currency=USD","Period=FQ","BEST_FPERIOD_OVERRIDE=FQ","FILING_STATUS=MR","SCALING_FORMAT=MLN","FA_ADJUSTED=GAAP","Sort=A","Dates=H","DateFormat=P","Fill=—","Direction=H","UseDPDF=Y")</f>
        <v>7160</v>
      </c>
      <c r="N7" s="13">
        <f>_xll.BDH("GILD US Equity","IS_SALES_AND_SERVICES_REVENUES","FQ1 2022","FQ1 2022","Currency=USD","Period=FQ","BEST_FPERIOD_OVERRIDE=FQ","FILING_STATUS=MR","SCALING_FORMAT=MLN","FA_ADJUSTED=GAAP","Sort=A","Dates=H","DateFormat=P","Fill=—","Direction=H","UseDPDF=Y")</f>
        <v>6534</v>
      </c>
      <c r="O7" s="13">
        <f>_xll.BDH("GILD US Equity","IS_SALES_AND_SERVICES_REVENUES","FQ2 2022","FQ2 2022","Currency=USD","Period=FQ","BEST_FPERIOD_OVERRIDE=FQ","FILING_STATUS=MR","SCALING_FORMAT=MLN","FA_ADJUSTED=GAAP","Sort=A","Dates=H","DateFormat=P","Fill=—","Direction=H","UseDPDF=Y")</f>
        <v>6138</v>
      </c>
      <c r="P7" s="13">
        <f>_xll.BDH("GILD US Equity","IS_SALES_AND_SERVICES_REVENUES","FQ3 2022","FQ3 2022","Currency=USD","Period=FQ","BEST_FPERIOD_OVERRIDE=FQ","FILING_STATUS=MR","SCALING_FORMAT=MLN","FA_ADJUSTED=GAAP","Sort=A","Dates=H","DateFormat=P","Fill=—","Direction=H","UseDPDF=Y")</f>
        <v>6978</v>
      </c>
      <c r="Q7" s="13">
        <f>_xll.BDH("GILD US Equity","IS_SALES_AND_SERVICES_REVENUES","FQ4 2022","FQ4 2022","Currency=USD","Period=FQ","BEST_FPERIOD_OVERRIDE=FQ","FILING_STATUS=MR","SCALING_FORMAT=MLN","FA_ADJUSTED=GAAP","Sort=A","Dates=H","DateFormat=P","Fill=—","Direction=H","UseDPDF=Y")</f>
        <v>7333</v>
      </c>
      <c r="R7" s="13">
        <f>_xll.BDH("GILD US Equity","IS_SALES_AND_SERVICES_REVENUES","FQ1 2023","FQ1 2023","Currency=USD","Period=FQ","BEST_FPERIOD_OVERRIDE=FQ","FILING_STATUS=MR","SCALING_FORMAT=MLN","FA_ADJUSTED=GAAP","Sort=A","Dates=H","DateFormat=P","Fill=—","Direction=H","UseDPDF=Y")</f>
        <v>6306</v>
      </c>
      <c r="S7" s="13">
        <f>_xll.BDH("GILD US Equity","IS_SALES_AND_SERVICES_REVENUES","FQ2 2023","FQ2 2023","Currency=USD","Period=FQ","BEST_FPERIOD_OVERRIDE=FQ","FILING_STATUS=MR","SCALING_FORMAT=MLN","FA_ADJUSTED=GAAP","Sort=A","Dates=H","DateFormat=P","Fill=—","Direction=H","UseDPDF=Y")</f>
        <v>6564</v>
      </c>
      <c r="T7" s="13">
        <f>_xll.BDH("GILD US Equity","IS_SALES_AND_SERVICES_REVENUES","FQ3 2023","FQ3 2023","Currency=USD","Period=FQ","BEST_FPERIOD_OVERRIDE=FQ","FILING_STATUS=MR","SCALING_FORMAT=MLN","FA_ADJUSTED=GAAP","Sort=A","Dates=H","DateFormat=P","Fill=—","Direction=H","UseDPDF=Y")</f>
        <v>6994</v>
      </c>
      <c r="U7" s="13">
        <f>_xll.BDH("GILD US Equity","IS_SALES_AND_SERVICES_REVENUES","FQ4 2023","FQ4 2023","Currency=USD","Period=FQ","BEST_FPERIOD_OVERRIDE=FQ","FILING_STATUS=MR","SCALING_FORMAT=MLN","FA_ADJUSTED=GAAP","Sort=A","Dates=H","DateFormat=P","Fill=—","Direction=H","UseDPDF=Y")</f>
        <v>7070</v>
      </c>
      <c r="V7" s="13">
        <f>_xll.BDH("GILD US Equity","IS_SALES_AND_SERVICES_REVENUES","FQ1 2024","FQ1 2024","Currency=USD","Period=FQ","BEST_FPERIOD_OVERRIDE=FQ","FILING_STATUS=MR","SCALING_FORMAT=MLN","FA_ADJUSTED=GAAP","Sort=A","Dates=H","DateFormat=P","Fill=—","Direction=H","UseDPDF=Y")</f>
        <v>6647</v>
      </c>
      <c r="W7" s="13">
        <f>_xll.BDH("GILD US Equity","IS_SALES_AND_SERVICES_REVENUES","FQ2 2024","FQ2 2024","Currency=USD","Period=FQ","BEST_FPERIOD_OVERRIDE=FQ","FILING_STATUS=MR","SCALING_FORMAT=MLN","FA_ADJUSTED=GAAP","Sort=A","Dates=H","DateFormat=P","Fill=—","Direction=H","UseDPDF=Y")</f>
        <v>6912</v>
      </c>
      <c r="X7" s="13">
        <f>_xll.BDH("GILD US Equity","IS_SALES_AND_SERVICES_REVENUES","FQ3 2024","FQ3 2024","Currency=USD","Period=FQ","BEST_FPERIOD_OVERRIDE=FQ","FILING_STATUS=MR","SCALING_FORMAT=MLN","FA_ADJUSTED=GAAP","Sort=A","Dates=H","DateFormat=P","Fill=—","Direction=H","UseDPDF=Y")</f>
        <v>7515</v>
      </c>
      <c r="Y7" s="13">
        <f>_xll.BDH("GILD US Equity","IS_SALES_AND_SERVICES_REVENUES","FQ4 2024","FQ4 2024","Currency=USD","Period=FQ","BEST_FPERIOD_OVERRIDE=FQ","FILING_STATUS=MR","SCALING_FORMAT=MLN","FA_ADJUSTED=GAAP","Sort=A","Dates=H","DateFormat=P","Fill=—","Direction=H","UseDPDF=Y")</f>
        <v>7536</v>
      </c>
      <c r="Z7" s="13"/>
      <c r="AA7" s="13"/>
    </row>
    <row r="8" spans="1:27" x14ac:dyDescent="0.25">
      <c r="A8" s="10" t="s">
        <v>315</v>
      </c>
      <c r="B8" s="10" t="s">
        <v>316</v>
      </c>
      <c r="C8" s="13">
        <f>_xll.BDH("GILD US Equity","IS_OTHER_REVENUE","FQ2 2019","FQ2 2019","Currency=USD","Period=FQ","BEST_FPERIOD_OVERRIDE=FQ","FILING_STATUS=MR","SCALING_FORMAT=MLN","FA_ADJUSTED=GAAP","Sort=A","Dates=H","DateFormat=P","Fill=—","Direction=H","UseDPDF=Y")</f>
        <v>78</v>
      </c>
      <c r="D8" s="13">
        <f>_xll.BDH("GILD US Equity","IS_OTHER_REVENUE","FQ3 2019","FQ3 2019","Currency=USD","Period=FQ","BEST_FPERIOD_OVERRIDE=FQ","FILING_STATUS=MR","SCALING_FORMAT=MLN","FA_ADJUSTED=GAAP","Sort=A","Dates=H","DateFormat=P","Fill=—","Direction=H","UseDPDF=Y")</f>
        <v>88</v>
      </c>
      <c r="E8" s="13">
        <f>_xll.BDH("GILD US Equity","IS_OTHER_REVENUE","FQ4 2019","FQ4 2019","Currency=USD","Period=FQ","BEST_FPERIOD_OVERRIDE=FQ","FILING_STATUS=MR","SCALING_FORMAT=MLN","FA_ADJUSTED=GAAP","Sort=A","Dates=H","DateFormat=P","Fill=—","Direction=H","UseDPDF=Y")</f>
        <v>83</v>
      </c>
      <c r="F8" s="13">
        <f>_xll.BDH("GILD US Equity","IS_OTHER_REVENUE","FQ1 2020","FQ1 2020","Currency=USD","Period=FQ","BEST_FPERIOD_OVERRIDE=FQ","FILING_STATUS=MR","SCALING_FORMAT=MLN","FA_ADJUSTED=GAAP","Sort=A","Dates=H","DateFormat=P","Fill=—","Direction=H","UseDPDF=Y")</f>
        <v>81</v>
      </c>
      <c r="G8" s="13">
        <f>_xll.BDH("GILD US Equity","IS_OTHER_REVENUE","FQ2 2020","FQ2 2020","Currency=USD","Period=FQ","BEST_FPERIOD_OVERRIDE=FQ","FILING_STATUS=MR","SCALING_FORMAT=MLN","FA_ADJUSTED=GAAP","Sort=A","Dates=H","DateFormat=P","Fill=—","Direction=H","UseDPDF=Y")</f>
        <v>76</v>
      </c>
      <c r="H8" s="13">
        <f>_xll.BDH("GILD US Equity","IS_OTHER_REVENUE","FQ3 2020","FQ3 2020","Currency=USD","Period=FQ","BEST_FPERIOD_OVERRIDE=FQ","FILING_STATUS=MR","SCALING_FORMAT=MLN","FA_ADJUSTED=GAAP","Sort=A","Dates=H","DateFormat=P","Fill=—","Direction=H","UseDPDF=Y")</f>
        <v>84</v>
      </c>
      <c r="I8" s="13">
        <f>_xll.BDH("GILD US Equity","IS_OTHER_REVENUE","FQ4 2020","FQ4 2020","Currency=USD","Period=FQ","BEST_FPERIOD_OVERRIDE=FQ","FILING_STATUS=MR","SCALING_FORMAT=MLN","FA_ADJUSTED=GAAP","Sort=A","Dates=H","DateFormat=P","Fill=—","Direction=H","UseDPDF=Y")</f>
        <v>93</v>
      </c>
      <c r="J8" s="13">
        <f>_xll.BDH("GILD US Equity","IS_OTHER_REVENUE","FQ1 2021","FQ1 2021","Currency=USD","Period=FQ","BEST_FPERIOD_OVERRIDE=FQ","FILING_STATUS=MR","SCALING_FORMAT=MLN","FA_ADJUSTED=GAAP","Sort=A","Dates=H","DateFormat=P","Fill=—","Direction=H","UseDPDF=Y")</f>
        <v>83</v>
      </c>
      <c r="K8" s="13">
        <f>_xll.BDH("GILD US Equity","IS_OTHER_REVENUE","FQ2 2021","FQ2 2021","Currency=USD","Period=FQ","BEST_FPERIOD_OVERRIDE=FQ","FILING_STATUS=MR","SCALING_FORMAT=MLN","FA_ADJUSTED=GAAP","Sort=A","Dates=H","DateFormat=P","Fill=—","Direction=H","UseDPDF=Y")</f>
        <v>65</v>
      </c>
      <c r="L8" s="13">
        <f>_xll.BDH("GILD US Equity","IS_OTHER_REVENUE","FQ3 2021","FQ3 2021","Currency=USD","Period=FQ","BEST_FPERIOD_OVERRIDE=FQ","FILING_STATUS=MR","SCALING_FORMAT=MLN","FA_ADJUSTED=GAAP","Sort=A","Dates=H","DateFormat=P","Fill=—","Direction=H","UseDPDF=Y")</f>
        <v>65</v>
      </c>
      <c r="M8" s="13">
        <f>_xll.BDH("GILD US Equity","IS_OTHER_REVENUE","FQ4 2021","FQ4 2021","Currency=USD","Period=FQ","BEST_FPERIOD_OVERRIDE=FQ","FILING_STATUS=MR","SCALING_FORMAT=MLN","FA_ADJUSTED=GAAP","Sort=A","Dates=H","DateFormat=P","Fill=—","Direction=H","UseDPDF=Y")</f>
        <v>84</v>
      </c>
      <c r="N8" s="13">
        <f>_xll.BDH("GILD US Equity","IS_OTHER_REVENUE","FQ1 2022","FQ1 2022","Currency=USD","Period=FQ","BEST_FPERIOD_OVERRIDE=FQ","FILING_STATUS=MR","SCALING_FORMAT=MLN","FA_ADJUSTED=GAAP","Sort=A","Dates=H","DateFormat=P","Fill=—","Direction=H","UseDPDF=Y")</f>
        <v>56</v>
      </c>
      <c r="O8" s="13">
        <f>_xll.BDH("GILD US Equity","IS_OTHER_REVENUE","FQ2 2022","FQ2 2022","Currency=USD","Period=FQ","BEST_FPERIOD_OVERRIDE=FQ","FILING_STATUS=MR","SCALING_FORMAT=MLN","FA_ADJUSTED=GAAP","Sort=A","Dates=H","DateFormat=P","Fill=—","Direction=H","UseDPDF=Y")</f>
        <v>122</v>
      </c>
      <c r="P8" s="13">
        <f>_xll.BDH("GILD US Equity","IS_OTHER_REVENUE","FQ3 2022","FQ3 2022","Currency=USD","Period=FQ","BEST_FPERIOD_OVERRIDE=FQ","FILING_STATUS=MR","SCALING_FORMAT=MLN","FA_ADJUSTED=GAAP","Sort=A","Dates=H","DateFormat=P","Fill=—","Direction=H","UseDPDF=Y")</f>
        <v>64</v>
      </c>
      <c r="Q8" s="13">
        <f>_xll.BDH("GILD US Equity","IS_OTHER_REVENUE","FQ4 2022","FQ4 2022","Currency=USD","Period=FQ","BEST_FPERIOD_OVERRIDE=FQ","FILING_STATUS=MR","SCALING_FORMAT=MLN","FA_ADJUSTED=GAAP","Sort=A","Dates=H","DateFormat=P","Fill=—","Direction=H","UseDPDF=Y")</f>
        <v>56</v>
      </c>
      <c r="R8" s="13">
        <f>_xll.BDH("GILD US Equity","IS_OTHER_REVENUE","FQ1 2023","FQ1 2023","Currency=USD","Period=FQ","BEST_FPERIOD_OVERRIDE=FQ","FILING_STATUS=MR","SCALING_FORMAT=MLN","FA_ADJUSTED=GAAP","Sort=A","Dates=H","DateFormat=P","Fill=—","Direction=H","UseDPDF=Y")</f>
        <v>46</v>
      </c>
      <c r="S8" s="13">
        <f>_xll.BDH("GILD US Equity","IS_OTHER_REVENUE","FQ2 2023","FQ2 2023","Currency=USD","Period=FQ","BEST_FPERIOD_OVERRIDE=FQ","FILING_STATUS=MR","SCALING_FORMAT=MLN","FA_ADJUSTED=GAAP","Sort=A","Dates=H","DateFormat=P","Fill=—","Direction=H","UseDPDF=Y")</f>
        <v>35</v>
      </c>
      <c r="T8" s="13">
        <f>_xll.BDH("GILD US Equity","IS_OTHER_REVENUE","FQ3 2023","FQ3 2023","Currency=USD","Period=FQ","BEST_FPERIOD_OVERRIDE=FQ","FILING_STATUS=MR","SCALING_FORMAT=MLN","FA_ADJUSTED=GAAP","Sort=A","Dates=H","DateFormat=P","Fill=—","Direction=H","UseDPDF=Y")</f>
        <v>57</v>
      </c>
      <c r="U8" s="13">
        <f>_xll.BDH("GILD US Equity","IS_OTHER_REVENUE","FQ4 2023","FQ4 2023","Currency=USD","Period=FQ","BEST_FPERIOD_OVERRIDE=FQ","FILING_STATUS=MR","SCALING_FORMAT=MLN","FA_ADJUSTED=GAAP","Sort=A","Dates=H","DateFormat=P","Fill=—","Direction=H","UseDPDF=Y")</f>
        <v>45</v>
      </c>
      <c r="V8" s="13">
        <f>_xll.BDH("GILD US Equity","IS_OTHER_REVENUE","FQ1 2024","FQ1 2024","Currency=USD","Period=FQ","BEST_FPERIOD_OVERRIDE=FQ","FILING_STATUS=MR","SCALING_FORMAT=MLN","FA_ADJUSTED=GAAP","Sort=A","Dates=H","DateFormat=P","Fill=—","Direction=H","UseDPDF=Y")</f>
        <v>39</v>
      </c>
      <c r="W8" s="13">
        <f>_xll.BDH("GILD US Equity","IS_OTHER_REVENUE","FQ2 2024","FQ2 2024","Currency=USD","Period=FQ","BEST_FPERIOD_OVERRIDE=FQ","FILING_STATUS=MR","SCALING_FORMAT=MLN","FA_ADJUSTED=GAAP","Sort=A","Dates=H","DateFormat=P","Fill=—","Direction=H","UseDPDF=Y")</f>
        <v>41</v>
      </c>
      <c r="X8" s="13">
        <f>_xll.BDH("GILD US Equity","IS_OTHER_REVENUE","FQ3 2024","FQ3 2024","Currency=USD","Period=FQ","BEST_FPERIOD_OVERRIDE=FQ","FILING_STATUS=MR","SCALING_FORMAT=MLN","FA_ADJUSTED=GAAP","Sort=A","Dates=H","DateFormat=P","Fill=—","Direction=H","UseDPDF=Y")</f>
        <v>30</v>
      </c>
      <c r="Y8" s="13">
        <f>_xll.BDH("GILD US Equity","IS_OTHER_REVENUE","FQ4 2024","FQ4 2024","Currency=USD","Period=FQ","BEST_FPERIOD_OVERRIDE=FQ","FILING_STATUS=MR","SCALING_FORMAT=MLN","FA_ADJUSTED=GAAP","Sort=A","Dates=H","DateFormat=P","Fill=—","Direction=H","UseDPDF=Y")</f>
        <v>33</v>
      </c>
      <c r="Z8" s="13"/>
      <c r="AA8" s="13"/>
    </row>
    <row r="9" spans="1:27" x14ac:dyDescent="0.25">
      <c r="A9" s="10" t="s">
        <v>317</v>
      </c>
      <c r="B9" s="10" t="s">
        <v>318</v>
      </c>
      <c r="C9" s="13">
        <f>_xll.BDH("GILD US Equity","IS_COGS_TO_FE_AND_PP_AND_G","FQ2 2019","FQ2 2019","Currency=USD","Period=FQ","BEST_FPERIOD_OVERRIDE=FQ","FILING_STATUS=MR","SCALING_FORMAT=MLN","FA_ADJUSTED=GAAP","Sort=A","Dates=H","DateFormat=P","Fill=—","Direction=H","UseDPDF=Y")</f>
        <v>1000</v>
      </c>
      <c r="D9" s="13">
        <f>_xll.BDH("GILD US Equity","IS_COGS_TO_FE_AND_PP_AND_G","FQ3 2019","FQ3 2019","Currency=USD","Period=FQ","BEST_FPERIOD_OVERRIDE=FQ","FILING_STATUS=MR","SCALING_FORMAT=MLN","FA_ADJUSTED=GAAP","Sort=A","Dates=H","DateFormat=P","Fill=—","Direction=H","UseDPDF=Y")</f>
        <v>1035</v>
      </c>
      <c r="E9" s="13">
        <f>_xll.BDH("GILD US Equity","IS_COGS_TO_FE_AND_PP_AND_G","FQ4 2019","FQ4 2019","Currency=USD","Period=FQ","BEST_FPERIOD_OVERRIDE=FQ","FILING_STATUS=MR","SCALING_FORMAT=MLN","FA_ADJUSTED=GAAP","Sort=A","Dates=H","DateFormat=P","Fill=—","Direction=H","UseDPDF=Y")</f>
        <v>1683</v>
      </c>
      <c r="F9" s="13">
        <f>_xll.BDH("GILD US Equity","IS_COGS_TO_FE_AND_PP_AND_G","FQ1 2020","FQ1 2020","Currency=USD","Period=FQ","BEST_FPERIOD_OVERRIDE=FQ","FILING_STATUS=MR","SCALING_FORMAT=MLN","FA_ADJUSTED=GAAP","Sort=A","Dates=H","DateFormat=P","Fill=—","Direction=H","UseDPDF=Y")</f>
        <v>969</v>
      </c>
      <c r="G9" s="13">
        <f>_xll.BDH("GILD US Equity","IS_COGS_TO_FE_AND_PP_AND_G","FQ2 2020","FQ2 2020","Currency=USD","Period=FQ","BEST_FPERIOD_OVERRIDE=FQ","FILING_STATUS=MR","SCALING_FORMAT=MLN","FA_ADJUSTED=GAAP","Sort=A","Dates=H","DateFormat=P","Fill=—","Direction=H","UseDPDF=Y")</f>
        <v>1064</v>
      </c>
      <c r="H9" s="13">
        <f>_xll.BDH("GILD US Equity","IS_COGS_TO_FE_AND_PP_AND_G","FQ3 2020","FQ3 2020","Currency=USD","Period=FQ","BEST_FPERIOD_OVERRIDE=FQ","FILING_STATUS=MR","SCALING_FORMAT=MLN","FA_ADJUSTED=GAAP","Sort=A","Dates=H","DateFormat=P","Fill=—","Direction=H","UseDPDF=Y")</f>
        <v>1141</v>
      </c>
      <c r="I9" s="13">
        <f>_xll.BDH("GILD US Equity","IS_COGS_TO_FE_AND_PP_AND_G","FQ4 2020","FQ4 2020","Currency=USD","Period=FQ","BEST_FPERIOD_OVERRIDE=FQ","FILING_STATUS=MR","SCALING_FORMAT=MLN","FA_ADJUSTED=GAAP","Sort=A","Dates=H","DateFormat=P","Fill=—","Direction=H","UseDPDF=Y")</f>
        <v>1398</v>
      </c>
      <c r="J9" s="13">
        <f>_xll.BDH("GILD US Equity","IS_COGS_TO_FE_AND_PP_AND_G","FQ1 2021","FQ1 2021","Currency=USD","Period=FQ","BEST_FPERIOD_OVERRIDE=FQ","FILING_STATUS=MR","SCALING_FORMAT=MLN","FA_ADJUSTED=GAAP","Sort=A","Dates=H","DateFormat=P","Fill=—","Direction=H","UseDPDF=Y")</f>
        <v>1361</v>
      </c>
      <c r="K9" s="13">
        <f>_xll.BDH("GILD US Equity","IS_COGS_TO_FE_AND_PP_AND_G","FQ2 2021","FQ2 2021","Currency=USD","Period=FQ","BEST_FPERIOD_OVERRIDE=FQ","FILING_STATUS=MR","SCALING_FORMAT=MLN","FA_ADJUSTED=GAAP","Sort=A","Dates=H","DateFormat=P","Fill=—","Direction=H","UseDPDF=Y")</f>
        <v>1390</v>
      </c>
      <c r="L9" s="13">
        <f>_xll.BDH("GILD US Equity","IS_COGS_TO_FE_AND_PP_AND_G","FQ3 2021","FQ3 2021","Currency=USD","Period=FQ","BEST_FPERIOD_OVERRIDE=FQ","FILING_STATUS=MR","SCALING_FORMAT=MLN","FA_ADJUSTED=GAAP","Sort=A","Dates=H","DateFormat=P","Fill=—","Direction=H","UseDPDF=Y")</f>
        <v>1223</v>
      </c>
      <c r="M9" s="13">
        <f>_xll.BDH("GILD US Equity","IS_COGS_TO_FE_AND_PP_AND_G","FQ4 2021","FQ4 2021","Currency=USD","Period=FQ","BEST_FPERIOD_OVERRIDE=FQ","FILING_STATUS=MR","SCALING_FORMAT=MLN","FA_ADJUSTED=GAAP","Sort=A","Dates=H","DateFormat=P","Fill=—","Direction=H","UseDPDF=Y")</f>
        <v>2627</v>
      </c>
      <c r="N9" s="13">
        <f>_xll.BDH("GILD US Equity","IS_COGS_TO_FE_AND_PP_AND_G","FQ1 2022","FQ1 2022","Currency=USD","Period=FQ","BEST_FPERIOD_OVERRIDE=FQ","FILING_STATUS=MR","SCALING_FORMAT=MLN","FA_ADJUSTED=GAAP","Sort=A","Dates=H","DateFormat=P","Fill=—","Direction=H","UseDPDF=Y")</f>
        <v>1424</v>
      </c>
      <c r="O9" s="13">
        <f>_xll.BDH("GILD US Equity","IS_COGS_TO_FE_AND_PP_AND_G","FQ2 2022","FQ2 2022","Currency=USD","Period=FQ","BEST_FPERIOD_OVERRIDE=FQ","FILING_STATUS=MR","SCALING_FORMAT=MLN","FA_ADJUSTED=GAAP","Sort=A","Dates=H","DateFormat=P","Fill=—","Direction=H","UseDPDF=Y")</f>
        <v>1442</v>
      </c>
      <c r="P9" s="13">
        <f>_xll.BDH("GILD US Equity","IS_COGS_TO_FE_AND_PP_AND_G","FQ3 2022","FQ3 2022","Currency=USD","Period=FQ","BEST_FPERIOD_OVERRIDE=FQ","FILING_STATUS=MR","SCALING_FORMAT=MLN","FA_ADJUSTED=GAAP","Sort=A","Dates=H","DateFormat=P","Fill=—","Direction=H","UseDPDF=Y")</f>
        <v>1395</v>
      </c>
      <c r="Q9" s="13">
        <f>_xll.BDH("GILD US Equity","IS_COGS_TO_FE_AND_PP_AND_G","FQ4 2022","FQ4 2022","Currency=USD","Period=FQ","BEST_FPERIOD_OVERRIDE=FQ","FILING_STATUS=MR","SCALING_FORMAT=MLN","FA_ADJUSTED=GAAP","Sort=A","Dates=H","DateFormat=P","Fill=—","Direction=H","UseDPDF=Y")</f>
        <v>1396</v>
      </c>
      <c r="R9" s="13">
        <f>_xll.BDH("GILD US Equity","IS_COGS_TO_FE_AND_PP_AND_G","FQ1 2023","FQ1 2023","Currency=USD","Period=FQ","BEST_FPERIOD_OVERRIDE=FQ","FILING_STATUS=MR","SCALING_FORMAT=MLN","FA_ADJUSTED=GAAP","Sort=A","Dates=H","DateFormat=P","Fill=—","Direction=H","UseDPDF=Y")</f>
        <v>1401</v>
      </c>
      <c r="S9" s="13">
        <f>_xll.BDH("GILD US Equity","IS_COGS_TO_FE_AND_PP_AND_G","FQ2 2023","FQ2 2023","Currency=USD","Period=FQ","BEST_FPERIOD_OVERRIDE=FQ","FILING_STATUS=MR","SCALING_FORMAT=MLN","FA_ADJUSTED=GAAP","Sort=A","Dates=H","DateFormat=P","Fill=—","Direction=H","UseDPDF=Y")</f>
        <v>1442</v>
      </c>
      <c r="T9" s="13">
        <f>_xll.BDH("GILD US Equity","IS_COGS_TO_FE_AND_PP_AND_G","FQ3 2023","FQ3 2023","Currency=USD","Period=FQ","BEST_FPERIOD_OVERRIDE=FQ","FILING_STATUS=MR","SCALING_FORMAT=MLN","FA_ADJUSTED=GAAP","Sort=A","Dates=H","DateFormat=P","Fill=—","Direction=H","UseDPDF=Y")</f>
        <v>1565</v>
      </c>
      <c r="U9" s="13">
        <f>_xll.BDH("GILD US Equity","IS_COGS_TO_FE_AND_PP_AND_G","FQ4 2023","FQ4 2023","Currency=USD","Period=FQ","BEST_FPERIOD_OVERRIDE=FQ","FILING_STATUS=MR","SCALING_FORMAT=MLN","FA_ADJUSTED=GAAP","Sort=A","Dates=H","DateFormat=P","Fill=—","Direction=H","UseDPDF=Y")</f>
        <v>2090</v>
      </c>
      <c r="V9" s="13">
        <f>_xll.BDH("GILD US Equity","IS_COGS_TO_FE_AND_PP_AND_G","FQ1 2024","FQ1 2024","Currency=USD","Period=FQ","BEST_FPERIOD_OVERRIDE=FQ","FILING_STATUS=MR","SCALING_FORMAT=MLN","FA_ADJUSTED=GAAP","Sort=A","Dates=H","DateFormat=P","Fill=—","Direction=H","UseDPDF=Y")</f>
        <v>1552</v>
      </c>
      <c r="W9" s="13">
        <f>_xll.BDH("GILD US Equity","IS_COGS_TO_FE_AND_PP_AND_G","FQ2 2024","FQ2 2024","Currency=USD","Period=FQ","BEST_FPERIOD_OVERRIDE=FQ","FILING_STATUS=MR","SCALING_FORMAT=MLN","FA_ADJUSTED=GAAP","Sort=A","Dates=H","DateFormat=P","Fill=—","Direction=H","UseDPDF=Y")</f>
        <v>1544</v>
      </c>
      <c r="X9" s="13">
        <f>_xll.BDH("GILD US Equity","IS_COGS_TO_FE_AND_PP_AND_G","FQ3 2024","FQ3 2024","Currency=USD","Period=FQ","BEST_FPERIOD_OVERRIDE=FQ","FILING_STATUS=MR","SCALING_FORMAT=MLN","FA_ADJUSTED=GAAP","Sort=A","Dates=H","DateFormat=P","Fill=—","Direction=H","UseDPDF=Y")</f>
        <v>1574</v>
      </c>
      <c r="Y9" s="13">
        <f>_xll.BDH("GILD US Equity","IS_COGS_TO_FE_AND_PP_AND_G","FQ4 2024","FQ4 2024","Currency=USD","Period=FQ","BEST_FPERIOD_OVERRIDE=FQ","FILING_STATUS=MR","SCALING_FORMAT=MLN","FA_ADJUSTED=GAAP","Sort=A","Dates=H","DateFormat=P","Fill=—","Direction=H","UseDPDF=Y")</f>
        <v>1581</v>
      </c>
      <c r="Z9" s="13"/>
      <c r="AA9" s="13"/>
    </row>
    <row r="10" spans="1:27" x14ac:dyDescent="0.25">
      <c r="A10" s="10" t="s">
        <v>319</v>
      </c>
      <c r="B10" s="10" t="s">
        <v>320</v>
      </c>
      <c r="C10" s="13">
        <f>_xll.BDH("GILD US Equity","IS_COG_AND_SERVICES_SOLD","FQ2 2019","FQ2 2019","Currency=USD","Period=FQ","BEST_FPERIOD_OVERRIDE=FQ","FILING_STATUS=MR","SCALING_FORMAT=MLN","FA_ADJUSTED=GAAP","Sort=A","Dates=H","DateFormat=P","Fill=—","Direction=H","UseDPDF=Y")</f>
        <v>1000</v>
      </c>
      <c r="D10" s="13">
        <f>_xll.BDH("GILD US Equity","IS_COG_AND_SERVICES_SOLD","FQ3 2019","FQ3 2019","Currency=USD","Period=FQ","BEST_FPERIOD_OVERRIDE=FQ","FILING_STATUS=MR","SCALING_FORMAT=MLN","FA_ADJUSTED=GAAP","Sort=A","Dates=H","DateFormat=P","Fill=—","Direction=H","UseDPDF=Y")</f>
        <v>1035</v>
      </c>
      <c r="E10" s="13">
        <f>_xll.BDH("GILD US Equity","IS_COG_AND_SERVICES_SOLD","FQ4 2019","FQ4 2019","Currency=USD","Period=FQ","BEST_FPERIOD_OVERRIDE=FQ","FILING_STATUS=MR","SCALING_FORMAT=MLN","FA_ADJUSTED=GAAP","Sort=A","Dates=H","DateFormat=P","Fill=—","Direction=H","UseDPDF=Y")</f>
        <v>1683</v>
      </c>
      <c r="F10" s="13">
        <f>_xll.BDH("GILD US Equity","IS_COG_AND_SERVICES_SOLD","FQ1 2020","FQ1 2020","Currency=USD","Period=FQ","BEST_FPERIOD_OVERRIDE=FQ","FILING_STATUS=MR","SCALING_FORMAT=MLN","FA_ADJUSTED=GAAP","Sort=A","Dates=H","DateFormat=P","Fill=—","Direction=H","UseDPDF=Y")</f>
        <v>969</v>
      </c>
      <c r="G10" s="13">
        <f>_xll.BDH("GILD US Equity","IS_COG_AND_SERVICES_SOLD","FQ2 2020","FQ2 2020","Currency=USD","Period=FQ","BEST_FPERIOD_OVERRIDE=FQ","FILING_STATUS=MR","SCALING_FORMAT=MLN","FA_ADJUSTED=GAAP","Sort=A","Dates=H","DateFormat=P","Fill=—","Direction=H","UseDPDF=Y")</f>
        <v>1064</v>
      </c>
      <c r="H10" s="13">
        <f>_xll.BDH("GILD US Equity","IS_COG_AND_SERVICES_SOLD","FQ3 2020","FQ3 2020","Currency=USD","Period=FQ","BEST_FPERIOD_OVERRIDE=FQ","FILING_STATUS=MR","SCALING_FORMAT=MLN","FA_ADJUSTED=GAAP","Sort=A","Dates=H","DateFormat=P","Fill=—","Direction=H","UseDPDF=Y")</f>
        <v>1141</v>
      </c>
      <c r="I10" s="13">
        <f>_xll.BDH("GILD US Equity","IS_COG_AND_SERVICES_SOLD","FQ4 2020","FQ4 2020","Currency=USD","Period=FQ","BEST_FPERIOD_OVERRIDE=FQ","FILING_STATUS=MR","SCALING_FORMAT=MLN","FA_ADJUSTED=GAAP","Sort=A","Dates=H","DateFormat=P","Fill=—","Direction=H","UseDPDF=Y")</f>
        <v>1398</v>
      </c>
      <c r="J10" s="13">
        <f>_xll.BDH("GILD US Equity","IS_COG_AND_SERVICES_SOLD","FQ1 2021","FQ1 2021","Currency=USD","Period=FQ","BEST_FPERIOD_OVERRIDE=FQ","FILING_STATUS=MR","SCALING_FORMAT=MLN","FA_ADJUSTED=GAAP","Sort=A","Dates=H","DateFormat=P","Fill=—","Direction=H","UseDPDF=Y")</f>
        <v>1361</v>
      </c>
      <c r="K10" s="13">
        <f>_xll.BDH("GILD US Equity","IS_COG_AND_SERVICES_SOLD","FQ2 2021","FQ2 2021","Currency=USD","Period=FQ","BEST_FPERIOD_OVERRIDE=FQ","FILING_STATUS=MR","SCALING_FORMAT=MLN","FA_ADJUSTED=GAAP","Sort=A","Dates=H","DateFormat=P","Fill=—","Direction=H","UseDPDF=Y")</f>
        <v>1390</v>
      </c>
      <c r="L10" s="13">
        <f>_xll.BDH("GILD US Equity","IS_COG_AND_SERVICES_SOLD","FQ3 2021","FQ3 2021","Currency=USD","Period=FQ","BEST_FPERIOD_OVERRIDE=FQ","FILING_STATUS=MR","SCALING_FORMAT=MLN","FA_ADJUSTED=GAAP","Sort=A","Dates=H","DateFormat=P","Fill=—","Direction=H","UseDPDF=Y")</f>
        <v>1223</v>
      </c>
      <c r="M10" s="13">
        <f>_xll.BDH("GILD US Equity","IS_COG_AND_SERVICES_SOLD","FQ4 2021","FQ4 2021","Currency=USD","Period=FQ","BEST_FPERIOD_OVERRIDE=FQ","FILING_STATUS=MR","SCALING_FORMAT=MLN","FA_ADJUSTED=GAAP","Sort=A","Dates=H","DateFormat=P","Fill=—","Direction=H","UseDPDF=Y")</f>
        <v>2627</v>
      </c>
      <c r="N10" s="13">
        <f>_xll.BDH("GILD US Equity","IS_COG_AND_SERVICES_SOLD","FQ1 2022","FQ1 2022","Currency=USD","Period=FQ","BEST_FPERIOD_OVERRIDE=FQ","FILING_STATUS=MR","SCALING_FORMAT=MLN","FA_ADJUSTED=GAAP","Sort=A","Dates=H","DateFormat=P","Fill=—","Direction=H","UseDPDF=Y")</f>
        <v>1424</v>
      </c>
      <c r="O10" s="13">
        <f>_xll.BDH("GILD US Equity","IS_COG_AND_SERVICES_SOLD","FQ2 2022","FQ2 2022","Currency=USD","Period=FQ","BEST_FPERIOD_OVERRIDE=FQ","FILING_STATUS=MR","SCALING_FORMAT=MLN","FA_ADJUSTED=GAAP","Sort=A","Dates=H","DateFormat=P","Fill=—","Direction=H","UseDPDF=Y")</f>
        <v>1442</v>
      </c>
      <c r="P10" s="13">
        <f>_xll.BDH("GILD US Equity","IS_COG_AND_SERVICES_SOLD","FQ3 2022","FQ3 2022","Currency=USD","Period=FQ","BEST_FPERIOD_OVERRIDE=FQ","FILING_STATUS=MR","SCALING_FORMAT=MLN","FA_ADJUSTED=GAAP","Sort=A","Dates=H","DateFormat=P","Fill=—","Direction=H","UseDPDF=Y")</f>
        <v>1395</v>
      </c>
      <c r="Q10" s="13">
        <f>_xll.BDH("GILD US Equity","IS_COG_AND_SERVICES_SOLD","FQ4 2022","FQ4 2022","Currency=USD","Period=FQ","BEST_FPERIOD_OVERRIDE=FQ","FILING_STATUS=MR","SCALING_FORMAT=MLN","FA_ADJUSTED=GAAP","Sort=A","Dates=H","DateFormat=P","Fill=—","Direction=H","UseDPDF=Y")</f>
        <v>1396</v>
      </c>
      <c r="R10" s="13">
        <f>_xll.BDH("GILD US Equity","IS_COG_AND_SERVICES_SOLD","FQ1 2023","FQ1 2023","Currency=USD","Period=FQ","BEST_FPERIOD_OVERRIDE=FQ","FILING_STATUS=MR","SCALING_FORMAT=MLN","FA_ADJUSTED=GAAP","Sort=A","Dates=H","DateFormat=P","Fill=—","Direction=H","UseDPDF=Y")</f>
        <v>1401</v>
      </c>
      <c r="S10" s="13">
        <f>_xll.BDH("GILD US Equity","IS_COG_AND_SERVICES_SOLD","FQ2 2023","FQ2 2023","Currency=USD","Period=FQ","BEST_FPERIOD_OVERRIDE=FQ","FILING_STATUS=MR","SCALING_FORMAT=MLN","FA_ADJUSTED=GAAP","Sort=A","Dates=H","DateFormat=P","Fill=—","Direction=H","UseDPDF=Y")</f>
        <v>1442</v>
      </c>
      <c r="T10" s="13">
        <f>_xll.BDH("GILD US Equity","IS_COG_AND_SERVICES_SOLD","FQ3 2023","FQ3 2023","Currency=USD","Period=FQ","BEST_FPERIOD_OVERRIDE=FQ","FILING_STATUS=MR","SCALING_FORMAT=MLN","FA_ADJUSTED=GAAP","Sort=A","Dates=H","DateFormat=P","Fill=—","Direction=H","UseDPDF=Y")</f>
        <v>1565</v>
      </c>
      <c r="U10" s="13">
        <f>_xll.BDH("GILD US Equity","IS_COG_AND_SERVICES_SOLD","FQ4 2023","FQ4 2023","Currency=USD","Period=FQ","BEST_FPERIOD_OVERRIDE=FQ","FILING_STATUS=MR","SCALING_FORMAT=MLN","FA_ADJUSTED=GAAP","Sort=A","Dates=H","DateFormat=P","Fill=—","Direction=H","UseDPDF=Y")</f>
        <v>2090</v>
      </c>
      <c r="V10" s="13">
        <f>_xll.BDH("GILD US Equity","IS_COG_AND_SERVICES_SOLD","FQ1 2024","FQ1 2024","Currency=USD","Period=FQ","BEST_FPERIOD_OVERRIDE=FQ","FILING_STATUS=MR","SCALING_FORMAT=MLN","FA_ADJUSTED=GAAP","Sort=A","Dates=H","DateFormat=P","Fill=—","Direction=H","UseDPDF=Y")</f>
        <v>1552</v>
      </c>
      <c r="W10" s="13">
        <f>_xll.BDH("GILD US Equity","IS_COG_AND_SERVICES_SOLD","FQ2 2024","FQ2 2024","Currency=USD","Period=FQ","BEST_FPERIOD_OVERRIDE=FQ","FILING_STATUS=MR","SCALING_FORMAT=MLN","FA_ADJUSTED=GAAP","Sort=A","Dates=H","DateFormat=P","Fill=—","Direction=H","UseDPDF=Y")</f>
        <v>1544</v>
      </c>
      <c r="X10" s="13">
        <f>_xll.BDH("GILD US Equity","IS_COG_AND_SERVICES_SOLD","FQ3 2024","FQ3 2024","Currency=USD","Period=FQ","BEST_FPERIOD_OVERRIDE=FQ","FILING_STATUS=MR","SCALING_FORMAT=MLN","FA_ADJUSTED=GAAP","Sort=A","Dates=H","DateFormat=P","Fill=—","Direction=H","UseDPDF=Y")</f>
        <v>1574</v>
      </c>
      <c r="Y10" s="13">
        <f>_xll.BDH("GILD US Equity","IS_COG_AND_SERVICES_SOLD","FQ4 2024","FQ4 2024","Currency=USD","Period=FQ","BEST_FPERIOD_OVERRIDE=FQ","FILING_STATUS=MR","SCALING_FORMAT=MLN","FA_ADJUSTED=GAAP","Sort=A","Dates=H","DateFormat=P","Fill=—","Direction=H","UseDPDF=Y")</f>
        <v>1581</v>
      </c>
      <c r="Z10" s="13"/>
      <c r="AA10" s="13"/>
    </row>
    <row r="11" spans="1:27" x14ac:dyDescent="0.25">
      <c r="A11" s="6" t="s">
        <v>2</v>
      </c>
      <c r="B11" s="6" t="s">
        <v>75</v>
      </c>
      <c r="C11" s="19">
        <f>_xll.BDH("GILD US Equity","GROSS_PROFIT","FQ2 2019","FQ2 2019","Currency=USD","Period=FQ","BEST_FPERIOD_OVERRIDE=FQ","FILING_STATUS=MR","SCALING_FORMAT=MLN","FA_ADJUSTED=GAAP","Sort=A","Dates=H","DateFormat=P","Fill=—","Direction=H","UseDPDF=Y")</f>
        <v>4685</v>
      </c>
      <c r="D11" s="19">
        <f>_xll.BDH("GILD US Equity","GROSS_PROFIT","FQ3 2019","FQ3 2019","Currency=USD","Period=FQ","BEST_FPERIOD_OVERRIDE=FQ","FILING_STATUS=MR","SCALING_FORMAT=MLN","FA_ADJUSTED=GAAP","Sort=A","Dates=H","DateFormat=P","Fill=—","Direction=H","UseDPDF=Y")</f>
        <v>4569</v>
      </c>
      <c r="E11" s="19">
        <f>_xll.BDH("GILD US Equity","GROSS_PROFIT","FQ4 2019","FQ4 2019","Currency=USD","Period=FQ","BEST_FPERIOD_OVERRIDE=FQ","FILING_STATUS=MR","SCALING_FORMAT=MLN","FA_ADJUSTED=GAAP","Sort=A","Dates=H","DateFormat=P","Fill=—","Direction=H","UseDPDF=Y")</f>
        <v>4196</v>
      </c>
      <c r="F11" s="19">
        <f>_xll.BDH("GILD US Equity","GROSS_PROFIT","FQ1 2020","FQ1 2020","Currency=USD","Period=FQ","BEST_FPERIOD_OVERRIDE=FQ","FILING_STATUS=MR","SCALING_FORMAT=MLN","FA_ADJUSTED=GAAP","Sort=A","Dates=H","DateFormat=P","Fill=—","Direction=H","UseDPDF=Y")</f>
        <v>4579</v>
      </c>
      <c r="G11" s="19">
        <f>_xll.BDH("GILD US Equity","GROSS_PROFIT","FQ2 2020","FQ2 2020","Currency=USD","Period=FQ","BEST_FPERIOD_OVERRIDE=FQ","FILING_STATUS=MR","SCALING_FORMAT=MLN","FA_ADJUSTED=GAAP","Sort=A","Dates=H","DateFormat=P","Fill=—","Direction=H","UseDPDF=Y")</f>
        <v>4079</v>
      </c>
      <c r="H11" s="19">
        <f>_xll.BDH("GILD US Equity","GROSS_PROFIT","FQ3 2020","FQ3 2020","Currency=USD","Period=FQ","BEST_FPERIOD_OVERRIDE=FQ","FILING_STATUS=MR","SCALING_FORMAT=MLN","FA_ADJUSTED=GAAP","Sort=A","Dates=H","DateFormat=P","Fill=—","Direction=H","UseDPDF=Y")</f>
        <v>5436</v>
      </c>
      <c r="I11" s="19">
        <f>_xll.BDH("GILD US Equity","GROSS_PROFIT","FQ4 2020","FQ4 2020","Currency=USD","Period=FQ","BEST_FPERIOD_OVERRIDE=FQ","FILING_STATUS=MR","SCALING_FORMAT=MLN","FA_ADJUSTED=GAAP","Sort=A","Dates=H","DateFormat=P","Fill=—","Direction=H","UseDPDF=Y")</f>
        <v>6023</v>
      </c>
      <c r="J11" s="19">
        <f>_xll.BDH("GILD US Equity","GROSS_PROFIT","FQ1 2021","FQ1 2021","Currency=USD","Period=FQ","BEST_FPERIOD_OVERRIDE=FQ","FILING_STATUS=MR","SCALING_FORMAT=MLN","FA_ADJUSTED=GAAP","Sort=A","Dates=H","DateFormat=P","Fill=—","Direction=H","UseDPDF=Y")</f>
        <v>5062</v>
      </c>
      <c r="K11" s="19">
        <f>_xll.BDH("GILD US Equity","GROSS_PROFIT","FQ2 2021","FQ2 2021","Currency=USD","Period=FQ","BEST_FPERIOD_OVERRIDE=FQ","FILING_STATUS=MR","SCALING_FORMAT=MLN","FA_ADJUSTED=GAAP","Sort=A","Dates=H","DateFormat=P","Fill=—","Direction=H","UseDPDF=Y")</f>
        <v>4827</v>
      </c>
      <c r="L11" s="19">
        <f>_xll.BDH("GILD US Equity","GROSS_PROFIT","FQ3 2021","FQ3 2021","Currency=USD","Period=FQ","BEST_FPERIOD_OVERRIDE=FQ","FILING_STATUS=MR","SCALING_FORMAT=MLN","FA_ADJUSTED=GAAP","Sort=A","Dates=H","DateFormat=P","Fill=—","Direction=H","UseDPDF=Y")</f>
        <v>6198</v>
      </c>
      <c r="M11" s="19">
        <f>_xll.BDH("GILD US Equity","GROSS_PROFIT","FQ4 2021","FQ4 2021","Currency=USD","Period=FQ","BEST_FPERIOD_OVERRIDE=FQ","FILING_STATUS=MR","SCALING_FORMAT=MLN","FA_ADJUSTED=GAAP","Sort=A","Dates=H","DateFormat=P","Fill=—","Direction=H","UseDPDF=Y")</f>
        <v>4617</v>
      </c>
      <c r="N11" s="19">
        <f>_xll.BDH("GILD US Equity","GROSS_PROFIT","FQ1 2022","FQ1 2022","Currency=USD","Period=FQ","BEST_FPERIOD_OVERRIDE=FQ","FILING_STATUS=MR","SCALING_FORMAT=MLN","FA_ADJUSTED=GAAP","Sort=A","Dates=H","DateFormat=P","Fill=—","Direction=H","UseDPDF=Y")</f>
        <v>5166</v>
      </c>
      <c r="O11" s="19">
        <f>_xll.BDH("GILD US Equity","GROSS_PROFIT","FQ2 2022","FQ2 2022","Currency=USD","Period=FQ","BEST_FPERIOD_OVERRIDE=FQ","FILING_STATUS=MR","SCALING_FORMAT=MLN","FA_ADJUSTED=GAAP","Sort=A","Dates=H","DateFormat=P","Fill=—","Direction=H","UseDPDF=Y")</f>
        <v>4818</v>
      </c>
      <c r="P11" s="19">
        <f>_xll.BDH("GILD US Equity","GROSS_PROFIT","FQ3 2022","FQ3 2022","Currency=USD","Period=FQ","BEST_FPERIOD_OVERRIDE=FQ","FILING_STATUS=MR","SCALING_FORMAT=MLN","FA_ADJUSTED=GAAP","Sort=A","Dates=H","DateFormat=P","Fill=—","Direction=H","UseDPDF=Y")</f>
        <v>5647</v>
      </c>
      <c r="Q11" s="19">
        <f>_xll.BDH("GILD US Equity","GROSS_PROFIT","FQ4 2022","FQ4 2022","Currency=USD","Period=FQ","BEST_FPERIOD_OVERRIDE=FQ","FILING_STATUS=MR","SCALING_FORMAT=MLN","FA_ADJUSTED=GAAP","Sort=A","Dates=H","DateFormat=P","Fill=—","Direction=H","UseDPDF=Y")</f>
        <v>5993</v>
      </c>
      <c r="R11" s="19">
        <f>_xll.BDH("GILD US Equity","GROSS_PROFIT","FQ1 2023","FQ1 2023","Currency=USD","Period=FQ","BEST_FPERIOD_OVERRIDE=FQ","FILING_STATUS=MR","SCALING_FORMAT=MLN","FA_ADJUSTED=GAAP","Sort=A","Dates=H","DateFormat=P","Fill=—","Direction=H","UseDPDF=Y")</f>
        <v>4951</v>
      </c>
      <c r="S11" s="19">
        <f>_xll.BDH("GILD US Equity","GROSS_PROFIT","FQ2 2023","FQ2 2023","Currency=USD","Period=FQ","BEST_FPERIOD_OVERRIDE=FQ","FILING_STATUS=MR","SCALING_FORMAT=MLN","FA_ADJUSTED=GAAP","Sort=A","Dates=H","DateFormat=P","Fill=—","Direction=H","UseDPDF=Y")</f>
        <v>5157</v>
      </c>
      <c r="T11" s="19">
        <f>_xll.BDH("GILD US Equity","GROSS_PROFIT","FQ3 2023","FQ3 2023","Currency=USD","Period=FQ","BEST_FPERIOD_OVERRIDE=FQ","FILING_STATUS=MR","SCALING_FORMAT=MLN","FA_ADJUSTED=GAAP","Sort=A","Dates=H","DateFormat=P","Fill=—","Direction=H","UseDPDF=Y")</f>
        <v>5486</v>
      </c>
      <c r="U11" s="19">
        <f>_xll.BDH("GILD US Equity","GROSS_PROFIT","FQ4 2023","FQ4 2023","Currency=USD","Period=FQ","BEST_FPERIOD_OVERRIDE=FQ","FILING_STATUS=MR","SCALING_FORMAT=MLN","FA_ADJUSTED=GAAP","Sort=A","Dates=H","DateFormat=P","Fill=—","Direction=H","UseDPDF=Y")</f>
        <v>5025</v>
      </c>
      <c r="V11" s="19">
        <f>_xll.BDH("GILD US Equity","GROSS_PROFIT","FQ1 2024","FQ1 2024","Currency=USD","Period=FQ","BEST_FPERIOD_OVERRIDE=FQ","FILING_STATUS=MR","SCALING_FORMAT=MLN","FA_ADJUSTED=GAAP","Sort=A","Dates=H","DateFormat=P","Fill=—","Direction=H","UseDPDF=Y")</f>
        <v>5134</v>
      </c>
      <c r="W11" s="19">
        <f>_xll.BDH("GILD US Equity","GROSS_PROFIT","FQ2 2024","FQ2 2024","Currency=USD","Period=FQ","BEST_FPERIOD_OVERRIDE=FQ","FILING_STATUS=MR","SCALING_FORMAT=MLN","FA_ADJUSTED=GAAP","Sort=A","Dates=H","DateFormat=P","Fill=—","Direction=H","UseDPDF=Y")</f>
        <v>5409</v>
      </c>
      <c r="X11" s="19">
        <f>_xll.BDH("GILD US Equity","GROSS_PROFIT","FQ3 2024","FQ3 2024","Currency=USD","Period=FQ","BEST_FPERIOD_OVERRIDE=FQ","FILING_STATUS=MR","SCALING_FORMAT=MLN","FA_ADJUSTED=GAAP","Sort=A","Dates=H","DateFormat=P","Fill=—","Direction=H","UseDPDF=Y")</f>
        <v>5971</v>
      </c>
      <c r="Y11" s="19">
        <f>_xll.BDH("GILD US Equity","GROSS_PROFIT","FQ4 2024","FQ4 2024","Currency=USD","Period=FQ","BEST_FPERIOD_OVERRIDE=FQ","FILING_STATUS=MR","SCALING_FORMAT=MLN","FA_ADJUSTED=GAAP","Sort=A","Dates=H","DateFormat=P","Fill=—","Direction=H","UseDPDF=Y")</f>
        <v>5988</v>
      </c>
      <c r="Z11" s="19">
        <v>5793.5013676799999</v>
      </c>
      <c r="AA11" s="19">
        <v>5952.9840817200002</v>
      </c>
    </row>
    <row r="12" spans="1:27" x14ac:dyDescent="0.25">
      <c r="A12" s="10" t="s">
        <v>321</v>
      </c>
      <c r="B12" s="10" t="s">
        <v>322</v>
      </c>
      <c r="C12" s="13">
        <f>_xll.BDH("GILD US Equity","IS_OTHER_OPER_INC","FQ2 2019","FQ2 2019","Currency=USD","Period=FQ","BEST_FPERIOD_OVERRIDE=FQ","FILING_STATUS=MR","SCALING_FORMAT=MLN","FA_ADJUSTED=GAAP","Sort=A","Dates=H","DateFormat=P","Fill=—","Direction=H","UseDPDF=Y")</f>
        <v>0</v>
      </c>
      <c r="D12" s="13">
        <f>_xll.BDH("GILD US Equity","IS_OTHER_OPER_INC","FQ3 2019","FQ3 2019","Currency=USD","Period=FQ","BEST_FPERIOD_OVERRIDE=FQ","FILING_STATUS=MR","SCALING_FORMAT=MLN","FA_ADJUSTED=GAAP","Sort=A","Dates=H","DateFormat=P","Fill=—","Direction=H","UseDPDF=Y")</f>
        <v>0</v>
      </c>
      <c r="E12" s="13">
        <f>_xll.BDH("GILD US Equity","IS_OTHER_OPER_INC","FQ4 2019","FQ4 2019","Currency=USD","Period=FQ","BEST_FPERIOD_OVERRIDE=FQ","FILING_STATUS=MR","SCALING_FORMAT=MLN","FA_ADJUSTED=GAAP","Sort=A","Dates=H","DateFormat=P","Fill=—","Direction=H","UseDPDF=Y")</f>
        <v>0</v>
      </c>
      <c r="F12" s="13">
        <f>_xll.BDH("GILD US Equity","IS_OTHER_OPER_INC","FQ1 2020","FQ1 2020","Currency=USD","Period=FQ","BEST_FPERIOD_OVERRIDE=FQ","FILING_STATUS=MR","SCALING_FORMAT=MLN","FA_ADJUSTED=GAAP","Sort=A","Dates=H","DateFormat=P","Fill=—","Direction=H","UseDPDF=Y")</f>
        <v>0</v>
      </c>
      <c r="G12" s="13">
        <f>_xll.BDH("GILD US Equity","IS_OTHER_OPER_INC","FQ2 2020","FQ2 2020","Currency=USD","Period=FQ","BEST_FPERIOD_OVERRIDE=FQ","FILING_STATUS=MR","SCALING_FORMAT=MLN","FA_ADJUSTED=GAAP","Sort=A","Dates=H","DateFormat=P","Fill=—","Direction=H","UseDPDF=Y")</f>
        <v>0</v>
      </c>
      <c r="H12" s="13">
        <f>_xll.BDH("GILD US Equity","IS_OTHER_OPER_INC","FQ3 2020","FQ3 2020","Currency=USD","Period=FQ","BEST_FPERIOD_OVERRIDE=FQ","FILING_STATUS=MR","SCALING_FORMAT=MLN","FA_ADJUSTED=GAAP","Sort=A","Dates=H","DateFormat=P","Fill=—","Direction=H","UseDPDF=Y")</f>
        <v>0</v>
      </c>
      <c r="I12" s="13">
        <f>_xll.BDH("GILD US Equity","IS_OTHER_OPER_INC","FQ4 2020","FQ4 2020","Currency=USD","Period=FQ","BEST_FPERIOD_OVERRIDE=FQ","FILING_STATUS=MR","SCALING_FORMAT=MLN","FA_ADJUSTED=GAAP","Sort=A","Dates=H","DateFormat=P","Fill=—","Direction=H","UseDPDF=Y")</f>
        <v>0</v>
      </c>
      <c r="J12" s="13">
        <f>_xll.BDH("GILD US Equity","IS_OTHER_OPER_INC","FQ1 2021","FQ1 2021","Currency=USD","Period=FQ","BEST_FPERIOD_OVERRIDE=FQ","FILING_STATUS=MR","SCALING_FORMAT=MLN","FA_ADJUSTED=GAAP","Sort=A","Dates=H","DateFormat=P","Fill=—","Direction=H","UseDPDF=Y")</f>
        <v>0</v>
      </c>
      <c r="K12" s="13">
        <f>_xll.BDH("GILD US Equity","IS_OTHER_OPER_INC","FQ2 2021","FQ2 2021","Currency=USD","Period=FQ","BEST_FPERIOD_OVERRIDE=FQ","FILING_STATUS=MR","SCALING_FORMAT=MLN","FA_ADJUSTED=GAAP","Sort=A","Dates=H","DateFormat=P","Fill=—","Direction=H","UseDPDF=Y")</f>
        <v>0</v>
      </c>
      <c r="L12" s="13">
        <f>_xll.BDH("GILD US Equity","IS_OTHER_OPER_INC","FQ3 2021","FQ3 2021","Currency=USD","Period=FQ","BEST_FPERIOD_OVERRIDE=FQ","FILING_STATUS=MR","SCALING_FORMAT=MLN","FA_ADJUSTED=GAAP","Sort=A","Dates=H","DateFormat=P","Fill=—","Direction=H","UseDPDF=Y")</f>
        <v>0</v>
      </c>
      <c r="M12" s="13">
        <f>_xll.BDH("GILD US Equity","IS_OTHER_OPER_INC","FQ4 2021","FQ4 2021","Currency=USD","Period=FQ","BEST_FPERIOD_OVERRIDE=FQ","FILING_STATUS=MR","SCALING_FORMAT=MLN","FA_ADJUSTED=GAAP","Sort=A","Dates=H","DateFormat=P","Fill=—","Direction=H","UseDPDF=Y")</f>
        <v>0</v>
      </c>
      <c r="N12" s="13">
        <f>_xll.BDH("GILD US Equity","IS_OTHER_OPER_INC","FQ1 2022","FQ1 2022","Currency=USD","Period=FQ","BEST_FPERIOD_OVERRIDE=FQ","FILING_STATUS=MR","SCALING_FORMAT=MLN","FA_ADJUSTED=GAAP","Sort=A","Dates=H","DateFormat=P","Fill=—","Direction=H","UseDPDF=Y")</f>
        <v>0</v>
      </c>
      <c r="O12" s="13">
        <f>_xll.BDH("GILD US Equity","IS_OTHER_OPER_INC","FQ2 2022","FQ2 2022","Currency=USD","Period=FQ","BEST_FPERIOD_OVERRIDE=FQ","FILING_STATUS=MR","SCALING_FORMAT=MLN","FA_ADJUSTED=GAAP","Sort=A","Dates=H","DateFormat=P","Fill=—","Direction=H","UseDPDF=Y")</f>
        <v>0</v>
      </c>
      <c r="P12" s="13">
        <f>_xll.BDH("GILD US Equity","IS_OTHER_OPER_INC","FQ3 2022","FQ3 2022","Currency=USD","Period=FQ","BEST_FPERIOD_OVERRIDE=FQ","FILING_STATUS=MR","SCALING_FORMAT=MLN","FA_ADJUSTED=GAAP","Sort=A","Dates=H","DateFormat=P","Fill=—","Direction=H","UseDPDF=Y")</f>
        <v>0</v>
      </c>
      <c r="Q12" s="13">
        <f>_xll.BDH("GILD US Equity","IS_OTHER_OPER_INC","FQ4 2022","FQ4 2022","Currency=USD","Period=FQ","BEST_FPERIOD_OVERRIDE=FQ","FILING_STATUS=MR","SCALING_FORMAT=MLN","FA_ADJUSTED=GAAP","Sort=A","Dates=H","DateFormat=P","Fill=—","Direction=H","UseDPDF=Y")</f>
        <v>0</v>
      </c>
      <c r="R12" s="13">
        <f>_xll.BDH("GILD US Equity","IS_OTHER_OPER_INC","FQ1 2023","FQ1 2023","Currency=USD","Period=FQ","BEST_FPERIOD_OVERRIDE=FQ","FILING_STATUS=MR","SCALING_FORMAT=MLN","FA_ADJUSTED=GAAP","Sort=A","Dates=H","DateFormat=P","Fill=—","Direction=H","UseDPDF=Y")</f>
        <v>0</v>
      </c>
      <c r="S12" s="13">
        <f>_xll.BDH("GILD US Equity","IS_OTHER_OPER_INC","FQ2 2023","FQ2 2023","Currency=USD","Period=FQ","BEST_FPERIOD_OVERRIDE=FQ","FILING_STATUS=MR","SCALING_FORMAT=MLN","FA_ADJUSTED=GAAP","Sort=A","Dates=H","DateFormat=P","Fill=—","Direction=H","UseDPDF=Y")</f>
        <v>0</v>
      </c>
      <c r="T12" s="13">
        <f>_xll.BDH("GILD US Equity","IS_OTHER_OPER_INC","FQ3 2023","FQ3 2023","Currency=USD","Period=FQ","BEST_FPERIOD_OVERRIDE=FQ","FILING_STATUS=MR","SCALING_FORMAT=MLN","FA_ADJUSTED=GAAP","Sort=A","Dates=H","DateFormat=P","Fill=—","Direction=H","UseDPDF=Y")</f>
        <v>0</v>
      </c>
      <c r="U12" s="13">
        <f>_xll.BDH("GILD US Equity","IS_OTHER_OPER_INC","FQ4 2023","FQ4 2023","Currency=USD","Period=FQ","BEST_FPERIOD_OVERRIDE=FQ","FILING_STATUS=MR","SCALING_FORMAT=MLN","FA_ADJUSTED=GAAP","Sort=A","Dates=H","DateFormat=P","Fill=—","Direction=H","UseDPDF=Y")</f>
        <v>0</v>
      </c>
      <c r="V12" s="13">
        <f>_xll.BDH("GILD US Equity","IS_OTHER_OPER_INC","FQ1 2024","FQ1 2024","Currency=USD","Period=FQ","BEST_FPERIOD_OVERRIDE=FQ","FILING_STATUS=MR","SCALING_FORMAT=MLN","FA_ADJUSTED=GAAP","Sort=A","Dates=H","DateFormat=P","Fill=—","Direction=H","UseDPDF=Y")</f>
        <v>0</v>
      </c>
      <c r="W12" s="13">
        <f>_xll.BDH("GILD US Equity","IS_OTHER_OPER_INC","FQ2 2024","FQ2 2024","Currency=USD","Period=FQ","BEST_FPERIOD_OVERRIDE=FQ","FILING_STATUS=MR","SCALING_FORMAT=MLN","FA_ADJUSTED=GAAP","Sort=A","Dates=H","DateFormat=P","Fill=—","Direction=H","UseDPDF=Y")</f>
        <v>0</v>
      </c>
      <c r="X12" s="13">
        <f>_xll.BDH("GILD US Equity","IS_OTHER_OPER_INC","FQ3 2024","FQ3 2024","Currency=USD","Period=FQ","BEST_FPERIOD_OVERRIDE=FQ","FILING_STATUS=MR","SCALING_FORMAT=MLN","FA_ADJUSTED=GAAP","Sort=A","Dates=H","DateFormat=P","Fill=—","Direction=H","UseDPDF=Y")</f>
        <v>0</v>
      </c>
      <c r="Y12" s="13">
        <f>_xll.BDH("GILD US Equity","IS_OTHER_OPER_INC","FQ4 2024","FQ4 2024","Currency=USD","Period=FQ","BEST_FPERIOD_OVERRIDE=FQ","FILING_STATUS=MR","SCALING_FORMAT=MLN","FA_ADJUSTED=GAAP","Sort=A","Dates=H","DateFormat=P","Fill=—","Direction=H","UseDPDF=Y")</f>
        <v>0</v>
      </c>
      <c r="Z12" s="13"/>
      <c r="AA12" s="13"/>
    </row>
    <row r="13" spans="1:27" x14ac:dyDescent="0.25">
      <c r="A13" s="10" t="s">
        <v>323</v>
      </c>
      <c r="B13" s="10" t="s">
        <v>324</v>
      </c>
      <c r="C13" s="13">
        <f>_xll.BDH("GILD US Equity","IS_OPERATING_EXPN","FQ2 2019","FQ2 2019","Currency=USD","Period=FQ","BEST_FPERIOD_OVERRIDE=FQ","FILING_STATUS=MR","SCALING_FORMAT=MLN","FA_ADJUSTED=GAAP","Sort=A","Dates=H","DateFormat=P","Fill=—","Direction=H","UseDPDF=Y")</f>
        <v>2255</v>
      </c>
      <c r="D13" s="13">
        <f>_xll.BDH("GILD US Equity","IS_OPERATING_EXPN","FQ3 2019","FQ3 2019","Currency=USD","Period=FQ","BEST_FPERIOD_OVERRIDE=FQ","FILING_STATUS=MR","SCALING_FORMAT=MLN","FA_ADJUSTED=GAAP","Sort=A","Dates=H","DateFormat=P","Fill=—","Direction=H","UseDPDF=Y")</f>
        <v>6042</v>
      </c>
      <c r="E13" s="13">
        <f>_xll.BDH("GILD US Equity","IS_OPERATING_EXPN","FQ4 2019","FQ4 2019","Currency=USD","Period=FQ","BEST_FPERIOD_OVERRIDE=FQ","FILING_STATUS=MR","SCALING_FORMAT=MLN","FA_ADJUSTED=GAAP","Sort=A","Dates=H","DateFormat=P","Fill=—","Direction=H","UseDPDF=Y")</f>
        <v>3103</v>
      </c>
      <c r="F13" s="13">
        <f>_xll.BDH("GILD US Equity","IS_OPERATING_EXPN","FQ1 2020","FQ1 2020","Currency=USD","Period=FQ","BEST_FPERIOD_OVERRIDE=FQ","FILING_STATUS=MR","SCALING_FORMAT=MLN","FA_ADJUSTED=GAAP","Sort=A","Dates=H","DateFormat=P","Fill=—","Direction=H","UseDPDF=Y")</f>
        <v>2177</v>
      </c>
      <c r="G13" s="13">
        <f>_xll.BDH("GILD US Equity","IS_OPERATING_EXPN","FQ2 2020","FQ2 2020","Currency=USD","Period=FQ","BEST_FPERIOD_OVERRIDE=FQ","FILING_STATUS=MR","SCALING_FORMAT=MLN","FA_ADJUSTED=GAAP","Sort=A","Dates=H","DateFormat=P","Fill=—","Direction=H","UseDPDF=Y")</f>
        <v>7062</v>
      </c>
      <c r="H13" s="13">
        <f>_xll.BDH("GILD US Equity","IS_OPERATING_EXPN","FQ3 2020","FQ3 2020","Currency=USD","Period=FQ","BEST_FPERIOD_OVERRIDE=FQ","FILING_STATUS=MR","SCALING_FORMAT=MLN","FA_ADJUSTED=GAAP","Sort=A","Dates=H","DateFormat=P","Fill=—","Direction=H","UseDPDF=Y")</f>
        <v>3435</v>
      </c>
      <c r="I13" s="13">
        <f>_xll.BDH("GILD US Equity","IS_OPERATING_EXPN","FQ4 2020","FQ4 2020","Currency=USD","Period=FQ","BEST_FPERIOD_OVERRIDE=FQ","FILING_STATUS=MR","SCALING_FORMAT=MLN","FA_ADJUSTED=GAAP","Sort=A","Dates=H","DateFormat=P","Fill=—","Direction=H","UseDPDF=Y")</f>
        <v>3372</v>
      </c>
      <c r="J13" s="13">
        <f>_xll.BDH("GILD US Equity","IS_OPERATING_EXPN","FQ1 2021","FQ1 2021","Currency=USD","Period=FQ","BEST_FPERIOD_OVERRIDE=FQ","FILING_STATUS=MR","SCALING_FORMAT=MLN","FA_ADJUSTED=GAAP","Sort=A","Dates=H","DateFormat=P","Fill=—","Direction=H","UseDPDF=Y")</f>
        <v>2172</v>
      </c>
      <c r="K13" s="13">
        <f>_xll.BDH("GILD US Equity","IS_OPERATING_EXPN","FQ2 2021","FQ2 2021","Currency=USD","Period=FQ","BEST_FPERIOD_OVERRIDE=FQ","FILING_STATUS=MR","SCALING_FORMAT=MLN","FA_ADJUSTED=GAAP","Sort=A","Dates=H","DateFormat=P","Fill=—","Direction=H","UseDPDF=Y")</f>
        <v>2581</v>
      </c>
      <c r="L13" s="13">
        <f>_xll.BDH("GILD US Equity","IS_OPERATING_EXPN","FQ3 2021","FQ3 2021","Currency=USD","Period=FQ","BEST_FPERIOD_OVERRIDE=FQ","FILING_STATUS=MR","SCALING_FORMAT=MLN","FA_ADJUSTED=GAAP","Sort=A","Dates=H","DateFormat=P","Fill=—","Direction=H","UseDPDF=Y")</f>
        <v>2356</v>
      </c>
      <c r="M13" s="13">
        <f>_xll.BDH("GILD US Equity","IS_OPERATING_EXPN","FQ4 2021","FQ4 2021","Currency=USD","Period=FQ","BEST_FPERIOD_OVERRIDE=FQ","FILING_STATUS=MR","SCALING_FORMAT=MLN","FA_ADJUSTED=GAAP","Sort=A","Dates=H","DateFormat=P","Fill=—","Direction=H","UseDPDF=Y")</f>
        <v>3677</v>
      </c>
      <c r="N13" s="13">
        <f>_xll.BDH("GILD US Equity","IS_OPERATING_EXPN","FQ1 2022","FQ1 2022","Currency=USD","Period=FQ","BEST_FPERIOD_OVERRIDE=FQ","FILING_STATUS=MR","SCALING_FORMAT=MLN","FA_ADJUSTED=GAAP","Sort=A","Dates=H","DateFormat=P","Fill=—","Direction=H","UseDPDF=Y")</f>
        <v>4969</v>
      </c>
      <c r="O13" s="13">
        <f>_xll.BDH("GILD US Equity","IS_OPERATING_EXPN","FQ2 2022","FQ2 2022","Currency=USD","Period=FQ","BEST_FPERIOD_OVERRIDE=FQ","FILING_STATUS=MR","SCALING_FORMAT=MLN","FA_ADJUSTED=GAAP","Sort=A","Dates=H","DateFormat=P","Fill=—","Direction=H","UseDPDF=Y")</f>
        <v>2789</v>
      </c>
      <c r="P13" s="13">
        <f>_xll.BDH("GILD US Equity","IS_OPERATING_EXPN","FQ3 2022","FQ3 2022","Currency=USD","Period=FQ","BEST_FPERIOD_OVERRIDE=FQ","FILING_STATUS=MR","SCALING_FORMAT=MLN","FA_ADJUSTED=GAAP","Sort=A","Dates=H","DateFormat=P","Fill=—","Direction=H","UseDPDF=Y")</f>
        <v>2810</v>
      </c>
      <c r="Q13" s="13">
        <f>_xll.BDH("GILD US Equity","IS_OPERATING_EXPN","FQ4 2022","FQ4 2022","Currency=USD","Period=FQ","BEST_FPERIOD_OVERRIDE=FQ","FILING_STATUS=MR","SCALING_FORMAT=MLN","FA_ADJUSTED=GAAP","Sort=A","Dates=H","DateFormat=P","Fill=—","Direction=H","UseDPDF=Y")</f>
        <v>3726</v>
      </c>
      <c r="R13" s="13">
        <f>_xll.BDH("GILD US Equity","IS_OPERATING_EXPN","FQ1 2023","FQ1 2023","Currency=USD","Period=FQ","BEST_FPERIOD_OVERRIDE=FQ","FILING_STATUS=MR","SCALING_FORMAT=MLN","FA_ADJUSTED=GAAP","Sort=A","Dates=H","DateFormat=P","Fill=—","Direction=H","UseDPDF=Y")</f>
        <v>3246</v>
      </c>
      <c r="S13" s="13">
        <f>_xll.BDH("GILD US Equity","IS_OPERATING_EXPN","FQ2 2023","FQ2 2023","Currency=USD","Period=FQ","BEST_FPERIOD_OVERRIDE=FQ","FILING_STATUS=MR","SCALING_FORMAT=MLN","FA_ADJUSTED=GAAP","Sort=A","Dates=H","DateFormat=P","Fill=—","Direction=H","UseDPDF=Y")</f>
        <v>3492</v>
      </c>
      <c r="T13" s="13">
        <f>_xll.BDH("GILD US Equity","IS_OPERATING_EXPN","FQ3 2023","FQ3 2023","Currency=USD","Period=FQ","BEST_FPERIOD_OVERRIDE=FQ","FILING_STATUS=MR","SCALING_FORMAT=MLN","FA_ADJUSTED=GAAP","Sort=A","Dates=H","DateFormat=P","Fill=—","Direction=H","UseDPDF=Y")</f>
        <v>2863</v>
      </c>
      <c r="U13" s="13">
        <f>_xll.BDH("GILD US Equity","IS_OPERATING_EXPN","FQ4 2023","FQ4 2023","Currency=USD","Period=FQ","BEST_FPERIOD_OVERRIDE=FQ","FILING_STATUS=MR","SCALING_FORMAT=MLN","FA_ADJUSTED=GAAP","Sort=A","Dates=H","DateFormat=P","Fill=—","Direction=H","UseDPDF=Y")</f>
        <v>3413</v>
      </c>
      <c r="V13" s="13">
        <f>_xll.BDH("GILD US Equity","IS_OPERATING_EXPN","FQ1 2024","FQ1 2024","Currency=USD","Period=FQ","BEST_FPERIOD_OVERRIDE=FQ","FILING_STATUS=MR","SCALING_FORMAT=MLN","FA_ADJUSTED=GAAP","Sort=A","Dates=H","DateFormat=P","Fill=—","Direction=H","UseDPDF=Y")</f>
        <v>9456</v>
      </c>
      <c r="W13" s="13">
        <f>_xll.BDH("GILD US Equity","IS_OPERATING_EXPN","FQ2 2024","FQ2 2024","Currency=USD","Period=FQ","BEST_FPERIOD_OVERRIDE=FQ","FILING_STATUS=MR","SCALING_FORMAT=MLN","FA_ADJUSTED=GAAP","Sort=A","Dates=H","DateFormat=P","Fill=—","Direction=H","UseDPDF=Y")</f>
        <v>2765</v>
      </c>
      <c r="X13" s="13">
        <f>_xll.BDH("GILD US Equity","IS_OPERATING_EXPN","FQ3 2024","FQ3 2024","Currency=USD","Period=FQ","BEST_FPERIOD_OVERRIDE=FQ","FILING_STATUS=MR","SCALING_FORMAT=MLN","FA_ADJUSTED=GAAP","Sort=A","Dates=H","DateFormat=P","Fill=—","Direction=H","UseDPDF=Y")</f>
        <v>5083</v>
      </c>
      <c r="Y13" s="13">
        <f>_xll.BDH("GILD US Equity","IS_OPERATING_EXPN","FQ4 2024","FQ4 2024","Currency=USD","Period=FQ","BEST_FPERIOD_OVERRIDE=FQ","FILING_STATUS=MR","SCALING_FORMAT=MLN","FA_ADJUSTED=GAAP","Sort=A","Dates=H","DateFormat=P","Fill=—","Direction=H","UseDPDF=Y")</f>
        <v>3537</v>
      </c>
      <c r="Z13" s="13"/>
      <c r="AA13" s="13"/>
    </row>
    <row r="14" spans="1:27" x14ac:dyDescent="0.25">
      <c r="A14" s="10" t="s">
        <v>325</v>
      </c>
      <c r="B14" s="10" t="s">
        <v>326</v>
      </c>
      <c r="C14" s="13">
        <f>_xll.BDH("GILD US Equity","IS_SGA_EXPENSE","FQ2 2019","FQ2 2019","Currency=USD","Period=FQ","BEST_FPERIOD_OVERRIDE=FQ","FILING_STATUS=MR","SCALING_FORMAT=MLN","FA_ADJUSTED=GAAP","Sort=A","Dates=H","DateFormat=P","Fill=—","Direction=H","UseDPDF=Y")</f>
        <v>1095</v>
      </c>
      <c r="D14" s="13">
        <f>_xll.BDH("GILD US Equity","IS_SGA_EXPENSE","FQ3 2019","FQ3 2019","Currency=USD","Period=FQ","BEST_FPERIOD_OVERRIDE=FQ","FILING_STATUS=MR","SCALING_FORMAT=MLN","FA_ADJUSTED=GAAP","Sort=A","Dates=H","DateFormat=P","Fill=—","Direction=H","UseDPDF=Y")</f>
        <v>1052</v>
      </c>
      <c r="E14" s="13">
        <f>_xll.BDH("GILD US Equity","IS_SGA_EXPENSE","FQ4 2019","FQ4 2019","Currency=USD","Period=FQ","BEST_FPERIOD_OVERRIDE=FQ","FILING_STATUS=MR","SCALING_FORMAT=MLN","FA_ADJUSTED=GAAP","Sort=A","Dates=H","DateFormat=P","Fill=—","Direction=H","UseDPDF=Y")</f>
        <v>1204</v>
      </c>
      <c r="F14" s="13">
        <f>_xll.BDH("GILD US Equity","IS_SGA_EXPENSE","FQ1 2020","FQ1 2020","Currency=USD","Period=FQ","BEST_FPERIOD_OVERRIDE=FQ","FILING_STATUS=MR","SCALING_FORMAT=MLN","FA_ADJUSTED=GAAP","Sort=A","Dates=H","DateFormat=P","Fill=—","Direction=H","UseDPDF=Y")</f>
        <v>1076</v>
      </c>
      <c r="G14" s="13">
        <f>_xll.BDH("GILD US Equity","IS_SGA_EXPENSE","FQ2 2020","FQ2 2020","Currency=USD","Period=FQ","BEST_FPERIOD_OVERRIDE=FQ","FILING_STATUS=MR","SCALING_FORMAT=MLN","FA_ADJUSTED=GAAP","Sort=A","Dates=H","DateFormat=P","Fill=—","Direction=H","UseDPDF=Y")</f>
        <v>1239</v>
      </c>
      <c r="H14" s="13">
        <f>_xll.BDH("GILD US Equity","IS_SGA_EXPENSE","FQ3 2020","FQ3 2020","Currency=USD","Period=FQ","BEST_FPERIOD_OVERRIDE=FQ","FILING_STATUS=MR","SCALING_FORMAT=MLN","FA_ADJUSTED=GAAP","Sort=A","Dates=H","DateFormat=P","Fill=—","Direction=H","UseDPDF=Y")</f>
        <v>1106</v>
      </c>
      <c r="I14" s="13">
        <f>_xll.BDH("GILD US Equity","IS_SGA_EXPENSE","FQ4 2020","FQ4 2020","Currency=USD","Period=FQ","BEST_FPERIOD_OVERRIDE=FQ","FILING_STATUS=MR","SCALING_FORMAT=MLN","FA_ADJUSTED=GAAP","Sort=A","Dates=H","DateFormat=P","Fill=—","Direction=H","UseDPDF=Y")</f>
        <v>1730</v>
      </c>
      <c r="J14" s="13">
        <f>_xll.BDH("GILD US Equity","IS_SGA_EXPENSE","FQ1 2021","FQ1 2021","Currency=USD","Period=FQ","BEST_FPERIOD_OVERRIDE=FQ","FILING_STATUS=MR","SCALING_FORMAT=MLN","FA_ADJUSTED=GAAP","Sort=A","Dates=H","DateFormat=P","Fill=—","Direction=H","UseDPDF=Y")</f>
        <v>1055</v>
      </c>
      <c r="K14" s="13">
        <f>_xll.BDH("GILD US Equity","IS_SGA_EXPENSE","FQ2 2021","FQ2 2021","Currency=USD","Period=FQ","BEST_FPERIOD_OVERRIDE=FQ","FILING_STATUS=MR","SCALING_FORMAT=MLN","FA_ADJUSTED=GAAP","Sort=A","Dates=H","DateFormat=P","Fill=—","Direction=H","UseDPDF=Y")</f>
        <v>1351</v>
      </c>
      <c r="L14" s="13">
        <f>_xll.BDH("GILD US Equity","IS_SGA_EXPENSE","FQ3 2021","FQ3 2021","Currency=USD","Period=FQ","BEST_FPERIOD_OVERRIDE=FQ","FILING_STATUS=MR","SCALING_FORMAT=MLN","FA_ADJUSTED=GAAP","Sort=A","Dates=H","DateFormat=P","Fill=—","Direction=H","UseDPDF=Y")</f>
        <v>1190</v>
      </c>
      <c r="M14" s="13">
        <f>_xll.BDH("GILD US Equity","IS_SGA_EXPENSE","FQ4 2021","FQ4 2021","Currency=USD","Period=FQ","BEST_FPERIOD_OVERRIDE=FQ","FILING_STATUS=MR","SCALING_FORMAT=MLN","FA_ADJUSTED=GAAP","Sort=A","Dates=H","DateFormat=P","Fill=—","Direction=H","UseDPDF=Y")</f>
        <v>1650</v>
      </c>
      <c r="N14" s="13">
        <f>_xll.BDH("GILD US Equity","IS_SGA_EXPENSE","FQ1 2022","FQ1 2022","Currency=USD","Period=FQ","BEST_FPERIOD_OVERRIDE=FQ","FILING_STATUS=MR","SCALING_FORMAT=MLN","FA_ADJUSTED=GAAP","Sort=A","Dates=H","DateFormat=P","Fill=—","Direction=H","UseDPDF=Y")</f>
        <v>1083</v>
      </c>
      <c r="O14" s="13">
        <f>_xll.BDH("GILD US Equity","IS_SGA_EXPENSE","FQ2 2022","FQ2 2022","Currency=USD","Period=FQ","BEST_FPERIOD_OVERRIDE=FQ","FILING_STATUS=MR","SCALING_FORMAT=MLN","FA_ADJUSTED=GAAP","Sort=A","Dates=H","DateFormat=P","Fill=—","Direction=H","UseDPDF=Y")</f>
        <v>1357</v>
      </c>
      <c r="P14" s="13">
        <f>_xll.BDH("GILD US Equity","IS_SGA_EXPENSE","FQ3 2022","FQ3 2022","Currency=USD","Period=FQ","BEST_FPERIOD_OVERRIDE=FQ","FILING_STATUS=MR","SCALING_FORMAT=MLN","FA_ADJUSTED=GAAP","Sort=A","Dates=H","DateFormat=P","Fill=—","Direction=H","UseDPDF=Y")</f>
        <v>1213</v>
      </c>
      <c r="Q14" s="13">
        <f>_xll.BDH("GILD US Equity","IS_SGA_EXPENSE","FQ4 2022","FQ4 2022","Currency=USD","Period=FQ","BEST_FPERIOD_OVERRIDE=FQ","FILING_STATUS=MR","SCALING_FORMAT=MLN","FA_ADJUSTED=GAAP","Sort=A","Dates=H","DateFormat=P","Fill=—","Direction=H","UseDPDF=Y")</f>
        <v>2020</v>
      </c>
      <c r="R14" s="13">
        <f>_xll.BDH("GILD US Equity","IS_SGA_EXPENSE","FQ1 2023","FQ1 2023","Currency=USD","Period=FQ","BEST_FPERIOD_OVERRIDE=FQ","FILING_STATUS=MR","SCALING_FORMAT=MLN","FA_ADJUSTED=GAAP","Sort=A","Dates=H","DateFormat=P","Fill=—","Direction=H","UseDPDF=Y")</f>
        <v>1318</v>
      </c>
      <c r="S14" s="13">
        <f>_xll.BDH("GILD US Equity","IS_SGA_EXPENSE","FQ2 2023","FQ2 2023","Currency=USD","Period=FQ","BEST_FPERIOD_OVERRIDE=FQ","FILING_STATUS=MR","SCALING_FORMAT=MLN","FA_ADJUSTED=GAAP","Sort=A","Dates=H","DateFormat=P","Fill=—","Direction=H","UseDPDF=Y")</f>
        <v>1849</v>
      </c>
      <c r="T14" s="13">
        <f>_xll.BDH("GILD US Equity","IS_SGA_EXPENSE","FQ3 2023","FQ3 2023","Currency=USD","Period=FQ","BEST_FPERIOD_OVERRIDE=FQ","FILING_STATUS=MR","SCALING_FORMAT=MLN","FA_ADJUSTED=GAAP","Sort=A","Dates=H","DateFormat=P","Fill=—","Direction=H","UseDPDF=Y")</f>
        <v>1315</v>
      </c>
      <c r="U14" s="13">
        <f>_xll.BDH("GILD US Equity","IS_SGA_EXPENSE","FQ4 2023","FQ4 2023","Currency=USD","Period=FQ","BEST_FPERIOD_OVERRIDE=FQ","FILING_STATUS=MR","SCALING_FORMAT=MLN","FA_ADJUSTED=GAAP","Sort=A","Dates=H","DateFormat=P","Fill=—","Direction=H","UseDPDF=Y")</f>
        <v>1608</v>
      </c>
      <c r="V14" s="13">
        <f>_xll.BDH("GILD US Equity","IS_SGA_EXPENSE","FQ1 2024","FQ1 2024","Currency=USD","Period=FQ","BEST_FPERIOD_OVERRIDE=FQ","FILING_STATUS=MR","SCALING_FORMAT=MLN","FA_ADJUSTED=GAAP","Sort=A","Dates=H","DateFormat=P","Fill=—","Direction=H","UseDPDF=Y")</f>
        <v>1375</v>
      </c>
      <c r="W14" s="13">
        <f>_xll.BDH("GILD US Equity","IS_SGA_EXPENSE","FQ2 2024","FQ2 2024","Currency=USD","Period=FQ","BEST_FPERIOD_OVERRIDE=FQ","FILING_STATUS=MR","SCALING_FORMAT=MLN","FA_ADJUSTED=GAAP","Sort=A","Dates=H","DateFormat=P","Fill=—","Direction=H","UseDPDF=Y")</f>
        <v>1377</v>
      </c>
      <c r="X14" s="13">
        <f>_xll.BDH("GILD US Equity","IS_SGA_EXPENSE","FQ3 2024","FQ3 2024","Currency=USD","Period=FQ","BEST_FPERIOD_OVERRIDE=FQ","FILING_STATUS=MR","SCALING_FORMAT=MLN","FA_ADJUSTED=GAAP","Sort=A","Dates=H","DateFormat=P","Fill=—","Direction=H","UseDPDF=Y")</f>
        <v>1433</v>
      </c>
      <c r="Y14" s="13">
        <f>_xll.BDH("GILD US Equity","IS_SGA_EXPENSE","FQ4 2024","FQ4 2024","Currency=USD","Period=FQ","BEST_FPERIOD_OVERRIDE=FQ","FILING_STATUS=MR","SCALING_FORMAT=MLN","FA_ADJUSTED=GAAP","Sort=A","Dates=H","DateFormat=P","Fill=—","Direction=H","UseDPDF=Y")</f>
        <v>1906</v>
      </c>
      <c r="Z14" s="13"/>
      <c r="AA14" s="13"/>
    </row>
    <row r="15" spans="1:27" x14ac:dyDescent="0.25">
      <c r="A15" s="10" t="s">
        <v>327</v>
      </c>
      <c r="B15" s="10" t="s">
        <v>412</v>
      </c>
      <c r="C15" s="13">
        <f>_xll.BDH("GILD US Equity","IS_OPER_EXPENSES_RD_GAAP","FQ2 2019","FQ2 2019","Currency=USD","Period=FQ","BEST_FPERIOD_OVERRIDE=FQ","FILING_STATUS=MR","SCALING_FORMAT=MLN","FA_ADJUSTED=GAAP","Sort=A","Dates=H","DateFormat=P","Fill=—","Direction=H","UseDPDF=Y")</f>
        <v>1160</v>
      </c>
      <c r="D15" s="13">
        <f>_xll.BDH("GILD US Equity","IS_OPER_EXPENSES_RD_GAAP","FQ3 2019","FQ3 2019","Currency=USD","Period=FQ","BEST_FPERIOD_OVERRIDE=FQ","FILING_STATUS=MR","SCALING_FORMAT=MLN","FA_ADJUSTED=GAAP","Sort=A","Dates=H","DateFormat=P","Fill=—","Direction=H","UseDPDF=Y")</f>
        <v>1030</v>
      </c>
      <c r="E15" s="13">
        <f>_xll.BDH("GILD US Equity","IS_OPER_EXPENSES_RD_GAAP","FQ4 2019","FQ4 2019","Currency=USD","Period=FQ","BEST_FPERIOD_OVERRIDE=FQ","FILING_STATUS=MR","SCALING_FORMAT=MLN","FA_ADJUSTED=GAAP","Sort=A","Dates=H","DateFormat=P","Fill=—","Direction=H","UseDPDF=Y")</f>
        <v>1899</v>
      </c>
      <c r="F15" s="13">
        <f>_xll.BDH("GILD US Equity","IS_OPER_EXPENSES_RD_GAAP","FQ1 2020","FQ1 2020","Currency=USD","Period=FQ","BEST_FPERIOD_OVERRIDE=FQ","FILING_STATUS=MR","SCALING_FORMAT=MLN","FA_ADJUSTED=GAAP","Sort=A","Dates=H","DateFormat=P","Fill=—","Direction=H","UseDPDF=Y")</f>
        <v>1004</v>
      </c>
      <c r="G15" s="13">
        <f>_xll.BDH("GILD US Equity","IS_OPER_EXPENSES_RD_GAAP","FQ2 2020","FQ2 2020","Currency=USD","Period=FQ","BEST_FPERIOD_OVERRIDE=FQ","FILING_STATUS=MR","SCALING_FORMAT=MLN","FA_ADJUSTED=GAAP","Sort=A","Dates=H","DateFormat=P","Fill=—","Direction=H","UseDPDF=Y")</f>
        <v>1299</v>
      </c>
      <c r="H15" s="13">
        <f>_xll.BDH("GILD US Equity","IS_OPER_EXPENSES_RD_GAAP","FQ3 2020","FQ3 2020","Currency=USD","Period=FQ","BEST_FPERIOD_OVERRIDE=FQ","FILING_STATUS=MR","SCALING_FORMAT=MLN","FA_ADJUSTED=GAAP","Sort=A","Dates=H","DateFormat=P","Fill=—","Direction=H","UseDPDF=Y")</f>
        <v>1158</v>
      </c>
      <c r="I15" s="13">
        <f>_xll.BDH("GILD US Equity","IS_OPER_EXPENSES_RD_GAAP","FQ4 2020","FQ4 2020","Currency=USD","Period=FQ","BEST_FPERIOD_OVERRIDE=FQ","FILING_STATUS=MR","SCALING_FORMAT=MLN","FA_ADJUSTED=GAAP","Sort=A","Dates=H","DateFormat=P","Fill=—","Direction=H","UseDPDF=Y")</f>
        <v>1578</v>
      </c>
      <c r="J15" s="13">
        <f>_xll.BDH("GILD US Equity","IS_OPER_EXPENSES_RD_GAAP","FQ1 2021","FQ1 2021","Currency=USD","Period=FQ","BEST_FPERIOD_OVERRIDE=FQ","FILING_STATUS=MR","SCALING_FORMAT=MLN","FA_ADJUSTED=GAAP","Sort=A","Dates=H","DateFormat=P","Fill=—","Direction=H","UseDPDF=Y")</f>
        <v>1055</v>
      </c>
      <c r="K15" s="13">
        <f>_xll.BDH("GILD US Equity","IS_OPER_EXPENSES_RD_GAAP","FQ2 2021","FQ2 2021","Currency=USD","Period=FQ","BEST_FPERIOD_OVERRIDE=FQ","FILING_STATUS=MR","SCALING_FORMAT=MLN","FA_ADJUSTED=GAAP","Sort=A","Dates=H","DateFormat=P","Fill=—","Direction=H","UseDPDF=Y")</f>
        <v>1134</v>
      </c>
      <c r="L15" s="13">
        <f>_xll.BDH("GILD US Equity","IS_OPER_EXPENSES_RD_GAAP","FQ3 2021","FQ3 2021","Currency=USD","Period=FQ","BEST_FPERIOD_OVERRIDE=FQ","FILING_STATUS=MR","SCALING_FORMAT=MLN","FA_ADJUSTED=GAAP","Sort=A","Dates=H","DateFormat=P","Fill=—","Direction=H","UseDPDF=Y")</f>
        <v>1101</v>
      </c>
      <c r="M15" s="13">
        <f>_xll.BDH("GILD US Equity","IS_OPER_EXPENSES_RD_GAAP","FQ4 2021","FQ4 2021","Currency=USD","Period=FQ","BEST_FPERIOD_OVERRIDE=FQ","FILING_STATUS=MR","SCALING_FORMAT=MLN","FA_ADJUSTED=GAAP","Sort=A","Dates=H","DateFormat=P","Fill=—","Direction=H","UseDPDF=Y")</f>
        <v>1358</v>
      </c>
      <c r="N15" s="13">
        <f>_xll.BDH("GILD US Equity","IS_OPER_EXPENSES_RD_GAAP","FQ1 2022","FQ1 2022","Currency=USD","Period=FQ","BEST_FPERIOD_OVERRIDE=FQ","FILING_STATUS=MR","SCALING_FORMAT=MLN","FA_ADJUSTED=GAAP","Sort=A","Dates=H","DateFormat=P","Fill=—","Direction=H","UseDPDF=Y")</f>
        <v>1186</v>
      </c>
      <c r="O15" s="13">
        <f>_xll.BDH("GILD US Equity","IS_OPER_EXPENSES_RD_GAAP","FQ2 2022","FQ2 2022","Currency=USD","Period=FQ","BEST_FPERIOD_OVERRIDE=FQ","FILING_STATUS=MR","SCALING_FORMAT=MLN","FA_ADJUSTED=GAAP","Sort=A","Dates=H","DateFormat=P","Fill=—","Direction=H","UseDPDF=Y")</f>
        <v>1102</v>
      </c>
      <c r="P15" s="13">
        <f>_xll.BDH("GILD US Equity","IS_OPER_EXPENSES_RD_GAAP","FQ3 2022","FQ3 2022","Currency=USD","Period=FQ","BEST_FPERIOD_OVERRIDE=FQ","FILING_STATUS=MR","SCALING_FORMAT=MLN","FA_ADJUSTED=GAAP","Sort=A","Dates=H","DateFormat=P","Fill=—","Direction=H","UseDPDF=Y")</f>
        <v>1149</v>
      </c>
      <c r="Q15" s="13">
        <f>_xll.BDH("GILD US Equity","IS_OPER_EXPENSES_RD_GAAP","FQ4 2022","FQ4 2022","Currency=USD","Period=FQ","BEST_FPERIOD_OVERRIDE=FQ","FILING_STATUS=MR","SCALING_FORMAT=MLN","FA_ADJUSTED=GAAP","Sort=A","Dates=H","DateFormat=P","Fill=—","Direction=H","UseDPDF=Y")</f>
        <v>1548</v>
      </c>
      <c r="R15" s="13">
        <f>_xll.BDH("GILD US Equity","IS_OPER_EXPENSES_RD_GAAP","FQ1 2023","FQ1 2023","Currency=USD","Period=FQ","BEST_FPERIOD_OVERRIDE=FQ","FILING_STATUS=MR","SCALING_FORMAT=MLN","FA_ADJUSTED=GAAP","Sort=A","Dates=H","DateFormat=P","Fill=—","Direction=H","UseDPDF=Y")</f>
        <v>1447</v>
      </c>
      <c r="S15" s="13">
        <f>_xll.BDH("GILD US Equity","IS_OPER_EXPENSES_RD_GAAP","FQ2 2023","FQ2 2023","Currency=USD","Period=FQ","BEST_FPERIOD_OVERRIDE=FQ","FILING_STATUS=MR","SCALING_FORMAT=MLN","FA_ADJUSTED=GAAP","Sort=A","Dates=H","DateFormat=P","Fill=—","Direction=H","UseDPDF=Y")</f>
        <v>1407</v>
      </c>
      <c r="T15" s="13">
        <f>_xll.BDH("GILD US Equity","IS_OPER_EXPENSES_RD_GAAP","FQ3 2023","FQ3 2023","Currency=USD","Period=FQ","BEST_FPERIOD_OVERRIDE=FQ","FILING_STATUS=MR","SCALING_FORMAT=MLN","FA_ADJUSTED=GAAP","Sort=A","Dates=H","DateFormat=P","Fill=—","Direction=H","UseDPDF=Y")</f>
        <v>1457</v>
      </c>
      <c r="U15" s="13">
        <f>_xll.BDH("GILD US Equity","IS_OPER_EXPENSES_RD_GAAP","FQ4 2023","FQ4 2023","Currency=USD","Period=FQ","BEST_FPERIOD_OVERRIDE=FQ","FILING_STATUS=MR","SCALING_FORMAT=MLN","FA_ADJUSTED=GAAP","Sort=A","Dates=H","DateFormat=P","Fill=—","Direction=H","UseDPDF=Y")</f>
        <v>1408</v>
      </c>
      <c r="V15" s="13">
        <f>_xll.BDH("GILD US Equity","IS_OPER_EXPENSES_RD_GAAP","FQ1 2024","FQ1 2024","Currency=USD","Period=FQ","BEST_FPERIOD_OVERRIDE=FQ","FILING_STATUS=MR","SCALING_FORMAT=MLN","FA_ADJUSTED=GAAP","Sort=A","Dates=H","DateFormat=P","Fill=—","Direction=H","UseDPDF=Y")</f>
        <v>1520</v>
      </c>
      <c r="W15" s="13">
        <f>_xll.BDH("GILD US Equity","IS_OPER_EXPENSES_RD_GAAP","FQ2 2024","FQ2 2024","Currency=USD","Period=FQ","BEST_FPERIOD_OVERRIDE=FQ","FILING_STATUS=MR","SCALING_FORMAT=MLN","FA_ADJUSTED=GAAP","Sort=A","Dates=H","DateFormat=P","Fill=—","Direction=H","UseDPDF=Y")</f>
        <v>1351</v>
      </c>
      <c r="X15" s="13">
        <f>_xll.BDH("GILD US Equity","IS_OPER_EXPENSES_RD_GAAP","FQ3 2024","FQ3 2024","Currency=USD","Period=FQ","BEST_FPERIOD_OVERRIDE=FQ","FILING_STATUS=MR","SCALING_FORMAT=MLN","FA_ADJUSTED=GAAP","Sort=A","Dates=H","DateFormat=P","Fill=—","Direction=H","UseDPDF=Y")</f>
        <v>1395</v>
      </c>
      <c r="Y15" s="13">
        <f>_xll.BDH("GILD US Equity","IS_OPER_EXPENSES_RD_GAAP","FQ4 2024","FQ4 2024","Currency=USD","Period=FQ","BEST_FPERIOD_OVERRIDE=FQ","FILING_STATUS=MR","SCALING_FORMAT=MLN","FA_ADJUSTED=GAAP","Sort=A","Dates=H","DateFormat=P","Fill=—","Direction=H","UseDPDF=Y")</f>
        <v>1641</v>
      </c>
      <c r="Z15" s="13"/>
      <c r="AA15" s="13"/>
    </row>
    <row r="16" spans="1:27" x14ac:dyDescent="0.25">
      <c r="A16" s="10" t="s">
        <v>329</v>
      </c>
      <c r="B16" s="10" t="s">
        <v>413</v>
      </c>
      <c r="C16" s="13">
        <f>_xll.BDH("GILD US Equity","OTHER_OPERATING_EXPENSES_RATIO","FQ2 2019","FQ2 2019","Currency=USD","Period=FQ","BEST_FPERIOD_OVERRIDE=FQ","FILING_STATUS=MR","SCALING_FORMAT=MLN","FA_ADJUSTED=GAAP","Sort=A","Dates=H","DateFormat=P","Fill=—","Direction=H","UseDPDF=Y")</f>
        <v>0</v>
      </c>
      <c r="D16" s="13">
        <f>_xll.BDH("GILD US Equity","OTHER_OPERATING_EXPENSES_RATIO","FQ3 2019","FQ3 2019","Currency=USD","Period=FQ","BEST_FPERIOD_OVERRIDE=FQ","FILING_STATUS=MR","SCALING_FORMAT=MLN","FA_ADJUSTED=GAAP","Sort=A","Dates=H","DateFormat=P","Fill=—","Direction=H","UseDPDF=Y")</f>
        <v>3960</v>
      </c>
      <c r="E16" s="13">
        <f>_xll.BDH("GILD US Equity","OTHER_OPERATING_EXPENSES_RATIO","FQ4 2019","FQ4 2019","Currency=USD","Period=FQ","BEST_FPERIOD_OVERRIDE=FQ","FILING_STATUS=MR","SCALING_FORMAT=MLN","FA_ADJUSTED=GAAP","Sort=A","Dates=H","DateFormat=P","Fill=—","Direction=H","UseDPDF=Y")</f>
        <v>0</v>
      </c>
      <c r="F16" s="13">
        <f>_xll.BDH("GILD US Equity","OTHER_OPERATING_EXPENSES_RATIO","FQ1 2020","FQ1 2020","Currency=USD","Period=FQ","BEST_FPERIOD_OVERRIDE=FQ","FILING_STATUS=MR","SCALING_FORMAT=MLN","FA_ADJUSTED=GAAP","Sort=A","Dates=H","DateFormat=P","Fill=—","Direction=H","UseDPDF=Y")</f>
        <v>97</v>
      </c>
      <c r="G16" s="13">
        <f>_xll.BDH("GILD US Equity","OTHER_OPERATING_EXPENSES_RATIO","FQ2 2020","FQ2 2020","Currency=USD","Period=FQ","BEST_FPERIOD_OVERRIDE=FQ","FILING_STATUS=MR","SCALING_FORMAT=MLN","FA_ADJUSTED=GAAP","Sort=A","Dates=H","DateFormat=P","Fill=—","Direction=H","UseDPDF=Y")</f>
        <v>4524</v>
      </c>
      <c r="H16" s="13">
        <f>_xll.BDH("GILD US Equity","OTHER_OPERATING_EXPENSES_RATIO","FQ3 2020","FQ3 2020","Currency=USD","Period=FQ","BEST_FPERIOD_OVERRIDE=FQ","FILING_STATUS=MR","SCALING_FORMAT=MLN","FA_ADJUSTED=GAAP","Sort=A","Dates=H","DateFormat=P","Fill=—","Direction=H","UseDPDF=Y")</f>
        <v>1171</v>
      </c>
      <c r="I16" s="13">
        <f>_xll.BDH("GILD US Equity","OTHER_OPERATING_EXPENSES_RATIO","FQ4 2020","FQ4 2020","Currency=USD","Period=FQ","BEST_FPERIOD_OVERRIDE=FQ","FILING_STATUS=MR","SCALING_FORMAT=MLN","FA_ADJUSTED=GAAP","Sort=A","Dates=H","DateFormat=P","Fill=—","Direction=H","UseDPDF=Y")</f>
        <v>64</v>
      </c>
      <c r="J16" s="13">
        <f>_xll.BDH("GILD US Equity","OTHER_OPERATING_EXPENSES_RATIO","FQ1 2021","FQ1 2021","Currency=USD","Period=FQ","BEST_FPERIOD_OVERRIDE=FQ","FILING_STATUS=MR","SCALING_FORMAT=MLN","FA_ADJUSTED=GAAP","Sort=A","Dates=H","DateFormat=P","Fill=—","Direction=H","UseDPDF=Y")</f>
        <v>62</v>
      </c>
      <c r="K16" s="13">
        <f>_xll.BDH("GILD US Equity","OTHER_OPERATING_EXPENSES_RATIO","FQ2 2021","FQ2 2021","Currency=USD","Period=FQ","BEST_FPERIOD_OVERRIDE=FQ","FILING_STATUS=MR","SCALING_FORMAT=MLN","FA_ADJUSTED=GAAP","Sort=A","Dates=H","DateFormat=P","Fill=—","Direction=H","UseDPDF=Y")</f>
        <v>96</v>
      </c>
      <c r="L16" s="13">
        <f>_xll.BDH("GILD US Equity","OTHER_OPERATING_EXPENSES_RATIO","FQ3 2021","FQ3 2021","Currency=USD","Period=FQ","BEST_FPERIOD_OVERRIDE=FQ","FILING_STATUS=MR","SCALING_FORMAT=MLN","FA_ADJUSTED=GAAP","Sort=A","Dates=H","DateFormat=P","Fill=—","Direction=H","UseDPDF=Y")</f>
        <v>65</v>
      </c>
      <c r="M16" s="13">
        <f>_xll.BDH("GILD US Equity","OTHER_OPERATING_EXPENSES_RATIO","FQ4 2021","FQ4 2021","Currency=USD","Period=FQ","BEST_FPERIOD_OVERRIDE=FQ","FILING_STATUS=MR","SCALING_FORMAT=MLN","FA_ADJUSTED=GAAP","Sort=A","Dates=H","DateFormat=P","Fill=—","Direction=H","UseDPDF=Y")</f>
        <v>669</v>
      </c>
      <c r="N16" s="13">
        <f>_xll.BDH("GILD US Equity","OTHER_OPERATING_EXPENSES_RATIO","FQ1 2022","FQ1 2022","Currency=USD","Period=FQ","BEST_FPERIOD_OVERRIDE=FQ","FILING_STATUS=MR","SCALING_FORMAT=MLN","FA_ADJUSTED=GAAP","Sort=A","Dates=H","DateFormat=P","Fill=—","Direction=H","UseDPDF=Y")</f>
        <v>2700</v>
      </c>
      <c r="O16" s="13">
        <f>_xll.BDH("GILD US Equity","OTHER_OPERATING_EXPENSES_RATIO","FQ2 2022","FQ2 2022","Currency=USD","Period=FQ","BEST_FPERIOD_OVERRIDE=FQ","FILING_STATUS=MR","SCALING_FORMAT=MLN","FA_ADJUSTED=GAAP","Sort=A","Dates=H","DateFormat=P","Fill=—","Direction=H","UseDPDF=Y")</f>
        <v>330</v>
      </c>
      <c r="P16" s="13">
        <f>_xll.BDH("GILD US Equity","OTHER_OPERATING_EXPENSES_RATIO","FQ3 2022","FQ3 2022","Currency=USD","Period=FQ","BEST_FPERIOD_OVERRIDE=FQ","FILING_STATUS=MR","SCALING_FORMAT=MLN","FA_ADJUSTED=GAAP","Sort=A","Dates=H","DateFormat=P","Fill=—","Direction=H","UseDPDF=Y")</f>
        <v>448</v>
      </c>
      <c r="Q16" s="13">
        <f>_xll.BDH("GILD US Equity","OTHER_OPERATING_EXPENSES_RATIO","FQ4 2022","FQ4 2022","Currency=USD","Period=FQ","BEST_FPERIOD_OVERRIDE=FQ","FILING_STATUS=MR","SCALING_FORMAT=MLN","FA_ADJUSTED=GAAP","Sort=A","Dates=H","DateFormat=P","Fill=—","Direction=H","UseDPDF=Y")</f>
        <v>158</v>
      </c>
      <c r="R16" s="13">
        <f>_xll.BDH("GILD US Equity","OTHER_OPERATING_EXPENSES_RATIO","FQ1 2023","FQ1 2023","Currency=USD","Period=FQ","BEST_FPERIOD_OVERRIDE=FQ","FILING_STATUS=MR","SCALING_FORMAT=MLN","FA_ADJUSTED=GAAP","Sort=A","Dates=H","DateFormat=P","Fill=—","Direction=H","UseDPDF=Y")</f>
        <v>481</v>
      </c>
      <c r="S16" s="13">
        <f>_xll.BDH("GILD US Equity","OTHER_OPERATING_EXPENSES_RATIO","FQ2 2023","FQ2 2023","Currency=USD","Period=FQ","BEST_FPERIOD_OVERRIDE=FQ","FILING_STATUS=MR","SCALING_FORMAT=MLN","FA_ADJUSTED=GAAP","Sort=A","Dates=H","DateFormat=P","Fill=—","Direction=H","UseDPDF=Y")</f>
        <v>236</v>
      </c>
      <c r="T16" s="13">
        <f>_xll.BDH("GILD US Equity","OTHER_OPERATING_EXPENSES_RATIO","FQ3 2023","FQ3 2023","Currency=USD","Period=FQ","BEST_FPERIOD_OVERRIDE=FQ","FILING_STATUS=MR","SCALING_FORMAT=MLN","FA_ADJUSTED=GAAP","Sort=A","Dates=H","DateFormat=P","Fill=—","Direction=H","UseDPDF=Y")</f>
        <v>91</v>
      </c>
      <c r="U16" s="13">
        <f>_xll.BDH("GILD US Equity","OTHER_OPERATING_EXPENSES_RATIO","FQ4 2023","FQ4 2023","Currency=USD","Period=FQ","BEST_FPERIOD_OVERRIDE=FQ","FILING_STATUS=MR","SCALING_FORMAT=MLN","FA_ADJUSTED=GAAP","Sort=A","Dates=H","DateFormat=P","Fill=—","Direction=H","UseDPDF=Y")</f>
        <v>397</v>
      </c>
      <c r="V16" s="13">
        <f>_xll.BDH("GILD US Equity","OTHER_OPERATING_EXPENSES_RATIO","FQ1 2024","FQ1 2024","Currency=USD","Period=FQ","BEST_FPERIOD_OVERRIDE=FQ","FILING_STATUS=MR","SCALING_FORMAT=MLN","FA_ADJUSTED=GAAP","Sort=A","Dates=H","DateFormat=P","Fill=—","Direction=H","UseDPDF=Y")</f>
        <v>6561</v>
      </c>
      <c r="W16" s="13">
        <f>_xll.BDH("GILD US Equity","OTHER_OPERATING_EXPENSES_RATIO","FQ2 2024","FQ2 2024","Currency=USD","Period=FQ","BEST_FPERIOD_OVERRIDE=FQ","FILING_STATUS=MR","SCALING_FORMAT=MLN","FA_ADJUSTED=GAAP","Sort=A","Dates=H","DateFormat=P","Fill=—","Direction=H","UseDPDF=Y")</f>
        <v>37</v>
      </c>
      <c r="X16" s="13">
        <f>_xll.BDH("GILD US Equity","OTHER_OPERATING_EXPENSES_RATIO","FQ3 2024","FQ3 2024","Currency=USD","Period=FQ","BEST_FPERIOD_OVERRIDE=FQ","FILING_STATUS=MR","SCALING_FORMAT=MLN","FA_ADJUSTED=GAAP","Sort=A","Dates=H","DateFormat=P","Fill=—","Direction=H","UseDPDF=Y")</f>
        <v>2255</v>
      </c>
      <c r="Y16" s="13">
        <f>_xll.BDH("GILD US Equity","OTHER_OPERATING_EXPENSES_RATIO","FQ4 2024","FQ4 2024","Currency=USD","Period=FQ","BEST_FPERIOD_OVERRIDE=FQ","FILING_STATUS=MR","SCALING_FORMAT=MLN","FA_ADJUSTED=GAAP","Sort=A","Dates=H","DateFormat=P","Fill=—","Direction=H","UseDPDF=Y")</f>
        <v>-10</v>
      </c>
      <c r="Z16" s="13"/>
      <c r="AA16" s="13"/>
    </row>
    <row r="17" spans="1:27" x14ac:dyDescent="0.25">
      <c r="A17" s="6" t="s">
        <v>331</v>
      </c>
      <c r="B17" s="6" t="s">
        <v>99</v>
      </c>
      <c r="C17" s="19">
        <f>_xll.BDH("GILD US Equity","IS_OPER_INC","FQ2 2019","FQ2 2019","Currency=USD","Period=FQ","BEST_FPERIOD_OVERRIDE=FQ","FILING_STATUS=MR","SCALING_FORMAT=MLN","FA_ADJUSTED=GAAP","Sort=A","Dates=H","DateFormat=P","Fill=—","Direction=H","UseDPDF=Y")</f>
        <v>2430</v>
      </c>
      <c r="D17" s="19">
        <f>_xll.BDH("GILD US Equity","IS_OPER_INC","FQ3 2019","FQ3 2019","Currency=USD","Period=FQ","BEST_FPERIOD_OVERRIDE=FQ","FILING_STATUS=MR","SCALING_FORMAT=MLN","FA_ADJUSTED=GAAP","Sort=A","Dates=H","DateFormat=P","Fill=—","Direction=H","UseDPDF=Y")</f>
        <v>-1473</v>
      </c>
      <c r="E17" s="19">
        <f>_xll.BDH("GILD US Equity","IS_OPER_INC","FQ4 2019","FQ4 2019","Currency=USD","Period=FQ","BEST_FPERIOD_OVERRIDE=FQ","FILING_STATUS=MR","SCALING_FORMAT=MLN","FA_ADJUSTED=GAAP","Sort=A","Dates=H","DateFormat=P","Fill=—","Direction=H","UseDPDF=Y")</f>
        <v>1093</v>
      </c>
      <c r="F17" s="19">
        <f>_xll.BDH("GILD US Equity","IS_OPER_INC","FQ1 2020","FQ1 2020","Currency=USD","Period=FQ","BEST_FPERIOD_OVERRIDE=FQ","FILING_STATUS=MR","SCALING_FORMAT=MLN","FA_ADJUSTED=GAAP","Sort=A","Dates=H","DateFormat=P","Fill=—","Direction=H","UseDPDF=Y")</f>
        <v>2402</v>
      </c>
      <c r="G17" s="19">
        <f>_xll.BDH("GILD US Equity","IS_OPER_INC","FQ2 2020","FQ2 2020","Currency=USD","Period=FQ","BEST_FPERIOD_OVERRIDE=FQ","FILING_STATUS=MR","SCALING_FORMAT=MLN","FA_ADJUSTED=GAAP","Sort=A","Dates=H","DateFormat=P","Fill=—","Direction=H","UseDPDF=Y")</f>
        <v>-2983</v>
      </c>
      <c r="H17" s="19">
        <f>_xll.BDH("GILD US Equity","IS_OPER_INC","FQ3 2020","FQ3 2020","Currency=USD","Period=FQ","BEST_FPERIOD_OVERRIDE=FQ","FILING_STATUS=MR","SCALING_FORMAT=MLN","FA_ADJUSTED=GAAP","Sort=A","Dates=H","DateFormat=P","Fill=—","Direction=H","UseDPDF=Y")</f>
        <v>2001</v>
      </c>
      <c r="I17" s="19">
        <f>_xll.BDH("GILD US Equity","IS_OPER_INC","FQ4 2020","FQ4 2020","Currency=USD","Period=FQ","BEST_FPERIOD_OVERRIDE=FQ","FILING_STATUS=MR","SCALING_FORMAT=MLN","FA_ADJUSTED=GAAP","Sort=A","Dates=H","DateFormat=P","Fill=—","Direction=H","UseDPDF=Y")</f>
        <v>2651</v>
      </c>
      <c r="J17" s="19">
        <f>_xll.BDH("GILD US Equity","IS_OPER_INC","FQ1 2021","FQ1 2021","Currency=USD","Period=FQ","BEST_FPERIOD_OVERRIDE=FQ","FILING_STATUS=MR","SCALING_FORMAT=MLN","FA_ADJUSTED=GAAP","Sort=A","Dates=H","DateFormat=P","Fill=—","Direction=H","UseDPDF=Y")</f>
        <v>2890</v>
      </c>
      <c r="K17" s="19">
        <f>_xll.BDH("GILD US Equity","IS_OPER_INC","FQ2 2021","FQ2 2021","Currency=USD","Period=FQ","BEST_FPERIOD_OVERRIDE=FQ","FILING_STATUS=MR","SCALING_FORMAT=MLN","FA_ADJUSTED=GAAP","Sort=A","Dates=H","DateFormat=P","Fill=—","Direction=H","UseDPDF=Y")</f>
        <v>2246</v>
      </c>
      <c r="L17" s="19">
        <f>_xll.BDH("GILD US Equity","IS_OPER_INC","FQ3 2021","FQ3 2021","Currency=USD","Period=FQ","BEST_FPERIOD_OVERRIDE=FQ","FILING_STATUS=MR","SCALING_FORMAT=MLN","FA_ADJUSTED=GAAP","Sort=A","Dates=H","DateFormat=P","Fill=—","Direction=H","UseDPDF=Y")</f>
        <v>3842</v>
      </c>
      <c r="M17" s="19">
        <f>_xll.BDH("GILD US Equity","IS_OPER_INC","FQ4 2021","FQ4 2021","Currency=USD","Period=FQ","BEST_FPERIOD_OVERRIDE=FQ","FILING_STATUS=MR","SCALING_FORMAT=MLN","FA_ADJUSTED=GAAP","Sort=A","Dates=H","DateFormat=P","Fill=—","Direction=H","UseDPDF=Y")</f>
        <v>940</v>
      </c>
      <c r="N17" s="19">
        <f>_xll.BDH("GILD US Equity","IS_OPER_INC","FQ1 2022","FQ1 2022","Currency=USD","Period=FQ","BEST_FPERIOD_OVERRIDE=FQ","FILING_STATUS=MR","SCALING_FORMAT=MLN","FA_ADJUSTED=GAAP","Sort=A","Dates=H","DateFormat=P","Fill=—","Direction=H","UseDPDF=Y")</f>
        <v>197</v>
      </c>
      <c r="O17" s="19">
        <f>_xll.BDH("GILD US Equity","IS_OPER_INC","FQ2 2022","FQ2 2022","Currency=USD","Period=FQ","BEST_FPERIOD_OVERRIDE=FQ","FILING_STATUS=MR","SCALING_FORMAT=MLN","FA_ADJUSTED=GAAP","Sort=A","Dates=H","DateFormat=P","Fill=—","Direction=H","UseDPDF=Y")</f>
        <v>2029</v>
      </c>
      <c r="P17" s="19">
        <f>_xll.BDH("GILD US Equity","IS_OPER_INC","FQ3 2022","FQ3 2022","Currency=USD","Period=FQ","BEST_FPERIOD_OVERRIDE=FQ","FILING_STATUS=MR","SCALING_FORMAT=MLN","FA_ADJUSTED=GAAP","Sort=A","Dates=H","DateFormat=P","Fill=—","Direction=H","UseDPDF=Y")</f>
        <v>2837</v>
      </c>
      <c r="Q17" s="19">
        <f>_xll.BDH("GILD US Equity","IS_OPER_INC","FQ4 2022","FQ4 2022","Currency=USD","Period=FQ","BEST_FPERIOD_OVERRIDE=FQ","FILING_STATUS=MR","SCALING_FORMAT=MLN","FA_ADJUSTED=GAAP","Sort=A","Dates=H","DateFormat=P","Fill=—","Direction=H","UseDPDF=Y")</f>
        <v>2267</v>
      </c>
      <c r="R17" s="19">
        <f>_xll.BDH("GILD US Equity","IS_OPER_INC","FQ1 2023","FQ1 2023","Currency=USD","Period=FQ","BEST_FPERIOD_OVERRIDE=FQ","FILING_STATUS=MR","SCALING_FORMAT=MLN","FA_ADJUSTED=GAAP","Sort=A","Dates=H","DateFormat=P","Fill=—","Direction=H","UseDPDF=Y")</f>
        <v>1705</v>
      </c>
      <c r="S17" s="19">
        <f>_xll.BDH("GILD US Equity","IS_OPER_INC","FQ2 2023","FQ2 2023","Currency=USD","Period=FQ","BEST_FPERIOD_OVERRIDE=FQ","FILING_STATUS=MR","SCALING_FORMAT=MLN","FA_ADJUSTED=GAAP","Sort=A","Dates=H","DateFormat=P","Fill=—","Direction=H","UseDPDF=Y")</f>
        <v>1665</v>
      </c>
      <c r="T17" s="19">
        <f>_xll.BDH("GILD US Equity","IS_OPER_INC","FQ3 2023","FQ3 2023","Currency=USD","Period=FQ","BEST_FPERIOD_OVERRIDE=FQ","FILING_STATUS=MR","SCALING_FORMAT=MLN","FA_ADJUSTED=GAAP","Sort=A","Dates=H","DateFormat=P","Fill=—","Direction=H","UseDPDF=Y")</f>
        <v>2623</v>
      </c>
      <c r="U17" s="19">
        <f>_xll.BDH("GILD US Equity","IS_OPER_INC","FQ4 2023","FQ4 2023","Currency=USD","Period=FQ","BEST_FPERIOD_OVERRIDE=FQ","FILING_STATUS=MR","SCALING_FORMAT=MLN","FA_ADJUSTED=GAAP","Sort=A","Dates=H","DateFormat=P","Fill=—","Direction=H","UseDPDF=Y")</f>
        <v>1612</v>
      </c>
      <c r="V17" s="19">
        <f>_xll.BDH("GILD US Equity","IS_OPER_INC","FQ1 2024","FQ1 2024","Currency=USD","Period=FQ","BEST_FPERIOD_OVERRIDE=FQ","FILING_STATUS=MR","SCALING_FORMAT=MLN","FA_ADJUSTED=GAAP","Sort=A","Dates=H","DateFormat=P","Fill=—","Direction=H","UseDPDF=Y")</f>
        <v>-4322</v>
      </c>
      <c r="W17" s="19">
        <f>_xll.BDH("GILD US Equity","IS_OPER_INC","FQ2 2024","FQ2 2024","Currency=USD","Period=FQ","BEST_FPERIOD_OVERRIDE=FQ","FILING_STATUS=MR","SCALING_FORMAT=MLN","FA_ADJUSTED=GAAP","Sort=A","Dates=H","DateFormat=P","Fill=—","Direction=H","UseDPDF=Y")</f>
        <v>2644</v>
      </c>
      <c r="X17" s="19">
        <f>_xll.BDH("GILD US Equity","IS_OPER_INC","FQ3 2024","FQ3 2024","Currency=USD","Period=FQ","BEST_FPERIOD_OVERRIDE=FQ","FILING_STATUS=MR","SCALING_FORMAT=MLN","FA_ADJUSTED=GAAP","Sort=A","Dates=H","DateFormat=P","Fill=—","Direction=H","UseDPDF=Y")</f>
        <v>888</v>
      </c>
      <c r="Y17" s="19">
        <f>_xll.BDH("GILD US Equity","IS_OPER_INC","FQ4 2024","FQ4 2024","Currency=USD","Period=FQ","BEST_FPERIOD_OVERRIDE=FQ","FILING_STATUS=MR","SCALING_FORMAT=MLN","FA_ADJUSTED=GAAP","Sort=A","Dates=H","DateFormat=P","Fill=—","Direction=H","UseDPDF=Y")</f>
        <v>2451</v>
      </c>
      <c r="Z17" s="19">
        <v>2821.3530000000001</v>
      </c>
      <c r="AA17" s="19">
        <v>3173.3130000000001</v>
      </c>
    </row>
    <row r="18" spans="1:27" x14ac:dyDescent="0.25">
      <c r="A18" s="10" t="s">
        <v>332</v>
      </c>
      <c r="B18" s="10" t="s">
        <v>414</v>
      </c>
      <c r="C18" s="13">
        <f>_xll.BDH("GILD US Equity","NONOP_INCOME_LOSS","FQ2 2019","FQ2 2019","Currency=USD","Period=FQ","BEST_FPERIOD_OVERRIDE=FQ","FILING_STATUS=MR","SCALING_FORMAT=MLN","FA_ADJUSTED=GAAP","Sort=A","Dates=H","DateFormat=P","Fill=—","Direction=H","UseDPDF=Y")</f>
        <v>20</v>
      </c>
      <c r="D18" s="13">
        <f>_xll.BDH("GILD US Equity","NONOP_INCOME_LOSS","FQ3 2019","FQ3 2019","Currency=USD","Period=FQ","BEST_FPERIOD_OVERRIDE=FQ","FILING_STATUS=MR","SCALING_FORMAT=MLN","FA_ADJUSTED=GAAP","Sort=A","Dates=H","DateFormat=P","Fill=—","Direction=H","UseDPDF=Y")</f>
        <v>28</v>
      </c>
      <c r="E18" s="13">
        <f>_xll.BDH("GILD US Equity","NONOP_INCOME_LOSS","FQ4 2019","FQ4 2019","Currency=USD","Period=FQ","BEST_FPERIOD_OVERRIDE=FQ","FILING_STATUS=MR","SCALING_FORMAT=MLN","FA_ADJUSTED=GAAP","Sort=A","Dates=H","DateFormat=P","Fill=—","Direction=H","UseDPDF=Y")</f>
        <v>-808</v>
      </c>
      <c r="F18" s="13">
        <f>_xll.BDH("GILD US Equity","NONOP_INCOME_LOSS","FQ1 2020","FQ1 2020","Currency=USD","Period=FQ","BEST_FPERIOD_OVERRIDE=FQ","FILING_STATUS=MR","SCALING_FORMAT=MLN","FA_ADJUSTED=GAAP","Sort=A","Dates=H","DateFormat=P","Fill=—","Direction=H","UseDPDF=Y")</f>
        <v>399</v>
      </c>
      <c r="G18" s="13">
        <f>_xll.BDH("GILD US Equity","NONOP_INCOME_LOSS","FQ2 2020","FQ2 2020","Currency=USD","Period=FQ","BEST_FPERIOD_OVERRIDE=FQ","FILING_STATUS=MR","SCALING_FORMAT=MLN","FA_ADJUSTED=GAAP","Sort=A","Dates=H","DateFormat=P","Fill=—","Direction=H","UseDPDF=Y")</f>
        <v>-10</v>
      </c>
      <c r="H18" s="13">
        <f>_xll.BDH("GILD US Equity","NONOP_INCOME_LOSS","FQ3 2020","FQ3 2020","Currency=USD","Period=FQ","BEST_FPERIOD_OVERRIDE=FQ","FILING_STATUS=MR","SCALING_FORMAT=MLN","FA_ADJUSTED=GAAP","Sort=A","Dates=H","DateFormat=P","Fill=—","Direction=H","UseDPDF=Y")</f>
        <v>1176</v>
      </c>
      <c r="I18" s="13">
        <f>_xll.BDH("GILD US Equity","NONOP_INCOME_LOSS","FQ4 2020","FQ4 2020","Currency=USD","Period=FQ","BEST_FPERIOD_OVERRIDE=FQ","FILING_STATUS=MR","SCALING_FORMAT=MLN","FA_ADJUSTED=GAAP","Sort=A","Dates=H","DateFormat=P","Fill=—","Direction=H","UseDPDF=Y")</f>
        <v>837</v>
      </c>
      <c r="J18" s="13">
        <f>_xll.BDH("GILD US Equity","NONOP_INCOME_LOSS","FQ1 2021","FQ1 2021","Currency=USD","Period=FQ","BEST_FPERIOD_OVERRIDE=FQ","FILING_STATUS=MR","SCALING_FORMAT=MLN","FA_ADJUSTED=GAAP","Sort=A","Dates=H","DateFormat=P","Fill=—","Direction=H","UseDPDF=Y")</f>
        <v>626</v>
      </c>
      <c r="K18" s="13">
        <f>_xll.BDH("GILD US Equity","NONOP_INCOME_LOSS","FQ2 2021","FQ2 2021","Currency=USD","Period=FQ","BEST_FPERIOD_OVERRIDE=FQ","FILING_STATUS=MR","SCALING_FORMAT=MLN","FA_ADJUSTED=GAAP","Sort=A","Dates=H","DateFormat=P","Fill=—","Direction=H","UseDPDF=Y")</f>
        <v>429</v>
      </c>
      <c r="L18" s="13">
        <f>_xll.BDH("GILD US Equity","NONOP_INCOME_LOSS","FQ3 2021","FQ3 2021","Currency=USD","Period=FQ","BEST_FPERIOD_OVERRIDE=FQ","FILING_STATUS=MR","SCALING_FORMAT=MLN","FA_ADJUSTED=GAAP","Sort=A","Dates=H","DateFormat=P","Fill=—","Direction=H","UseDPDF=Y")</f>
        <v>404</v>
      </c>
      <c r="M18" s="13">
        <f>_xll.BDH("GILD US Equity","NONOP_INCOME_LOSS","FQ4 2021","FQ4 2021","Currency=USD","Period=FQ","BEST_FPERIOD_OVERRIDE=FQ","FILING_STATUS=MR","SCALING_FORMAT=MLN","FA_ADJUSTED=GAAP","Sort=A","Dates=H","DateFormat=P","Fill=—","Direction=H","UseDPDF=Y")</f>
        <v>181</v>
      </c>
      <c r="N18" s="13">
        <f>_xll.BDH("GILD US Equity","NONOP_INCOME_LOSS","FQ1 2022","FQ1 2022","Currency=USD","Period=FQ","BEST_FPERIOD_OVERRIDE=FQ","FILING_STATUS=MR","SCALING_FORMAT=MLN","FA_ADJUSTED=GAAP","Sort=A","Dates=H","DateFormat=P","Fill=—","Direction=H","UseDPDF=Y")</f>
        <v>349</v>
      </c>
      <c r="O18" s="13">
        <f>_xll.BDH("GILD US Equity","NONOP_INCOME_LOSS","FQ2 2022","FQ2 2022","Currency=USD","Period=FQ","BEST_FPERIOD_OVERRIDE=FQ","FILING_STATUS=MR","SCALING_FORMAT=MLN","FA_ADJUSTED=GAAP","Sort=A","Dates=H","DateFormat=P","Fill=—","Direction=H","UseDPDF=Y")</f>
        <v>526</v>
      </c>
      <c r="P18" s="13">
        <f>_xll.BDH("GILD US Equity","NONOP_INCOME_LOSS","FQ3 2022","FQ3 2022","Currency=USD","Period=FQ","BEST_FPERIOD_OVERRIDE=FQ","FILING_STATUS=MR","SCALING_FORMAT=MLN","FA_ADJUSTED=GAAP","Sort=A","Dates=H","DateFormat=P","Fill=—","Direction=H","UseDPDF=Y")</f>
        <v>405</v>
      </c>
      <c r="Q18" s="13">
        <f>_xll.BDH("GILD US Equity","NONOP_INCOME_LOSS","FQ4 2022","FQ4 2022","Currency=USD","Period=FQ","BEST_FPERIOD_OVERRIDE=FQ","FILING_STATUS=MR","SCALING_FORMAT=MLN","FA_ADJUSTED=GAAP","Sort=A","Dates=H","DateFormat=P","Fill=—","Direction=H","UseDPDF=Y")</f>
        <v>236</v>
      </c>
      <c r="R18" s="13">
        <f>_xll.BDH("GILD US Equity","NONOP_INCOME_LOSS","FQ1 2023","FQ1 2023","Currency=USD","Period=FQ","BEST_FPERIOD_OVERRIDE=FQ","FILING_STATUS=MR","SCALING_FORMAT=MLN","FA_ADJUSTED=GAAP","Sort=A","Dates=H","DateFormat=P","Fill=—","Direction=H","UseDPDF=Y")</f>
        <v>405</v>
      </c>
      <c r="S18" s="13">
        <f>_xll.BDH("GILD US Equity","NONOP_INCOME_LOSS","FQ2 2023","FQ2 2023","Currency=USD","Period=FQ","BEST_FPERIOD_OVERRIDE=FQ","FILING_STATUS=MR","SCALING_FORMAT=MLN","FA_ADJUSTED=GAAP","Sort=A","Dates=H","DateFormat=P","Fill=—","Direction=H","UseDPDF=Y")</f>
        <v>77</v>
      </c>
      <c r="T18" s="13">
        <f>_xll.BDH("GILD US Equity","NONOP_INCOME_LOSS","FQ3 2023","FQ3 2023","Currency=USD","Period=FQ","BEST_FPERIOD_OVERRIDE=FQ","FILING_STATUS=MR","SCALING_FORMAT=MLN","FA_ADJUSTED=GAAP","Sort=A","Dates=H","DateFormat=P","Fill=—","Direction=H","UseDPDF=Y")</f>
        <v>304</v>
      </c>
      <c r="U18" s="13">
        <f>_xll.BDH("GILD US Equity","NONOP_INCOME_LOSS","FQ4 2023","FQ4 2023","Currency=USD","Period=FQ","BEST_FPERIOD_OVERRIDE=FQ","FILING_STATUS=MR","SCALING_FORMAT=MLN","FA_ADJUSTED=GAAP","Sort=A","Dates=H","DateFormat=P","Fill=—","Direction=H","UseDPDF=Y")</f>
        <v>-41</v>
      </c>
      <c r="V18" s="13">
        <f>_xll.BDH("GILD US Equity","NONOP_INCOME_LOSS","FQ1 2024","FQ1 2024","Currency=USD","Period=FQ","BEST_FPERIOD_OVERRIDE=FQ","FILING_STATUS=MR","SCALING_FORMAT=MLN","FA_ADJUSTED=GAAP","Sort=A","Dates=H","DateFormat=P","Fill=—","Direction=H","UseDPDF=Y")</f>
        <v>164</v>
      </c>
      <c r="W18" s="13">
        <f>_xll.BDH("GILD US Equity","NONOP_INCOME_LOSS","FQ2 2024","FQ2 2024","Currency=USD","Period=FQ","BEST_FPERIOD_OVERRIDE=FQ","FILING_STATUS=MR","SCALING_FORMAT=MLN","FA_ADJUSTED=GAAP","Sort=A","Dates=H","DateFormat=P","Fill=—","Direction=H","UseDPDF=Y")</f>
        <v>591</v>
      </c>
      <c r="X18" s="13">
        <f>_xll.BDH("GILD US Equity","NONOP_INCOME_LOSS","FQ3 2024","FQ3 2024","Currency=USD","Period=FQ","BEST_FPERIOD_OVERRIDE=FQ","FILING_STATUS=MR","SCALING_FORMAT=MLN","FA_ADJUSTED=GAAP","Sort=A","Dates=H","DateFormat=P","Fill=—","Direction=H","UseDPDF=Y")</f>
        <v>-68</v>
      </c>
      <c r="Y18" s="13">
        <f>_xll.BDH("GILD US Equity","NONOP_INCOME_LOSS","FQ4 2024","FQ4 2024","Currency=USD","Period=FQ","BEST_FPERIOD_OVERRIDE=FQ","FILING_STATUS=MR","SCALING_FORMAT=MLN","FA_ADJUSTED=GAAP","Sort=A","Dates=H","DateFormat=P","Fill=—","Direction=H","UseDPDF=Y")</f>
        <v>283</v>
      </c>
      <c r="Z18" s="13"/>
      <c r="AA18" s="13"/>
    </row>
    <row r="19" spans="1:27" x14ac:dyDescent="0.25">
      <c r="A19" s="10" t="s">
        <v>334</v>
      </c>
      <c r="B19" s="10" t="s">
        <v>335</v>
      </c>
      <c r="C19" s="13">
        <f>_xll.BDH("GILD US Equity","IS_NET_INTEREST_EXPENSE","FQ2 2019","FQ2 2019","Currency=USD","Period=FQ","BEST_FPERIOD_OVERRIDE=FQ","FILING_STATUS=MR","SCALING_FORMAT=MLN","FA_ADJUSTED=GAAP","Sort=A","Dates=H","DateFormat=P","Fill=—","Direction=H","UseDPDF=Y")</f>
        <v>248</v>
      </c>
      <c r="D19" s="13">
        <f>_xll.BDH("GILD US Equity","IS_NET_INTEREST_EXPENSE","FQ3 2019","FQ3 2019","Currency=USD","Period=FQ","BEST_FPERIOD_OVERRIDE=FQ","FILING_STATUS=MR","SCALING_FORMAT=MLN","FA_ADJUSTED=GAAP","Sort=A","Dates=H","DateFormat=P","Fill=—","Direction=H","UseDPDF=Y")</f>
        <v>250</v>
      </c>
      <c r="E19" s="13">
        <f>_xll.BDH("GILD US Equity","IS_NET_INTEREST_EXPENSE","FQ4 2019","FQ4 2019","Currency=USD","Period=FQ","BEST_FPERIOD_OVERRIDE=FQ","FILING_STATUS=MR","SCALING_FORMAT=MLN","FA_ADJUSTED=GAAP","Sort=A","Dates=H","DateFormat=P","Fill=—","Direction=H","UseDPDF=Y")</f>
        <v>243</v>
      </c>
      <c r="F19" s="13">
        <f>_xll.BDH("GILD US Equity","IS_NET_INTEREST_EXPENSE","FQ1 2020","FQ1 2020","Currency=USD","Period=FQ","BEST_FPERIOD_OVERRIDE=FQ","FILING_STATUS=MR","SCALING_FORMAT=MLN","FA_ADJUSTED=GAAP","Sort=A","Dates=H","DateFormat=P","Fill=—","Direction=H","UseDPDF=Y")</f>
        <v>241</v>
      </c>
      <c r="G19" s="13">
        <f>_xll.BDH("GILD US Equity","IS_NET_INTEREST_EXPENSE","FQ2 2020","FQ2 2020","Currency=USD","Period=FQ","BEST_FPERIOD_OVERRIDE=FQ","FILING_STATUS=MR","SCALING_FORMAT=MLN","FA_ADJUSTED=GAAP","Sort=A","Dates=H","DateFormat=P","Fill=—","Direction=H","UseDPDF=Y")</f>
        <v>240</v>
      </c>
      <c r="H19" s="13">
        <f>_xll.BDH("GILD US Equity","IS_NET_INTEREST_EXPENSE","FQ3 2020","FQ3 2020","Currency=USD","Period=FQ","BEST_FPERIOD_OVERRIDE=FQ","FILING_STATUS=MR","SCALING_FORMAT=MLN","FA_ADJUSTED=GAAP","Sort=A","Dates=H","DateFormat=P","Fill=—","Direction=H","UseDPDF=Y")</f>
        <v>236</v>
      </c>
      <c r="I19" s="13">
        <f>_xll.BDH("GILD US Equity","IS_NET_INTEREST_EXPENSE","FQ4 2020","FQ4 2020","Currency=USD","Period=FQ","BEST_FPERIOD_OVERRIDE=FQ","FILING_STATUS=MR","SCALING_FORMAT=MLN","FA_ADJUSTED=GAAP","Sort=A","Dates=H","DateFormat=P","Fill=—","Direction=H","UseDPDF=Y")</f>
        <v>267</v>
      </c>
      <c r="J19" s="13">
        <f>_xll.BDH("GILD US Equity","IS_NET_INTEREST_EXPENSE","FQ1 2021","FQ1 2021","Currency=USD","Period=FQ","BEST_FPERIOD_OVERRIDE=FQ","FILING_STATUS=MR","SCALING_FORMAT=MLN","FA_ADJUSTED=GAAP","Sort=A","Dates=H","DateFormat=P","Fill=—","Direction=H","UseDPDF=Y")</f>
        <v>257</v>
      </c>
      <c r="K19" s="13">
        <f>_xll.BDH("GILD US Equity","IS_NET_INTEREST_EXPENSE","FQ2 2021","FQ2 2021","Currency=USD","Period=FQ","BEST_FPERIOD_OVERRIDE=FQ","FILING_STATUS=MR","SCALING_FORMAT=MLN","FA_ADJUSTED=GAAP","Sort=A","Dates=H","DateFormat=P","Fill=—","Direction=H","UseDPDF=Y")</f>
        <v>256</v>
      </c>
      <c r="L19" s="13">
        <f>_xll.BDH("GILD US Equity","IS_NET_INTEREST_EXPENSE","FQ3 2021","FQ3 2021","Currency=USD","Period=FQ","BEST_FPERIOD_OVERRIDE=FQ","FILING_STATUS=MR","SCALING_FORMAT=MLN","FA_ADJUSTED=GAAP","Sort=A","Dates=H","DateFormat=P","Fill=—","Direction=H","UseDPDF=Y")</f>
        <v>250</v>
      </c>
      <c r="M19" s="13">
        <f>_xll.BDH("GILD US Equity","IS_NET_INTEREST_EXPENSE","FQ4 2021","FQ4 2021","Currency=USD","Period=FQ","BEST_FPERIOD_OVERRIDE=FQ","FILING_STATUS=MR","SCALING_FORMAT=MLN","FA_ADJUSTED=GAAP","Sort=A","Dates=H","DateFormat=P","Fill=—","Direction=H","UseDPDF=Y")</f>
        <v>238</v>
      </c>
      <c r="N19" s="13">
        <f>_xll.BDH("GILD US Equity","IS_NET_INTEREST_EXPENSE","FQ1 2022","FQ1 2022","Currency=USD","Period=FQ","BEST_FPERIOD_OVERRIDE=FQ","FILING_STATUS=MR","SCALING_FORMAT=MLN","FA_ADJUSTED=GAAP","Sort=A","Dates=H","DateFormat=P","Fill=—","Direction=H","UseDPDF=Y")</f>
        <v>238</v>
      </c>
      <c r="O19" s="13">
        <f>_xll.BDH("GILD US Equity","IS_NET_INTEREST_EXPENSE","FQ2 2022","FQ2 2022","Currency=USD","Period=FQ","BEST_FPERIOD_OVERRIDE=FQ","FILING_STATUS=MR","SCALING_FORMAT=MLN","FA_ADJUSTED=GAAP","Sort=A","Dates=H","DateFormat=P","Fill=—","Direction=H","UseDPDF=Y")</f>
        <v>242</v>
      </c>
      <c r="P19" s="13">
        <f>_xll.BDH("GILD US Equity","IS_NET_INTEREST_EXPENSE","FQ3 2022","FQ3 2022","Currency=USD","Period=FQ","BEST_FPERIOD_OVERRIDE=FQ","FILING_STATUS=MR","SCALING_FORMAT=MLN","FA_ADJUSTED=GAAP","Sort=A","Dates=H","DateFormat=P","Fill=—","Direction=H","UseDPDF=Y")</f>
        <v>229</v>
      </c>
      <c r="Q19" s="13">
        <f>_xll.BDH("GILD US Equity","IS_NET_INTEREST_EXPENSE","FQ4 2022","FQ4 2022","Currency=USD","Period=FQ","BEST_FPERIOD_OVERRIDE=FQ","FILING_STATUS=MR","SCALING_FORMAT=MLN","FA_ADJUSTED=GAAP","Sort=A","Dates=H","DateFormat=P","Fill=—","Direction=H","UseDPDF=Y")</f>
        <v>227</v>
      </c>
      <c r="R19" s="13">
        <f>_xll.BDH("GILD US Equity","IS_NET_INTEREST_EXPENSE","FQ1 2023","FQ1 2023","Currency=USD","Period=FQ","BEST_FPERIOD_OVERRIDE=FQ","FILING_STATUS=MR","SCALING_FORMAT=MLN","FA_ADJUSTED=GAAP","Sort=A","Dates=H","DateFormat=P","Fill=—","Direction=H","UseDPDF=Y")</f>
        <v>230</v>
      </c>
      <c r="S19" s="13">
        <f>_xll.BDH("GILD US Equity","IS_NET_INTEREST_EXPENSE","FQ2 2023","FQ2 2023","Currency=USD","Period=FQ","BEST_FPERIOD_OVERRIDE=FQ","FILING_STATUS=MR","SCALING_FORMAT=MLN","FA_ADJUSTED=GAAP","Sort=A","Dates=H","DateFormat=P","Fill=—","Direction=H","UseDPDF=Y")</f>
        <v>230</v>
      </c>
      <c r="T19" s="13">
        <f>_xll.BDH("GILD US Equity","IS_NET_INTEREST_EXPENSE","FQ3 2023","FQ3 2023","Currency=USD","Period=FQ","BEST_FPERIOD_OVERRIDE=FQ","FILING_STATUS=MR","SCALING_FORMAT=MLN","FA_ADJUSTED=GAAP","Sort=A","Dates=H","DateFormat=P","Fill=—","Direction=H","UseDPDF=Y")</f>
        <v>232</v>
      </c>
      <c r="U19" s="13">
        <f>_xll.BDH("GILD US Equity","IS_NET_INTEREST_EXPENSE","FQ4 2023","FQ4 2023","Currency=USD","Period=FQ","BEST_FPERIOD_OVERRIDE=FQ","FILING_STATUS=MR","SCALING_FORMAT=MLN","FA_ADJUSTED=GAAP","Sort=A","Dates=H","DateFormat=P","Fill=—","Direction=H","UseDPDF=Y")</f>
        <v>252</v>
      </c>
      <c r="V19" s="13">
        <f>_xll.BDH("GILD US Equity","IS_NET_INTEREST_EXPENSE","FQ1 2024","FQ1 2024","Currency=USD","Period=FQ","BEST_FPERIOD_OVERRIDE=FQ","FILING_STATUS=MR","SCALING_FORMAT=MLN","FA_ADJUSTED=GAAP","Sort=A","Dates=H","DateFormat=P","Fill=—","Direction=H","UseDPDF=Y")</f>
        <v>254</v>
      </c>
      <c r="W19" s="13">
        <f>_xll.BDH("GILD US Equity","IS_NET_INTEREST_EXPENSE","FQ2 2024","FQ2 2024","Currency=USD","Period=FQ","BEST_FPERIOD_OVERRIDE=FQ","FILING_STATUS=MR","SCALING_FORMAT=MLN","FA_ADJUSTED=GAAP","Sort=A","Dates=H","DateFormat=P","Fill=—","Direction=H","UseDPDF=Y")</f>
        <v>236</v>
      </c>
      <c r="X19" s="13">
        <f>_xll.BDH("GILD US Equity","IS_NET_INTEREST_EXPENSE","FQ3 2024","FQ3 2024","Currency=USD","Period=FQ","BEST_FPERIOD_OVERRIDE=FQ","FILING_STATUS=MR","SCALING_FORMAT=MLN","FA_ADJUSTED=GAAP","Sort=A","Dates=H","DateFormat=P","Fill=—","Direction=H","UseDPDF=Y")</f>
        <v>186</v>
      </c>
      <c r="Y19" s="13">
        <f>_xll.BDH("GILD US Equity","IS_NET_INTEREST_EXPENSE","FQ4 2024","FQ4 2024","Currency=USD","Period=FQ","BEST_FPERIOD_OVERRIDE=FQ","FILING_STATUS=MR","SCALING_FORMAT=MLN","FA_ADJUSTED=GAAP","Sort=A","Dates=H","DateFormat=P","Fill=—","Direction=H","UseDPDF=Y")</f>
        <v>248</v>
      </c>
      <c r="Z19" s="13"/>
      <c r="AA19" s="13"/>
    </row>
    <row r="20" spans="1:27" x14ac:dyDescent="0.25">
      <c r="A20" s="11" t="s">
        <v>336</v>
      </c>
      <c r="B20" s="11" t="s">
        <v>337</v>
      </c>
      <c r="C20" s="25">
        <f>_xll.BDH("GILD US Equity","IS_INT_EXPENSE","FQ2 2019","FQ2 2019","Currency=USD","Period=FQ","BEST_FPERIOD_OVERRIDE=FQ","FILING_STATUS=MR","SCALING_FORMAT=MLN","FA_ADJUSTED=GAAP","Sort=A","Dates=H","DateFormat=P","Fill=—","Direction=H","UseDPDF=Y")</f>
        <v>248</v>
      </c>
      <c r="D20" s="25">
        <f>_xll.BDH("GILD US Equity","IS_INT_EXPENSE","FQ3 2019","FQ3 2019","Currency=USD","Period=FQ","BEST_FPERIOD_OVERRIDE=FQ","FILING_STATUS=MR","SCALING_FORMAT=MLN","FA_ADJUSTED=GAAP","Sort=A","Dates=H","DateFormat=P","Fill=—","Direction=H","UseDPDF=Y")</f>
        <v>250</v>
      </c>
      <c r="E20" s="25">
        <f>_xll.BDH("GILD US Equity","IS_INT_EXPENSE","FQ4 2019","FQ4 2019","Currency=USD","Period=FQ","BEST_FPERIOD_OVERRIDE=FQ","FILING_STATUS=MR","SCALING_FORMAT=MLN","FA_ADJUSTED=GAAP","Sort=A","Dates=H","DateFormat=P","Fill=—","Direction=H","UseDPDF=Y")</f>
        <v>243</v>
      </c>
      <c r="F20" s="25">
        <f>_xll.BDH("GILD US Equity","IS_INT_EXPENSE","FQ1 2020","FQ1 2020","Currency=USD","Period=FQ","BEST_FPERIOD_OVERRIDE=FQ","FILING_STATUS=MR","SCALING_FORMAT=MLN","FA_ADJUSTED=GAAP","Sort=A","Dates=H","DateFormat=P","Fill=—","Direction=H","UseDPDF=Y")</f>
        <v>241</v>
      </c>
      <c r="G20" s="25">
        <f>_xll.BDH("GILD US Equity","IS_INT_EXPENSE","FQ2 2020","FQ2 2020","Currency=USD","Period=FQ","BEST_FPERIOD_OVERRIDE=FQ","FILING_STATUS=MR","SCALING_FORMAT=MLN","FA_ADJUSTED=GAAP","Sort=A","Dates=H","DateFormat=P","Fill=—","Direction=H","UseDPDF=Y")</f>
        <v>240</v>
      </c>
      <c r="H20" s="25">
        <f>_xll.BDH("GILD US Equity","IS_INT_EXPENSE","FQ3 2020","FQ3 2020","Currency=USD","Period=FQ","BEST_FPERIOD_OVERRIDE=FQ","FILING_STATUS=MR","SCALING_FORMAT=MLN","FA_ADJUSTED=GAAP","Sort=A","Dates=H","DateFormat=P","Fill=—","Direction=H","UseDPDF=Y")</f>
        <v>236</v>
      </c>
      <c r="I20" s="25">
        <f>_xll.BDH("GILD US Equity","IS_INT_EXPENSE","FQ4 2020","FQ4 2020","Currency=USD","Period=FQ","BEST_FPERIOD_OVERRIDE=FQ","FILING_STATUS=MR","SCALING_FORMAT=MLN","FA_ADJUSTED=GAAP","Sort=A","Dates=H","DateFormat=P","Fill=—","Direction=H","UseDPDF=Y")</f>
        <v>267</v>
      </c>
      <c r="J20" s="25">
        <f>_xll.BDH("GILD US Equity","IS_INT_EXPENSE","FQ1 2021","FQ1 2021","Currency=USD","Period=FQ","BEST_FPERIOD_OVERRIDE=FQ","FILING_STATUS=MR","SCALING_FORMAT=MLN","FA_ADJUSTED=GAAP","Sort=A","Dates=H","DateFormat=P","Fill=—","Direction=H","UseDPDF=Y")</f>
        <v>257</v>
      </c>
      <c r="K20" s="25">
        <f>_xll.BDH("GILD US Equity","IS_INT_EXPENSE","FQ2 2021","FQ2 2021","Currency=USD","Period=FQ","BEST_FPERIOD_OVERRIDE=FQ","FILING_STATUS=MR","SCALING_FORMAT=MLN","FA_ADJUSTED=GAAP","Sort=A","Dates=H","DateFormat=P","Fill=—","Direction=H","UseDPDF=Y")</f>
        <v>256</v>
      </c>
      <c r="L20" s="25">
        <f>_xll.BDH("GILD US Equity","IS_INT_EXPENSE","FQ3 2021","FQ3 2021","Currency=USD","Period=FQ","BEST_FPERIOD_OVERRIDE=FQ","FILING_STATUS=MR","SCALING_FORMAT=MLN","FA_ADJUSTED=GAAP","Sort=A","Dates=H","DateFormat=P","Fill=—","Direction=H","UseDPDF=Y")</f>
        <v>250</v>
      </c>
      <c r="M20" s="25">
        <f>_xll.BDH("GILD US Equity","IS_INT_EXPENSE","FQ4 2021","FQ4 2021","Currency=USD","Period=FQ","BEST_FPERIOD_OVERRIDE=FQ","FILING_STATUS=MR","SCALING_FORMAT=MLN","FA_ADJUSTED=GAAP","Sort=A","Dates=H","DateFormat=P","Fill=—","Direction=H","UseDPDF=Y")</f>
        <v>238</v>
      </c>
      <c r="N20" s="25">
        <f>_xll.BDH("GILD US Equity","IS_INT_EXPENSE","FQ1 2022","FQ1 2022","Currency=USD","Period=FQ","BEST_FPERIOD_OVERRIDE=FQ","FILING_STATUS=MR","SCALING_FORMAT=MLN","FA_ADJUSTED=GAAP","Sort=A","Dates=H","DateFormat=P","Fill=—","Direction=H","UseDPDF=Y")</f>
        <v>238</v>
      </c>
      <c r="O20" s="25">
        <f>_xll.BDH("GILD US Equity","IS_INT_EXPENSE","FQ2 2022","FQ2 2022","Currency=USD","Period=FQ","BEST_FPERIOD_OVERRIDE=FQ","FILING_STATUS=MR","SCALING_FORMAT=MLN","FA_ADJUSTED=GAAP","Sort=A","Dates=H","DateFormat=P","Fill=—","Direction=H","UseDPDF=Y")</f>
        <v>242</v>
      </c>
      <c r="P20" s="25">
        <f>_xll.BDH("GILD US Equity","IS_INT_EXPENSE","FQ3 2022","FQ3 2022","Currency=USD","Period=FQ","BEST_FPERIOD_OVERRIDE=FQ","FILING_STATUS=MR","SCALING_FORMAT=MLN","FA_ADJUSTED=GAAP","Sort=A","Dates=H","DateFormat=P","Fill=—","Direction=H","UseDPDF=Y")</f>
        <v>229</v>
      </c>
      <c r="Q20" s="25">
        <f>_xll.BDH("GILD US Equity","IS_INT_EXPENSE","FQ4 2022","FQ4 2022","Currency=USD","Period=FQ","BEST_FPERIOD_OVERRIDE=FQ","FILING_STATUS=MR","SCALING_FORMAT=MLN","FA_ADJUSTED=GAAP","Sort=A","Dates=H","DateFormat=P","Fill=—","Direction=H","UseDPDF=Y")</f>
        <v>227</v>
      </c>
      <c r="R20" s="25">
        <f>_xll.BDH("GILD US Equity","IS_INT_EXPENSE","FQ1 2023","FQ1 2023","Currency=USD","Period=FQ","BEST_FPERIOD_OVERRIDE=FQ","FILING_STATUS=MR","SCALING_FORMAT=MLN","FA_ADJUSTED=GAAP","Sort=A","Dates=H","DateFormat=P","Fill=—","Direction=H","UseDPDF=Y")</f>
        <v>230</v>
      </c>
      <c r="S20" s="25">
        <f>_xll.BDH("GILD US Equity","IS_INT_EXPENSE","FQ2 2023","FQ2 2023","Currency=USD","Period=FQ","BEST_FPERIOD_OVERRIDE=FQ","FILING_STATUS=MR","SCALING_FORMAT=MLN","FA_ADJUSTED=GAAP","Sort=A","Dates=H","DateFormat=P","Fill=—","Direction=H","UseDPDF=Y")</f>
        <v>230</v>
      </c>
      <c r="T20" s="25">
        <f>_xll.BDH("GILD US Equity","IS_INT_EXPENSE","FQ3 2023","FQ3 2023","Currency=USD","Period=FQ","BEST_FPERIOD_OVERRIDE=FQ","FILING_STATUS=MR","SCALING_FORMAT=MLN","FA_ADJUSTED=GAAP","Sort=A","Dates=H","DateFormat=P","Fill=—","Direction=H","UseDPDF=Y")</f>
        <v>232</v>
      </c>
      <c r="U20" s="25">
        <f>_xll.BDH("GILD US Equity","IS_INT_EXPENSE","FQ4 2023","FQ4 2023","Currency=USD","Period=FQ","BEST_FPERIOD_OVERRIDE=FQ","FILING_STATUS=MR","SCALING_FORMAT=MLN","FA_ADJUSTED=GAAP","Sort=A","Dates=H","DateFormat=P","Fill=—","Direction=H","UseDPDF=Y")</f>
        <v>252</v>
      </c>
      <c r="V20" s="25">
        <f>_xll.BDH("GILD US Equity","IS_INT_EXPENSE","FQ1 2024","FQ1 2024","Currency=USD","Period=FQ","BEST_FPERIOD_OVERRIDE=FQ","FILING_STATUS=MR","SCALING_FORMAT=MLN","FA_ADJUSTED=GAAP","Sort=A","Dates=H","DateFormat=P","Fill=—","Direction=H","UseDPDF=Y")</f>
        <v>254</v>
      </c>
      <c r="W20" s="25">
        <f>_xll.BDH("GILD US Equity","IS_INT_EXPENSE","FQ2 2024","FQ2 2024","Currency=USD","Period=FQ","BEST_FPERIOD_OVERRIDE=FQ","FILING_STATUS=MR","SCALING_FORMAT=MLN","FA_ADJUSTED=GAAP","Sort=A","Dates=H","DateFormat=P","Fill=—","Direction=H","UseDPDF=Y")</f>
        <v>236</v>
      </c>
      <c r="X20" s="25">
        <f>_xll.BDH("GILD US Equity","IS_INT_EXPENSE","FQ3 2024","FQ3 2024","Currency=USD","Period=FQ","BEST_FPERIOD_OVERRIDE=FQ","FILING_STATUS=MR","SCALING_FORMAT=MLN","FA_ADJUSTED=GAAP","Sort=A","Dates=H","DateFormat=P","Fill=—","Direction=H","UseDPDF=Y")</f>
        <v>238</v>
      </c>
      <c r="Y20" s="25">
        <f>_xll.BDH("GILD US Equity","IS_INT_EXPENSE","FQ4 2024","FQ4 2024","Currency=USD","Period=FQ","BEST_FPERIOD_OVERRIDE=FQ","FILING_STATUS=MR","SCALING_FORMAT=MLN","FA_ADJUSTED=GAAP","Sort=A","Dates=H","DateFormat=P","Fill=—","Direction=H","UseDPDF=Y")</f>
        <v>248</v>
      </c>
      <c r="Z20" s="25"/>
      <c r="AA20" s="25"/>
    </row>
    <row r="21" spans="1:27" x14ac:dyDescent="0.25">
      <c r="A21" s="11" t="s">
        <v>338</v>
      </c>
      <c r="B21" s="11" t="s">
        <v>339</v>
      </c>
      <c r="C21" s="25">
        <f>_xll.BDH("GILD US Equity","IS_INT_INC","FQ2 2019","FQ2 2019","Currency=USD","Period=FQ","BEST_FPERIOD_OVERRIDE=FQ","FILING_STATUS=MR","SCALING_FORMAT=MLN","FA_ADJUSTED=GAAP","Sort=A","Dates=H","DateFormat=P","Fill=—","Direction=H","UseDPDF=Y")</f>
        <v>0</v>
      </c>
      <c r="D21" s="25">
        <f>_xll.BDH("GILD US Equity","IS_INT_INC","FQ3 2019","FQ3 2019","Currency=USD","Period=FQ","BEST_FPERIOD_OVERRIDE=FQ","FILING_STATUS=MR","SCALING_FORMAT=MLN","FA_ADJUSTED=GAAP","Sort=A","Dates=H","DateFormat=P","Fill=—","Direction=H","UseDPDF=Y")</f>
        <v>0</v>
      </c>
      <c r="E21" s="25">
        <f>_xll.BDH("GILD US Equity","IS_INT_INC","FQ4 2019","FQ4 2019","Currency=USD","Period=FQ","BEST_FPERIOD_OVERRIDE=FQ","FILING_STATUS=MR","SCALING_FORMAT=MLN","FA_ADJUSTED=GAAP","Sort=A","Dates=H","DateFormat=P","Fill=—","Direction=H","UseDPDF=Y")</f>
        <v>0</v>
      </c>
      <c r="F21" s="25">
        <f>_xll.BDH("GILD US Equity","IS_INT_INC","FQ1 2020","FQ1 2020","Currency=USD","Period=FQ","BEST_FPERIOD_OVERRIDE=FQ","FILING_STATUS=MR","SCALING_FORMAT=MLN","FA_ADJUSTED=GAAP","Sort=A","Dates=H","DateFormat=P","Fill=—","Direction=H","UseDPDF=Y")</f>
        <v>0</v>
      </c>
      <c r="G21" s="25">
        <f>_xll.BDH("GILD US Equity","IS_INT_INC","FQ2 2020","FQ2 2020","Currency=USD","Period=FQ","BEST_FPERIOD_OVERRIDE=FQ","FILING_STATUS=MR","SCALING_FORMAT=MLN","FA_ADJUSTED=GAAP","Sort=A","Dates=H","DateFormat=P","Fill=—","Direction=H","UseDPDF=Y")</f>
        <v>0</v>
      </c>
      <c r="H21" s="25">
        <f>_xll.BDH("GILD US Equity","IS_INT_INC","FQ3 2020","FQ3 2020","Currency=USD","Period=FQ","BEST_FPERIOD_OVERRIDE=FQ","FILING_STATUS=MR","SCALING_FORMAT=MLN","FA_ADJUSTED=GAAP","Sort=A","Dates=H","DateFormat=P","Fill=—","Direction=H","UseDPDF=Y")</f>
        <v>0</v>
      </c>
      <c r="I21" s="25">
        <f>_xll.BDH("GILD US Equity","IS_INT_INC","FQ4 2020","FQ4 2020","Currency=USD","Period=FQ","BEST_FPERIOD_OVERRIDE=FQ","FILING_STATUS=MR","SCALING_FORMAT=MLN","FA_ADJUSTED=GAAP","Sort=A","Dates=H","DateFormat=P","Fill=—","Direction=H","UseDPDF=Y")</f>
        <v>0</v>
      </c>
      <c r="J21" s="25">
        <f>_xll.BDH("GILD US Equity","IS_INT_INC","FQ1 2021","FQ1 2021","Currency=USD","Period=FQ","BEST_FPERIOD_OVERRIDE=FQ","FILING_STATUS=MR","SCALING_FORMAT=MLN","FA_ADJUSTED=GAAP","Sort=A","Dates=H","DateFormat=P","Fill=—","Direction=H","UseDPDF=Y")</f>
        <v>0</v>
      </c>
      <c r="K21" s="25">
        <f>_xll.BDH("GILD US Equity","IS_INT_INC","FQ2 2021","FQ2 2021","Currency=USD","Period=FQ","BEST_FPERIOD_OVERRIDE=FQ","FILING_STATUS=MR","SCALING_FORMAT=MLN","FA_ADJUSTED=GAAP","Sort=A","Dates=H","DateFormat=P","Fill=—","Direction=H","UseDPDF=Y")</f>
        <v>0</v>
      </c>
      <c r="L21" s="25">
        <f>_xll.BDH("GILD US Equity","IS_INT_INC","FQ3 2021","FQ3 2021","Currency=USD","Period=FQ","BEST_FPERIOD_OVERRIDE=FQ","FILING_STATUS=MR","SCALING_FORMAT=MLN","FA_ADJUSTED=GAAP","Sort=A","Dates=H","DateFormat=P","Fill=—","Direction=H","UseDPDF=Y")</f>
        <v>0</v>
      </c>
      <c r="M21" s="25">
        <f>_xll.BDH("GILD US Equity","IS_INT_INC","FQ4 2021","FQ4 2021","Currency=USD","Period=FQ","BEST_FPERIOD_OVERRIDE=FQ","FILING_STATUS=MR","SCALING_FORMAT=MLN","FA_ADJUSTED=GAAP","Sort=A","Dates=H","DateFormat=P","Fill=—","Direction=H","UseDPDF=Y")</f>
        <v>0</v>
      </c>
      <c r="N21" s="25">
        <f>_xll.BDH("GILD US Equity","IS_INT_INC","FQ1 2022","FQ1 2022","Currency=USD","Period=FQ","BEST_FPERIOD_OVERRIDE=FQ","FILING_STATUS=MR","SCALING_FORMAT=MLN","FA_ADJUSTED=GAAP","Sort=A","Dates=H","DateFormat=P","Fill=—","Direction=H","UseDPDF=Y")</f>
        <v>0</v>
      </c>
      <c r="O21" s="25">
        <f>_xll.BDH("GILD US Equity","IS_INT_INC","FQ2 2022","FQ2 2022","Currency=USD","Period=FQ","BEST_FPERIOD_OVERRIDE=FQ","FILING_STATUS=MR","SCALING_FORMAT=MLN","FA_ADJUSTED=GAAP","Sort=A","Dates=H","DateFormat=P","Fill=—","Direction=H","UseDPDF=Y")</f>
        <v>0</v>
      </c>
      <c r="P21" s="25">
        <f>_xll.BDH("GILD US Equity","IS_INT_INC","FQ3 2022","FQ3 2022","Currency=USD","Period=FQ","BEST_FPERIOD_OVERRIDE=FQ","FILING_STATUS=MR","SCALING_FORMAT=MLN","FA_ADJUSTED=GAAP","Sort=A","Dates=H","DateFormat=P","Fill=—","Direction=H","UseDPDF=Y")</f>
        <v>0</v>
      </c>
      <c r="Q21" s="25">
        <f>_xll.BDH("GILD US Equity","IS_INT_INC","FQ4 2022","FQ4 2022","Currency=USD","Period=FQ","BEST_FPERIOD_OVERRIDE=FQ","FILING_STATUS=MR","SCALING_FORMAT=MLN","FA_ADJUSTED=GAAP","Sort=A","Dates=H","DateFormat=P","Fill=—","Direction=H","UseDPDF=Y")</f>
        <v>0</v>
      </c>
      <c r="R21" s="25">
        <f>_xll.BDH("GILD US Equity","IS_INT_INC","FQ1 2023","FQ1 2023","Currency=USD","Period=FQ","BEST_FPERIOD_OVERRIDE=FQ","FILING_STATUS=MR","SCALING_FORMAT=MLN","FA_ADJUSTED=GAAP","Sort=A","Dates=H","DateFormat=P","Fill=—","Direction=H","UseDPDF=Y")</f>
        <v>0</v>
      </c>
      <c r="S21" s="25">
        <f>_xll.BDH("GILD US Equity","IS_INT_INC","FQ2 2023","FQ2 2023","Currency=USD","Period=FQ","BEST_FPERIOD_OVERRIDE=FQ","FILING_STATUS=MR","SCALING_FORMAT=MLN","FA_ADJUSTED=GAAP","Sort=A","Dates=H","DateFormat=P","Fill=—","Direction=H","UseDPDF=Y")</f>
        <v>0</v>
      </c>
      <c r="T21" s="25">
        <f>_xll.BDH("GILD US Equity","IS_INT_INC","FQ3 2023","FQ3 2023","Currency=USD","Period=FQ","BEST_FPERIOD_OVERRIDE=FQ","FILING_STATUS=MR","SCALING_FORMAT=MLN","FA_ADJUSTED=GAAP","Sort=A","Dates=H","DateFormat=P","Fill=—","Direction=H","UseDPDF=Y")</f>
        <v>0</v>
      </c>
      <c r="U21" s="25">
        <f>_xll.BDH("GILD US Equity","IS_INT_INC","FQ4 2023","FQ4 2023","Currency=USD","Period=FQ","BEST_FPERIOD_OVERRIDE=FQ","FILING_STATUS=MR","SCALING_FORMAT=MLN","FA_ADJUSTED=GAAP","Sort=A","Dates=H","DateFormat=P","Fill=—","Direction=H","UseDPDF=Y")</f>
        <v>0</v>
      </c>
      <c r="V21" s="25">
        <f>_xll.BDH("GILD US Equity","IS_INT_INC","FQ1 2024","FQ1 2024","Currency=USD","Period=FQ","BEST_FPERIOD_OVERRIDE=FQ","FILING_STATUS=MR","SCALING_FORMAT=MLN","FA_ADJUSTED=GAAP","Sort=A","Dates=H","DateFormat=P","Fill=—","Direction=H","UseDPDF=Y")</f>
        <v>0</v>
      </c>
      <c r="W21" s="25">
        <f>_xll.BDH("GILD US Equity","IS_INT_INC","FQ2 2024","FQ2 2024","Currency=USD","Period=FQ","BEST_FPERIOD_OVERRIDE=FQ","FILING_STATUS=MR","SCALING_FORMAT=MLN","FA_ADJUSTED=GAAP","Sort=A","Dates=H","DateFormat=P","Fill=—","Direction=H","UseDPDF=Y")</f>
        <v>0</v>
      </c>
      <c r="X21" s="25">
        <f>_xll.BDH("GILD US Equity","IS_INT_INC","FQ3 2024","FQ3 2024","Currency=USD","Period=FQ","BEST_FPERIOD_OVERRIDE=FQ","FILING_STATUS=MR","SCALING_FORMAT=MLN","FA_ADJUSTED=GAAP","Sort=A","Dates=H","DateFormat=P","Fill=—","Direction=H","UseDPDF=Y")</f>
        <v>52</v>
      </c>
      <c r="Y21" s="25">
        <f>_xll.BDH("GILD US Equity","IS_INT_INC","FQ4 2024","FQ4 2024","Currency=USD","Period=FQ","BEST_FPERIOD_OVERRIDE=FQ","FILING_STATUS=MR","SCALING_FORMAT=MLN","FA_ADJUSTED=GAAP","Sort=A","Dates=H","DateFormat=P","Fill=—","Direction=H","UseDPDF=Y")</f>
        <v>0</v>
      </c>
      <c r="Z21" s="25"/>
      <c r="AA21" s="25"/>
    </row>
    <row r="22" spans="1:27" x14ac:dyDescent="0.25">
      <c r="A22" s="10" t="s">
        <v>340</v>
      </c>
      <c r="B22" s="10" t="s">
        <v>341</v>
      </c>
      <c r="C22" s="13">
        <f>_xll.BDH("GILD US Equity","IS_FOREIGN_EXCH_LOSS","FQ2 2019","FQ2 2019","Currency=USD","Period=FQ","BEST_FPERIOD_OVERRIDE=FQ","FILING_STATUS=MR","SCALING_FORMAT=MLN","FA_ADJUSTED=GAAP","Sort=A","Dates=H","DateFormat=P","Fill=—","Direction=H","UseDPDF=Y")</f>
        <v>0</v>
      </c>
      <c r="D22" s="13">
        <f>_xll.BDH("GILD US Equity","IS_FOREIGN_EXCH_LOSS","FQ3 2019","FQ3 2019","Currency=USD","Period=FQ","BEST_FPERIOD_OVERRIDE=FQ","FILING_STATUS=MR","SCALING_FORMAT=MLN","FA_ADJUSTED=GAAP","Sort=A","Dates=H","DateFormat=P","Fill=—","Direction=H","UseDPDF=Y")</f>
        <v>0</v>
      </c>
      <c r="E22" s="13">
        <f>_xll.BDH("GILD US Equity","IS_FOREIGN_EXCH_LOSS","FQ4 2019","FQ4 2019","Currency=USD","Period=FQ","BEST_FPERIOD_OVERRIDE=FQ","FILING_STATUS=MR","SCALING_FORMAT=MLN","FA_ADJUSTED=GAAP","Sort=A","Dates=H","DateFormat=P","Fill=—","Direction=H","UseDPDF=Y")</f>
        <v>0</v>
      </c>
      <c r="F22" s="13">
        <f>_xll.BDH("GILD US Equity","IS_FOREIGN_EXCH_LOSS","FQ1 2020","FQ1 2020","Currency=USD","Period=FQ","BEST_FPERIOD_OVERRIDE=FQ","FILING_STATUS=MR","SCALING_FORMAT=MLN","FA_ADJUSTED=GAAP","Sort=A","Dates=H","DateFormat=P","Fill=—","Direction=H","UseDPDF=Y")</f>
        <v>0</v>
      </c>
      <c r="G22" s="13">
        <f>_xll.BDH("GILD US Equity","IS_FOREIGN_EXCH_LOSS","FQ2 2020","FQ2 2020","Currency=USD","Period=FQ","BEST_FPERIOD_OVERRIDE=FQ","FILING_STATUS=MR","SCALING_FORMAT=MLN","FA_ADJUSTED=GAAP","Sort=A","Dates=H","DateFormat=P","Fill=—","Direction=H","UseDPDF=Y")</f>
        <v>0</v>
      </c>
      <c r="H22" s="13">
        <f>_xll.BDH("GILD US Equity","IS_FOREIGN_EXCH_LOSS","FQ3 2020","FQ3 2020","Currency=USD","Period=FQ","BEST_FPERIOD_OVERRIDE=FQ","FILING_STATUS=MR","SCALING_FORMAT=MLN","FA_ADJUSTED=GAAP","Sort=A","Dates=H","DateFormat=P","Fill=—","Direction=H","UseDPDF=Y")</f>
        <v>0</v>
      </c>
      <c r="I22" s="13">
        <f>_xll.BDH("GILD US Equity","IS_FOREIGN_EXCH_LOSS","FQ4 2020","FQ4 2020","Currency=USD","Period=FQ","BEST_FPERIOD_OVERRIDE=FQ","FILING_STATUS=MR","SCALING_FORMAT=MLN","FA_ADJUSTED=GAAP","Sort=A","Dates=H","DateFormat=P","Fill=—","Direction=H","UseDPDF=Y")</f>
        <v>0</v>
      </c>
      <c r="J22" s="13" t="str">
        <f>_xll.BDH("GILD US Equity","IS_FOREIGN_EXCH_LOSS","FQ1 2021","FQ1 2021","Currency=USD","Period=FQ","BEST_FPERIOD_OVERRIDE=FQ","FILING_STATUS=MR","SCALING_FORMAT=MLN","FA_ADJUSTED=GAAP","Sort=A","Dates=H","DateFormat=P","Fill=—","Direction=H","UseDPDF=Y")</f>
        <v>—</v>
      </c>
      <c r="K22" s="13" t="str">
        <f>_xll.BDH("GILD US Equity","IS_FOREIGN_EXCH_LOSS","FQ2 2021","FQ2 2021","Currency=USD","Period=FQ","BEST_FPERIOD_OVERRIDE=FQ","FILING_STATUS=MR","SCALING_FORMAT=MLN","FA_ADJUSTED=GAAP","Sort=A","Dates=H","DateFormat=P","Fill=—","Direction=H","UseDPDF=Y")</f>
        <v>—</v>
      </c>
      <c r="L22" s="13">
        <f>_xll.BDH("GILD US Equity","IS_FOREIGN_EXCH_LOSS","FQ3 2021","FQ3 2021","Currency=USD","Period=FQ","BEST_FPERIOD_OVERRIDE=FQ","FILING_STATUS=MR","SCALING_FORMAT=MLN","FA_ADJUSTED=GAAP","Sort=A","Dates=H","DateFormat=P","Fill=—","Direction=H","UseDPDF=Y")</f>
        <v>0</v>
      </c>
      <c r="M22" s="13">
        <f>_xll.BDH("GILD US Equity","IS_FOREIGN_EXCH_LOSS","FQ4 2021","FQ4 2021","Currency=USD","Period=FQ","BEST_FPERIOD_OVERRIDE=FQ","FILING_STATUS=MR","SCALING_FORMAT=MLN","FA_ADJUSTED=GAAP","Sort=A","Dates=H","DateFormat=P","Fill=—","Direction=H","UseDPDF=Y")</f>
        <v>0</v>
      </c>
      <c r="N22" s="13" t="str">
        <f>_xll.BDH("GILD US Equity","IS_FOREIGN_EXCH_LOSS","FQ1 2022","FQ1 2022","Currency=USD","Period=FQ","BEST_FPERIOD_OVERRIDE=FQ","FILING_STATUS=MR","SCALING_FORMAT=MLN","FA_ADJUSTED=GAAP","Sort=A","Dates=H","DateFormat=P","Fill=—","Direction=H","UseDPDF=Y")</f>
        <v>—</v>
      </c>
      <c r="O22" s="13" t="str">
        <f>_xll.BDH("GILD US Equity","IS_FOREIGN_EXCH_LOSS","FQ2 2022","FQ2 2022","Currency=USD","Period=FQ","BEST_FPERIOD_OVERRIDE=FQ","FILING_STATUS=MR","SCALING_FORMAT=MLN","FA_ADJUSTED=GAAP","Sort=A","Dates=H","DateFormat=P","Fill=—","Direction=H","UseDPDF=Y")</f>
        <v>—</v>
      </c>
      <c r="P22" s="13">
        <f>_xll.BDH("GILD US Equity","IS_FOREIGN_EXCH_LOSS","FQ3 2022","FQ3 2022","Currency=USD","Period=FQ","BEST_FPERIOD_OVERRIDE=FQ","FILING_STATUS=MR","SCALING_FORMAT=MLN","FA_ADJUSTED=GAAP","Sort=A","Dates=H","DateFormat=P","Fill=—","Direction=H","UseDPDF=Y")</f>
        <v>0</v>
      </c>
      <c r="Q22" s="13" t="str">
        <f>_xll.BDH("GILD US Equity","IS_FOREIGN_EXCH_LOSS","FQ4 2022","FQ4 2022","Currency=USD","Period=FQ","BEST_FPERIOD_OVERRIDE=FQ","FILING_STATUS=MR","SCALING_FORMAT=MLN","FA_ADJUSTED=GAAP","Sort=A","Dates=H","DateFormat=P","Fill=—","Direction=H","UseDPDF=Y")</f>
        <v>—</v>
      </c>
      <c r="R22" s="13" t="str">
        <f>_xll.BDH("GILD US Equity","IS_FOREIGN_EXCH_LOSS","FQ1 2023","FQ1 2023","Currency=USD","Period=FQ","BEST_FPERIOD_OVERRIDE=FQ","FILING_STATUS=MR","SCALING_FORMAT=MLN","FA_ADJUSTED=GAAP","Sort=A","Dates=H","DateFormat=P","Fill=—","Direction=H","UseDPDF=Y")</f>
        <v>—</v>
      </c>
      <c r="S22" s="13" t="str">
        <f>_xll.BDH("GILD US Equity","IS_FOREIGN_EXCH_LOSS","FQ2 2023","FQ2 2023","Currency=USD","Period=FQ","BEST_FPERIOD_OVERRIDE=FQ","FILING_STATUS=MR","SCALING_FORMAT=MLN","FA_ADJUSTED=GAAP","Sort=A","Dates=H","DateFormat=P","Fill=—","Direction=H","UseDPDF=Y")</f>
        <v>—</v>
      </c>
      <c r="T22" s="13" t="str">
        <f>_xll.BDH("GILD US Equity","IS_FOREIGN_EXCH_LOSS","FQ3 2023","FQ3 2023","Currency=USD","Period=FQ","BEST_FPERIOD_OVERRIDE=FQ","FILING_STATUS=MR","SCALING_FORMAT=MLN","FA_ADJUSTED=GAAP","Sort=A","Dates=H","DateFormat=P","Fill=—","Direction=H","UseDPDF=Y")</f>
        <v>—</v>
      </c>
      <c r="U22" s="13" t="str">
        <f>_xll.BDH("GILD US Equity","IS_FOREIGN_EXCH_LOSS","FQ4 2023","FQ4 2023","Currency=USD","Period=FQ","BEST_FPERIOD_OVERRIDE=FQ","FILING_STATUS=MR","SCALING_FORMAT=MLN","FA_ADJUSTED=GAAP","Sort=A","Dates=H","DateFormat=P","Fill=—","Direction=H","UseDPDF=Y")</f>
        <v>—</v>
      </c>
      <c r="V22" s="13" t="str">
        <f>_xll.BDH("GILD US Equity","IS_FOREIGN_EXCH_LOSS","FQ1 2024","FQ1 2024","Currency=USD","Period=FQ","BEST_FPERIOD_OVERRIDE=FQ","FILING_STATUS=MR","SCALING_FORMAT=MLN","FA_ADJUSTED=GAAP","Sort=A","Dates=H","DateFormat=P","Fill=—","Direction=H","UseDPDF=Y")</f>
        <v>—</v>
      </c>
      <c r="W22" s="13" t="str">
        <f>_xll.BDH("GILD US Equity","IS_FOREIGN_EXCH_LOSS","FQ2 2024","FQ2 2024","Currency=USD","Period=FQ","BEST_FPERIOD_OVERRIDE=FQ","FILING_STATUS=MR","SCALING_FORMAT=MLN","FA_ADJUSTED=GAAP","Sort=A","Dates=H","DateFormat=P","Fill=—","Direction=H","UseDPDF=Y")</f>
        <v>—</v>
      </c>
      <c r="X22" s="13" t="str">
        <f>_xll.BDH("GILD US Equity","IS_FOREIGN_EXCH_LOSS","FQ3 2024","FQ3 2024","Currency=USD","Period=FQ","BEST_FPERIOD_OVERRIDE=FQ","FILING_STATUS=MR","SCALING_FORMAT=MLN","FA_ADJUSTED=GAAP","Sort=A","Dates=H","DateFormat=P","Fill=—","Direction=H","UseDPDF=Y")</f>
        <v>—</v>
      </c>
      <c r="Y22" s="13" t="str">
        <f>_xll.BDH("GILD US Equity","IS_FOREIGN_EXCH_LOSS","FQ4 2024","FQ4 2024","Currency=USD","Period=FQ","BEST_FPERIOD_OVERRIDE=FQ","FILING_STATUS=MR","SCALING_FORMAT=MLN","FA_ADJUSTED=GAAP","Sort=A","Dates=H","DateFormat=P","Fill=—","Direction=H","UseDPDF=Y")</f>
        <v>—</v>
      </c>
      <c r="Z22" s="13"/>
      <c r="AA22" s="13"/>
    </row>
    <row r="23" spans="1:27" x14ac:dyDescent="0.25">
      <c r="A23" s="10" t="s">
        <v>342</v>
      </c>
      <c r="B23" s="10" t="s">
        <v>415</v>
      </c>
      <c r="C23" s="13">
        <f>_xll.BDH("GILD US Equity","OTHER_NONOP_INCOME_LOSS","FQ2 2019","FQ2 2019","Currency=USD","Period=FQ","BEST_FPERIOD_OVERRIDE=FQ","FILING_STATUS=MR","SCALING_FORMAT=MLN","FA_ADJUSTED=GAAP","Sort=A","Dates=H","DateFormat=P","Fill=—","Direction=H","UseDPDF=Y")</f>
        <v>-228</v>
      </c>
      <c r="D23" s="13">
        <f>_xll.BDH("GILD US Equity","OTHER_NONOP_INCOME_LOSS","FQ3 2019","FQ3 2019","Currency=USD","Period=FQ","BEST_FPERIOD_OVERRIDE=FQ","FILING_STATUS=MR","SCALING_FORMAT=MLN","FA_ADJUSTED=GAAP","Sort=A","Dates=H","DateFormat=P","Fill=—","Direction=H","UseDPDF=Y")</f>
        <v>-222</v>
      </c>
      <c r="E23" s="13">
        <f>_xll.BDH("GILD US Equity","OTHER_NONOP_INCOME_LOSS","FQ4 2019","FQ4 2019","Currency=USD","Period=FQ","BEST_FPERIOD_OVERRIDE=FQ","FILING_STATUS=MR","SCALING_FORMAT=MLN","FA_ADJUSTED=GAAP","Sort=A","Dates=H","DateFormat=P","Fill=—","Direction=H","UseDPDF=Y")</f>
        <v>-1051</v>
      </c>
      <c r="F23" s="13">
        <f>_xll.BDH("GILD US Equity","OTHER_NONOP_INCOME_LOSS","FQ1 2020","FQ1 2020","Currency=USD","Period=FQ","BEST_FPERIOD_OVERRIDE=FQ","FILING_STATUS=MR","SCALING_FORMAT=MLN","FA_ADJUSTED=GAAP","Sort=A","Dates=H","DateFormat=P","Fill=—","Direction=H","UseDPDF=Y")</f>
        <v>158</v>
      </c>
      <c r="G23" s="13">
        <f>_xll.BDH("GILD US Equity","OTHER_NONOP_INCOME_LOSS","FQ2 2020","FQ2 2020","Currency=USD","Period=FQ","BEST_FPERIOD_OVERRIDE=FQ","FILING_STATUS=MR","SCALING_FORMAT=MLN","FA_ADJUSTED=GAAP","Sort=A","Dates=H","DateFormat=P","Fill=—","Direction=H","UseDPDF=Y")</f>
        <v>-250</v>
      </c>
      <c r="H23" s="13">
        <f>_xll.BDH("GILD US Equity","OTHER_NONOP_INCOME_LOSS","FQ3 2020","FQ3 2020","Currency=USD","Period=FQ","BEST_FPERIOD_OVERRIDE=FQ","FILING_STATUS=MR","SCALING_FORMAT=MLN","FA_ADJUSTED=GAAP","Sort=A","Dates=H","DateFormat=P","Fill=—","Direction=H","UseDPDF=Y")</f>
        <v>940</v>
      </c>
      <c r="I23" s="13">
        <f>_xll.BDH("GILD US Equity","OTHER_NONOP_INCOME_LOSS","FQ4 2020","FQ4 2020","Currency=USD","Period=FQ","BEST_FPERIOD_OVERRIDE=FQ","FILING_STATUS=MR","SCALING_FORMAT=MLN","FA_ADJUSTED=GAAP","Sort=A","Dates=H","DateFormat=P","Fill=—","Direction=H","UseDPDF=Y")</f>
        <v>570</v>
      </c>
      <c r="J23" s="13">
        <f>_xll.BDH("GILD US Equity","OTHER_NONOP_INCOME_LOSS","FQ1 2021","FQ1 2021","Currency=USD","Period=FQ","BEST_FPERIOD_OVERRIDE=FQ","FILING_STATUS=MR","SCALING_FORMAT=MLN","FA_ADJUSTED=GAAP","Sort=A","Dates=H","DateFormat=P","Fill=—","Direction=H","UseDPDF=Y")</f>
        <v>369</v>
      </c>
      <c r="K23" s="13">
        <f>_xll.BDH("GILD US Equity","OTHER_NONOP_INCOME_LOSS","FQ2 2021","FQ2 2021","Currency=USD","Period=FQ","BEST_FPERIOD_OVERRIDE=FQ","FILING_STATUS=MR","SCALING_FORMAT=MLN","FA_ADJUSTED=GAAP","Sort=A","Dates=H","DateFormat=P","Fill=—","Direction=H","UseDPDF=Y")</f>
        <v>173</v>
      </c>
      <c r="L23" s="13">
        <f>_xll.BDH("GILD US Equity","OTHER_NONOP_INCOME_LOSS","FQ3 2021","FQ3 2021","Currency=USD","Period=FQ","BEST_FPERIOD_OVERRIDE=FQ","FILING_STATUS=MR","SCALING_FORMAT=MLN","FA_ADJUSTED=GAAP","Sort=A","Dates=H","DateFormat=P","Fill=—","Direction=H","UseDPDF=Y")</f>
        <v>154</v>
      </c>
      <c r="M23" s="13">
        <f>_xll.BDH("GILD US Equity","OTHER_NONOP_INCOME_LOSS","FQ4 2021","FQ4 2021","Currency=USD","Period=FQ","BEST_FPERIOD_OVERRIDE=FQ","FILING_STATUS=MR","SCALING_FORMAT=MLN","FA_ADJUSTED=GAAP","Sort=A","Dates=H","DateFormat=P","Fill=—","Direction=H","UseDPDF=Y")</f>
        <v>-57</v>
      </c>
      <c r="N23" s="13">
        <f>_xll.BDH("GILD US Equity","OTHER_NONOP_INCOME_LOSS","FQ1 2022","FQ1 2022","Currency=USD","Period=FQ","BEST_FPERIOD_OVERRIDE=FQ","FILING_STATUS=MR","SCALING_FORMAT=MLN","FA_ADJUSTED=GAAP","Sort=A","Dates=H","DateFormat=P","Fill=—","Direction=H","UseDPDF=Y")</f>
        <v>111</v>
      </c>
      <c r="O23" s="13">
        <f>_xll.BDH("GILD US Equity","OTHER_NONOP_INCOME_LOSS","FQ2 2022","FQ2 2022","Currency=USD","Period=FQ","BEST_FPERIOD_OVERRIDE=FQ","FILING_STATUS=MR","SCALING_FORMAT=MLN","FA_ADJUSTED=GAAP","Sort=A","Dates=H","DateFormat=P","Fill=—","Direction=H","UseDPDF=Y")</f>
        <v>284</v>
      </c>
      <c r="P23" s="13">
        <f>_xll.BDH("GILD US Equity","OTHER_NONOP_INCOME_LOSS","FQ3 2022","FQ3 2022","Currency=USD","Period=FQ","BEST_FPERIOD_OVERRIDE=FQ","FILING_STATUS=MR","SCALING_FORMAT=MLN","FA_ADJUSTED=GAAP","Sort=A","Dates=H","DateFormat=P","Fill=—","Direction=H","UseDPDF=Y")</f>
        <v>176</v>
      </c>
      <c r="Q23" s="13">
        <f>_xll.BDH("GILD US Equity","OTHER_NONOP_INCOME_LOSS","FQ4 2022","FQ4 2022","Currency=USD","Period=FQ","BEST_FPERIOD_OVERRIDE=FQ","FILING_STATUS=MR","SCALING_FORMAT=MLN","FA_ADJUSTED=GAAP","Sort=A","Dates=H","DateFormat=P","Fill=—","Direction=H","UseDPDF=Y")</f>
        <v>9</v>
      </c>
      <c r="R23" s="13">
        <f>_xll.BDH("GILD US Equity","OTHER_NONOP_INCOME_LOSS","FQ1 2023","FQ1 2023","Currency=USD","Period=FQ","BEST_FPERIOD_OVERRIDE=FQ","FILING_STATUS=MR","SCALING_FORMAT=MLN","FA_ADJUSTED=GAAP","Sort=A","Dates=H","DateFormat=P","Fill=—","Direction=H","UseDPDF=Y")</f>
        <v>175</v>
      </c>
      <c r="S23" s="13">
        <f>_xll.BDH("GILD US Equity","OTHER_NONOP_INCOME_LOSS","FQ2 2023","FQ2 2023","Currency=USD","Period=FQ","BEST_FPERIOD_OVERRIDE=FQ","FILING_STATUS=MR","SCALING_FORMAT=MLN","FA_ADJUSTED=GAAP","Sort=A","Dates=H","DateFormat=P","Fill=—","Direction=H","UseDPDF=Y")</f>
        <v>-153</v>
      </c>
      <c r="T23" s="13">
        <f>_xll.BDH("GILD US Equity","OTHER_NONOP_INCOME_LOSS","FQ3 2023","FQ3 2023","Currency=USD","Period=FQ","BEST_FPERIOD_OVERRIDE=FQ","FILING_STATUS=MR","SCALING_FORMAT=MLN","FA_ADJUSTED=GAAP","Sort=A","Dates=H","DateFormat=P","Fill=—","Direction=H","UseDPDF=Y")</f>
        <v>72</v>
      </c>
      <c r="U23" s="13">
        <f>_xll.BDH("GILD US Equity","OTHER_NONOP_INCOME_LOSS","FQ4 2023","FQ4 2023","Currency=USD","Period=FQ","BEST_FPERIOD_OVERRIDE=FQ","FILING_STATUS=MR","SCALING_FORMAT=MLN","FA_ADJUSTED=GAAP","Sort=A","Dates=H","DateFormat=P","Fill=—","Direction=H","UseDPDF=Y")</f>
        <v>-293</v>
      </c>
      <c r="V23" s="13">
        <f>_xll.BDH("GILD US Equity","OTHER_NONOP_INCOME_LOSS","FQ1 2024","FQ1 2024","Currency=USD","Period=FQ","BEST_FPERIOD_OVERRIDE=FQ","FILING_STATUS=MR","SCALING_FORMAT=MLN","FA_ADJUSTED=GAAP","Sort=A","Dates=H","DateFormat=P","Fill=—","Direction=H","UseDPDF=Y")</f>
        <v>-90</v>
      </c>
      <c r="W23" s="13">
        <f>_xll.BDH("GILD US Equity","OTHER_NONOP_INCOME_LOSS","FQ2 2024","FQ2 2024","Currency=USD","Period=FQ","BEST_FPERIOD_OVERRIDE=FQ","FILING_STATUS=MR","SCALING_FORMAT=MLN","FA_ADJUSTED=GAAP","Sort=A","Dates=H","DateFormat=P","Fill=—","Direction=H","UseDPDF=Y")</f>
        <v>355</v>
      </c>
      <c r="X23" s="13">
        <f>_xll.BDH("GILD US Equity","OTHER_NONOP_INCOME_LOSS","FQ3 2024","FQ3 2024","Currency=USD","Period=FQ","BEST_FPERIOD_OVERRIDE=FQ","FILING_STATUS=MR","SCALING_FORMAT=MLN","FA_ADJUSTED=GAAP","Sort=A","Dates=H","DateFormat=P","Fill=—","Direction=H","UseDPDF=Y")</f>
        <v>-254</v>
      </c>
      <c r="Y23" s="13">
        <f>_xll.BDH("GILD US Equity","OTHER_NONOP_INCOME_LOSS","FQ4 2024","FQ4 2024","Currency=USD","Period=FQ","BEST_FPERIOD_OVERRIDE=FQ","FILING_STATUS=MR","SCALING_FORMAT=MLN","FA_ADJUSTED=GAAP","Sort=A","Dates=H","DateFormat=P","Fill=—","Direction=H","UseDPDF=Y")</f>
        <v>35</v>
      </c>
      <c r="Z23" s="13"/>
      <c r="AA23" s="13"/>
    </row>
    <row r="24" spans="1:27" x14ac:dyDescent="0.25">
      <c r="A24" s="6" t="s">
        <v>416</v>
      </c>
      <c r="B24" s="6" t="s">
        <v>158</v>
      </c>
      <c r="C24" s="19">
        <f>_xll.BDH("GILD US Equity","PRETAX_INC","FQ2 2019","FQ2 2019","Currency=USD","Period=FQ","BEST_FPERIOD_OVERRIDE=FQ","FILING_STATUS=MR","SCALING_FORMAT=MLN","FA_ADJUSTED=GAAP","Sort=A","Dates=H","DateFormat=P","Fill=—","Direction=H","UseDPDF=Y")</f>
        <v>2410</v>
      </c>
      <c r="D24" s="19">
        <f>_xll.BDH("GILD US Equity","PRETAX_INC","FQ3 2019","FQ3 2019","Currency=USD","Period=FQ","BEST_FPERIOD_OVERRIDE=FQ","FILING_STATUS=MR","SCALING_FORMAT=MLN","FA_ADJUSTED=GAAP","Sort=A","Dates=H","DateFormat=P","Fill=—","Direction=H","UseDPDF=Y")</f>
        <v>-1501</v>
      </c>
      <c r="E24" s="19">
        <f>_xll.BDH("GILD US Equity","PRETAX_INC","FQ4 2019","FQ4 2019","Currency=USD","Period=FQ","BEST_FPERIOD_OVERRIDE=FQ","FILING_STATUS=MR","SCALING_FORMAT=MLN","FA_ADJUSTED=GAAP","Sort=A","Dates=H","DateFormat=P","Fill=—","Direction=H","UseDPDF=Y")</f>
        <v>1901</v>
      </c>
      <c r="F24" s="19">
        <f>_xll.BDH("GILD US Equity","PRETAX_INC","FQ1 2020","FQ1 2020","Currency=USD","Period=FQ","BEST_FPERIOD_OVERRIDE=FQ","FILING_STATUS=MR","SCALING_FORMAT=MLN","FA_ADJUSTED=GAAP","Sort=A","Dates=H","DateFormat=P","Fill=—","Direction=H","UseDPDF=Y")</f>
        <v>2003</v>
      </c>
      <c r="G24" s="19">
        <f>_xll.BDH("GILD US Equity","PRETAX_INC","FQ2 2020","FQ2 2020","Currency=USD","Period=FQ","BEST_FPERIOD_OVERRIDE=FQ","FILING_STATUS=MR","SCALING_FORMAT=MLN","FA_ADJUSTED=GAAP","Sort=A","Dates=H","DateFormat=P","Fill=—","Direction=H","UseDPDF=Y")</f>
        <v>-2973</v>
      </c>
      <c r="H24" s="19">
        <f>_xll.BDH("GILD US Equity","PRETAX_INC","FQ3 2020","FQ3 2020","Currency=USD","Period=FQ","BEST_FPERIOD_OVERRIDE=FQ","FILING_STATUS=MR","SCALING_FORMAT=MLN","FA_ADJUSTED=GAAP","Sort=A","Dates=H","DateFormat=P","Fill=—","Direction=H","UseDPDF=Y")</f>
        <v>825</v>
      </c>
      <c r="I24" s="19">
        <f>_xll.BDH("GILD US Equity","PRETAX_INC","FQ4 2020","FQ4 2020","Currency=USD","Period=FQ","BEST_FPERIOD_OVERRIDE=FQ","FILING_STATUS=MR","SCALING_FORMAT=MLN","FA_ADJUSTED=GAAP","Sort=A","Dates=H","DateFormat=P","Fill=—","Direction=H","UseDPDF=Y")</f>
        <v>1814</v>
      </c>
      <c r="J24" s="19">
        <f>_xll.BDH("GILD US Equity","PRETAX_INC","FQ1 2021","FQ1 2021","Currency=USD","Period=FQ","BEST_FPERIOD_OVERRIDE=FQ","FILING_STATUS=MR","SCALING_FORMAT=MLN","FA_ADJUSTED=GAAP","Sort=A","Dates=H","DateFormat=P","Fill=—","Direction=H","UseDPDF=Y")</f>
        <v>2264</v>
      </c>
      <c r="K24" s="19">
        <f>_xll.BDH("GILD US Equity","PRETAX_INC","FQ2 2021","FQ2 2021","Currency=USD","Period=FQ","BEST_FPERIOD_OVERRIDE=FQ","FILING_STATUS=MR","SCALING_FORMAT=MLN","FA_ADJUSTED=GAAP","Sort=A","Dates=H","DateFormat=P","Fill=—","Direction=H","UseDPDF=Y")</f>
        <v>1817</v>
      </c>
      <c r="L24" s="19">
        <f>_xll.BDH("GILD US Equity","PRETAX_INC","FQ3 2021","FQ3 2021","Currency=USD","Period=FQ","BEST_FPERIOD_OVERRIDE=FQ","FILING_STATUS=MR","SCALING_FORMAT=MLN","FA_ADJUSTED=GAAP","Sort=A","Dates=H","DateFormat=P","Fill=—","Direction=H","UseDPDF=Y")</f>
        <v>3438</v>
      </c>
      <c r="M24" s="19">
        <f>_xll.BDH("GILD US Equity","PRETAX_INC","FQ4 2021","FQ4 2021","Currency=USD","Period=FQ","BEST_FPERIOD_OVERRIDE=FQ","FILING_STATUS=MR","SCALING_FORMAT=MLN","FA_ADJUSTED=GAAP","Sort=A","Dates=H","DateFormat=P","Fill=—","Direction=H","UseDPDF=Y")</f>
        <v>759</v>
      </c>
      <c r="N24" s="19">
        <f>_xll.BDH("GILD US Equity","PRETAX_INC","FQ1 2022","FQ1 2022","Currency=USD","Period=FQ","BEST_FPERIOD_OVERRIDE=FQ","FILING_STATUS=MR","SCALING_FORMAT=MLN","FA_ADJUSTED=GAAP","Sort=A","Dates=H","DateFormat=P","Fill=—","Direction=H","UseDPDF=Y")</f>
        <v>-152</v>
      </c>
      <c r="O24" s="19">
        <f>_xll.BDH("GILD US Equity","PRETAX_INC","FQ2 2022","FQ2 2022","Currency=USD","Period=FQ","BEST_FPERIOD_OVERRIDE=FQ","FILING_STATUS=MR","SCALING_FORMAT=MLN","FA_ADJUSTED=GAAP","Sort=A","Dates=H","DateFormat=P","Fill=—","Direction=H","UseDPDF=Y")</f>
        <v>1503</v>
      </c>
      <c r="P24" s="19">
        <f>_xll.BDH("GILD US Equity","PRETAX_INC","FQ3 2022","FQ3 2022","Currency=USD","Period=FQ","BEST_FPERIOD_OVERRIDE=FQ","FILING_STATUS=MR","SCALING_FORMAT=MLN","FA_ADJUSTED=GAAP","Sort=A","Dates=H","DateFormat=P","Fill=—","Direction=H","UseDPDF=Y")</f>
        <v>2432</v>
      </c>
      <c r="Q24" s="19">
        <f>_xll.BDH("GILD US Equity","PRETAX_INC","FQ4 2022","FQ4 2022","Currency=USD","Period=FQ","BEST_FPERIOD_OVERRIDE=FQ","FILING_STATUS=MR","SCALING_FORMAT=MLN","FA_ADJUSTED=GAAP","Sort=A","Dates=H","DateFormat=P","Fill=—","Direction=H","UseDPDF=Y")</f>
        <v>2031</v>
      </c>
      <c r="R24" s="19">
        <f>_xll.BDH("GILD US Equity","PRETAX_INC","FQ1 2023","FQ1 2023","Currency=USD","Period=FQ","BEST_FPERIOD_OVERRIDE=FQ","FILING_STATUS=MR","SCALING_FORMAT=MLN","FA_ADJUSTED=GAAP","Sort=A","Dates=H","DateFormat=P","Fill=—","Direction=H","UseDPDF=Y")</f>
        <v>1300</v>
      </c>
      <c r="S24" s="19">
        <f>_xll.BDH("GILD US Equity","PRETAX_INC","FQ2 2023","FQ2 2023","Currency=USD","Period=FQ","BEST_FPERIOD_OVERRIDE=FQ","FILING_STATUS=MR","SCALING_FORMAT=MLN","FA_ADJUSTED=GAAP","Sort=A","Dates=H","DateFormat=P","Fill=—","Direction=H","UseDPDF=Y")</f>
        <v>1588</v>
      </c>
      <c r="T24" s="19">
        <f>_xll.BDH("GILD US Equity","PRETAX_INC","FQ3 2023","FQ3 2023","Currency=USD","Period=FQ","BEST_FPERIOD_OVERRIDE=FQ","FILING_STATUS=MR","SCALING_FORMAT=MLN","FA_ADJUSTED=GAAP","Sort=A","Dates=H","DateFormat=P","Fill=—","Direction=H","UseDPDF=Y")</f>
        <v>2319</v>
      </c>
      <c r="U24" s="19">
        <f>_xll.BDH("GILD US Equity","PRETAX_INC","FQ4 2023","FQ4 2023","Currency=USD","Period=FQ","BEST_FPERIOD_OVERRIDE=FQ","FILING_STATUS=MR","SCALING_FORMAT=MLN","FA_ADJUSTED=GAAP","Sort=A","Dates=H","DateFormat=P","Fill=—","Direction=H","UseDPDF=Y")</f>
        <v>1653</v>
      </c>
      <c r="V24" s="19">
        <f>_xll.BDH("GILD US Equity","PRETAX_INC","FQ1 2024","FQ1 2024","Currency=USD","Period=FQ","BEST_FPERIOD_OVERRIDE=FQ","FILING_STATUS=MR","SCALING_FORMAT=MLN","FA_ADJUSTED=GAAP","Sort=A","Dates=H","DateFormat=P","Fill=—","Direction=H","UseDPDF=Y")</f>
        <v>-4486</v>
      </c>
      <c r="W24" s="19">
        <f>_xll.BDH("GILD US Equity","PRETAX_INC","FQ2 2024","FQ2 2024","Currency=USD","Period=FQ","BEST_FPERIOD_OVERRIDE=FQ","FILING_STATUS=MR","SCALING_FORMAT=MLN","FA_ADJUSTED=GAAP","Sort=A","Dates=H","DateFormat=P","Fill=—","Direction=H","UseDPDF=Y")</f>
        <v>2053</v>
      </c>
      <c r="X24" s="19">
        <f>_xll.BDH("GILD US Equity","PRETAX_INC","FQ3 2024","FQ3 2024","Currency=USD","Period=FQ","BEST_FPERIOD_OVERRIDE=FQ","FILING_STATUS=MR","SCALING_FORMAT=MLN","FA_ADJUSTED=GAAP","Sort=A","Dates=H","DateFormat=P","Fill=—","Direction=H","UseDPDF=Y")</f>
        <v>956</v>
      </c>
      <c r="Y24" s="19">
        <f>_xll.BDH("GILD US Equity","PRETAX_INC","FQ4 2024","FQ4 2024","Currency=USD","Period=FQ","BEST_FPERIOD_OVERRIDE=FQ","FILING_STATUS=MR","SCALING_FORMAT=MLN","FA_ADJUSTED=GAAP","Sort=A","Dates=H","DateFormat=P","Fill=—","Direction=H","UseDPDF=Y")</f>
        <v>2168</v>
      </c>
      <c r="Z24" s="19">
        <v>2700.5329999999999</v>
      </c>
      <c r="AA24" s="19">
        <v>2986.6669999999999</v>
      </c>
    </row>
    <row r="25" spans="1:27" x14ac:dyDescent="0.25">
      <c r="A25" s="10" t="s">
        <v>362</v>
      </c>
      <c r="B25" s="10" t="s">
        <v>363</v>
      </c>
      <c r="C25" s="13">
        <f>_xll.BDH("GILD US Equity","IS_INC_TAX_EXP","FQ2 2019","FQ2 2019","Currency=USD","Period=FQ","BEST_FPERIOD_OVERRIDE=FQ","FILING_STATUS=MR","SCALING_FORMAT=MLN","FA_ADJUSTED=GAAP","Sort=A","Dates=H","DateFormat=P","Fill=—","Direction=H","UseDPDF=Y")</f>
        <v>535</v>
      </c>
      <c r="D25" s="13">
        <f>_xll.BDH("GILD US Equity","IS_INC_TAX_EXP","FQ3 2019","FQ3 2019","Currency=USD","Period=FQ","BEST_FPERIOD_OVERRIDE=FQ","FILING_STATUS=MR","SCALING_FORMAT=MLN","FA_ADJUSTED=GAAP","Sort=A","Dates=H","DateFormat=P","Fill=—","Direction=H","UseDPDF=Y")</f>
        <v>-333</v>
      </c>
      <c r="E25" s="13">
        <f>_xll.BDH("GILD US Equity","IS_INC_TAX_EXP","FQ4 2019","FQ4 2019","Currency=USD","Period=FQ","BEST_FPERIOD_OVERRIDE=FQ","FILING_STATUS=MR","SCALING_FORMAT=MLN","FA_ADJUSTED=GAAP","Sort=A","Dates=H","DateFormat=P","Fill=—","Direction=H","UseDPDF=Y")</f>
        <v>-788</v>
      </c>
      <c r="F25" s="13">
        <f>_xll.BDH("GILD US Equity","IS_INC_TAX_EXP","FQ1 2020","FQ1 2020","Currency=USD","Period=FQ","BEST_FPERIOD_OVERRIDE=FQ","FILING_STATUS=MR","SCALING_FORMAT=MLN","FA_ADJUSTED=GAAP","Sort=A","Dates=H","DateFormat=P","Fill=—","Direction=H","UseDPDF=Y")</f>
        <v>465</v>
      </c>
      <c r="G25" s="13">
        <f>_xll.BDH("GILD US Equity","IS_INC_TAX_EXP","FQ2 2020","FQ2 2020","Currency=USD","Period=FQ","BEST_FPERIOD_OVERRIDE=FQ","FILING_STATUS=MR","SCALING_FORMAT=MLN","FA_ADJUSTED=GAAP","Sort=A","Dates=H","DateFormat=P","Fill=—","Direction=H","UseDPDF=Y")</f>
        <v>373</v>
      </c>
      <c r="H25" s="13">
        <f>_xll.BDH("GILD US Equity","IS_INC_TAX_EXP","FQ3 2020","FQ3 2020","Currency=USD","Period=FQ","BEST_FPERIOD_OVERRIDE=FQ","FILING_STATUS=MR","SCALING_FORMAT=MLN","FA_ADJUSTED=GAAP","Sort=A","Dates=H","DateFormat=P","Fill=—","Direction=H","UseDPDF=Y")</f>
        <v>472</v>
      </c>
      <c r="I25" s="13">
        <f>_xll.BDH("GILD US Equity","IS_INC_TAX_EXP","FQ4 2020","FQ4 2020","Currency=USD","Period=FQ","BEST_FPERIOD_OVERRIDE=FQ","FILING_STATUS=MR","SCALING_FORMAT=MLN","FA_ADJUSTED=GAAP","Sort=A","Dates=H","DateFormat=P","Fill=—","Direction=H","UseDPDF=Y")</f>
        <v>270</v>
      </c>
      <c r="J25" s="13">
        <f>_xll.BDH("GILD US Equity","IS_INC_TAX_EXP","FQ1 2021","FQ1 2021","Currency=USD","Period=FQ","BEST_FPERIOD_OVERRIDE=FQ","FILING_STATUS=MR","SCALING_FORMAT=MLN","FA_ADJUSTED=GAAP","Sort=A","Dates=H","DateFormat=P","Fill=—","Direction=H","UseDPDF=Y")</f>
        <v>542</v>
      </c>
      <c r="K25" s="13">
        <f>_xll.BDH("GILD US Equity","IS_INC_TAX_EXP","FQ2 2021","FQ2 2021","Currency=USD","Period=FQ","BEST_FPERIOD_OVERRIDE=FQ","FILING_STATUS=MR","SCALING_FORMAT=MLN","FA_ADJUSTED=GAAP","Sort=A","Dates=H","DateFormat=P","Fill=—","Direction=H","UseDPDF=Y")</f>
        <v>300</v>
      </c>
      <c r="L25" s="13">
        <f>_xll.BDH("GILD US Equity","IS_INC_TAX_EXP","FQ3 2021","FQ3 2021","Currency=USD","Period=FQ","BEST_FPERIOD_OVERRIDE=FQ","FILING_STATUS=MR","SCALING_FORMAT=MLN","FA_ADJUSTED=GAAP","Sort=A","Dates=H","DateFormat=P","Fill=—","Direction=H","UseDPDF=Y")</f>
        <v>852</v>
      </c>
      <c r="M25" s="13">
        <f>_xll.BDH("GILD US Equity","IS_INC_TAX_EXP","FQ4 2021","FQ4 2021","Currency=USD","Period=FQ","BEST_FPERIOD_OVERRIDE=FQ","FILING_STATUS=MR","SCALING_FORMAT=MLN","FA_ADJUSTED=GAAP","Sort=A","Dates=H","DateFormat=P","Fill=—","Direction=H","UseDPDF=Y")</f>
        <v>383</v>
      </c>
      <c r="N25" s="13">
        <f>_xll.BDH("GILD US Equity","IS_INC_TAX_EXP","FQ1 2022","FQ1 2022","Currency=USD","Period=FQ","BEST_FPERIOD_OVERRIDE=FQ","FILING_STATUS=MR","SCALING_FORMAT=MLN","FA_ADJUSTED=GAAP","Sort=A","Dates=H","DateFormat=P","Fill=—","Direction=H","UseDPDF=Y")</f>
        <v>-164</v>
      </c>
      <c r="O25" s="13">
        <f>_xll.BDH("GILD US Equity","IS_INC_TAX_EXP","FQ2 2022","FQ2 2022","Currency=USD","Period=FQ","BEST_FPERIOD_OVERRIDE=FQ","FILING_STATUS=MR","SCALING_FORMAT=MLN","FA_ADJUSTED=GAAP","Sort=A","Dates=H","DateFormat=P","Fill=—","Direction=H","UseDPDF=Y")</f>
        <v>368</v>
      </c>
      <c r="P25" s="13">
        <f>_xll.BDH("GILD US Equity","IS_INC_TAX_EXP","FQ3 2022","FQ3 2022","Currency=USD","Period=FQ","BEST_FPERIOD_OVERRIDE=FQ","FILING_STATUS=MR","SCALING_FORMAT=MLN","FA_ADJUSTED=GAAP","Sort=A","Dates=H","DateFormat=P","Fill=—","Direction=H","UseDPDF=Y")</f>
        <v>646</v>
      </c>
      <c r="Q25" s="13">
        <f>_xll.BDH("GILD US Equity","IS_INC_TAX_EXP","FQ4 2022","FQ4 2022","Currency=USD","Period=FQ","BEST_FPERIOD_OVERRIDE=FQ","FILING_STATUS=MR","SCALING_FORMAT=MLN","FA_ADJUSTED=GAAP","Sort=A","Dates=H","DateFormat=P","Fill=—","Direction=H","UseDPDF=Y")</f>
        <v>398</v>
      </c>
      <c r="R25" s="13">
        <f>_xll.BDH("GILD US Equity","IS_INC_TAX_EXP","FQ1 2023","FQ1 2023","Currency=USD","Period=FQ","BEST_FPERIOD_OVERRIDE=FQ","FILING_STATUS=MR","SCALING_FORMAT=MLN","FA_ADJUSTED=GAAP","Sort=A","Dates=H","DateFormat=P","Fill=—","Direction=H","UseDPDF=Y")</f>
        <v>316</v>
      </c>
      <c r="S25" s="13">
        <f>_xll.BDH("GILD US Equity","IS_INC_TAX_EXP","FQ2 2023","FQ2 2023","Currency=USD","Period=FQ","BEST_FPERIOD_OVERRIDE=FQ","FILING_STATUS=MR","SCALING_FORMAT=MLN","FA_ADJUSTED=GAAP","Sort=A","Dates=H","DateFormat=P","Fill=—","Direction=H","UseDPDF=Y")</f>
        <v>549</v>
      </c>
      <c r="T25" s="13">
        <f>_xll.BDH("GILD US Equity","IS_INC_TAX_EXP","FQ3 2023","FQ3 2023","Currency=USD","Period=FQ","BEST_FPERIOD_OVERRIDE=FQ","FILING_STATUS=MR","SCALING_FORMAT=MLN","FA_ADJUSTED=GAAP","Sort=A","Dates=H","DateFormat=P","Fill=—","Direction=H","UseDPDF=Y")</f>
        <v>146</v>
      </c>
      <c r="U25" s="13">
        <f>_xll.BDH("GILD US Equity","IS_INC_TAX_EXP","FQ4 2023","FQ4 2023","Currency=USD","Period=FQ","BEST_FPERIOD_OVERRIDE=FQ","FILING_STATUS=MR","SCALING_FORMAT=MLN","FA_ADJUSTED=GAAP","Sort=A","Dates=H","DateFormat=P","Fill=—","Direction=H","UseDPDF=Y")</f>
        <v>236</v>
      </c>
      <c r="V25" s="13">
        <f>_xll.BDH("GILD US Equity","IS_INC_TAX_EXP","FQ1 2024","FQ1 2024","Currency=USD","Period=FQ","BEST_FPERIOD_OVERRIDE=FQ","FILING_STATUS=MR","SCALING_FORMAT=MLN","FA_ADJUSTED=GAAP","Sort=A","Dates=H","DateFormat=P","Fill=—","Direction=H","UseDPDF=Y")</f>
        <v>-316</v>
      </c>
      <c r="W25" s="13">
        <f>_xll.BDH("GILD US Equity","IS_INC_TAX_EXP","FQ2 2024","FQ2 2024","Currency=USD","Period=FQ","BEST_FPERIOD_OVERRIDE=FQ","FILING_STATUS=MR","SCALING_FORMAT=MLN","FA_ADJUSTED=GAAP","Sort=A","Dates=H","DateFormat=P","Fill=—","Direction=H","UseDPDF=Y")</f>
        <v>439</v>
      </c>
      <c r="X25" s="13">
        <f>_xll.BDH("GILD US Equity","IS_INC_TAX_EXP","FQ3 2024","FQ3 2024","Currency=USD","Period=FQ","BEST_FPERIOD_OVERRIDE=FQ","FILING_STATUS=MR","SCALING_FORMAT=MLN","FA_ADJUSTED=GAAP","Sort=A","Dates=H","DateFormat=P","Fill=—","Direction=H","UseDPDF=Y")</f>
        <v>-297</v>
      </c>
      <c r="Y25" s="13">
        <f>_xll.BDH("GILD US Equity","IS_INC_TAX_EXP","FQ4 2024","FQ4 2024","Currency=USD","Period=FQ","BEST_FPERIOD_OVERRIDE=FQ","FILING_STATUS=MR","SCALING_FORMAT=MLN","FA_ADJUSTED=GAAP","Sort=A","Dates=H","DateFormat=P","Fill=—","Direction=H","UseDPDF=Y")</f>
        <v>385</v>
      </c>
      <c r="Z25" s="13"/>
      <c r="AA25" s="13"/>
    </row>
    <row r="26" spans="1:27" x14ac:dyDescent="0.25">
      <c r="A26" s="6" t="s">
        <v>364</v>
      </c>
      <c r="B26" s="6" t="s">
        <v>365</v>
      </c>
      <c r="C26" s="19">
        <f>_xll.BDH("GILD US Equity","IS_INC_BEF_XO_ITEM","FQ2 2019","FQ2 2019","Currency=USD","Period=FQ","BEST_FPERIOD_OVERRIDE=FQ","FILING_STATUS=MR","SCALING_FORMAT=MLN","Sort=A","Dates=H","DateFormat=P","Fill=—","Direction=H","UseDPDF=Y")</f>
        <v>1875</v>
      </c>
      <c r="D26" s="19">
        <f>_xll.BDH("GILD US Equity","IS_INC_BEF_XO_ITEM","FQ3 2019","FQ3 2019","Currency=USD","Period=FQ","BEST_FPERIOD_OVERRIDE=FQ","FILING_STATUS=MR","SCALING_FORMAT=MLN","Sort=A","Dates=H","DateFormat=P","Fill=—","Direction=H","UseDPDF=Y")</f>
        <v>-1168</v>
      </c>
      <c r="E26" s="19">
        <f>_xll.BDH("GILD US Equity","IS_INC_BEF_XO_ITEM","FQ4 2019","FQ4 2019","Currency=USD","Period=FQ","BEST_FPERIOD_OVERRIDE=FQ","FILING_STATUS=MR","SCALING_FORMAT=MLN","Sort=A","Dates=H","DateFormat=P","Fill=—","Direction=H","UseDPDF=Y")</f>
        <v>2689</v>
      </c>
      <c r="F26" s="19">
        <f>_xll.BDH("GILD US Equity","IS_INC_BEF_XO_ITEM","FQ1 2020","FQ1 2020","Currency=USD","Period=FQ","BEST_FPERIOD_OVERRIDE=FQ","FILING_STATUS=MR","SCALING_FORMAT=MLN","Sort=A","Dates=H","DateFormat=P","Fill=—","Direction=H","UseDPDF=Y")</f>
        <v>1538</v>
      </c>
      <c r="G26" s="19">
        <f>_xll.BDH("GILD US Equity","IS_INC_BEF_XO_ITEM","FQ2 2020","FQ2 2020","Currency=USD","Period=FQ","BEST_FPERIOD_OVERRIDE=FQ","FILING_STATUS=MR","SCALING_FORMAT=MLN","Sort=A","Dates=H","DateFormat=P","Fill=—","Direction=H","UseDPDF=Y")</f>
        <v>-3346</v>
      </c>
      <c r="H26" s="19">
        <f>_xll.BDH("GILD US Equity","IS_INC_BEF_XO_ITEM","FQ3 2020","FQ3 2020","Currency=USD","Period=FQ","BEST_FPERIOD_OVERRIDE=FQ","FILING_STATUS=MR","SCALING_FORMAT=MLN","Sort=A","Dates=H","DateFormat=P","Fill=—","Direction=H","UseDPDF=Y")</f>
        <v>353</v>
      </c>
      <c r="I26" s="19">
        <f>_xll.BDH("GILD US Equity","IS_INC_BEF_XO_ITEM","FQ4 2020","FQ4 2020","Currency=USD","Period=FQ","BEST_FPERIOD_OVERRIDE=FQ","FILING_STATUS=MR","SCALING_FORMAT=MLN","Sort=A","Dates=H","DateFormat=P","Fill=—","Direction=H","UseDPDF=Y")</f>
        <v>1544</v>
      </c>
      <c r="J26" s="19">
        <f>_xll.BDH("GILD US Equity","IS_INC_BEF_XO_ITEM","FQ1 2021","FQ1 2021","Currency=USD","Period=FQ","BEST_FPERIOD_OVERRIDE=FQ","FILING_STATUS=MR","SCALING_FORMAT=MLN","Sort=A","Dates=H","DateFormat=P","Fill=—","Direction=H","UseDPDF=Y")</f>
        <v>1722</v>
      </c>
      <c r="K26" s="19">
        <f>_xll.BDH("GILD US Equity","IS_INC_BEF_XO_ITEM","FQ2 2021","FQ2 2021","Currency=USD","Period=FQ","BEST_FPERIOD_OVERRIDE=FQ","FILING_STATUS=MR","SCALING_FORMAT=MLN","Sort=A","Dates=H","DateFormat=P","Fill=—","Direction=H","UseDPDF=Y")</f>
        <v>1517</v>
      </c>
      <c r="L26" s="19">
        <f>_xll.BDH("GILD US Equity","IS_INC_BEF_XO_ITEM","FQ3 2021","FQ3 2021","Currency=USD","Period=FQ","BEST_FPERIOD_OVERRIDE=FQ","FILING_STATUS=MR","SCALING_FORMAT=MLN","Sort=A","Dates=H","DateFormat=P","Fill=—","Direction=H","UseDPDF=Y")</f>
        <v>2586</v>
      </c>
      <c r="M26" s="19">
        <f>_xll.BDH("GILD US Equity","IS_INC_BEF_XO_ITEM","FQ4 2021","FQ4 2021","Currency=USD","Period=FQ","BEST_FPERIOD_OVERRIDE=FQ","FILING_STATUS=MR","SCALING_FORMAT=MLN","Sort=A","Dates=H","DateFormat=P","Fill=—","Direction=H","UseDPDF=Y")</f>
        <v>376</v>
      </c>
      <c r="N26" s="19">
        <f>_xll.BDH("GILD US Equity","IS_INC_BEF_XO_ITEM","FQ1 2022","FQ1 2022","Currency=USD","Period=FQ","BEST_FPERIOD_OVERRIDE=FQ","FILING_STATUS=MR","SCALING_FORMAT=MLN","Sort=A","Dates=H","DateFormat=P","Fill=—","Direction=H","UseDPDF=Y")</f>
        <v>12</v>
      </c>
      <c r="O26" s="19">
        <f>_xll.BDH("GILD US Equity","IS_INC_BEF_XO_ITEM","FQ2 2022","FQ2 2022","Currency=USD","Period=FQ","BEST_FPERIOD_OVERRIDE=FQ","FILING_STATUS=MR","SCALING_FORMAT=MLN","Sort=A","Dates=H","DateFormat=P","Fill=—","Direction=H","UseDPDF=Y")</f>
        <v>1135</v>
      </c>
      <c r="P26" s="19">
        <f>_xll.BDH("GILD US Equity","IS_INC_BEF_XO_ITEM","FQ3 2022","FQ3 2022","Currency=USD","Period=FQ","BEST_FPERIOD_OVERRIDE=FQ","FILING_STATUS=MR","SCALING_FORMAT=MLN","Sort=A","Dates=H","DateFormat=P","Fill=—","Direction=H","UseDPDF=Y")</f>
        <v>1786</v>
      </c>
      <c r="Q26" s="19">
        <f>_xll.BDH("GILD US Equity","IS_INC_BEF_XO_ITEM","FQ4 2022","FQ4 2022","Currency=USD","Period=FQ","BEST_FPERIOD_OVERRIDE=FQ","FILING_STATUS=MR","SCALING_FORMAT=MLN","Sort=A","Dates=H","DateFormat=P","Fill=—","Direction=H","UseDPDF=Y")</f>
        <v>1633</v>
      </c>
      <c r="R26" s="19">
        <f>_xll.BDH("GILD US Equity","IS_INC_BEF_XO_ITEM","FQ1 2023","FQ1 2023","Currency=USD","Period=FQ","BEST_FPERIOD_OVERRIDE=FQ","FILING_STATUS=MR","SCALING_FORMAT=MLN","Sort=A","Dates=H","DateFormat=P","Fill=—","Direction=H","UseDPDF=Y")</f>
        <v>984</v>
      </c>
      <c r="S26" s="19">
        <f>_xll.BDH("GILD US Equity","IS_INC_BEF_XO_ITEM","FQ2 2023","FQ2 2023","Currency=USD","Period=FQ","BEST_FPERIOD_OVERRIDE=FQ","FILING_STATUS=MR","SCALING_FORMAT=MLN","Sort=A","Dates=H","DateFormat=P","Fill=—","Direction=H","UseDPDF=Y")</f>
        <v>1039</v>
      </c>
      <c r="T26" s="19">
        <f>_xll.BDH("GILD US Equity","IS_INC_BEF_XO_ITEM","FQ3 2023","FQ3 2023","Currency=USD","Period=FQ","BEST_FPERIOD_OVERRIDE=FQ","FILING_STATUS=MR","SCALING_FORMAT=MLN","Sort=A","Dates=H","DateFormat=P","Fill=—","Direction=H","UseDPDF=Y")</f>
        <v>2173</v>
      </c>
      <c r="U26" s="19">
        <f>_xll.BDH("GILD US Equity","IS_INC_BEF_XO_ITEM","FQ4 2023","FQ4 2023","Currency=USD","Period=FQ","BEST_FPERIOD_OVERRIDE=FQ","FILING_STATUS=MR","SCALING_FORMAT=MLN","Sort=A","Dates=H","DateFormat=P","Fill=—","Direction=H","UseDPDF=Y")</f>
        <v>1417</v>
      </c>
      <c r="V26" s="19">
        <f>_xll.BDH("GILD US Equity","IS_INC_BEF_XO_ITEM","FQ1 2024","FQ1 2024","Currency=USD","Period=FQ","BEST_FPERIOD_OVERRIDE=FQ","FILING_STATUS=MR","SCALING_FORMAT=MLN","Sort=A","Dates=H","DateFormat=P","Fill=—","Direction=H","UseDPDF=Y")</f>
        <v>-4170</v>
      </c>
      <c r="W26" s="19">
        <f>_xll.BDH("GILD US Equity","IS_INC_BEF_XO_ITEM","FQ2 2024","FQ2 2024","Currency=USD","Period=FQ","BEST_FPERIOD_OVERRIDE=FQ","FILING_STATUS=MR","SCALING_FORMAT=MLN","Sort=A","Dates=H","DateFormat=P","Fill=—","Direction=H","UseDPDF=Y")</f>
        <v>1614</v>
      </c>
      <c r="X26" s="19">
        <f>_xll.BDH("GILD US Equity","IS_INC_BEF_XO_ITEM","FQ3 2024","FQ3 2024","Currency=USD","Period=FQ","BEST_FPERIOD_OVERRIDE=FQ","FILING_STATUS=MR","SCALING_FORMAT=MLN","Sort=A","Dates=H","DateFormat=P","Fill=—","Direction=H","UseDPDF=Y")</f>
        <v>1253</v>
      </c>
      <c r="Y26" s="19">
        <f>_xll.BDH("GILD US Equity","IS_INC_BEF_XO_ITEM","FQ4 2024","FQ4 2024","Currency=USD","Period=FQ","BEST_FPERIOD_OVERRIDE=FQ","FILING_STATUS=MR","SCALING_FORMAT=MLN","Sort=A","Dates=H","DateFormat=P","Fill=—","Direction=H","UseDPDF=Y")</f>
        <v>1783</v>
      </c>
      <c r="Z26" s="19">
        <v>1619.538</v>
      </c>
      <c r="AA26" s="19">
        <v>1847.769</v>
      </c>
    </row>
    <row r="27" spans="1:27" x14ac:dyDescent="0.25">
      <c r="A27" s="10" t="s">
        <v>366</v>
      </c>
      <c r="B27" s="10" t="s">
        <v>367</v>
      </c>
      <c r="C27" s="13">
        <f>_xll.BDH("GILD US Equity","XO_GL_NET_OF_TAX","FQ2 2019","FQ2 2019","Currency=USD","Period=FQ","BEST_FPERIOD_OVERRIDE=FQ","FILING_STATUS=MR","SCALING_FORMAT=MLN","Sort=A","Dates=H","DateFormat=P","Fill=—","Direction=H","UseDPDF=Y")</f>
        <v>0</v>
      </c>
      <c r="D27" s="13">
        <f>_xll.BDH("GILD US Equity","XO_GL_NET_OF_TAX","FQ3 2019","FQ3 2019","Currency=USD","Period=FQ","BEST_FPERIOD_OVERRIDE=FQ","FILING_STATUS=MR","SCALING_FORMAT=MLN","Sort=A","Dates=H","DateFormat=P","Fill=—","Direction=H","UseDPDF=Y")</f>
        <v>0</v>
      </c>
      <c r="E27" s="13">
        <f>_xll.BDH("GILD US Equity","XO_GL_NET_OF_TAX","FQ4 2019","FQ4 2019","Currency=USD","Period=FQ","BEST_FPERIOD_OVERRIDE=FQ","FILING_STATUS=MR","SCALING_FORMAT=MLN","Sort=A","Dates=H","DateFormat=P","Fill=—","Direction=H","UseDPDF=Y")</f>
        <v>0</v>
      </c>
      <c r="F27" s="13">
        <f>_xll.BDH("GILD US Equity","XO_GL_NET_OF_TAX","FQ1 2020","FQ1 2020","Currency=USD","Period=FQ","BEST_FPERIOD_OVERRIDE=FQ","FILING_STATUS=MR","SCALING_FORMAT=MLN","Sort=A","Dates=H","DateFormat=P","Fill=—","Direction=H","UseDPDF=Y")</f>
        <v>0</v>
      </c>
      <c r="G27" s="13">
        <f>_xll.BDH("GILD US Equity","XO_GL_NET_OF_TAX","FQ2 2020","FQ2 2020","Currency=USD","Period=FQ","BEST_FPERIOD_OVERRIDE=FQ","FILING_STATUS=MR","SCALING_FORMAT=MLN","Sort=A","Dates=H","DateFormat=P","Fill=—","Direction=H","UseDPDF=Y")</f>
        <v>0</v>
      </c>
      <c r="H27" s="13">
        <f>_xll.BDH("GILD US Equity","XO_GL_NET_OF_TAX","FQ3 2020","FQ3 2020","Currency=USD","Period=FQ","BEST_FPERIOD_OVERRIDE=FQ","FILING_STATUS=MR","SCALING_FORMAT=MLN","Sort=A","Dates=H","DateFormat=P","Fill=—","Direction=H","UseDPDF=Y")</f>
        <v>0</v>
      </c>
      <c r="I27" s="13">
        <f>_xll.BDH("GILD US Equity","XO_GL_NET_OF_TAX","FQ4 2020","FQ4 2020","Currency=USD","Period=FQ","BEST_FPERIOD_OVERRIDE=FQ","FILING_STATUS=MR","SCALING_FORMAT=MLN","Sort=A","Dates=H","DateFormat=P","Fill=—","Direction=H","UseDPDF=Y")</f>
        <v>0</v>
      </c>
      <c r="J27" s="13">
        <f>_xll.BDH("GILD US Equity","XO_GL_NET_OF_TAX","FQ1 2021","FQ1 2021","Currency=USD","Period=FQ","BEST_FPERIOD_OVERRIDE=FQ","FILING_STATUS=MR","SCALING_FORMAT=MLN","Sort=A","Dates=H","DateFormat=P","Fill=—","Direction=H","UseDPDF=Y")</f>
        <v>0</v>
      </c>
      <c r="K27" s="13">
        <f>_xll.BDH("GILD US Equity","XO_GL_NET_OF_TAX","FQ2 2021","FQ2 2021","Currency=USD","Period=FQ","BEST_FPERIOD_OVERRIDE=FQ","FILING_STATUS=MR","SCALING_FORMAT=MLN","Sort=A","Dates=H","DateFormat=P","Fill=—","Direction=H","UseDPDF=Y")</f>
        <v>0</v>
      </c>
      <c r="L27" s="13">
        <f>_xll.BDH("GILD US Equity","XO_GL_NET_OF_TAX","FQ3 2021","FQ3 2021","Currency=USD","Period=FQ","BEST_FPERIOD_OVERRIDE=FQ","FILING_STATUS=MR","SCALING_FORMAT=MLN","Sort=A","Dates=H","DateFormat=P","Fill=—","Direction=H","UseDPDF=Y")</f>
        <v>0</v>
      </c>
      <c r="M27" s="13">
        <f>_xll.BDH("GILD US Equity","XO_GL_NET_OF_TAX","FQ4 2021","FQ4 2021","Currency=USD","Period=FQ","BEST_FPERIOD_OVERRIDE=FQ","FILING_STATUS=MR","SCALING_FORMAT=MLN","Sort=A","Dates=H","DateFormat=P","Fill=—","Direction=H","UseDPDF=Y")</f>
        <v>0</v>
      </c>
      <c r="N27" s="13">
        <f>_xll.BDH("GILD US Equity","XO_GL_NET_OF_TAX","FQ1 2022","FQ1 2022","Currency=USD","Period=FQ","BEST_FPERIOD_OVERRIDE=FQ","FILING_STATUS=MR","SCALING_FORMAT=MLN","Sort=A","Dates=H","DateFormat=P","Fill=—","Direction=H","UseDPDF=Y")</f>
        <v>0</v>
      </c>
      <c r="O27" s="13">
        <f>_xll.BDH("GILD US Equity","XO_GL_NET_OF_TAX","FQ2 2022","FQ2 2022","Currency=USD","Period=FQ","BEST_FPERIOD_OVERRIDE=FQ","FILING_STATUS=MR","SCALING_FORMAT=MLN","Sort=A","Dates=H","DateFormat=P","Fill=—","Direction=H","UseDPDF=Y")</f>
        <v>0</v>
      </c>
      <c r="P27" s="13">
        <f>_xll.BDH("GILD US Equity","XO_GL_NET_OF_TAX","FQ3 2022","FQ3 2022","Currency=USD","Period=FQ","BEST_FPERIOD_OVERRIDE=FQ","FILING_STATUS=MR","SCALING_FORMAT=MLN","Sort=A","Dates=H","DateFormat=P","Fill=—","Direction=H","UseDPDF=Y")</f>
        <v>0</v>
      </c>
      <c r="Q27" s="13">
        <f>_xll.BDH("GILD US Equity","XO_GL_NET_OF_TAX","FQ4 2022","FQ4 2022","Currency=USD","Period=FQ","BEST_FPERIOD_OVERRIDE=FQ","FILING_STATUS=MR","SCALING_FORMAT=MLN","Sort=A","Dates=H","DateFormat=P","Fill=—","Direction=H","UseDPDF=Y")</f>
        <v>0</v>
      </c>
      <c r="R27" s="13">
        <f>_xll.BDH("GILD US Equity","XO_GL_NET_OF_TAX","FQ1 2023","FQ1 2023","Currency=USD","Period=FQ","BEST_FPERIOD_OVERRIDE=FQ","FILING_STATUS=MR","SCALING_FORMAT=MLN","Sort=A","Dates=H","DateFormat=P","Fill=—","Direction=H","UseDPDF=Y")</f>
        <v>0</v>
      </c>
      <c r="S27" s="13">
        <f>_xll.BDH("GILD US Equity","XO_GL_NET_OF_TAX","FQ2 2023","FQ2 2023","Currency=USD","Period=FQ","BEST_FPERIOD_OVERRIDE=FQ","FILING_STATUS=MR","SCALING_FORMAT=MLN","Sort=A","Dates=H","DateFormat=P","Fill=—","Direction=H","UseDPDF=Y")</f>
        <v>0</v>
      </c>
      <c r="T27" s="13">
        <f>_xll.BDH("GILD US Equity","XO_GL_NET_OF_TAX","FQ3 2023","FQ3 2023","Currency=USD","Period=FQ","BEST_FPERIOD_OVERRIDE=FQ","FILING_STATUS=MR","SCALING_FORMAT=MLN","Sort=A","Dates=H","DateFormat=P","Fill=—","Direction=H","UseDPDF=Y")</f>
        <v>0</v>
      </c>
      <c r="U27" s="13">
        <f>_xll.BDH("GILD US Equity","XO_GL_NET_OF_TAX","FQ4 2023","FQ4 2023","Currency=USD","Period=FQ","BEST_FPERIOD_OVERRIDE=FQ","FILING_STATUS=MR","SCALING_FORMAT=MLN","Sort=A","Dates=H","DateFormat=P","Fill=—","Direction=H","UseDPDF=Y")</f>
        <v>0</v>
      </c>
      <c r="V27" s="13">
        <f>_xll.BDH("GILD US Equity","XO_GL_NET_OF_TAX","FQ1 2024","FQ1 2024","Currency=USD","Period=FQ","BEST_FPERIOD_OVERRIDE=FQ","FILING_STATUS=MR","SCALING_FORMAT=MLN","Sort=A","Dates=H","DateFormat=P","Fill=—","Direction=H","UseDPDF=Y")</f>
        <v>0</v>
      </c>
      <c r="W27" s="13">
        <f>_xll.BDH("GILD US Equity","XO_GL_NET_OF_TAX","FQ2 2024","FQ2 2024","Currency=USD","Period=FQ","BEST_FPERIOD_OVERRIDE=FQ","FILING_STATUS=MR","SCALING_FORMAT=MLN","Sort=A","Dates=H","DateFormat=P","Fill=—","Direction=H","UseDPDF=Y")</f>
        <v>0</v>
      </c>
      <c r="X27" s="13">
        <f>_xll.BDH("GILD US Equity","XO_GL_NET_OF_TAX","FQ3 2024","FQ3 2024","Currency=USD","Period=FQ","BEST_FPERIOD_OVERRIDE=FQ","FILING_STATUS=MR","SCALING_FORMAT=MLN","Sort=A","Dates=H","DateFormat=P","Fill=—","Direction=H","UseDPDF=Y")</f>
        <v>0</v>
      </c>
      <c r="Y27" s="13">
        <f>_xll.BDH("GILD US Equity","XO_GL_NET_OF_TAX","FQ4 2024","FQ4 2024","Currency=USD","Period=FQ","BEST_FPERIOD_OVERRIDE=FQ","FILING_STATUS=MR","SCALING_FORMAT=MLN","Sort=A","Dates=H","DateFormat=P","Fill=—","Direction=H","UseDPDF=Y")</f>
        <v>0</v>
      </c>
      <c r="Z27" s="13"/>
      <c r="AA27" s="13"/>
    </row>
    <row r="28" spans="1:27" x14ac:dyDescent="0.25">
      <c r="A28" s="10" t="s">
        <v>368</v>
      </c>
      <c r="B28" s="10" t="s">
        <v>369</v>
      </c>
      <c r="C28" s="13">
        <f>_xll.BDH("GILD US Equity","IS_DISCONTINUED_OPERATIONS","FQ2 2019","FQ2 2019","Currency=USD","Period=FQ","BEST_FPERIOD_OVERRIDE=FQ","FILING_STATUS=MR","SCALING_FORMAT=MLN","Sort=A","Dates=H","DateFormat=P","Fill=—","Direction=H","UseDPDF=Y")</f>
        <v>0</v>
      </c>
      <c r="D28" s="13">
        <f>_xll.BDH("GILD US Equity","IS_DISCONTINUED_OPERATIONS","FQ3 2019","FQ3 2019","Currency=USD","Period=FQ","BEST_FPERIOD_OVERRIDE=FQ","FILING_STATUS=MR","SCALING_FORMAT=MLN","Sort=A","Dates=H","DateFormat=P","Fill=—","Direction=H","UseDPDF=Y")</f>
        <v>0</v>
      </c>
      <c r="E28" s="13">
        <f>_xll.BDH("GILD US Equity","IS_DISCONTINUED_OPERATIONS","FQ4 2019","FQ4 2019","Currency=USD","Period=FQ","BEST_FPERIOD_OVERRIDE=FQ","FILING_STATUS=MR","SCALING_FORMAT=MLN","Sort=A","Dates=H","DateFormat=P","Fill=—","Direction=H","UseDPDF=Y")</f>
        <v>0</v>
      </c>
      <c r="F28" s="13">
        <f>_xll.BDH("GILD US Equity","IS_DISCONTINUED_OPERATIONS","FQ1 2020","FQ1 2020","Currency=USD","Period=FQ","BEST_FPERIOD_OVERRIDE=FQ","FILING_STATUS=MR","SCALING_FORMAT=MLN","Sort=A","Dates=H","DateFormat=P","Fill=—","Direction=H","UseDPDF=Y")</f>
        <v>0</v>
      </c>
      <c r="G28" s="13">
        <f>_xll.BDH("GILD US Equity","IS_DISCONTINUED_OPERATIONS","FQ2 2020","FQ2 2020","Currency=USD","Period=FQ","BEST_FPERIOD_OVERRIDE=FQ","FILING_STATUS=MR","SCALING_FORMAT=MLN","Sort=A","Dates=H","DateFormat=P","Fill=—","Direction=H","UseDPDF=Y")</f>
        <v>0</v>
      </c>
      <c r="H28" s="13">
        <f>_xll.BDH("GILD US Equity","IS_DISCONTINUED_OPERATIONS","FQ3 2020","FQ3 2020","Currency=USD","Period=FQ","BEST_FPERIOD_OVERRIDE=FQ","FILING_STATUS=MR","SCALING_FORMAT=MLN","Sort=A","Dates=H","DateFormat=P","Fill=—","Direction=H","UseDPDF=Y")</f>
        <v>0</v>
      </c>
      <c r="I28" s="13">
        <f>_xll.BDH("GILD US Equity","IS_DISCONTINUED_OPERATIONS","FQ4 2020","FQ4 2020","Currency=USD","Period=FQ","BEST_FPERIOD_OVERRIDE=FQ","FILING_STATUS=MR","SCALING_FORMAT=MLN","Sort=A","Dates=H","DateFormat=P","Fill=—","Direction=H","UseDPDF=Y")</f>
        <v>0</v>
      </c>
      <c r="J28" s="13">
        <f>_xll.BDH("GILD US Equity","IS_DISCONTINUED_OPERATIONS","FQ1 2021","FQ1 2021","Currency=USD","Period=FQ","BEST_FPERIOD_OVERRIDE=FQ","FILING_STATUS=MR","SCALING_FORMAT=MLN","Sort=A","Dates=H","DateFormat=P","Fill=—","Direction=H","UseDPDF=Y")</f>
        <v>0</v>
      </c>
      <c r="K28" s="13">
        <f>_xll.BDH("GILD US Equity","IS_DISCONTINUED_OPERATIONS","FQ2 2021","FQ2 2021","Currency=USD","Period=FQ","BEST_FPERIOD_OVERRIDE=FQ","FILING_STATUS=MR","SCALING_FORMAT=MLN","Sort=A","Dates=H","DateFormat=P","Fill=—","Direction=H","UseDPDF=Y")</f>
        <v>0</v>
      </c>
      <c r="L28" s="13">
        <f>_xll.BDH("GILD US Equity","IS_DISCONTINUED_OPERATIONS","FQ3 2021","FQ3 2021","Currency=USD","Period=FQ","BEST_FPERIOD_OVERRIDE=FQ","FILING_STATUS=MR","SCALING_FORMAT=MLN","Sort=A","Dates=H","DateFormat=P","Fill=—","Direction=H","UseDPDF=Y")</f>
        <v>0</v>
      </c>
      <c r="M28" s="13">
        <f>_xll.BDH("GILD US Equity","IS_DISCONTINUED_OPERATIONS","FQ4 2021","FQ4 2021","Currency=USD","Period=FQ","BEST_FPERIOD_OVERRIDE=FQ","FILING_STATUS=MR","SCALING_FORMAT=MLN","Sort=A","Dates=H","DateFormat=P","Fill=—","Direction=H","UseDPDF=Y")</f>
        <v>0</v>
      </c>
      <c r="N28" s="13">
        <f>_xll.BDH("GILD US Equity","IS_DISCONTINUED_OPERATIONS","FQ1 2022","FQ1 2022","Currency=USD","Period=FQ","BEST_FPERIOD_OVERRIDE=FQ","FILING_STATUS=MR","SCALING_FORMAT=MLN","Sort=A","Dates=H","DateFormat=P","Fill=—","Direction=H","UseDPDF=Y")</f>
        <v>0</v>
      </c>
      <c r="O28" s="13">
        <f>_xll.BDH("GILD US Equity","IS_DISCONTINUED_OPERATIONS","FQ2 2022","FQ2 2022","Currency=USD","Period=FQ","BEST_FPERIOD_OVERRIDE=FQ","FILING_STATUS=MR","SCALING_FORMAT=MLN","Sort=A","Dates=H","DateFormat=P","Fill=—","Direction=H","UseDPDF=Y")</f>
        <v>0</v>
      </c>
      <c r="P28" s="13">
        <f>_xll.BDH("GILD US Equity","IS_DISCONTINUED_OPERATIONS","FQ3 2022","FQ3 2022","Currency=USD","Period=FQ","BEST_FPERIOD_OVERRIDE=FQ","FILING_STATUS=MR","SCALING_FORMAT=MLN","Sort=A","Dates=H","DateFormat=P","Fill=—","Direction=H","UseDPDF=Y")</f>
        <v>0</v>
      </c>
      <c r="Q28" s="13">
        <f>_xll.BDH("GILD US Equity","IS_DISCONTINUED_OPERATIONS","FQ4 2022","FQ4 2022","Currency=USD","Period=FQ","BEST_FPERIOD_OVERRIDE=FQ","FILING_STATUS=MR","SCALING_FORMAT=MLN","Sort=A","Dates=H","DateFormat=P","Fill=—","Direction=H","UseDPDF=Y")</f>
        <v>0</v>
      </c>
      <c r="R28" s="13">
        <f>_xll.BDH("GILD US Equity","IS_DISCONTINUED_OPERATIONS","FQ1 2023","FQ1 2023","Currency=USD","Period=FQ","BEST_FPERIOD_OVERRIDE=FQ","FILING_STATUS=MR","SCALING_FORMAT=MLN","Sort=A","Dates=H","DateFormat=P","Fill=—","Direction=H","UseDPDF=Y")</f>
        <v>0</v>
      </c>
      <c r="S28" s="13">
        <f>_xll.BDH("GILD US Equity","IS_DISCONTINUED_OPERATIONS","FQ2 2023","FQ2 2023","Currency=USD","Period=FQ","BEST_FPERIOD_OVERRIDE=FQ","FILING_STATUS=MR","SCALING_FORMAT=MLN","Sort=A","Dates=H","DateFormat=P","Fill=—","Direction=H","UseDPDF=Y")</f>
        <v>0</v>
      </c>
      <c r="T28" s="13">
        <f>_xll.BDH("GILD US Equity","IS_DISCONTINUED_OPERATIONS","FQ3 2023","FQ3 2023","Currency=USD","Period=FQ","BEST_FPERIOD_OVERRIDE=FQ","FILING_STATUS=MR","SCALING_FORMAT=MLN","Sort=A","Dates=H","DateFormat=P","Fill=—","Direction=H","UseDPDF=Y")</f>
        <v>0</v>
      </c>
      <c r="U28" s="13">
        <f>_xll.BDH("GILD US Equity","IS_DISCONTINUED_OPERATIONS","FQ4 2023","FQ4 2023","Currency=USD","Period=FQ","BEST_FPERIOD_OVERRIDE=FQ","FILING_STATUS=MR","SCALING_FORMAT=MLN","Sort=A","Dates=H","DateFormat=P","Fill=—","Direction=H","UseDPDF=Y")</f>
        <v>0</v>
      </c>
      <c r="V28" s="13">
        <f>_xll.BDH("GILD US Equity","IS_DISCONTINUED_OPERATIONS","FQ1 2024","FQ1 2024","Currency=USD","Period=FQ","BEST_FPERIOD_OVERRIDE=FQ","FILING_STATUS=MR","SCALING_FORMAT=MLN","Sort=A","Dates=H","DateFormat=P","Fill=—","Direction=H","UseDPDF=Y")</f>
        <v>0</v>
      </c>
      <c r="W28" s="13">
        <f>_xll.BDH("GILD US Equity","IS_DISCONTINUED_OPERATIONS","FQ2 2024","FQ2 2024","Currency=USD","Period=FQ","BEST_FPERIOD_OVERRIDE=FQ","FILING_STATUS=MR","SCALING_FORMAT=MLN","Sort=A","Dates=H","DateFormat=P","Fill=—","Direction=H","UseDPDF=Y")</f>
        <v>0</v>
      </c>
      <c r="X28" s="13">
        <f>_xll.BDH("GILD US Equity","IS_DISCONTINUED_OPERATIONS","FQ3 2024","FQ3 2024","Currency=USD","Period=FQ","BEST_FPERIOD_OVERRIDE=FQ","FILING_STATUS=MR","SCALING_FORMAT=MLN","Sort=A","Dates=H","DateFormat=P","Fill=—","Direction=H","UseDPDF=Y")</f>
        <v>0</v>
      </c>
      <c r="Y28" s="13">
        <f>_xll.BDH("GILD US Equity","IS_DISCONTINUED_OPERATIONS","FQ4 2024","FQ4 2024","Currency=USD","Period=FQ","BEST_FPERIOD_OVERRIDE=FQ","FILING_STATUS=MR","SCALING_FORMAT=MLN","Sort=A","Dates=H","DateFormat=P","Fill=—","Direction=H","UseDPDF=Y")</f>
        <v>0</v>
      </c>
      <c r="Z28" s="13"/>
      <c r="AA28" s="13"/>
    </row>
    <row r="29" spans="1:27" x14ac:dyDescent="0.25">
      <c r="A29" s="10" t="s">
        <v>370</v>
      </c>
      <c r="B29" s="10" t="s">
        <v>371</v>
      </c>
      <c r="C29" s="13">
        <f>_xll.BDH("GILD US Equity","EXTRAORD_ITEMS_ACCOUNTING_CHANGS","FQ2 2019","FQ2 2019","Currency=USD","Period=FQ","BEST_FPERIOD_OVERRIDE=FQ","FILING_STATUS=MR","SCALING_FORMAT=MLN","Sort=A","Dates=H","DateFormat=P","Fill=—","Direction=H","UseDPDF=Y")</f>
        <v>0</v>
      </c>
      <c r="D29" s="13">
        <f>_xll.BDH("GILD US Equity","EXTRAORD_ITEMS_ACCOUNTING_CHANGS","FQ3 2019","FQ3 2019","Currency=USD","Period=FQ","BEST_FPERIOD_OVERRIDE=FQ","FILING_STATUS=MR","SCALING_FORMAT=MLN","Sort=A","Dates=H","DateFormat=P","Fill=—","Direction=H","UseDPDF=Y")</f>
        <v>0</v>
      </c>
      <c r="E29" s="13">
        <f>_xll.BDH("GILD US Equity","EXTRAORD_ITEMS_ACCOUNTING_CHANGS","FQ4 2019","FQ4 2019","Currency=USD","Period=FQ","BEST_FPERIOD_OVERRIDE=FQ","FILING_STATUS=MR","SCALING_FORMAT=MLN","Sort=A","Dates=H","DateFormat=P","Fill=—","Direction=H","UseDPDF=Y")</f>
        <v>0</v>
      </c>
      <c r="F29" s="13">
        <f>_xll.BDH("GILD US Equity","EXTRAORD_ITEMS_ACCOUNTING_CHANGS","FQ1 2020","FQ1 2020","Currency=USD","Period=FQ","BEST_FPERIOD_OVERRIDE=FQ","FILING_STATUS=MR","SCALING_FORMAT=MLN","Sort=A","Dates=H","DateFormat=P","Fill=—","Direction=H","UseDPDF=Y")</f>
        <v>0</v>
      </c>
      <c r="G29" s="13">
        <f>_xll.BDH("GILD US Equity","EXTRAORD_ITEMS_ACCOUNTING_CHANGS","FQ2 2020","FQ2 2020","Currency=USD","Period=FQ","BEST_FPERIOD_OVERRIDE=FQ","FILING_STATUS=MR","SCALING_FORMAT=MLN","Sort=A","Dates=H","DateFormat=P","Fill=—","Direction=H","UseDPDF=Y")</f>
        <v>0</v>
      </c>
      <c r="H29" s="13">
        <f>_xll.BDH("GILD US Equity","EXTRAORD_ITEMS_ACCOUNTING_CHANGS","FQ3 2020","FQ3 2020","Currency=USD","Period=FQ","BEST_FPERIOD_OVERRIDE=FQ","FILING_STATUS=MR","SCALING_FORMAT=MLN","Sort=A","Dates=H","DateFormat=P","Fill=—","Direction=H","UseDPDF=Y")</f>
        <v>0</v>
      </c>
      <c r="I29" s="13">
        <f>_xll.BDH("GILD US Equity","EXTRAORD_ITEMS_ACCOUNTING_CHANGS","FQ4 2020","FQ4 2020","Currency=USD","Period=FQ","BEST_FPERIOD_OVERRIDE=FQ","FILING_STATUS=MR","SCALING_FORMAT=MLN","Sort=A","Dates=H","DateFormat=P","Fill=—","Direction=H","UseDPDF=Y")</f>
        <v>0</v>
      </c>
      <c r="J29" s="13">
        <f>_xll.BDH("GILD US Equity","EXTRAORD_ITEMS_ACCOUNTING_CHANGS","FQ1 2021","FQ1 2021","Currency=USD","Period=FQ","BEST_FPERIOD_OVERRIDE=FQ","FILING_STATUS=MR","SCALING_FORMAT=MLN","Sort=A","Dates=H","DateFormat=P","Fill=—","Direction=H","UseDPDF=Y")</f>
        <v>0</v>
      </c>
      <c r="K29" s="13">
        <f>_xll.BDH("GILD US Equity","EXTRAORD_ITEMS_ACCOUNTING_CHANGS","FQ2 2021","FQ2 2021","Currency=USD","Period=FQ","BEST_FPERIOD_OVERRIDE=FQ","FILING_STATUS=MR","SCALING_FORMAT=MLN","Sort=A","Dates=H","DateFormat=P","Fill=—","Direction=H","UseDPDF=Y")</f>
        <v>0</v>
      </c>
      <c r="L29" s="13">
        <f>_xll.BDH("GILD US Equity","EXTRAORD_ITEMS_ACCOUNTING_CHANGS","FQ3 2021","FQ3 2021","Currency=USD","Period=FQ","BEST_FPERIOD_OVERRIDE=FQ","FILING_STATUS=MR","SCALING_FORMAT=MLN","Sort=A","Dates=H","DateFormat=P","Fill=—","Direction=H","UseDPDF=Y")</f>
        <v>0</v>
      </c>
      <c r="M29" s="13">
        <f>_xll.BDH("GILD US Equity","EXTRAORD_ITEMS_ACCOUNTING_CHANGS","FQ4 2021","FQ4 2021","Currency=USD","Period=FQ","BEST_FPERIOD_OVERRIDE=FQ","FILING_STATUS=MR","SCALING_FORMAT=MLN","Sort=A","Dates=H","DateFormat=P","Fill=—","Direction=H","UseDPDF=Y")</f>
        <v>0</v>
      </c>
      <c r="N29" s="13">
        <f>_xll.BDH("GILD US Equity","EXTRAORD_ITEMS_ACCOUNTING_CHANGS","FQ1 2022","FQ1 2022","Currency=USD","Period=FQ","BEST_FPERIOD_OVERRIDE=FQ","FILING_STATUS=MR","SCALING_FORMAT=MLN","Sort=A","Dates=H","DateFormat=P","Fill=—","Direction=H","UseDPDF=Y")</f>
        <v>0</v>
      </c>
      <c r="O29" s="13">
        <f>_xll.BDH("GILD US Equity","EXTRAORD_ITEMS_ACCOUNTING_CHANGS","FQ2 2022","FQ2 2022","Currency=USD","Period=FQ","BEST_FPERIOD_OVERRIDE=FQ","FILING_STATUS=MR","SCALING_FORMAT=MLN","Sort=A","Dates=H","DateFormat=P","Fill=—","Direction=H","UseDPDF=Y")</f>
        <v>0</v>
      </c>
      <c r="P29" s="13">
        <f>_xll.BDH("GILD US Equity","EXTRAORD_ITEMS_ACCOUNTING_CHANGS","FQ3 2022","FQ3 2022","Currency=USD","Period=FQ","BEST_FPERIOD_OVERRIDE=FQ","FILING_STATUS=MR","SCALING_FORMAT=MLN","Sort=A","Dates=H","DateFormat=P","Fill=—","Direction=H","UseDPDF=Y")</f>
        <v>0</v>
      </c>
      <c r="Q29" s="13">
        <f>_xll.BDH("GILD US Equity","EXTRAORD_ITEMS_ACCOUNTING_CHANGS","FQ4 2022","FQ4 2022","Currency=USD","Period=FQ","BEST_FPERIOD_OVERRIDE=FQ","FILING_STATUS=MR","SCALING_FORMAT=MLN","Sort=A","Dates=H","DateFormat=P","Fill=—","Direction=H","UseDPDF=Y")</f>
        <v>0</v>
      </c>
      <c r="R29" s="13">
        <f>_xll.BDH("GILD US Equity","EXTRAORD_ITEMS_ACCOUNTING_CHANGS","FQ1 2023","FQ1 2023","Currency=USD","Period=FQ","BEST_FPERIOD_OVERRIDE=FQ","FILING_STATUS=MR","SCALING_FORMAT=MLN","Sort=A","Dates=H","DateFormat=P","Fill=—","Direction=H","UseDPDF=Y")</f>
        <v>0</v>
      </c>
      <c r="S29" s="13">
        <f>_xll.BDH("GILD US Equity","EXTRAORD_ITEMS_ACCOUNTING_CHANGS","FQ2 2023","FQ2 2023","Currency=USD","Period=FQ","BEST_FPERIOD_OVERRIDE=FQ","FILING_STATUS=MR","SCALING_FORMAT=MLN","Sort=A","Dates=H","DateFormat=P","Fill=—","Direction=H","UseDPDF=Y")</f>
        <v>0</v>
      </c>
      <c r="T29" s="13">
        <f>_xll.BDH("GILD US Equity","EXTRAORD_ITEMS_ACCOUNTING_CHANGS","FQ3 2023","FQ3 2023","Currency=USD","Period=FQ","BEST_FPERIOD_OVERRIDE=FQ","FILING_STATUS=MR","SCALING_FORMAT=MLN","Sort=A","Dates=H","DateFormat=P","Fill=—","Direction=H","UseDPDF=Y")</f>
        <v>0</v>
      </c>
      <c r="U29" s="13">
        <f>_xll.BDH("GILD US Equity","EXTRAORD_ITEMS_ACCOUNTING_CHANGS","FQ4 2023","FQ4 2023","Currency=USD","Period=FQ","BEST_FPERIOD_OVERRIDE=FQ","FILING_STATUS=MR","SCALING_FORMAT=MLN","Sort=A","Dates=H","DateFormat=P","Fill=—","Direction=H","UseDPDF=Y")</f>
        <v>0</v>
      </c>
      <c r="V29" s="13">
        <f>_xll.BDH("GILD US Equity","EXTRAORD_ITEMS_ACCOUNTING_CHANGS","FQ1 2024","FQ1 2024","Currency=USD","Period=FQ","BEST_FPERIOD_OVERRIDE=FQ","FILING_STATUS=MR","SCALING_FORMAT=MLN","Sort=A","Dates=H","DateFormat=P","Fill=—","Direction=H","UseDPDF=Y")</f>
        <v>0</v>
      </c>
      <c r="W29" s="13">
        <f>_xll.BDH("GILD US Equity","EXTRAORD_ITEMS_ACCOUNTING_CHANGS","FQ2 2024","FQ2 2024","Currency=USD","Period=FQ","BEST_FPERIOD_OVERRIDE=FQ","FILING_STATUS=MR","SCALING_FORMAT=MLN","Sort=A","Dates=H","DateFormat=P","Fill=—","Direction=H","UseDPDF=Y")</f>
        <v>0</v>
      </c>
      <c r="X29" s="13">
        <f>_xll.BDH("GILD US Equity","EXTRAORD_ITEMS_ACCOUNTING_CHANGS","FQ3 2024","FQ3 2024","Currency=USD","Period=FQ","BEST_FPERIOD_OVERRIDE=FQ","FILING_STATUS=MR","SCALING_FORMAT=MLN","Sort=A","Dates=H","DateFormat=P","Fill=—","Direction=H","UseDPDF=Y")</f>
        <v>0</v>
      </c>
      <c r="Y29" s="13">
        <f>_xll.BDH("GILD US Equity","EXTRAORD_ITEMS_ACCOUNTING_CHANGS","FQ4 2024","FQ4 2024","Currency=USD","Period=FQ","BEST_FPERIOD_OVERRIDE=FQ","FILING_STATUS=MR","SCALING_FORMAT=MLN","Sort=A","Dates=H","DateFormat=P","Fill=—","Direction=H","UseDPDF=Y")</f>
        <v>0</v>
      </c>
      <c r="Z29" s="13"/>
      <c r="AA29" s="13"/>
    </row>
    <row r="30" spans="1:27" x14ac:dyDescent="0.25">
      <c r="A30" s="6" t="s">
        <v>372</v>
      </c>
      <c r="B30" s="6" t="s">
        <v>373</v>
      </c>
      <c r="C30" s="19">
        <f>_xll.BDH("GILD US Equity","NI_INCLUDING_MINORITY_INT_RATIO","FQ2 2019","FQ2 2019","Currency=USD","Period=FQ","BEST_FPERIOD_OVERRIDE=FQ","FILING_STATUS=MR","SCALING_FORMAT=MLN","FA_ADJUSTED=GAAP","Sort=A","Dates=H","DateFormat=P","Fill=—","Direction=H","UseDPDF=Y")</f>
        <v>1875</v>
      </c>
      <c r="D30" s="19">
        <f>_xll.BDH("GILD US Equity","NI_INCLUDING_MINORITY_INT_RATIO","FQ3 2019","FQ3 2019","Currency=USD","Period=FQ","BEST_FPERIOD_OVERRIDE=FQ","FILING_STATUS=MR","SCALING_FORMAT=MLN","FA_ADJUSTED=GAAP","Sort=A","Dates=H","DateFormat=P","Fill=—","Direction=H","UseDPDF=Y")</f>
        <v>-1168</v>
      </c>
      <c r="E30" s="19">
        <f>_xll.BDH("GILD US Equity","NI_INCLUDING_MINORITY_INT_RATIO","FQ4 2019","FQ4 2019","Currency=USD","Period=FQ","BEST_FPERIOD_OVERRIDE=FQ","FILING_STATUS=MR","SCALING_FORMAT=MLN","FA_ADJUSTED=GAAP","Sort=A","Dates=H","DateFormat=P","Fill=—","Direction=H","UseDPDF=Y")</f>
        <v>2689</v>
      </c>
      <c r="F30" s="19">
        <f>_xll.BDH("GILD US Equity","NI_INCLUDING_MINORITY_INT_RATIO","FQ1 2020","FQ1 2020","Currency=USD","Period=FQ","BEST_FPERIOD_OVERRIDE=FQ","FILING_STATUS=MR","SCALING_FORMAT=MLN","FA_ADJUSTED=GAAP","Sort=A","Dates=H","DateFormat=P","Fill=—","Direction=H","UseDPDF=Y")</f>
        <v>1538</v>
      </c>
      <c r="G30" s="19">
        <f>_xll.BDH("GILD US Equity","NI_INCLUDING_MINORITY_INT_RATIO","FQ2 2020","FQ2 2020","Currency=USD","Period=FQ","BEST_FPERIOD_OVERRIDE=FQ","FILING_STATUS=MR","SCALING_FORMAT=MLN","FA_ADJUSTED=GAAP","Sort=A","Dates=H","DateFormat=P","Fill=—","Direction=H","UseDPDF=Y")</f>
        <v>-3346</v>
      </c>
      <c r="H30" s="19">
        <f>_xll.BDH("GILD US Equity","NI_INCLUDING_MINORITY_INT_RATIO","FQ3 2020","FQ3 2020","Currency=USD","Period=FQ","BEST_FPERIOD_OVERRIDE=FQ","FILING_STATUS=MR","SCALING_FORMAT=MLN","FA_ADJUSTED=GAAP","Sort=A","Dates=H","DateFormat=P","Fill=—","Direction=H","UseDPDF=Y")</f>
        <v>353</v>
      </c>
      <c r="I30" s="19">
        <f>_xll.BDH("GILD US Equity","NI_INCLUDING_MINORITY_INT_RATIO","FQ4 2020","FQ4 2020","Currency=USD","Period=FQ","BEST_FPERIOD_OVERRIDE=FQ","FILING_STATUS=MR","SCALING_FORMAT=MLN","FA_ADJUSTED=GAAP","Sort=A","Dates=H","DateFormat=P","Fill=—","Direction=H","UseDPDF=Y")</f>
        <v>1544</v>
      </c>
      <c r="J30" s="19">
        <f>_xll.BDH("GILD US Equity","NI_INCLUDING_MINORITY_INT_RATIO","FQ1 2021","FQ1 2021","Currency=USD","Period=FQ","BEST_FPERIOD_OVERRIDE=FQ","FILING_STATUS=MR","SCALING_FORMAT=MLN","FA_ADJUSTED=GAAP","Sort=A","Dates=H","DateFormat=P","Fill=—","Direction=H","UseDPDF=Y")</f>
        <v>1722</v>
      </c>
      <c r="K30" s="19">
        <f>_xll.BDH("GILD US Equity","NI_INCLUDING_MINORITY_INT_RATIO","FQ2 2021","FQ2 2021","Currency=USD","Period=FQ","BEST_FPERIOD_OVERRIDE=FQ","FILING_STATUS=MR","SCALING_FORMAT=MLN","FA_ADJUSTED=GAAP","Sort=A","Dates=H","DateFormat=P","Fill=—","Direction=H","UseDPDF=Y")</f>
        <v>1517</v>
      </c>
      <c r="L30" s="19">
        <f>_xll.BDH("GILD US Equity","NI_INCLUDING_MINORITY_INT_RATIO","FQ3 2021","FQ3 2021","Currency=USD","Period=FQ","BEST_FPERIOD_OVERRIDE=FQ","FILING_STATUS=MR","SCALING_FORMAT=MLN","FA_ADJUSTED=GAAP","Sort=A","Dates=H","DateFormat=P","Fill=—","Direction=H","UseDPDF=Y")</f>
        <v>2586</v>
      </c>
      <c r="M30" s="19">
        <f>_xll.BDH("GILD US Equity","NI_INCLUDING_MINORITY_INT_RATIO","FQ4 2021","FQ4 2021","Currency=USD","Period=FQ","BEST_FPERIOD_OVERRIDE=FQ","FILING_STATUS=MR","SCALING_FORMAT=MLN","FA_ADJUSTED=GAAP","Sort=A","Dates=H","DateFormat=P","Fill=—","Direction=H","UseDPDF=Y")</f>
        <v>376</v>
      </c>
      <c r="N30" s="19">
        <f>_xll.BDH("GILD US Equity","NI_INCLUDING_MINORITY_INT_RATIO","FQ1 2022","FQ1 2022","Currency=USD","Period=FQ","BEST_FPERIOD_OVERRIDE=FQ","FILING_STATUS=MR","SCALING_FORMAT=MLN","FA_ADJUSTED=GAAP","Sort=A","Dates=H","DateFormat=P","Fill=—","Direction=H","UseDPDF=Y")</f>
        <v>12</v>
      </c>
      <c r="O30" s="19">
        <f>_xll.BDH("GILD US Equity","NI_INCLUDING_MINORITY_INT_RATIO","FQ2 2022","FQ2 2022","Currency=USD","Period=FQ","BEST_FPERIOD_OVERRIDE=FQ","FILING_STATUS=MR","SCALING_FORMAT=MLN","FA_ADJUSTED=GAAP","Sort=A","Dates=H","DateFormat=P","Fill=—","Direction=H","UseDPDF=Y")</f>
        <v>1135</v>
      </c>
      <c r="P30" s="19">
        <f>_xll.BDH("GILD US Equity","NI_INCLUDING_MINORITY_INT_RATIO","FQ3 2022","FQ3 2022","Currency=USD","Period=FQ","BEST_FPERIOD_OVERRIDE=FQ","FILING_STATUS=MR","SCALING_FORMAT=MLN","FA_ADJUSTED=GAAP","Sort=A","Dates=H","DateFormat=P","Fill=—","Direction=H","UseDPDF=Y")</f>
        <v>1786</v>
      </c>
      <c r="Q30" s="19">
        <f>_xll.BDH("GILD US Equity","NI_INCLUDING_MINORITY_INT_RATIO","FQ4 2022","FQ4 2022","Currency=USD","Period=FQ","BEST_FPERIOD_OVERRIDE=FQ","FILING_STATUS=MR","SCALING_FORMAT=MLN","FA_ADJUSTED=GAAP","Sort=A","Dates=H","DateFormat=P","Fill=—","Direction=H","UseDPDF=Y")</f>
        <v>1633</v>
      </c>
      <c r="R30" s="19">
        <f>_xll.BDH("GILD US Equity","NI_INCLUDING_MINORITY_INT_RATIO","FQ1 2023","FQ1 2023","Currency=USD","Period=FQ","BEST_FPERIOD_OVERRIDE=FQ","FILING_STATUS=MR","SCALING_FORMAT=MLN","FA_ADJUSTED=GAAP","Sort=A","Dates=H","DateFormat=P","Fill=—","Direction=H","UseDPDF=Y")</f>
        <v>984</v>
      </c>
      <c r="S30" s="19">
        <f>_xll.BDH("GILD US Equity","NI_INCLUDING_MINORITY_INT_RATIO","FQ2 2023","FQ2 2023","Currency=USD","Period=FQ","BEST_FPERIOD_OVERRIDE=FQ","FILING_STATUS=MR","SCALING_FORMAT=MLN","FA_ADJUSTED=GAAP","Sort=A","Dates=H","DateFormat=P","Fill=—","Direction=H","UseDPDF=Y")</f>
        <v>1039</v>
      </c>
      <c r="T30" s="19">
        <f>_xll.BDH("GILD US Equity","NI_INCLUDING_MINORITY_INT_RATIO","FQ3 2023","FQ3 2023","Currency=USD","Period=FQ","BEST_FPERIOD_OVERRIDE=FQ","FILING_STATUS=MR","SCALING_FORMAT=MLN","FA_ADJUSTED=GAAP","Sort=A","Dates=H","DateFormat=P","Fill=—","Direction=H","UseDPDF=Y")</f>
        <v>2173</v>
      </c>
      <c r="U30" s="19">
        <f>_xll.BDH("GILD US Equity","NI_INCLUDING_MINORITY_INT_RATIO","FQ4 2023","FQ4 2023","Currency=USD","Period=FQ","BEST_FPERIOD_OVERRIDE=FQ","FILING_STATUS=MR","SCALING_FORMAT=MLN","FA_ADJUSTED=GAAP","Sort=A","Dates=H","DateFormat=P","Fill=—","Direction=H","UseDPDF=Y")</f>
        <v>1417</v>
      </c>
      <c r="V30" s="19">
        <f>_xll.BDH("GILD US Equity","NI_INCLUDING_MINORITY_INT_RATIO","FQ1 2024","FQ1 2024","Currency=USD","Period=FQ","BEST_FPERIOD_OVERRIDE=FQ","FILING_STATUS=MR","SCALING_FORMAT=MLN","FA_ADJUSTED=GAAP","Sort=A","Dates=H","DateFormat=P","Fill=—","Direction=H","UseDPDF=Y")</f>
        <v>-4170</v>
      </c>
      <c r="W30" s="19">
        <f>_xll.BDH("GILD US Equity","NI_INCLUDING_MINORITY_INT_RATIO","FQ2 2024","FQ2 2024","Currency=USD","Period=FQ","BEST_FPERIOD_OVERRIDE=FQ","FILING_STATUS=MR","SCALING_FORMAT=MLN","FA_ADJUSTED=GAAP","Sort=A","Dates=H","DateFormat=P","Fill=—","Direction=H","UseDPDF=Y")</f>
        <v>1614</v>
      </c>
      <c r="X30" s="19">
        <f>_xll.BDH("GILD US Equity","NI_INCLUDING_MINORITY_INT_RATIO","FQ3 2024","FQ3 2024","Currency=USD","Period=FQ","BEST_FPERIOD_OVERRIDE=FQ","FILING_STATUS=MR","SCALING_FORMAT=MLN","FA_ADJUSTED=GAAP","Sort=A","Dates=H","DateFormat=P","Fill=—","Direction=H","UseDPDF=Y")</f>
        <v>1253</v>
      </c>
      <c r="Y30" s="19">
        <f>_xll.BDH("GILD US Equity","NI_INCLUDING_MINORITY_INT_RATIO","FQ4 2024","FQ4 2024","Currency=USD","Period=FQ","BEST_FPERIOD_OVERRIDE=FQ","FILING_STATUS=MR","SCALING_FORMAT=MLN","FA_ADJUSTED=GAAP","Sort=A","Dates=H","DateFormat=P","Fill=—","Direction=H","UseDPDF=Y")</f>
        <v>1783</v>
      </c>
      <c r="Z30" s="19"/>
      <c r="AA30" s="19"/>
    </row>
    <row r="31" spans="1:27" x14ac:dyDescent="0.25">
      <c r="A31" s="10" t="s">
        <v>374</v>
      </c>
      <c r="B31" s="10" t="s">
        <v>375</v>
      </c>
      <c r="C31" s="13">
        <f>_xll.BDH("GILD US Equity","MIN_NONCONTROL_INTEREST_CREDITS","FQ2 2019","FQ2 2019","Currency=USD","Period=FQ","BEST_FPERIOD_OVERRIDE=FQ","FILING_STATUS=MR","SCALING_FORMAT=MLN","FA_ADJUSTED=GAAP","Sort=A","Dates=H","DateFormat=P","Fill=—","Direction=H","UseDPDF=Y")</f>
        <v>-5</v>
      </c>
      <c r="D31" s="13">
        <f>_xll.BDH("GILD US Equity","MIN_NONCONTROL_INTEREST_CREDITS","FQ3 2019","FQ3 2019","Currency=USD","Period=FQ","BEST_FPERIOD_OVERRIDE=FQ","FILING_STATUS=MR","SCALING_FORMAT=MLN","FA_ADJUSTED=GAAP","Sort=A","Dates=H","DateFormat=P","Fill=—","Direction=H","UseDPDF=Y")</f>
        <v>-3</v>
      </c>
      <c r="E31" s="13">
        <f>_xll.BDH("GILD US Equity","MIN_NONCONTROL_INTEREST_CREDITS","FQ4 2019","FQ4 2019","Currency=USD","Period=FQ","BEST_FPERIOD_OVERRIDE=FQ","FILING_STATUS=MR","SCALING_FORMAT=MLN","FA_ADJUSTED=GAAP","Sort=A","Dates=H","DateFormat=P","Fill=—","Direction=H","UseDPDF=Y")</f>
        <v>-7</v>
      </c>
      <c r="F31" s="13">
        <f>_xll.BDH("GILD US Equity","MIN_NONCONTROL_INTEREST_CREDITS","FQ1 2020","FQ1 2020","Currency=USD","Period=FQ","BEST_FPERIOD_OVERRIDE=FQ","FILING_STATUS=MR","SCALING_FORMAT=MLN","FA_ADJUSTED=GAAP","Sort=A","Dates=H","DateFormat=P","Fill=—","Direction=H","UseDPDF=Y")</f>
        <v>-13</v>
      </c>
      <c r="G31" s="13">
        <f>_xll.BDH("GILD US Equity","MIN_NONCONTROL_INTEREST_CREDITS","FQ2 2020","FQ2 2020","Currency=USD","Period=FQ","BEST_FPERIOD_OVERRIDE=FQ","FILING_STATUS=MR","SCALING_FORMAT=MLN","FA_ADJUSTED=GAAP","Sort=A","Dates=H","DateFormat=P","Fill=—","Direction=H","UseDPDF=Y")</f>
        <v>-7</v>
      </c>
      <c r="H31" s="13">
        <f>_xll.BDH("GILD US Equity","MIN_NONCONTROL_INTEREST_CREDITS","FQ3 2020","FQ3 2020","Currency=USD","Period=FQ","BEST_FPERIOD_OVERRIDE=FQ","FILING_STATUS=MR","SCALING_FORMAT=MLN","FA_ADJUSTED=GAAP","Sort=A","Dates=H","DateFormat=P","Fill=—","Direction=H","UseDPDF=Y")</f>
        <v>-7</v>
      </c>
      <c r="I31" s="13">
        <f>_xll.BDH("GILD US Equity","MIN_NONCONTROL_INTEREST_CREDITS","FQ4 2020","FQ4 2020","Currency=USD","Period=FQ","BEST_FPERIOD_OVERRIDE=FQ","FILING_STATUS=MR","SCALING_FORMAT=MLN","FA_ADJUSTED=GAAP","Sort=A","Dates=H","DateFormat=P","Fill=—","Direction=H","UseDPDF=Y")</f>
        <v>-7</v>
      </c>
      <c r="J31" s="13">
        <f>_xll.BDH("GILD US Equity","MIN_NONCONTROL_INTEREST_CREDITS","FQ1 2021","FQ1 2021","Currency=USD","Period=FQ","BEST_FPERIOD_OVERRIDE=FQ","FILING_STATUS=MR","SCALING_FORMAT=MLN","FA_ADJUSTED=GAAP","Sort=A","Dates=H","DateFormat=P","Fill=—","Direction=H","UseDPDF=Y")</f>
        <v>-7</v>
      </c>
      <c r="K31" s="13">
        <f>_xll.BDH("GILD US Equity","MIN_NONCONTROL_INTEREST_CREDITS","FQ2 2021","FQ2 2021","Currency=USD","Period=FQ","BEST_FPERIOD_OVERRIDE=FQ","FILING_STATUS=MR","SCALING_FORMAT=MLN","FA_ADJUSTED=GAAP","Sort=A","Dates=H","DateFormat=P","Fill=—","Direction=H","UseDPDF=Y")</f>
        <v>-5</v>
      </c>
      <c r="L31" s="13">
        <f>_xll.BDH("GILD US Equity","MIN_NONCONTROL_INTEREST_CREDITS","FQ3 2021","FQ3 2021","Currency=USD","Period=FQ","BEST_FPERIOD_OVERRIDE=FQ","FILING_STATUS=MR","SCALING_FORMAT=MLN","FA_ADJUSTED=GAAP","Sort=A","Dates=H","DateFormat=P","Fill=—","Direction=H","UseDPDF=Y")</f>
        <v>-6</v>
      </c>
      <c r="M31" s="13">
        <f>_xll.BDH("GILD US Equity","MIN_NONCONTROL_INTEREST_CREDITS","FQ4 2021","FQ4 2021","Currency=USD","Period=FQ","BEST_FPERIOD_OVERRIDE=FQ","FILING_STATUS=MR","SCALING_FORMAT=MLN","FA_ADJUSTED=GAAP","Sort=A","Dates=H","DateFormat=P","Fill=—","Direction=H","UseDPDF=Y")</f>
        <v>-6</v>
      </c>
      <c r="N31" s="13">
        <f>_xll.BDH("GILD US Equity","MIN_NONCONTROL_INTEREST_CREDITS","FQ1 2022","FQ1 2022","Currency=USD","Period=FQ","BEST_FPERIOD_OVERRIDE=FQ","FILING_STATUS=MR","SCALING_FORMAT=MLN","FA_ADJUSTED=GAAP","Sort=A","Dates=H","DateFormat=P","Fill=—","Direction=H","UseDPDF=Y")</f>
        <v>-7</v>
      </c>
      <c r="O31" s="13">
        <f>_xll.BDH("GILD US Equity","MIN_NONCONTROL_INTEREST_CREDITS","FQ2 2022","FQ2 2022","Currency=USD","Period=FQ","BEST_FPERIOD_OVERRIDE=FQ","FILING_STATUS=MR","SCALING_FORMAT=MLN","FA_ADJUSTED=GAAP","Sort=A","Dates=H","DateFormat=P","Fill=—","Direction=H","UseDPDF=Y")</f>
        <v>-9</v>
      </c>
      <c r="P31" s="13">
        <f>_xll.BDH("GILD US Equity","MIN_NONCONTROL_INTEREST_CREDITS","FQ3 2022","FQ3 2022","Currency=USD","Period=FQ","BEST_FPERIOD_OVERRIDE=FQ","FILING_STATUS=MR","SCALING_FORMAT=MLN","FA_ADJUSTED=GAAP","Sort=A","Dates=H","DateFormat=P","Fill=—","Direction=H","UseDPDF=Y")</f>
        <v>-3</v>
      </c>
      <c r="Q31" s="13">
        <f>_xll.BDH("GILD US Equity","MIN_NONCONTROL_INTEREST_CREDITS","FQ4 2022","FQ4 2022","Currency=USD","Period=FQ","BEST_FPERIOD_OVERRIDE=FQ","FILING_STATUS=MR","SCALING_FORMAT=MLN","FA_ADJUSTED=GAAP","Sort=A","Dates=H","DateFormat=P","Fill=—","Direction=H","UseDPDF=Y")</f>
        <v>-7</v>
      </c>
      <c r="R31" s="13">
        <f>_xll.BDH("GILD US Equity","MIN_NONCONTROL_INTEREST_CREDITS","FQ1 2023","FQ1 2023","Currency=USD","Period=FQ","BEST_FPERIOD_OVERRIDE=FQ","FILING_STATUS=MR","SCALING_FORMAT=MLN","FA_ADJUSTED=GAAP","Sort=A","Dates=H","DateFormat=P","Fill=—","Direction=H","UseDPDF=Y")</f>
        <v>-26</v>
      </c>
      <c r="S31" s="13">
        <f>_xll.BDH("GILD US Equity","MIN_NONCONTROL_INTEREST_CREDITS","FQ2 2023","FQ2 2023","Currency=USD","Period=FQ","BEST_FPERIOD_OVERRIDE=FQ","FILING_STATUS=MR","SCALING_FORMAT=MLN","FA_ADJUSTED=GAAP","Sort=A","Dates=H","DateFormat=P","Fill=—","Direction=H","UseDPDF=Y")</f>
        <v>-6</v>
      </c>
      <c r="T31" s="13">
        <f>_xll.BDH("GILD US Equity","MIN_NONCONTROL_INTEREST_CREDITS","FQ3 2023","FQ3 2023","Currency=USD","Period=FQ","BEST_FPERIOD_OVERRIDE=FQ","FILING_STATUS=MR","SCALING_FORMAT=MLN","FA_ADJUSTED=GAAP","Sort=A","Dates=H","DateFormat=P","Fill=—","Direction=H","UseDPDF=Y")</f>
        <v>-8</v>
      </c>
      <c r="U31" s="13">
        <f>_xll.BDH("GILD US Equity","MIN_NONCONTROL_INTEREST_CREDITS","FQ4 2023","FQ4 2023","Currency=USD","Period=FQ","BEST_FPERIOD_OVERRIDE=FQ","FILING_STATUS=MR","SCALING_FORMAT=MLN","FA_ADJUSTED=GAAP","Sort=A","Dates=H","DateFormat=P","Fill=—","Direction=H","UseDPDF=Y")</f>
        <v>-12</v>
      </c>
      <c r="V31" s="13">
        <f>_xll.BDH("GILD US Equity","MIN_NONCONTROL_INTEREST_CREDITS","FQ1 2024","FQ1 2024","Currency=USD","Period=FQ","BEST_FPERIOD_OVERRIDE=FQ","FILING_STATUS=MR","SCALING_FORMAT=MLN","FA_ADJUSTED=GAAP","Sort=A","Dates=H","DateFormat=P","Fill=—","Direction=H","UseDPDF=Y")</f>
        <v>0</v>
      </c>
      <c r="W31" s="13">
        <f>_xll.BDH("GILD US Equity","MIN_NONCONTROL_INTEREST_CREDITS","FQ2 2024","FQ2 2024","Currency=USD","Period=FQ","BEST_FPERIOD_OVERRIDE=FQ","FILING_STATUS=MR","SCALING_FORMAT=MLN","FA_ADJUSTED=GAAP","Sort=A","Dates=H","DateFormat=P","Fill=—","Direction=H","UseDPDF=Y")</f>
        <v>0</v>
      </c>
      <c r="X31" s="13">
        <f>_xll.BDH("GILD US Equity","MIN_NONCONTROL_INTEREST_CREDITS","FQ3 2024","FQ3 2024","Currency=USD","Period=FQ","BEST_FPERIOD_OVERRIDE=FQ","FILING_STATUS=MR","SCALING_FORMAT=MLN","FA_ADJUSTED=GAAP","Sort=A","Dates=H","DateFormat=P","Fill=—","Direction=H","UseDPDF=Y")</f>
        <v>0</v>
      </c>
      <c r="Y31" s="13">
        <f>_xll.BDH("GILD US Equity","MIN_NONCONTROL_INTEREST_CREDITS","FQ4 2024","FQ4 2024","Currency=USD","Period=FQ","BEST_FPERIOD_OVERRIDE=FQ","FILING_STATUS=MR","SCALING_FORMAT=MLN","FA_ADJUSTED=GAAP","Sort=A","Dates=H","DateFormat=P","Fill=—","Direction=H","UseDPDF=Y")</f>
        <v>0</v>
      </c>
      <c r="Z31" s="13"/>
      <c r="AA31" s="13"/>
    </row>
    <row r="32" spans="1:27" x14ac:dyDescent="0.25">
      <c r="A32" s="6" t="s">
        <v>376</v>
      </c>
      <c r="B32" s="6" t="s">
        <v>377</v>
      </c>
      <c r="C32" s="19">
        <f>_xll.BDH("GILD US Equity","NET_INCOME","FQ2 2019","FQ2 2019","Currency=USD","Period=FQ","BEST_FPERIOD_OVERRIDE=FQ","FILING_STATUS=MR","SCALING_FORMAT=MLN","FA_ADJUSTED=GAAP","Sort=A","Dates=H","DateFormat=P","Fill=—","Direction=H","UseDPDF=Y")</f>
        <v>1880</v>
      </c>
      <c r="D32" s="19">
        <f>_xll.BDH("GILD US Equity","NET_INCOME","FQ3 2019","FQ3 2019","Currency=USD","Period=FQ","BEST_FPERIOD_OVERRIDE=FQ","FILING_STATUS=MR","SCALING_FORMAT=MLN","FA_ADJUSTED=GAAP","Sort=A","Dates=H","DateFormat=P","Fill=—","Direction=H","UseDPDF=Y")</f>
        <v>-1165</v>
      </c>
      <c r="E32" s="19">
        <f>_xll.BDH("GILD US Equity","NET_INCOME","FQ4 2019","FQ4 2019","Currency=USD","Period=FQ","BEST_FPERIOD_OVERRIDE=FQ","FILING_STATUS=MR","SCALING_FORMAT=MLN","FA_ADJUSTED=GAAP","Sort=A","Dates=H","DateFormat=P","Fill=—","Direction=H","UseDPDF=Y")</f>
        <v>2696</v>
      </c>
      <c r="F32" s="19">
        <f>_xll.BDH("GILD US Equity","NET_INCOME","FQ1 2020","FQ1 2020","Currency=USD","Period=FQ","BEST_FPERIOD_OVERRIDE=FQ","FILING_STATUS=MR","SCALING_FORMAT=MLN","FA_ADJUSTED=GAAP","Sort=A","Dates=H","DateFormat=P","Fill=—","Direction=H","UseDPDF=Y")</f>
        <v>1551</v>
      </c>
      <c r="G32" s="19">
        <f>_xll.BDH("GILD US Equity","NET_INCOME","FQ2 2020","FQ2 2020","Currency=USD","Period=FQ","BEST_FPERIOD_OVERRIDE=FQ","FILING_STATUS=MR","SCALING_FORMAT=MLN","FA_ADJUSTED=GAAP","Sort=A","Dates=H","DateFormat=P","Fill=—","Direction=H","UseDPDF=Y")</f>
        <v>-3339</v>
      </c>
      <c r="H32" s="19">
        <f>_xll.BDH("GILD US Equity","NET_INCOME","FQ3 2020","FQ3 2020","Currency=USD","Period=FQ","BEST_FPERIOD_OVERRIDE=FQ","FILING_STATUS=MR","SCALING_FORMAT=MLN","FA_ADJUSTED=GAAP","Sort=A","Dates=H","DateFormat=P","Fill=—","Direction=H","UseDPDF=Y")</f>
        <v>360</v>
      </c>
      <c r="I32" s="19">
        <f>_xll.BDH("GILD US Equity","NET_INCOME","FQ4 2020","FQ4 2020","Currency=USD","Period=FQ","BEST_FPERIOD_OVERRIDE=FQ","FILING_STATUS=MR","SCALING_FORMAT=MLN","FA_ADJUSTED=GAAP","Sort=A","Dates=H","DateFormat=P","Fill=—","Direction=H","UseDPDF=Y")</f>
        <v>1551</v>
      </c>
      <c r="J32" s="19">
        <f>_xll.BDH("GILD US Equity","NET_INCOME","FQ1 2021","FQ1 2021","Currency=USD","Period=FQ","BEST_FPERIOD_OVERRIDE=FQ","FILING_STATUS=MR","SCALING_FORMAT=MLN","FA_ADJUSTED=GAAP","Sort=A","Dates=H","DateFormat=P","Fill=—","Direction=H","UseDPDF=Y")</f>
        <v>1729</v>
      </c>
      <c r="K32" s="19">
        <f>_xll.BDH("GILD US Equity","NET_INCOME","FQ2 2021","FQ2 2021","Currency=USD","Period=FQ","BEST_FPERIOD_OVERRIDE=FQ","FILING_STATUS=MR","SCALING_FORMAT=MLN","FA_ADJUSTED=GAAP","Sort=A","Dates=H","DateFormat=P","Fill=—","Direction=H","UseDPDF=Y")</f>
        <v>1522</v>
      </c>
      <c r="L32" s="19">
        <f>_xll.BDH("GILD US Equity","NET_INCOME","FQ3 2021","FQ3 2021","Currency=USD","Period=FQ","BEST_FPERIOD_OVERRIDE=FQ","FILING_STATUS=MR","SCALING_FORMAT=MLN","FA_ADJUSTED=GAAP","Sort=A","Dates=H","DateFormat=P","Fill=—","Direction=H","UseDPDF=Y")</f>
        <v>2592</v>
      </c>
      <c r="M32" s="19">
        <f>_xll.BDH("GILD US Equity","NET_INCOME","FQ4 2021","FQ4 2021","Currency=USD","Period=FQ","BEST_FPERIOD_OVERRIDE=FQ","FILING_STATUS=MR","SCALING_FORMAT=MLN","FA_ADJUSTED=GAAP","Sort=A","Dates=H","DateFormat=P","Fill=—","Direction=H","UseDPDF=Y")</f>
        <v>382</v>
      </c>
      <c r="N32" s="19">
        <f>_xll.BDH("GILD US Equity","NET_INCOME","FQ1 2022","FQ1 2022","Currency=USD","Period=FQ","BEST_FPERIOD_OVERRIDE=FQ","FILING_STATUS=MR","SCALING_FORMAT=MLN","FA_ADJUSTED=GAAP","Sort=A","Dates=H","DateFormat=P","Fill=—","Direction=H","UseDPDF=Y")</f>
        <v>19</v>
      </c>
      <c r="O32" s="19">
        <f>_xll.BDH("GILD US Equity","NET_INCOME","FQ2 2022","FQ2 2022","Currency=USD","Period=FQ","BEST_FPERIOD_OVERRIDE=FQ","FILING_STATUS=MR","SCALING_FORMAT=MLN","FA_ADJUSTED=GAAP","Sort=A","Dates=H","DateFormat=P","Fill=—","Direction=H","UseDPDF=Y")</f>
        <v>1144</v>
      </c>
      <c r="P32" s="19">
        <f>_xll.BDH("GILD US Equity","NET_INCOME","FQ3 2022","FQ3 2022","Currency=USD","Period=FQ","BEST_FPERIOD_OVERRIDE=FQ","FILING_STATUS=MR","SCALING_FORMAT=MLN","FA_ADJUSTED=GAAP","Sort=A","Dates=H","DateFormat=P","Fill=—","Direction=H","UseDPDF=Y")</f>
        <v>1789</v>
      </c>
      <c r="Q32" s="19">
        <f>_xll.BDH("GILD US Equity","NET_INCOME","FQ4 2022","FQ4 2022","Currency=USD","Period=FQ","BEST_FPERIOD_OVERRIDE=FQ","FILING_STATUS=MR","SCALING_FORMAT=MLN","FA_ADJUSTED=GAAP","Sort=A","Dates=H","DateFormat=P","Fill=—","Direction=H","UseDPDF=Y")</f>
        <v>1640</v>
      </c>
      <c r="R32" s="19">
        <f>_xll.BDH("GILD US Equity","NET_INCOME","FQ1 2023","FQ1 2023","Currency=USD","Period=FQ","BEST_FPERIOD_OVERRIDE=FQ","FILING_STATUS=MR","SCALING_FORMAT=MLN","FA_ADJUSTED=GAAP","Sort=A","Dates=H","DateFormat=P","Fill=—","Direction=H","UseDPDF=Y")</f>
        <v>1010</v>
      </c>
      <c r="S32" s="19">
        <f>_xll.BDH("GILD US Equity","NET_INCOME","FQ2 2023","FQ2 2023","Currency=USD","Period=FQ","BEST_FPERIOD_OVERRIDE=FQ","FILING_STATUS=MR","SCALING_FORMAT=MLN","FA_ADJUSTED=GAAP","Sort=A","Dates=H","DateFormat=P","Fill=—","Direction=H","UseDPDF=Y")</f>
        <v>1045</v>
      </c>
      <c r="T32" s="19">
        <f>_xll.BDH("GILD US Equity","NET_INCOME","FQ3 2023","FQ3 2023","Currency=USD","Period=FQ","BEST_FPERIOD_OVERRIDE=FQ","FILING_STATUS=MR","SCALING_FORMAT=MLN","FA_ADJUSTED=GAAP","Sort=A","Dates=H","DateFormat=P","Fill=—","Direction=H","UseDPDF=Y")</f>
        <v>2180</v>
      </c>
      <c r="U32" s="19">
        <f>_xll.BDH("GILD US Equity","NET_INCOME","FQ4 2023","FQ4 2023","Currency=USD","Period=FQ","BEST_FPERIOD_OVERRIDE=FQ","FILING_STATUS=MR","SCALING_FORMAT=MLN","FA_ADJUSTED=GAAP","Sort=A","Dates=H","DateFormat=P","Fill=—","Direction=H","UseDPDF=Y")</f>
        <v>1429</v>
      </c>
      <c r="V32" s="19">
        <f>_xll.BDH("GILD US Equity","NET_INCOME","FQ1 2024","FQ1 2024","Currency=USD","Period=FQ","BEST_FPERIOD_OVERRIDE=FQ","FILING_STATUS=MR","SCALING_FORMAT=MLN","FA_ADJUSTED=GAAP","Sort=A","Dates=H","DateFormat=P","Fill=—","Direction=H","UseDPDF=Y")</f>
        <v>-4170</v>
      </c>
      <c r="W32" s="19">
        <f>_xll.BDH("GILD US Equity","NET_INCOME","FQ2 2024","FQ2 2024","Currency=USD","Period=FQ","BEST_FPERIOD_OVERRIDE=FQ","FILING_STATUS=MR","SCALING_FORMAT=MLN","FA_ADJUSTED=GAAP","Sort=A","Dates=H","DateFormat=P","Fill=—","Direction=H","UseDPDF=Y")</f>
        <v>1614</v>
      </c>
      <c r="X32" s="19">
        <f>_xll.BDH("GILD US Equity","NET_INCOME","FQ3 2024","FQ3 2024","Currency=USD","Period=FQ","BEST_FPERIOD_OVERRIDE=FQ","FILING_STATUS=MR","SCALING_FORMAT=MLN","FA_ADJUSTED=GAAP","Sort=A","Dates=H","DateFormat=P","Fill=—","Direction=H","UseDPDF=Y")</f>
        <v>1253</v>
      </c>
      <c r="Y32" s="19">
        <f>_xll.BDH("GILD US Equity","NET_INCOME","FQ4 2024","FQ4 2024","Currency=USD","Period=FQ","BEST_FPERIOD_OVERRIDE=FQ","FILING_STATUS=MR","SCALING_FORMAT=MLN","FA_ADJUSTED=GAAP","Sort=A","Dates=H","DateFormat=P","Fill=—","Direction=H","UseDPDF=Y")</f>
        <v>1783</v>
      </c>
      <c r="Z32" s="19">
        <v>1619.538</v>
      </c>
      <c r="AA32" s="19">
        <v>1847.769</v>
      </c>
    </row>
    <row r="33" spans="1:27" x14ac:dyDescent="0.25">
      <c r="A33" s="10" t="s">
        <v>378</v>
      </c>
      <c r="B33" s="10" t="s">
        <v>379</v>
      </c>
      <c r="C33" s="13">
        <f>_xll.BDH("GILD US Equity","IS_TOT_CASH_PFD_DVD","FQ2 2019","FQ2 2019","Currency=USD","Period=FQ","BEST_FPERIOD_OVERRIDE=FQ","FILING_STATUS=MR","SCALING_FORMAT=MLN","Sort=A","Dates=H","DateFormat=P","Fill=—","Direction=H","UseDPDF=Y")</f>
        <v>0</v>
      </c>
      <c r="D33" s="13">
        <f>_xll.BDH("GILD US Equity","IS_TOT_CASH_PFD_DVD","FQ3 2019","FQ3 2019","Currency=USD","Period=FQ","BEST_FPERIOD_OVERRIDE=FQ","FILING_STATUS=MR","SCALING_FORMAT=MLN","Sort=A","Dates=H","DateFormat=P","Fill=—","Direction=H","UseDPDF=Y")</f>
        <v>0</v>
      </c>
      <c r="E33" s="13">
        <f>_xll.BDH("GILD US Equity","IS_TOT_CASH_PFD_DVD","FQ4 2019","FQ4 2019","Currency=USD","Period=FQ","BEST_FPERIOD_OVERRIDE=FQ","FILING_STATUS=MR","SCALING_FORMAT=MLN","Sort=A","Dates=H","DateFormat=P","Fill=—","Direction=H","UseDPDF=Y")</f>
        <v>0</v>
      </c>
      <c r="F33" s="13">
        <f>_xll.BDH("GILD US Equity","IS_TOT_CASH_PFD_DVD","FQ1 2020","FQ1 2020","Currency=USD","Period=FQ","BEST_FPERIOD_OVERRIDE=FQ","FILING_STATUS=MR","SCALING_FORMAT=MLN","Sort=A","Dates=H","DateFormat=P","Fill=—","Direction=H","UseDPDF=Y")</f>
        <v>0</v>
      </c>
      <c r="G33" s="13">
        <f>_xll.BDH("GILD US Equity","IS_TOT_CASH_PFD_DVD","FQ2 2020","FQ2 2020","Currency=USD","Period=FQ","BEST_FPERIOD_OVERRIDE=FQ","FILING_STATUS=MR","SCALING_FORMAT=MLN","Sort=A","Dates=H","DateFormat=P","Fill=—","Direction=H","UseDPDF=Y")</f>
        <v>0</v>
      </c>
      <c r="H33" s="13">
        <f>_xll.BDH("GILD US Equity","IS_TOT_CASH_PFD_DVD","FQ3 2020","FQ3 2020","Currency=USD","Period=FQ","BEST_FPERIOD_OVERRIDE=FQ","FILING_STATUS=MR","SCALING_FORMAT=MLN","Sort=A","Dates=H","DateFormat=P","Fill=—","Direction=H","UseDPDF=Y")</f>
        <v>0</v>
      </c>
      <c r="I33" s="13">
        <f>_xll.BDH("GILD US Equity","IS_TOT_CASH_PFD_DVD","FQ4 2020","FQ4 2020","Currency=USD","Period=FQ","BEST_FPERIOD_OVERRIDE=FQ","FILING_STATUS=MR","SCALING_FORMAT=MLN","Sort=A","Dates=H","DateFormat=P","Fill=—","Direction=H","UseDPDF=Y")</f>
        <v>0</v>
      </c>
      <c r="J33" s="13">
        <f>_xll.BDH("GILD US Equity","IS_TOT_CASH_PFD_DVD","FQ1 2021","FQ1 2021","Currency=USD","Period=FQ","BEST_FPERIOD_OVERRIDE=FQ","FILING_STATUS=MR","SCALING_FORMAT=MLN","Sort=A","Dates=H","DateFormat=P","Fill=—","Direction=H","UseDPDF=Y")</f>
        <v>0</v>
      </c>
      <c r="K33" s="13">
        <f>_xll.BDH("GILD US Equity","IS_TOT_CASH_PFD_DVD","FQ2 2021","FQ2 2021","Currency=USD","Period=FQ","BEST_FPERIOD_OVERRIDE=FQ","FILING_STATUS=MR","SCALING_FORMAT=MLN","Sort=A","Dates=H","DateFormat=P","Fill=—","Direction=H","UseDPDF=Y")</f>
        <v>0</v>
      </c>
      <c r="L33" s="13">
        <f>_xll.BDH("GILD US Equity","IS_TOT_CASH_PFD_DVD","FQ3 2021","FQ3 2021","Currency=USD","Period=FQ","BEST_FPERIOD_OVERRIDE=FQ","FILING_STATUS=MR","SCALING_FORMAT=MLN","Sort=A","Dates=H","DateFormat=P","Fill=—","Direction=H","UseDPDF=Y")</f>
        <v>0</v>
      </c>
      <c r="M33" s="13">
        <f>_xll.BDH("GILD US Equity","IS_TOT_CASH_PFD_DVD","FQ4 2021","FQ4 2021","Currency=USD","Period=FQ","BEST_FPERIOD_OVERRIDE=FQ","FILING_STATUS=MR","SCALING_FORMAT=MLN","Sort=A","Dates=H","DateFormat=P","Fill=—","Direction=H","UseDPDF=Y")</f>
        <v>0</v>
      </c>
      <c r="N33" s="13">
        <f>_xll.BDH("GILD US Equity","IS_TOT_CASH_PFD_DVD","FQ1 2022","FQ1 2022","Currency=USD","Period=FQ","BEST_FPERIOD_OVERRIDE=FQ","FILING_STATUS=MR","SCALING_FORMAT=MLN","Sort=A","Dates=H","DateFormat=P","Fill=—","Direction=H","UseDPDF=Y")</f>
        <v>0</v>
      </c>
      <c r="O33" s="13">
        <f>_xll.BDH("GILD US Equity","IS_TOT_CASH_PFD_DVD","FQ2 2022","FQ2 2022","Currency=USD","Period=FQ","BEST_FPERIOD_OVERRIDE=FQ","FILING_STATUS=MR","SCALING_FORMAT=MLN","Sort=A","Dates=H","DateFormat=P","Fill=—","Direction=H","UseDPDF=Y")</f>
        <v>0</v>
      </c>
      <c r="P33" s="13">
        <f>_xll.BDH("GILD US Equity","IS_TOT_CASH_PFD_DVD","FQ3 2022","FQ3 2022","Currency=USD","Period=FQ","BEST_FPERIOD_OVERRIDE=FQ","FILING_STATUS=MR","SCALING_FORMAT=MLN","Sort=A","Dates=H","DateFormat=P","Fill=—","Direction=H","UseDPDF=Y")</f>
        <v>0</v>
      </c>
      <c r="Q33" s="13">
        <f>_xll.BDH("GILD US Equity","IS_TOT_CASH_PFD_DVD","FQ4 2022","FQ4 2022","Currency=USD","Period=FQ","BEST_FPERIOD_OVERRIDE=FQ","FILING_STATUS=MR","SCALING_FORMAT=MLN","Sort=A","Dates=H","DateFormat=P","Fill=—","Direction=H","UseDPDF=Y")</f>
        <v>0</v>
      </c>
      <c r="R33" s="13">
        <f>_xll.BDH("GILD US Equity","IS_TOT_CASH_PFD_DVD","FQ1 2023","FQ1 2023","Currency=USD","Period=FQ","BEST_FPERIOD_OVERRIDE=FQ","FILING_STATUS=MR","SCALING_FORMAT=MLN","Sort=A","Dates=H","DateFormat=P","Fill=—","Direction=H","UseDPDF=Y")</f>
        <v>0</v>
      </c>
      <c r="S33" s="13">
        <f>_xll.BDH("GILD US Equity","IS_TOT_CASH_PFD_DVD","FQ2 2023","FQ2 2023","Currency=USD","Period=FQ","BEST_FPERIOD_OVERRIDE=FQ","FILING_STATUS=MR","SCALING_FORMAT=MLN","Sort=A","Dates=H","DateFormat=P","Fill=—","Direction=H","UseDPDF=Y")</f>
        <v>0</v>
      </c>
      <c r="T33" s="13">
        <f>_xll.BDH("GILD US Equity","IS_TOT_CASH_PFD_DVD","FQ3 2023","FQ3 2023","Currency=USD","Period=FQ","BEST_FPERIOD_OVERRIDE=FQ","FILING_STATUS=MR","SCALING_FORMAT=MLN","Sort=A","Dates=H","DateFormat=P","Fill=—","Direction=H","UseDPDF=Y")</f>
        <v>0</v>
      </c>
      <c r="U33" s="13">
        <f>_xll.BDH("GILD US Equity","IS_TOT_CASH_PFD_DVD","FQ4 2023","FQ4 2023","Currency=USD","Period=FQ","BEST_FPERIOD_OVERRIDE=FQ","FILING_STATUS=MR","SCALING_FORMAT=MLN","Sort=A","Dates=H","DateFormat=P","Fill=—","Direction=H","UseDPDF=Y")</f>
        <v>0</v>
      </c>
      <c r="V33" s="13">
        <f>_xll.BDH("GILD US Equity","IS_TOT_CASH_PFD_DVD","FQ1 2024","FQ1 2024","Currency=USD","Period=FQ","BEST_FPERIOD_OVERRIDE=FQ","FILING_STATUS=MR","SCALING_FORMAT=MLN","Sort=A","Dates=H","DateFormat=P","Fill=—","Direction=H","UseDPDF=Y")</f>
        <v>0</v>
      </c>
      <c r="W33" s="13">
        <f>_xll.BDH("GILD US Equity","IS_TOT_CASH_PFD_DVD","FQ2 2024","FQ2 2024","Currency=USD","Period=FQ","BEST_FPERIOD_OVERRIDE=FQ","FILING_STATUS=MR","SCALING_FORMAT=MLN","Sort=A","Dates=H","DateFormat=P","Fill=—","Direction=H","UseDPDF=Y")</f>
        <v>0</v>
      </c>
      <c r="X33" s="13">
        <f>_xll.BDH("GILD US Equity","IS_TOT_CASH_PFD_DVD","FQ3 2024","FQ3 2024","Currency=USD","Period=FQ","BEST_FPERIOD_OVERRIDE=FQ","FILING_STATUS=MR","SCALING_FORMAT=MLN","Sort=A","Dates=H","DateFormat=P","Fill=—","Direction=H","UseDPDF=Y")</f>
        <v>0</v>
      </c>
      <c r="Y33" s="13">
        <f>_xll.BDH("GILD US Equity","IS_TOT_CASH_PFD_DVD","FQ4 2024","FQ4 2024","Currency=USD","Period=FQ","BEST_FPERIOD_OVERRIDE=FQ","FILING_STATUS=MR","SCALING_FORMAT=MLN","Sort=A","Dates=H","DateFormat=P","Fill=—","Direction=H","UseDPDF=Y")</f>
        <v>0</v>
      </c>
      <c r="Z33" s="13"/>
      <c r="AA33" s="13"/>
    </row>
    <row r="34" spans="1:27" x14ac:dyDescent="0.25">
      <c r="A34" s="10" t="s">
        <v>380</v>
      </c>
      <c r="B34" s="10" t="s">
        <v>381</v>
      </c>
      <c r="C34" s="13">
        <f>_xll.BDH("GILD US Equity","OTHER_ADJUSTMENTS","FQ2 2019","FQ2 2019","Currency=USD","Period=FQ","BEST_FPERIOD_OVERRIDE=FQ","FILING_STATUS=MR","SCALING_FORMAT=MLN","Sort=A","Dates=H","DateFormat=P","Fill=—","Direction=H","UseDPDF=Y")</f>
        <v>0</v>
      </c>
      <c r="D34" s="13">
        <f>_xll.BDH("GILD US Equity","OTHER_ADJUSTMENTS","FQ3 2019","FQ3 2019","Currency=USD","Period=FQ","BEST_FPERIOD_OVERRIDE=FQ","FILING_STATUS=MR","SCALING_FORMAT=MLN","Sort=A","Dates=H","DateFormat=P","Fill=—","Direction=H","UseDPDF=Y")</f>
        <v>0</v>
      </c>
      <c r="E34" s="13">
        <f>_xll.BDH("GILD US Equity","OTHER_ADJUSTMENTS","FQ4 2019","FQ4 2019","Currency=USD","Period=FQ","BEST_FPERIOD_OVERRIDE=FQ","FILING_STATUS=MR","SCALING_FORMAT=MLN","Sort=A","Dates=H","DateFormat=P","Fill=—","Direction=H","UseDPDF=Y")</f>
        <v>0</v>
      </c>
      <c r="F34" s="13">
        <f>_xll.BDH("GILD US Equity","OTHER_ADJUSTMENTS","FQ1 2020","FQ1 2020","Currency=USD","Period=FQ","BEST_FPERIOD_OVERRIDE=FQ","FILING_STATUS=MR","SCALING_FORMAT=MLN","Sort=A","Dates=H","DateFormat=P","Fill=—","Direction=H","UseDPDF=Y")</f>
        <v>0</v>
      </c>
      <c r="G34" s="13">
        <f>_xll.BDH("GILD US Equity","OTHER_ADJUSTMENTS","FQ2 2020","FQ2 2020","Currency=USD","Period=FQ","BEST_FPERIOD_OVERRIDE=FQ","FILING_STATUS=MR","SCALING_FORMAT=MLN","Sort=A","Dates=H","DateFormat=P","Fill=—","Direction=H","UseDPDF=Y")</f>
        <v>0</v>
      </c>
      <c r="H34" s="13">
        <f>_xll.BDH("GILD US Equity","OTHER_ADJUSTMENTS","FQ3 2020","FQ3 2020","Currency=USD","Period=FQ","BEST_FPERIOD_OVERRIDE=FQ","FILING_STATUS=MR","SCALING_FORMAT=MLN","Sort=A","Dates=H","DateFormat=P","Fill=—","Direction=H","UseDPDF=Y")</f>
        <v>0</v>
      </c>
      <c r="I34" s="13">
        <f>_xll.BDH("GILD US Equity","OTHER_ADJUSTMENTS","FQ4 2020","FQ4 2020","Currency=USD","Period=FQ","BEST_FPERIOD_OVERRIDE=FQ","FILING_STATUS=MR","SCALING_FORMAT=MLN","Sort=A","Dates=H","DateFormat=P","Fill=—","Direction=H","UseDPDF=Y")</f>
        <v>0</v>
      </c>
      <c r="J34" s="13">
        <f>_xll.BDH("GILD US Equity","OTHER_ADJUSTMENTS","FQ1 2021","FQ1 2021","Currency=USD","Period=FQ","BEST_FPERIOD_OVERRIDE=FQ","FILING_STATUS=MR","SCALING_FORMAT=MLN","Sort=A","Dates=H","DateFormat=P","Fill=—","Direction=H","UseDPDF=Y")</f>
        <v>0</v>
      </c>
      <c r="K34" s="13">
        <f>_xll.BDH("GILD US Equity","OTHER_ADJUSTMENTS","FQ2 2021","FQ2 2021","Currency=USD","Period=FQ","BEST_FPERIOD_OVERRIDE=FQ","FILING_STATUS=MR","SCALING_FORMAT=MLN","Sort=A","Dates=H","DateFormat=P","Fill=—","Direction=H","UseDPDF=Y")</f>
        <v>0</v>
      </c>
      <c r="L34" s="13">
        <f>_xll.BDH("GILD US Equity","OTHER_ADJUSTMENTS","FQ3 2021","FQ3 2021","Currency=USD","Period=FQ","BEST_FPERIOD_OVERRIDE=FQ","FILING_STATUS=MR","SCALING_FORMAT=MLN","Sort=A","Dates=H","DateFormat=P","Fill=—","Direction=H","UseDPDF=Y")</f>
        <v>0</v>
      </c>
      <c r="M34" s="13">
        <f>_xll.BDH("GILD US Equity","OTHER_ADJUSTMENTS","FQ4 2021","FQ4 2021","Currency=USD","Period=FQ","BEST_FPERIOD_OVERRIDE=FQ","FILING_STATUS=MR","SCALING_FORMAT=MLN","Sort=A","Dates=H","DateFormat=P","Fill=—","Direction=H","UseDPDF=Y")</f>
        <v>0</v>
      </c>
      <c r="N34" s="13">
        <f>_xll.BDH("GILD US Equity","OTHER_ADJUSTMENTS","FQ1 2022","FQ1 2022","Currency=USD","Period=FQ","BEST_FPERIOD_OVERRIDE=FQ","FILING_STATUS=MR","SCALING_FORMAT=MLN","Sort=A","Dates=H","DateFormat=P","Fill=—","Direction=H","UseDPDF=Y")</f>
        <v>0</v>
      </c>
      <c r="O34" s="13">
        <f>_xll.BDH("GILD US Equity","OTHER_ADJUSTMENTS","FQ2 2022","FQ2 2022","Currency=USD","Period=FQ","BEST_FPERIOD_OVERRIDE=FQ","FILING_STATUS=MR","SCALING_FORMAT=MLN","Sort=A","Dates=H","DateFormat=P","Fill=—","Direction=H","UseDPDF=Y")</f>
        <v>0</v>
      </c>
      <c r="P34" s="13">
        <f>_xll.BDH("GILD US Equity","OTHER_ADJUSTMENTS","FQ3 2022","FQ3 2022","Currency=USD","Period=FQ","BEST_FPERIOD_OVERRIDE=FQ","FILING_STATUS=MR","SCALING_FORMAT=MLN","Sort=A","Dates=H","DateFormat=P","Fill=—","Direction=H","UseDPDF=Y")</f>
        <v>0</v>
      </c>
      <c r="Q34" s="13">
        <f>_xll.BDH("GILD US Equity","OTHER_ADJUSTMENTS","FQ4 2022","FQ4 2022","Currency=USD","Period=FQ","BEST_FPERIOD_OVERRIDE=FQ","FILING_STATUS=MR","SCALING_FORMAT=MLN","Sort=A","Dates=H","DateFormat=P","Fill=—","Direction=H","UseDPDF=Y")</f>
        <v>0</v>
      </c>
      <c r="R34" s="13">
        <f>_xll.BDH("GILD US Equity","OTHER_ADJUSTMENTS","FQ1 2023","FQ1 2023","Currency=USD","Period=FQ","BEST_FPERIOD_OVERRIDE=FQ","FILING_STATUS=MR","SCALING_FORMAT=MLN","Sort=A","Dates=H","DateFormat=P","Fill=—","Direction=H","UseDPDF=Y")</f>
        <v>0</v>
      </c>
      <c r="S34" s="13">
        <f>_xll.BDH("GILD US Equity","OTHER_ADJUSTMENTS","FQ2 2023","FQ2 2023","Currency=USD","Period=FQ","BEST_FPERIOD_OVERRIDE=FQ","FILING_STATUS=MR","SCALING_FORMAT=MLN","Sort=A","Dates=H","DateFormat=P","Fill=—","Direction=H","UseDPDF=Y")</f>
        <v>0</v>
      </c>
      <c r="T34" s="13">
        <f>_xll.BDH("GILD US Equity","OTHER_ADJUSTMENTS","FQ3 2023","FQ3 2023","Currency=USD","Period=FQ","BEST_FPERIOD_OVERRIDE=FQ","FILING_STATUS=MR","SCALING_FORMAT=MLN","Sort=A","Dates=H","DateFormat=P","Fill=—","Direction=H","UseDPDF=Y")</f>
        <v>0</v>
      </c>
      <c r="U34" s="13">
        <f>_xll.BDH("GILD US Equity","OTHER_ADJUSTMENTS","FQ4 2023","FQ4 2023","Currency=USD","Period=FQ","BEST_FPERIOD_OVERRIDE=FQ","FILING_STATUS=MR","SCALING_FORMAT=MLN","Sort=A","Dates=H","DateFormat=P","Fill=—","Direction=H","UseDPDF=Y")</f>
        <v>0</v>
      </c>
      <c r="V34" s="13">
        <f>_xll.BDH("GILD US Equity","OTHER_ADJUSTMENTS","FQ1 2024","FQ1 2024","Currency=USD","Period=FQ","BEST_FPERIOD_OVERRIDE=FQ","FILING_STATUS=MR","SCALING_FORMAT=MLN","Sort=A","Dates=H","DateFormat=P","Fill=—","Direction=H","UseDPDF=Y")</f>
        <v>0</v>
      </c>
      <c r="W34" s="13">
        <f>_xll.BDH("GILD US Equity","OTHER_ADJUSTMENTS","FQ2 2024","FQ2 2024","Currency=USD","Period=FQ","BEST_FPERIOD_OVERRIDE=FQ","FILING_STATUS=MR","SCALING_FORMAT=MLN","Sort=A","Dates=H","DateFormat=P","Fill=—","Direction=H","UseDPDF=Y")</f>
        <v>0</v>
      </c>
      <c r="X34" s="13">
        <f>_xll.BDH("GILD US Equity","OTHER_ADJUSTMENTS","FQ3 2024","FQ3 2024","Currency=USD","Period=FQ","BEST_FPERIOD_OVERRIDE=FQ","FILING_STATUS=MR","SCALING_FORMAT=MLN","Sort=A","Dates=H","DateFormat=P","Fill=—","Direction=H","UseDPDF=Y")</f>
        <v>0</v>
      </c>
      <c r="Y34" s="13">
        <f>_xll.BDH("GILD US Equity","OTHER_ADJUSTMENTS","FQ4 2024","FQ4 2024","Currency=USD","Period=FQ","BEST_FPERIOD_OVERRIDE=FQ","FILING_STATUS=MR","SCALING_FORMAT=MLN","Sort=A","Dates=H","DateFormat=P","Fill=—","Direction=H","UseDPDF=Y")</f>
        <v>0</v>
      </c>
      <c r="Z34" s="13"/>
      <c r="AA34" s="13"/>
    </row>
    <row r="35" spans="1:27" x14ac:dyDescent="0.25">
      <c r="A35" s="6" t="s">
        <v>382</v>
      </c>
      <c r="B35" s="6" t="s">
        <v>80</v>
      </c>
      <c r="C35" s="19">
        <f>_xll.BDH("GILD US Equity","EARN_FOR_COMMON","FQ2 2019","FQ2 2019","Currency=USD","Period=FQ","BEST_FPERIOD_OVERRIDE=FQ","FILING_STATUS=MR","SCALING_FORMAT=MLN","FA_ADJUSTED=GAAP","Sort=A","Dates=H","DateFormat=P","Fill=—","Direction=H","UseDPDF=Y")</f>
        <v>1880</v>
      </c>
      <c r="D35" s="19">
        <f>_xll.BDH("GILD US Equity","EARN_FOR_COMMON","FQ3 2019","FQ3 2019","Currency=USD","Period=FQ","BEST_FPERIOD_OVERRIDE=FQ","FILING_STATUS=MR","SCALING_FORMAT=MLN","FA_ADJUSTED=GAAP","Sort=A","Dates=H","DateFormat=P","Fill=—","Direction=H","UseDPDF=Y")</f>
        <v>-1165</v>
      </c>
      <c r="E35" s="19">
        <f>_xll.BDH("GILD US Equity","EARN_FOR_COMMON","FQ4 2019","FQ4 2019","Currency=USD","Period=FQ","BEST_FPERIOD_OVERRIDE=FQ","FILING_STATUS=MR","SCALING_FORMAT=MLN","FA_ADJUSTED=GAAP","Sort=A","Dates=H","DateFormat=P","Fill=—","Direction=H","UseDPDF=Y")</f>
        <v>2696</v>
      </c>
      <c r="F35" s="19">
        <f>_xll.BDH("GILD US Equity","EARN_FOR_COMMON","FQ1 2020","FQ1 2020","Currency=USD","Period=FQ","BEST_FPERIOD_OVERRIDE=FQ","FILING_STATUS=MR","SCALING_FORMAT=MLN","FA_ADJUSTED=GAAP","Sort=A","Dates=H","DateFormat=P","Fill=—","Direction=H","UseDPDF=Y")</f>
        <v>1551</v>
      </c>
      <c r="G35" s="19">
        <f>_xll.BDH("GILD US Equity","EARN_FOR_COMMON","FQ2 2020","FQ2 2020","Currency=USD","Period=FQ","BEST_FPERIOD_OVERRIDE=FQ","FILING_STATUS=MR","SCALING_FORMAT=MLN","FA_ADJUSTED=GAAP","Sort=A","Dates=H","DateFormat=P","Fill=—","Direction=H","UseDPDF=Y")</f>
        <v>-3339</v>
      </c>
      <c r="H35" s="19">
        <f>_xll.BDH("GILD US Equity","EARN_FOR_COMMON","FQ3 2020","FQ3 2020","Currency=USD","Period=FQ","BEST_FPERIOD_OVERRIDE=FQ","FILING_STATUS=MR","SCALING_FORMAT=MLN","FA_ADJUSTED=GAAP","Sort=A","Dates=H","DateFormat=P","Fill=—","Direction=H","UseDPDF=Y")</f>
        <v>360</v>
      </c>
      <c r="I35" s="19">
        <f>_xll.BDH("GILD US Equity","EARN_FOR_COMMON","FQ4 2020","FQ4 2020","Currency=USD","Period=FQ","BEST_FPERIOD_OVERRIDE=FQ","FILING_STATUS=MR","SCALING_FORMAT=MLN","FA_ADJUSTED=GAAP","Sort=A","Dates=H","DateFormat=P","Fill=—","Direction=H","UseDPDF=Y")</f>
        <v>1551</v>
      </c>
      <c r="J35" s="19">
        <f>_xll.BDH("GILD US Equity","EARN_FOR_COMMON","FQ1 2021","FQ1 2021","Currency=USD","Period=FQ","BEST_FPERIOD_OVERRIDE=FQ","FILING_STATUS=MR","SCALING_FORMAT=MLN","FA_ADJUSTED=GAAP","Sort=A","Dates=H","DateFormat=P","Fill=—","Direction=H","UseDPDF=Y")</f>
        <v>1729</v>
      </c>
      <c r="K35" s="19">
        <f>_xll.BDH("GILD US Equity","EARN_FOR_COMMON","FQ2 2021","FQ2 2021","Currency=USD","Period=FQ","BEST_FPERIOD_OVERRIDE=FQ","FILING_STATUS=MR","SCALING_FORMAT=MLN","FA_ADJUSTED=GAAP","Sort=A","Dates=H","DateFormat=P","Fill=—","Direction=H","UseDPDF=Y")</f>
        <v>1522</v>
      </c>
      <c r="L35" s="19">
        <f>_xll.BDH("GILD US Equity","EARN_FOR_COMMON","FQ3 2021","FQ3 2021","Currency=USD","Period=FQ","BEST_FPERIOD_OVERRIDE=FQ","FILING_STATUS=MR","SCALING_FORMAT=MLN","FA_ADJUSTED=GAAP","Sort=A","Dates=H","DateFormat=P","Fill=—","Direction=H","UseDPDF=Y")</f>
        <v>2592</v>
      </c>
      <c r="M35" s="19">
        <f>_xll.BDH("GILD US Equity","EARN_FOR_COMMON","FQ4 2021","FQ4 2021","Currency=USD","Period=FQ","BEST_FPERIOD_OVERRIDE=FQ","FILING_STATUS=MR","SCALING_FORMAT=MLN","FA_ADJUSTED=GAAP","Sort=A","Dates=H","DateFormat=P","Fill=—","Direction=H","UseDPDF=Y")</f>
        <v>382</v>
      </c>
      <c r="N35" s="19">
        <f>_xll.BDH("GILD US Equity","EARN_FOR_COMMON","FQ1 2022","FQ1 2022","Currency=USD","Period=FQ","BEST_FPERIOD_OVERRIDE=FQ","FILING_STATUS=MR","SCALING_FORMAT=MLN","FA_ADJUSTED=GAAP","Sort=A","Dates=H","DateFormat=P","Fill=—","Direction=H","UseDPDF=Y")</f>
        <v>19</v>
      </c>
      <c r="O35" s="19">
        <f>_xll.BDH("GILD US Equity","EARN_FOR_COMMON","FQ2 2022","FQ2 2022","Currency=USD","Period=FQ","BEST_FPERIOD_OVERRIDE=FQ","FILING_STATUS=MR","SCALING_FORMAT=MLN","FA_ADJUSTED=GAAP","Sort=A","Dates=H","DateFormat=P","Fill=—","Direction=H","UseDPDF=Y")</f>
        <v>1144</v>
      </c>
      <c r="P35" s="19">
        <f>_xll.BDH("GILD US Equity","EARN_FOR_COMMON","FQ3 2022","FQ3 2022","Currency=USD","Period=FQ","BEST_FPERIOD_OVERRIDE=FQ","FILING_STATUS=MR","SCALING_FORMAT=MLN","FA_ADJUSTED=GAAP","Sort=A","Dates=H","DateFormat=P","Fill=—","Direction=H","UseDPDF=Y")</f>
        <v>1789</v>
      </c>
      <c r="Q35" s="19">
        <f>_xll.BDH("GILD US Equity","EARN_FOR_COMMON","FQ4 2022","FQ4 2022","Currency=USD","Period=FQ","BEST_FPERIOD_OVERRIDE=FQ","FILING_STATUS=MR","SCALING_FORMAT=MLN","FA_ADJUSTED=GAAP","Sort=A","Dates=H","DateFormat=P","Fill=—","Direction=H","UseDPDF=Y")</f>
        <v>1640</v>
      </c>
      <c r="R35" s="19">
        <f>_xll.BDH("GILD US Equity","EARN_FOR_COMMON","FQ1 2023","FQ1 2023","Currency=USD","Period=FQ","BEST_FPERIOD_OVERRIDE=FQ","FILING_STATUS=MR","SCALING_FORMAT=MLN","FA_ADJUSTED=GAAP","Sort=A","Dates=H","DateFormat=P","Fill=—","Direction=H","UseDPDF=Y")</f>
        <v>1010</v>
      </c>
      <c r="S35" s="19">
        <f>_xll.BDH("GILD US Equity","EARN_FOR_COMMON","FQ2 2023","FQ2 2023","Currency=USD","Period=FQ","BEST_FPERIOD_OVERRIDE=FQ","FILING_STATUS=MR","SCALING_FORMAT=MLN","FA_ADJUSTED=GAAP","Sort=A","Dates=H","DateFormat=P","Fill=—","Direction=H","UseDPDF=Y")</f>
        <v>1045</v>
      </c>
      <c r="T35" s="19">
        <f>_xll.BDH("GILD US Equity","EARN_FOR_COMMON","FQ3 2023","FQ3 2023","Currency=USD","Period=FQ","BEST_FPERIOD_OVERRIDE=FQ","FILING_STATUS=MR","SCALING_FORMAT=MLN","FA_ADJUSTED=GAAP","Sort=A","Dates=H","DateFormat=P","Fill=—","Direction=H","UseDPDF=Y")</f>
        <v>2180</v>
      </c>
      <c r="U35" s="19">
        <f>_xll.BDH("GILD US Equity","EARN_FOR_COMMON","FQ4 2023","FQ4 2023","Currency=USD","Period=FQ","BEST_FPERIOD_OVERRIDE=FQ","FILING_STATUS=MR","SCALING_FORMAT=MLN","FA_ADJUSTED=GAAP","Sort=A","Dates=H","DateFormat=P","Fill=—","Direction=H","UseDPDF=Y")</f>
        <v>1429</v>
      </c>
      <c r="V35" s="19">
        <f>_xll.BDH("GILD US Equity","EARN_FOR_COMMON","FQ1 2024","FQ1 2024","Currency=USD","Period=FQ","BEST_FPERIOD_OVERRIDE=FQ","FILING_STATUS=MR","SCALING_FORMAT=MLN","FA_ADJUSTED=GAAP","Sort=A","Dates=H","DateFormat=P","Fill=—","Direction=H","UseDPDF=Y")</f>
        <v>-4170</v>
      </c>
      <c r="W35" s="19">
        <f>_xll.BDH("GILD US Equity","EARN_FOR_COMMON","FQ2 2024","FQ2 2024","Currency=USD","Period=FQ","BEST_FPERIOD_OVERRIDE=FQ","FILING_STATUS=MR","SCALING_FORMAT=MLN","FA_ADJUSTED=GAAP","Sort=A","Dates=H","DateFormat=P","Fill=—","Direction=H","UseDPDF=Y")</f>
        <v>1614</v>
      </c>
      <c r="X35" s="19">
        <f>_xll.BDH("GILD US Equity","EARN_FOR_COMMON","FQ3 2024","FQ3 2024","Currency=USD","Period=FQ","BEST_FPERIOD_OVERRIDE=FQ","FILING_STATUS=MR","SCALING_FORMAT=MLN","FA_ADJUSTED=GAAP","Sort=A","Dates=H","DateFormat=P","Fill=—","Direction=H","UseDPDF=Y")</f>
        <v>1253</v>
      </c>
      <c r="Y35" s="19">
        <f>_xll.BDH("GILD US Equity","EARN_FOR_COMMON","FQ4 2024","FQ4 2024","Currency=USD","Period=FQ","BEST_FPERIOD_OVERRIDE=FQ","FILING_STATUS=MR","SCALING_FORMAT=MLN","FA_ADJUSTED=GAAP","Sort=A","Dates=H","DateFormat=P","Fill=—","Direction=H","UseDPDF=Y")</f>
        <v>1783</v>
      </c>
      <c r="Z35" s="19">
        <v>1619.538</v>
      </c>
      <c r="AA35" s="19">
        <v>1847.769</v>
      </c>
    </row>
    <row r="36" spans="1:27" x14ac:dyDescent="0.25">
      <c r="A36" s="6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x14ac:dyDescent="0.25">
      <c r="A37" s="6" t="s">
        <v>383</v>
      </c>
      <c r="B37" s="6" t="s">
        <v>80</v>
      </c>
      <c r="C37" s="19">
        <f>_xll.BDH("GILD US Equity","EARN_FOR_COMMON","FQ2 2019","FQ2 2019","Currency=USD","Period=FQ","BEST_FPERIOD_OVERRIDE=FQ","FILING_STATUS=MR","SCALING_FORMAT=MLN","FA_ADJUSTED=Adjusted","Sort=A","Dates=H","DateFormat=P","Fill=—","Direction=H","UseDPDF=Y")</f>
        <v>1944</v>
      </c>
      <c r="D37" s="19">
        <f>_xll.BDH("GILD US Equity","EARN_FOR_COMMON","FQ3 2019","FQ3 2019","Currency=USD","Period=FQ","BEST_FPERIOD_OVERRIDE=FQ","FILING_STATUS=MR","SCALING_FORMAT=MLN","FA_ADJUSTED=Adjusted","Sort=A","Dates=H","DateFormat=P","Fill=—","Direction=H","UseDPDF=Y")</f>
        <v>1844</v>
      </c>
      <c r="E37" s="19">
        <f>_xll.BDH("GILD US Equity","EARN_FOR_COMMON","FQ4 2019","FQ4 2019","Currency=USD","Period=FQ","BEST_FPERIOD_OVERRIDE=FQ","FILING_STATUS=MR","SCALING_FORMAT=MLN","FA_ADJUSTED=Adjusted","Sort=A","Dates=H","DateFormat=P","Fill=—","Direction=H","UseDPDF=Y")</f>
        <v>1153</v>
      </c>
      <c r="F37" s="19">
        <f>_xll.BDH("GILD US Equity","EARN_FOR_COMMON","FQ1 2020","FQ1 2020","Currency=USD","Period=FQ","BEST_FPERIOD_OVERRIDE=FQ","FILING_STATUS=MR","SCALING_FORMAT=MLN","FA_ADJUSTED=Adjusted","Sort=A","Dates=H","DateFormat=P","Fill=—","Direction=H","UseDPDF=Y")</f>
        <v>2139</v>
      </c>
      <c r="G37" s="19">
        <f>_xll.BDH("GILD US Equity","EARN_FOR_COMMON","FQ2 2020","FQ2 2020","Currency=USD","Period=FQ","BEST_FPERIOD_OVERRIDE=FQ","FILING_STATUS=MR","SCALING_FORMAT=MLN","FA_ADJUSTED=Adjusted","Sort=A","Dates=H","DateFormat=P","Fill=—","Direction=H","UseDPDF=Y")</f>
        <v>1176</v>
      </c>
      <c r="H37" s="19">
        <f>_xll.BDH("GILD US Equity","EARN_FOR_COMMON","FQ3 2020","FQ3 2020","Currency=USD","Period=FQ","BEST_FPERIOD_OVERRIDE=FQ","FILING_STATUS=MR","SCALING_FORMAT=MLN","FA_ADJUSTED=Adjusted","Sort=A","Dates=H","DateFormat=P","Fill=—","Direction=H","UseDPDF=Y")</f>
        <v>2431.21</v>
      </c>
      <c r="I37" s="19">
        <f>_xll.BDH("GILD US Equity","EARN_FOR_COMMON","FQ4 2020","FQ4 2020","Currency=USD","Period=FQ","BEST_FPERIOD_OVERRIDE=FQ","FILING_STATUS=MR","SCALING_FORMAT=MLN","FA_ADJUSTED=Adjusted","Sort=A","Dates=H","DateFormat=P","Fill=—","Direction=H","UseDPDF=Y")</f>
        <v>2433</v>
      </c>
      <c r="J37" s="19">
        <f>_xll.BDH("GILD US Equity","EARN_FOR_COMMON","FQ1 2021","FQ1 2021","Currency=USD","Period=FQ","BEST_FPERIOD_OVERRIDE=FQ","FILING_STATUS=MR","SCALING_FORMAT=MLN","FA_ADJUSTED=Adjusted","Sort=A","Dates=H","DateFormat=P","Fill=—","Direction=H","UseDPDF=Y")</f>
        <v>2628</v>
      </c>
      <c r="K37" s="19">
        <f>_xll.BDH("GILD US Equity","EARN_FOR_COMMON","FQ2 2021","FQ2 2021","Currency=USD","Period=FQ","BEST_FPERIOD_OVERRIDE=FQ","FILING_STATUS=MR","SCALING_FORMAT=MLN","FA_ADJUSTED=Adjusted","Sort=A","Dates=H","DateFormat=P","Fill=—","Direction=H","UseDPDF=Y")</f>
        <v>1907</v>
      </c>
      <c r="L37" s="19">
        <f>_xll.BDH("GILD US Equity","EARN_FOR_COMMON","FQ3 2021","FQ3 2021","Currency=USD","Period=FQ","BEST_FPERIOD_OVERRIDE=FQ","FILING_STATUS=MR","SCALING_FORMAT=MLN","FA_ADJUSTED=Adjusted","Sort=A","Dates=H","DateFormat=P","Fill=—","Direction=H","UseDPDF=Y")</f>
        <v>2912.01</v>
      </c>
      <c r="M37" s="19">
        <f>_xll.BDH("GILD US Equity","EARN_FOR_COMMON","FQ4 2021","FQ4 2021","Currency=USD","Period=FQ","BEST_FPERIOD_OVERRIDE=FQ","FILING_STATUS=MR","SCALING_FORMAT=MLN","FA_ADJUSTED=Adjusted","Sort=A","Dates=H","DateFormat=P","Fill=—","Direction=H","UseDPDF=Y")</f>
        <v>952.62</v>
      </c>
      <c r="N37" s="19">
        <f>_xll.BDH("GILD US Equity","EARN_FOR_COMMON","FQ1 2022","FQ1 2022","Currency=USD","Period=FQ","BEST_FPERIOD_OVERRIDE=FQ","FILING_STATUS=MR","SCALING_FORMAT=MLN","FA_ADJUSTED=Adjusted","Sort=A","Dates=H","DateFormat=P","Fill=—","Direction=H","UseDPDF=Y")</f>
        <v>2169</v>
      </c>
      <c r="O37" s="19">
        <f>_xll.BDH("GILD US Equity","EARN_FOR_COMMON","FQ2 2022","FQ2 2022","Currency=USD","Period=FQ","BEST_FPERIOD_OVERRIDE=FQ","FILING_STATUS=MR","SCALING_FORMAT=MLN","FA_ADJUSTED=Adjusted","Sort=A","Dates=H","DateFormat=P","Fill=—","Direction=H","UseDPDF=Y")</f>
        <v>1802.7</v>
      </c>
      <c r="P37" s="19">
        <f>_xll.BDH("GILD US Equity","EARN_FOR_COMMON","FQ3 2022","FQ3 2022","Currency=USD","Period=FQ","BEST_FPERIOD_OVERRIDE=FQ","FILING_STATUS=MR","SCALING_FORMAT=MLN","FA_ADJUSTED=Adjusted","Sort=A","Dates=H","DateFormat=P","Fill=—","Direction=H","UseDPDF=Y")</f>
        <v>2744.13</v>
      </c>
      <c r="Q37" s="19">
        <f>_xll.BDH("GILD US Equity","EARN_FOR_COMMON","FQ4 2022","FQ4 2022","Currency=USD","Period=FQ","BEST_FPERIOD_OVERRIDE=FQ","FILING_STATUS=MR","SCALING_FORMAT=MLN","FA_ADJUSTED=Adjusted","Sort=A","Dates=H","DateFormat=P","Fill=—","Direction=H","UseDPDF=Y")</f>
        <v>1884.82</v>
      </c>
      <c r="R37" s="19">
        <f>_xll.BDH("GILD US Equity","EARN_FOR_COMMON","FQ1 2023","FQ1 2023","Currency=USD","Period=FQ","BEST_FPERIOD_OVERRIDE=FQ","FILING_STATUS=MR","SCALING_FORMAT=MLN","FA_ADJUSTED=Adjusted","Sort=A","Dates=H","DateFormat=P","Fill=—","Direction=H","UseDPDF=Y")</f>
        <v>1681.99</v>
      </c>
      <c r="S37" s="19">
        <f>_xll.BDH("GILD US Equity","EARN_FOR_COMMON","FQ2 2023","FQ2 2023","Currency=USD","Period=FQ","BEST_FPERIOD_OVERRIDE=FQ","FILING_STATUS=MR","SCALING_FORMAT=MLN","FA_ADJUSTED=Adjusted","Sort=A","Dates=H","DateFormat=P","Fill=—","Direction=H","UseDPDF=Y")</f>
        <v>1456.8065999999999</v>
      </c>
      <c r="T37" s="19">
        <f>_xll.BDH("GILD US Equity","EARN_FOR_COMMON","FQ3 2023","FQ3 2023","Currency=USD","Period=FQ","BEST_FPERIOD_OVERRIDE=FQ","FILING_STATUS=MR","SCALING_FORMAT=MLN","FA_ADJUSTED=Adjusted","Sort=A","Dates=H","DateFormat=P","Fill=—","Direction=H","UseDPDF=Y")</f>
        <v>2490.89</v>
      </c>
      <c r="U37" s="19">
        <f>_xll.BDH("GILD US Equity","EARN_FOR_COMMON","FQ4 2023","FQ4 2023","Currency=USD","Period=FQ","BEST_FPERIOD_OVERRIDE=FQ","FILING_STATUS=MR","SCALING_FORMAT=MLN","FA_ADJUSTED=Adjusted","Sort=A","Dates=H","DateFormat=P","Fill=—","Direction=H","UseDPDF=Y")</f>
        <v>1974.13</v>
      </c>
      <c r="V37" s="19">
        <f>_xll.BDH("GILD US Equity","EARN_FOR_COMMON","FQ1 2024","FQ1 2024","Currency=USD","Period=FQ","BEST_FPERIOD_OVERRIDE=FQ","FILING_STATUS=MR","SCALING_FORMAT=MLN","FA_ADJUSTED=Adjusted","Sort=A","Dates=H","DateFormat=P","Fill=—","Direction=H","UseDPDF=Y")</f>
        <v>1161.49</v>
      </c>
      <c r="W37" s="19">
        <f>_xll.BDH("GILD US Equity","EARN_FOR_COMMON","FQ2 2024","FQ2 2024","Currency=USD","Period=FQ","BEST_FPERIOD_OVERRIDE=FQ","FILING_STATUS=MR","SCALING_FORMAT=MLN","FA_ADJUSTED=Adjusted","Sort=A","Dates=H","DateFormat=P","Fill=—","Direction=H","UseDPDF=Y")</f>
        <v>2091.02</v>
      </c>
      <c r="X37" s="19">
        <f>_xll.BDH("GILD US Equity","EARN_FOR_COMMON","FQ3 2024","FQ3 2024","Currency=USD","Period=FQ","BEST_FPERIOD_OVERRIDE=FQ","FILING_STATUS=MR","SCALING_FORMAT=MLN","FA_ADJUSTED=Adjusted","Sort=A","Dates=H","DateFormat=P","Fill=—","Direction=H","UseDPDF=Y")</f>
        <v>2470.9499999999998</v>
      </c>
      <c r="Y37" s="19">
        <f>_xll.BDH("GILD US Equity","EARN_FOR_COMMON","FQ4 2024","FQ4 2024","Currency=USD","Period=FQ","BEST_FPERIOD_OVERRIDE=FQ","FILING_STATUS=MR","SCALING_FORMAT=MLN","FA_ADJUSTED=Adjusted","Sort=A","Dates=H","DateFormat=P","Fill=—","Direction=H","UseDPDF=Y")</f>
        <v>1923.31</v>
      </c>
      <c r="Z37" s="19">
        <v>2170.1669999999999</v>
      </c>
      <c r="AA37" s="19">
        <v>2384.6669999999999</v>
      </c>
    </row>
    <row r="38" spans="1:27" x14ac:dyDescent="0.25">
      <c r="A38" s="10" t="s">
        <v>384</v>
      </c>
      <c r="B38" s="10" t="s">
        <v>385</v>
      </c>
      <c r="C38" s="13">
        <f>_xll.BDH("GILD US Equity","IS_NET_ABNORMAL_ITEMS","FQ2 2019","FQ2 2019","Currency=USD","Period=FQ","BEST_FPERIOD_OVERRIDE=FQ","FILING_STATUS=MR","SCALING_FORMAT=MLN","Sort=A","Dates=H","DateFormat=P","Fill=—","Direction=H","UseDPDF=Y")</f>
        <v>64</v>
      </c>
      <c r="D38" s="13">
        <f>_xll.BDH("GILD US Equity","IS_NET_ABNORMAL_ITEMS","FQ3 2019","FQ3 2019","Currency=USD","Period=FQ","BEST_FPERIOD_OVERRIDE=FQ","FILING_STATUS=MR","SCALING_FORMAT=MLN","Sort=A","Dates=H","DateFormat=P","Fill=—","Direction=H","UseDPDF=Y")</f>
        <v>3009</v>
      </c>
      <c r="E38" s="13">
        <f>_xll.BDH("GILD US Equity","IS_NET_ABNORMAL_ITEMS","FQ4 2019","FQ4 2019","Currency=USD","Period=FQ","BEST_FPERIOD_OVERRIDE=FQ","FILING_STATUS=MR","SCALING_FORMAT=MLN","Sort=A","Dates=H","DateFormat=P","Fill=—","Direction=H","UseDPDF=Y")</f>
        <v>-1543</v>
      </c>
      <c r="F38" s="13">
        <f>_xll.BDH("GILD US Equity","IS_NET_ABNORMAL_ITEMS","FQ1 2020","FQ1 2020","Currency=USD","Period=FQ","BEST_FPERIOD_OVERRIDE=FQ","FILING_STATUS=MR","SCALING_FORMAT=MLN","Sort=A","Dates=H","DateFormat=P","Fill=—","Direction=H","UseDPDF=Y")</f>
        <v>588</v>
      </c>
      <c r="G38" s="13">
        <f>_xll.BDH("GILD US Equity","IS_NET_ABNORMAL_ITEMS","FQ2 2020","FQ2 2020","Currency=USD","Period=FQ","BEST_FPERIOD_OVERRIDE=FQ","FILING_STATUS=MR","SCALING_FORMAT=MLN","Sort=A","Dates=H","DateFormat=P","Fill=—","Direction=H","UseDPDF=Y")</f>
        <v>4515</v>
      </c>
      <c r="H38" s="13">
        <f>_xll.BDH("GILD US Equity","IS_NET_ABNORMAL_ITEMS","FQ3 2020","FQ3 2020","Currency=USD","Period=FQ","BEST_FPERIOD_OVERRIDE=FQ","FILING_STATUS=MR","SCALING_FORMAT=MLN","Sort=A","Dates=H","DateFormat=P","Fill=—","Direction=H","UseDPDF=Y")</f>
        <v>2071.21</v>
      </c>
      <c r="I38" s="13">
        <f>_xll.BDH("GILD US Equity","IS_NET_ABNORMAL_ITEMS","FQ4 2020","FQ4 2020","Currency=USD","Period=FQ","BEST_FPERIOD_OVERRIDE=FQ","FILING_STATUS=MR","SCALING_FORMAT=MLN","Sort=A","Dates=H","DateFormat=P","Fill=—","Direction=H","UseDPDF=Y")</f>
        <v>882</v>
      </c>
      <c r="J38" s="13">
        <f>_xll.BDH("GILD US Equity","IS_NET_ABNORMAL_ITEMS","FQ1 2021","FQ1 2021","Currency=USD","Period=FQ","BEST_FPERIOD_OVERRIDE=FQ","FILING_STATUS=MR","SCALING_FORMAT=MLN","Sort=A","Dates=H","DateFormat=P","Fill=—","Direction=H","UseDPDF=Y")</f>
        <v>899</v>
      </c>
      <c r="K38" s="13">
        <f>_xll.BDH("GILD US Equity","IS_NET_ABNORMAL_ITEMS","FQ2 2021","FQ2 2021","Currency=USD","Period=FQ","BEST_FPERIOD_OVERRIDE=FQ","FILING_STATUS=MR","SCALING_FORMAT=MLN","Sort=A","Dates=H","DateFormat=P","Fill=—","Direction=H","UseDPDF=Y")</f>
        <v>385</v>
      </c>
      <c r="L38" s="13">
        <f>_xll.BDH("GILD US Equity","IS_NET_ABNORMAL_ITEMS","FQ3 2021","FQ3 2021","Currency=USD","Period=FQ","BEST_FPERIOD_OVERRIDE=FQ","FILING_STATUS=MR","SCALING_FORMAT=MLN","Sort=A","Dates=H","DateFormat=P","Fill=—","Direction=H","UseDPDF=Y")</f>
        <v>320.01</v>
      </c>
      <c r="M38" s="13">
        <f>_xll.BDH("GILD US Equity","IS_NET_ABNORMAL_ITEMS","FQ4 2021","FQ4 2021","Currency=USD","Period=FQ","BEST_FPERIOD_OVERRIDE=FQ","FILING_STATUS=MR","SCALING_FORMAT=MLN","Sort=A","Dates=H","DateFormat=P","Fill=—","Direction=H","UseDPDF=Y")</f>
        <v>570.62</v>
      </c>
      <c r="N38" s="13">
        <f>_xll.BDH("GILD US Equity","IS_NET_ABNORMAL_ITEMS","FQ1 2022","FQ1 2022","Currency=USD","Period=FQ","BEST_FPERIOD_OVERRIDE=FQ","FILING_STATUS=MR","SCALING_FORMAT=MLN","Sort=A","Dates=H","DateFormat=P","Fill=—","Direction=H","UseDPDF=Y")</f>
        <v>2150</v>
      </c>
      <c r="O38" s="13">
        <f>_xll.BDH("GILD US Equity","IS_NET_ABNORMAL_ITEMS","FQ2 2022","FQ2 2022","Currency=USD","Period=FQ","BEST_FPERIOD_OVERRIDE=FQ","FILING_STATUS=MR","SCALING_FORMAT=MLN","Sort=A","Dates=H","DateFormat=P","Fill=—","Direction=H","UseDPDF=Y")</f>
        <v>658.7</v>
      </c>
      <c r="P38" s="13">
        <f>_xll.BDH("GILD US Equity","IS_NET_ABNORMAL_ITEMS","FQ3 2022","FQ3 2022","Currency=USD","Period=FQ","BEST_FPERIOD_OVERRIDE=FQ","FILING_STATUS=MR","SCALING_FORMAT=MLN","Sort=A","Dates=H","DateFormat=P","Fill=—","Direction=H","UseDPDF=Y")</f>
        <v>955.13</v>
      </c>
      <c r="Q38" s="13">
        <f>_xll.BDH("GILD US Equity","IS_NET_ABNORMAL_ITEMS","FQ4 2022","FQ4 2022","Currency=USD","Period=FQ","BEST_FPERIOD_OVERRIDE=FQ","FILING_STATUS=MR","SCALING_FORMAT=MLN","Sort=A","Dates=H","DateFormat=P","Fill=—","Direction=H","UseDPDF=Y")</f>
        <v>244.82</v>
      </c>
      <c r="R38" s="13">
        <f>_xll.BDH("GILD US Equity","IS_NET_ABNORMAL_ITEMS","FQ1 2023","FQ1 2023","Currency=USD","Period=FQ","BEST_FPERIOD_OVERRIDE=FQ","FILING_STATUS=MR","SCALING_FORMAT=MLN","Sort=A","Dates=H","DateFormat=P","Fill=—","Direction=H","UseDPDF=Y")</f>
        <v>671.99</v>
      </c>
      <c r="S38" s="13">
        <f>_xll.BDH("GILD US Equity","IS_NET_ABNORMAL_ITEMS","FQ2 2023","FQ2 2023","Currency=USD","Period=FQ","BEST_FPERIOD_OVERRIDE=FQ","FILING_STATUS=MR","SCALING_FORMAT=MLN","Sort=A","Dates=H","DateFormat=P","Fill=—","Direction=H","UseDPDF=Y")</f>
        <v>411.8066</v>
      </c>
      <c r="T38" s="13">
        <f>_xll.BDH("GILD US Equity","IS_NET_ABNORMAL_ITEMS","FQ3 2023","FQ3 2023","Currency=USD","Period=FQ","BEST_FPERIOD_OVERRIDE=FQ","FILING_STATUS=MR","SCALING_FORMAT=MLN","Sort=A","Dates=H","DateFormat=P","Fill=—","Direction=H","UseDPDF=Y")</f>
        <v>309.89</v>
      </c>
      <c r="U38" s="13">
        <f>_xll.BDH("GILD US Equity","IS_NET_ABNORMAL_ITEMS","FQ4 2023","FQ4 2023","Currency=USD","Period=FQ","BEST_FPERIOD_OVERRIDE=FQ","FILING_STATUS=MR","SCALING_FORMAT=MLN","Sort=A","Dates=H","DateFormat=P","Fill=—","Direction=H","UseDPDF=Y")</f>
        <v>545.13</v>
      </c>
      <c r="V38" s="13">
        <f>_xll.BDH("GILD US Equity","IS_NET_ABNORMAL_ITEMS","FQ1 2024","FQ1 2024","Currency=USD","Period=FQ","BEST_FPERIOD_OVERRIDE=FQ","FILING_STATUS=MR","SCALING_FORMAT=MLN","Sort=A","Dates=H","DateFormat=P","Fill=—","Direction=H","UseDPDF=Y")</f>
        <v>5331.49</v>
      </c>
      <c r="W38" s="13">
        <f>_xll.BDH("GILD US Equity","IS_NET_ABNORMAL_ITEMS","FQ2 2024","FQ2 2024","Currency=USD","Period=FQ","BEST_FPERIOD_OVERRIDE=FQ","FILING_STATUS=MR","SCALING_FORMAT=MLN","Sort=A","Dates=H","DateFormat=P","Fill=—","Direction=H","UseDPDF=Y")</f>
        <v>477.02</v>
      </c>
      <c r="X38" s="13">
        <f>_xll.BDH("GILD US Equity","IS_NET_ABNORMAL_ITEMS","FQ3 2024","FQ3 2024","Currency=USD","Period=FQ","BEST_FPERIOD_OVERRIDE=FQ","FILING_STATUS=MR","SCALING_FORMAT=MLN","Sort=A","Dates=H","DateFormat=P","Fill=—","Direction=H","UseDPDF=Y")</f>
        <v>1217.95</v>
      </c>
      <c r="Y38" s="13">
        <f>_xll.BDH("GILD US Equity","IS_NET_ABNORMAL_ITEMS","FQ4 2024","FQ4 2024","Currency=USD","Period=FQ","BEST_FPERIOD_OVERRIDE=FQ","FILING_STATUS=MR","SCALING_FORMAT=MLN","Sort=A","Dates=H","DateFormat=P","Fill=—","Direction=H","UseDPDF=Y")</f>
        <v>140.31</v>
      </c>
      <c r="Z38" s="13"/>
      <c r="AA38" s="13"/>
    </row>
    <row r="39" spans="1:27" x14ac:dyDescent="0.25">
      <c r="A39" s="10" t="s">
        <v>386</v>
      </c>
      <c r="B39" s="10" t="s">
        <v>367</v>
      </c>
      <c r="C39" s="13">
        <f>_xll.BDH("GILD US Equity","XO_GL_NET_OF_TAX","FQ2 2019","FQ2 2019","Currency=USD","Period=FQ","BEST_FPERIOD_OVERRIDE=FQ","FILING_STATUS=MR","SCALING_FORMAT=MLN","Sort=A","Dates=H","DateFormat=P","Fill=—","Direction=H","UseDPDF=Y")</f>
        <v>0</v>
      </c>
      <c r="D39" s="13">
        <f>_xll.BDH("GILD US Equity","XO_GL_NET_OF_TAX","FQ3 2019","FQ3 2019","Currency=USD","Period=FQ","BEST_FPERIOD_OVERRIDE=FQ","FILING_STATUS=MR","SCALING_FORMAT=MLN","Sort=A","Dates=H","DateFormat=P","Fill=—","Direction=H","UseDPDF=Y")</f>
        <v>0</v>
      </c>
      <c r="E39" s="13">
        <f>_xll.BDH("GILD US Equity","XO_GL_NET_OF_TAX","FQ4 2019","FQ4 2019","Currency=USD","Period=FQ","BEST_FPERIOD_OVERRIDE=FQ","FILING_STATUS=MR","SCALING_FORMAT=MLN","Sort=A","Dates=H","DateFormat=P","Fill=—","Direction=H","UseDPDF=Y")</f>
        <v>0</v>
      </c>
      <c r="F39" s="13">
        <f>_xll.BDH("GILD US Equity","XO_GL_NET_OF_TAX","FQ1 2020","FQ1 2020","Currency=USD","Period=FQ","BEST_FPERIOD_OVERRIDE=FQ","FILING_STATUS=MR","SCALING_FORMAT=MLN","Sort=A","Dates=H","DateFormat=P","Fill=—","Direction=H","UseDPDF=Y")</f>
        <v>0</v>
      </c>
      <c r="G39" s="13">
        <f>_xll.BDH("GILD US Equity","XO_GL_NET_OF_TAX","FQ2 2020","FQ2 2020","Currency=USD","Period=FQ","BEST_FPERIOD_OVERRIDE=FQ","FILING_STATUS=MR","SCALING_FORMAT=MLN","Sort=A","Dates=H","DateFormat=P","Fill=—","Direction=H","UseDPDF=Y")</f>
        <v>0</v>
      </c>
      <c r="H39" s="13">
        <f>_xll.BDH("GILD US Equity","XO_GL_NET_OF_TAX","FQ3 2020","FQ3 2020","Currency=USD","Period=FQ","BEST_FPERIOD_OVERRIDE=FQ","FILING_STATUS=MR","SCALING_FORMAT=MLN","Sort=A","Dates=H","DateFormat=P","Fill=—","Direction=H","UseDPDF=Y")</f>
        <v>0</v>
      </c>
      <c r="I39" s="13">
        <f>_xll.BDH("GILD US Equity","XO_GL_NET_OF_TAX","FQ4 2020","FQ4 2020","Currency=USD","Period=FQ","BEST_FPERIOD_OVERRIDE=FQ","FILING_STATUS=MR","SCALING_FORMAT=MLN","Sort=A","Dates=H","DateFormat=P","Fill=—","Direction=H","UseDPDF=Y")</f>
        <v>0</v>
      </c>
      <c r="J39" s="13">
        <f>_xll.BDH("GILD US Equity","XO_GL_NET_OF_TAX","FQ1 2021","FQ1 2021","Currency=USD","Period=FQ","BEST_FPERIOD_OVERRIDE=FQ","FILING_STATUS=MR","SCALING_FORMAT=MLN","Sort=A","Dates=H","DateFormat=P","Fill=—","Direction=H","UseDPDF=Y")</f>
        <v>0</v>
      </c>
      <c r="K39" s="13">
        <f>_xll.BDH("GILD US Equity","XO_GL_NET_OF_TAX","FQ2 2021","FQ2 2021","Currency=USD","Period=FQ","BEST_FPERIOD_OVERRIDE=FQ","FILING_STATUS=MR","SCALING_FORMAT=MLN","Sort=A","Dates=H","DateFormat=P","Fill=—","Direction=H","UseDPDF=Y")</f>
        <v>0</v>
      </c>
      <c r="L39" s="13">
        <f>_xll.BDH("GILD US Equity","XO_GL_NET_OF_TAX","FQ3 2021","FQ3 2021","Currency=USD","Period=FQ","BEST_FPERIOD_OVERRIDE=FQ","FILING_STATUS=MR","SCALING_FORMAT=MLN","Sort=A","Dates=H","DateFormat=P","Fill=—","Direction=H","UseDPDF=Y")</f>
        <v>0</v>
      </c>
      <c r="M39" s="13">
        <f>_xll.BDH("GILD US Equity","XO_GL_NET_OF_TAX","FQ4 2021","FQ4 2021","Currency=USD","Period=FQ","BEST_FPERIOD_OVERRIDE=FQ","FILING_STATUS=MR","SCALING_FORMAT=MLN","Sort=A","Dates=H","DateFormat=P","Fill=—","Direction=H","UseDPDF=Y")</f>
        <v>0</v>
      </c>
      <c r="N39" s="13">
        <f>_xll.BDH("GILD US Equity","XO_GL_NET_OF_TAX","FQ1 2022","FQ1 2022","Currency=USD","Period=FQ","BEST_FPERIOD_OVERRIDE=FQ","FILING_STATUS=MR","SCALING_FORMAT=MLN","Sort=A","Dates=H","DateFormat=P","Fill=—","Direction=H","UseDPDF=Y")</f>
        <v>0</v>
      </c>
      <c r="O39" s="13">
        <f>_xll.BDH("GILD US Equity","XO_GL_NET_OF_TAX","FQ2 2022","FQ2 2022","Currency=USD","Period=FQ","BEST_FPERIOD_OVERRIDE=FQ","FILING_STATUS=MR","SCALING_FORMAT=MLN","Sort=A","Dates=H","DateFormat=P","Fill=—","Direction=H","UseDPDF=Y")</f>
        <v>0</v>
      </c>
      <c r="P39" s="13">
        <f>_xll.BDH("GILD US Equity","XO_GL_NET_OF_TAX","FQ3 2022","FQ3 2022","Currency=USD","Period=FQ","BEST_FPERIOD_OVERRIDE=FQ","FILING_STATUS=MR","SCALING_FORMAT=MLN","Sort=A","Dates=H","DateFormat=P","Fill=—","Direction=H","UseDPDF=Y")</f>
        <v>0</v>
      </c>
      <c r="Q39" s="13">
        <f>_xll.BDH("GILD US Equity","XO_GL_NET_OF_TAX","FQ4 2022","FQ4 2022","Currency=USD","Period=FQ","BEST_FPERIOD_OVERRIDE=FQ","FILING_STATUS=MR","SCALING_FORMAT=MLN","Sort=A","Dates=H","DateFormat=P","Fill=—","Direction=H","UseDPDF=Y")</f>
        <v>0</v>
      </c>
      <c r="R39" s="13">
        <f>_xll.BDH("GILD US Equity","XO_GL_NET_OF_TAX","FQ1 2023","FQ1 2023","Currency=USD","Period=FQ","BEST_FPERIOD_OVERRIDE=FQ","FILING_STATUS=MR","SCALING_FORMAT=MLN","Sort=A","Dates=H","DateFormat=P","Fill=—","Direction=H","UseDPDF=Y")</f>
        <v>0</v>
      </c>
      <c r="S39" s="13">
        <f>_xll.BDH("GILD US Equity","XO_GL_NET_OF_TAX","FQ2 2023","FQ2 2023","Currency=USD","Period=FQ","BEST_FPERIOD_OVERRIDE=FQ","FILING_STATUS=MR","SCALING_FORMAT=MLN","Sort=A","Dates=H","DateFormat=P","Fill=—","Direction=H","UseDPDF=Y")</f>
        <v>0</v>
      </c>
      <c r="T39" s="13">
        <f>_xll.BDH("GILD US Equity","XO_GL_NET_OF_TAX","FQ3 2023","FQ3 2023","Currency=USD","Period=FQ","BEST_FPERIOD_OVERRIDE=FQ","FILING_STATUS=MR","SCALING_FORMAT=MLN","Sort=A","Dates=H","DateFormat=P","Fill=—","Direction=H","UseDPDF=Y")</f>
        <v>0</v>
      </c>
      <c r="U39" s="13">
        <f>_xll.BDH("GILD US Equity","XO_GL_NET_OF_TAX","FQ4 2023","FQ4 2023","Currency=USD","Period=FQ","BEST_FPERIOD_OVERRIDE=FQ","FILING_STATUS=MR","SCALING_FORMAT=MLN","Sort=A","Dates=H","DateFormat=P","Fill=—","Direction=H","UseDPDF=Y")</f>
        <v>0</v>
      </c>
      <c r="V39" s="13">
        <f>_xll.BDH("GILD US Equity","XO_GL_NET_OF_TAX","FQ1 2024","FQ1 2024","Currency=USD","Period=FQ","BEST_FPERIOD_OVERRIDE=FQ","FILING_STATUS=MR","SCALING_FORMAT=MLN","Sort=A","Dates=H","DateFormat=P","Fill=—","Direction=H","UseDPDF=Y")</f>
        <v>0</v>
      </c>
      <c r="W39" s="13">
        <f>_xll.BDH("GILD US Equity","XO_GL_NET_OF_TAX","FQ2 2024","FQ2 2024","Currency=USD","Period=FQ","BEST_FPERIOD_OVERRIDE=FQ","FILING_STATUS=MR","SCALING_FORMAT=MLN","Sort=A","Dates=H","DateFormat=P","Fill=—","Direction=H","UseDPDF=Y")</f>
        <v>0</v>
      </c>
      <c r="X39" s="13">
        <f>_xll.BDH("GILD US Equity","XO_GL_NET_OF_TAX","FQ3 2024","FQ3 2024","Currency=USD","Period=FQ","BEST_FPERIOD_OVERRIDE=FQ","FILING_STATUS=MR","SCALING_FORMAT=MLN","Sort=A","Dates=H","DateFormat=P","Fill=—","Direction=H","UseDPDF=Y")</f>
        <v>0</v>
      </c>
      <c r="Y39" s="13">
        <f>_xll.BDH("GILD US Equity","XO_GL_NET_OF_TAX","FQ4 2024","FQ4 2024","Currency=USD","Period=FQ","BEST_FPERIOD_OVERRIDE=FQ","FILING_STATUS=MR","SCALING_FORMAT=MLN","Sort=A","Dates=H","DateFormat=P","Fill=—","Direction=H","UseDPDF=Y")</f>
        <v>0</v>
      </c>
      <c r="Z39" s="13"/>
      <c r="AA39" s="13"/>
    </row>
    <row r="40" spans="1:27" x14ac:dyDescent="0.25">
      <c r="A40" s="6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x14ac:dyDescent="0.25">
      <c r="A41" s="10" t="s">
        <v>259</v>
      </c>
      <c r="B41" s="10" t="s">
        <v>106</v>
      </c>
      <c r="C41" s="13">
        <f>_xll.BDH("GILD US Equity","IS_AVG_NUM_SH_FOR_EPS","FQ2 2019","FQ2 2019","Currency=USD","Period=FQ","BEST_FPERIOD_OVERRIDE=FQ","FILING_STATUS=MR","Sort=A","Dates=H","DateFormat=P","Fill=—","Direction=H","UseDPDF=Y")</f>
        <v>1270</v>
      </c>
      <c r="D41" s="13">
        <f>_xll.BDH("GILD US Equity","IS_AVG_NUM_SH_FOR_EPS","FQ3 2019","FQ3 2019","Currency=USD","Period=FQ","BEST_FPERIOD_OVERRIDE=FQ","FILING_STATUS=MR","Sort=A","Dates=H","DateFormat=P","Fill=—","Direction=H","UseDPDF=Y")</f>
        <v>1267</v>
      </c>
      <c r="E41" s="13">
        <f>_xll.BDH("GILD US Equity","IS_AVG_NUM_SH_FOR_EPS","FQ4 2019","FQ4 2019","Currency=USD","Period=FQ","BEST_FPERIOD_OVERRIDE=FQ","FILING_STATUS=MR","Sort=A","Dates=H","DateFormat=P","Fill=—","Direction=H","UseDPDF=Y")</f>
        <v>1266</v>
      </c>
      <c r="F41" s="13">
        <f>_xll.BDH("GILD US Equity","IS_AVG_NUM_SH_FOR_EPS","FQ1 2020","FQ1 2020","Currency=USD","Period=FQ","BEST_FPERIOD_OVERRIDE=FQ","FILING_STATUS=MR","Sort=A","Dates=H","DateFormat=P","Fill=—","Direction=H","UseDPDF=Y")</f>
        <v>1262</v>
      </c>
      <c r="G41" s="13">
        <f>_xll.BDH("GILD US Equity","IS_AVG_NUM_SH_FOR_EPS","FQ2 2020","FQ2 2020","Currency=USD","Period=FQ","BEST_FPERIOD_OVERRIDE=FQ","FILING_STATUS=MR","Sort=A","Dates=H","DateFormat=P","Fill=—","Direction=H","UseDPDF=Y")</f>
        <v>1255</v>
      </c>
      <c r="H41" s="13">
        <f>_xll.BDH("GILD US Equity","IS_AVG_NUM_SH_FOR_EPS","FQ3 2020","FQ3 2020","Currency=USD","Period=FQ","BEST_FPERIOD_OVERRIDE=FQ","FILING_STATUS=MR","Sort=A","Dates=H","DateFormat=P","Fill=—","Direction=H","UseDPDF=Y")</f>
        <v>1255</v>
      </c>
      <c r="I41" s="13">
        <f>_xll.BDH("GILD US Equity","IS_AVG_NUM_SH_FOR_EPS","FQ4 2020","FQ4 2020","Currency=USD","Period=FQ","BEST_FPERIOD_OVERRIDE=FQ","FILING_STATUS=MR","Sort=A","Dates=H","DateFormat=P","Fill=—","Direction=H","UseDPDF=Y")</f>
        <v>1255</v>
      </c>
      <c r="J41" s="13">
        <f>_xll.BDH("GILD US Equity","IS_AVG_NUM_SH_FOR_EPS","FQ1 2021","FQ1 2021","Currency=USD","Period=FQ","BEST_FPERIOD_OVERRIDE=FQ","FILING_STATUS=MR","Sort=A","Dates=H","DateFormat=P","Fill=—","Direction=H","UseDPDF=Y")</f>
        <v>1256</v>
      </c>
      <c r="K41" s="13">
        <f>_xll.BDH("GILD US Equity","IS_AVG_NUM_SH_FOR_EPS","FQ2 2021","FQ2 2021","Currency=USD","Period=FQ","BEST_FPERIOD_OVERRIDE=FQ","FILING_STATUS=MR","Sort=A","Dates=H","DateFormat=P","Fill=—","Direction=H","UseDPDF=Y")</f>
        <v>1255</v>
      </c>
      <c r="L41" s="13">
        <f>_xll.BDH("GILD US Equity","IS_AVG_NUM_SH_FOR_EPS","FQ3 2021","FQ3 2021","Currency=USD","Period=FQ","BEST_FPERIOD_OVERRIDE=FQ","FILING_STATUS=MR","Sort=A","Dates=H","DateFormat=P","Fill=—","Direction=H","UseDPDF=Y")</f>
        <v>1256</v>
      </c>
      <c r="M41" s="13">
        <f>_xll.BDH("GILD US Equity","IS_AVG_NUM_SH_FOR_EPS","FQ4 2021","FQ4 2021","Currency=USD","Period=FQ","BEST_FPERIOD_OVERRIDE=FQ","FILING_STATUS=MR","Sort=A","Dates=H","DateFormat=P","Fill=—","Direction=H","UseDPDF=Y")</f>
        <v>1256</v>
      </c>
      <c r="N41" s="13">
        <f>_xll.BDH("GILD US Equity","IS_AVG_NUM_SH_FOR_EPS","FQ1 2022","FQ1 2022","Currency=USD","Period=FQ","BEST_FPERIOD_OVERRIDE=FQ","FILING_STATUS=MR","Sort=A","Dates=H","DateFormat=P","Fill=—","Direction=H","UseDPDF=Y")</f>
        <v>1255</v>
      </c>
      <c r="O41" s="13">
        <f>_xll.BDH("GILD US Equity","IS_AVG_NUM_SH_FOR_EPS","FQ2 2022","FQ2 2022","Currency=USD","Period=FQ","BEST_FPERIOD_OVERRIDE=FQ","FILING_STATUS=MR","Sort=A","Dates=H","DateFormat=P","Fill=—","Direction=H","UseDPDF=Y")</f>
        <v>1256</v>
      </c>
      <c r="P41" s="13">
        <f>_xll.BDH("GILD US Equity","IS_AVG_NUM_SH_FOR_EPS","FQ3 2022","FQ3 2022","Currency=USD","Period=FQ","BEST_FPERIOD_OVERRIDE=FQ","FILING_STATUS=MR","Sort=A","Dates=H","DateFormat=P","Fill=—","Direction=H","UseDPDF=Y")</f>
        <v>1255</v>
      </c>
      <c r="Q41" s="13">
        <f>_xll.BDH("GILD US Equity","IS_AVG_NUM_SH_FOR_EPS","FQ4 2022","FQ4 2022","Currency=USD","Period=FQ","BEST_FPERIOD_OVERRIDE=FQ","FILING_STATUS=MR","Sort=A","Dates=H","DateFormat=P","Fill=—","Direction=H","UseDPDF=Y")</f>
        <v>1252</v>
      </c>
      <c r="R41" s="13">
        <f>_xll.BDH("GILD US Equity","IS_AVG_NUM_SH_FOR_EPS","FQ1 2023","FQ1 2023","Currency=USD","Period=FQ","BEST_FPERIOD_OVERRIDE=FQ","FILING_STATUS=MR","Sort=A","Dates=H","DateFormat=P","Fill=—","Direction=H","UseDPDF=Y")</f>
        <v>1248</v>
      </c>
      <c r="S41" s="13">
        <f>_xll.BDH("GILD US Equity","IS_AVG_NUM_SH_FOR_EPS","FQ2 2023","FQ2 2023","Currency=USD","Period=FQ","BEST_FPERIOD_OVERRIDE=FQ","FILING_STATUS=MR","Sort=A","Dates=H","DateFormat=P","Fill=—","Direction=H","UseDPDF=Y")</f>
        <v>1249</v>
      </c>
      <c r="T41" s="13">
        <f>_xll.BDH("GILD US Equity","IS_AVG_NUM_SH_FOR_EPS","FQ3 2023","FQ3 2023","Currency=USD","Period=FQ","BEST_FPERIOD_OVERRIDE=FQ","FILING_STATUS=MR","Sort=A","Dates=H","DateFormat=P","Fill=—","Direction=H","UseDPDF=Y")</f>
        <v>1248</v>
      </c>
      <c r="U41" s="13">
        <f>_xll.BDH("GILD US Equity","IS_AVG_NUM_SH_FOR_EPS","FQ4 2023","FQ4 2023","Currency=USD","Period=FQ","BEST_FPERIOD_OVERRIDE=FQ","FILING_STATUS=MR","Sort=A","Dates=H","DateFormat=P","Fill=—","Direction=H","UseDPDF=Y")</f>
        <v>1248</v>
      </c>
      <c r="V41" s="13">
        <f>_xll.BDH("GILD US Equity","IS_AVG_NUM_SH_FOR_EPS","FQ1 2024","FQ1 2024","Currency=USD","Period=FQ","BEST_FPERIOD_OVERRIDE=FQ","FILING_STATUS=MR","Sort=A","Dates=H","DateFormat=P","Fill=—","Direction=H","UseDPDF=Y")</f>
        <v>1247</v>
      </c>
      <c r="W41" s="13">
        <f>_xll.BDH("GILD US Equity","IS_AVG_NUM_SH_FOR_EPS","FQ2 2024","FQ2 2024","Currency=USD","Period=FQ","BEST_FPERIOD_OVERRIDE=FQ","FILING_STATUS=MR","Sort=A","Dates=H","DateFormat=P","Fill=—","Direction=H","UseDPDF=Y")</f>
        <v>1247</v>
      </c>
      <c r="X41" s="13">
        <f>_xll.BDH("GILD US Equity","IS_AVG_NUM_SH_FOR_EPS","FQ3 2024","FQ3 2024","Currency=USD","Period=FQ","BEST_FPERIOD_OVERRIDE=FQ","FILING_STATUS=MR","Sort=A","Dates=H","DateFormat=P","Fill=—","Direction=H","UseDPDF=Y")</f>
        <v>1247</v>
      </c>
      <c r="Y41" s="13">
        <f>_xll.BDH("GILD US Equity","IS_AVG_NUM_SH_FOR_EPS","FQ4 2024","FQ4 2024","Currency=USD","Period=FQ","BEST_FPERIOD_OVERRIDE=FQ","FILING_STATUS=MR","Sort=A","Dates=H","DateFormat=P","Fill=—","Direction=H","UseDPDF=Y")</f>
        <v>1248</v>
      </c>
      <c r="Z41" s="13"/>
      <c r="AA41" s="13"/>
    </row>
    <row r="42" spans="1:27" x14ac:dyDescent="0.25">
      <c r="A42" s="6" t="s">
        <v>101</v>
      </c>
      <c r="B42" s="6" t="s">
        <v>102</v>
      </c>
      <c r="C42" s="20">
        <f>_xll.BDH("GILD US Equity","IS_EPS","FQ2 2019","FQ2 2019","Currency=USD","Period=FQ","BEST_FPERIOD_OVERRIDE=FQ","FILING_STATUS=MR","FA_ADJUSTED=GAAP","Sort=A","Dates=H","DateFormat=P","Fill=—","Direction=H","UseDPDF=Y")</f>
        <v>1.48</v>
      </c>
      <c r="D42" s="20">
        <f>_xll.BDH("GILD US Equity","IS_EPS","FQ3 2019","FQ3 2019","Currency=USD","Period=FQ","BEST_FPERIOD_OVERRIDE=FQ","FILING_STATUS=MR","FA_ADJUSTED=GAAP","Sort=A","Dates=H","DateFormat=P","Fill=—","Direction=H","UseDPDF=Y")</f>
        <v>-0.92</v>
      </c>
      <c r="E42" s="20">
        <f>_xll.BDH("GILD US Equity","IS_EPS","FQ4 2019","FQ4 2019","Currency=USD","Period=FQ","BEST_FPERIOD_OVERRIDE=FQ","FILING_STATUS=MR","FA_ADJUSTED=GAAP","Sort=A","Dates=H","DateFormat=P","Fill=—","Direction=H","UseDPDF=Y")</f>
        <v>2.13</v>
      </c>
      <c r="F42" s="20">
        <f>_xll.BDH("GILD US Equity","IS_EPS","FQ1 2020","FQ1 2020","Currency=USD","Period=FQ","BEST_FPERIOD_OVERRIDE=FQ","FILING_STATUS=MR","FA_ADJUSTED=GAAP","Sort=A","Dates=H","DateFormat=P","Fill=—","Direction=H","UseDPDF=Y")</f>
        <v>1.23</v>
      </c>
      <c r="G42" s="20">
        <f>_xll.BDH("GILD US Equity","IS_EPS","FQ2 2020","FQ2 2020","Currency=USD","Period=FQ","BEST_FPERIOD_OVERRIDE=FQ","FILING_STATUS=MR","FA_ADJUSTED=GAAP","Sort=A","Dates=H","DateFormat=P","Fill=—","Direction=H","UseDPDF=Y")</f>
        <v>-2.66</v>
      </c>
      <c r="H42" s="20">
        <f>_xll.BDH("GILD US Equity","IS_EPS","FQ3 2020","FQ3 2020","Currency=USD","Period=FQ","BEST_FPERIOD_OVERRIDE=FQ","FILING_STATUS=MR","FA_ADJUSTED=GAAP","Sort=A","Dates=H","DateFormat=P","Fill=—","Direction=H","UseDPDF=Y")</f>
        <v>0.28999999999999998</v>
      </c>
      <c r="I42" s="20">
        <f>_xll.BDH("GILD US Equity","IS_EPS","FQ4 2020","FQ4 2020","Currency=USD","Period=FQ","BEST_FPERIOD_OVERRIDE=FQ","FILING_STATUS=MR","FA_ADJUSTED=GAAP","Sort=A","Dates=H","DateFormat=P","Fill=—","Direction=H","UseDPDF=Y")</f>
        <v>1.24</v>
      </c>
      <c r="J42" s="20">
        <f>_xll.BDH("GILD US Equity","IS_EPS","FQ1 2021","FQ1 2021","Currency=USD","Period=FQ","BEST_FPERIOD_OVERRIDE=FQ","FILING_STATUS=MR","FA_ADJUSTED=GAAP","Sort=A","Dates=H","DateFormat=P","Fill=—","Direction=H","UseDPDF=Y")</f>
        <v>1.38</v>
      </c>
      <c r="K42" s="20">
        <f>_xll.BDH("GILD US Equity","IS_EPS","FQ2 2021","FQ2 2021","Currency=USD","Period=FQ","BEST_FPERIOD_OVERRIDE=FQ","FILING_STATUS=MR","FA_ADJUSTED=GAAP","Sort=A","Dates=H","DateFormat=P","Fill=—","Direction=H","UseDPDF=Y")</f>
        <v>1.21</v>
      </c>
      <c r="L42" s="20">
        <f>_xll.BDH("GILD US Equity","IS_EPS","FQ3 2021","FQ3 2021","Currency=USD","Period=FQ","BEST_FPERIOD_OVERRIDE=FQ","FILING_STATUS=MR","FA_ADJUSTED=GAAP","Sort=A","Dates=H","DateFormat=P","Fill=—","Direction=H","UseDPDF=Y")</f>
        <v>2.06</v>
      </c>
      <c r="M42" s="20">
        <f>_xll.BDH("GILD US Equity","IS_EPS","FQ4 2021","FQ4 2021","Currency=USD","Period=FQ","BEST_FPERIOD_OVERRIDE=FQ","FILING_STATUS=MR","FA_ADJUSTED=GAAP","Sort=A","Dates=H","DateFormat=P","Fill=—","Direction=H","UseDPDF=Y")</f>
        <v>0.3</v>
      </c>
      <c r="N42" s="20">
        <f>_xll.BDH("GILD US Equity","IS_EPS","FQ1 2022","FQ1 2022","Currency=USD","Period=FQ","BEST_FPERIOD_OVERRIDE=FQ","FILING_STATUS=MR","FA_ADJUSTED=GAAP","Sort=A","Dates=H","DateFormat=P","Fill=—","Direction=H","UseDPDF=Y")</f>
        <v>0.02</v>
      </c>
      <c r="O42" s="20">
        <f>_xll.BDH("GILD US Equity","IS_EPS","FQ2 2022","FQ2 2022","Currency=USD","Period=FQ","BEST_FPERIOD_OVERRIDE=FQ","FILING_STATUS=MR","FA_ADJUSTED=GAAP","Sort=A","Dates=H","DateFormat=P","Fill=—","Direction=H","UseDPDF=Y")</f>
        <v>0.91</v>
      </c>
      <c r="P42" s="20">
        <f>_xll.BDH("GILD US Equity","IS_EPS","FQ3 2022","FQ3 2022","Currency=USD","Period=FQ","BEST_FPERIOD_OVERRIDE=FQ","FILING_STATUS=MR","FA_ADJUSTED=GAAP","Sort=A","Dates=H","DateFormat=P","Fill=—","Direction=H","UseDPDF=Y")</f>
        <v>1.43</v>
      </c>
      <c r="Q42" s="20">
        <f>_xll.BDH("GILD US Equity","IS_EPS","FQ4 2022","FQ4 2022","Currency=USD","Period=FQ","BEST_FPERIOD_OVERRIDE=FQ","FILING_STATUS=MR","FA_ADJUSTED=GAAP","Sort=A","Dates=H","DateFormat=P","Fill=—","Direction=H","UseDPDF=Y")</f>
        <v>1.31</v>
      </c>
      <c r="R42" s="20">
        <f>_xll.BDH("GILD US Equity","IS_EPS","FQ1 2023","FQ1 2023","Currency=USD","Period=FQ","BEST_FPERIOD_OVERRIDE=FQ","FILING_STATUS=MR","FA_ADJUSTED=GAAP","Sort=A","Dates=H","DateFormat=P","Fill=—","Direction=H","UseDPDF=Y")</f>
        <v>0.81</v>
      </c>
      <c r="S42" s="20">
        <f>_xll.BDH("GILD US Equity","IS_EPS","FQ2 2023","FQ2 2023","Currency=USD","Period=FQ","BEST_FPERIOD_OVERRIDE=FQ","FILING_STATUS=MR","FA_ADJUSTED=GAAP","Sort=A","Dates=H","DateFormat=P","Fill=—","Direction=H","UseDPDF=Y")</f>
        <v>0.84</v>
      </c>
      <c r="T42" s="20">
        <f>_xll.BDH("GILD US Equity","IS_EPS","FQ3 2023","FQ3 2023","Currency=USD","Period=FQ","BEST_FPERIOD_OVERRIDE=FQ","FILING_STATUS=MR","FA_ADJUSTED=GAAP","Sort=A","Dates=H","DateFormat=P","Fill=—","Direction=H","UseDPDF=Y")</f>
        <v>1.75</v>
      </c>
      <c r="U42" s="20">
        <f>_xll.BDH("GILD US Equity","IS_EPS","FQ4 2023","FQ4 2023","Currency=USD","Period=FQ","BEST_FPERIOD_OVERRIDE=FQ","FILING_STATUS=MR","FA_ADJUSTED=GAAP","Sort=A","Dates=H","DateFormat=P","Fill=—","Direction=H","UseDPDF=Y")</f>
        <v>1.1499999999999999</v>
      </c>
      <c r="V42" s="20">
        <f>_xll.BDH("GILD US Equity","IS_EPS","FQ1 2024","FQ1 2024","Currency=USD","Period=FQ","BEST_FPERIOD_OVERRIDE=FQ","FILING_STATUS=MR","FA_ADJUSTED=GAAP","Sort=A","Dates=H","DateFormat=P","Fill=—","Direction=H","UseDPDF=Y")</f>
        <v>-3.34</v>
      </c>
      <c r="W42" s="20">
        <f>_xll.BDH("GILD US Equity","IS_EPS","FQ2 2024","FQ2 2024","Currency=USD","Period=FQ","BEST_FPERIOD_OVERRIDE=FQ","FILING_STATUS=MR","FA_ADJUSTED=GAAP","Sort=A","Dates=H","DateFormat=P","Fill=—","Direction=H","UseDPDF=Y")</f>
        <v>1.29</v>
      </c>
      <c r="X42" s="20">
        <f>_xll.BDH("GILD US Equity","IS_EPS","FQ3 2024","FQ3 2024","Currency=USD","Period=FQ","BEST_FPERIOD_OVERRIDE=FQ","FILING_STATUS=MR","FA_ADJUSTED=GAAP","Sort=A","Dates=H","DateFormat=P","Fill=—","Direction=H","UseDPDF=Y")</f>
        <v>1</v>
      </c>
      <c r="Y42" s="20">
        <f>_xll.BDH("GILD US Equity","IS_EPS","FQ4 2024","FQ4 2024","Currency=USD","Period=FQ","BEST_FPERIOD_OVERRIDE=FQ","FILING_STATUS=MR","FA_ADJUSTED=GAAP","Sort=A","Dates=H","DateFormat=P","Fill=—","Direction=H","UseDPDF=Y")</f>
        <v>1.43</v>
      </c>
      <c r="Z42" s="20">
        <v>1.2609999999999999</v>
      </c>
      <c r="AA42" s="20">
        <v>1.4650000000000001</v>
      </c>
    </row>
    <row r="43" spans="1:27" x14ac:dyDescent="0.25">
      <c r="A43" s="6" t="s">
        <v>387</v>
      </c>
      <c r="B43" s="6" t="s">
        <v>266</v>
      </c>
      <c r="C43" s="20">
        <f>_xll.BDH("GILD US Equity","IS_EARN_BEF_XO_ITEMS_PER_SH","FQ2 2019","FQ2 2019","Currency=USD","Period=FQ","BEST_FPERIOD_OVERRIDE=FQ","FILING_STATUS=MR","Sort=A","Dates=H","DateFormat=P","Fill=—","Direction=H","UseDPDF=Y")</f>
        <v>1.48</v>
      </c>
      <c r="D43" s="20">
        <f>_xll.BDH("GILD US Equity","IS_EARN_BEF_XO_ITEMS_PER_SH","FQ3 2019","FQ3 2019","Currency=USD","Period=FQ","BEST_FPERIOD_OVERRIDE=FQ","FILING_STATUS=MR","Sort=A","Dates=H","DateFormat=P","Fill=—","Direction=H","UseDPDF=Y")</f>
        <v>-0.92</v>
      </c>
      <c r="E43" s="20">
        <f>_xll.BDH("GILD US Equity","IS_EARN_BEF_XO_ITEMS_PER_SH","FQ4 2019","FQ4 2019","Currency=USD","Period=FQ","BEST_FPERIOD_OVERRIDE=FQ","FILING_STATUS=MR","Sort=A","Dates=H","DateFormat=P","Fill=—","Direction=H","UseDPDF=Y")</f>
        <v>2.13</v>
      </c>
      <c r="F43" s="20">
        <f>_xll.BDH("GILD US Equity","IS_EARN_BEF_XO_ITEMS_PER_SH","FQ1 2020","FQ1 2020","Currency=USD","Period=FQ","BEST_FPERIOD_OVERRIDE=FQ","FILING_STATUS=MR","Sort=A","Dates=H","DateFormat=P","Fill=—","Direction=H","UseDPDF=Y")</f>
        <v>1.23</v>
      </c>
      <c r="G43" s="20">
        <f>_xll.BDH("GILD US Equity","IS_EARN_BEF_XO_ITEMS_PER_SH","FQ2 2020","FQ2 2020","Currency=USD","Period=FQ","BEST_FPERIOD_OVERRIDE=FQ","FILING_STATUS=MR","Sort=A","Dates=H","DateFormat=P","Fill=—","Direction=H","UseDPDF=Y")</f>
        <v>-2.66</v>
      </c>
      <c r="H43" s="20">
        <f>_xll.BDH("GILD US Equity","IS_EARN_BEF_XO_ITEMS_PER_SH","FQ3 2020","FQ3 2020","Currency=USD","Period=FQ","BEST_FPERIOD_OVERRIDE=FQ","FILING_STATUS=MR","Sort=A","Dates=H","DateFormat=P","Fill=—","Direction=H","UseDPDF=Y")</f>
        <v>0.28999999999999998</v>
      </c>
      <c r="I43" s="20">
        <f>_xll.BDH("GILD US Equity","IS_EARN_BEF_XO_ITEMS_PER_SH","FQ4 2020","FQ4 2020","Currency=USD","Period=FQ","BEST_FPERIOD_OVERRIDE=FQ","FILING_STATUS=MR","Sort=A","Dates=H","DateFormat=P","Fill=—","Direction=H","UseDPDF=Y")</f>
        <v>1.24</v>
      </c>
      <c r="J43" s="20">
        <f>_xll.BDH("GILD US Equity","IS_EARN_BEF_XO_ITEMS_PER_SH","FQ1 2021","FQ1 2021","Currency=USD","Period=FQ","BEST_FPERIOD_OVERRIDE=FQ","FILING_STATUS=MR","Sort=A","Dates=H","DateFormat=P","Fill=—","Direction=H","UseDPDF=Y")</f>
        <v>1.38</v>
      </c>
      <c r="K43" s="20">
        <f>_xll.BDH("GILD US Equity","IS_EARN_BEF_XO_ITEMS_PER_SH","FQ2 2021","FQ2 2021","Currency=USD","Period=FQ","BEST_FPERIOD_OVERRIDE=FQ","FILING_STATUS=MR","Sort=A","Dates=H","DateFormat=P","Fill=—","Direction=H","UseDPDF=Y")</f>
        <v>1.21</v>
      </c>
      <c r="L43" s="20">
        <f>_xll.BDH("GILD US Equity","IS_EARN_BEF_XO_ITEMS_PER_SH","FQ3 2021","FQ3 2021","Currency=USD","Period=FQ","BEST_FPERIOD_OVERRIDE=FQ","FILING_STATUS=MR","Sort=A","Dates=H","DateFormat=P","Fill=—","Direction=H","UseDPDF=Y")</f>
        <v>2.06</v>
      </c>
      <c r="M43" s="20">
        <f>_xll.BDH("GILD US Equity","IS_EARN_BEF_XO_ITEMS_PER_SH","FQ4 2021","FQ4 2021","Currency=USD","Period=FQ","BEST_FPERIOD_OVERRIDE=FQ","FILING_STATUS=MR","Sort=A","Dates=H","DateFormat=P","Fill=—","Direction=H","UseDPDF=Y")</f>
        <v>0.3</v>
      </c>
      <c r="N43" s="20">
        <f>_xll.BDH("GILD US Equity","IS_EARN_BEF_XO_ITEMS_PER_SH","FQ1 2022","FQ1 2022","Currency=USD","Period=FQ","BEST_FPERIOD_OVERRIDE=FQ","FILING_STATUS=MR","Sort=A","Dates=H","DateFormat=P","Fill=—","Direction=H","UseDPDF=Y")</f>
        <v>0.02</v>
      </c>
      <c r="O43" s="20">
        <f>_xll.BDH("GILD US Equity","IS_EARN_BEF_XO_ITEMS_PER_SH","FQ2 2022","FQ2 2022","Currency=USD","Period=FQ","BEST_FPERIOD_OVERRIDE=FQ","FILING_STATUS=MR","Sort=A","Dates=H","DateFormat=P","Fill=—","Direction=H","UseDPDF=Y")</f>
        <v>0.91</v>
      </c>
      <c r="P43" s="20">
        <f>_xll.BDH("GILD US Equity","IS_EARN_BEF_XO_ITEMS_PER_SH","FQ3 2022","FQ3 2022","Currency=USD","Period=FQ","BEST_FPERIOD_OVERRIDE=FQ","FILING_STATUS=MR","Sort=A","Dates=H","DateFormat=P","Fill=—","Direction=H","UseDPDF=Y")</f>
        <v>1.43</v>
      </c>
      <c r="Q43" s="20">
        <f>_xll.BDH("GILD US Equity","IS_EARN_BEF_XO_ITEMS_PER_SH","FQ4 2022","FQ4 2022","Currency=USD","Period=FQ","BEST_FPERIOD_OVERRIDE=FQ","FILING_STATUS=MR","Sort=A","Dates=H","DateFormat=P","Fill=—","Direction=H","UseDPDF=Y")</f>
        <v>1.31</v>
      </c>
      <c r="R43" s="20">
        <f>_xll.BDH("GILD US Equity","IS_EARN_BEF_XO_ITEMS_PER_SH","FQ1 2023","FQ1 2023","Currency=USD","Period=FQ","BEST_FPERIOD_OVERRIDE=FQ","FILING_STATUS=MR","Sort=A","Dates=H","DateFormat=P","Fill=—","Direction=H","UseDPDF=Y")</f>
        <v>0.81</v>
      </c>
      <c r="S43" s="20">
        <f>_xll.BDH("GILD US Equity","IS_EARN_BEF_XO_ITEMS_PER_SH","FQ2 2023","FQ2 2023","Currency=USD","Period=FQ","BEST_FPERIOD_OVERRIDE=FQ","FILING_STATUS=MR","Sort=A","Dates=H","DateFormat=P","Fill=—","Direction=H","UseDPDF=Y")</f>
        <v>0.84</v>
      </c>
      <c r="T43" s="20">
        <f>_xll.BDH("GILD US Equity","IS_EARN_BEF_XO_ITEMS_PER_SH","FQ3 2023","FQ3 2023","Currency=USD","Period=FQ","BEST_FPERIOD_OVERRIDE=FQ","FILING_STATUS=MR","Sort=A","Dates=H","DateFormat=P","Fill=—","Direction=H","UseDPDF=Y")</f>
        <v>1.75</v>
      </c>
      <c r="U43" s="20">
        <f>_xll.BDH("GILD US Equity","IS_EARN_BEF_XO_ITEMS_PER_SH","FQ4 2023","FQ4 2023","Currency=USD","Period=FQ","BEST_FPERIOD_OVERRIDE=FQ","FILING_STATUS=MR","Sort=A","Dates=H","DateFormat=P","Fill=—","Direction=H","UseDPDF=Y")</f>
        <v>1.1499999999999999</v>
      </c>
      <c r="V43" s="20">
        <f>_xll.BDH("GILD US Equity","IS_EARN_BEF_XO_ITEMS_PER_SH","FQ1 2024","FQ1 2024","Currency=USD","Period=FQ","BEST_FPERIOD_OVERRIDE=FQ","FILING_STATUS=MR","Sort=A","Dates=H","DateFormat=P","Fill=—","Direction=H","UseDPDF=Y")</f>
        <v>-3.34</v>
      </c>
      <c r="W43" s="20">
        <f>_xll.BDH("GILD US Equity","IS_EARN_BEF_XO_ITEMS_PER_SH","FQ2 2024","FQ2 2024","Currency=USD","Period=FQ","BEST_FPERIOD_OVERRIDE=FQ","FILING_STATUS=MR","Sort=A","Dates=H","DateFormat=P","Fill=—","Direction=H","UseDPDF=Y")</f>
        <v>1.29</v>
      </c>
      <c r="X43" s="20">
        <f>_xll.BDH("GILD US Equity","IS_EARN_BEF_XO_ITEMS_PER_SH","FQ3 2024","FQ3 2024","Currency=USD","Period=FQ","BEST_FPERIOD_OVERRIDE=FQ","FILING_STATUS=MR","Sort=A","Dates=H","DateFormat=P","Fill=—","Direction=H","UseDPDF=Y")</f>
        <v>1</v>
      </c>
      <c r="Y43" s="20">
        <f>_xll.BDH("GILD US Equity","IS_EARN_BEF_XO_ITEMS_PER_SH","FQ4 2024","FQ4 2024","Currency=USD","Period=FQ","BEST_FPERIOD_OVERRIDE=FQ","FILING_STATUS=MR","Sort=A","Dates=H","DateFormat=P","Fill=—","Direction=H","UseDPDF=Y")</f>
        <v>1.43</v>
      </c>
      <c r="Z43" s="20">
        <v>1.2609999999999999</v>
      </c>
      <c r="AA43" s="20">
        <v>1.4650000000000001</v>
      </c>
    </row>
    <row r="44" spans="1:27" x14ac:dyDescent="0.25">
      <c r="A44" s="6" t="s">
        <v>388</v>
      </c>
      <c r="B44" s="6" t="s">
        <v>268</v>
      </c>
      <c r="C44" s="20">
        <f>_xll.BDH("GILD US Equity","IS_BASIC_EPS_CONT_OPS","FQ2 2019","FQ2 2019","Currency=USD","Period=FQ","BEST_FPERIOD_OVERRIDE=FQ","FILING_STATUS=MR","Sort=A","Dates=H","DateFormat=P","Fill=—","Direction=H","UseDPDF=Y")</f>
        <v>1.5306999999999999</v>
      </c>
      <c r="D44" s="20">
        <f>_xll.BDH("GILD US Equity","IS_BASIC_EPS_CONT_OPS","FQ3 2019","FQ3 2019","Currency=USD","Period=FQ","BEST_FPERIOD_OVERRIDE=FQ","FILING_STATUS=MR","Sort=A","Dates=H","DateFormat=P","Fill=—","Direction=H","UseDPDF=Y")</f>
        <v>1.4554</v>
      </c>
      <c r="E44" s="20">
        <f>_xll.BDH("GILD US Equity","IS_BASIC_EPS_CONT_OPS","FQ4 2019","FQ4 2019","Currency=USD","Period=FQ","BEST_FPERIOD_OVERRIDE=FQ","FILING_STATUS=MR","Sort=A","Dates=H","DateFormat=P","Fill=—","Direction=H","UseDPDF=Y")</f>
        <v>0.91069999999999995</v>
      </c>
      <c r="F44" s="20">
        <f>_xll.BDH("GILD US Equity","IS_BASIC_EPS_CONT_OPS","FQ1 2020","FQ1 2020","Currency=USD","Period=FQ","BEST_FPERIOD_OVERRIDE=FQ","FILING_STATUS=MR","Sort=A","Dates=H","DateFormat=P","Fill=—","Direction=H","UseDPDF=Y")</f>
        <v>1.6949000000000001</v>
      </c>
      <c r="G44" s="20">
        <f>_xll.BDH("GILD US Equity","IS_BASIC_EPS_CONT_OPS","FQ2 2020","FQ2 2020","Currency=USD","Period=FQ","BEST_FPERIOD_OVERRIDE=FQ","FILING_STATUS=MR","Sort=A","Dates=H","DateFormat=P","Fill=—","Direction=H","UseDPDF=Y")</f>
        <v>0.93710000000000004</v>
      </c>
      <c r="H44" s="20">
        <f>_xll.BDH("GILD US Equity","IS_BASIC_EPS_CONT_OPS","FQ3 2020","FQ3 2020","Currency=USD","Period=FQ","BEST_FPERIOD_OVERRIDE=FQ","FILING_STATUS=MR","Sort=A","Dates=H","DateFormat=P","Fill=—","Direction=H","UseDPDF=Y")</f>
        <v>1.9372</v>
      </c>
      <c r="I44" s="20">
        <f>_xll.BDH("GILD US Equity","IS_BASIC_EPS_CONT_OPS","FQ4 2020","FQ4 2020","Currency=USD","Period=FQ","BEST_FPERIOD_OVERRIDE=FQ","FILING_STATUS=MR","Sort=A","Dates=H","DateFormat=P","Fill=—","Direction=H","UseDPDF=Y")</f>
        <v>1.9386000000000001</v>
      </c>
      <c r="J44" s="20">
        <f>_xll.BDH("GILD US Equity","IS_BASIC_EPS_CONT_OPS","FQ1 2021","FQ1 2021","Currency=USD","Period=FQ","BEST_FPERIOD_OVERRIDE=FQ","FILING_STATUS=MR","Sort=A","Dates=H","DateFormat=P","Fill=—","Direction=H","UseDPDF=Y")</f>
        <v>2.0924</v>
      </c>
      <c r="K44" s="20">
        <f>_xll.BDH("GILD US Equity","IS_BASIC_EPS_CONT_OPS","FQ2 2021","FQ2 2021","Currency=USD","Period=FQ","BEST_FPERIOD_OVERRIDE=FQ","FILING_STATUS=MR","Sort=A","Dates=H","DateFormat=P","Fill=—","Direction=H","UseDPDF=Y")</f>
        <v>1.5195000000000001</v>
      </c>
      <c r="L44" s="20">
        <f>_xll.BDH("GILD US Equity","IS_BASIC_EPS_CONT_OPS","FQ3 2021","FQ3 2021","Currency=USD","Period=FQ","BEST_FPERIOD_OVERRIDE=FQ","FILING_STATUS=MR","Sort=A","Dates=H","DateFormat=P","Fill=—","Direction=H","UseDPDF=Y")</f>
        <v>2.3184999999999998</v>
      </c>
      <c r="M44" s="20">
        <f>_xll.BDH("GILD US Equity","IS_BASIC_EPS_CONT_OPS","FQ4 2021","FQ4 2021","Currency=USD","Period=FQ","BEST_FPERIOD_OVERRIDE=FQ","FILING_STATUS=MR","Sort=A","Dates=H","DateFormat=P","Fill=—","Direction=H","UseDPDF=Y")</f>
        <v>0.75849999999999995</v>
      </c>
      <c r="N44" s="20">
        <f>_xll.BDH("GILD US Equity","IS_BASIC_EPS_CONT_OPS","FQ1 2022","FQ1 2022","Currency=USD","Period=FQ","BEST_FPERIOD_OVERRIDE=FQ","FILING_STATUS=MR","Sort=A","Dates=H","DateFormat=P","Fill=—","Direction=H","UseDPDF=Y")</f>
        <v>1.7282999999999999</v>
      </c>
      <c r="O44" s="20">
        <f>_xll.BDH("GILD US Equity","IS_BASIC_EPS_CONT_OPS","FQ2 2022","FQ2 2022","Currency=USD","Period=FQ","BEST_FPERIOD_OVERRIDE=FQ","FILING_STATUS=MR","Sort=A","Dates=H","DateFormat=P","Fill=—","Direction=H","UseDPDF=Y")</f>
        <v>1.4353</v>
      </c>
      <c r="P44" s="20">
        <f>_xll.BDH("GILD US Equity","IS_BASIC_EPS_CONT_OPS","FQ3 2022","FQ3 2022","Currency=USD","Period=FQ","BEST_FPERIOD_OVERRIDE=FQ","FILING_STATUS=MR","Sort=A","Dates=H","DateFormat=P","Fill=—","Direction=H","UseDPDF=Y")</f>
        <v>2.1865999999999999</v>
      </c>
      <c r="Q44" s="20">
        <f>_xll.BDH("GILD US Equity","IS_BASIC_EPS_CONT_OPS","FQ4 2022","FQ4 2022","Currency=USD","Period=FQ","BEST_FPERIOD_OVERRIDE=FQ","FILING_STATUS=MR","Sort=A","Dates=H","DateFormat=P","Fill=—","Direction=H","UseDPDF=Y")</f>
        <v>1.5054000000000001</v>
      </c>
      <c r="R44" s="20">
        <f>_xll.BDH("GILD US Equity","IS_BASIC_EPS_CONT_OPS","FQ1 2023","FQ1 2023","Currency=USD","Period=FQ","BEST_FPERIOD_OVERRIDE=FQ","FILING_STATUS=MR","Sort=A","Dates=H","DateFormat=P","Fill=—","Direction=H","UseDPDF=Y")</f>
        <v>1.3476999999999999</v>
      </c>
      <c r="S44" s="20">
        <f>_xll.BDH("GILD US Equity","IS_BASIC_EPS_CONT_OPS","FQ2 2023","FQ2 2023","Currency=USD","Period=FQ","BEST_FPERIOD_OVERRIDE=FQ","FILING_STATUS=MR","Sort=A","Dates=H","DateFormat=P","Fill=—","Direction=H","UseDPDF=Y")</f>
        <v>1.1664000000000001</v>
      </c>
      <c r="T44" s="20">
        <f>_xll.BDH("GILD US Equity","IS_BASIC_EPS_CONT_OPS","FQ3 2023","FQ3 2023","Currency=USD","Period=FQ","BEST_FPERIOD_OVERRIDE=FQ","FILING_STATUS=MR","Sort=A","Dates=H","DateFormat=P","Fill=—","Direction=H","UseDPDF=Y")</f>
        <v>1.9951000000000001</v>
      </c>
      <c r="U44" s="20">
        <f>_xll.BDH("GILD US Equity","IS_BASIC_EPS_CONT_OPS","FQ4 2023","FQ4 2023","Currency=USD","Period=FQ","BEST_FPERIOD_OVERRIDE=FQ","FILING_STATUS=MR","Sort=A","Dates=H","DateFormat=P","Fill=—","Direction=H","UseDPDF=Y")</f>
        <v>1.5818000000000001</v>
      </c>
      <c r="V44" s="20">
        <f>_xll.BDH("GILD US Equity","IS_BASIC_EPS_CONT_OPS","FQ1 2024","FQ1 2024","Currency=USD","Period=FQ","BEST_FPERIOD_OVERRIDE=FQ","FILING_STATUS=MR","Sort=A","Dates=H","DateFormat=P","Fill=—","Direction=H","UseDPDF=Y")</f>
        <v>0.93140000000000001</v>
      </c>
      <c r="W44" s="20">
        <f>_xll.BDH("GILD US Equity","IS_BASIC_EPS_CONT_OPS","FQ2 2024","FQ2 2024","Currency=USD","Period=FQ","BEST_FPERIOD_OVERRIDE=FQ","FILING_STATUS=MR","Sort=A","Dates=H","DateFormat=P","Fill=—","Direction=H","UseDPDF=Y")</f>
        <v>1.6768000000000001</v>
      </c>
      <c r="X44" s="20">
        <f>_xll.BDH("GILD US Equity","IS_BASIC_EPS_CONT_OPS","FQ3 2024","FQ3 2024","Currency=USD","Period=FQ","BEST_FPERIOD_OVERRIDE=FQ","FILING_STATUS=MR","Sort=A","Dates=H","DateFormat=P","Fill=—","Direction=H","UseDPDF=Y")</f>
        <v>1.9815</v>
      </c>
      <c r="Y44" s="20">
        <f>_xll.BDH("GILD US Equity","IS_BASIC_EPS_CONT_OPS","FQ4 2024","FQ4 2024","Currency=USD","Period=FQ","BEST_FPERIOD_OVERRIDE=FQ","FILING_STATUS=MR","Sort=A","Dates=H","DateFormat=P","Fill=—","Direction=H","UseDPDF=Y")</f>
        <v>1.5410999999999999</v>
      </c>
      <c r="Z44" s="20">
        <v>1.7589999999999999</v>
      </c>
      <c r="AA44" s="20">
        <v>1.94</v>
      </c>
    </row>
    <row r="45" spans="1:27" x14ac:dyDescent="0.25">
      <c r="A45" s="6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x14ac:dyDescent="0.25">
      <c r="A46" s="10" t="s">
        <v>258</v>
      </c>
      <c r="B46" s="10" t="s">
        <v>108</v>
      </c>
      <c r="C46" s="13">
        <f>_xll.BDH("GILD US Equity","IS_SH_FOR_DILUTED_EPS","FQ2 2019","FQ2 2019","Currency=USD","Period=FQ","BEST_FPERIOD_OVERRIDE=FQ","FILING_STATUS=MR","Sort=A","Dates=H","DateFormat=P","Fill=—","Direction=H","UseDPDF=Y")</f>
        <v>1277</v>
      </c>
      <c r="D46" s="13">
        <f>_xll.BDH("GILD US Equity","IS_SH_FOR_DILUTED_EPS","FQ3 2019","FQ3 2019","Currency=USD","Period=FQ","BEST_FPERIOD_OVERRIDE=FQ","FILING_STATUS=MR","Sort=A","Dates=H","DateFormat=P","Fill=—","Direction=H","UseDPDF=Y")</f>
        <v>1267</v>
      </c>
      <c r="E46" s="13">
        <f>_xll.BDH("GILD US Equity","IS_SH_FOR_DILUTED_EPS","FQ4 2019","FQ4 2019","Currency=USD","Period=FQ","BEST_FPERIOD_OVERRIDE=FQ","FILING_STATUS=MR","Sort=A","Dates=H","DateFormat=P","Fill=—","Direction=H","UseDPDF=Y")</f>
        <v>1273</v>
      </c>
      <c r="F46" s="13">
        <f>_xll.BDH("GILD US Equity","IS_SH_FOR_DILUTED_EPS","FQ1 2020","FQ1 2020","Currency=USD","Period=FQ","BEST_FPERIOD_OVERRIDE=FQ","FILING_STATUS=MR","Sort=A","Dates=H","DateFormat=P","Fill=—","Direction=H","UseDPDF=Y")</f>
        <v>1270</v>
      </c>
      <c r="G46" s="13">
        <f>_xll.BDH("GILD US Equity","IS_SH_FOR_DILUTED_EPS","FQ2 2020","FQ2 2020","Currency=USD","Period=FQ","BEST_FPERIOD_OVERRIDE=FQ","FILING_STATUS=MR","Sort=A","Dates=H","DateFormat=P","Fill=—","Direction=H","UseDPDF=Y")</f>
        <v>1255</v>
      </c>
      <c r="H46" s="13">
        <f>_xll.BDH("GILD US Equity","IS_SH_FOR_DILUTED_EPS","FQ3 2020","FQ3 2020","Currency=USD","Period=FQ","BEST_FPERIOD_OVERRIDE=FQ","FILING_STATUS=MR","Sort=A","Dates=H","DateFormat=P","Fill=—","Direction=H","UseDPDF=Y")</f>
        <v>1261</v>
      </c>
      <c r="I46" s="13">
        <f>_xll.BDH("GILD US Equity","IS_SH_FOR_DILUTED_EPS","FQ4 2020","FQ4 2020","Currency=USD","Period=FQ","BEST_FPERIOD_OVERRIDE=FQ","FILING_STATUS=MR","Sort=A","Dates=H","DateFormat=P","Fill=—","Direction=H","UseDPDF=Y")</f>
        <v>1259</v>
      </c>
      <c r="J46" s="13">
        <f>_xll.BDH("GILD US Equity","IS_SH_FOR_DILUTED_EPS","FQ1 2021","FQ1 2021","Currency=USD","Period=FQ","BEST_FPERIOD_OVERRIDE=FQ","FILING_STATUS=MR","Sort=A","Dates=H","DateFormat=P","Fill=—","Direction=H","UseDPDF=Y")</f>
        <v>1262</v>
      </c>
      <c r="K46" s="13">
        <f>_xll.BDH("GILD US Equity","IS_SH_FOR_DILUTED_EPS","FQ2 2021","FQ2 2021","Currency=USD","Period=FQ","BEST_FPERIOD_OVERRIDE=FQ","FILING_STATUS=MR","Sort=A","Dates=H","DateFormat=P","Fill=—","Direction=H","UseDPDF=Y")</f>
        <v>1260</v>
      </c>
      <c r="L46" s="13">
        <f>_xll.BDH("GILD US Equity","IS_SH_FOR_DILUTED_EPS","FQ3 2021","FQ3 2021","Currency=USD","Period=FQ","BEST_FPERIOD_OVERRIDE=FQ","FILING_STATUS=MR","Sort=A","Dates=H","DateFormat=P","Fill=—","Direction=H","UseDPDF=Y")</f>
        <v>1262</v>
      </c>
      <c r="M46" s="13">
        <f>_xll.BDH("GILD US Equity","IS_SH_FOR_DILUTED_EPS","FQ4 2021","FQ4 2021","Currency=USD","Period=FQ","BEST_FPERIOD_OVERRIDE=FQ","FILING_STATUS=MR","Sort=A","Dates=H","DateFormat=P","Fill=—","Direction=H","UseDPDF=Y")</f>
        <v>1262</v>
      </c>
      <c r="N46" s="13">
        <f>_xll.BDH("GILD US Equity","IS_SH_FOR_DILUTED_EPS","FQ1 2022","FQ1 2022","Currency=USD","Period=FQ","BEST_FPERIOD_OVERRIDE=FQ","FILING_STATUS=MR","Sort=A","Dates=H","DateFormat=P","Fill=—","Direction=H","UseDPDF=Y")</f>
        <v>1262</v>
      </c>
      <c r="O46" s="13">
        <f>_xll.BDH("GILD US Equity","IS_SH_FOR_DILUTED_EPS","FQ2 2022","FQ2 2022","Currency=USD","Period=FQ","BEST_FPERIOD_OVERRIDE=FQ","FILING_STATUS=MR","Sort=A","Dates=H","DateFormat=P","Fill=—","Direction=H","UseDPDF=Y")</f>
        <v>1260</v>
      </c>
      <c r="P46" s="13">
        <f>_xll.BDH("GILD US Equity","IS_SH_FOR_DILUTED_EPS","FQ3 2022","FQ3 2022","Currency=USD","Period=FQ","BEST_FPERIOD_OVERRIDE=FQ","FILING_STATUS=MR","Sort=A","Dates=H","DateFormat=P","Fill=—","Direction=H","UseDPDF=Y")</f>
        <v>1261</v>
      </c>
      <c r="Q46" s="13">
        <f>_xll.BDH("GILD US Equity","IS_SH_FOR_DILUTED_EPS","FQ4 2022","FQ4 2022","Currency=USD","Period=FQ","BEST_FPERIOD_OVERRIDE=FQ","FILING_STATUS=MR","Sort=A","Dates=H","DateFormat=P","Fill=—","Direction=H","UseDPDF=Y")</f>
        <v>1264</v>
      </c>
      <c r="R46" s="13">
        <f>_xll.BDH("GILD US Equity","IS_SH_FOR_DILUTED_EPS","FQ1 2023","FQ1 2023","Currency=USD","Period=FQ","BEST_FPERIOD_OVERRIDE=FQ","FILING_STATUS=MR","Sort=A","Dates=H","DateFormat=P","Fill=—","Direction=H","UseDPDF=Y")</f>
        <v>1248</v>
      </c>
      <c r="S46" s="13">
        <f>_xll.BDH("GILD US Equity","IS_SH_FOR_DILUTED_EPS","FQ2 2023","FQ2 2023","Currency=USD","Period=FQ","BEST_FPERIOD_OVERRIDE=FQ","FILING_STATUS=MR","Sort=A","Dates=H","DateFormat=P","Fill=—","Direction=H","UseDPDF=Y")</f>
        <v>1258</v>
      </c>
      <c r="T46" s="13">
        <f>_xll.BDH("GILD US Equity","IS_SH_FOR_DILUTED_EPS","FQ3 2023","FQ3 2023","Currency=USD","Period=FQ","BEST_FPERIOD_OVERRIDE=FQ","FILING_STATUS=MR","Sort=A","Dates=H","DateFormat=P","Fill=—","Direction=H","UseDPDF=Y")</f>
        <v>1257</v>
      </c>
      <c r="U46" s="13">
        <f>_xll.BDH("GILD US Equity","IS_SH_FOR_DILUTED_EPS","FQ4 2023","FQ4 2023","Currency=USD","Period=FQ","BEST_FPERIOD_OVERRIDE=FQ","FILING_STATUS=MR","Sort=A","Dates=H","DateFormat=P","Fill=—","Direction=H","UseDPDF=Y")</f>
        <v>1256</v>
      </c>
      <c r="V46" s="13">
        <f>_xll.BDH("GILD US Equity","IS_SH_FOR_DILUTED_EPS","FQ1 2024","FQ1 2024","Currency=USD","Period=FQ","BEST_FPERIOD_OVERRIDE=FQ","FILING_STATUS=MR","Sort=A","Dates=H","DateFormat=P","Fill=—","Direction=H","UseDPDF=Y")</f>
        <v>1247</v>
      </c>
      <c r="W46" s="13">
        <f>_xll.BDH("GILD US Equity","IS_SH_FOR_DILUTED_EPS","FQ2 2024","FQ2 2024","Currency=USD","Period=FQ","BEST_FPERIOD_OVERRIDE=FQ","FILING_STATUS=MR","Sort=A","Dates=H","DateFormat=P","Fill=—","Direction=H","UseDPDF=Y")</f>
        <v>1251</v>
      </c>
      <c r="X46" s="13">
        <f>_xll.BDH("GILD US Equity","IS_SH_FOR_DILUTED_EPS","FQ3 2024","FQ3 2024","Currency=USD","Period=FQ","BEST_FPERIOD_OVERRIDE=FQ","FILING_STATUS=MR","Sort=A","Dates=H","DateFormat=P","Fill=—","Direction=H","UseDPDF=Y")</f>
        <v>1254</v>
      </c>
      <c r="Y46" s="13">
        <f>_xll.BDH("GILD US Equity","IS_SH_FOR_DILUTED_EPS","FQ4 2024","FQ4 2024","Currency=USD","Period=FQ","BEST_FPERIOD_OVERRIDE=FQ","FILING_STATUS=MR","Sort=A","Dates=H","DateFormat=P","Fill=—","Direction=H","UseDPDF=Y")</f>
        <v>1259</v>
      </c>
      <c r="Z46" s="13"/>
      <c r="AA46" s="13"/>
    </row>
    <row r="47" spans="1:27" x14ac:dyDescent="0.25">
      <c r="A47" s="6" t="s">
        <v>103</v>
      </c>
      <c r="B47" s="6" t="s">
        <v>104</v>
      </c>
      <c r="C47" s="20">
        <f>_xll.BDH("GILD US Equity","IS_DILUTED_EPS","FQ2 2019","FQ2 2019","Currency=USD","Period=FQ","BEST_FPERIOD_OVERRIDE=FQ","FILING_STATUS=MR","FA_ADJUSTED=GAAP","Sort=A","Dates=H","DateFormat=P","Fill=—","Direction=H","UseDPDF=Y")</f>
        <v>1.47</v>
      </c>
      <c r="D47" s="20">
        <f>_xll.BDH("GILD US Equity","IS_DILUTED_EPS","FQ3 2019","FQ3 2019","Currency=USD","Period=FQ","BEST_FPERIOD_OVERRIDE=FQ","FILING_STATUS=MR","FA_ADJUSTED=GAAP","Sort=A","Dates=H","DateFormat=P","Fill=—","Direction=H","UseDPDF=Y")</f>
        <v>-0.92</v>
      </c>
      <c r="E47" s="20">
        <f>_xll.BDH("GILD US Equity","IS_DILUTED_EPS","FQ4 2019","FQ4 2019","Currency=USD","Period=FQ","BEST_FPERIOD_OVERRIDE=FQ","FILING_STATUS=MR","FA_ADJUSTED=GAAP","Sort=A","Dates=H","DateFormat=P","Fill=—","Direction=H","UseDPDF=Y")</f>
        <v>2.12</v>
      </c>
      <c r="F47" s="20">
        <f>_xll.BDH("GILD US Equity","IS_DILUTED_EPS","FQ1 2020","FQ1 2020","Currency=USD","Period=FQ","BEST_FPERIOD_OVERRIDE=FQ","FILING_STATUS=MR","FA_ADJUSTED=GAAP","Sort=A","Dates=H","DateFormat=P","Fill=—","Direction=H","UseDPDF=Y")</f>
        <v>1.22</v>
      </c>
      <c r="G47" s="20">
        <f>_xll.BDH("GILD US Equity","IS_DILUTED_EPS","FQ2 2020","FQ2 2020","Currency=USD","Period=FQ","BEST_FPERIOD_OVERRIDE=FQ","FILING_STATUS=MR","FA_ADJUSTED=GAAP","Sort=A","Dates=H","DateFormat=P","Fill=—","Direction=H","UseDPDF=Y")</f>
        <v>-2.66</v>
      </c>
      <c r="H47" s="20">
        <f>_xll.BDH("GILD US Equity","IS_DILUTED_EPS","FQ3 2020","FQ3 2020","Currency=USD","Period=FQ","BEST_FPERIOD_OVERRIDE=FQ","FILING_STATUS=MR","FA_ADJUSTED=GAAP","Sort=A","Dates=H","DateFormat=P","Fill=—","Direction=H","UseDPDF=Y")</f>
        <v>0.28999999999999998</v>
      </c>
      <c r="I47" s="20">
        <f>_xll.BDH("GILD US Equity","IS_DILUTED_EPS","FQ4 2020","FQ4 2020","Currency=USD","Period=FQ","BEST_FPERIOD_OVERRIDE=FQ","FILING_STATUS=MR","FA_ADJUSTED=GAAP","Sort=A","Dates=H","DateFormat=P","Fill=—","Direction=H","UseDPDF=Y")</f>
        <v>1.23</v>
      </c>
      <c r="J47" s="20">
        <f>_xll.BDH("GILD US Equity","IS_DILUTED_EPS","FQ1 2021","FQ1 2021","Currency=USD","Period=FQ","BEST_FPERIOD_OVERRIDE=FQ","FILING_STATUS=MR","FA_ADJUSTED=GAAP","Sort=A","Dates=H","DateFormat=P","Fill=—","Direction=H","UseDPDF=Y")</f>
        <v>1.37</v>
      </c>
      <c r="K47" s="20">
        <f>_xll.BDH("GILD US Equity","IS_DILUTED_EPS","FQ2 2021","FQ2 2021","Currency=USD","Period=FQ","BEST_FPERIOD_OVERRIDE=FQ","FILING_STATUS=MR","FA_ADJUSTED=GAAP","Sort=A","Dates=H","DateFormat=P","Fill=—","Direction=H","UseDPDF=Y")</f>
        <v>1.21</v>
      </c>
      <c r="L47" s="20">
        <f>_xll.BDH("GILD US Equity","IS_DILUTED_EPS","FQ3 2021","FQ3 2021","Currency=USD","Period=FQ","BEST_FPERIOD_OVERRIDE=FQ","FILING_STATUS=MR","FA_ADJUSTED=GAAP","Sort=A","Dates=H","DateFormat=P","Fill=—","Direction=H","UseDPDF=Y")</f>
        <v>2.0499999999999998</v>
      </c>
      <c r="M47" s="20">
        <f>_xll.BDH("GILD US Equity","IS_DILUTED_EPS","FQ4 2021","FQ4 2021","Currency=USD","Period=FQ","BEST_FPERIOD_OVERRIDE=FQ","FILING_STATUS=MR","FA_ADJUSTED=GAAP","Sort=A","Dates=H","DateFormat=P","Fill=—","Direction=H","UseDPDF=Y")</f>
        <v>0.3</v>
      </c>
      <c r="N47" s="20">
        <f>_xll.BDH("GILD US Equity","IS_DILUTED_EPS","FQ1 2022","FQ1 2022","Currency=USD","Period=FQ","BEST_FPERIOD_OVERRIDE=FQ","FILING_STATUS=MR","FA_ADJUSTED=GAAP","Sort=A","Dates=H","DateFormat=P","Fill=—","Direction=H","UseDPDF=Y")</f>
        <v>0.02</v>
      </c>
      <c r="O47" s="20">
        <f>_xll.BDH("GILD US Equity","IS_DILUTED_EPS","FQ2 2022","FQ2 2022","Currency=USD","Period=FQ","BEST_FPERIOD_OVERRIDE=FQ","FILING_STATUS=MR","FA_ADJUSTED=GAAP","Sort=A","Dates=H","DateFormat=P","Fill=—","Direction=H","UseDPDF=Y")</f>
        <v>0.91</v>
      </c>
      <c r="P47" s="20">
        <f>_xll.BDH("GILD US Equity","IS_DILUTED_EPS","FQ3 2022","FQ3 2022","Currency=USD","Period=FQ","BEST_FPERIOD_OVERRIDE=FQ","FILING_STATUS=MR","FA_ADJUSTED=GAAP","Sort=A","Dates=H","DateFormat=P","Fill=—","Direction=H","UseDPDF=Y")</f>
        <v>1.42</v>
      </c>
      <c r="Q47" s="20">
        <f>_xll.BDH("GILD US Equity","IS_DILUTED_EPS","FQ4 2022","FQ4 2022","Currency=USD","Period=FQ","BEST_FPERIOD_OVERRIDE=FQ","FILING_STATUS=MR","FA_ADJUSTED=GAAP","Sort=A","Dates=H","DateFormat=P","Fill=—","Direction=H","UseDPDF=Y")</f>
        <v>1.3</v>
      </c>
      <c r="R47" s="20">
        <f>_xll.BDH("GILD US Equity","IS_DILUTED_EPS","FQ1 2023","FQ1 2023","Currency=USD","Period=FQ","BEST_FPERIOD_OVERRIDE=FQ","FILING_STATUS=MR","FA_ADJUSTED=GAAP","Sort=A","Dates=H","DateFormat=P","Fill=—","Direction=H","UseDPDF=Y")</f>
        <v>0.8</v>
      </c>
      <c r="S47" s="20">
        <f>_xll.BDH("GILD US Equity","IS_DILUTED_EPS","FQ2 2023","FQ2 2023","Currency=USD","Period=FQ","BEST_FPERIOD_OVERRIDE=FQ","FILING_STATUS=MR","FA_ADJUSTED=GAAP","Sort=A","Dates=H","DateFormat=P","Fill=—","Direction=H","UseDPDF=Y")</f>
        <v>0.83</v>
      </c>
      <c r="T47" s="20">
        <f>_xll.BDH("GILD US Equity","IS_DILUTED_EPS","FQ3 2023","FQ3 2023","Currency=USD","Period=FQ","BEST_FPERIOD_OVERRIDE=FQ","FILING_STATUS=MR","FA_ADJUSTED=GAAP","Sort=A","Dates=H","DateFormat=P","Fill=—","Direction=H","UseDPDF=Y")</f>
        <v>1.73</v>
      </c>
      <c r="U47" s="20">
        <f>_xll.BDH("GILD US Equity","IS_DILUTED_EPS","FQ4 2023","FQ4 2023","Currency=USD","Period=FQ","BEST_FPERIOD_OVERRIDE=FQ","FILING_STATUS=MR","FA_ADJUSTED=GAAP","Sort=A","Dates=H","DateFormat=P","Fill=—","Direction=H","UseDPDF=Y")</f>
        <v>1.1399999999999999</v>
      </c>
      <c r="V47" s="20">
        <f>_xll.BDH("GILD US Equity","IS_DILUTED_EPS","FQ1 2024","FQ1 2024","Currency=USD","Period=FQ","BEST_FPERIOD_OVERRIDE=FQ","FILING_STATUS=MR","FA_ADJUSTED=GAAP","Sort=A","Dates=H","DateFormat=P","Fill=—","Direction=H","UseDPDF=Y")</f>
        <v>-3.34</v>
      </c>
      <c r="W47" s="20">
        <f>_xll.BDH("GILD US Equity","IS_DILUTED_EPS","FQ2 2024","FQ2 2024","Currency=USD","Period=FQ","BEST_FPERIOD_OVERRIDE=FQ","FILING_STATUS=MR","FA_ADJUSTED=GAAP","Sort=A","Dates=H","DateFormat=P","Fill=—","Direction=H","UseDPDF=Y")</f>
        <v>1.29</v>
      </c>
      <c r="X47" s="20">
        <f>_xll.BDH("GILD US Equity","IS_DILUTED_EPS","FQ3 2024","FQ3 2024","Currency=USD","Period=FQ","BEST_FPERIOD_OVERRIDE=FQ","FILING_STATUS=MR","FA_ADJUSTED=GAAP","Sort=A","Dates=H","DateFormat=P","Fill=—","Direction=H","UseDPDF=Y")</f>
        <v>1</v>
      </c>
      <c r="Y47" s="20">
        <f>_xll.BDH("GILD US Equity","IS_DILUTED_EPS","FQ4 2024","FQ4 2024","Currency=USD","Period=FQ","BEST_FPERIOD_OVERRIDE=FQ","FILING_STATUS=MR","FA_ADJUSTED=GAAP","Sort=A","Dates=H","DateFormat=P","Fill=—","Direction=H","UseDPDF=Y")</f>
        <v>1.42</v>
      </c>
      <c r="Z47" s="20">
        <v>1.2609999999999999</v>
      </c>
      <c r="AA47" s="20">
        <v>1.4650000000000001</v>
      </c>
    </row>
    <row r="48" spans="1:27" x14ac:dyDescent="0.25">
      <c r="A48" s="6" t="s">
        <v>389</v>
      </c>
      <c r="B48" s="6" t="s">
        <v>271</v>
      </c>
      <c r="C48" s="20">
        <f>_xll.BDH("GILD US Equity","IS_DIL_EPS_BEF_XO","FQ2 2019","FQ2 2019","Currency=USD","Period=FQ","BEST_FPERIOD_OVERRIDE=FQ","FILING_STATUS=MR","Sort=A","Dates=H","DateFormat=P","Fill=—","Direction=H","UseDPDF=Y")</f>
        <v>1.47</v>
      </c>
      <c r="D48" s="20">
        <f>_xll.BDH("GILD US Equity","IS_DIL_EPS_BEF_XO","FQ3 2019","FQ3 2019","Currency=USD","Period=FQ","BEST_FPERIOD_OVERRIDE=FQ","FILING_STATUS=MR","Sort=A","Dates=H","DateFormat=P","Fill=—","Direction=H","UseDPDF=Y")</f>
        <v>-0.92</v>
      </c>
      <c r="E48" s="20">
        <f>_xll.BDH("GILD US Equity","IS_DIL_EPS_BEF_XO","FQ4 2019","FQ4 2019","Currency=USD","Period=FQ","BEST_FPERIOD_OVERRIDE=FQ","FILING_STATUS=MR","Sort=A","Dates=H","DateFormat=P","Fill=—","Direction=H","UseDPDF=Y")</f>
        <v>2.12</v>
      </c>
      <c r="F48" s="20">
        <f>_xll.BDH("GILD US Equity","IS_DIL_EPS_BEF_XO","FQ1 2020","FQ1 2020","Currency=USD","Period=FQ","BEST_FPERIOD_OVERRIDE=FQ","FILING_STATUS=MR","Sort=A","Dates=H","DateFormat=P","Fill=—","Direction=H","UseDPDF=Y")</f>
        <v>1.22</v>
      </c>
      <c r="G48" s="20">
        <f>_xll.BDH("GILD US Equity","IS_DIL_EPS_BEF_XO","FQ2 2020","FQ2 2020","Currency=USD","Period=FQ","BEST_FPERIOD_OVERRIDE=FQ","FILING_STATUS=MR","Sort=A","Dates=H","DateFormat=P","Fill=—","Direction=H","UseDPDF=Y")</f>
        <v>-2.66</v>
      </c>
      <c r="H48" s="20">
        <f>_xll.BDH("GILD US Equity","IS_DIL_EPS_BEF_XO","FQ3 2020","FQ3 2020","Currency=USD","Period=FQ","BEST_FPERIOD_OVERRIDE=FQ","FILING_STATUS=MR","Sort=A","Dates=H","DateFormat=P","Fill=—","Direction=H","UseDPDF=Y")</f>
        <v>0.28999999999999998</v>
      </c>
      <c r="I48" s="20">
        <f>_xll.BDH("GILD US Equity","IS_DIL_EPS_BEF_XO","FQ4 2020","FQ4 2020","Currency=USD","Period=FQ","BEST_FPERIOD_OVERRIDE=FQ","FILING_STATUS=MR","Sort=A","Dates=H","DateFormat=P","Fill=—","Direction=H","UseDPDF=Y")</f>
        <v>1.23</v>
      </c>
      <c r="J48" s="20">
        <f>_xll.BDH("GILD US Equity","IS_DIL_EPS_BEF_XO","FQ1 2021","FQ1 2021","Currency=USD","Period=FQ","BEST_FPERIOD_OVERRIDE=FQ","FILING_STATUS=MR","Sort=A","Dates=H","DateFormat=P","Fill=—","Direction=H","UseDPDF=Y")</f>
        <v>1.37</v>
      </c>
      <c r="K48" s="20">
        <f>_xll.BDH("GILD US Equity","IS_DIL_EPS_BEF_XO","FQ2 2021","FQ2 2021","Currency=USD","Period=FQ","BEST_FPERIOD_OVERRIDE=FQ","FILING_STATUS=MR","Sort=A","Dates=H","DateFormat=P","Fill=—","Direction=H","UseDPDF=Y")</f>
        <v>1.21</v>
      </c>
      <c r="L48" s="20">
        <f>_xll.BDH("GILD US Equity","IS_DIL_EPS_BEF_XO","FQ3 2021","FQ3 2021","Currency=USD","Period=FQ","BEST_FPERIOD_OVERRIDE=FQ","FILING_STATUS=MR","Sort=A","Dates=H","DateFormat=P","Fill=—","Direction=H","UseDPDF=Y")</f>
        <v>2.0499999999999998</v>
      </c>
      <c r="M48" s="20">
        <f>_xll.BDH("GILD US Equity","IS_DIL_EPS_BEF_XO","FQ4 2021","FQ4 2021","Currency=USD","Period=FQ","BEST_FPERIOD_OVERRIDE=FQ","FILING_STATUS=MR","Sort=A","Dates=H","DateFormat=P","Fill=—","Direction=H","UseDPDF=Y")</f>
        <v>0.3</v>
      </c>
      <c r="N48" s="20">
        <f>_xll.BDH("GILD US Equity","IS_DIL_EPS_BEF_XO","FQ1 2022","FQ1 2022","Currency=USD","Period=FQ","BEST_FPERIOD_OVERRIDE=FQ","FILING_STATUS=MR","Sort=A","Dates=H","DateFormat=P","Fill=—","Direction=H","UseDPDF=Y")</f>
        <v>0.02</v>
      </c>
      <c r="O48" s="20">
        <f>_xll.BDH("GILD US Equity","IS_DIL_EPS_BEF_XO","FQ2 2022","FQ2 2022","Currency=USD","Period=FQ","BEST_FPERIOD_OVERRIDE=FQ","FILING_STATUS=MR","Sort=A","Dates=H","DateFormat=P","Fill=—","Direction=H","UseDPDF=Y")</f>
        <v>0.91</v>
      </c>
      <c r="P48" s="20">
        <f>_xll.BDH("GILD US Equity","IS_DIL_EPS_BEF_XO","FQ3 2022","FQ3 2022","Currency=USD","Period=FQ","BEST_FPERIOD_OVERRIDE=FQ","FILING_STATUS=MR","Sort=A","Dates=H","DateFormat=P","Fill=—","Direction=H","UseDPDF=Y")</f>
        <v>1.42</v>
      </c>
      <c r="Q48" s="20">
        <f>_xll.BDH("GILD US Equity","IS_DIL_EPS_BEF_XO","FQ4 2022","FQ4 2022","Currency=USD","Period=FQ","BEST_FPERIOD_OVERRIDE=FQ","FILING_STATUS=MR","Sort=A","Dates=H","DateFormat=P","Fill=—","Direction=H","UseDPDF=Y")</f>
        <v>1.3</v>
      </c>
      <c r="R48" s="20">
        <f>_xll.BDH("GILD US Equity","IS_DIL_EPS_BEF_XO","FQ1 2023","FQ1 2023","Currency=USD","Period=FQ","BEST_FPERIOD_OVERRIDE=FQ","FILING_STATUS=MR","Sort=A","Dates=H","DateFormat=P","Fill=—","Direction=H","UseDPDF=Y")</f>
        <v>0.8</v>
      </c>
      <c r="S48" s="20">
        <f>_xll.BDH("GILD US Equity","IS_DIL_EPS_BEF_XO","FQ2 2023","FQ2 2023","Currency=USD","Period=FQ","BEST_FPERIOD_OVERRIDE=FQ","FILING_STATUS=MR","Sort=A","Dates=H","DateFormat=P","Fill=—","Direction=H","UseDPDF=Y")</f>
        <v>0.83</v>
      </c>
      <c r="T48" s="20">
        <f>_xll.BDH("GILD US Equity","IS_DIL_EPS_BEF_XO","FQ3 2023","FQ3 2023","Currency=USD","Period=FQ","BEST_FPERIOD_OVERRIDE=FQ","FILING_STATUS=MR","Sort=A","Dates=H","DateFormat=P","Fill=—","Direction=H","UseDPDF=Y")</f>
        <v>1.73</v>
      </c>
      <c r="U48" s="20">
        <f>_xll.BDH("GILD US Equity","IS_DIL_EPS_BEF_XO","FQ4 2023","FQ4 2023","Currency=USD","Period=FQ","BEST_FPERIOD_OVERRIDE=FQ","FILING_STATUS=MR","Sort=A","Dates=H","DateFormat=P","Fill=—","Direction=H","UseDPDF=Y")</f>
        <v>1.1399999999999999</v>
      </c>
      <c r="V48" s="20">
        <f>_xll.BDH("GILD US Equity","IS_DIL_EPS_BEF_XO","FQ1 2024","FQ1 2024","Currency=USD","Period=FQ","BEST_FPERIOD_OVERRIDE=FQ","FILING_STATUS=MR","Sort=A","Dates=H","DateFormat=P","Fill=—","Direction=H","UseDPDF=Y")</f>
        <v>-3.34</v>
      </c>
      <c r="W48" s="20">
        <f>_xll.BDH("GILD US Equity","IS_DIL_EPS_BEF_XO","FQ2 2024","FQ2 2024","Currency=USD","Period=FQ","BEST_FPERIOD_OVERRIDE=FQ","FILING_STATUS=MR","Sort=A","Dates=H","DateFormat=P","Fill=—","Direction=H","UseDPDF=Y")</f>
        <v>1.29</v>
      </c>
      <c r="X48" s="20">
        <f>_xll.BDH("GILD US Equity","IS_DIL_EPS_BEF_XO","FQ3 2024","FQ3 2024","Currency=USD","Period=FQ","BEST_FPERIOD_OVERRIDE=FQ","FILING_STATUS=MR","Sort=A","Dates=H","DateFormat=P","Fill=—","Direction=H","UseDPDF=Y")</f>
        <v>1</v>
      </c>
      <c r="Y48" s="20">
        <f>_xll.BDH("GILD US Equity","IS_DIL_EPS_BEF_XO","FQ4 2024","FQ4 2024","Currency=USD","Period=FQ","BEST_FPERIOD_OVERRIDE=FQ","FILING_STATUS=MR","Sort=A","Dates=H","DateFormat=P","Fill=—","Direction=H","UseDPDF=Y")</f>
        <v>1.42</v>
      </c>
      <c r="Z48" s="20">
        <v>1.2609999999999999</v>
      </c>
      <c r="AA48" s="20">
        <v>1.4650000000000001</v>
      </c>
    </row>
    <row r="49" spans="1:27" x14ac:dyDescent="0.25">
      <c r="A49" s="6" t="s">
        <v>390</v>
      </c>
      <c r="B49" s="6" t="s">
        <v>82</v>
      </c>
      <c r="C49" s="20">
        <f>_xll.BDH("GILD US Equity","IS_DIL_EPS_CONT_OPS","FQ2 2019","FQ2 2019","Currency=USD","Period=FQ","BEST_FPERIOD_OVERRIDE=FQ","FILING_STATUS=MR","Sort=A","Dates=H","DateFormat=P","Fill=—","Direction=H","UseDPDF=Y")</f>
        <v>1.5201</v>
      </c>
      <c r="D49" s="20">
        <f>_xll.BDH("GILD US Equity","IS_DIL_EPS_CONT_OPS","FQ3 2019","FQ3 2019","Currency=USD","Period=FQ","BEST_FPERIOD_OVERRIDE=FQ","FILING_STATUS=MR","Sort=A","Dates=H","DateFormat=P","Fill=—","Direction=H","UseDPDF=Y")</f>
        <v>1.4549000000000001</v>
      </c>
      <c r="E49" s="20">
        <f>_xll.BDH("GILD US Equity","IS_DIL_EPS_CONT_OPS","FQ4 2019","FQ4 2019","Currency=USD","Period=FQ","BEST_FPERIOD_OVERRIDE=FQ","FILING_STATUS=MR","Sort=A","Dates=H","DateFormat=P","Fill=—","Direction=H","UseDPDF=Y")</f>
        <v>0.90790000000000004</v>
      </c>
      <c r="F49" s="20">
        <f>_xll.BDH("GILD US Equity","IS_DIL_EPS_CONT_OPS","FQ1 2020","FQ1 2020","Currency=USD","Period=FQ","BEST_FPERIOD_OVERRIDE=FQ","FILING_STATUS=MR","Sort=A","Dates=H","DateFormat=P","Fill=—","Direction=H","UseDPDF=Y")</f>
        <v>1.6830000000000001</v>
      </c>
      <c r="G49" s="20">
        <f>_xll.BDH("GILD US Equity","IS_DIL_EPS_CONT_OPS","FQ2 2020","FQ2 2020","Currency=USD","Period=FQ","BEST_FPERIOD_OVERRIDE=FQ","FILING_STATUS=MR","Sort=A","Dates=H","DateFormat=P","Fill=—","Direction=H","UseDPDF=Y")</f>
        <v>0.93710000000000004</v>
      </c>
      <c r="H49" s="20">
        <f>_xll.BDH("GILD US Equity","IS_DIL_EPS_CONT_OPS","FQ3 2020","FQ3 2020","Currency=USD","Period=FQ","BEST_FPERIOD_OVERRIDE=FQ","FILING_STATUS=MR","Sort=A","Dates=H","DateFormat=P","Fill=—","Direction=H","UseDPDF=Y")</f>
        <v>1.9325000000000001</v>
      </c>
      <c r="I49" s="20">
        <f>_xll.BDH("GILD US Equity","IS_DIL_EPS_CONT_OPS","FQ4 2020","FQ4 2020","Currency=USD","Period=FQ","BEST_FPERIOD_OVERRIDE=FQ","FILING_STATUS=MR","Sort=A","Dates=H","DateFormat=P","Fill=—","Direction=H","UseDPDF=Y")</f>
        <v>1.9306000000000001</v>
      </c>
      <c r="J49" s="20">
        <f>_xll.BDH("GILD US Equity","IS_DIL_EPS_CONT_OPS","FQ1 2021","FQ1 2021","Currency=USD","Period=FQ","BEST_FPERIOD_OVERRIDE=FQ","FILING_STATUS=MR","Sort=A","Dates=H","DateFormat=P","Fill=—","Direction=H","UseDPDF=Y")</f>
        <v>2.0823999999999998</v>
      </c>
      <c r="K49" s="20">
        <f>_xll.BDH("GILD US Equity","IS_DIL_EPS_CONT_OPS","FQ2 2021","FQ2 2021","Currency=USD","Period=FQ","BEST_FPERIOD_OVERRIDE=FQ","FILING_STATUS=MR","Sort=A","Dates=H","DateFormat=P","Fill=—","Direction=H","UseDPDF=Y")</f>
        <v>1.5156000000000001</v>
      </c>
      <c r="L49" s="20">
        <f>_xll.BDH("GILD US Equity","IS_DIL_EPS_CONT_OPS","FQ3 2021","FQ3 2021","Currency=USD","Period=FQ","BEST_FPERIOD_OVERRIDE=FQ","FILING_STATUS=MR","Sort=A","Dates=H","DateFormat=P","Fill=—","Direction=H","UseDPDF=Y")</f>
        <v>2.3035999999999999</v>
      </c>
      <c r="M49" s="20">
        <f>_xll.BDH("GILD US Equity","IS_DIL_EPS_CONT_OPS","FQ4 2021","FQ4 2021","Currency=USD","Period=FQ","BEST_FPERIOD_OVERRIDE=FQ","FILING_STATUS=MR","Sort=A","Dates=H","DateFormat=P","Fill=—","Direction=H","UseDPDF=Y")</f>
        <v>0.75219999999999998</v>
      </c>
      <c r="N49" s="20">
        <f>_xll.BDH("GILD US Equity","IS_DIL_EPS_CONT_OPS","FQ1 2022","FQ1 2022","Currency=USD","Period=FQ","BEST_FPERIOD_OVERRIDE=FQ","FILING_STATUS=MR","Sort=A","Dates=H","DateFormat=P","Fill=—","Direction=H","UseDPDF=Y")</f>
        <v>1.7236</v>
      </c>
      <c r="O49" s="20">
        <f>_xll.BDH("GILD US Equity","IS_DIL_EPS_CONT_OPS","FQ2 2022","FQ2 2022","Currency=USD","Period=FQ","BEST_FPERIOD_OVERRIDE=FQ","FILING_STATUS=MR","Sort=A","Dates=H","DateFormat=P","Fill=—","Direction=H","UseDPDF=Y")</f>
        <v>1.4328000000000001</v>
      </c>
      <c r="P49" s="20">
        <f>_xll.BDH("GILD US Equity","IS_DIL_EPS_CONT_OPS","FQ3 2022","FQ3 2022","Currency=USD","Period=FQ","BEST_FPERIOD_OVERRIDE=FQ","FILING_STATUS=MR","Sort=A","Dates=H","DateFormat=P","Fill=—","Direction=H","UseDPDF=Y")</f>
        <v>2.1774</v>
      </c>
      <c r="Q49" s="20">
        <f>_xll.BDH("GILD US Equity","IS_DIL_EPS_CONT_OPS","FQ4 2022","FQ4 2022","Currency=USD","Period=FQ","BEST_FPERIOD_OVERRIDE=FQ","FILING_STATUS=MR","Sort=A","Dates=H","DateFormat=P","Fill=—","Direction=H","UseDPDF=Y")</f>
        <v>1.4937</v>
      </c>
      <c r="R49" s="20">
        <f>_xll.BDH("GILD US Equity","IS_DIL_EPS_CONT_OPS","FQ1 2023","FQ1 2023","Currency=USD","Period=FQ","BEST_FPERIOD_OVERRIDE=FQ","FILING_STATUS=MR","Sort=A","Dates=H","DateFormat=P","Fill=—","Direction=H","UseDPDF=Y")</f>
        <v>1.3385</v>
      </c>
      <c r="S49" s="20">
        <f>_xll.BDH("GILD US Equity","IS_DIL_EPS_CONT_OPS","FQ2 2023","FQ2 2023","Currency=USD","Period=FQ","BEST_FPERIOD_OVERRIDE=FQ","FILING_STATUS=MR","Sort=A","Dates=H","DateFormat=P","Fill=—","Direction=H","UseDPDF=Y")</f>
        <v>1.1574</v>
      </c>
      <c r="T49" s="20">
        <f>_xll.BDH("GILD US Equity","IS_DIL_EPS_CONT_OPS","FQ3 2023","FQ3 2023","Currency=USD","Period=FQ","BEST_FPERIOD_OVERRIDE=FQ","FILING_STATUS=MR","Sort=A","Dates=H","DateFormat=P","Fill=—","Direction=H","UseDPDF=Y")</f>
        <v>1.9764999999999999</v>
      </c>
      <c r="U49" s="20">
        <f>_xll.BDH("GILD US Equity","IS_DIL_EPS_CONT_OPS","FQ4 2023","FQ4 2023","Currency=USD","Period=FQ","BEST_FPERIOD_OVERRIDE=FQ","FILING_STATUS=MR","Sort=A","Dates=H","DateFormat=P","Fill=—","Direction=H","UseDPDF=Y")</f>
        <v>1.5740000000000001</v>
      </c>
      <c r="V49" s="20">
        <f>_xll.BDH("GILD US Equity","IS_DIL_EPS_CONT_OPS","FQ1 2024","FQ1 2024","Currency=USD","Period=FQ","BEST_FPERIOD_OVERRIDE=FQ","FILING_STATUS=MR","Sort=A","Dates=H","DateFormat=P","Fill=—","Direction=H","UseDPDF=Y")</f>
        <v>0.93140000000000001</v>
      </c>
      <c r="W49" s="20">
        <f>_xll.BDH("GILD US Equity","IS_DIL_EPS_CONT_OPS","FQ2 2024","FQ2 2024","Currency=USD","Period=FQ","BEST_FPERIOD_OVERRIDE=FQ","FILING_STATUS=MR","Sort=A","Dates=H","DateFormat=P","Fill=—","Direction=H","UseDPDF=Y")</f>
        <v>1.6713</v>
      </c>
      <c r="X49" s="20">
        <f>_xll.BDH("GILD US Equity","IS_DIL_EPS_CONT_OPS","FQ3 2024","FQ3 2024","Currency=USD","Period=FQ","BEST_FPERIOD_OVERRIDE=FQ","FILING_STATUS=MR","Sort=A","Dates=H","DateFormat=P","Fill=—","Direction=H","UseDPDF=Y")</f>
        <v>1.9713000000000001</v>
      </c>
      <c r="Y49" s="20">
        <f>_xll.BDH("GILD US Equity","IS_DIL_EPS_CONT_OPS","FQ4 2024","FQ4 2024","Currency=USD","Period=FQ","BEST_FPERIOD_OVERRIDE=FQ","FILING_STATUS=MR","Sort=A","Dates=H","DateFormat=P","Fill=—","Direction=H","UseDPDF=Y")</f>
        <v>1.5314000000000001</v>
      </c>
      <c r="Z49" s="20">
        <v>1.7589999999999999</v>
      </c>
      <c r="AA49" s="20">
        <v>1.94</v>
      </c>
    </row>
    <row r="50" spans="1:27" x14ac:dyDescent="0.25">
      <c r="A50" s="6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 x14ac:dyDescent="0.25">
      <c r="A51" s="6" t="s">
        <v>4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x14ac:dyDescent="0.25">
      <c r="A52" s="10" t="s">
        <v>391</v>
      </c>
      <c r="B52" s="10" t="s">
        <v>392</v>
      </c>
      <c r="C52" s="12" t="s">
        <v>393</v>
      </c>
      <c r="D52" s="12" t="s">
        <v>393</v>
      </c>
      <c r="E52" s="12" t="s">
        <v>393</v>
      </c>
      <c r="F52" s="12" t="s">
        <v>393</v>
      </c>
      <c r="G52" s="12" t="s">
        <v>393</v>
      </c>
      <c r="H52" s="12" t="s">
        <v>393</v>
      </c>
      <c r="I52" s="12" t="s">
        <v>393</v>
      </c>
      <c r="J52" s="12" t="s">
        <v>393</v>
      </c>
      <c r="K52" s="12" t="s">
        <v>393</v>
      </c>
      <c r="L52" s="12" t="s">
        <v>393</v>
      </c>
      <c r="M52" s="12" t="s">
        <v>393</v>
      </c>
      <c r="N52" s="12" t="s">
        <v>393</v>
      </c>
      <c r="O52" s="12" t="s">
        <v>393</v>
      </c>
      <c r="P52" s="12" t="s">
        <v>393</v>
      </c>
      <c r="Q52" s="12" t="s">
        <v>393</v>
      </c>
      <c r="R52" s="12" t="s">
        <v>393</v>
      </c>
      <c r="S52" s="12" t="s">
        <v>393</v>
      </c>
      <c r="T52" s="12" t="s">
        <v>393</v>
      </c>
      <c r="U52" s="12" t="s">
        <v>393</v>
      </c>
      <c r="V52" s="12" t="s">
        <v>393</v>
      </c>
      <c r="W52" s="12" t="s">
        <v>393</v>
      </c>
      <c r="X52" s="12" t="s">
        <v>393</v>
      </c>
      <c r="Y52" s="12" t="s">
        <v>393</v>
      </c>
      <c r="Z52" s="12"/>
      <c r="AA52" s="12"/>
    </row>
    <row r="53" spans="1:27" x14ac:dyDescent="0.25">
      <c r="A53" s="10" t="s">
        <v>78</v>
      </c>
      <c r="B53" s="10" t="s">
        <v>78</v>
      </c>
      <c r="C53" s="13">
        <f>_xll.BDH("GILD US Equity","EBITDA","FQ2 2019","FQ2 2019","Currency=USD","Period=FQ","BEST_FPERIOD_OVERRIDE=FQ","FILING_STATUS=MR","SCALING_FORMAT=MLN","FA_ADJUSTED=GAAP","Sort=A","Dates=H","DateFormat=P","Fill=—","Direction=H","UseDPDF=Y")</f>
        <v>2816</v>
      </c>
      <c r="D53" s="13">
        <f>_xll.BDH("GILD US Equity","EBITDA","FQ3 2019","FQ3 2019","Currency=USD","Period=FQ","BEST_FPERIOD_OVERRIDE=FQ","FILING_STATUS=MR","SCALING_FORMAT=MLN","FA_ADJUSTED=GAAP","Sort=A","Dates=H","DateFormat=P","Fill=—","Direction=H","UseDPDF=Y")</f>
        <v>-1082</v>
      </c>
      <c r="E53" s="13">
        <f>_xll.BDH("GILD US Equity","EBITDA","FQ4 2019","FQ4 2019","Currency=USD","Period=FQ","BEST_FPERIOD_OVERRIDE=FQ","FILING_STATUS=MR","SCALING_FORMAT=MLN","FA_ADJUSTED=GAAP","Sort=A","Dates=H","DateFormat=P","Fill=—","Direction=H","UseDPDF=Y")</f>
        <v>1487</v>
      </c>
      <c r="F53" s="13">
        <f>_xll.BDH("GILD US Equity","EBITDA","FQ1 2020","FQ1 2020","Currency=USD","Period=FQ","BEST_FPERIOD_OVERRIDE=FQ","FILING_STATUS=MR","SCALING_FORMAT=MLN","FA_ADJUSTED=GAAP","Sort=A","Dates=H","DateFormat=P","Fill=—","Direction=H","UseDPDF=Y")</f>
        <v>2751</v>
      </c>
      <c r="G53" s="13">
        <f>_xll.BDH("GILD US Equity","EBITDA","FQ2 2020","FQ2 2020","Currency=USD","Period=FQ","BEST_FPERIOD_OVERRIDE=FQ","FILING_STATUS=MR","SCALING_FORMAT=MLN","FA_ADJUSTED=GAAP","Sort=A","Dates=H","DateFormat=P","Fill=—","Direction=H","UseDPDF=Y")</f>
        <v>-2634</v>
      </c>
      <c r="H53" s="13">
        <f>_xll.BDH("GILD US Equity","EBITDA","FQ3 2020","FQ3 2020","Currency=USD","Period=FQ","BEST_FPERIOD_OVERRIDE=FQ","FILING_STATUS=MR","SCALING_FORMAT=MLN","FA_ADJUSTED=GAAP","Sort=A","Dates=H","DateFormat=P","Fill=—","Direction=H","UseDPDF=Y")</f>
        <v>2356</v>
      </c>
      <c r="I53" s="13">
        <f>_xll.BDH("GILD US Equity","EBITDA","FQ4 2020","FQ4 2020","Currency=USD","Period=FQ","BEST_FPERIOD_OVERRIDE=FQ","FILING_STATUS=MR","SCALING_FORMAT=MLN","FA_ADJUSTED=GAAP","Sort=A","Dates=H","DateFormat=P","Fill=—","Direction=H","UseDPDF=Y")</f>
        <v>3078</v>
      </c>
      <c r="J53" s="13">
        <f>_xll.BDH("GILD US Equity","EBITDA","FQ1 2021","FQ1 2021","Currency=USD","Period=FQ","BEST_FPERIOD_OVERRIDE=FQ","FILING_STATUS=MR","SCALING_FORMAT=MLN","FA_ADJUSTED=GAAP","Sort=A","Dates=H","DateFormat=P","Fill=—","Direction=H","UseDPDF=Y")</f>
        <v>3363</v>
      </c>
      <c r="K53" s="13">
        <f>_xll.BDH("GILD US Equity","EBITDA","FQ2 2021","FQ2 2021","Currency=USD","Period=FQ","BEST_FPERIOD_OVERRIDE=FQ","FILING_STATUS=MR","SCALING_FORMAT=MLN","FA_ADJUSTED=GAAP","Sort=A","Dates=H","DateFormat=P","Fill=—","Direction=H","UseDPDF=Y")</f>
        <v>2765</v>
      </c>
      <c r="L53" s="13">
        <f>_xll.BDH("GILD US Equity","EBITDA","FQ3 2021","FQ3 2021","Currency=USD","Period=FQ","BEST_FPERIOD_OVERRIDE=FQ","FILING_STATUS=MR","SCALING_FORMAT=MLN","FA_ADJUSTED=GAAP","Sort=A","Dates=H","DateFormat=P","Fill=—","Direction=H","UseDPDF=Y")</f>
        <v>4365</v>
      </c>
      <c r="M53" s="13">
        <f>_xll.BDH("GILD US Equity","EBITDA","FQ4 2021","FQ4 2021","Currency=USD","Period=FQ","BEST_FPERIOD_OVERRIDE=FQ","FILING_STATUS=MR","SCALING_FORMAT=MLN","FA_ADJUSTED=GAAP","Sort=A","Dates=H","DateFormat=P","Fill=—","Direction=H","UseDPDF=Y")</f>
        <v>1475</v>
      </c>
      <c r="N53" s="13">
        <f>_xll.BDH("GILD US Equity","EBITDA","FQ1 2022","FQ1 2022","Currency=USD","Period=FQ","BEST_FPERIOD_OVERRIDE=FQ","FILING_STATUS=MR","SCALING_FORMAT=MLN","FA_ADJUSTED=GAAP","Sort=A","Dates=H","DateFormat=P","Fill=—","Direction=H","UseDPDF=Y")</f>
        <v>722</v>
      </c>
      <c r="O53" s="13">
        <f>_xll.BDH("GILD US Equity","EBITDA","FQ2 2022","FQ2 2022","Currency=USD","Period=FQ","BEST_FPERIOD_OVERRIDE=FQ","FILING_STATUS=MR","SCALING_FORMAT=MLN","FA_ADJUSTED=GAAP","Sort=A","Dates=H","DateFormat=P","Fill=—","Direction=H","UseDPDF=Y")</f>
        <v>2554</v>
      </c>
      <c r="P53" s="13">
        <f>_xll.BDH("GILD US Equity","EBITDA","FQ3 2022","FQ3 2022","Currency=USD","Period=FQ","BEST_FPERIOD_OVERRIDE=FQ","FILING_STATUS=MR","SCALING_FORMAT=MLN","FA_ADJUSTED=GAAP","Sort=A","Dates=H","DateFormat=P","Fill=—","Direction=H","UseDPDF=Y")</f>
        <v>3362</v>
      </c>
      <c r="Q53" s="13">
        <f>_xll.BDH("GILD US Equity","EBITDA","FQ4 2022","FQ4 2022","Currency=USD","Period=FQ","BEST_FPERIOD_OVERRIDE=FQ","FILING_STATUS=MR","SCALING_FORMAT=MLN","FA_ADJUSTED=GAAP","Sort=A","Dates=H","DateFormat=P","Fill=—","Direction=H","UseDPDF=Y")</f>
        <v>2795</v>
      </c>
      <c r="R53" s="13">
        <f>_xll.BDH("GILD US Equity","EBITDA","FQ1 2023","FQ1 2023","Currency=USD","Period=FQ","BEST_FPERIOD_OVERRIDE=FQ","FILING_STATUS=MR","SCALING_FORMAT=MLN","FA_ADJUSTED=GAAP","Sort=A","Dates=H","DateFormat=P","Fill=—","Direction=H","UseDPDF=Y")</f>
        <v>2345</v>
      </c>
      <c r="S53" s="13">
        <f>_xll.BDH("GILD US Equity","EBITDA","FQ2 2023","FQ2 2023","Currency=USD","Period=FQ","BEST_FPERIOD_OVERRIDE=FQ","FILING_STATUS=MR","SCALING_FORMAT=MLN","FA_ADJUSTED=GAAP","Sort=A","Dates=H","DateFormat=P","Fill=—","Direction=H","UseDPDF=Y")</f>
        <v>2346</v>
      </c>
      <c r="T53" s="13">
        <f>_xll.BDH("GILD US Equity","EBITDA","FQ3 2023","FQ3 2023","Currency=USD","Period=FQ","BEST_FPERIOD_OVERRIDE=FQ","FILING_STATUS=MR","SCALING_FORMAT=MLN","FA_ADJUSTED=GAAP","Sort=A","Dates=H","DateFormat=P","Fill=—","Direction=H","UseDPDF=Y")</f>
        <v>3307</v>
      </c>
      <c r="U53" s="13">
        <f>_xll.BDH("GILD US Equity","EBITDA","FQ4 2023","FQ4 2023","Currency=USD","Period=FQ","BEST_FPERIOD_OVERRIDE=FQ","FILING_STATUS=MR","SCALING_FORMAT=MLN","FA_ADJUSTED=GAAP","Sort=A","Dates=H","DateFormat=P","Fill=—","Direction=H","UseDPDF=Y")</f>
        <v>2300</v>
      </c>
      <c r="V53" s="13">
        <f>_xll.BDH("GILD US Equity","EBITDA","FQ1 2024","FQ1 2024","Currency=USD","Period=FQ","BEST_FPERIOD_OVERRIDE=FQ","FILING_STATUS=MR","SCALING_FORMAT=MLN","FA_ADJUSTED=GAAP","Sort=A","Dates=H","DateFormat=P","Fill=—","Direction=H","UseDPDF=Y")</f>
        <v>-3632</v>
      </c>
      <c r="W53" s="13">
        <f>_xll.BDH("GILD US Equity","EBITDA","FQ2 2024","FQ2 2024","Currency=USD","Period=FQ","BEST_FPERIOD_OVERRIDE=FQ","FILING_STATUS=MR","SCALING_FORMAT=MLN","FA_ADJUSTED=GAAP","Sort=A","Dates=H","DateFormat=P","Fill=—","Direction=H","UseDPDF=Y")</f>
        <v>3338</v>
      </c>
      <c r="X53" s="13">
        <f>_xll.BDH("GILD US Equity","EBITDA","FQ3 2024","FQ3 2024","Currency=USD","Period=FQ","BEST_FPERIOD_OVERRIDE=FQ","FILING_STATUS=MR","SCALING_FORMAT=MLN","FA_ADJUSTED=GAAP","Sort=A","Dates=H","DateFormat=P","Fill=—","Direction=H","UseDPDF=Y")</f>
        <v>1578</v>
      </c>
      <c r="Y53" s="13">
        <f>_xll.BDH("GILD US Equity","EBITDA","FQ4 2024","FQ4 2024","Currency=USD","Period=FQ","BEST_FPERIOD_OVERRIDE=FQ","FILING_STATUS=MR","SCALING_FORMAT=MLN","FA_ADJUSTED=GAAP","Sort=A","Dates=H","DateFormat=P","Fill=—","Direction=H","UseDPDF=Y")</f>
        <v>3144</v>
      </c>
      <c r="Z53" s="13">
        <v>3141</v>
      </c>
      <c r="AA53" s="13">
        <v>3626</v>
      </c>
    </row>
    <row r="54" spans="1:27" x14ac:dyDescent="0.25">
      <c r="A54" s="10" t="s">
        <v>394</v>
      </c>
      <c r="B54" s="10" t="s">
        <v>395</v>
      </c>
      <c r="C54" s="14">
        <f>_xll.BDH("GILD US Equity","EBITDA_MARGIN","FQ2 2019","FQ2 2019","Currency=USD","Period=FQ","BEST_FPERIOD_OVERRIDE=FQ","FILING_STATUS=MR","FA_ADJUSTED=GAAP","Sort=A","Dates=H","DateFormat=P","Fill=—","Direction=H","UseDPDF=Y")</f>
        <v>44.420099999999998</v>
      </c>
      <c r="D54" s="14">
        <f>_xll.BDH("GILD US Equity","EBITDA_MARGIN","FQ3 2019","FQ3 2019","Currency=USD","Period=FQ","BEST_FPERIOD_OVERRIDE=FQ","FILING_STATUS=MR","FA_ADJUSTED=GAAP","Sort=A","Dates=H","DateFormat=P","Fill=—","Direction=H","UseDPDF=Y")</f>
        <v>26.237400000000001</v>
      </c>
      <c r="E54" s="14">
        <f>_xll.BDH("GILD US Equity","EBITDA_MARGIN","FQ4 2019","FQ4 2019","Currency=USD","Period=FQ","BEST_FPERIOD_OVERRIDE=FQ","FILING_STATUS=MR","FA_ADJUSTED=GAAP","Sort=A","Dates=H","DateFormat=P","Fill=—","Direction=H","UseDPDF=Y")</f>
        <v>26.072399999999998</v>
      </c>
      <c r="F54" s="14">
        <f>_xll.BDH("GILD US Equity","EBITDA_MARGIN","FQ1 2020","FQ1 2020","Currency=USD","Period=FQ","BEST_FPERIOD_OVERRIDE=FQ","FILING_STATUS=MR","FA_ADJUSTED=GAAP","Sort=A","Dates=H","DateFormat=P","Fill=—","Direction=H","UseDPDF=Y")</f>
        <v>26.2898</v>
      </c>
      <c r="G54" s="14">
        <f>_xll.BDH("GILD US Equity","EBITDA_MARGIN","FQ2 2020","FQ2 2020","Currency=USD","Period=FQ","BEST_FPERIOD_OVERRIDE=FQ","FILING_STATUS=MR","FA_ADJUSTED=GAAP","Sort=A","Dates=H","DateFormat=P","Fill=—","Direction=H","UseDPDF=Y")</f>
        <v>2.3540999999999999</v>
      </c>
      <c r="H54" s="14">
        <f>_xll.BDH("GILD US Equity","EBITDA_MARGIN","FQ3 2020","FQ3 2020","Currency=USD","Period=FQ","BEST_FPERIOD_OVERRIDE=FQ","FILING_STATUS=MR","FA_ADJUSTED=GAAP","Sort=A","Dates=H","DateFormat=P","Fill=—","Direction=H","UseDPDF=Y")</f>
        <v>17.108000000000001</v>
      </c>
      <c r="I54" s="14">
        <f>_xll.BDH("GILD US Equity","EBITDA_MARGIN","FQ4 2020","FQ4 2020","Currency=USD","Period=FQ","BEST_FPERIOD_OVERRIDE=FQ","FILING_STATUS=MR","FA_ADJUSTED=GAAP","Sort=A","Dates=H","DateFormat=P","Fill=—","Direction=H","UseDPDF=Y")</f>
        <v>22.483699999999999</v>
      </c>
      <c r="J54" s="14">
        <f>_xll.BDH("GILD US Equity","EBITDA_MARGIN","FQ1 2021","FQ1 2021","Currency=USD","Period=FQ","BEST_FPERIOD_OVERRIDE=FQ","FILING_STATUS=MR","FA_ADJUSTED=GAAP","Sort=A","Dates=H","DateFormat=P","Fill=—","Direction=H","UseDPDF=Y")</f>
        <v>24.1081</v>
      </c>
      <c r="K54" s="14">
        <f>_xll.BDH("GILD US Equity","EBITDA_MARGIN","FQ2 2021","FQ2 2021","Currency=USD","Period=FQ","BEST_FPERIOD_OVERRIDE=FQ","FILING_STATUS=MR","FA_ADJUSTED=GAAP","Sort=A","Dates=H","DateFormat=P","Fill=—","Direction=H","UseDPDF=Y")</f>
        <v>43.404200000000003</v>
      </c>
      <c r="L54" s="14">
        <f>_xll.BDH("GILD US Equity","EBITDA_MARGIN","FQ3 2021","FQ3 2021","Currency=USD","Period=FQ","BEST_FPERIOD_OVERRIDE=FQ","FILING_STATUS=MR","FA_ADJUSTED=GAAP","Sort=A","Dates=H","DateFormat=P","Fill=—","Direction=H","UseDPDF=Y")</f>
        <v>49.381399999999999</v>
      </c>
      <c r="M54" s="14">
        <f>_xll.BDH("GILD US Equity","EBITDA_MARGIN","FQ4 2021","FQ4 2021","Currency=USD","Period=FQ","BEST_FPERIOD_OVERRIDE=FQ","FILING_STATUS=MR","FA_ADJUSTED=GAAP","Sort=A","Dates=H","DateFormat=P","Fill=—","Direction=H","UseDPDF=Y")</f>
        <v>43.830800000000004</v>
      </c>
      <c r="N54" s="14">
        <f>_xll.BDH("GILD US Equity","EBITDA_MARGIN","FQ1 2022","FQ1 2022","Currency=USD","Period=FQ","BEST_FPERIOD_OVERRIDE=FQ","FILING_STATUS=MR","FA_ADJUSTED=GAAP","Sort=A","Dates=H","DateFormat=P","Fill=—","Direction=H","UseDPDF=Y")</f>
        <v>33.950899999999997</v>
      </c>
      <c r="O54" s="14">
        <f>_xll.BDH("GILD US Equity","EBITDA_MARGIN","FQ2 2022","FQ2 2022","Currency=USD","Period=FQ","BEST_FPERIOD_OVERRIDE=FQ","FILING_STATUS=MR","FA_ADJUSTED=GAAP","Sort=A","Dates=H","DateFormat=P","Fill=—","Direction=H","UseDPDF=Y")</f>
        <v>33.131</v>
      </c>
      <c r="P54" s="14">
        <f>_xll.BDH("GILD US Equity","EBITDA_MARGIN","FQ3 2022","FQ3 2022","Currency=USD","Period=FQ","BEST_FPERIOD_OVERRIDE=FQ","FILING_STATUS=MR","FA_ADJUSTED=GAAP","Sort=A","Dates=H","DateFormat=P","Fill=—","Direction=H","UseDPDF=Y")</f>
        <v>29.897600000000001</v>
      </c>
      <c r="Q54" s="14">
        <f>_xll.BDH("GILD US Equity","EBITDA_MARGIN","FQ4 2022","FQ4 2022","Currency=USD","Period=FQ","BEST_FPERIOD_OVERRIDE=FQ","FILING_STATUS=MR","FA_ADJUSTED=GAAP","Sort=A","Dates=H","DateFormat=P","Fill=—","Direction=H","UseDPDF=Y")</f>
        <v>34.577199999999998</v>
      </c>
      <c r="R54" s="14">
        <f>_xll.BDH("GILD US Equity","EBITDA_MARGIN","FQ1 2023","FQ1 2023","Currency=USD","Period=FQ","BEST_FPERIOD_OVERRIDE=FQ","FILING_STATUS=MR","FA_ADJUSTED=GAAP","Sort=A","Dates=H","DateFormat=P","Fill=—","Direction=H","UseDPDF=Y")</f>
        <v>40.883000000000003</v>
      </c>
      <c r="S54" s="14">
        <f>_xll.BDH("GILD US Equity","EBITDA_MARGIN","FQ2 2023","FQ2 2023","Currency=USD","Period=FQ","BEST_FPERIOD_OVERRIDE=FQ","FILING_STATUS=MR","FA_ADJUSTED=GAAP","Sort=A","Dates=H","DateFormat=P","Fill=—","Direction=H","UseDPDF=Y")</f>
        <v>39.6173</v>
      </c>
      <c r="T54" s="14">
        <f>_xll.BDH("GILD US Equity","EBITDA_MARGIN","FQ3 2023","FQ3 2023","Currency=USD","Period=FQ","BEST_FPERIOD_OVERRIDE=FQ","FILING_STATUS=MR","FA_ADJUSTED=GAAP","Sort=A","Dates=H","DateFormat=P","Fill=—","Direction=H","UseDPDF=Y")</f>
        <v>39.403500000000001</v>
      </c>
      <c r="U54" s="14">
        <f>_xll.BDH("GILD US Equity","EBITDA_MARGIN","FQ4 2023","FQ4 2023","Currency=USD","Period=FQ","BEST_FPERIOD_OVERRIDE=FQ","FILING_STATUS=MR","FA_ADJUSTED=GAAP","Sort=A","Dates=H","DateFormat=P","Fill=—","Direction=H","UseDPDF=Y")</f>
        <v>37.976199999999999</v>
      </c>
      <c r="V54" s="14">
        <f>_xll.BDH("GILD US Equity","EBITDA_MARGIN","FQ1 2024","FQ1 2024","Currency=USD","Period=FQ","BEST_FPERIOD_OVERRIDE=FQ","FILING_STATUS=MR","FA_ADJUSTED=GAAP","Sort=A","Dates=H","DateFormat=P","Fill=—","Direction=H","UseDPDF=Y")</f>
        <v>15.7408</v>
      </c>
      <c r="W54" s="14">
        <f>_xll.BDH("GILD US Equity","EBITDA_MARGIN","FQ2 2024","FQ2 2024","Currency=USD","Period=FQ","BEST_FPERIOD_OVERRIDE=FQ","FILING_STATUS=MR","FA_ADJUSTED=GAAP","Sort=A","Dates=H","DateFormat=P","Fill=—","Direction=H","UseDPDF=Y")</f>
        <v>19.1081</v>
      </c>
      <c r="X54" s="14">
        <f>_xll.BDH("GILD US Equity","EBITDA_MARGIN","FQ3 2024","FQ3 2024","Currency=USD","Period=FQ","BEST_FPERIOD_OVERRIDE=FQ","FILING_STATUS=MR","FA_ADJUSTED=GAAP","Sort=A","Dates=H","DateFormat=P","Fill=—","Direction=H","UseDPDF=Y")</f>
        <v>12.6648</v>
      </c>
      <c r="Y54" s="14">
        <f>_xll.BDH("GILD US Equity","EBITDA_MARGIN","FQ4 2024","FQ4 2024","Currency=USD","Period=FQ","BEST_FPERIOD_OVERRIDE=FQ","FILING_STATUS=MR","FA_ADJUSTED=GAAP","Sort=A","Dates=H","DateFormat=P","Fill=—","Direction=H","UseDPDF=Y")</f>
        <v>15.4001</v>
      </c>
      <c r="Z54" s="14">
        <v>53.624304809222799</v>
      </c>
      <c r="AA54" s="14">
        <v>55.296696936306297</v>
      </c>
    </row>
    <row r="55" spans="1:27" x14ac:dyDescent="0.25">
      <c r="A55" s="10" t="s">
        <v>396</v>
      </c>
      <c r="B55" s="10" t="s">
        <v>396</v>
      </c>
      <c r="C55" s="13">
        <f>_xll.BDH("GILD US Equity","EBITA","FQ2 2019","FQ2 2019","Currency=USD","Period=FQ","BEST_FPERIOD_OVERRIDE=FQ","FILING_STATUS=MR","SCALING_FORMAT=MLN","FA_ADJUSTED=GAAP","Sort=A","Dates=H","DateFormat=P","Fill=—","Direction=H","UseDPDF=Y")</f>
        <v>2756</v>
      </c>
      <c r="D55" s="13">
        <f>_xll.BDH("GILD US Equity","EBITA","FQ3 2019","FQ3 2019","Currency=USD","Period=FQ","BEST_FPERIOD_OVERRIDE=FQ","FILING_STATUS=MR","SCALING_FORMAT=MLN","FA_ADJUSTED=GAAP","Sort=A","Dates=H","DateFormat=P","Fill=—","Direction=H","UseDPDF=Y")</f>
        <v>-1148</v>
      </c>
      <c r="E55" s="13">
        <f>_xll.BDH("GILD US Equity","EBITA","FQ4 2019","FQ4 2019","Currency=USD","Period=FQ","BEST_FPERIOD_OVERRIDE=FQ","FILING_STATUS=MR","SCALING_FORMAT=MLN","FA_ADJUSTED=GAAP","Sort=A","Dates=H","DateFormat=P","Fill=—","Direction=H","UseDPDF=Y")</f>
        <v>1418</v>
      </c>
      <c r="F55" s="13">
        <f>_xll.BDH("GILD US Equity","EBITA","FQ1 2020","FQ1 2020","Currency=USD","Period=FQ","BEST_FPERIOD_OVERRIDE=FQ","FILING_STATUS=MR","SCALING_FORMAT=MLN","FA_ADJUSTED=GAAP","Sort=A","Dates=H","DateFormat=P","Fill=—","Direction=H","UseDPDF=Y")</f>
        <v>2683</v>
      </c>
      <c r="G55" s="13">
        <f>_xll.BDH("GILD US Equity","EBITA","FQ2 2020","FQ2 2020","Currency=USD","Period=FQ","BEST_FPERIOD_OVERRIDE=FQ","FILING_STATUS=MR","SCALING_FORMAT=MLN","FA_ADJUSTED=GAAP","Sort=A","Dates=H","DateFormat=P","Fill=—","Direction=H","UseDPDF=Y")</f>
        <v>-2702</v>
      </c>
      <c r="H55" s="13">
        <f>_xll.BDH("GILD US Equity","EBITA","FQ3 2020","FQ3 2020","Currency=USD","Period=FQ","BEST_FPERIOD_OVERRIDE=FQ","FILING_STATUS=MR","SCALING_FORMAT=MLN","FA_ADJUSTED=GAAP","Sort=A","Dates=H","DateFormat=P","Fill=—","Direction=H","UseDPDF=Y")</f>
        <v>2283</v>
      </c>
      <c r="I55" s="13">
        <f>_xll.BDH("GILD US Equity","EBITA","FQ4 2020","FQ4 2020","Currency=USD","Period=FQ","BEST_FPERIOD_OVERRIDE=FQ","FILING_STATUS=MR","SCALING_FORMAT=MLN","FA_ADJUSTED=GAAP","Sort=A","Dates=H","DateFormat=P","Fill=—","Direction=H","UseDPDF=Y")</f>
        <v>2999</v>
      </c>
      <c r="J55" s="13">
        <f>_xll.BDH("GILD US Equity","EBITA","FQ1 2021","FQ1 2021","Currency=USD","Period=FQ","BEST_FPERIOD_OVERRIDE=FQ","FILING_STATUS=MR","SCALING_FORMAT=MLN","FA_ADJUSTED=GAAP","Sort=A","Dates=H","DateFormat=P","Fill=—","Direction=H","UseDPDF=Y")</f>
        <v>3285</v>
      </c>
      <c r="K55" s="13">
        <f>_xll.BDH("GILD US Equity","EBITA","FQ2 2021","FQ2 2021","Currency=USD","Period=FQ","BEST_FPERIOD_OVERRIDE=FQ","FILING_STATUS=MR","SCALING_FORMAT=MLN","FA_ADJUSTED=GAAP","Sort=A","Dates=H","DateFormat=P","Fill=—","Direction=H","UseDPDF=Y")</f>
        <v>2686</v>
      </c>
      <c r="L55" s="13">
        <f>_xll.BDH("GILD US Equity","EBITA","FQ3 2021","FQ3 2021","Currency=USD","Period=FQ","BEST_FPERIOD_OVERRIDE=FQ","FILING_STATUS=MR","SCALING_FORMAT=MLN","FA_ADJUSTED=GAAP","Sort=A","Dates=H","DateFormat=P","Fill=—","Direction=H","UseDPDF=Y")</f>
        <v>4283</v>
      </c>
      <c r="M55" s="13">
        <f>_xll.BDH("GILD US Equity","EBITA","FQ4 2021","FQ4 2021","Currency=USD","Period=FQ","BEST_FPERIOD_OVERRIDE=FQ","FILING_STATUS=MR","SCALING_FORMAT=MLN","FA_ADJUSTED=GAAP","Sort=A","Dates=H","DateFormat=P","Fill=—","Direction=H","UseDPDF=Y")</f>
        <v>1385</v>
      </c>
      <c r="N55" s="13">
        <f>_xll.BDH("GILD US Equity","EBITA","FQ1 2022","FQ1 2022","Currency=USD","Period=FQ","BEST_FPERIOD_OVERRIDE=FQ","FILING_STATUS=MR","SCALING_FORMAT=MLN","FA_ADJUSTED=GAAP","Sort=A","Dates=H","DateFormat=P","Fill=—","Direction=H","UseDPDF=Y")</f>
        <v>642</v>
      </c>
      <c r="O55" s="13">
        <f>_xll.BDH("GILD US Equity","EBITA","FQ2 2022","FQ2 2022","Currency=USD","Period=FQ","BEST_FPERIOD_OVERRIDE=FQ","FILING_STATUS=MR","SCALING_FORMAT=MLN","FA_ADJUSTED=GAAP","Sort=A","Dates=H","DateFormat=P","Fill=—","Direction=H","UseDPDF=Y")</f>
        <v>2474</v>
      </c>
      <c r="P55" s="13">
        <f>_xll.BDH("GILD US Equity","EBITA","FQ3 2022","FQ3 2022","Currency=USD","Period=FQ","BEST_FPERIOD_OVERRIDE=FQ","FILING_STATUS=MR","SCALING_FORMAT=MLN","FA_ADJUSTED=GAAP","Sort=A","Dates=H","DateFormat=P","Fill=—","Direction=H","UseDPDF=Y")</f>
        <v>3282</v>
      </c>
      <c r="Q55" s="13">
        <f>_xll.BDH("GILD US Equity","EBITA","FQ4 2022","FQ4 2022","Currency=USD","Period=FQ","BEST_FPERIOD_OVERRIDE=FQ","FILING_STATUS=MR","SCALING_FORMAT=MLN","FA_ADJUSTED=GAAP","Sort=A","Dates=H","DateFormat=P","Fill=—","Direction=H","UseDPDF=Y")</f>
        <v>2712</v>
      </c>
      <c r="R55" s="13">
        <f>_xll.BDH("GILD US Equity","EBITA","FQ1 2023","FQ1 2023","Currency=USD","Period=FQ","BEST_FPERIOD_OVERRIDE=FQ","FILING_STATUS=MR","SCALING_FORMAT=MLN","FA_ADJUSTED=GAAP","Sort=A","Dates=H","DateFormat=P","Fill=—","Direction=H","UseDPDF=Y")</f>
        <v>2251</v>
      </c>
      <c r="S55" s="13">
        <f>_xll.BDH("GILD US Equity","EBITA","FQ2 2023","FQ2 2023","Currency=USD","Period=FQ","BEST_FPERIOD_OVERRIDE=FQ","FILING_STATUS=MR","SCALING_FORMAT=MLN","FA_ADJUSTED=GAAP","Sort=A","Dates=H","DateFormat=P","Fill=—","Direction=H","UseDPDF=Y")</f>
        <v>2263</v>
      </c>
      <c r="T55" s="13">
        <f>_xll.BDH("GILD US Equity","EBITA","FQ3 2023","FQ3 2023","Currency=USD","Period=FQ","BEST_FPERIOD_OVERRIDE=FQ","FILING_STATUS=MR","SCALING_FORMAT=MLN","FA_ADJUSTED=GAAP","Sort=A","Dates=H","DateFormat=P","Fill=—","Direction=H","UseDPDF=Y")</f>
        <v>3221</v>
      </c>
      <c r="U55" s="13">
        <f>_xll.BDH("GILD US Equity","EBITA","FQ4 2023","FQ4 2023","Currency=USD","Period=FQ","BEST_FPERIOD_OVERRIDE=FQ","FILING_STATUS=MR","SCALING_FORMAT=MLN","FA_ADJUSTED=GAAP","Sort=A","Dates=H","DateFormat=P","Fill=—","Direction=H","UseDPDF=Y")</f>
        <v>2209</v>
      </c>
      <c r="V55" s="13">
        <f>_xll.BDH("GILD US Equity","EBITA","FQ1 2024","FQ1 2024","Currency=USD","Period=FQ","BEST_FPERIOD_OVERRIDE=FQ","FILING_STATUS=MR","SCALING_FORMAT=MLN","FA_ADJUSTED=GAAP","Sort=A","Dates=H","DateFormat=P","Fill=—","Direction=H","UseDPDF=Y")</f>
        <v>-3726</v>
      </c>
      <c r="W55" s="13">
        <f>_xll.BDH("GILD US Equity","EBITA","FQ2 2024","FQ2 2024","Currency=USD","Period=FQ","BEST_FPERIOD_OVERRIDE=FQ","FILING_STATUS=MR","SCALING_FORMAT=MLN","FA_ADJUSTED=GAAP","Sort=A","Dates=H","DateFormat=P","Fill=—","Direction=H","UseDPDF=Y")</f>
        <v>3240</v>
      </c>
      <c r="X55" s="13">
        <f>_xll.BDH("GILD US Equity","EBITA","FQ3 2024","FQ3 2024","Currency=USD","Period=FQ","BEST_FPERIOD_OVERRIDE=FQ","FILING_STATUS=MR","SCALING_FORMAT=MLN","FA_ADJUSTED=GAAP","Sort=A","Dates=H","DateFormat=P","Fill=—","Direction=H","UseDPDF=Y")</f>
        <v>1484</v>
      </c>
      <c r="Y55" s="13">
        <f>_xll.BDH("GILD US Equity","EBITA","FQ4 2024","FQ4 2024","Currency=USD","Period=FQ","BEST_FPERIOD_OVERRIDE=FQ","FILING_STATUS=MR","SCALING_FORMAT=MLN","FA_ADJUSTED=GAAP","Sort=A","Dates=H","DateFormat=P","Fill=—","Direction=H","UseDPDF=Y")</f>
        <v>3049</v>
      </c>
      <c r="Z55" s="13"/>
      <c r="AA55" s="13"/>
    </row>
    <row r="56" spans="1:27" x14ac:dyDescent="0.25">
      <c r="A56" s="10" t="s">
        <v>141</v>
      </c>
      <c r="B56" s="10" t="s">
        <v>141</v>
      </c>
      <c r="C56" s="13">
        <f>_xll.BDH("GILD US Equity","EBIT","FQ2 2019","FQ2 2019","Currency=USD","Period=FQ","BEST_FPERIOD_OVERRIDE=FQ","FILING_STATUS=MR","SCALING_FORMAT=MLN","FA_ADJUSTED=GAAP","Sort=A","Dates=H","DateFormat=P","Fill=—","Direction=H","UseDPDF=Y")</f>
        <v>2430</v>
      </c>
      <c r="D56" s="13">
        <f>_xll.BDH("GILD US Equity","EBIT","FQ3 2019","FQ3 2019","Currency=USD","Period=FQ","BEST_FPERIOD_OVERRIDE=FQ","FILING_STATUS=MR","SCALING_FORMAT=MLN","FA_ADJUSTED=GAAP","Sort=A","Dates=H","DateFormat=P","Fill=—","Direction=H","UseDPDF=Y")</f>
        <v>-1473</v>
      </c>
      <c r="E56" s="13">
        <f>_xll.BDH("GILD US Equity","EBIT","FQ4 2019","FQ4 2019","Currency=USD","Period=FQ","BEST_FPERIOD_OVERRIDE=FQ","FILING_STATUS=MR","SCALING_FORMAT=MLN","FA_ADJUSTED=GAAP","Sort=A","Dates=H","DateFormat=P","Fill=—","Direction=H","UseDPDF=Y")</f>
        <v>1093</v>
      </c>
      <c r="F56" s="13">
        <f>_xll.BDH("GILD US Equity","EBIT","FQ1 2020","FQ1 2020","Currency=USD","Period=FQ","BEST_FPERIOD_OVERRIDE=FQ","FILING_STATUS=MR","SCALING_FORMAT=MLN","FA_ADJUSTED=GAAP","Sort=A","Dates=H","DateFormat=P","Fill=—","Direction=H","UseDPDF=Y")</f>
        <v>2402</v>
      </c>
      <c r="G56" s="13">
        <f>_xll.BDH("GILD US Equity","EBIT","FQ2 2020","FQ2 2020","Currency=USD","Period=FQ","BEST_FPERIOD_OVERRIDE=FQ","FILING_STATUS=MR","SCALING_FORMAT=MLN","FA_ADJUSTED=GAAP","Sort=A","Dates=H","DateFormat=P","Fill=—","Direction=H","UseDPDF=Y")</f>
        <v>-2983</v>
      </c>
      <c r="H56" s="13">
        <f>_xll.BDH("GILD US Equity","EBIT","FQ3 2020","FQ3 2020","Currency=USD","Period=FQ","BEST_FPERIOD_OVERRIDE=FQ","FILING_STATUS=MR","SCALING_FORMAT=MLN","FA_ADJUSTED=GAAP","Sort=A","Dates=H","DateFormat=P","Fill=—","Direction=H","UseDPDF=Y")</f>
        <v>2001</v>
      </c>
      <c r="I56" s="13">
        <f>_xll.BDH("GILD US Equity","EBIT","FQ4 2020","FQ4 2020","Currency=USD","Period=FQ","BEST_FPERIOD_OVERRIDE=FQ","FILING_STATUS=MR","SCALING_FORMAT=MLN","FA_ADJUSTED=GAAP","Sort=A","Dates=H","DateFormat=P","Fill=—","Direction=H","UseDPDF=Y")</f>
        <v>2651</v>
      </c>
      <c r="J56" s="13">
        <f>_xll.BDH("GILD US Equity","EBIT","FQ1 2021","FQ1 2021","Currency=USD","Period=FQ","BEST_FPERIOD_OVERRIDE=FQ","FILING_STATUS=MR","SCALING_FORMAT=MLN","FA_ADJUSTED=GAAP","Sort=A","Dates=H","DateFormat=P","Fill=—","Direction=H","UseDPDF=Y")</f>
        <v>2890</v>
      </c>
      <c r="K56" s="13">
        <f>_xll.BDH("GILD US Equity","EBIT","FQ2 2021","FQ2 2021","Currency=USD","Period=FQ","BEST_FPERIOD_OVERRIDE=FQ","FILING_STATUS=MR","SCALING_FORMAT=MLN","FA_ADJUSTED=GAAP","Sort=A","Dates=H","DateFormat=P","Fill=—","Direction=H","UseDPDF=Y")</f>
        <v>2246</v>
      </c>
      <c r="L56" s="13">
        <f>_xll.BDH("GILD US Equity","EBIT","FQ3 2021","FQ3 2021","Currency=USD","Period=FQ","BEST_FPERIOD_OVERRIDE=FQ","FILING_STATUS=MR","SCALING_FORMAT=MLN","FA_ADJUSTED=GAAP","Sort=A","Dates=H","DateFormat=P","Fill=—","Direction=H","UseDPDF=Y")</f>
        <v>3842</v>
      </c>
      <c r="M56" s="13">
        <f>_xll.BDH("GILD US Equity","EBIT","FQ4 2021","FQ4 2021","Currency=USD","Period=FQ","BEST_FPERIOD_OVERRIDE=FQ","FILING_STATUS=MR","SCALING_FORMAT=MLN","FA_ADJUSTED=GAAP","Sort=A","Dates=H","DateFormat=P","Fill=—","Direction=H","UseDPDF=Y")</f>
        <v>940</v>
      </c>
      <c r="N56" s="13">
        <f>_xll.BDH("GILD US Equity","EBIT","FQ1 2022","FQ1 2022","Currency=USD","Period=FQ","BEST_FPERIOD_OVERRIDE=FQ","FILING_STATUS=MR","SCALING_FORMAT=MLN","FA_ADJUSTED=GAAP","Sort=A","Dates=H","DateFormat=P","Fill=—","Direction=H","UseDPDF=Y")</f>
        <v>197</v>
      </c>
      <c r="O56" s="13">
        <f>_xll.BDH("GILD US Equity","EBIT","FQ2 2022","FQ2 2022","Currency=USD","Period=FQ","BEST_FPERIOD_OVERRIDE=FQ","FILING_STATUS=MR","SCALING_FORMAT=MLN","FA_ADJUSTED=GAAP","Sort=A","Dates=H","DateFormat=P","Fill=—","Direction=H","UseDPDF=Y")</f>
        <v>2029</v>
      </c>
      <c r="P56" s="13">
        <f>_xll.BDH("GILD US Equity","EBIT","FQ3 2022","FQ3 2022","Currency=USD","Period=FQ","BEST_FPERIOD_OVERRIDE=FQ","FILING_STATUS=MR","SCALING_FORMAT=MLN","FA_ADJUSTED=GAAP","Sort=A","Dates=H","DateFormat=P","Fill=—","Direction=H","UseDPDF=Y")</f>
        <v>2837</v>
      </c>
      <c r="Q56" s="13">
        <f>_xll.BDH("GILD US Equity","EBIT","FQ4 2022","FQ4 2022","Currency=USD","Period=FQ","BEST_FPERIOD_OVERRIDE=FQ","FILING_STATUS=MR","SCALING_FORMAT=MLN","FA_ADJUSTED=GAAP","Sort=A","Dates=H","DateFormat=P","Fill=—","Direction=H","UseDPDF=Y")</f>
        <v>2267</v>
      </c>
      <c r="R56" s="13">
        <f>_xll.BDH("GILD US Equity","EBIT","FQ1 2023","FQ1 2023","Currency=USD","Period=FQ","BEST_FPERIOD_OVERRIDE=FQ","FILING_STATUS=MR","SCALING_FORMAT=MLN","FA_ADJUSTED=GAAP","Sort=A","Dates=H","DateFormat=P","Fill=—","Direction=H","UseDPDF=Y")</f>
        <v>1705</v>
      </c>
      <c r="S56" s="13">
        <f>_xll.BDH("GILD US Equity","EBIT","FQ2 2023","FQ2 2023","Currency=USD","Period=FQ","BEST_FPERIOD_OVERRIDE=FQ","FILING_STATUS=MR","SCALING_FORMAT=MLN","FA_ADJUSTED=GAAP","Sort=A","Dates=H","DateFormat=P","Fill=—","Direction=H","UseDPDF=Y")</f>
        <v>1665</v>
      </c>
      <c r="T56" s="13">
        <f>_xll.BDH("GILD US Equity","EBIT","FQ3 2023","FQ3 2023","Currency=USD","Period=FQ","BEST_FPERIOD_OVERRIDE=FQ","FILING_STATUS=MR","SCALING_FORMAT=MLN","FA_ADJUSTED=GAAP","Sort=A","Dates=H","DateFormat=P","Fill=—","Direction=H","UseDPDF=Y")</f>
        <v>2623</v>
      </c>
      <c r="U56" s="13">
        <f>_xll.BDH("GILD US Equity","EBIT","FQ4 2023","FQ4 2023","Currency=USD","Period=FQ","BEST_FPERIOD_OVERRIDE=FQ","FILING_STATUS=MR","SCALING_FORMAT=MLN","FA_ADJUSTED=GAAP","Sort=A","Dates=H","DateFormat=P","Fill=—","Direction=H","UseDPDF=Y")</f>
        <v>1612</v>
      </c>
      <c r="V56" s="13">
        <f>_xll.BDH("GILD US Equity","EBIT","FQ1 2024","FQ1 2024","Currency=USD","Period=FQ","BEST_FPERIOD_OVERRIDE=FQ","FILING_STATUS=MR","SCALING_FORMAT=MLN","FA_ADJUSTED=GAAP","Sort=A","Dates=H","DateFormat=P","Fill=—","Direction=H","UseDPDF=Y")</f>
        <v>-4322</v>
      </c>
      <c r="W56" s="13">
        <f>_xll.BDH("GILD US Equity","EBIT","FQ2 2024","FQ2 2024","Currency=USD","Period=FQ","BEST_FPERIOD_OVERRIDE=FQ","FILING_STATUS=MR","SCALING_FORMAT=MLN","FA_ADJUSTED=GAAP","Sort=A","Dates=H","DateFormat=P","Fill=—","Direction=H","UseDPDF=Y")</f>
        <v>2644</v>
      </c>
      <c r="X56" s="13">
        <f>_xll.BDH("GILD US Equity","EBIT","FQ3 2024","FQ3 2024","Currency=USD","Period=FQ","BEST_FPERIOD_OVERRIDE=FQ","FILING_STATUS=MR","SCALING_FORMAT=MLN","FA_ADJUSTED=GAAP","Sort=A","Dates=H","DateFormat=P","Fill=—","Direction=H","UseDPDF=Y")</f>
        <v>888</v>
      </c>
      <c r="Y56" s="13">
        <f>_xll.BDH("GILD US Equity","EBIT","FQ4 2024","FQ4 2024","Currency=USD","Period=FQ","BEST_FPERIOD_OVERRIDE=FQ","FILING_STATUS=MR","SCALING_FORMAT=MLN","FA_ADJUSTED=GAAP","Sort=A","Dates=H","DateFormat=P","Fill=—","Direction=H","UseDPDF=Y")</f>
        <v>2451</v>
      </c>
      <c r="Z56" s="13">
        <v>2821.3530000000001</v>
      </c>
      <c r="AA56" s="13">
        <v>3173.3130000000001</v>
      </c>
    </row>
    <row r="57" spans="1:27" x14ac:dyDescent="0.25">
      <c r="A57" s="10" t="s">
        <v>397</v>
      </c>
      <c r="B57" s="10" t="s">
        <v>153</v>
      </c>
      <c r="C57" s="14">
        <f>_xll.BDH("GILD US Equity","GROSS_MARGIN","FQ2 2019","FQ2 2019","Currency=USD","Period=FQ","BEST_FPERIOD_OVERRIDE=FQ","FILING_STATUS=MR","FA_ADJUSTED=GAAP","Sort=A","Dates=H","DateFormat=P","Fill=—","Direction=H","UseDPDF=Y")</f>
        <v>82.409899999999993</v>
      </c>
      <c r="D57" s="14">
        <f>_xll.BDH("GILD US Equity","GROSS_MARGIN","FQ3 2019","FQ3 2019","Currency=USD","Period=FQ","BEST_FPERIOD_OVERRIDE=FQ","FILING_STATUS=MR","FA_ADJUSTED=GAAP","Sort=A","Dates=H","DateFormat=P","Fill=—","Direction=H","UseDPDF=Y")</f>
        <v>81.531000000000006</v>
      </c>
      <c r="E57" s="14">
        <f>_xll.BDH("GILD US Equity","GROSS_MARGIN","FQ4 2019","FQ4 2019","Currency=USD","Period=FQ","BEST_FPERIOD_OVERRIDE=FQ","FILING_STATUS=MR","FA_ADJUSTED=GAAP","Sort=A","Dates=H","DateFormat=P","Fill=—","Direction=H","UseDPDF=Y")</f>
        <v>71.372699999999995</v>
      </c>
      <c r="F57" s="14">
        <f>_xll.BDH("GILD US Equity","GROSS_MARGIN","FQ1 2020","FQ1 2020","Currency=USD","Period=FQ","BEST_FPERIOD_OVERRIDE=FQ","FILING_STATUS=MR","FA_ADJUSTED=GAAP","Sort=A","Dates=H","DateFormat=P","Fill=—","Direction=H","UseDPDF=Y")</f>
        <v>82.534199999999998</v>
      </c>
      <c r="G57" s="14">
        <f>_xll.BDH("GILD US Equity","GROSS_MARGIN","FQ2 2020","FQ2 2020","Currency=USD","Period=FQ","BEST_FPERIOD_OVERRIDE=FQ","FILING_STATUS=MR","FA_ADJUSTED=GAAP","Sort=A","Dates=H","DateFormat=P","Fill=—","Direction=H","UseDPDF=Y")</f>
        <v>79.311700000000002</v>
      </c>
      <c r="H57" s="14">
        <f>_xll.BDH("GILD US Equity","GROSS_MARGIN","FQ3 2020","FQ3 2020","Currency=USD","Period=FQ","BEST_FPERIOD_OVERRIDE=FQ","FILING_STATUS=MR","FA_ADJUSTED=GAAP","Sort=A","Dates=H","DateFormat=P","Fill=—","Direction=H","UseDPDF=Y")</f>
        <v>82.651700000000005</v>
      </c>
      <c r="I57" s="14">
        <f>_xll.BDH("GILD US Equity","GROSS_MARGIN","FQ4 2020","FQ4 2020","Currency=USD","Period=FQ","BEST_FPERIOD_OVERRIDE=FQ","FILING_STATUS=MR","FA_ADJUSTED=GAAP","Sort=A","Dates=H","DateFormat=P","Fill=—","Direction=H","UseDPDF=Y")</f>
        <v>81.161600000000007</v>
      </c>
      <c r="J57" s="14">
        <f>_xll.BDH("GILD US Equity","GROSS_MARGIN","FQ1 2021","FQ1 2021","Currency=USD","Period=FQ","BEST_FPERIOD_OVERRIDE=FQ","FILING_STATUS=MR","FA_ADJUSTED=GAAP","Sort=A","Dates=H","DateFormat=P","Fill=—","Direction=H","UseDPDF=Y")</f>
        <v>78.810500000000005</v>
      </c>
      <c r="K57" s="14">
        <f>_xll.BDH("GILD US Equity","GROSS_MARGIN","FQ2 2021","FQ2 2021","Currency=USD","Period=FQ","BEST_FPERIOD_OVERRIDE=FQ","FILING_STATUS=MR","FA_ADJUSTED=GAAP","Sort=A","Dates=H","DateFormat=P","Fill=—","Direction=H","UseDPDF=Y")</f>
        <v>77.641900000000007</v>
      </c>
      <c r="L57" s="14">
        <f>_xll.BDH("GILD US Equity","GROSS_MARGIN","FQ3 2021","FQ3 2021","Currency=USD","Period=FQ","BEST_FPERIOD_OVERRIDE=FQ","FILING_STATUS=MR","FA_ADJUSTED=GAAP","Sort=A","Dates=H","DateFormat=P","Fill=—","Direction=H","UseDPDF=Y")</f>
        <v>83.5197</v>
      </c>
      <c r="M57" s="14">
        <f>_xll.BDH("GILD US Equity","GROSS_MARGIN","FQ4 2021","FQ4 2021","Currency=USD","Period=FQ","BEST_FPERIOD_OVERRIDE=FQ","FILING_STATUS=MR","FA_ADJUSTED=GAAP","Sort=A","Dates=H","DateFormat=P","Fill=—","Direction=H","UseDPDF=Y")</f>
        <v>63.735500000000002</v>
      </c>
      <c r="N57" s="14">
        <f>_xll.BDH("GILD US Equity","GROSS_MARGIN","FQ1 2022","FQ1 2022","Currency=USD","Period=FQ","BEST_FPERIOD_OVERRIDE=FQ","FILING_STATUS=MR","FA_ADJUSTED=GAAP","Sort=A","Dates=H","DateFormat=P","Fill=—","Direction=H","UseDPDF=Y")</f>
        <v>78.391499999999994</v>
      </c>
      <c r="O57" s="14">
        <f>_xll.BDH("GILD US Equity","GROSS_MARGIN","FQ2 2022","FQ2 2022","Currency=USD","Period=FQ","BEST_FPERIOD_OVERRIDE=FQ","FILING_STATUS=MR","FA_ADJUSTED=GAAP","Sort=A","Dates=H","DateFormat=P","Fill=—","Direction=H","UseDPDF=Y")</f>
        <v>76.9649</v>
      </c>
      <c r="P57" s="14">
        <f>_xll.BDH("GILD US Equity","GROSS_MARGIN","FQ3 2022","FQ3 2022","Currency=USD","Period=FQ","BEST_FPERIOD_OVERRIDE=FQ","FILING_STATUS=MR","FA_ADJUSTED=GAAP","Sort=A","Dates=H","DateFormat=P","Fill=—","Direction=H","UseDPDF=Y")</f>
        <v>80.190299999999993</v>
      </c>
      <c r="Q57" s="14">
        <f>_xll.BDH("GILD US Equity","GROSS_MARGIN","FQ4 2022","FQ4 2022","Currency=USD","Period=FQ","BEST_FPERIOD_OVERRIDE=FQ","FILING_STATUS=MR","FA_ADJUSTED=GAAP","Sort=A","Dates=H","DateFormat=P","Fill=—","Direction=H","UseDPDF=Y")</f>
        <v>81.107100000000003</v>
      </c>
      <c r="R57" s="14">
        <f>_xll.BDH("GILD US Equity","GROSS_MARGIN","FQ1 2023","FQ1 2023","Currency=USD","Period=FQ","BEST_FPERIOD_OVERRIDE=FQ","FILING_STATUS=MR","FA_ADJUSTED=GAAP","Sort=A","Dates=H","DateFormat=P","Fill=—","Direction=H","UseDPDF=Y")</f>
        <v>77.944000000000003</v>
      </c>
      <c r="S57" s="14">
        <f>_xll.BDH("GILD US Equity","GROSS_MARGIN","FQ2 2023","FQ2 2023","Currency=USD","Period=FQ","BEST_FPERIOD_OVERRIDE=FQ","FILING_STATUS=MR","FA_ADJUSTED=GAAP","Sort=A","Dates=H","DateFormat=P","Fill=—","Direction=H","UseDPDF=Y")</f>
        <v>78.148200000000003</v>
      </c>
      <c r="T57" s="14">
        <f>_xll.BDH("GILD US Equity","GROSS_MARGIN","FQ3 2023","FQ3 2023","Currency=USD","Period=FQ","BEST_FPERIOD_OVERRIDE=FQ","FILING_STATUS=MR","FA_ADJUSTED=GAAP","Sort=A","Dates=H","DateFormat=P","Fill=—","Direction=H","UseDPDF=Y")</f>
        <v>77.804599999999994</v>
      </c>
      <c r="U57" s="14">
        <f>_xll.BDH("GILD US Equity","GROSS_MARGIN","FQ4 2023","FQ4 2023","Currency=USD","Period=FQ","BEST_FPERIOD_OVERRIDE=FQ","FILING_STATUS=MR","FA_ADJUSTED=GAAP","Sort=A","Dates=H","DateFormat=P","Fill=—","Direction=H","UseDPDF=Y")</f>
        <v>70.625399999999999</v>
      </c>
      <c r="V57" s="14">
        <f>_xll.BDH("GILD US Equity","GROSS_MARGIN","FQ1 2024","FQ1 2024","Currency=USD","Period=FQ","BEST_FPERIOD_OVERRIDE=FQ","FILING_STATUS=MR","FA_ADJUSTED=GAAP","Sort=A","Dates=H","DateFormat=P","Fill=—","Direction=H","UseDPDF=Y")</f>
        <v>76.787300000000002</v>
      </c>
      <c r="W57" s="14">
        <f>_xll.BDH("GILD US Equity","GROSS_MARGIN","FQ2 2024","FQ2 2024","Currency=USD","Period=FQ","BEST_FPERIOD_OVERRIDE=FQ","FILING_STATUS=MR","FA_ADJUSTED=GAAP","Sort=A","Dates=H","DateFormat=P","Fill=—","Direction=H","UseDPDF=Y")</f>
        <v>77.793800000000005</v>
      </c>
      <c r="X57" s="14">
        <f>_xll.BDH("GILD US Equity","GROSS_MARGIN","FQ3 2024","FQ3 2024","Currency=USD","Period=FQ","BEST_FPERIOD_OVERRIDE=FQ","FILING_STATUS=MR","FA_ADJUSTED=GAAP","Sort=A","Dates=H","DateFormat=P","Fill=—","Direction=H","UseDPDF=Y")</f>
        <v>79.138499999999993</v>
      </c>
      <c r="Y57" s="14">
        <f>_xll.BDH("GILD US Equity","GROSS_MARGIN","FQ4 2024","FQ4 2024","Currency=USD","Period=FQ","BEST_FPERIOD_OVERRIDE=FQ","FILING_STATUS=MR","FA_ADJUSTED=GAAP","Sort=A","Dates=H","DateFormat=P","Fill=—","Direction=H","UseDPDF=Y")</f>
        <v>79.112200000000001</v>
      </c>
      <c r="Z57" s="14"/>
      <c r="AA57" s="14"/>
    </row>
    <row r="58" spans="1:27" x14ac:dyDescent="0.25">
      <c r="A58" s="10" t="s">
        <v>398</v>
      </c>
      <c r="B58" s="10" t="s">
        <v>399</v>
      </c>
      <c r="C58" s="14">
        <f>_xll.BDH("GILD US Equity","OPER_MARGIN","FQ2 2019","FQ2 2019","Currency=USD","Period=FQ","BEST_FPERIOD_OVERRIDE=FQ","FILING_STATUS=MR","FA_ADJUSTED=GAAP","Sort=A","Dates=H","DateFormat=P","Fill=—","Direction=H","UseDPDF=Y")</f>
        <v>42.744100000000003</v>
      </c>
      <c r="D58" s="14">
        <f>_xll.BDH("GILD US Equity","OPER_MARGIN","FQ3 2019","FQ3 2019","Currency=USD","Period=FQ","BEST_FPERIOD_OVERRIDE=FQ","FILING_STATUS=MR","FA_ADJUSTED=GAAP","Sort=A","Dates=H","DateFormat=P","Fill=—","Direction=H","UseDPDF=Y")</f>
        <v>-26.284800000000001</v>
      </c>
      <c r="E58" s="14">
        <f>_xll.BDH("GILD US Equity","OPER_MARGIN","FQ4 2019","FQ4 2019","Currency=USD","Period=FQ","BEST_FPERIOD_OVERRIDE=FQ","FILING_STATUS=MR","FA_ADJUSTED=GAAP","Sort=A","Dates=H","DateFormat=P","Fill=—","Direction=H","UseDPDF=Y")</f>
        <v>18.5916</v>
      </c>
      <c r="F58" s="14">
        <f>_xll.BDH("GILD US Equity","OPER_MARGIN","FQ1 2020","FQ1 2020","Currency=USD","Period=FQ","BEST_FPERIOD_OVERRIDE=FQ","FILING_STATUS=MR","FA_ADJUSTED=GAAP","Sort=A","Dates=H","DateFormat=P","Fill=—","Direction=H","UseDPDF=Y")</f>
        <v>43.294899999999998</v>
      </c>
      <c r="G58" s="14">
        <f>_xll.BDH("GILD US Equity","OPER_MARGIN","FQ2 2020","FQ2 2020","Currency=USD","Period=FQ","BEST_FPERIOD_OVERRIDE=FQ","FILING_STATUS=MR","FA_ADJUSTED=GAAP","Sort=A","Dates=H","DateFormat=P","Fill=—","Direction=H","UseDPDF=Y")</f>
        <v>-58.001199999999997</v>
      </c>
      <c r="H58" s="14">
        <f>_xll.BDH("GILD US Equity","OPER_MARGIN","FQ3 2020","FQ3 2020","Currency=USD","Period=FQ","BEST_FPERIOD_OVERRIDE=FQ","FILING_STATUS=MR","FA_ADJUSTED=GAAP","Sort=A","Dates=H","DateFormat=P","Fill=—","Direction=H","UseDPDF=Y")</f>
        <v>30.424199999999999</v>
      </c>
      <c r="I58" s="14">
        <f>_xll.BDH("GILD US Equity","OPER_MARGIN","FQ4 2020","FQ4 2020","Currency=USD","Period=FQ","BEST_FPERIOD_OVERRIDE=FQ","FILING_STATUS=MR","FA_ADJUSTED=GAAP","Sort=A","Dates=H","DateFormat=P","Fill=—","Direction=H","UseDPDF=Y")</f>
        <v>35.722900000000003</v>
      </c>
      <c r="J58" s="14">
        <f>_xll.BDH("GILD US Equity","OPER_MARGIN","FQ1 2021","FQ1 2021","Currency=USD","Period=FQ","BEST_FPERIOD_OVERRIDE=FQ","FILING_STATUS=MR","FA_ADJUSTED=GAAP","Sort=A","Dates=H","DateFormat=P","Fill=—","Direction=H","UseDPDF=Y")</f>
        <v>44.994599999999998</v>
      </c>
      <c r="K58" s="14">
        <f>_xll.BDH("GILD US Equity","OPER_MARGIN","FQ2 2021","FQ2 2021","Currency=USD","Period=FQ","BEST_FPERIOD_OVERRIDE=FQ","FILING_STATUS=MR","FA_ADJUSTED=GAAP","Sort=A","Dates=H","DateFormat=P","Fill=—","Direction=H","UseDPDF=Y")</f>
        <v>36.1267</v>
      </c>
      <c r="L58" s="14">
        <f>_xll.BDH("GILD US Equity","OPER_MARGIN","FQ3 2021","FQ3 2021","Currency=USD","Period=FQ","BEST_FPERIOD_OVERRIDE=FQ","FILING_STATUS=MR","FA_ADJUSTED=GAAP","Sort=A","Dates=H","DateFormat=P","Fill=—","Direction=H","UseDPDF=Y")</f>
        <v>51.771999999999998</v>
      </c>
      <c r="M58" s="14">
        <f>_xll.BDH("GILD US Equity","OPER_MARGIN","FQ4 2021","FQ4 2021","Currency=USD","Period=FQ","BEST_FPERIOD_OVERRIDE=FQ","FILING_STATUS=MR","FA_ADJUSTED=GAAP","Sort=A","Dates=H","DateFormat=P","Fill=—","Direction=H","UseDPDF=Y")</f>
        <v>12.9763</v>
      </c>
      <c r="N58" s="14">
        <f>_xll.BDH("GILD US Equity","OPER_MARGIN","FQ1 2022","FQ1 2022","Currency=USD","Period=FQ","BEST_FPERIOD_OVERRIDE=FQ","FILING_STATUS=MR","FA_ADJUSTED=GAAP","Sort=A","Dates=H","DateFormat=P","Fill=—","Direction=H","UseDPDF=Y")</f>
        <v>2.9893999999999998</v>
      </c>
      <c r="O58" s="14">
        <f>_xll.BDH("GILD US Equity","OPER_MARGIN","FQ2 2022","FQ2 2022","Currency=USD","Period=FQ","BEST_FPERIOD_OVERRIDE=FQ","FILING_STATUS=MR","FA_ADJUSTED=GAAP","Sort=A","Dates=H","DateFormat=P","Fill=—","Direction=H","UseDPDF=Y")</f>
        <v>32.412100000000002</v>
      </c>
      <c r="P58" s="14">
        <f>_xll.BDH("GILD US Equity","OPER_MARGIN","FQ3 2022","FQ3 2022","Currency=USD","Period=FQ","BEST_FPERIOD_OVERRIDE=FQ","FILING_STATUS=MR","FA_ADJUSTED=GAAP","Sort=A","Dates=H","DateFormat=P","Fill=—","Direction=H","UseDPDF=Y")</f>
        <v>40.286900000000003</v>
      </c>
      <c r="Q58" s="14">
        <f>_xll.BDH("GILD US Equity","OPER_MARGIN","FQ4 2022","FQ4 2022","Currency=USD","Period=FQ","BEST_FPERIOD_OVERRIDE=FQ","FILING_STATUS=MR","FA_ADJUSTED=GAAP","Sort=A","Dates=H","DateFormat=P","Fill=—","Direction=H","UseDPDF=Y")</f>
        <v>30.680700000000002</v>
      </c>
      <c r="R58" s="14">
        <f>_xll.BDH("GILD US Equity","OPER_MARGIN","FQ1 2023","FQ1 2023","Currency=USD","Period=FQ","BEST_FPERIOD_OVERRIDE=FQ","FILING_STATUS=MR","FA_ADJUSTED=GAAP","Sort=A","Dates=H","DateFormat=P","Fill=—","Direction=H","UseDPDF=Y")</f>
        <v>26.841899999999999</v>
      </c>
      <c r="S58" s="14">
        <f>_xll.BDH("GILD US Equity","OPER_MARGIN","FQ2 2023","FQ2 2023","Currency=USD","Period=FQ","BEST_FPERIOD_OVERRIDE=FQ","FILING_STATUS=MR","FA_ADJUSTED=GAAP","Sort=A","Dates=H","DateFormat=P","Fill=—","Direction=H","UseDPDF=Y")</f>
        <v>25.231100000000001</v>
      </c>
      <c r="T58" s="14">
        <f>_xll.BDH("GILD US Equity","OPER_MARGIN","FQ3 2023","FQ3 2023","Currency=USD","Period=FQ","BEST_FPERIOD_OVERRIDE=FQ","FILING_STATUS=MR","FA_ADJUSTED=GAAP","Sort=A","Dates=H","DateFormat=P","Fill=—","Direction=H","UseDPDF=Y")</f>
        <v>37.200400000000002</v>
      </c>
      <c r="U58" s="14">
        <f>_xll.BDH("GILD US Equity","OPER_MARGIN","FQ4 2023","FQ4 2023","Currency=USD","Period=FQ","BEST_FPERIOD_OVERRIDE=FQ","FILING_STATUS=MR","FA_ADJUSTED=GAAP","Sort=A","Dates=H","DateFormat=P","Fill=—","Direction=H","UseDPDF=Y")</f>
        <v>22.656400000000001</v>
      </c>
      <c r="V58" s="14">
        <f>_xll.BDH("GILD US Equity","OPER_MARGIN","FQ1 2024","FQ1 2024","Currency=USD","Period=FQ","BEST_FPERIOD_OVERRIDE=FQ","FILING_STATUS=MR","FA_ADJUSTED=GAAP","Sort=A","Dates=H","DateFormat=P","Fill=—","Direction=H","UseDPDF=Y")</f>
        <v>-64.642499999999998</v>
      </c>
      <c r="W58" s="14">
        <f>_xll.BDH("GILD US Equity","OPER_MARGIN","FQ2 2024","FQ2 2024","Currency=USD","Period=FQ","BEST_FPERIOD_OVERRIDE=FQ","FILING_STATUS=MR","FA_ADJUSTED=GAAP","Sort=A","Dates=H","DateFormat=P","Fill=—","Direction=H","UseDPDF=Y")</f>
        <v>38.026800000000001</v>
      </c>
      <c r="X58" s="14">
        <f>_xll.BDH("GILD US Equity","OPER_MARGIN","FQ3 2024","FQ3 2024","Currency=USD","Period=FQ","BEST_FPERIOD_OVERRIDE=FQ","FILING_STATUS=MR","FA_ADJUSTED=GAAP","Sort=A","Dates=H","DateFormat=P","Fill=—","Direction=H","UseDPDF=Y")</f>
        <v>11.769399999999999</v>
      </c>
      <c r="Y58" s="14">
        <f>_xll.BDH("GILD US Equity","OPER_MARGIN","FQ4 2024","FQ4 2024","Currency=USD","Period=FQ","BEST_FPERIOD_OVERRIDE=FQ","FILING_STATUS=MR","FA_ADJUSTED=GAAP","Sort=A","Dates=H","DateFormat=P","Fill=—","Direction=H","UseDPDF=Y")</f>
        <v>32.382100000000001</v>
      </c>
      <c r="Z58" s="14">
        <v>41.709361301275699</v>
      </c>
      <c r="AA58" s="14">
        <v>45.674400274969301</v>
      </c>
    </row>
    <row r="59" spans="1:27" x14ac:dyDescent="0.25">
      <c r="A59" s="10" t="s">
        <v>400</v>
      </c>
      <c r="B59" s="10" t="s">
        <v>401</v>
      </c>
      <c r="C59" s="14">
        <f>_xll.BDH("GILD US Equity","PROF_MARGIN","FQ2 2019","FQ2 2019","Currency=USD","Period=FQ","BEST_FPERIOD_OVERRIDE=FQ","FILING_STATUS=MR","FA_ADJUSTED=GAAP","Sort=A","Dates=H","DateFormat=P","Fill=—","Direction=H","UseDPDF=Y")</f>
        <v>33.069499999999998</v>
      </c>
      <c r="D59" s="14">
        <f>_xll.BDH("GILD US Equity","PROF_MARGIN","FQ3 2019","FQ3 2019","Currency=USD","Period=FQ","BEST_FPERIOD_OVERRIDE=FQ","FILING_STATUS=MR","FA_ADJUSTED=GAAP","Sort=A","Dates=H","DateFormat=P","Fill=—","Direction=H","UseDPDF=Y")</f>
        <v>-20.788699999999999</v>
      </c>
      <c r="E59" s="14">
        <f>_xll.BDH("GILD US Equity","PROF_MARGIN","FQ4 2019","FQ4 2019","Currency=USD","Period=FQ","BEST_FPERIOD_OVERRIDE=FQ","FILING_STATUS=MR","FA_ADJUSTED=GAAP","Sort=A","Dates=H","DateFormat=P","Fill=—","Direction=H","UseDPDF=Y")</f>
        <v>45.8581</v>
      </c>
      <c r="F59" s="14">
        <f>_xll.BDH("GILD US Equity","PROF_MARGIN","FQ1 2020","FQ1 2020","Currency=USD","Period=FQ","BEST_FPERIOD_OVERRIDE=FQ","FILING_STATUS=MR","FA_ADJUSTED=GAAP","Sort=A","Dates=H","DateFormat=P","Fill=—","Direction=H","UseDPDF=Y")</f>
        <v>27.956</v>
      </c>
      <c r="G59" s="14">
        <f>_xll.BDH("GILD US Equity","PROF_MARGIN","FQ2 2020","FQ2 2020","Currency=USD","Period=FQ","BEST_FPERIOD_OVERRIDE=FQ","FILING_STATUS=MR","FA_ADJUSTED=GAAP","Sort=A","Dates=H","DateFormat=P","Fill=—","Direction=H","UseDPDF=Y")</f>
        <v>-64.923199999999994</v>
      </c>
      <c r="H59" s="14">
        <f>_xll.BDH("GILD US Equity","PROF_MARGIN","FQ3 2020","FQ3 2020","Currency=USD","Period=FQ","BEST_FPERIOD_OVERRIDE=FQ","FILING_STATUS=MR","FA_ADJUSTED=GAAP","Sort=A","Dates=H","DateFormat=P","Fill=—","Direction=H","UseDPDF=Y")</f>
        <v>5.4736000000000002</v>
      </c>
      <c r="I59" s="14">
        <f>_xll.BDH("GILD US Equity","PROF_MARGIN","FQ4 2020","FQ4 2020","Currency=USD","Period=FQ","BEST_FPERIOD_OVERRIDE=FQ","FILING_STATUS=MR","FA_ADJUSTED=GAAP","Sort=A","Dates=H","DateFormat=P","Fill=—","Direction=H","UseDPDF=Y")</f>
        <v>20.900099999999998</v>
      </c>
      <c r="J59" s="14">
        <f>_xll.BDH("GILD US Equity","PROF_MARGIN","FQ1 2021","FQ1 2021","Currency=USD","Period=FQ","BEST_FPERIOD_OVERRIDE=FQ","FILING_STATUS=MR","FA_ADJUSTED=GAAP","Sort=A","Dates=H","DateFormat=P","Fill=—","Direction=H","UseDPDF=Y")</f>
        <v>26.918900000000001</v>
      </c>
      <c r="K59" s="14">
        <f>_xll.BDH("GILD US Equity","PROF_MARGIN","FQ2 2021","FQ2 2021","Currency=USD","Period=FQ","BEST_FPERIOD_OVERRIDE=FQ","FILING_STATUS=MR","FA_ADJUSTED=GAAP","Sort=A","Dates=H","DateFormat=P","Fill=—","Direction=H","UseDPDF=Y")</f>
        <v>24.481300000000001</v>
      </c>
      <c r="L59" s="14">
        <f>_xll.BDH("GILD US Equity","PROF_MARGIN","FQ3 2021","FQ3 2021","Currency=USD","Period=FQ","BEST_FPERIOD_OVERRIDE=FQ","FILING_STATUS=MR","FA_ADJUSTED=GAAP","Sort=A","Dates=H","DateFormat=P","Fill=—","Direction=H","UseDPDF=Y")</f>
        <v>34.927900000000001</v>
      </c>
      <c r="M59" s="14">
        <f>_xll.BDH("GILD US Equity","PROF_MARGIN","FQ4 2021","FQ4 2021","Currency=USD","Period=FQ","BEST_FPERIOD_OVERRIDE=FQ","FILING_STATUS=MR","FA_ADJUSTED=GAAP","Sort=A","Dates=H","DateFormat=P","Fill=—","Direction=H","UseDPDF=Y")</f>
        <v>5.2732999999999999</v>
      </c>
      <c r="N59" s="14">
        <f>_xll.BDH("GILD US Equity","PROF_MARGIN","FQ1 2022","FQ1 2022","Currency=USD","Period=FQ","BEST_FPERIOD_OVERRIDE=FQ","FILING_STATUS=MR","FA_ADJUSTED=GAAP","Sort=A","Dates=H","DateFormat=P","Fill=—","Direction=H","UseDPDF=Y")</f>
        <v>0.2883</v>
      </c>
      <c r="O59" s="14">
        <f>_xll.BDH("GILD US Equity","PROF_MARGIN","FQ2 2022","FQ2 2022","Currency=USD","Period=FQ","BEST_FPERIOD_OVERRIDE=FQ","FILING_STATUS=MR","FA_ADJUSTED=GAAP","Sort=A","Dates=H","DateFormat=P","Fill=—","Direction=H","UseDPDF=Y")</f>
        <v>18.274799999999999</v>
      </c>
      <c r="P59" s="14">
        <f>_xll.BDH("GILD US Equity","PROF_MARGIN","FQ3 2022","FQ3 2022","Currency=USD","Period=FQ","BEST_FPERIOD_OVERRIDE=FQ","FILING_STATUS=MR","FA_ADJUSTED=GAAP","Sort=A","Dates=H","DateFormat=P","Fill=—","Direction=H","UseDPDF=Y")</f>
        <v>25.404699999999998</v>
      </c>
      <c r="Q59" s="14">
        <f>_xll.BDH("GILD US Equity","PROF_MARGIN","FQ4 2022","FQ4 2022","Currency=USD","Period=FQ","BEST_FPERIOD_OVERRIDE=FQ","FILING_STATUS=MR","FA_ADJUSTED=GAAP","Sort=A","Dates=H","DateFormat=P","Fill=—","Direction=H","UseDPDF=Y")</f>
        <v>22.1952</v>
      </c>
      <c r="R59" s="14">
        <f>_xll.BDH("GILD US Equity","PROF_MARGIN","FQ1 2023","FQ1 2023","Currency=USD","Period=FQ","BEST_FPERIOD_OVERRIDE=FQ","FILING_STATUS=MR","FA_ADJUSTED=GAAP","Sort=A","Dates=H","DateFormat=P","Fill=—","Direction=H","UseDPDF=Y")</f>
        <v>15.900499999999999</v>
      </c>
      <c r="S59" s="14">
        <f>_xll.BDH("GILD US Equity","PROF_MARGIN","FQ2 2023","FQ2 2023","Currency=USD","Period=FQ","BEST_FPERIOD_OVERRIDE=FQ","FILING_STATUS=MR","FA_ADJUSTED=GAAP","Sort=A","Dates=H","DateFormat=P","Fill=—","Direction=H","UseDPDF=Y")</f>
        <v>15.835699999999999</v>
      </c>
      <c r="T59" s="14">
        <f>_xll.BDH("GILD US Equity","PROF_MARGIN","FQ3 2023","FQ3 2023","Currency=USD","Period=FQ","BEST_FPERIOD_OVERRIDE=FQ","FILING_STATUS=MR","FA_ADJUSTED=GAAP","Sort=A","Dates=H","DateFormat=P","Fill=—","Direction=H","UseDPDF=Y")</f>
        <v>30.9176</v>
      </c>
      <c r="U59" s="14">
        <f>_xll.BDH("GILD US Equity","PROF_MARGIN","FQ4 2023","FQ4 2023","Currency=USD","Period=FQ","BEST_FPERIOD_OVERRIDE=FQ","FILING_STATUS=MR","FA_ADJUSTED=GAAP","Sort=A","Dates=H","DateFormat=P","Fill=—","Direction=H","UseDPDF=Y")</f>
        <v>20.084299999999999</v>
      </c>
      <c r="V59" s="14">
        <f>_xll.BDH("GILD US Equity","PROF_MARGIN","FQ1 2024","FQ1 2024","Currency=USD","Period=FQ","BEST_FPERIOD_OVERRIDE=FQ","FILING_STATUS=MR","FA_ADJUSTED=GAAP","Sort=A","Dates=H","DateFormat=P","Fill=—","Direction=H","UseDPDF=Y")</f>
        <v>-62.369100000000003</v>
      </c>
      <c r="W59" s="14">
        <f>_xll.BDH("GILD US Equity","PROF_MARGIN","FQ2 2024","FQ2 2024","Currency=USD","Period=FQ","BEST_FPERIOD_OVERRIDE=FQ","FILING_STATUS=MR","FA_ADJUSTED=GAAP","Sort=A","Dates=H","DateFormat=P","Fill=—","Direction=H","UseDPDF=Y")</f>
        <v>23.213000000000001</v>
      </c>
      <c r="X59" s="14">
        <f>_xll.BDH("GILD US Equity","PROF_MARGIN","FQ3 2024","FQ3 2024","Currency=USD","Period=FQ","BEST_FPERIOD_OVERRIDE=FQ","FILING_STATUS=MR","FA_ADJUSTED=GAAP","Sort=A","Dates=H","DateFormat=P","Fill=—","Direction=H","UseDPDF=Y")</f>
        <v>16.606999999999999</v>
      </c>
      <c r="Y59" s="14">
        <f>_xll.BDH("GILD US Equity","PROF_MARGIN","FQ4 2024","FQ4 2024","Currency=USD","Period=FQ","BEST_FPERIOD_OVERRIDE=FQ","FILING_STATUS=MR","FA_ADJUSTED=GAAP","Sort=A","Dates=H","DateFormat=P","Fill=—","Direction=H","UseDPDF=Y")</f>
        <v>23.5566</v>
      </c>
      <c r="Z59" s="14">
        <v>32.082578637662699</v>
      </c>
      <c r="AA59" s="14">
        <v>34.323193167680103</v>
      </c>
    </row>
    <row r="60" spans="1:27" x14ac:dyDescent="0.25">
      <c r="A60" s="10" t="s">
        <v>402</v>
      </c>
      <c r="B60" s="10" t="s">
        <v>403</v>
      </c>
      <c r="C60" s="14" t="str">
        <f>_xll.BDH("GILD US Equity","ACTUAL_SALES_PER_EMPL","FQ2 2019","FQ2 2019","Currency=USD","Period=FQ","BEST_FPERIOD_OVERRIDE=FQ","FILING_STATUS=MR","FA_ADJUSTED=GAAP","Sort=A","Dates=H","DateFormat=P","Fill=—","Direction=H","UseDPDF=Y")</f>
        <v>—</v>
      </c>
      <c r="D60" s="14" t="str">
        <f>_xll.BDH("GILD US Equity","ACTUAL_SALES_PER_EMPL","FQ3 2019","FQ3 2019","Currency=USD","Period=FQ","BEST_FPERIOD_OVERRIDE=FQ","FILING_STATUS=MR","FA_ADJUSTED=GAAP","Sort=A","Dates=H","DateFormat=P","Fill=—","Direction=H","UseDPDF=Y")</f>
        <v>—</v>
      </c>
      <c r="E60" s="14">
        <f>_xll.BDH("GILD US Equity","ACTUAL_SALES_PER_EMPL","FQ4 2019","FQ4 2019","Currency=USD","Period=FQ","BEST_FPERIOD_OVERRIDE=FQ","FILING_STATUS=MR","FA_ADJUSTED=GAAP","Sort=A","Dates=H","DateFormat=P","Fill=—","Direction=H","UseDPDF=Y")</f>
        <v>498220.33899999998</v>
      </c>
      <c r="F60" s="14" t="str">
        <f>_xll.BDH("GILD US Equity","ACTUAL_SALES_PER_EMPL","FQ1 2020","FQ1 2020","Currency=USD","Period=FQ","BEST_FPERIOD_OVERRIDE=FQ","FILING_STATUS=MR","FA_ADJUSTED=GAAP","Sort=A","Dates=H","DateFormat=P","Fill=—","Direction=H","UseDPDF=Y")</f>
        <v>—</v>
      </c>
      <c r="G60" s="14" t="str">
        <f>_xll.BDH("GILD US Equity","ACTUAL_SALES_PER_EMPL","FQ2 2020","FQ2 2020","Currency=USD","Period=FQ","BEST_FPERIOD_OVERRIDE=FQ","FILING_STATUS=MR","FA_ADJUSTED=GAAP","Sort=A","Dates=H","DateFormat=P","Fill=—","Direction=H","UseDPDF=Y")</f>
        <v>—</v>
      </c>
      <c r="H60" s="14" t="str">
        <f>_xll.BDH("GILD US Equity","ACTUAL_SALES_PER_EMPL","FQ3 2020","FQ3 2020","Currency=USD","Period=FQ","BEST_FPERIOD_OVERRIDE=FQ","FILING_STATUS=MR","FA_ADJUSTED=GAAP","Sort=A","Dates=H","DateFormat=P","Fill=—","Direction=H","UseDPDF=Y")</f>
        <v>—</v>
      </c>
      <c r="I60" s="14">
        <f>_xll.BDH("GILD US Equity","ACTUAL_SALES_PER_EMPL","FQ4 2020","FQ4 2020","Currency=USD","Period=FQ","BEST_FPERIOD_OVERRIDE=FQ","FILING_STATUS=MR","FA_ADJUSTED=GAAP","Sort=A","Dates=H","DateFormat=P","Fill=—","Direction=H","UseDPDF=Y")</f>
        <v>545661.76470000006</v>
      </c>
      <c r="J60" s="14" t="str">
        <f>_xll.BDH("GILD US Equity","ACTUAL_SALES_PER_EMPL","FQ1 2021","FQ1 2021","Currency=USD","Period=FQ","BEST_FPERIOD_OVERRIDE=FQ","FILING_STATUS=MR","FA_ADJUSTED=GAAP","Sort=A","Dates=H","DateFormat=P","Fill=—","Direction=H","UseDPDF=Y")</f>
        <v>—</v>
      </c>
      <c r="K60" s="14" t="str">
        <f>_xll.BDH("GILD US Equity","ACTUAL_SALES_PER_EMPL","FQ2 2021","FQ2 2021","Currency=USD","Period=FQ","BEST_FPERIOD_OVERRIDE=FQ","FILING_STATUS=MR","FA_ADJUSTED=GAAP","Sort=A","Dates=H","DateFormat=P","Fill=—","Direction=H","UseDPDF=Y")</f>
        <v>—</v>
      </c>
      <c r="L60" s="14" t="str">
        <f>_xll.BDH("GILD US Equity","ACTUAL_SALES_PER_EMPL","FQ3 2021","FQ3 2021","Currency=USD","Period=FQ","BEST_FPERIOD_OVERRIDE=FQ","FILING_STATUS=MR","FA_ADJUSTED=GAAP","Sort=A","Dates=H","DateFormat=P","Fill=—","Direction=H","UseDPDF=Y")</f>
        <v>—</v>
      </c>
      <c r="M60" s="14">
        <f>_xll.BDH("GILD US Equity","ACTUAL_SALES_PER_EMPL","FQ4 2021","FQ4 2021","Currency=USD","Period=FQ","BEST_FPERIOD_OVERRIDE=FQ","FILING_STATUS=MR","FA_ADJUSTED=GAAP","Sort=A","Dates=H","DateFormat=P","Fill=—","Direction=H","UseDPDF=Y")</f>
        <v>503055.55560000002</v>
      </c>
      <c r="N60" s="14" t="str">
        <f>_xll.BDH("GILD US Equity","ACTUAL_SALES_PER_EMPL","FQ1 2022","FQ1 2022","Currency=USD","Period=FQ","BEST_FPERIOD_OVERRIDE=FQ","FILING_STATUS=MR","FA_ADJUSTED=GAAP","Sort=A","Dates=H","DateFormat=P","Fill=—","Direction=H","UseDPDF=Y")</f>
        <v>—</v>
      </c>
      <c r="O60" s="14" t="str">
        <f>_xll.BDH("GILD US Equity","ACTUAL_SALES_PER_EMPL","FQ2 2022","FQ2 2022","Currency=USD","Period=FQ","BEST_FPERIOD_OVERRIDE=FQ","FILING_STATUS=MR","FA_ADJUSTED=GAAP","Sort=A","Dates=H","DateFormat=P","Fill=—","Direction=H","UseDPDF=Y")</f>
        <v>—</v>
      </c>
      <c r="P60" s="14" t="str">
        <f>_xll.BDH("GILD US Equity","ACTUAL_SALES_PER_EMPL","FQ3 2022","FQ3 2022","Currency=USD","Period=FQ","BEST_FPERIOD_OVERRIDE=FQ","FILING_STATUS=MR","FA_ADJUSTED=GAAP","Sort=A","Dates=H","DateFormat=P","Fill=—","Direction=H","UseDPDF=Y")</f>
        <v>—</v>
      </c>
      <c r="Q60" s="14">
        <f>_xll.BDH("GILD US Equity","ACTUAL_SALES_PER_EMPL","FQ4 2022","FQ4 2022","Currency=USD","Period=FQ","BEST_FPERIOD_OVERRIDE=FQ","FILING_STATUS=MR","FA_ADJUSTED=GAAP","Sort=A","Dates=H","DateFormat=P","Fill=—","Direction=H","UseDPDF=Y")</f>
        <v>434647.0588</v>
      </c>
      <c r="R60" s="14" t="str">
        <f>_xll.BDH("GILD US Equity","ACTUAL_SALES_PER_EMPL","FQ1 2023","FQ1 2023","Currency=USD","Period=FQ","BEST_FPERIOD_OVERRIDE=FQ","FILING_STATUS=MR","FA_ADJUSTED=GAAP","Sort=A","Dates=H","DateFormat=P","Fill=—","Direction=H","UseDPDF=Y")</f>
        <v>—</v>
      </c>
      <c r="S60" s="14" t="str">
        <f>_xll.BDH("GILD US Equity","ACTUAL_SALES_PER_EMPL","FQ2 2023","FQ2 2023","Currency=USD","Period=FQ","BEST_FPERIOD_OVERRIDE=FQ","FILING_STATUS=MR","FA_ADJUSTED=GAAP","Sort=A","Dates=H","DateFormat=P","Fill=—","Direction=H","UseDPDF=Y")</f>
        <v>—</v>
      </c>
      <c r="T60" s="14" t="str">
        <f>_xll.BDH("GILD US Equity","ACTUAL_SALES_PER_EMPL","FQ3 2023","FQ3 2023","Currency=USD","Period=FQ","BEST_FPERIOD_OVERRIDE=FQ","FILING_STATUS=MR","FA_ADJUSTED=GAAP","Sort=A","Dates=H","DateFormat=P","Fill=—","Direction=H","UseDPDF=Y")</f>
        <v>—</v>
      </c>
      <c r="U60" s="14">
        <f>_xll.BDH("GILD US Equity","ACTUAL_SALES_PER_EMPL","FQ4 2023","FQ4 2023","Currency=USD","Period=FQ","BEST_FPERIOD_OVERRIDE=FQ","FILING_STATUS=MR","FA_ADJUSTED=GAAP","Sort=A","Dates=H","DateFormat=P","Fill=—","Direction=H","UseDPDF=Y")</f>
        <v>395277.77779999998</v>
      </c>
      <c r="V60" s="14" t="str">
        <f>_xll.BDH("GILD US Equity","ACTUAL_SALES_PER_EMPL","FQ1 2024","FQ1 2024","Currency=USD","Period=FQ","BEST_FPERIOD_OVERRIDE=FQ","FILING_STATUS=MR","FA_ADJUSTED=GAAP","Sort=A","Dates=H","DateFormat=P","Fill=—","Direction=H","UseDPDF=Y")</f>
        <v>—</v>
      </c>
      <c r="W60" s="14" t="str">
        <f>_xll.BDH("GILD US Equity","ACTUAL_SALES_PER_EMPL","FQ2 2024","FQ2 2024","Currency=USD","Period=FQ","BEST_FPERIOD_OVERRIDE=FQ","FILING_STATUS=MR","FA_ADJUSTED=GAAP","Sort=A","Dates=H","DateFormat=P","Fill=—","Direction=H","UseDPDF=Y")</f>
        <v>—</v>
      </c>
      <c r="X60" s="14" t="str">
        <f>_xll.BDH("GILD US Equity","ACTUAL_SALES_PER_EMPL","FQ3 2024","FQ3 2024","Currency=USD","Period=FQ","BEST_FPERIOD_OVERRIDE=FQ","FILING_STATUS=MR","FA_ADJUSTED=GAAP","Sort=A","Dates=H","DateFormat=P","Fill=—","Direction=H","UseDPDF=Y")</f>
        <v>—</v>
      </c>
      <c r="Y60" s="14">
        <f>_xll.BDH("GILD US Equity","ACTUAL_SALES_PER_EMPL","FQ4 2024","FQ4 2024","Currency=USD","Period=FQ","BEST_FPERIOD_OVERRIDE=FQ","FILING_STATUS=MR","FA_ADJUSTED=GAAP","Sort=A","Dates=H","DateFormat=P","Fill=—","Direction=H","UseDPDF=Y")</f>
        <v>430056.81819999998</v>
      </c>
      <c r="Z60" s="14"/>
      <c r="AA60" s="14"/>
    </row>
    <row r="61" spans="1:27" x14ac:dyDescent="0.25">
      <c r="A61" s="10" t="s">
        <v>404</v>
      </c>
      <c r="B61" s="10" t="s">
        <v>274</v>
      </c>
      <c r="C61" s="14">
        <f>_xll.BDH("GILD US Equity","EQY_DPS","FQ2 2019","FQ2 2019","Currency=USD","Period=FQ","BEST_FPERIOD_OVERRIDE=FQ","FILING_STATUS=MR","Sort=A","Dates=H","DateFormat=P","Fill=—","Direction=H","UseDPDF=Y")</f>
        <v>0.63</v>
      </c>
      <c r="D61" s="14">
        <f>_xll.BDH("GILD US Equity","EQY_DPS","FQ3 2019","FQ3 2019","Currency=USD","Period=FQ","BEST_FPERIOD_OVERRIDE=FQ","FILING_STATUS=MR","Sort=A","Dates=H","DateFormat=P","Fill=—","Direction=H","UseDPDF=Y")</f>
        <v>0.63</v>
      </c>
      <c r="E61" s="14">
        <f>_xll.BDH("GILD US Equity","EQY_DPS","FQ4 2019","FQ4 2019","Currency=USD","Period=FQ","BEST_FPERIOD_OVERRIDE=FQ","FILING_STATUS=MR","Sort=A","Dates=H","DateFormat=P","Fill=—","Direction=H","UseDPDF=Y")</f>
        <v>0.63</v>
      </c>
      <c r="F61" s="14">
        <f>_xll.BDH("GILD US Equity","EQY_DPS","FQ1 2020","FQ1 2020","Currency=USD","Period=FQ","BEST_FPERIOD_OVERRIDE=FQ","FILING_STATUS=MR","Sort=A","Dates=H","DateFormat=P","Fill=—","Direction=H","UseDPDF=Y")</f>
        <v>0.68</v>
      </c>
      <c r="G61" s="14">
        <f>_xll.BDH("GILD US Equity","EQY_DPS","FQ2 2020","FQ2 2020","Currency=USD","Period=FQ","BEST_FPERIOD_OVERRIDE=FQ","FILING_STATUS=MR","Sort=A","Dates=H","DateFormat=P","Fill=—","Direction=H","UseDPDF=Y")</f>
        <v>0.68</v>
      </c>
      <c r="H61" s="14">
        <f>_xll.BDH("GILD US Equity","EQY_DPS","FQ3 2020","FQ3 2020","Currency=USD","Period=FQ","BEST_FPERIOD_OVERRIDE=FQ","FILING_STATUS=MR","Sort=A","Dates=H","DateFormat=P","Fill=—","Direction=H","UseDPDF=Y")</f>
        <v>0.68</v>
      </c>
      <c r="I61" s="14">
        <f>_xll.BDH("GILD US Equity","EQY_DPS","FQ4 2020","FQ4 2020","Currency=USD","Period=FQ","BEST_FPERIOD_OVERRIDE=FQ","FILING_STATUS=MR","Sort=A","Dates=H","DateFormat=P","Fill=—","Direction=H","UseDPDF=Y")</f>
        <v>0.68</v>
      </c>
      <c r="J61" s="14">
        <f>_xll.BDH("GILD US Equity","EQY_DPS","FQ1 2021","FQ1 2021","Currency=USD","Period=FQ","BEST_FPERIOD_OVERRIDE=FQ","FILING_STATUS=MR","Sort=A","Dates=H","DateFormat=P","Fill=—","Direction=H","UseDPDF=Y")</f>
        <v>0.71</v>
      </c>
      <c r="K61" s="14">
        <f>_xll.BDH("GILD US Equity","EQY_DPS","FQ2 2021","FQ2 2021","Currency=USD","Period=FQ","BEST_FPERIOD_OVERRIDE=FQ","FILING_STATUS=MR","Sort=A","Dates=H","DateFormat=P","Fill=—","Direction=H","UseDPDF=Y")</f>
        <v>0.71</v>
      </c>
      <c r="L61" s="14">
        <f>_xll.BDH("GILD US Equity","EQY_DPS","FQ3 2021","FQ3 2021","Currency=USD","Period=FQ","BEST_FPERIOD_OVERRIDE=FQ","FILING_STATUS=MR","Sort=A","Dates=H","DateFormat=P","Fill=—","Direction=H","UseDPDF=Y")</f>
        <v>0.71</v>
      </c>
      <c r="M61" s="14">
        <f>_xll.BDH("GILD US Equity","EQY_DPS","FQ4 2021","FQ4 2021","Currency=USD","Period=FQ","BEST_FPERIOD_OVERRIDE=FQ","FILING_STATUS=MR","Sort=A","Dates=H","DateFormat=P","Fill=—","Direction=H","UseDPDF=Y")</f>
        <v>0.71</v>
      </c>
      <c r="N61" s="14">
        <f>_xll.BDH("GILD US Equity","EQY_DPS","FQ1 2022","FQ1 2022","Currency=USD","Period=FQ","BEST_FPERIOD_OVERRIDE=FQ","FILING_STATUS=MR","Sort=A","Dates=H","DateFormat=P","Fill=—","Direction=H","UseDPDF=Y")</f>
        <v>0.73</v>
      </c>
      <c r="O61" s="14">
        <f>_xll.BDH("GILD US Equity","EQY_DPS","FQ2 2022","FQ2 2022","Currency=USD","Period=FQ","BEST_FPERIOD_OVERRIDE=FQ","FILING_STATUS=MR","Sort=A","Dates=H","DateFormat=P","Fill=—","Direction=H","UseDPDF=Y")</f>
        <v>0.73</v>
      </c>
      <c r="P61" s="14">
        <f>_xll.BDH("GILD US Equity","EQY_DPS","FQ3 2022","FQ3 2022","Currency=USD","Period=FQ","BEST_FPERIOD_OVERRIDE=FQ","FILING_STATUS=MR","Sort=A","Dates=H","DateFormat=P","Fill=—","Direction=H","UseDPDF=Y")</f>
        <v>0.73</v>
      </c>
      <c r="Q61" s="14">
        <f>_xll.BDH("GILD US Equity","EQY_DPS","FQ4 2022","FQ4 2022","Currency=USD","Period=FQ","BEST_FPERIOD_OVERRIDE=FQ","FILING_STATUS=MR","Sort=A","Dates=H","DateFormat=P","Fill=—","Direction=H","UseDPDF=Y")</f>
        <v>0.73</v>
      </c>
      <c r="R61" s="14">
        <f>_xll.BDH("GILD US Equity","EQY_DPS","FQ1 2023","FQ1 2023","Currency=USD","Period=FQ","BEST_FPERIOD_OVERRIDE=FQ","FILING_STATUS=MR","Sort=A","Dates=H","DateFormat=P","Fill=—","Direction=H","UseDPDF=Y")</f>
        <v>0.75</v>
      </c>
      <c r="S61" s="14">
        <f>_xll.BDH("GILD US Equity","EQY_DPS","FQ2 2023","FQ2 2023","Currency=USD","Period=FQ","BEST_FPERIOD_OVERRIDE=FQ","FILING_STATUS=MR","Sort=A","Dates=H","DateFormat=P","Fill=—","Direction=H","UseDPDF=Y")</f>
        <v>0.75</v>
      </c>
      <c r="T61" s="14">
        <f>_xll.BDH("GILD US Equity","EQY_DPS","FQ3 2023","FQ3 2023","Currency=USD","Period=FQ","BEST_FPERIOD_OVERRIDE=FQ","FILING_STATUS=MR","Sort=A","Dates=H","DateFormat=P","Fill=—","Direction=H","UseDPDF=Y")</f>
        <v>0.75</v>
      </c>
      <c r="U61" s="14">
        <f>_xll.BDH("GILD US Equity","EQY_DPS","FQ4 2023","FQ4 2023","Currency=USD","Period=FQ","BEST_FPERIOD_OVERRIDE=FQ","FILING_STATUS=MR","Sort=A","Dates=H","DateFormat=P","Fill=—","Direction=H","UseDPDF=Y")</f>
        <v>0.75</v>
      </c>
      <c r="V61" s="14">
        <f>_xll.BDH("GILD US Equity","EQY_DPS","FQ1 2024","FQ1 2024","Currency=USD","Period=FQ","BEST_FPERIOD_OVERRIDE=FQ","FILING_STATUS=MR","Sort=A","Dates=H","DateFormat=P","Fill=—","Direction=H","UseDPDF=Y")</f>
        <v>0.77</v>
      </c>
      <c r="W61" s="14">
        <f>_xll.BDH("GILD US Equity","EQY_DPS","FQ2 2024","FQ2 2024","Currency=USD","Period=FQ","BEST_FPERIOD_OVERRIDE=FQ","FILING_STATUS=MR","Sort=A","Dates=H","DateFormat=P","Fill=—","Direction=H","UseDPDF=Y")</f>
        <v>0.77</v>
      </c>
      <c r="X61" s="14">
        <f>_xll.BDH("GILD US Equity","EQY_DPS","FQ3 2024","FQ3 2024","Currency=USD","Period=FQ","BEST_FPERIOD_OVERRIDE=FQ","FILING_STATUS=MR","Sort=A","Dates=H","DateFormat=P","Fill=—","Direction=H","UseDPDF=Y")</f>
        <v>0.77</v>
      </c>
      <c r="Y61" s="14">
        <f>_xll.BDH("GILD US Equity","EQY_DPS","FQ4 2024","FQ4 2024","Currency=USD","Period=FQ","BEST_FPERIOD_OVERRIDE=FQ","FILING_STATUS=MR","Sort=A","Dates=H","DateFormat=P","Fill=—","Direction=H","UseDPDF=Y")</f>
        <v>0.77</v>
      </c>
      <c r="Z61" s="14">
        <v>0.77900000000000003</v>
      </c>
      <c r="AA61" s="14">
        <v>0.78100000000000003</v>
      </c>
    </row>
    <row r="62" spans="1:27" x14ac:dyDescent="0.25">
      <c r="A62" s="10" t="s">
        <v>405</v>
      </c>
      <c r="B62" s="10" t="s">
        <v>406</v>
      </c>
      <c r="C62" s="13">
        <f>_xll.BDH("GILD US Equity","IS_TOT_CASH_COM_DVD","FQ2 2019","FQ2 2019","Currency=USD","Period=FQ","BEST_FPERIOD_OVERRIDE=FQ","FILING_STATUS=MR","SCALING_FORMAT=MLN","Sort=A","Dates=H","DateFormat=P","Fill=—","Direction=H","UseDPDF=Y")</f>
        <v>800</v>
      </c>
      <c r="D62" s="13">
        <f>_xll.BDH("GILD US Equity","IS_TOT_CASH_COM_DVD","FQ3 2019","FQ3 2019","Currency=USD","Period=FQ","BEST_FPERIOD_OVERRIDE=FQ","FILING_STATUS=MR","SCALING_FORMAT=MLN","Sort=A","Dates=H","DateFormat=P","Fill=—","Direction=H","UseDPDF=Y")</f>
        <v>804</v>
      </c>
      <c r="E62" s="13">
        <f>_xll.BDH("GILD US Equity","IS_TOT_CASH_COM_DVD","FQ4 2019","FQ4 2019","Currency=USD","Period=FQ","BEST_FPERIOD_OVERRIDE=FQ","FILING_STATUS=MR","SCALING_FORMAT=MLN","Sort=A","Dates=H","DateFormat=P","Fill=—","Direction=H","UseDPDF=Y")</f>
        <v>808</v>
      </c>
      <c r="F62" s="13">
        <f>_xll.BDH("GILD US Equity","IS_TOT_CASH_COM_DVD","FQ1 2020","FQ1 2020","Currency=USD","Period=FQ","BEST_FPERIOD_OVERRIDE=FQ","FILING_STATUS=MR","SCALING_FORMAT=MLN","Sort=A","Dates=H","DateFormat=P","Fill=—","Direction=H","UseDPDF=Y")</f>
        <v>874</v>
      </c>
      <c r="G62" s="13">
        <f>_xll.BDH("GILD US Equity","IS_TOT_CASH_COM_DVD","FQ2 2020","FQ2 2020","Currency=USD","Period=FQ","BEST_FPERIOD_OVERRIDE=FQ","FILING_STATUS=MR","SCALING_FORMAT=MLN","Sort=A","Dates=H","DateFormat=P","Fill=—","Direction=H","UseDPDF=Y")</f>
        <v>853.4</v>
      </c>
      <c r="H62" s="13">
        <f>_xll.BDH("GILD US Equity","IS_TOT_CASH_COM_DVD","FQ3 2020","FQ3 2020","Currency=USD","Period=FQ","BEST_FPERIOD_OVERRIDE=FQ","FILING_STATUS=MR","SCALING_FORMAT=MLN","Sort=A","Dates=H","DateFormat=P","Fill=—","Direction=H","UseDPDF=Y")</f>
        <v>866</v>
      </c>
      <c r="I62" s="13">
        <f>_xll.BDH("GILD US Equity","IS_TOT_CASH_COM_DVD","FQ4 2020","FQ4 2020","Currency=USD","Period=FQ","BEST_FPERIOD_OVERRIDE=FQ","FILING_STATUS=MR","SCALING_FORMAT=MLN","Sort=A","Dates=H","DateFormat=P","Fill=—","Direction=H","UseDPDF=Y")</f>
        <v>865</v>
      </c>
      <c r="J62" s="13">
        <f>_xll.BDH("GILD US Equity","IS_TOT_CASH_COM_DVD","FQ1 2021","FQ1 2021","Currency=USD","Period=FQ","BEST_FPERIOD_OVERRIDE=FQ","FILING_STATUS=MR","SCALING_FORMAT=MLN","Sort=A","Dates=H","DateFormat=P","Fill=—","Direction=H","UseDPDF=Y")</f>
        <v>906</v>
      </c>
      <c r="K62" s="13">
        <f>_xll.BDH("GILD US Equity","IS_TOT_CASH_COM_DVD","FQ2 2021","FQ2 2021","Currency=USD","Period=FQ","BEST_FPERIOD_OVERRIDE=FQ","FILING_STATUS=MR","SCALING_FORMAT=MLN","Sort=A","Dates=H","DateFormat=P","Fill=—","Direction=H","UseDPDF=Y")</f>
        <v>903</v>
      </c>
      <c r="L62" s="13">
        <f>_xll.BDH("GILD US Equity","IS_TOT_CASH_COM_DVD","FQ3 2021","FQ3 2021","Currency=USD","Period=FQ","BEST_FPERIOD_OVERRIDE=FQ","FILING_STATUS=MR","SCALING_FORMAT=MLN","Sort=A","Dates=H","DateFormat=P","Fill=—","Direction=H","UseDPDF=Y")</f>
        <v>905</v>
      </c>
      <c r="M62" s="13">
        <f>_xll.BDH("GILD US Equity","IS_TOT_CASH_COM_DVD","FQ4 2021","FQ4 2021","Currency=USD","Period=FQ","BEST_FPERIOD_OVERRIDE=FQ","FILING_STATUS=MR","SCALING_FORMAT=MLN","Sort=A","Dates=H","DateFormat=P","Fill=—","Direction=H","UseDPDF=Y")</f>
        <v>891.76</v>
      </c>
      <c r="N62" s="13">
        <f>_xll.BDH("GILD US Equity","IS_TOT_CASH_COM_DVD","FQ1 2022","FQ1 2022","Currency=USD","Period=FQ","BEST_FPERIOD_OVERRIDE=FQ","FILING_STATUS=MR","SCALING_FORMAT=MLN","Sort=A","Dates=H","DateFormat=P","Fill=—","Direction=H","UseDPDF=Y")</f>
        <v>932</v>
      </c>
      <c r="O62" s="13">
        <f>_xll.BDH("GILD US Equity","IS_TOT_CASH_COM_DVD","FQ2 2022","FQ2 2022","Currency=USD","Period=FQ","BEST_FPERIOD_OVERRIDE=FQ","FILING_STATUS=MR","SCALING_FORMAT=MLN","Sort=A","Dates=H","DateFormat=P","Fill=—","Direction=H","UseDPDF=Y")</f>
        <v>932</v>
      </c>
      <c r="P62" s="13">
        <f>_xll.BDH("GILD US Equity","IS_TOT_CASH_COM_DVD","FQ3 2022","FQ3 2022","Currency=USD","Period=FQ","BEST_FPERIOD_OVERRIDE=FQ","FILING_STATUS=MR","SCALING_FORMAT=MLN","Sort=A","Dates=H","DateFormat=P","Fill=—","Direction=H","UseDPDF=Y")</f>
        <v>916.15</v>
      </c>
      <c r="Q62" s="13">
        <f>_xll.BDH("GILD US Equity","IS_TOT_CASH_COM_DVD","FQ4 2022","FQ4 2022","Currency=USD","Period=FQ","BEST_FPERIOD_OVERRIDE=FQ","FILING_STATUS=MR","SCALING_FORMAT=MLN","Sort=A","Dates=H","DateFormat=P","Fill=—","Direction=H","UseDPDF=Y")</f>
        <v>913.96</v>
      </c>
      <c r="R62" s="13">
        <f>_xll.BDH("GILD US Equity","IS_TOT_CASH_COM_DVD","FQ1 2023","FQ1 2023","Currency=USD","Period=FQ","BEST_FPERIOD_OVERRIDE=FQ","FILING_STATUS=MR","SCALING_FORMAT=MLN","Sort=A","Dates=H","DateFormat=P","Fill=—","Direction=H","UseDPDF=Y")</f>
        <v>957</v>
      </c>
      <c r="S62" s="13">
        <f>_xll.BDH("GILD US Equity","IS_TOT_CASH_COM_DVD","FQ2 2023","FQ2 2023","Currency=USD","Period=FQ","BEST_FPERIOD_OVERRIDE=FQ","FILING_STATUS=MR","SCALING_FORMAT=MLN","Sort=A","Dates=H","DateFormat=P","Fill=—","Direction=H","UseDPDF=Y")</f>
        <v>954</v>
      </c>
      <c r="T62" s="13">
        <f>_xll.BDH("GILD US Equity","IS_TOT_CASH_COM_DVD","FQ3 2023","FQ3 2023","Currency=USD","Period=FQ","BEST_FPERIOD_OVERRIDE=FQ","FILING_STATUS=MR","SCALING_FORMAT=MLN","Sort=A","Dates=H","DateFormat=P","Fill=—","Direction=H","UseDPDF=Y")</f>
        <v>953</v>
      </c>
      <c r="U62" s="13">
        <f>_xll.BDH("GILD US Equity","IS_TOT_CASH_COM_DVD","FQ4 2023","FQ4 2023","Currency=USD","Period=FQ","BEST_FPERIOD_OVERRIDE=FQ","FILING_STATUS=MR","SCALING_FORMAT=MLN","Sort=A","Dates=H","DateFormat=P","Fill=—","Direction=H","UseDPDF=Y")</f>
        <v>936</v>
      </c>
      <c r="V62" s="13">
        <f>_xll.BDH("GILD US Equity","IS_TOT_CASH_COM_DVD","FQ1 2024","FQ1 2024","Currency=USD","Period=FQ","BEST_FPERIOD_OVERRIDE=FQ","FILING_STATUS=MR","SCALING_FORMAT=MLN","Sort=A","Dates=H","DateFormat=P","Fill=—","Direction=H","UseDPDF=Y")</f>
        <v>980</v>
      </c>
      <c r="W62" s="13">
        <f>_xll.BDH("GILD US Equity","IS_TOT_CASH_COM_DVD","FQ2 2024","FQ2 2024","Currency=USD","Period=FQ","BEST_FPERIOD_OVERRIDE=FQ","FILING_STATUS=MR","SCALING_FORMAT=MLN","Sort=A","Dates=H","DateFormat=P","Fill=—","Direction=H","UseDPDF=Y")</f>
        <v>978</v>
      </c>
      <c r="X62" s="13">
        <f>_xll.BDH("GILD US Equity","IS_TOT_CASH_COM_DVD","FQ3 2024","FQ3 2024","Currency=USD","Period=FQ","BEST_FPERIOD_OVERRIDE=FQ","FILING_STATUS=MR","SCALING_FORMAT=MLN","Sort=A","Dates=H","DateFormat=P","Fill=—","Direction=H","UseDPDF=Y")</f>
        <v>977</v>
      </c>
      <c r="Y62" s="13">
        <f>_xll.BDH("GILD US Equity","IS_TOT_CASH_COM_DVD","FQ4 2024","FQ4 2024","Currency=USD","Period=FQ","BEST_FPERIOD_OVERRIDE=FQ","FILING_STATUS=MR","SCALING_FORMAT=MLN","Sort=A","Dates=H","DateFormat=P","Fill=—","Direction=H","UseDPDF=Y")</f>
        <v>960.96</v>
      </c>
      <c r="Z62" s="13"/>
      <c r="AA62" s="13"/>
    </row>
    <row r="63" spans="1:27" x14ac:dyDescent="0.25">
      <c r="A63" s="10" t="s">
        <v>407</v>
      </c>
      <c r="B63" s="10" t="s">
        <v>408</v>
      </c>
      <c r="C63" s="13">
        <f>_xll.BDH("GILD US Equity","IS_DEPR_EXP","FQ2 2019","FQ2 2019","Currency=USD","Period=FQ","BEST_FPERIOD_OVERRIDE=FQ","FILING_STATUS=MR","SCALING_FORMAT=MLN","Sort=A","Dates=H","DateFormat=P","Fill=—","Direction=H","UseDPDF=Y")</f>
        <v>60</v>
      </c>
      <c r="D63" s="13">
        <f>_xll.BDH("GILD US Equity","IS_DEPR_EXP","FQ3 2019","FQ3 2019","Currency=USD","Period=FQ","BEST_FPERIOD_OVERRIDE=FQ","FILING_STATUS=MR","SCALING_FORMAT=MLN","Sort=A","Dates=H","DateFormat=P","Fill=—","Direction=H","UseDPDF=Y")</f>
        <v>66</v>
      </c>
      <c r="E63" s="13">
        <f>_xll.BDH("GILD US Equity","IS_DEPR_EXP","FQ4 2019","FQ4 2019","Currency=USD","Period=FQ","BEST_FPERIOD_OVERRIDE=FQ","FILING_STATUS=MR","SCALING_FORMAT=MLN","Sort=A","Dates=H","DateFormat=P","Fill=—","Direction=H","UseDPDF=Y")</f>
        <v>69</v>
      </c>
      <c r="F63" s="13">
        <f>_xll.BDH("GILD US Equity","IS_DEPR_EXP","FQ1 2020","FQ1 2020","Currency=USD","Period=FQ","BEST_FPERIOD_OVERRIDE=FQ","FILING_STATUS=MR","SCALING_FORMAT=MLN","Sort=A","Dates=H","DateFormat=P","Fill=—","Direction=H","UseDPDF=Y")</f>
        <v>68</v>
      </c>
      <c r="G63" s="13">
        <f>_xll.BDH("GILD US Equity","IS_DEPR_EXP","FQ2 2020","FQ2 2020","Currency=USD","Period=FQ","BEST_FPERIOD_OVERRIDE=FQ","FILING_STATUS=MR","SCALING_FORMAT=MLN","Sort=A","Dates=H","DateFormat=P","Fill=—","Direction=H","UseDPDF=Y")</f>
        <v>68</v>
      </c>
      <c r="H63" s="13">
        <f>_xll.BDH("GILD US Equity","IS_DEPR_EXP","FQ3 2020","FQ3 2020","Currency=USD","Period=FQ","BEST_FPERIOD_OVERRIDE=FQ","FILING_STATUS=MR","SCALING_FORMAT=MLN","Sort=A","Dates=H","DateFormat=P","Fill=—","Direction=H","UseDPDF=Y")</f>
        <v>73</v>
      </c>
      <c r="I63" s="13">
        <f>_xll.BDH("GILD US Equity","IS_DEPR_EXP","FQ4 2020","FQ4 2020","Currency=USD","Period=FQ","BEST_FPERIOD_OVERRIDE=FQ","FILING_STATUS=MR","SCALING_FORMAT=MLN","Sort=A","Dates=H","DateFormat=P","Fill=—","Direction=H","UseDPDF=Y")</f>
        <v>79</v>
      </c>
      <c r="J63" s="13">
        <f>_xll.BDH("GILD US Equity","IS_DEPR_EXP","FQ1 2021","FQ1 2021","Currency=USD","Period=FQ","BEST_FPERIOD_OVERRIDE=FQ","FILING_STATUS=MR","SCALING_FORMAT=MLN","Sort=A","Dates=H","DateFormat=P","Fill=—","Direction=H","UseDPDF=Y")</f>
        <v>78</v>
      </c>
      <c r="K63" s="13">
        <f>_xll.BDH("GILD US Equity","IS_DEPR_EXP","FQ2 2021","FQ2 2021","Currency=USD","Period=FQ","BEST_FPERIOD_OVERRIDE=FQ","FILING_STATUS=MR","SCALING_FORMAT=MLN","Sort=A","Dates=H","DateFormat=P","Fill=—","Direction=H","UseDPDF=Y")</f>
        <v>79</v>
      </c>
      <c r="L63" s="13">
        <f>_xll.BDH("GILD US Equity","IS_DEPR_EXP","FQ3 2021","FQ3 2021","Currency=USD","Period=FQ","BEST_FPERIOD_OVERRIDE=FQ","FILING_STATUS=MR","SCALING_FORMAT=MLN","Sort=A","Dates=H","DateFormat=P","Fill=—","Direction=H","UseDPDF=Y")</f>
        <v>82</v>
      </c>
      <c r="M63" s="13">
        <f>_xll.BDH("GILD US Equity","IS_DEPR_EXP","FQ4 2021","FQ4 2021","Currency=USD","Period=FQ","BEST_FPERIOD_OVERRIDE=FQ","FILING_STATUS=MR","SCALING_FORMAT=MLN","Sort=A","Dates=H","DateFormat=P","Fill=—","Direction=H","UseDPDF=Y")</f>
        <v>90</v>
      </c>
      <c r="N63" s="13">
        <f>_xll.BDH("GILD US Equity","IS_DEPR_EXP","FQ1 2022","FQ1 2022","Currency=USD","Period=FQ","BEST_FPERIOD_OVERRIDE=FQ","FILING_STATUS=MR","SCALING_FORMAT=MLN","Sort=A","Dates=H","DateFormat=P","Fill=—","Direction=H","UseDPDF=Y")</f>
        <v>80</v>
      </c>
      <c r="O63" s="13">
        <f>_xll.BDH("GILD US Equity","IS_DEPR_EXP","FQ2 2022","FQ2 2022","Currency=USD","Period=FQ","BEST_FPERIOD_OVERRIDE=FQ","FILING_STATUS=MR","SCALING_FORMAT=MLN","Sort=A","Dates=H","DateFormat=P","Fill=—","Direction=H","UseDPDF=Y")</f>
        <v>80</v>
      </c>
      <c r="P63" s="13">
        <f>_xll.BDH("GILD US Equity","IS_DEPR_EXP","FQ3 2022","FQ3 2022","Currency=USD","Period=FQ","BEST_FPERIOD_OVERRIDE=FQ","FILING_STATUS=MR","SCALING_FORMAT=MLN","Sort=A","Dates=H","DateFormat=P","Fill=—","Direction=H","UseDPDF=Y")</f>
        <v>80</v>
      </c>
      <c r="Q63" s="13">
        <f>_xll.BDH("GILD US Equity","IS_DEPR_EXP","FQ4 2022","FQ4 2022","Currency=USD","Period=FQ","BEST_FPERIOD_OVERRIDE=FQ","FILING_STATUS=MR","SCALING_FORMAT=MLN","Sort=A","Dates=H","DateFormat=P","Fill=—","Direction=H","UseDPDF=Y")</f>
        <v>83</v>
      </c>
      <c r="R63" s="13">
        <f>_xll.BDH("GILD US Equity","IS_DEPR_EXP","FQ1 2023","FQ1 2023","Currency=USD","Period=FQ","BEST_FPERIOD_OVERRIDE=FQ","FILING_STATUS=MR","SCALING_FORMAT=MLN","Sort=A","Dates=H","DateFormat=P","Fill=—","Direction=H","UseDPDF=Y")</f>
        <v>94</v>
      </c>
      <c r="S63" s="13">
        <f>_xll.BDH("GILD US Equity","IS_DEPR_EXP","FQ2 2023","FQ2 2023","Currency=USD","Period=FQ","BEST_FPERIOD_OVERRIDE=FQ","FILING_STATUS=MR","SCALING_FORMAT=MLN","Sort=A","Dates=H","DateFormat=P","Fill=—","Direction=H","UseDPDF=Y")</f>
        <v>83</v>
      </c>
      <c r="T63" s="13">
        <f>_xll.BDH("GILD US Equity","IS_DEPR_EXP","FQ3 2023","FQ3 2023","Currency=USD","Period=FQ","BEST_FPERIOD_OVERRIDE=FQ","FILING_STATUS=MR","SCALING_FORMAT=MLN","Sort=A","Dates=H","DateFormat=P","Fill=—","Direction=H","UseDPDF=Y")</f>
        <v>86</v>
      </c>
      <c r="U63" s="13">
        <f>_xll.BDH("GILD US Equity","IS_DEPR_EXP","FQ4 2023","FQ4 2023","Currency=USD","Period=FQ","BEST_FPERIOD_OVERRIDE=FQ","FILING_STATUS=MR","SCALING_FORMAT=MLN","Sort=A","Dates=H","DateFormat=P","Fill=—","Direction=H","UseDPDF=Y")</f>
        <v>91</v>
      </c>
      <c r="V63" s="13">
        <f>_xll.BDH("GILD US Equity","IS_DEPR_EXP","FQ1 2024","FQ1 2024","Currency=USD","Period=FQ","BEST_FPERIOD_OVERRIDE=FQ","FILING_STATUS=MR","SCALING_FORMAT=MLN","Sort=A","Dates=H","DateFormat=P","Fill=—","Direction=H","UseDPDF=Y")</f>
        <v>94</v>
      </c>
      <c r="W63" s="13">
        <f>_xll.BDH("GILD US Equity","IS_DEPR_EXP","FQ2 2024","FQ2 2024","Currency=USD","Period=FQ","BEST_FPERIOD_OVERRIDE=FQ","FILING_STATUS=MR","SCALING_FORMAT=MLN","Sort=A","Dates=H","DateFormat=P","Fill=—","Direction=H","UseDPDF=Y")</f>
        <v>98</v>
      </c>
      <c r="X63" s="13">
        <f>_xll.BDH("GILD US Equity","IS_DEPR_EXP","FQ3 2024","FQ3 2024","Currency=USD","Period=FQ","BEST_FPERIOD_OVERRIDE=FQ","FILING_STATUS=MR","SCALING_FORMAT=MLN","Sort=A","Dates=H","DateFormat=P","Fill=—","Direction=H","UseDPDF=Y")</f>
        <v>94</v>
      </c>
      <c r="Y63" s="13">
        <f>_xll.BDH("GILD US Equity","IS_DEPR_EXP","FQ4 2024","FQ4 2024","Currency=USD","Period=FQ","BEST_FPERIOD_OVERRIDE=FQ","FILING_STATUS=MR","SCALING_FORMAT=MLN","Sort=A","Dates=H","DateFormat=P","Fill=—","Direction=H","UseDPDF=Y")</f>
        <v>95</v>
      </c>
      <c r="Z63" s="13"/>
      <c r="AA63" s="13"/>
    </row>
    <row r="64" spans="1:27" x14ac:dyDescent="0.25">
      <c r="A64" s="10" t="s">
        <v>409</v>
      </c>
      <c r="B64" s="10" t="s">
        <v>410</v>
      </c>
      <c r="C64" s="13">
        <f>_xll.BDH("GILD US Equity","BS_CURR_RENTAL_EXPENSE","FQ2 2019","FQ2 2019","Currency=USD","Period=FQ","BEST_FPERIOD_OVERRIDE=FQ","FILING_STATUS=MR","SCALING_FORMAT=MLN","Sort=A","Dates=H","DateFormat=P","Fill=—","Direction=H","UseDPDF=Y")</f>
        <v>38</v>
      </c>
      <c r="D64" s="13">
        <f>_xll.BDH("GILD US Equity","BS_CURR_RENTAL_EXPENSE","FQ3 2019","FQ3 2019","Currency=USD","Period=FQ","BEST_FPERIOD_OVERRIDE=FQ","FILING_STATUS=MR","SCALING_FORMAT=MLN","Sort=A","Dates=H","DateFormat=P","Fill=—","Direction=H","UseDPDF=Y")</f>
        <v>44</v>
      </c>
      <c r="E64" s="13">
        <f>_xll.BDH("GILD US Equity","BS_CURR_RENTAL_EXPENSE","FQ4 2019","FQ4 2019","Currency=USD","Period=FQ","BEST_FPERIOD_OVERRIDE=FQ","FILING_STATUS=MR","SCALING_FORMAT=MLN","Sort=A","Dates=H","DateFormat=P","Fill=—","Direction=H","UseDPDF=Y")</f>
        <v>44</v>
      </c>
      <c r="F64" s="13" t="str">
        <f>_xll.BDH("GILD US Equity","BS_CURR_RENTAL_EXPENSE","FQ1 2020","FQ1 2020","Currency=USD","Period=FQ","BEST_FPERIOD_OVERRIDE=FQ","FILING_STATUS=MR","SCALING_FORMAT=MLN","Sort=A","Dates=H","DateFormat=P","Fill=—","Direction=H","UseDPDF=Y")</f>
        <v>—</v>
      </c>
      <c r="G64" s="13" t="str">
        <f>_xll.BDH("GILD US Equity","BS_CURR_RENTAL_EXPENSE","FQ2 2020","FQ2 2020","Currency=USD","Period=FQ","BEST_FPERIOD_OVERRIDE=FQ","FILING_STATUS=MR","SCALING_FORMAT=MLN","Sort=A","Dates=H","DateFormat=P","Fill=—","Direction=H","UseDPDF=Y")</f>
        <v>—</v>
      </c>
      <c r="H64" s="13" t="str">
        <f>_xll.BDH("GILD US Equity","BS_CURR_RENTAL_EXPENSE","FQ3 2020","FQ3 2020","Currency=USD","Period=FQ","BEST_FPERIOD_OVERRIDE=FQ","FILING_STATUS=MR","SCALING_FORMAT=MLN","Sort=A","Dates=H","DateFormat=P","Fill=—","Direction=H","UseDPDF=Y")</f>
        <v>—</v>
      </c>
      <c r="I64" s="13" t="str">
        <f>_xll.BDH("GILD US Equity","BS_CURR_RENTAL_EXPENSE","FQ4 2020","FQ4 2020","Currency=USD","Period=FQ","BEST_FPERIOD_OVERRIDE=FQ","FILING_STATUS=MR","SCALING_FORMAT=MLN","Sort=A","Dates=H","DateFormat=P","Fill=—","Direction=H","UseDPDF=Y")</f>
        <v>—</v>
      </c>
      <c r="J64" s="13" t="str">
        <f>_xll.BDH("GILD US Equity","BS_CURR_RENTAL_EXPENSE","FQ1 2021","FQ1 2021","Currency=USD","Period=FQ","BEST_FPERIOD_OVERRIDE=FQ","FILING_STATUS=MR","SCALING_FORMAT=MLN","Sort=A","Dates=H","DateFormat=P","Fill=—","Direction=H","UseDPDF=Y")</f>
        <v>—</v>
      </c>
      <c r="K64" s="13" t="str">
        <f>_xll.BDH("GILD US Equity","BS_CURR_RENTAL_EXPENSE","FQ2 2021","FQ2 2021","Currency=USD","Period=FQ","BEST_FPERIOD_OVERRIDE=FQ","FILING_STATUS=MR","SCALING_FORMAT=MLN","Sort=A","Dates=H","DateFormat=P","Fill=—","Direction=H","UseDPDF=Y")</f>
        <v>—</v>
      </c>
      <c r="L64" s="13" t="str">
        <f>_xll.BDH("GILD US Equity","BS_CURR_RENTAL_EXPENSE","FQ3 2021","FQ3 2021","Currency=USD","Period=FQ","BEST_FPERIOD_OVERRIDE=FQ","FILING_STATUS=MR","SCALING_FORMAT=MLN","Sort=A","Dates=H","DateFormat=P","Fill=—","Direction=H","UseDPDF=Y")</f>
        <v>—</v>
      </c>
      <c r="M64" s="13" t="str">
        <f>_xll.BDH("GILD US Equity","BS_CURR_RENTAL_EXPENSE","FQ4 2021","FQ4 2021","Currency=USD","Period=FQ","BEST_FPERIOD_OVERRIDE=FQ","FILING_STATUS=MR","SCALING_FORMAT=MLN","Sort=A","Dates=H","DateFormat=P","Fill=—","Direction=H","UseDPDF=Y")</f>
        <v>—</v>
      </c>
      <c r="N64" s="13" t="str">
        <f>_xll.BDH("GILD US Equity","BS_CURR_RENTAL_EXPENSE","FQ1 2022","FQ1 2022","Currency=USD","Period=FQ","BEST_FPERIOD_OVERRIDE=FQ","FILING_STATUS=MR","SCALING_FORMAT=MLN","Sort=A","Dates=H","DateFormat=P","Fill=—","Direction=H","UseDPDF=Y")</f>
        <v>—</v>
      </c>
      <c r="O64" s="13" t="str">
        <f>_xll.BDH("GILD US Equity","BS_CURR_RENTAL_EXPENSE","FQ2 2022","FQ2 2022","Currency=USD","Period=FQ","BEST_FPERIOD_OVERRIDE=FQ","FILING_STATUS=MR","SCALING_FORMAT=MLN","Sort=A","Dates=H","DateFormat=P","Fill=—","Direction=H","UseDPDF=Y")</f>
        <v>—</v>
      </c>
      <c r="P64" s="13" t="str">
        <f>_xll.BDH("GILD US Equity","BS_CURR_RENTAL_EXPENSE","FQ3 2022","FQ3 2022","Currency=USD","Period=FQ","BEST_FPERIOD_OVERRIDE=FQ","FILING_STATUS=MR","SCALING_FORMAT=MLN","Sort=A","Dates=H","DateFormat=P","Fill=—","Direction=H","UseDPDF=Y")</f>
        <v>—</v>
      </c>
      <c r="Q64" s="13" t="str">
        <f>_xll.BDH("GILD US Equity","BS_CURR_RENTAL_EXPENSE","FQ4 2022","FQ4 2022","Currency=USD","Period=FQ","BEST_FPERIOD_OVERRIDE=FQ","FILING_STATUS=MR","SCALING_FORMAT=MLN","Sort=A","Dates=H","DateFormat=P","Fill=—","Direction=H","UseDPDF=Y")</f>
        <v>—</v>
      </c>
      <c r="R64" s="13" t="str">
        <f>_xll.BDH("GILD US Equity","BS_CURR_RENTAL_EXPENSE","FQ1 2023","FQ1 2023","Currency=USD","Period=FQ","BEST_FPERIOD_OVERRIDE=FQ","FILING_STATUS=MR","SCALING_FORMAT=MLN","Sort=A","Dates=H","DateFormat=P","Fill=—","Direction=H","UseDPDF=Y")</f>
        <v>—</v>
      </c>
      <c r="S64" s="13" t="str">
        <f>_xll.BDH("GILD US Equity","BS_CURR_RENTAL_EXPENSE","FQ2 2023","FQ2 2023","Currency=USD","Period=FQ","BEST_FPERIOD_OVERRIDE=FQ","FILING_STATUS=MR","SCALING_FORMAT=MLN","Sort=A","Dates=H","DateFormat=P","Fill=—","Direction=H","UseDPDF=Y")</f>
        <v>—</v>
      </c>
      <c r="T64" s="13" t="str">
        <f>_xll.BDH("GILD US Equity","BS_CURR_RENTAL_EXPENSE","FQ3 2023","FQ3 2023","Currency=USD","Period=FQ","BEST_FPERIOD_OVERRIDE=FQ","FILING_STATUS=MR","SCALING_FORMAT=MLN","Sort=A","Dates=H","DateFormat=P","Fill=—","Direction=H","UseDPDF=Y")</f>
        <v>—</v>
      </c>
      <c r="U64" s="13" t="str">
        <f>_xll.BDH("GILD US Equity","BS_CURR_RENTAL_EXPENSE","FQ4 2023","FQ4 2023","Currency=USD","Period=FQ","BEST_FPERIOD_OVERRIDE=FQ","FILING_STATUS=MR","SCALING_FORMAT=MLN","Sort=A","Dates=H","DateFormat=P","Fill=—","Direction=H","UseDPDF=Y")</f>
        <v>—</v>
      </c>
      <c r="V64" s="13" t="str">
        <f>_xll.BDH("GILD US Equity","BS_CURR_RENTAL_EXPENSE","FQ1 2024","FQ1 2024","Currency=USD","Period=FQ","BEST_FPERIOD_OVERRIDE=FQ","FILING_STATUS=MR","SCALING_FORMAT=MLN","Sort=A","Dates=H","DateFormat=P","Fill=—","Direction=H","UseDPDF=Y")</f>
        <v>—</v>
      </c>
      <c r="W64" s="13" t="str">
        <f>_xll.BDH("GILD US Equity","BS_CURR_RENTAL_EXPENSE","FQ2 2024","FQ2 2024","Currency=USD","Period=FQ","BEST_FPERIOD_OVERRIDE=FQ","FILING_STATUS=MR","SCALING_FORMAT=MLN","Sort=A","Dates=H","DateFormat=P","Fill=—","Direction=H","UseDPDF=Y")</f>
        <v>—</v>
      </c>
      <c r="X64" s="13" t="str">
        <f>_xll.BDH("GILD US Equity","BS_CURR_RENTAL_EXPENSE","FQ3 2024","FQ3 2024","Currency=USD","Period=FQ","BEST_FPERIOD_OVERRIDE=FQ","FILING_STATUS=MR","SCALING_FORMAT=MLN","Sort=A","Dates=H","DateFormat=P","Fill=—","Direction=H","UseDPDF=Y")</f>
        <v>—</v>
      </c>
      <c r="Y64" s="13" t="str">
        <f>_xll.BDH("GILD US Equity","BS_CURR_RENTAL_EXPENSE","FQ4 2024","FQ4 2024","Currency=USD","Period=FQ","BEST_FPERIOD_OVERRIDE=FQ","FILING_STATUS=MR","SCALING_FORMAT=MLN","Sort=A","Dates=H","DateFormat=P","Fill=—","Direction=H","UseDPDF=Y")</f>
        <v>—</v>
      </c>
      <c r="Z64" s="13"/>
      <c r="AA64" s="13"/>
    </row>
    <row r="65" spans="1:27" x14ac:dyDescent="0.25">
      <c r="A65" s="7" t="s">
        <v>90</v>
      </c>
      <c r="B65" s="7"/>
      <c r="C65" s="7" t="s">
        <v>5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28"/>
  <sheetViews>
    <sheetView workbookViewId="0">
      <selection activeCell="M19" sqref="M19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417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418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419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420</v>
      </c>
      <c r="B8" s="10" t="s">
        <v>421</v>
      </c>
      <c r="C8" s="13">
        <f>_xll.BDH("GILD US Equity","ARD_ROYALTY_REVENUE","FQ4 2018","FQ4 2018","Currency=USD","Period=FQ","BEST_FPERIOD_OVERRIDE=FQ","FILING_STATUS=MR","SCALING_FORMAT=MLN","Sort=A","Dates=H","DateFormat=P","Fill=—","Direction=H","UseDPDF=Y")</f>
        <v>114</v>
      </c>
      <c r="D8" s="13">
        <f>_xll.BDH("GILD US Equity","ARD_ROYALTY_REVENUE","FQ1 2019","FQ1 2019","Currency=USD","Period=FQ","BEST_FPERIOD_OVERRIDE=FQ","FILING_STATUS=MR","SCALING_FORMAT=MLN","Sort=A","Dates=H","DateFormat=P","Fill=—","Direction=H","UseDPDF=Y")</f>
        <v>81</v>
      </c>
      <c r="E8" s="13">
        <f>_xll.BDH("GILD US Equity","ARD_ROYALTY_REVENUE","FQ2 2019","FQ2 2019","Currency=USD","Period=FQ","BEST_FPERIOD_OVERRIDE=FQ","FILING_STATUS=MR","SCALING_FORMAT=MLN","Sort=A","Dates=H","DateFormat=P","Fill=—","Direction=H","UseDPDF=Y")</f>
        <v>78</v>
      </c>
      <c r="F8" s="13">
        <f>_xll.BDH("GILD US Equity","ARD_ROYALTY_REVENUE","FQ3 2019","FQ3 2019","Currency=USD","Period=FQ","BEST_FPERIOD_OVERRIDE=FQ","FILING_STATUS=MR","SCALING_FORMAT=MLN","Sort=A","Dates=H","DateFormat=P","Fill=—","Direction=H","UseDPDF=Y")</f>
        <v>88</v>
      </c>
      <c r="G8" s="13">
        <f>_xll.BDH("GILD US Equity","ARD_ROYALTY_REVENUE","FQ4 2019","FQ4 2019","Currency=USD","Period=FQ","BEST_FPERIOD_OVERRIDE=FQ","FILING_STATUS=MR","SCALING_FORMAT=MLN","Sort=A","Dates=H","DateFormat=P","Fill=—","Direction=H","UseDPDF=Y")</f>
        <v>83</v>
      </c>
      <c r="H8" s="13">
        <f>_xll.BDH("GILD US Equity","ARD_ROYALTY_REVENUE","FQ1 2020","FQ1 2020","Currency=USD","Period=FQ","BEST_FPERIOD_OVERRIDE=FQ","FILING_STATUS=MR","SCALING_FORMAT=MLN","Sort=A","Dates=H","DateFormat=P","Fill=—","Direction=H","UseDPDF=Y")</f>
        <v>81</v>
      </c>
      <c r="I8" s="13">
        <f>_xll.BDH("GILD US Equity","ARD_ROYALTY_REVENUE","FQ2 2020","FQ2 2020","Currency=USD","Period=FQ","BEST_FPERIOD_OVERRIDE=FQ","FILING_STATUS=MR","SCALING_FORMAT=MLN","Sort=A","Dates=H","DateFormat=P","Fill=—","Direction=H","UseDPDF=Y")</f>
        <v>76</v>
      </c>
      <c r="J8" s="13">
        <f>_xll.BDH("GILD US Equity","ARD_ROYALTY_REVENUE","FQ3 2020","FQ3 2020","Currency=USD","Period=FQ","BEST_FPERIOD_OVERRIDE=FQ","FILING_STATUS=MR","SCALING_FORMAT=MLN","Sort=A","Dates=H","DateFormat=P","Fill=—","Direction=H","UseDPDF=Y")</f>
        <v>84</v>
      </c>
      <c r="K8" s="13">
        <f>_xll.BDH("GILD US Equity","ARD_ROYALTY_REVENUE","FQ4 2020","FQ4 2020","Currency=USD","Period=FQ","BEST_FPERIOD_OVERRIDE=FQ","FILING_STATUS=MR","SCALING_FORMAT=MLN","Sort=A","Dates=H","DateFormat=P","Fill=—","Direction=H","UseDPDF=Y")</f>
        <v>93</v>
      </c>
      <c r="L8" s="13">
        <f>_xll.BDH("GILD US Equity","ARD_ROYALTY_REVENUE","FQ1 2021","FQ1 2021","Currency=USD","Period=FQ","BEST_FPERIOD_OVERRIDE=FQ","FILING_STATUS=MR","SCALING_FORMAT=MLN","Sort=A","Dates=H","DateFormat=P","Fill=—","Direction=H","UseDPDF=Y")</f>
        <v>83</v>
      </c>
      <c r="M8" s="13">
        <f>_xll.BDH("GILD US Equity","ARD_ROYALTY_REVENUE","FQ2 2021","FQ2 2021","Currency=USD","Period=FQ","BEST_FPERIOD_OVERRIDE=FQ","FILING_STATUS=MR","SCALING_FORMAT=MLN","Sort=A","Dates=H","DateFormat=P","Fill=—","Direction=H","UseDPDF=Y")</f>
        <v>65</v>
      </c>
      <c r="N8" s="13">
        <f>_xll.BDH("GILD US Equity","ARD_ROYALTY_REVENUE","FQ3 2021","FQ3 2021","Currency=USD","Period=FQ","BEST_FPERIOD_OVERRIDE=FQ","FILING_STATUS=MR","SCALING_FORMAT=MLN","Sort=A","Dates=H","DateFormat=P","Fill=—","Direction=H","UseDPDF=Y")</f>
        <v>65</v>
      </c>
      <c r="O8" s="13">
        <f>_xll.BDH("GILD US Equity","ARD_ROYALTY_REVENUE","FQ4 2021","FQ4 2021","Currency=USD","Period=FQ","BEST_FPERIOD_OVERRIDE=FQ","FILING_STATUS=MR","SCALING_FORMAT=MLN","Sort=A","Dates=H","DateFormat=P","Fill=—","Direction=H","UseDPDF=Y")</f>
        <v>84</v>
      </c>
      <c r="P8" s="13">
        <f>_xll.BDH("GILD US Equity","ARD_ROYALTY_REVENUE","FQ1 2022","FQ1 2022","Currency=USD","Period=FQ","BEST_FPERIOD_OVERRIDE=FQ","FILING_STATUS=MR","SCALING_FORMAT=MLN","Sort=A","Dates=H","DateFormat=P","Fill=—","Direction=H","UseDPDF=Y")</f>
        <v>56</v>
      </c>
      <c r="Q8" s="13">
        <f>_xll.BDH("GILD US Equity","ARD_ROYALTY_REVENUE","FQ2 2022","FQ2 2022","Currency=USD","Period=FQ","BEST_FPERIOD_OVERRIDE=FQ","FILING_STATUS=MR","SCALING_FORMAT=MLN","Sort=A","Dates=H","DateFormat=P","Fill=—","Direction=H","UseDPDF=Y")</f>
        <v>122</v>
      </c>
      <c r="R8" s="13">
        <f>_xll.BDH("GILD US Equity","ARD_ROYALTY_REVENUE","FQ3 2022","FQ3 2022","Currency=USD","Period=FQ","BEST_FPERIOD_OVERRIDE=FQ","FILING_STATUS=MR","SCALING_FORMAT=MLN","Sort=A","Dates=H","DateFormat=P","Fill=—","Direction=H","UseDPDF=Y")</f>
        <v>64</v>
      </c>
      <c r="S8" s="13">
        <f>_xll.BDH("GILD US Equity","ARD_ROYALTY_REVENUE","FQ4 2022","FQ4 2022","Currency=USD","Period=FQ","BEST_FPERIOD_OVERRIDE=FQ","FILING_STATUS=MR","SCALING_FORMAT=MLN","Sort=A","Dates=H","DateFormat=P","Fill=—","Direction=H","UseDPDF=Y")</f>
        <v>56</v>
      </c>
      <c r="T8" s="13">
        <f>_xll.BDH("GILD US Equity","ARD_ROYALTY_REVENUE","FQ1 2023","FQ1 2023","Currency=USD","Period=FQ","BEST_FPERIOD_OVERRIDE=FQ","FILING_STATUS=MR","SCALING_FORMAT=MLN","Sort=A","Dates=H","DateFormat=P","Fill=—","Direction=H","UseDPDF=Y")</f>
        <v>46</v>
      </c>
      <c r="U8" s="13">
        <f>_xll.BDH("GILD US Equity","ARD_ROYALTY_REVENUE","FQ2 2023","FQ2 2023","Currency=USD","Period=FQ","BEST_FPERIOD_OVERRIDE=FQ","FILING_STATUS=MR","SCALING_FORMAT=MLN","Sort=A","Dates=H","DateFormat=P","Fill=—","Direction=H","UseDPDF=Y")</f>
        <v>35</v>
      </c>
      <c r="V8" s="13">
        <f>_xll.BDH("GILD US Equity","ARD_ROYALTY_REVENUE","FQ3 2023","FQ3 2023","Currency=USD","Period=FQ","BEST_FPERIOD_OVERRIDE=FQ","FILING_STATUS=MR","SCALING_FORMAT=MLN","Sort=A","Dates=H","DateFormat=P","Fill=—","Direction=H","UseDPDF=Y")</f>
        <v>57</v>
      </c>
      <c r="W8" s="13">
        <f>_xll.BDH("GILD US Equity","ARD_ROYALTY_REVENUE","FQ4 2023","FQ4 2023","Currency=USD","Period=FQ","BEST_FPERIOD_OVERRIDE=FQ","FILING_STATUS=MR","SCALING_FORMAT=MLN","Sort=A","Dates=H","DateFormat=P","Fill=—","Direction=H","UseDPDF=Y")</f>
        <v>45</v>
      </c>
      <c r="X8" s="13">
        <f>_xll.BDH("GILD US Equity","ARD_ROYALTY_REVENUE","FQ1 2024","FQ1 2024","Currency=USD","Period=FQ","BEST_FPERIOD_OVERRIDE=FQ","FILING_STATUS=MR","SCALING_FORMAT=MLN","Sort=A","Dates=H","DateFormat=P","Fill=—","Direction=H","UseDPDF=Y")</f>
        <v>39</v>
      </c>
      <c r="Y8" s="13">
        <f>_xll.BDH("GILD US Equity","ARD_ROYALTY_REVENUE","FQ2 2024","FQ2 2024","Currency=USD","Period=FQ","BEST_FPERIOD_OVERRIDE=FQ","FILING_STATUS=MR","SCALING_FORMAT=MLN","Sort=A","Dates=H","DateFormat=P","Fill=—","Direction=H","UseDPDF=Y")</f>
        <v>41</v>
      </c>
      <c r="Z8" s="13">
        <f>_xll.BDH("GILD US Equity","ARD_ROYALTY_REVENUE","FQ3 2024","FQ3 2024","Currency=USD","Period=FQ","BEST_FPERIOD_OVERRIDE=FQ","FILING_STATUS=MR","SCALING_FORMAT=MLN","Sort=A","Dates=H","DateFormat=P","Fill=—","Direction=H","UseDPDF=Y")</f>
        <v>30</v>
      </c>
      <c r="AA8" s="13">
        <f>_xll.BDH("GILD US Equity","ARD_ROYALTY_REVENUE","FQ4 2024","FQ4 2024","Currency=USD","Period=FQ","BEST_FPERIOD_OVERRIDE=FQ","FILING_STATUS=MR","SCALING_FORMAT=MLN","Sort=A","Dates=H","DateFormat=P","Fill=—","Direction=H","UseDPDF=Y")</f>
        <v>33</v>
      </c>
    </row>
    <row r="9" spans="1:27" x14ac:dyDescent="0.25">
      <c r="A9" s="10" t="s">
        <v>422</v>
      </c>
      <c r="B9" s="10" t="s">
        <v>423</v>
      </c>
      <c r="C9" s="13">
        <f>_xll.BDH("GILD US Equity","ARD_PRODUCT_REVENUE","FQ4 2018","FQ4 2018","Currency=USD","Period=FQ","BEST_FPERIOD_OVERRIDE=FQ","FILING_STATUS=MR","SCALING_FORMAT=MLN","Sort=A","Dates=H","DateFormat=P","Fill=—","Direction=H","UseDPDF=Y")</f>
        <v>5681</v>
      </c>
      <c r="D9" s="13">
        <f>_xll.BDH("GILD US Equity","ARD_PRODUCT_REVENUE","FQ1 2019","FQ1 2019","Currency=USD","Period=FQ","BEST_FPERIOD_OVERRIDE=FQ","FILING_STATUS=MR","SCALING_FORMAT=MLN","Sort=A","Dates=H","DateFormat=P","Fill=—","Direction=H","UseDPDF=Y")</f>
        <v>5200</v>
      </c>
      <c r="E9" s="13">
        <f>_xll.BDH("GILD US Equity","ARD_PRODUCT_REVENUE","FQ2 2019","FQ2 2019","Currency=USD","Period=FQ","BEST_FPERIOD_OVERRIDE=FQ","FILING_STATUS=MR","SCALING_FORMAT=MLN","Sort=A","Dates=H","DateFormat=P","Fill=—","Direction=H","UseDPDF=Y")</f>
        <v>5607</v>
      </c>
      <c r="F9" s="13">
        <f>_xll.BDH("GILD US Equity","ARD_PRODUCT_REVENUE","FQ3 2019","FQ3 2019","Currency=USD","Period=FQ","BEST_FPERIOD_OVERRIDE=FQ","FILING_STATUS=MR","SCALING_FORMAT=MLN","Sort=A","Dates=H","DateFormat=P","Fill=—","Direction=H","UseDPDF=Y")</f>
        <v>5516</v>
      </c>
      <c r="G9" s="13">
        <f>_xll.BDH("GILD US Equity","ARD_PRODUCT_REVENUE","FQ4 2019","FQ4 2019","Currency=USD","Period=FQ","BEST_FPERIOD_OVERRIDE=FQ","FILING_STATUS=MR","SCALING_FORMAT=MLN","Sort=A","Dates=H","DateFormat=P","Fill=—","Direction=H","UseDPDF=Y")</f>
        <v>5796</v>
      </c>
      <c r="H9" s="13">
        <f>_xll.BDH("GILD US Equity","ARD_PRODUCT_REVENUE","FQ1 2020","FQ1 2020","Currency=USD","Period=FQ","BEST_FPERIOD_OVERRIDE=FQ","FILING_STATUS=MR","SCALING_FORMAT=MLN","Sort=A","Dates=H","DateFormat=P","Fill=—","Direction=H","UseDPDF=Y")</f>
        <v>5467</v>
      </c>
      <c r="I9" s="13">
        <f>_xll.BDH("GILD US Equity","ARD_PRODUCT_REVENUE","FQ2 2020","FQ2 2020","Currency=USD","Period=FQ","BEST_FPERIOD_OVERRIDE=FQ","FILING_STATUS=MR","SCALING_FORMAT=MLN","Sort=A","Dates=H","DateFormat=P","Fill=—","Direction=H","UseDPDF=Y")</f>
        <v>5067</v>
      </c>
      <c r="J9" s="13">
        <f>_xll.BDH("GILD US Equity","ARD_PRODUCT_REVENUE","FQ3 2020","FQ3 2020","Currency=USD","Period=FQ","BEST_FPERIOD_OVERRIDE=FQ","FILING_STATUS=MR","SCALING_FORMAT=MLN","Sort=A","Dates=H","DateFormat=P","Fill=—","Direction=H","UseDPDF=Y")</f>
        <v>6493</v>
      </c>
      <c r="K9" s="13">
        <f>_xll.BDH("GILD US Equity","ARD_PRODUCT_REVENUE","FQ4 2020","FQ4 2020","Currency=USD","Period=FQ","BEST_FPERIOD_OVERRIDE=FQ","FILING_STATUS=MR","SCALING_FORMAT=MLN","Sort=A","Dates=H","DateFormat=P","Fill=—","Direction=H","UseDPDF=Y")</f>
        <v>7328</v>
      </c>
      <c r="L9" s="13">
        <f>_xll.BDH("GILD US Equity","ARD_PRODUCT_REVENUE","FQ1 2021","FQ1 2021","Currency=USD","Period=FQ","BEST_FPERIOD_OVERRIDE=FQ","FILING_STATUS=MR","SCALING_FORMAT=MLN","Sort=A","Dates=H","DateFormat=P","Fill=—","Direction=H","UseDPDF=Y")</f>
        <v>6340</v>
      </c>
      <c r="M9" s="13">
        <f>_xll.BDH("GILD US Equity","ARD_PRODUCT_REVENUE","FQ2 2021","FQ2 2021","Currency=USD","Period=FQ","BEST_FPERIOD_OVERRIDE=FQ","FILING_STATUS=MR","SCALING_FORMAT=MLN","Sort=A","Dates=H","DateFormat=P","Fill=—","Direction=H","UseDPDF=Y")</f>
        <v>6152</v>
      </c>
      <c r="N9" s="13">
        <f>_xll.BDH("GILD US Equity","ARD_PRODUCT_REVENUE","FQ3 2021","FQ3 2021","Currency=USD","Period=FQ","BEST_FPERIOD_OVERRIDE=FQ","FILING_STATUS=MR","SCALING_FORMAT=MLN","Sort=A","Dates=H","DateFormat=P","Fill=—","Direction=H","UseDPDF=Y")</f>
        <v>7356</v>
      </c>
      <c r="O9" s="13">
        <f>_xll.BDH("GILD US Equity","ARD_PRODUCT_REVENUE","FQ4 2021","FQ4 2021","Currency=USD","Period=FQ","BEST_FPERIOD_OVERRIDE=FQ","FILING_STATUS=MR","SCALING_FORMAT=MLN","Sort=A","Dates=H","DateFormat=P","Fill=—","Direction=H","UseDPDF=Y")</f>
        <v>7160</v>
      </c>
      <c r="P9" s="13">
        <f>_xll.BDH("GILD US Equity","ARD_PRODUCT_REVENUE","FQ1 2022","FQ1 2022","Currency=USD","Period=FQ","BEST_FPERIOD_OVERRIDE=FQ","FILING_STATUS=MR","SCALING_FORMAT=MLN","Sort=A","Dates=H","DateFormat=P","Fill=—","Direction=H","UseDPDF=Y")</f>
        <v>6534</v>
      </c>
      <c r="Q9" s="13">
        <f>_xll.BDH("GILD US Equity","ARD_PRODUCT_REVENUE","FQ2 2022","FQ2 2022","Currency=USD","Period=FQ","BEST_FPERIOD_OVERRIDE=FQ","FILING_STATUS=MR","SCALING_FORMAT=MLN","Sort=A","Dates=H","DateFormat=P","Fill=—","Direction=H","UseDPDF=Y")</f>
        <v>6138</v>
      </c>
      <c r="R9" s="13">
        <f>_xll.BDH("GILD US Equity","ARD_PRODUCT_REVENUE","FQ3 2022","FQ3 2022","Currency=USD","Period=FQ","BEST_FPERIOD_OVERRIDE=FQ","FILING_STATUS=MR","SCALING_FORMAT=MLN","Sort=A","Dates=H","DateFormat=P","Fill=—","Direction=H","UseDPDF=Y")</f>
        <v>6978</v>
      </c>
      <c r="S9" s="13">
        <f>_xll.BDH("GILD US Equity","ARD_PRODUCT_REVENUE","FQ4 2022","FQ4 2022","Currency=USD","Period=FQ","BEST_FPERIOD_OVERRIDE=FQ","FILING_STATUS=MR","SCALING_FORMAT=MLN","Sort=A","Dates=H","DateFormat=P","Fill=—","Direction=H","UseDPDF=Y")</f>
        <v>7333</v>
      </c>
      <c r="T9" s="13">
        <f>_xll.BDH("GILD US Equity","ARD_PRODUCT_REVENUE","FQ1 2023","FQ1 2023","Currency=USD","Period=FQ","BEST_FPERIOD_OVERRIDE=FQ","FILING_STATUS=MR","SCALING_FORMAT=MLN","Sort=A","Dates=H","DateFormat=P","Fill=—","Direction=H","UseDPDF=Y")</f>
        <v>6306</v>
      </c>
      <c r="U9" s="13">
        <f>_xll.BDH("GILD US Equity","ARD_PRODUCT_REVENUE","FQ2 2023","FQ2 2023","Currency=USD","Period=FQ","BEST_FPERIOD_OVERRIDE=FQ","FILING_STATUS=MR","SCALING_FORMAT=MLN","Sort=A","Dates=H","DateFormat=P","Fill=—","Direction=H","UseDPDF=Y")</f>
        <v>6564</v>
      </c>
      <c r="V9" s="13">
        <f>_xll.BDH("GILD US Equity","ARD_PRODUCT_REVENUE","FQ3 2023","FQ3 2023","Currency=USD","Period=FQ","BEST_FPERIOD_OVERRIDE=FQ","FILING_STATUS=MR","SCALING_FORMAT=MLN","Sort=A","Dates=H","DateFormat=P","Fill=—","Direction=H","UseDPDF=Y")</f>
        <v>6994</v>
      </c>
      <c r="W9" s="13">
        <f>_xll.BDH("GILD US Equity","ARD_PRODUCT_REVENUE","FQ4 2023","FQ4 2023","Currency=USD","Period=FQ","BEST_FPERIOD_OVERRIDE=FQ","FILING_STATUS=MR","SCALING_FORMAT=MLN","Sort=A","Dates=H","DateFormat=P","Fill=—","Direction=H","UseDPDF=Y")</f>
        <v>7070</v>
      </c>
      <c r="X9" s="13">
        <f>_xll.BDH("GILD US Equity","ARD_PRODUCT_REVENUE","FQ1 2024","FQ1 2024","Currency=USD","Period=FQ","BEST_FPERIOD_OVERRIDE=FQ","FILING_STATUS=MR","SCALING_FORMAT=MLN","Sort=A","Dates=H","DateFormat=P","Fill=—","Direction=H","UseDPDF=Y")</f>
        <v>6647</v>
      </c>
      <c r="Y9" s="13">
        <f>_xll.BDH("GILD US Equity","ARD_PRODUCT_REVENUE","FQ2 2024","FQ2 2024","Currency=USD","Period=FQ","BEST_FPERIOD_OVERRIDE=FQ","FILING_STATUS=MR","SCALING_FORMAT=MLN","Sort=A","Dates=H","DateFormat=P","Fill=—","Direction=H","UseDPDF=Y")</f>
        <v>6912</v>
      </c>
      <c r="Z9" s="13">
        <f>_xll.BDH("GILD US Equity","ARD_PRODUCT_REVENUE","FQ3 2024","FQ3 2024","Currency=USD","Period=FQ","BEST_FPERIOD_OVERRIDE=FQ","FILING_STATUS=MR","SCALING_FORMAT=MLN","Sort=A","Dates=H","DateFormat=P","Fill=—","Direction=H","UseDPDF=Y")</f>
        <v>7515</v>
      </c>
      <c r="AA9" s="13">
        <f>_xll.BDH("GILD US Equity","ARD_PRODUCT_REVENUE","FQ4 2024","FQ4 2024","Currency=USD","Period=FQ","BEST_FPERIOD_OVERRIDE=FQ","FILING_STATUS=MR","SCALING_FORMAT=MLN","Sort=A","Dates=H","DateFormat=P","Fill=—","Direction=H","UseDPDF=Y")</f>
        <v>7536</v>
      </c>
    </row>
    <row r="10" spans="1:27" x14ac:dyDescent="0.25">
      <c r="A10" s="6" t="s">
        <v>1</v>
      </c>
      <c r="B10" s="6" t="s">
        <v>424</v>
      </c>
      <c r="C10" s="19">
        <f>_xll.BDH("GILD US Equity","ARD_TOTAL_REVENUES","FQ4 2018","FQ4 2018","Currency=USD","Period=FQ","BEST_FPERIOD_OVERRIDE=FQ","FILING_STATUS=MR","SCALING_FORMAT=MLN","Sort=A","Dates=H","DateFormat=P","Fill=—","Direction=H","UseDPDF=Y")</f>
        <v>5795</v>
      </c>
      <c r="D10" s="19">
        <f>_xll.BDH("GILD US Equity","ARD_TOTAL_REVENUES","FQ1 2019","FQ1 2019","Currency=USD","Period=FQ","BEST_FPERIOD_OVERRIDE=FQ","FILING_STATUS=MR","SCALING_FORMAT=MLN","Sort=A","Dates=H","DateFormat=P","Fill=—","Direction=H","UseDPDF=Y")</f>
        <v>5281</v>
      </c>
      <c r="E10" s="19">
        <f>_xll.BDH("GILD US Equity","ARD_TOTAL_REVENUES","FQ2 2019","FQ2 2019","Currency=USD","Period=FQ","BEST_FPERIOD_OVERRIDE=FQ","FILING_STATUS=MR","SCALING_FORMAT=MLN","Sort=A","Dates=H","DateFormat=P","Fill=—","Direction=H","UseDPDF=Y")</f>
        <v>5685</v>
      </c>
      <c r="F10" s="19">
        <f>_xll.BDH("GILD US Equity","ARD_TOTAL_REVENUES","FQ3 2019","FQ3 2019","Currency=USD","Period=FQ","BEST_FPERIOD_OVERRIDE=FQ","FILING_STATUS=MR","SCALING_FORMAT=MLN","Sort=A","Dates=H","DateFormat=P","Fill=—","Direction=H","UseDPDF=Y")</f>
        <v>5604</v>
      </c>
      <c r="G10" s="19">
        <f>_xll.BDH("GILD US Equity","ARD_TOTAL_REVENUES","FQ4 2019","FQ4 2019","Currency=USD","Period=FQ","BEST_FPERIOD_OVERRIDE=FQ","FILING_STATUS=MR","SCALING_FORMAT=MLN","Sort=A","Dates=H","DateFormat=P","Fill=—","Direction=H","UseDPDF=Y")</f>
        <v>5879</v>
      </c>
      <c r="H10" s="19">
        <f>_xll.BDH("GILD US Equity","ARD_TOTAL_REVENUES","FQ1 2020","FQ1 2020","Currency=USD","Period=FQ","BEST_FPERIOD_OVERRIDE=FQ","FILING_STATUS=MR","SCALING_FORMAT=MLN","Sort=A","Dates=H","DateFormat=P","Fill=—","Direction=H","UseDPDF=Y")</f>
        <v>5548</v>
      </c>
      <c r="I10" s="19">
        <f>_xll.BDH("GILD US Equity","ARD_TOTAL_REVENUES","FQ2 2020","FQ2 2020","Currency=USD","Period=FQ","BEST_FPERIOD_OVERRIDE=FQ","FILING_STATUS=MR","SCALING_FORMAT=MLN","Sort=A","Dates=H","DateFormat=P","Fill=—","Direction=H","UseDPDF=Y")</f>
        <v>5143</v>
      </c>
      <c r="J10" s="19">
        <f>_xll.BDH("GILD US Equity","ARD_TOTAL_REVENUES","FQ3 2020","FQ3 2020","Currency=USD","Period=FQ","BEST_FPERIOD_OVERRIDE=FQ","FILING_STATUS=MR","SCALING_FORMAT=MLN","Sort=A","Dates=H","DateFormat=P","Fill=—","Direction=H","UseDPDF=Y")</f>
        <v>6577</v>
      </c>
      <c r="K10" s="19">
        <f>_xll.BDH("GILD US Equity","ARD_TOTAL_REVENUES","FQ4 2020","FQ4 2020","Currency=USD","Period=FQ","BEST_FPERIOD_OVERRIDE=FQ","FILING_STATUS=MR","SCALING_FORMAT=MLN","Sort=A","Dates=H","DateFormat=P","Fill=—","Direction=H","UseDPDF=Y")</f>
        <v>7421</v>
      </c>
      <c r="L10" s="19">
        <f>_xll.BDH("GILD US Equity","ARD_TOTAL_REVENUES","FQ1 2021","FQ1 2021","Currency=USD","Period=FQ","BEST_FPERIOD_OVERRIDE=FQ","FILING_STATUS=MR","SCALING_FORMAT=MLN","Sort=A","Dates=H","DateFormat=P","Fill=—","Direction=H","UseDPDF=Y")</f>
        <v>6423</v>
      </c>
      <c r="M10" s="19">
        <f>_xll.BDH("GILD US Equity","ARD_TOTAL_REVENUES","FQ2 2021","FQ2 2021","Currency=USD","Period=FQ","BEST_FPERIOD_OVERRIDE=FQ","FILING_STATUS=MR","SCALING_FORMAT=MLN","Sort=A","Dates=H","DateFormat=P","Fill=—","Direction=H","UseDPDF=Y")</f>
        <v>6217</v>
      </c>
      <c r="N10" s="19">
        <f>_xll.BDH("GILD US Equity","ARD_TOTAL_REVENUES","FQ3 2021","FQ3 2021","Currency=USD","Period=FQ","BEST_FPERIOD_OVERRIDE=FQ","FILING_STATUS=MR","SCALING_FORMAT=MLN","Sort=A","Dates=H","DateFormat=P","Fill=—","Direction=H","UseDPDF=Y")</f>
        <v>7421</v>
      </c>
      <c r="O10" s="19">
        <f>_xll.BDH("GILD US Equity","ARD_TOTAL_REVENUES","FQ4 2021","FQ4 2021","Currency=USD","Period=FQ","BEST_FPERIOD_OVERRIDE=FQ","FILING_STATUS=MR","SCALING_FORMAT=MLN","Sort=A","Dates=H","DateFormat=P","Fill=—","Direction=H","UseDPDF=Y")</f>
        <v>7244</v>
      </c>
      <c r="P10" s="19">
        <f>_xll.BDH("GILD US Equity","ARD_TOTAL_REVENUES","FQ1 2022","FQ1 2022","Currency=USD","Period=FQ","BEST_FPERIOD_OVERRIDE=FQ","FILING_STATUS=MR","SCALING_FORMAT=MLN","Sort=A","Dates=H","DateFormat=P","Fill=—","Direction=H","UseDPDF=Y")</f>
        <v>6590</v>
      </c>
      <c r="Q10" s="19">
        <f>_xll.BDH("GILD US Equity","ARD_TOTAL_REVENUES","FQ2 2022","FQ2 2022","Currency=USD","Period=FQ","BEST_FPERIOD_OVERRIDE=FQ","FILING_STATUS=MR","SCALING_FORMAT=MLN","Sort=A","Dates=H","DateFormat=P","Fill=—","Direction=H","UseDPDF=Y")</f>
        <v>6260</v>
      </c>
      <c r="R10" s="19">
        <f>_xll.BDH("GILD US Equity","ARD_TOTAL_REVENUES","FQ3 2022","FQ3 2022","Currency=USD","Period=FQ","BEST_FPERIOD_OVERRIDE=FQ","FILING_STATUS=MR","SCALING_FORMAT=MLN","Sort=A","Dates=H","DateFormat=P","Fill=—","Direction=H","UseDPDF=Y")</f>
        <v>7042</v>
      </c>
      <c r="S10" s="19">
        <f>_xll.BDH("GILD US Equity","ARD_TOTAL_REVENUES","FQ4 2022","FQ4 2022","Currency=USD","Period=FQ","BEST_FPERIOD_OVERRIDE=FQ","FILING_STATUS=MR","SCALING_FORMAT=MLN","Sort=A","Dates=H","DateFormat=P","Fill=—","Direction=H","UseDPDF=Y")</f>
        <v>7389</v>
      </c>
      <c r="T10" s="19">
        <f>_xll.BDH("GILD US Equity","ARD_TOTAL_REVENUES","FQ1 2023","FQ1 2023","Currency=USD","Period=FQ","BEST_FPERIOD_OVERRIDE=FQ","FILING_STATUS=MR","SCALING_FORMAT=MLN","Sort=A","Dates=H","DateFormat=P","Fill=—","Direction=H","UseDPDF=Y")</f>
        <v>6352</v>
      </c>
      <c r="U10" s="19">
        <f>_xll.BDH("GILD US Equity","ARD_TOTAL_REVENUES","FQ2 2023","FQ2 2023","Currency=USD","Period=FQ","BEST_FPERIOD_OVERRIDE=FQ","FILING_STATUS=MR","SCALING_FORMAT=MLN","Sort=A","Dates=H","DateFormat=P","Fill=—","Direction=H","UseDPDF=Y")</f>
        <v>6599</v>
      </c>
      <c r="V10" s="19">
        <f>_xll.BDH("GILD US Equity","ARD_TOTAL_REVENUES","FQ3 2023","FQ3 2023","Currency=USD","Period=FQ","BEST_FPERIOD_OVERRIDE=FQ","FILING_STATUS=MR","SCALING_FORMAT=MLN","Sort=A","Dates=H","DateFormat=P","Fill=—","Direction=H","UseDPDF=Y")</f>
        <v>7051</v>
      </c>
      <c r="W10" s="19">
        <f>_xll.BDH("GILD US Equity","ARD_TOTAL_REVENUES","FQ4 2023","FQ4 2023","Currency=USD","Period=FQ","BEST_FPERIOD_OVERRIDE=FQ","FILING_STATUS=MR","SCALING_FORMAT=MLN","Sort=A","Dates=H","DateFormat=P","Fill=—","Direction=H","UseDPDF=Y")</f>
        <v>7115</v>
      </c>
      <c r="X10" s="19">
        <f>_xll.BDH("GILD US Equity","ARD_TOTAL_REVENUES","FQ1 2024","FQ1 2024","Currency=USD","Period=FQ","BEST_FPERIOD_OVERRIDE=FQ","FILING_STATUS=MR","SCALING_FORMAT=MLN","Sort=A","Dates=H","DateFormat=P","Fill=—","Direction=H","UseDPDF=Y")</f>
        <v>6686</v>
      </c>
      <c r="Y10" s="19">
        <f>_xll.BDH("GILD US Equity","ARD_TOTAL_REVENUES","FQ2 2024","FQ2 2024","Currency=USD","Period=FQ","BEST_FPERIOD_OVERRIDE=FQ","FILING_STATUS=MR","SCALING_FORMAT=MLN","Sort=A","Dates=H","DateFormat=P","Fill=—","Direction=H","UseDPDF=Y")</f>
        <v>6953</v>
      </c>
      <c r="Z10" s="19">
        <f>_xll.BDH("GILD US Equity","ARD_TOTAL_REVENUES","FQ3 2024","FQ3 2024","Currency=USD","Period=FQ","BEST_FPERIOD_OVERRIDE=FQ","FILING_STATUS=MR","SCALING_FORMAT=MLN","Sort=A","Dates=H","DateFormat=P","Fill=—","Direction=H","UseDPDF=Y")</f>
        <v>7545</v>
      </c>
      <c r="AA10" s="19">
        <f>_xll.BDH("GILD US Equity","ARD_TOTAL_REVENUES","FQ4 2024","FQ4 2024","Currency=USD","Period=FQ","BEST_FPERIOD_OVERRIDE=FQ","FILING_STATUS=MR","SCALING_FORMAT=MLN","Sort=A","Dates=H","DateFormat=P","Fill=—","Direction=H","UseDPDF=Y")</f>
        <v>7569</v>
      </c>
    </row>
    <row r="11" spans="1:27" x14ac:dyDescent="0.25">
      <c r="A11" s="10" t="s">
        <v>425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10" t="s">
        <v>426</v>
      </c>
      <c r="B12" s="10" t="s">
        <v>427</v>
      </c>
      <c r="C12" s="13" t="str">
        <f>_xll.BDH("GILD US Equity","ARD_TOTAL_OPERATING_EXPENSES","FQ4 2018","FQ4 2018","Currency=USD","Period=FQ","BEST_FPERIOD_OVERRIDE=FQ","FILING_STATUS=MR","SCALING_FORMAT=MLN","Sort=A","Dates=H","DateFormat=P","Fill=—","Direction=H","UseDPDF=Y")</f>
        <v>—</v>
      </c>
      <c r="D12" s="13">
        <f>_xll.BDH("GILD US Equity","ARD_TOTAL_OPERATING_EXPENSES","FQ1 2019","FQ1 2019","Currency=USD","Period=FQ","BEST_FPERIOD_OVERRIDE=FQ","FILING_STATUS=MR","SCALING_FORMAT=MLN","Sort=A","Dates=H","DateFormat=P","Fill=—","Direction=H","UseDPDF=Y")</f>
        <v>3044</v>
      </c>
      <c r="E12" s="13">
        <f>_xll.BDH("GILD US Equity","ARD_TOTAL_OPERATING_EXPENSES","FQ2 2019","FQ2 2019","Currency=USD","Period=FQ","BEST_FPERIOD_OVERRIDE=FQ","FILING_STATUS=MR","SCALING_FORMAT=MLN","Sort=A","Dates=H","DateFormat=P","Fill=—","Direction=H","UseDPDF=Y")</f>
        <v>3255</v>
      </c>
      <c r="F12" s="13">
        <f>_xll.BDH("GILD US Equity","ARD_TOTAL_OPERATING_EXPENSES","FQ3 2019","FQ3 2019","Currency=USD","Period=FQ","BEST_FPERIOD_OVERRIDE=FQ","FILING_STATUS=MR","SCALING_FORMAT=MLN","Sort=A","Dates=H","DateFormat=P","Fill=—","Direction=H","UseDPDF=Y")</f>
        <v>7077</v>
      </c>
      <c r="G12" s="13">
        <f>_xll.BDH("GILD US Equity","ARD_TOTAL_OPERATING_EXPENSES","FQ4 2019","FQ4 2019","Currency=USD","Period=FQ","BEST_FPERIOD_OVERRIDE=FQ","FILING_STATUS=MR","SCALING_FORMAT=MLN","Sort=A","Dates=H","DateFormat=P","Fill=—","Direction=H","UseDPDF=Y")</f>
        <v>4786</v>
      </c>
      <c r="H12" s="13">
        <f>_xll.BDH("GILD US Equity","ARD_TOTAL_OPERATING_EXPENSES","FQ1 2020","FQ1 2020","Currency=USD","Period=FQ","BEST_FPERIOD_OVERRIDE=FQ","FILING_STATUS=MR","SCALING_FORMAT=MLN","Sort=A","Dates=H","DateFormat=P","Fill=—","Direction=H","UseDPDF=Y")</f>
        <v>3146</v>
      </c>
      <c r="I12" s="13">
        <f>_xll.BDH("GILD US Equity","ARD_TOTAL_OPERATING_EXPENSES","FQ2 2020","FQ2 2020","Currency=USD","Period=FQ","BEST_FPERIOD_OVERRIDE=FQ","FILING_STATUS=MR","SCALING_FORMAT=MLN","Sort=A","Dates=H","DateFormat=P","Fill=—","Direction=H","UseDPDF=Y")</f>
        <v>8126</v>
      </c>
      <c r="J12" s="13">
        <f>_xll.BDH("GILD US Equity","ARD_TOTAL_OPERATING_EXPENSES","FQ3 2020","FQ3 2020","Currency=USD","Period=FQ","BEST_FPERIOD_OVERRIDE=FQ","FILING_STATUS=MR","SCALING_FORMAT=MLN","Sort=A","Dates=H","DateFormat=P","Fill=—","Direction=H","UseDPDF=Y")</f>
        <v>4576</v>
      </c>
      <c r="K12" s="13">
        <f>_xll.BDH("GILD US Equity","ARD_TOTAL_OPERATING_EXPENSES","FQ4 2020","FQ4 2020","Currency=USD","Period=FQ","BEST_FPERIOD_OVERRIDE=FQ","FILING_STATUS=MR","SCALING_FORMAT=MLN","Sort=A","Dates=H","DateFormat=P","Fill=—","Direction=H","UseDPDF=Y")</f>
        <v>4770</v>
      </c>
      <c r="L12" s="13">
        <f>_xll.BDH("GILD US Equity","ARD_TOTAL_OPERATING_EXPENSES","FQ1 2021","FQ1 2021","Currency=USD","Period=FQ","BEST_FPERIOD_OVERRIDE=FQ","FILING_STATUS=MR","SCALING_FORMAT=MLN","Sort=A","Dates=H","DateFormat=P","Fill=—","Direction=H","UseDPDF=Y")</f>
        <v>3533</v>
      </c>
      <c r="M12" s="13">
        <f>_xll.BDH("GILD US Equity","ARD_TOTAL_OPERATING_EXPENSES","FQ2 2021","FQ2 2021","Currency=USD","Period=FQ","BEST_FPERIOD_OVERRIDE=FQ","FILING_STATUS=MR","SCALING_FORMAT=MLN","Sort=A","Dates=H","DateFormat=P","Fill=—","Direction=H","UseDPDF=Y")</f>
        <v>3971</v>
      </c>
      <c r="N12" s="13">
        <f>_xll.BDH("GILD US Equity","ARD_TOTAL_OPERATING_EXPENSES","FQ3 2021","FQ3 2021","Currency=USD","Period=FQ","BEST_FPERIOD_OVERRIDE=FQ","FILING_STATUS=MR","SCALING_FORMAT=MLN","Sort=A","Dates=H","DateFormat=P","Fill=—","Direction=H","UseDPDF=Y")</f>
        <v>3579</v>
      </c>
      <c r="O12" s="13">
        <f>_xll.BDH("GILD US Equity","ARD_TOTAL_OPERATING_EXPENSES","FQ4 2021","FQ4 2021","Currency=USD","Period=FQ","BEST_FPERIOD_OVERRIDE=FQ","FILING_STATUS=MR","SCALING_FORMAT=MLN","Sort=A","Dates=H","DateFormat=P","Fill=—","Direction=H","UseDPDF=Y")</f>
        <v>6304</v>
      </c>
      <c r="P12" s="13">
        <f>_xll.BDH("GILD US Equity","ARD_TOTAL_OPERATING_EXPENSES","FQ1 2022","FQ1 2022","Currency=USD","Period=FQ","BEST_FPERIOD_OVERRIDE=FQ","FILING_STATUS=MR","SCALING_FORMAT=MLN","Sort=A","Dates=H","DateFormat=P","Fill=—","Direction=H","UseDPDF=Y")</f>
        <v>6393</v>
      </c>
      <c r="Q12" s="13">
        <f>_xll.BDH("GILD US Equity","ARD_TOTAL_OPERATING_EXPENSES","FQ2 2022","FQ2 2022","Currency=USD","Period=FQ","BEST_FPERIOD_OVERRIDE=FQ","FILING_STATUS=MR","SCALING_FORMAT=MLN","Sort=A","Dates=H","DateFormat=P","Fill=—","Direction=H","UseDPDF=Y")</f>
        <v>4231</v>
      </c>
      <c r="R12" s="13">
        <f>_xll.BDH("GILD US Equity","ARD_TOTAL_OPERATING_EXPENSES","FQ3 2022","FQ3 2022","Currency=USD","Period=FQ","BEST_FPERIOD_OVERRIDE=FQ","FILING_STATUS=MR","SCALING_FORMAT=MLN","Sort=A","Dates=H","DateFormat=P","Fill=—","Direction=H","UseDPDF=Y")</f>
        <v>4205</v>
      </c>
      <c r="S12" s="13">
        <f>_xll.BDH("GILD US Equity","ARD_TOTAL_OPERATING_EXPENSES","FQ4 2022","FQ4 2022","Currency=USD","Period=FQ","BEST_FPERIOD_OVERRIDE=FQ","FILING_STATUS=MR","SCALING_FORMAT=MLN","Sort=A","Dates=H","DateFormat=P","Fill=—","Direction=H","UseDPDF=Y")</f>
        <v>5122</v>
      </c>
      <c r="T12" s="13">
        <f>_xll.BDH("GILD US Equity","ARD_TOTAL_OPERATING_EXPENSES","FQ1 2023","FQ1 2023","Currency=USD","Period=FQ","BEST_FPERIOD_OVERRIDE=FQ","FILING_STATUS=MR","SCALING_FORMAT=MLN","Sort=A","Dates=H","DateFormat=P","Fill=—","Direction=H","UseDPDF=Y")</f>
        <v>4647</v>
      </c>
      <c r="U12" s="13">
        <f>_xll.BDH("GILD US Equity","ARD_TOTAL_OPERATING_EXPENSES","FQ2 2023","FQ2 2023","Currency=USD","Period=FQ","BEST_FPERIOD_OVERRIDE=FQ","FILING_STATUS=MR","SCALING_FORMAT=MLN","Sort=A","Dates=H","DateFormat=P","Fill=—","Direction=H","UseDPDF=Y")</f>
        <v>4934</v>
      </c>
      <c r="V12" s="13">
        <f>_xll.BDH("GILD US Equity","ARD_TOTAL_OPERATING_EXPENSES","FQ3 2023","FQ3 2023","Currency=USD","Period=FQ","BEST_FPERIOD_OVERRIDE=FQ","FILING_STATUS=MR","SCALING_FORMAT=MLN","Sort=A","Dates=H","DateFormat=P","Fill=—","Direction=H","UseDPDF=Y")</f>
        <v>4428</v>
      </c>
      <c r="W12" s="13">
        <f>_xll.BDH("GILD US Equity","ARD_TOTAL_OPERATING_EXPENSES","FQ4 2023","FQ4 2023","Currency=USD","Period=FQ","BEST_FPERIOD_OVERRIDE=FQ","FILING_STATUS=MR","SCALING_FORMAT=MLN","Sort=A","Dates=H","DateFormat=P","Fill=—","Direction=H","UseDPDF=Y")</f>
        <v>5503</v>
      </c>
      <c r="X12" s="13">
        <f>_xll.BDH("GILD US Equity","ARD_TOTAL_OPERATING_EXPENSES","FQ1 2024","FQ1 2024","Currency=USD","Period=FQ","BEST_FPERIOD_OVERRIDE=FQ","FILING_STATUS=MR","SCALING_FORMAT=MLN","Sort=A","Dates=H","DateFormat=P","Fill=—","Direction=H","UseDPDF=Y")</f>
        <v>11008</v>
      </c>
      <c r="Y12" s="13">
        <f>_xll.BDH("GILD US Equity","ARD_TOTAL_OPERATING_EXPENSES","FQ2 2024","FQ2 2024","Currency=USD","Period=FQ","BEST_FPERIOD_OVERRIDE=FQ","FILING_STATUS=MR","SCALING_FORMAT=MLN","Sort=A","Dates=H","DateFormat=P","Fill=—","Direction=H","UseDPDF=Y")</f>
        <v>4309</v>
      </c>
      <c r="Z12" s="13">
        <f>_xll.BDH("GILD US Equity","ARD_TOTAL_OPERATING_EXPENSES","FQ3 2024","FQ3 2024","Currency=USD","Period=FQ","BEST_FPERIOD_OVERRIDE=FQ","FILING_STATUS=MR","SCALING_FORMAT=MLN","Sort=A","Dates=H","DateFormat=P","Fill=—","Direction=H","UseDPDF=Y")</f>
        <v>6657</v>
      </c>
      <c r="AA12" s="13">
        <f>_xll.BDH("GILD US Equity","ARD_TOTAL_OPERATING_EXPENSES","FQ4 2024","FQ4 2024","Currency=USD","Period=FQ","BEST_FPERIOD_OVERRIDE=FQ","FILING_STATUS=MR","SCALING_FORMAT=MLN","Sort=A","Dates=H","DateFormat=P","Fill=—","Direction=H","UseDPDF=Y")</f>
        <v>5118</v>
      </c>
    </row>
    <row r="13" spans="1:27" x14ac:dyDescent="0.25">
      <c r="A13" s="10" t="s">
        <v>428</v>
      </c>
      <c r="B13" s="10" t="s">
        <v>429</v>
      </c>
      <c r="C13" s="13">
        <f>_xll.BDH("GILD US Equity","ARD_COST_OF_GOODS_SOLD","FQ4 2018","FQ4 2018","Currency=USD","Period=FQ","BEST_FPERIOD_OVERRIDE=FQ","FILING_STATUS=MR","SCALING_FORMAT=MLN","Sort=A","Dates=H","DateFormat=P","Fill=—","Direction=H","UseDPDF=Y")</f>
        <v>1570</v>
      </c>
      <c r="D13" s="13">
        <f>_xll.BDH("GILD US Equity","ARD_COST_OF_GOODS_SOLD","FQ1 2019","FQ1 2019","Currency=USD","Period=FQ","BEST_FPERIOD_OVERRIDE=FQ","FILING_STATUS=MR","SCALING_FORMAT=MLN","Sort=A","Dates=H","DateFormat=P","Fill=—","Direction=H","UseDPDF=Y")</f>
        <v>957</v>
      </c>
      <c r="E13" s="13">
        <f>_xll.BDH("GILD US Equity","ARD_COST_OF_GOODS_SOLD","FQ2 2019","FQ2 2019","Currency=USD","Period=FQ","BEST_FPERIOD_OVERRIDE=FQ","FILING_STATUS=MR","SCALING_FORMAT=MLN","Sort=A","Dates=H","DateFormat=P","Fill=—","Direction=H","UseDPDF=Y")</f>
        <v>1000</v>
      </c>
      <c r="F13" s="13">
        <f>_xll.BDH("GILD US Equity","ARD_COST_OF_GOODS_SOLD","FQ3 2019","FQ3 2019","Currency=USD","Period=FQ","BEST_FPERIOD_OVERRIDE=FQ","FILING_STATUS=MR","SCALING_FORMAT=MLN","Sort=A","Dates=H","DateFormat=P","Fill=—","Direction=H","UseDPDF=Y")</f>
        <v>1035</v>
      </c>
      <c r="G13" s="13">
        <f>_xll.BDH("GILD US Equity","ARD_COST_OF_GOODS_SOLD","FQ4 2019","FQ4 2019","Currency=USD","Period=FQ","BEST_FPERIOD_OVERRIDE=FQ","FILING_STATUS=MR","SCALING_FORMAT=MLN","Sort=A","Dates=H","DateFormat=P","Fill=—","Direction=H","UseDPDF=Y")</f>
        <v>1683</v>
      </c>
      <c r="H13" s="13">
        <f>_xll.BDH("GILD US Equity","ARD_COST_OF_GOODS_SOLD","FQ1 2020","FQ1 2020","Currency=USD","Period=FQ","BEST_FPERIOD_OVERRIDE=FQ","FILING_STATUS=MR","SCALING_FORMAT=MLN","Sort=A","Dates=H","DateFormat=P","Fill=—","Direction=H","UseDPDF=Y")</f>
        <v>969</v>
      </c>
      <c r="I13" s="13">
        <f>_xll.BDH("GILD US Equity","ARD_COST_OF_GOODS_SOLD","FQ2 2020","FQ2 2020","Currency=USD","Period=FQ","BEST_FPERIOD_OVERRIDE=FQ","FILING_STATUS=MR","SCALING_FORMAT=MLN","Sort=A","Dates=H","DateFormat=P","Fill=—","Direction=H","UseDPDF=Y")</f>
        <v>1064</v>
      </c>
      <c r="J13" s="13">
        <f>_xll.BDH("GILD US Equity","ARD_COST_OF_GOODS_SOLD","FQ3 2020","FQ3 2020","Currency=USD","Period=FQ","BEST_FPERIOD_OVERRIDE=FQ","FILING_STATUS=MR","SCALING_FORMAT=MLN","Sort=A","Dates=H","DateFormat=P","Fill=—","Direction=H","UseDPDF=Y")</f>
        <v>1141</v>
      </c>
      <c r="K13" s="13">
        <f>_xll.BDH("GILD US Equity","ARD_COST_OF_GOODS_SOLD","FQ4 2020","FQ4 2020","Currency=USD","Period=FQ","BEST_FPERIOD_OVERRIDE=FQ","FILING_STATUS=MR","SCALING_FORMAT=MLN","Sort=A","Dates=H","DateFormat=P","Fill=—","Direction=H","UseDPDF=Y")</f>
        <v>1398</v>
      </c>
      <c r="L13" s="13">
        <f>_xll.BDH("GILD US Equity","ARD_COST_OF_GOODS_SOLD","FQ1 2021","FQ1 2021","Currency=USD","Period=FQ","BEST_FPERIOD_OVERRIDE=FQ","FILING_STATUS=MR","SCALING_FORMAT=MLN","Sort=A","Dates=H","DateFormat=P","Fill=—","Direction=H","UseDPDF=Y")</f>
        <v>1361</v>
      </c>
      <c r="M13" s="13">
        <f>_xll.BDH("GILD US Equity","ARD_COST_OF_GOODS_SOLD","FQ2 2021","FQ2 2021","Currency=USD","Period=FQ","BEST_FPERIOD_OVERRIDE=FQ","FILING_STATUS=MR","SCALING_FORMAT=MLN","Sort=A","Dates=H","DateFormat=P","Fill=—","Direction=H","UseDPDF=Y")</f>
        <v>1390</v>
      </c>
      <c r="N13" s="13">
        <f>_xll.BDH("GILD US Equity","ARD_COST_OF_GOODS_SOLD","FQ3 2021","FQ3 2021","Currency=USD","Period=FQ","BEST_FPERIOD_OVERRIDE=FQ","FILING_STATUS=MR","SCALING_FORMAT=MLN","Sort=A","Dates=H","DateFormat=P","Fill=—","Direction=H","UseDPDF=Y")</f>
        <v>1223</v>
      </c>
      <c r="O13" s="13">
        <f>_xll.BDH("GILD US Equity","ARD_COST_OF_GOODS_SOLD","FQ4 2021","FQ4 2021","Currency=USD","Period=FQ","BEST_FPERIOD_OVERRIDE=FQ","FILING_STATUS=MR","SCALING_FORMAT=MLN","Sort=A","Dates=H","DateFormat=P","Fill=—","Direction=H","UseDPDF=Y")</f>
        <v>2627</v>
      </c>
      <c r="P13" s="13">
        <f>_xll.BDH("GILD US Equity","ARD_COST_OF_GOODS_SOLD","FQ1 2022","FQ1 2022","Currency=USD","Period=FQ","BEST_FPERIOD_OVERRIDE=FQ","FILING_STATUS=MR","SCALING_FORMAT=MLN","Sort=A","Dates=H","DateFormat=P","Fill=—","Direction=H","UseDPDF=Y")</f>
        <v>1424</v>
      </c>
      <c r="Q13" s="13">
        <f>_xll.BDH("GILD US Equity","ARD_COST_OF_GOODS_SOLD","FQ2 2022","FQ2 2022","Currency=USD","Period=FQ","BEST_FPERIOD_OVERRIDE=FQ","FILING_STATUS=MR","SCALING_FORMAT=MLN","Sort=A","Dates=H","DateFormat=P","Fill=—","Direction=H","UseDPDF=Y")</f>
        <v>1442</v>
      </c>
      <c r="R13" s="13">
        <f>_xll.BDH("GILD US Equity","ARD_COST_OF_GOODS_SOLD","FQ3 2022","FQ3 2022","Currency=USD","Period=FQ","BEST_FPERIOD_OVERRIDE=FQ","FILING_STATUS=MR","SCALING_FORMAT=MLN","Sort=A","Dates=H","DateFormat=P","Fill=—","Direction=H","UseDPDF=Y")</f>
        <v>1395</v>
      </c>
      <c r="S13" s="13">
        <f>_xll.BDH("GILD US Equity","ARD_COST_OF_GOODS_SOLD","FQ4 2022","FQ4 2022","Currency=USD","Period=FQ","BEST_FPERIOD_OVERRIDE=FQ","FILING_STATUS=MR","SCALING_FORMAT=MLN","Sort=A","Dates=H","DateFormat=P","Fill=—","Direction=H","UseDPDF=Y")</f>
        <v>1396</v>
      </c>
      <c r="T13" s="13">
        <f>_xll.BDH("GILD US Equity","ARD_COST_OF_GOODS_SOLD","FQ1 2023","FQ1 2023","Currency=USD","Period=FQ","BEST_FPERIOD_OVERRIDE=FQ","FILING_STATUS=MR","SCALING_FORMAT=MLN","Sort=A","Dates=H","DateFormat=P","Fill=—","Direction=H","UseDPDF=Y")</f>
        <v>1401</v>
      </c>
      <c r="U13" s="13">
        <f>_xll.BDH("GILD US Equity","ARD_COST_OF_GOODS_SOLD","FQ2 2023","FQ2 2023","Currency=USD","Period=FQ","BEST_FPERIOD_OVERRIDE=FQ","FILING_STATUS=MR","SCALING_FORMAT=MLN","Sort=A","Dates=H","DateFormat=P","Fill=—","Direction=H","UseDPDF=Y")</f>
        <v>1442</v>
      </c>
      <c r="V13" s="13">
        <f>_xll.BDH("GILD US Equity","ARD_COST_OF_GOODS_SOLD","FQ3 2023","FQ3 2023","Currency=USD","Period=FQ","BEST_FPERIOD_OVERRIDE=FQ","FILING_STATUS=MR","SCALING_FORMAT=MLN","Sort=A","Dates=H","DateFormat=P","Fill=—","Direction=H","UseDPDF=Y")</f>
        <v>1565</v>
      </c>
      <c r="W13" s="13">
        <f>_xll.BDH("GILD US Equity","ARD_COST_OF_GOODS_SOLD","FQ4 2023","FQ4 2023","Currency=USD","Period=FQ","BEST_FPERIOD_OVERRIDE=FQ","FILING_STATUS=MR","SCALING_FORMAT=MLN","Sort=A","Dates=H","DateFormat=P","Fill=—","Direction=H","UseDPDF=Y")</f>
        <v>2090</v>
      </c>
      <c r="X13" s="13">
        <f>_xll.BDH("GILD US Equity","ARD_COST_OF_GOODS_SOLD","FQ1 2024","FQ1 2024","Currency=USD","Period=FQ","BEST_FPERIOD_OVERRIDE=FQ","FILING_STATUS=MR","SCALING_FORMAT=MLN","Sort=A","Dates=H","DateFormat=P","Fill=—","Direction=H","UseDPDF=Y")</f>
        <v>1552</v>
      </c>
      <c r="Y13" s="13">
        <f>_xll.BDH("GILD US Equity","ARD_COST_OF_GOODS_SOLD","FQ2 2024","FQ2 2024","Currency=USD","Period=FQ","BEST_FPERIOD_OVERRIDE=FQ","FILING_STATUS=MR","SCALING_FORMAT=MLN","Sort=A","Dates=H","DateFormat=P","Fill=—","Direction=H","UseDPDF=Y")</f>
        <v>1544</v>
      </c>
      <c r="Z13" s="13">
        <f>_xll.BDH("GILD US Equity","ARD_COST_OF_GOODS_SOLD","FQ3 2024","FQ3 2024","Currency=USD","Period=FQ","BEST_FPERIOD_OVERRIDE=FQ","FILING_STATUS=MR","SCALING_FORMAT=MLN","Sort=A","Dates=H","DateFormat=P","Fill=—","Direction=H","UseDPDF=Y")</f>
        <v>1574</v>
      </c>
      <c r="AA13" s="13">
        <f>_xll.BDH("GILD US Equity","ARD_COST_OF_GOODS_SOLD","FQ4 2024","FQ4 2024","Currency=USD","Period=FQ","BEST_FPERIOD_OVERRIDE=FQ","FILING_STATUS=MR","SCALING_FORMAT=MLN","Sort=A","Dates=H","DateFormat=P","Fill=—","Direction=H","UseDPDF=Y")</f>
        <v>1581</v>
      </c>
    </row>
    <row r="14" spans="1:27" x14ac:dyDescent="0.25">
      <c r="A14" s="10" t="s">
        <v>430</v>
      </c>
      <c r="B14" s="10" t="s">
        <v>431</v>
      </c>
      <c r="C14" s="13">
        <f>_xll.BDH("GILD US Equity","ARD_R&amp;D_EXPENDITURES","FQ4 2018","FQ4 2018","Currency=USD","Period=FQ","BEST_FPERIOD_OVERRIDE=FQ","FILING_STATUS=MR","SCALING_FORMAT=MLN","Sort=A","Dates=H","DateFormat=P","Fill=—","Direction=H","UseDPDF=Y")</f>
        <v>1950</v>
      </c>
      <c r="D14" s="13">
        <f>_xll.BDH("GILD US Equity","ARD_R&amp;D_EXPENDITURES","FQ1 2019","FQ1 2019","Currency=USD","Period=FQ","BEST_FPERIOD_OVERRIDE=FQ","FILING_STATUS=MR","SCALING_FORMAT=MLN","Sort=A","Dates=H","DateFormat=P","Fill=—","Direction=H","UseDPDF=Y")</f>
        <v>1057</v>
      </c>
      <c r="E14" s="13">
        <f>_xll.BDH("GILD US Equity","ARD_R&amp;D_EXPENDITURES","FQ2 2019","FQ2 2019","Currency=USD","Period=FQ","BEST_FPERIOD_OVERRIDE=FQ","FILING_STATUS=MR","SCALING_FORMAT=MLN","Sort=A","Dates=H","DateFormat=P","Fill=—","Direction=H","UseDPDF=Y")</f>
        <v>1160</v>
      </c>
      <c r="F14" s="13">
        <f>_xll.BDH("GILD US Equity","ARD_R&amp;D_EXPENDITURES","FQ3 2019","FQ3 2019","Currency=USD","Period=FQ","BEST_FPERIOD_OVERRIDE=FQ","FILING_STATUS=MR","SCALING_FORMAT=MLN","Sort=A","Dates=H","DateFormat=P","Fill=—","Direction=H","UseDPDF=Y")</f>
        <v>1030</v>
      </c>
      <c r="G14" s="13">
        <f>_xll.BDH("GILD US Equity","ARD_R&amp;D_EXPENDITURES","FQ4 2019","FQ4 2019","Currency=USD","Period=FQ","BEST_FPERIOD_OVERRIDE=FQ","FILING_STATUS=MR","SCALING_FORMAT=MLN","Sort=A","Dates=H","DateFormat=P","Fill=—","Direction=H","UseDPDF=Y")</f>
        <v>1899</v>
      </c>
      <c r="H14" s="13">
        <f>_xll.BDH("GILD US Equity","ARD_R&amp;D_EXPENDITURES","FQ1 2020","FQ1 2020","Currency=USD","Period=FQ","BEST_FPERIOD_OVERRIDE=FQ","FILING_STATUS=MR","SCALING_FORMAT=MLN","Sort=A","Dates=H","DateFormat=P","Fill=—","Direction=H","UseDPDF=Y")</f>
        <v>1004</v>
      </c>
      <c r="I14" s="13">
        <f>_xll.BDH("GILD US Equity","ARD_R&amp;D_EXPENDITURES","FQ2 2020","FQ2 2020","Currency=USD","Period=FQ","BEST_FPERIOD_OVERRIDE=FQ","FILING_STATUS=MR","SCALING_FORMAT=MLN","Sort=A","Dates=H","DateFormat=P","Fill=—","Direction=H","UseDPDF=Y")</f>
        <v>1299</v>
      </c>
      <c r="J14" s="13">
        <f>_xll.BDH("GILD US Equity","ARD_R&amp;D_EXPENDITURES","FQ3 2020","FQ3 2020","Currency=USD","Period=FQ","BEST_FPERIOD_OVERRIDE=FQ","FILING_STATUS=MR","SCALING_FORMAT=MLN","Sort=A","Dates=H","DateFormat=P","Fill=—","Direction=H","UseDPDF=Y")</f>
        <v>1158</v>
      </c>
      <c r="K14" s="13">
        <f>_xll.BDH("GILD US Equity","ARD_R&amp;D_EXPENDITURES","FQ4 2020","FQ4 2020","Currency=USD","Period=FQ","BEST_FPERIOD_OVERRIDE=FQ","FILING_STATUS=MR","SCALING_FORMAT=MLN","Sort=A","Dates=H","DateFormat=P","Fill=—","Direction=H","UseDPDF=Y")</f>
        <v>1578</v>
      </c>
      <c r="L14" s="13">
        <f>_xll.BDH("GILD US Equity","ARD_R&amp;D_EXPENDITURES","FQ1 2021","FQ1 2021","Currency=USD","Period=FQ","BEST_FPERIOD_OVERRIDE=FQ","FILING_STATUS=MR","SCALING_FORMAT=MLN","Sort=A","Dates=H","DateFormat=P","Fill=—","Direction=H","UseDPDF=Y")</f>
        <v>1055</v>
      </c>
      <c r="M14" s="13">
        <f>_xll.BDH("GILD US Equity","ARD_R&amp;D_EXPENDITURES","FQ2 2021","FQ2 2021","Currency=USD","Period=FQ","BEST_FPERIOD_OVERRIDE=FQ","FILING_STATUS=MR","SCALING_FORMAT=MLN","Sort=A","Dates=H","DateFormat=P","Fill=—","Direction=H","UseDPDF=Y")</f>
        <v>1134</v>
      </c>
      <c r="N14" s="13">
        <f>_xll.BDH("GILD US Equity","ARD_R&amp;D_EXPENDITURES","FQ3 2021","FQ3 2021","Currency=USD","Period=FQ","BEST_FPERIOD_OVERRIDE=FQ","FILING_STATUS=MR","SCALING_FORMAT=MLN","Sort=A","Dates=H","DateFormat=P","Fill=—","Direction=H","UseDPDF=Y")</f>
        <v>1101</v>
      </c>
      <c r="O14" s="13">
        <f>_xll.BDH("GILD US Equity","ARD_R&amp;D_EXPENDITURES","FQ4 2021","FQ4 2021","Currency=USD","Period=FQ","BEST_FPERIOD_OVERRIDE=FQ","FILING_STATUS=MR","SCALING_FORMAT=MLN","Sort=A","Dates=H","DateFormat=P","Fill=—","Direction=H","UseDPDF=Y")</f>
        <v>1358</v>
      </c>
      <c r="P14" s="13">
        <f>_xll.BDH("GILD US Equity","ARD_R&amp;D_EXPENDITURES","FQ1 2022","FQ1 2022","Currency=USD","Period=FQ","BEST_FPERIOD_OVERRIDE=FQ","FILING_STATUS=MR","SCALING_FORMAT=MLN","Sort=A","Dates=H","DateFormat=P","Fill=—","Direction=H","UseDPDF=Y")</f>
        <v>1186</v>
      </c>
      <c r="Q14" s="13">
        <f>_xll.BDH("GILD US Equity","ARD_R&amp;D_EXPENDITURES","FQ2 2022","FQ2 2022","Currency=USD","Period=FQ","BEST_FPERIOD_OVERRIDE=FQ","FILING_STATUS=MR","SCALING_FORMAT=MLN","Sort=A","Dates=H","DateFormat=P","Fill=—","Direction=H","UseDPDF=Y")</f>
        <v>1102</v>
      </c>
      <c r="R14" s="13">
        <f>_xll.BDH("GILD US Equity","ARD_R&amp;D_EXPENDITURES","FQ3 2022","FQ3 2022","Currency=USD","Period=FQ","BEST_FPERIOD_OVERRIDE=FQ","FILING_STATUS=MR","SCALING_FORMAT=MLN","Sort=A","Dates=H","DateFormat=P","Fill=—","Direction=H","UseDPDF=Y")</f>
        <v>1149</v>
      </c>
      <c r="S14" s="13">
        <f>_xll.BDH("GILD US Equity","ARD_R&amp;D_EXPENDITURES","FQ4 2022","FQ4 2022","Currency=USD","Period=FQ","BEST_FPERIOD_OVERRIDE=FQ","FILING_STATUS=MR","SCALING_FORMAT=MLN","Sort=A","Dates=H","DateFormat=P","Fill=—","Direction=H","UseDPDF=Y")</f>
        <v>1548</v>
      </c>
      <c r="T14" s="13">
        <f>_xll.BDH("GILD US Equity","ARD_R&amp;D_EXPENDITURES","FQ1 2023","FQ1 2023","Currency=USD","Period=FQ","BEST_FPERIOD_OVERRIDE=FQ","FILING_STATUS=MR","SCALING_FORMAT=MLN","Sort=A","Dates=H","DateFormat=P","Fill=—","Direction=H","UseDPDF=Y")</f>
        <v>1447</v>
      </c>
      <c r="U14" s="13">
        <f>_xll.BDH("GILD US Equity","ARD_R&amp;D_EXPENDITURES","FQ2 2023","FQ2 2023","Currency=USD","Period=FQ","BEST_FPERIOD_OVERRIDE=FQ","FILING_STATUS=MR","SCALING_FORMAT=MLN","Sort=A","Dates=H","DateFormat=P","Fill=—","Direction=H","UseDPDF=Y")</f>
        <v>1407</v>
      </c>
      <c r="V14" s="13">
        <f>_xll.BDH("GILD US Equity","ARD_R&amp;D_EXPENDITURES","FQ3 2023","FQ3 2023","Currency=USD","Period=FQ","BEST_FPERIOD_OVERRIDE=FQ","FILING_STATUS=MR","SCALING_FORMAT=MLN","Sort=A","Dates=H","DateFormat=P","Fill=—","Direction=H","UseDPDF=Y")</f>
        <v>1457</v>
      </c>
      <c r="W14" s="13">
        <f>_xll.BDH("GILD US Equity","ARD_R&amp;D_EXPENDITURES","FQ4 2023","FQ4 2023","Currency=USD","Period=FQ","BEST_FPERIOD_OVERRIDE=FQ","FILING_STATUS=MR","SCALING_FORMAT=MLN","Sort=A","Dates=H","DateFormat=P","Fill=—","Direction=H","UseDPDF=Y")</f>
        <v>1408</v>
      </c>
      <c r="X14" s="13">
        <f>_xll.BDH("GILD US Equity","ARD_R&amp;D_EXPENDITURES","FQ1 2024","FQ1 2024","Currency=USD","Period=FQ","BEST_FPERIOD_OVERRIDE=FQ","FILING_STATUS=MR","SCALING_FORMAT=MLN","Sort=A","Dates=H","DateFormat=P","Fill=—","Direction=H","UseDPDF=Y")</f>
        <v>1520</v>
      </c>
      <c r="Y14" s="13">
        <f>_xll.BDH("GILD US Equity","ARD_R&amp;D_EXPENDITURES","FQ2 2024","FQ2 2024","Currency=USD","Period=FQ","BEST_FPERIOD_OVERRIDE=FQ","FILING_STATUS=MR","SCALING_FORMAT=MLN","Sort=A","Dates=H","DateFormat=P","Fill=—","Direction=H","UseDPDF=Y")</f>
        <v>1351</v>
      </c>
      <c r="Z14" s="13">
        <f>_xll.BDH("GILD US Equity","ARD_R&amp;D_EXPENDITURES","FQ3 2024","FQ3 2024","Currency=USD","Period=FQ","BEST_FPERIOD_OVERRIDE=FQ","FILING_STATUS=MR","SCALING_FORMAT=MLN","Sort=A","Dates=H","DateFormat=P","Fill=—","Direction=H","UseDPDF=Y")</f>
        <v>1395</v>
      </c>
      <c r="AA14" s="13">
        <f>_xll.BDH("GILD US Equity","ARD_R&amp;D_EXPENDITURES","FQ4 2024","FQ4 2024","Currency=USD","Period=FQ","BEST_FPERIOD_OVERRIDE=FQ","FILING_STATUS=MR","SCALING_FORMAT=MLN","Sort=A","Dates=H","DateFormat=P","Fill=—","Direction=H","UseDPDF=Y")</f>
        <v>1641</v>
      </c>
    </row>
    <row r="15" spans="1:27" x14ac:dyDescent="0.25">
      <c r="A15" s="10" t="s">
        <v>432</v>
      </c>
      <c r="B15" s="10" t="s">
        <v>433</v>
      </c>
      <c r="C15" s="13">
        <f>_xll.BDH("GILD US Equity","ARD_SELLING_GENERAL_ADMIN_EXP","FQ4 2018","FQ4 2018","Currency=USD","Period=FQ","BEST_FPERIOD_OVERRIDE=FQ","FILING_STATUS=MR","SCALING_FORMAT=MLN","Sort=A","Dates=H","DateFormat=P","Fill=—","Direction=H","UseDPDF=Y")</f>
        <v>1131</v>
      </c>
      <c r="D15" s="13">
        <f>_xll.BDH("GILD US Equity","ARD_SELLING_GENERAL_ADMIN_EXP","FQ1 2019","FQ1 2019","Currency=USD","Period=FQ","BEST_FPERIOD_OVERRIDE=FQ","FILING_STATUS=MR","SCALING_FORMAT=MLN","Sort=A","Dates=H","DateFormat=P","Fill=—","Direction=H","UseDPDF=Y")</f>
        <v>1030</v>
      </c>
      <c r="E15" s="13">
        <f>_xll.BDH("GILD US Equity","ARD_SELLING_GENERAL_ADMIN_EXP","FQ2 2019","FQ2 2019","Currency=USD","Period=FQ","BEST_FPERIOD_OVERRIDE=FQ","FILING_STATUS=MR","SCALING_FORMAT=MLN","Sort=A","Dates=H","DateFormat=P","Fill=—","Direction=H","UseDPDF=Y")</f>
        <v>1095</v>
      </c>
      <c r="F15" s="13">
        <f>_xll.BDH("GILD US Equity","ARD_SELLING_GENERAL_ADMIN_EXP","FQ3 2019","FQ3 2019","Currency=USD","Period=FQ","BEST_FPERIOD_OVERRIDE=FQ","FILING_STATUS=MR","SCALING_FORMAT=MLN","Sort=A","Dates=H","DateFormat=P","Fill=—","Direction=H","UseDPDF=Y")</f>
        <v>1052</v>
      </c>
      <c r="G15" s="13">
        <f>_xll.BDH("GILD US Equity","ARD_SELLING_GENERAL_ADMIN_EXP","FQ4 2019","FQ4 2019","Currency=USD","Period=FQ","BEST_FPERIOD_OVERRIDE=FQ","FILING_STATUS=MR","SCALING_FORMAT=MLN","Sort=A","Dates=H","DateFormat=P","Fill=—","Direction=H","UseDPDF=Y")</f>
        <v>1204</v>
      </c>
      <c r="H15" s="13">
        <f>_xll.BDH("GILD US Equity","ARD_SELLING_GENERAL_ADMIN_EXP","FQ1 2020","FQ1 2020","Currency=USD","Period=FQ","BEST_FPERIOD_OVERRIDE=FQ","FILING_STATUS=MR","SCALING_FORMAT=MLN","Sort=A","Dates=H","DateFormat=P","Fill=—","Direction=H","UseDPDF=Y")</f>
        <v>1076</v>
      </c>
      <c r="I15" s="13">
        <f>_xll.BDH("GILD US Equity","ARD_SELLING_GENERAL_ADMIN_EXP","FQ2 2020","FQ2 2020","Currency=USD","Period=FQ","BEST_FPERIOD_OVERRIDE=FQ","FILING_STATUS=MR","SCALING_FORMAT=MLN","Sort=A","Dates=H","DateFormat=P","Fill=—","Direction=H","UseDPDF=Y")</f>
        <v>1239</v>
      </c>
      <c r="J15" s="13">
        <f>_xll.BDH("GILD US Equity","ARD_SELLING_GENERAL_ADMIN_EXP","FQ3 2020","FQ3 2020","Currency=USD","Period=FQ","BEST_FPERIOD_OVERRIDE=FQ","FILING_STATUS=MR","SCALING_FORMAT=MLN","Sort=A","Dates=H","DateFormat=P","Fill=—","Direction=H","UseDPDF=Y")</f>
        <v>1106</v>
      </c>
      <c r="K15" s="13">
        <f>_xll.BDH("GILD US Equity","ARD_SELLING_GENERAL_ADMIN_EXP","FQ4 2020","FQ4 2020","Currency=USD","Period=FQ","BEST_FPERIOD_OVERRIDE=FQ","FILING_STATUS=MR","SCALING_FORMAT=MLN","Sort=A","Dates=H","DateFormat=P","Fill=—","Direction=H","UseDPDF=Y")</f>
        <v>1730</v>
      </c>
      <c r="L15" s="13">
        <f>_xll.BDH("GILD US Equity","ARD_SELLING_GENERAL_ADMIN_EXP","FQ1 2021","FQ1 2021","Currency=USD","Period=FQ","BEST_FPERIOD_OVERRIDE=FQ","FILING_STATUS=MR","SCALING_FORMAT=MLN","Sort=A","Dates=H","DateFormat=P","Fill=—","Direction=H","UseDPDF=Y")</f>
        <v>1055</v>
      </c>
      <c r="M15" s="13">
        <f>_xll.BDH("GILD US Equity","ARD_SELLING_GENERAL_ADMIN_EXP","FQ2 2021","FQ2 2021","Currency=USD","Period=FQ","BEST_FPERIOD_OVERRIDE=FQ","FILING_STATUS=MR","SCALING_FORMAT=MLN","Sort=A","Dates=H","DateFormat=P","Fill=—","Direction=H","UseDPDF=Y")</f>
        <v>1351</v>
      </c>
      <c r="N15" s="13">
        <f>_xll.BDH("GILD US Equity","ARD_SELLING_GENERAL_ADMIN_EXP","FQ3 2021","FQ3 2021","Currency=USD","Period=FQ","BEST_FPERIOD_OVERRIDE=FQ","FILING_STATUS=MR","SCALING_FORMAT=MLN","Sort=A","Dates=H","DateFormat=P","Fill=—","Direction=H","UseDPDF=Y")</f>
        <v>1190</v>
      </c>
      <c r="O15" s="13">
        <f>_xll.BDH("GILD US Equity","ARD_SELLING_GENERAL_ADMIN_EXP","FQ4 2021","FQ4 2021","Currency=USD","Period=FQ","BEST_FPERIOD_OVERRIDE=FQ","FILING_STATUS=MR","SCALING_FORMAT=MLN","Sort=A","Dates=H","DateFormat=P","Fill=—","Direction=H","UseDPDF=Y")</f>
        <v>1650</v>
      </c>
      <c r="P15" s="13">
        <f>_xll.BDH("GILD US Equity","ARD_SELLING_GENERAL_ADMIN_EXP","FQ1 2022","FQ1 2022","Currency=USD","Period=FQ","BEST_FPERIOD_OVERRIDE=FQ","FILING_STATUS=MR","SCALING_FORMAT=MLN","Sort=A","Dates=H","DateFormat=P","Fill=—","Direction=H","UseDPDF=Y")</f>
        <v>1083</v>
      </c>
      <c r="Q15" s="13">
        <f>_xll.BDH("GILD US Equity","ARD_SELLING_GENERAL_ADMIN_EXP","FQ2 2022","FQ2 2022","Currency=USD","Period=FQ","BEST_FPERIOD_OVERRIDE=FQ","FILING_STATUS=MR","SCALING_FORMAT=MLN","Sort=A","Dates=H","DateFormat=P","Fill=—","Direction=H","UseDPDF=Y")</f>
        <v>1357</v>
      </c>
      <c r="R15" s="13">
        <f>_xll.BDH("GILD US Equity","ARD_SELLING_GENERAL_ADMIN_EXP","FQ3 2022","FQ3 2022","Currency=USD","Period=FQ","BEST_FPERIOD_OVERRIDE=FQ","FILING_STATUS=MR","SCALING_FORMAT=MLN","Sort=A","Dates=H","DateFormat=P","Fill=—","Direction=H","UseDPDF=Y")</f>
        <v>1213</v>
      </c>
      <c r="S15" s="13">
        <f>_xll.BDH("GILD US Equity","ARD_SELLING_GENERAL_ADMIN_EXP","FQ4 2022","FQ4 2022","Currency=USD","Period=FQ","BEST_FPERIOD_OVERRIDE=FQ","FILING_STATUS=MR","SCALING_FORMAT=MLN","Sort=A","Dates=H","DateFormat=P","Fill=—","Direction=H","UseDPDF=Y")</f>
        <v>2020</v>
      </c>
      <c r="T15" s="13">
        <f>_xll.BDH("GILD US Equity","ARD_SELLING_GENERAL_ADMIN_EXP","FQ1 2023","FQ1 2023","Currency=USD","Period=FQ","BEST_FPERIOD_OVERRIDE=FQ","FILING_STATUS=MR","SCALING_FORMAT=MLN","Sort=A","Dates=H","DateFormat=P","Fill=—","Direction=H","UseDPDF=Y")</f>
        <v>1319</v>
      </c>
      <c r="U15" s="13">
        <f>_xll.BDH("GILD US Equity","ARD_SELLING_GENERAL_ADMIN_EXP","FQ2 2023","FQ2 2023","Currency=USD","Period=FQ","BEST_FPERIOD_OVERRIDE=FQ","FILING_STATUS=MR","SCALING_FORMAT=MLN","Sort=A","Dates=H","DateFormat=P","Fill=—","Direction=H","UseDPDF=Y")</f>
        <v>1849</v>
      </c>
      <c r="V15" s="13">
        <f>_xll.BDH("GILD US Equity","ARD_SELLING_GENERAL_ADMIN_EXP","FQ3 2023","FQ3 2023","Currency=USD","Period=FQ","BEST_FPERIOD_OVERRIDE=FQ","FILING_STATUS=MR","SCALING_FORMAT=MLN","Sort=A","Dates=H","DateFormat=P","Fill=—","Direction=H","UseDPDF=Y")</f>
        <v>1315</v>
      </c>
      <c r="W15" s="13">
        <f>_xll.BDH("GILD US Equity","ARD_SELLING_GENERAL_ADMIN_EXP","FQ4 2023","FQ4 2023","Currency=USD","Period=FQ","BEST_FPERIOD_OVERRIDE=FQ","FILING_STATUS=MR","SCALING_FORMAT=MLN","Sort=A","Dates=H","DateFormat=P","Fill=—","Direction=H","UseDPDF=Y")</f>
        <v>1608</v>
      </c>
      <c r="X15" s="13">
        <f>_xll.BDH("GILD US Equity","ARD_SELLING_GENERAL_ADMIN_EXP","FQ1 2024","FQ1 2024","Currency=USD","Period=FQ","BEST_FPERIOD_OVERRIDE=FQ","FILING_STATUS=MR","SCALING_FORMAT=MLN","Sort=A","Dates=H","DateFormat=P","Fill=—","Direction=H","UseDPDF=Y")</f>
        <v>1375</v>
      </c>
      <c r="Y15" s="13">
        <f>_xll.BDH("GILD US Equity","ARD_SELLING_GENERAL_ADMIN_EXP","FQ2 2024","FQ2 2024","Currency=USD","Period=FQ","BEST_FPERIOD_OVERRIDE=FQ","FILING_STATUS=MR","SCALING_FORMAT=MLN","Sort=A","Dates=H","DateFormat=P","Fill=—","Direction=H","UseDPDF=Y")</f>
        <v>1377</v>
      </c>
      <c r="Z15" s="13">
        <f>_xll.BDH("GILD US Equity","ARD_SELLING_GENERAL_ADMIN_EXP","FQ3 2024","FQ3 2024","Currency=USD","Period=FQ","BEST_FPERIOD_OVERRIDE=FQ","FILING_STATUS=MR","SCALING_FORMAT=MLN","Sort=A","Dates=H","DateFormat=P","Fill=—","Direction=H","UseDPDF=Y")</f>
        <v>1433</v>
      </c>
      <c r="AA15" s="13">
        <f>_xll.BDH("GILD US Equity","ARD_SELLING_GENERAL_ADMIN_EXP","FQ4 2024","FQ4 2024","Currency=USD","Period=FQ","BEST_FPERIOD_OVERRIDE=FQ","FILING_STATUS=MR","SCALING_FORMAT=MLN","Sort=A","Dates=H","DateFormat=P","Fill=—","Direction=H","UseDPDF=Y")</f>
        <v>1906</v>
      </c>
    </row>
    <row r="16" spans="1:27" x14ac:dyDescent="0.25">
      <c r="A16" s="10" t="s">
        <v>434</v>
      </c>
      <c r="B16" s="10" t="s">
        <v>435</v>
      </c>
      <c r="C16" s="13" t="str">
        <f>_xll.BDH("GILD US Equity","ARD_ACQUIRED_IN_PROCESS_R&amp;D","FQ4 2018","FQ4 2018","Currency=USD","Period=FQ","BEST_FPERIOD_OVERRIDE=FQ","FILING_STATUS=MR","SCALING_FORMAT=MLN","Sort=A","Dates=H","DateFormat=P","Fill=—","Direction=H","UseDPDF=Y")</f>
        <v>—</v>
      </c>
      <c r="D16" s="13" t="str">
        <f>_xll.BDH("GILD US Equity","ARD_ACQUIRED_IN_PROCESS_R&amp;D","FQ1 2019","FQ1 2019","Currency=USD","Period=FQ","BEST_FPERIOD_OVERRIDE=FQ","FILING_STATUS=MR","SCALING_FORMAT=MLN","Sort=A","Dates=H","DateFormat=P","Fill=—","Direction=H","UseDPDF=Y")</f>
        <v>—</v>
      </c>
      <c r="E16" s="13" t="str">
        <f>_xll.BDH("GILD US Equity","ARD_ACQUIRED_IN_PROCESS_R&amp;D","FQ2 2019","FQ2 2019","Currency=USD","Period=FQ","BEST_FPERIOD_OVERRIDE=FQ","FILING_STATUS=MR","SCALING_FORMAT=MLN","Sort=A","Dates=H","DateFormat=P","Fill=—","Direction=H","UseDPDF=Y")</f>
        <v>—</v>
      </c>
      <c r="F16" s="13">
        <f>_xll.BDH("GILD US Equity","ARD_ACQUIRED_IN_PROCESS_R&amp;D","FQ3 2019","FQ3 2019","Currency=USD","Period=FQ","BEST_FPERIOD_OVERRIDE=FQ","FILING_STATUS=MR","SCALING_FORMAT=MLN","Sort=A","Dates=H","DateFormat=P","Fill=—","Direction=H","UseDPDF=Y")</f>
        <v>3960</v>
      </c>
      <c r="G16" s="13" t="str">
        <f>_xll.BDH("GILD US Equity","ARD_ACQUIRED_IN_PROCESS_R&amp;D","FQ4 2019","FQ4 2019","Currency=USD","Period=FQ","BEST_FPERIOD_OVERRIDE=FQ","FILING_STATUS=MR","SCALING_FORMAT=MLN","Sort=A","Dates=H","DateFormat=P","Fill=—","Direction=H","UseDPDF=Y")</f>
        <v>—</v>
      </c>
      <c r="H16" s="13">
        <f>_xll.BDH("GILD US Equity","ARD_ACQUIRED_IN_PROCESS_R&amp;D","FQ1 2020","FQ1 2020","Currency=USD","Period=FQ","BEST_FPERIOD_OVERRIDE=FQ","FILING_STATUS=MR","SCALING_FORMAT=MLN","Sort=A","Dates=H","DateFormat=P","Fill=—","Direction=H","UseDPDF=Y")</f>
        <v>97</v>
      </c>
      <c r="I16" s="13">
        <f>_xll.BDH("GILD US Equity","ARD_ACQUIRED_IN_PROCESS_R&amp;D","FQ2 2020","FQ2 2020","Currency=USD","Period=FQ","BEST_FPERIOD_OVERRIDE=FQ","FILING_STATUS=MR","SCALING_FORMAT=MLN","Sort=A","Dates=H","DateFormat=P","Fill=—","Direction=H","UseDPDF=Y")</f>
        <v>4524</v>
      </c>
      <c r="J16" s="13">
        <f>_xll.BDH("GILD US Equity","ARD_ACQUIRED_IN_PROCESS_R&amp;D","FQ3 2020","FQ3 2020","Currency=USD","Period=FQ","BEST_FPERIOD_OVERRIDE=FQ","FILING_STATUS=MR","SCALING_FORMAT=MLN","Sort=A","Dates=H","DateFormat=P","Fill=—","Direction=H","UseDPDF=Y")</f>
        <v>1171</v>
      </c>
      <c r="K16" s="13">
        <f>_xll.BDH("GILD US Equity","ARD_ACQUIRED_IN_PROCESS_R&amp;D","FQ4 2020","FQ4 2020","Currency=USD","Period=FQ","BEST_FPERIOD_OVERRIDE=FQ","FILING_STATUS=MR","SCALING_FORMAT=MLN","Sort=A","Dates=H","DateFormat=P","Fill=—","Direction=H","UseDPDF=Y")</f>
        <v>64</v>
      </c>
      <c r="L16" s="13">
        <f>_xll.BDH("GILD US Equity","ARD_ACQUIRED_IN_PROCESS_R&amp;D","FQ1 2021","FQ1 2021","Currency=USD","Period=FQ","BEST_FPERIOD_OVERRIDE=FQ","FILING_STATUS=MR","SCALING_FORMAT=MLN","Sort=A","Dates=H","DateFormat=P","Fill=—","Direction=H","UseDPDF=Y")</f>
        <v>62</v>
      </c>
      <c r="M16" s="13">
        <f>_xll.BDH("GILD US Equity","ARD_ACQUIRED_IN_PROCESS_R&amp;D","FQ2 2021","FQ2 2021","Currency=USD","Period=FQ","BEST_FPERIOD_OVERRIDE=FQ","FILING_STATUS=MR","SCALING_FORMAT=MLN","Sort=A","Dates=H","DateFormat=P","Fill=—","Direction=H","UseDPDF=Y")</f>
        <v>96</v>
      </c>
      <c r="N16" s="13">
        <f>_xll.BDH("GILD US Equity","ARD_ACQUIRED_IN_PROCESS_R&amp;D","FQ3 2021","FQ3 2021","Currency=USD","Period=FQ","BEST_FPERIOD_OVERRIDE=FQ","FILING_STATUS=MR","SCALING_FORMAT=MLN","Sort=A","Dates=H","DateFormat=P","Fill=—","Direction=H","UseDPDF=Y")</f>
        <v>65</v>
      </c>
      <c r="O16" s="13">
        <f>_xll.BDH("GILD US Equity","ARD_ACQUIRED_IN_PROCESS_R&amp;D","FQ4 2021","FQ4 2021","Currency=USD","Period=FQ","BEST_FPERIOD_OVERRIDE=FQ","FILING_STATUS=MR","SCALING_FORMAT=MLN","Sort=A","Dates=H","DateFormat=P","Fill=—","Direction=H","UseDPDF=Y")</f>
        <v>669</v>
      </c>
      <c r="P16" s="13">
        <f>_xll.BDH("GILD US Equity","ARD_ACQUIRED_IN_PROCESS_R&amp;D","FQ1 2022","FQ1 2022","Currency=USD","Period=FQ","BEST_FPERIOD_OVERRIDE=FQ","FILING_STATUS=MR","SCALING_FORMAT=MLN","Sort=A","Dates=H","DateFormat=P","Fill=—","Direction=H","UseDPDF=Y")</f>
        <v>0</v>
      </c>
      <c r="Q16" s="13">
        <f>_xll.BDH("GILD US Equity","ARD_ACQUIRED_IN_PROCESS_R&amp;D","FQ2 2022","FQ2 2022","Currency=USD","Period=FQ","BEST_FPERIOD_OVERRIDE=FQ","FILING_STATUS=MR","SCALING_FORMAT=MLN","Sort=A","Dates=H","DateFormat=P","Fill=—","Direction=H","UseDPDF=Y")</f>
        <v>330</v>
      </c>
      <c r="R16" s="13">
        <f>_xll.BDH("GILD US Equity","ARD_ACQUIRED_IN_PROCESS_R&amp;D","FQ3 2022","FQ3 2022","Currency=USD","Period=FQ","BEST_FPERIOD_OVERRIDE=FQ","FILING_STATUS=MR","SCALING_FORMAT=MLN","Sort=A","Dates=H","DateFormat=P","Fill=—","Direction=H","UseDPDF=Y")</f>
        <v>448</v>
      </c>
      <c r="S16" s="13">
        <f>_xll.BDH("GILD US Equity","ARD_ACQUIRED_IN_PROCESS_R&amp;D","FQ4 2022","FQ4 2022","Currency=USD","Period=FQ","BEST_FPERIOD_OVERRIDE=FQ","FILING_STATUS=MR","SCALING_FORMAT=MLN","Sort=A","Dates=H","DateFormat=P","Fill=—","Direction=H","UseDPDF=Y")</f>
        <v>158</v>
      </c>
      <c r="T16" s="13">
        <f>_xll.BDH("GILD US Equity","ARD_ACQUIRED_IN_PROCESS_R&amp;D","FQ1 2023","FQ1 2023","Currency=USD","Period=FQ","BEST_FPERIOD_OVERRIDE=FQ","FILING_STATUS=MR","SCALING_FORMAT=MLN","Sort=A","Dates=H","DateFormat=P","Fill=—","Direction=H","UseDPDF=Y")</f>
        <v>481</v>
      </c>
      <c r="U16" s="13">
        <f>_xll.BDH("GILD US Equity","ARD_ACQUIRED_IN_PROCESS_R&amp;D","FQ2 2023","FQ2 2023","Currency=USD","Period=FQ","BEST_FPERIOD_OVERRIDE=FQ","FILING_STATUS=MR","SCALING_FORMAT=MLN","Sort=A","Dates=H","DateFormat=P","Fill=—","Direction=H","UseDPDF=Y")</f>
        <v>236</v>
      </c>
      <c r="V16" s="13">
        <f>_xll.BDH("GILD US Equity","ARD_ACQUIRED_IN_PROCESS_R&amp;D","FQ3 2023","FQ3 2023","Currency=USD","Period=FQ","BEST_FPERIOD_OVERRIDE=FQ","FILING_STATUS=MR","SCALING_FORMAT=MLN","Sort=A","Dates=H","DateFormat=P","Fill=—","Direction=H","UseDPDF=Y")</f>
        <v>91</v>
      </c>
      <c r="W16" s="13">
        <f>_xll.BDH("GILD US Equity","ARD_ACQUIRED_IN_PROCESS_R&amp;D","FQ4 2023","FQ4 2023","Currency=USD","Period=FQ","BEST_FPERIOD_OVERRIDE=FQ","FILING_STATUS=MR","SCALING_FORMAT=MLN","Sort=A","Dates=H","DateFormat=P","Fill=—","Direction=H","UseDPDF=Y")</f>
        <v>347</v>
      </c>
      <c r="X16" s="13">
        <f>_xll.BDH("GILD US Equity","ARD_ACQUIRED_IN_PROCESS_R&amp;D","FQ1 2024","FQ1 2024","Currency=USD","Period=FQ","BEST_FPERIOD_OVERRIDE=FQ","FILING_STATUS=MR","SCALING_FORMAT=MLN","Sort=A","Dates=H","DateFormat=P","Fill=—","Direction=H","UseDPDF=Y")</f>
        <v>4131</v>
      </c>
      <c r="Y16" s="13">
        <f>_xll.BDH("GILD US Equity","ARD_ACQUIRED_IN_PROCESS_R&amp;D","FQ2 2024","FQ2 2024","Currency=USD","Period=FQ","BEST_FPERIOD_OVERRIDE=FQ","FILING_STATUS=MR","SCALING_FORMAT=MLN","Sort=A","Dates=H","DateFormat=P","Fill=—","Direction=H","UseDPDF=Y")</f>
        <v>38</v>
      </c>
      <c r="Z16" s="13">
        <f>_xll.BDH("GILD US Equity","ARD_ACQUIRED_IN_PROCESS_R&amp;D","FQ3 2024","FQ3 2024","Currency=USD","Period=FQ","BEST_FPERIOD_OVERRIDE=FQ","FILING_STATUS=MR","SCALING_FORMAT=MLN","Sort=A","Dates=H","DateFormat=P","Fill=—","Direction=H","UseDPDF=Y")</f>
        <v>505</v>
      </c>
      <c r="AA16" s="13">
        <f>_xll.BDH("GILD US Equity","ARD_ACQUIRED_IN_PROCESS_R&amp;D","FQ4 2024","FQ4 2024","Currency=USD","Period=FQ","BEST_FPERIOD_OVERRIDE=FQ","FILING_STATUS=MR","SCALING_FORMAT=MLN","Sort=A","Dates=H","DateFormat=P","Fill=—","Direction=H","UseDPDF=Y")</f>
        <v>-11</v>
      </c>
    </row>
    <row r="17" spans="1:27" x14ac:dyDescent="0.25">
      <c r="A17" s="10" t="s">
        <v>98</v>
      </c>
      <c r="B17" s="10" t="s">
        <v>436</v>
      </c>
      <c r="C17" s="13">
        <f>_xll.BDH("GILD US Equity","ARD_OPERATING_INCOME","FQ4 2018","FQ4 2018","Currency=USD","Period=FQ","BEST_FPERIOD_OVERRIDE=FQ","FILING_STATUS=MR","SCALING_FORMAT=MLN","Sort=A","Dates=H","DateFormat=P","Fill=—","Direction=H","UseDPDF=Y")</f>
        <v>1144</v>
      </c>
      <c r="D17" s="13">
        <f>_xll.BDH("GILD US Equity","ARD_OPERATING_INCOME","FQ1 2019","FQ1 2019","Currency=USD","Period=FQ","BEST_FPERIOD_OVERRIDE=FQ","FILING_STATUS=MR","SCALING_FORMAT=MLN","Sort=A","Dates=H","DateFormat=P","Fill=—","Direction=H","UseDPDF=Y")</f>
        <v>2237</v>
      </c>
      <c r="E17" s="13">
        <f>_xll.BDH("GILD US Equity","ARD_OPERATING_INCOME","FQ2 2019","FQ2 2019","Currency=USD","Period=FQ","BEST_FPERIOD_OVERRIDE=FQ","FILING_STATUS=MR","SCALING_FORMAT=MLN","Sort=A","Dates=H","DateFormat=P","Fill=—","Direction=H","UseDPDF=Y")</f>
        <v>2430</v>
      </c>
      <c r="F17" s="13">
        <f>_xll.BDH("GILD US Equity","ARD_OPERATING_INCOME","FQ3 2019","FQ3 2019","Currency=USD","Period=FQ","BEST_FPERIOD_OVERRIDE=FQ","FILING_STATUS=MR","SCALING_FORMAT=MLN","Sort=A","Dates=H","DateFormat=P","Fill=—","Direction=H","UseDPDF=Y")</f>
        <v>-1473</v>
      </c>
      <c r="G17" s="13">
        <f>_xll.BDH("GILD US Equity","ARD_OPERATING_INCOME","FQ4 2019","FQ4 2019","Currency=USD","Period=FQ","BEST_FPERIOD_OVERRIDE=FQ","FILING_STATUS=MR","SCALING_FORMAT=MLN","Sort=A","Dates=H","DateFormat=P","Fill=—","Direction=H","UseDPDF=Y")</f>
        <v>1093</v>
      </c>
      <c r="H17" s="13">
        <f>_xll.BDH("GILD US Equity","ARD_OPERATING_INCOME","FQ1 2020","FQ1 2020","Currency=USD","Period=FQ","BEST_FPERIOD_OVERRIDE=FQ","FILING_STATUS=MR","SCALING_FORMAT=MLN","Sort=A","Dates=H","DateFormat=P","Fill=—","Direction=H","UseDPDF=Y")</f>
        <v>2402</v>
      </c>
      <c r="I17" s="13">
        <f>_xll.BDH("GILD US Equity","ARD_OPERATING_INCOME","FQ2 2020","FQ2 2020","Currency=USD","Period=FQ","BEST_FPERIOD_OVERRIDE=FQ","FILING_STATUS=MR","SCALING_FORMAT=MLN","Sort=A","Dates=H","DateFormat=P","Fill=—","Direction=H","UseDPDF=Y")</f>
        <v>-2983</v>
      </c>
      <c r="J17" s="13">
        <f>_xll.BDH("GILD US Equity","ARD_OPERATING_INCOME","FQ3 2020","FQ3 2020","Currency=USD","Period=FQ","BEST_FPERIOD_OVERRIDE=FQ","FILING_STATUS=MR","SCALING_FORMAT=MLN","Sort=A","Dates=H","DateFormat=P","Fill=—","Direction=H","UseDPDF=Y")</f>
        <v>2001</v>
      </c>
      <c r="K17" s="13">
        <f>_xll.BDH("GILD US Equity","ARD_OPERATING_INCOME","FQ4 2020","FQ4 2020","Currency=USD","Period=FQ","BEST_FPERIOD_OVERRIDE=FQ","FILING_STATUS=MR","SCALING_FORMAT=MLN","Sort=A","Dates=H","DateFormat=P","Fill=—","Direction=H","UseDPDF=Y")</f>
        <v>2651</v>
      </c>
      <c r="L17" s="13">
        <f>_xll.BDH("GILD US Equity","ARD_OPERATING_INCOME","FQ1 2021","FQ1 2021","Currency=USD","Period=FQ","BEST_FPERIOD_OVERRIDE=FQ","FILING_STATUS=MR","SCALING_FORMAT=MLN","Sort=A","Dates=H","DateFormat=P","Fill=—","Direction=H","UseDPDF=Y")</f>
        <v>2890</v>
      </c>
      <c r="M17" s="13">
        <f>_xll.BDH("GILD US Equity","ARD_OPERATING_INCOME","FQ2 2021","FQ2 2021","Currency=USD","Period=FQ","BEST_FPERIOD_OVERRIDE=FQ","FILING_STATUS=MR","SCALING_FORMAT=MLN","Sort=A","Dates=H","DateFormat=P","Fill=—","Direction=H","UseDPDF=Y")</f>
        <v>2246</v>
      </c>
      <c r="N17" s="13">
        <f>_xll.BDH("GILD US Equity","ARD_OPERATING_INCOME","FQ3 2021","FQ3 2021","Currency=USD","Period=FQ","BEST_FPERIOD_OVERRIDE=FQ","FILING_STATUS=MR","SCALING_FORMAT=MLN","Sort=A","Dates=H","DateFormat=P","Fill=—","Direction=H","UseDPDF=Y")</f>
        <v>3842</v>
      </c>
      <c r="O17" s="13">
        <f>_xll.BDH("GILD US Equity","ARD_OPERATING_INCOME","FQ4 2021","FQ4 2021","Currency=USD","Period=FQ","BEST_FPERIOD_OVERRIDE=FQ","FILING_STATUS=MR","SCALING_FORMAT=MLN","Sort=A","Dates=H","DateFormat=P","Fill=—","Direction=H","UseDPDF=Y")</f>
        <v>940</v>
      </c>
      <c r="P17" s="13">
        <f>_xll.BDH("GILD US Equity","ARD_OPERATING_INCOME","FQ1 2022","FQ1 2022","Currency=USD","Period=FQ","BEST_FPERIOD_OVERRIDE=FQ","FILING_STATUS=MR","SCALING_FORMAT=MLN","Sort=A","Dates=H","DateFormat=P","Fill=—","Direction=H","UseDPDF=Y")</f>
        <v>197</v>
      </c>
      <c r="Q17" s="13">
        <f>_xll.BDH("GILD US Equity","ARD_OPERATING_INCOME","FQ2 2022","FQ2 2022","Currency=USD","Period=FQ","BEST_FPERIOD_OVERRIDE=FQ","FILING_STATUS=MR","SCALING_FORMAT=MLN","Sort=A","Dates=H","DateFormat=P","Fill=—","Direction=H","UseDPDF=Y")</f>
        <v>2029</v>
      </c>
      <c r="R17" s="13">
        <f>_xll.BDH("GILD US Equity","ARD_OPERATING_INCOME","FQ3 2022","FQ3 2022","Currency=USD","Period=FQ","BEST_FPERIOD_OVERRIDE=FQ","FILING_STATUS=MR","SCALING_FORMAT=MLN","Sort=A","Dates=H","DateFormat=P","Fill=—","Direction=H","UseDPDF=Y")</f>
        <v>2837</v>
      </c>
      <c r="S17" s="13">
        <f>_xll.BDH("GILD US Equity","ARD_OPERATING_INCOME","FQ4 2022","FQ4 2022","Currency=USD","Period=FQ","BEST_FPERIOD_OVERRIDE=FQ","FILING_STATUS=MR","SCALING_FORMAT=MLN","Sort=A","Dates=H","DateFormat=P","Fill=—","Direction=H","UseDPDF=Y")</f>
        <v>2267</v>
      </c>
      <c r="T17" s="13">
        <f>_xll.BDH("GILD US Equity","ARD_OPERATING_INCOME","FQ1 2023","FQ1 2023","Currency=USD","Period=FQ","BEST_FPERIOD_OVERRIDE=FQ","FILING_STATUS=MR","SCALING_FORMAT=MLN","Sort=A","Dates=H","DateFormat=P","Fill=—","Direction=H","UseDPDF=Y")</f>
        <v>1705</v>
      </c>
      <c r="U17" s="13">
        <f>_xll.BDH("GILD US Equity","ARD_OPERATING_INCOME","FQ2 2023","FQ2 2023","Currency=USD","Period=FQ","BEST_FPERIOD_OVERRIDE=FQ","FILING_STATUS=MR","SCALING_FORMAT=MLN","Sort=A","Dates=H","DateFormat=P","Fill=—","Direction=H","UseDPDF=Y")</f>
        <v>1665</v>
      </c>
      <c r="V17" s="13">
        <f>_xll.BDH("GILD US Equity","ARD_OPERATING_INCOME","FQ3 2023","FQ3 2023","Currency=USD","Period=FQ","BEST_FPERIOD_OVERRIDE=FQ","FILING_STATUS=MR","SCALING_FORMAT=MLN","Sort=A","Dates=H","DateFormat=P","Fill=—","Direction=H","UseDPDF=Y")</f>
        <v>2623</v>
      </c>
      <c r="W17" s="13">
        <f>_xll.BDH("GILD US Equity","ARD_OPERATING_INCOME","FQ4 2023","FQ4 2023","Currency=USD","Period=FQ","BEST_FPERIOD_OVERRIDE=FQ","FILING_STATUS=MR","SCALING_FORMAT=MLN","Sort=A","Dates=H","DateFormat=P","Fill=—","Direction=H","UseDPDF=Y")</f>
        <v>1612</v>
      </c>
      <c r="X17" s="13">
        <f>_xll.BDH("GILD US Equity","ARD_OPERATING_INCOME","FQ1 2024","FQ1 2024","Currency=USD","Period=FQ","BEST_FPERIOD_OVERRIDE=FQ","FILING_STATUS=MR","SCALING_FORMAT=MLN","Sort=A","Dates=H","DateFormat=P","Fill=—","Direction=H","UseDPDF=Y")</f>
        <v>-4322</v>
      </c>
      <c r="Y17" s="13">
        <f>_xll.BDH("GILD US Equity","ARD_OPERATING_INCOME","FQ2 2024","FQ2 2024","Currency=USD","Period=FQ","BEST_FPERIOD_OVERRIDE=FQ","FILING_STATUS=MR","SCALING_FORMAT=MLN","Sort=A","Dates=H","DateFormat=P","Fill=—","Direction=H","UseDPDF=Y")</f>
        <v>2644</v>
      </c>
      <c r="Z17" s="13">
        <f>_xll.BDH("GILD US Equity","ARD_OPERATING_INCOME","FQ3 2024","FQ3 2024","Currency=USD","Period=FQ","BEST_FPERIOD_OVERRIDE=FQ","FILING_STATUS=MR","SCALING_FORMAT=MLN","Sort=A","Dates=H","DateFormat=P","Fill=—","Direction=H","UseDPDF=Y")</f>
        <v>888</v>
      </c>
      <c r="AA17" s="13">
        <f>_xll.BDH("GILD US Equity","ARD_OPERATING_INCOME","FQ4 2024","FQ4 2024","Currency=USD","Period=FQ","BEST_FPERIOD_OVERRIDE=FQ","FILING_STATUS=MR","SCALING_FORMAT=MLN","Sort=A","Dates=H","DateFormat=P","Fill=—","Direction=H","UseDPDF=Y")</f>
        <v>2451</v>
      </c>
    </row>
    <row r="18" spans="1:27" x14ac:dyDescent="0.25">
      <c r="A18" s="10" t="s">
        <v>437</v>
      </c>
      <c r="B18" s="10" t="s">
        <v>438</v>
      </c>
      <c r="C18" s="13" t="str">
        <f>_xll.BDH("GILD US Equity","ARD_OTH_OPERATING_INC_EXP_NET","FQ4 2018","FQ4 2018","Currency=USD","Period=FQ","BEST_FPERIOD_OVERRIDE=FQ","FILING_STATUS=MR","SCALING_FORMAT=MLN","Sort=A","Dates=H","DateFormat=P","Fill=—","Direction=H","UseDPDF=Y")</f>
        <v>—</v>
      </c>
      <c r="D18" s="13" t="str">
        <f>_xll.BDH("GILD US Equity","ARD_OTH_OPERATING_INC_EXP_NET","FQ1 2019","FQ1 2019","Currency=USD","Period=FQ","BEST_FPERIOD_OVERRIDE=FQ","FILING_STATUS=MR","SCALING_FORMAT=MLN","Sort=A","Dates=H","DateFormat=P","Fill=—","Direction=H","UseDPDF=Y")</f>
        <v>—</v>
      </c>
      <c r="E18" s="13" t="str">
        <f>_xll.BDH("GILD US Equity","ARD_OTH_OPERATING_INC_EXP_NET","FQ2 2019","FQ2 2019","Currency=USD","Period=FQ","BEST_FPERIOD_OVERRIDE=FQ","FILING_STATUS=MR","SCALING_FORMAT=MLN","Sort=A","Dates=H","DateFormat=P","Fill=—","Direction=H","UseDPDF=Y")</f>
        <v>—</v>
      </c>
      <c r="F18" s="13" t="str">
        <f>_xll.BDH("GILD US Equity","ARD_OTH_OPERATING_INC_EXP_NET","FQ3 2019","FQ3 2019","Currency=USD","Period=FQ","BEST_FPERIOD_OVERRIDE=FQ","FILING_STATUS=MR","SCALING_FORMAT=MLN","Sort=A","Dates=H","DateFormat=P","Fill=—","Direction=H","UseDPDF=Y")</f>
        <v>—</v>
      </c>
      <c r="G18" s="13" t="str">
        <f>_xll.BDH("GILD US Equity","ARD_OTH_OPERATING_INC_EXP_NET","FQ4 2019","FQ4 2019","Currency=USD","Period=FQ","BEST_FPERIOD_OVERRIDE=FQ","FILING_STATUS=MR","SCALING_FORMAT=MLN","Sort=A","Dates=H","DateFormat=P","Fill=—","Direction=H","UseDPDF=Y")</f>
        <v>—</v>
      </c>
      <c r="H18" s="13" t="str">
        <f>_xll.BDH("GILD US Equity","ARD_OTH_OPERATING_INC_EXP_NET","FQ1 2020","FQ1 2020","Currency=USD","Period=FQ","BEST_FPERIOD_OVERRIDE=FQ","FILING_STATUS=MR","SCALING_FORMAT=MLN","Sort=A","Dates=H","DateFormat=P","Fill=—","Direction=H","UseDPDF=Y")</f>
        <v>—</v>
      </c>
      <c r="I18" s="13" t="str">
        <f>_xll.BDH("GILD US Equity","ARD_OTH_OPERATING_INC_EXP_NET","FQ2 2020","FQ2 2020","Currency=USD","Period=FQ","BEST_FPERIOD_OVERRIDE=FQ","FILING_STATUS=MR","SCALING_FORMAT=MLN","Sort=A","Dates=H","DateFormat=P","Fill=—","Direction=H","UseDPDF=Y")</f>
        <v>—</v>
      </c>
      <c r="J18" s="13" t="str">
        <f>_xll.BDH("GILD US Equity","ARD_OTH_OPERATING_INC_EXP_NET","FQ3 2020","FQ3 2020","Currency=USD","Period=FQ","BEST_FPERIOD_OVERRIDE=FQ","FILING_STATUS=MR","SCALING_FORMAT=MLN","Sort=A","Dates=H","DateFormat=P","Fill=—","Direction=H","UseDPDF=Y")</f>
        <v>—</v>
      </c>
      <c r="K18" s="13" t="str">
        <f>_xll.BDH("GILD US Equity","ARD_OTH_OPERATING_INC_EXP_NET","FQ4 2020","FQ4 2020","Currency=USD","Period=FQ","BEST_FPERIOD_OVERRIDE=FQ","FILING_STATUS=MR","SCALING_FORMAT=MLN","Sort=A","Dates=H","DateFormat=P","Fill=—","Direction=H","UseDPDF=Y")</f>
        <v>—</v>
      </c>
      <c r="L18" s="13" t="str">
        <f>_xll.BDH("GILD US Equity","ARD_OTH_OPERATING_INC_EXP_NET","FQ1 2021","FQ1 2021","Currency=USD","Period=FQ","BEST_FPERIOD_OVERRIDE=FQ","FILING_STATUS=MR","SCALING_FORMAT=MLN","Sort=A","Dates=H","DateFormat=P","Fill=—","Direction=H","UseDPDF=Y")</f>
        <v>—</v>
      </c>
      <c r="M18" s="13" t="str">
        <f>_xll.BDH("GILD US Equity","ARD_OTH_OPERATING_INC_EXP_NET","FQ2 2021","FQ2 2021","Currency=USD","Period=FQ","BEST_FPERIOD_OVERRIDE=FQ","FILING_STATUS=MR","SCALING_FORMAT=MLN","Sort=A","Dates=H","DateFormat=P","Fill=—","Direction=H","UseDPDF=Y")</f>
        <v>—</v>
      </c>
      <c r="N18" s="13" t="str">
        <f>_xll.BDH("GILD US Equity","ARD_OTH_OPERATING_INC_EXP_NET","FQ3 2021","FQ3 2021","Currency=USD","Period=FQ","BEST_FPERIOD_OVERRIDE=FQ","FILING_STATUS=MR","SCALING_FORMAT=MLN","Sort=A","Dates=H","DateFormat=P","Fill=—","Direction=H","UseDPDF=Y")</f>
        <v>—</v>
      </c>
      <c r="O18" s="13" t="str">
        <f>_xll.BDH("GILD US Equity","ARD_OTH_OPERATING_INC_EXP_NET","FQ4 2021","FQ4 2021","Currency=USD","Period=FQ","BEST_FPERIOD_OVERRIDE=FQ","FILING_STATUS=MR","SCALING_FORMAT=MLN","Sort=A","Dates=H","DateFormat=P","Fill=—","Direction=H","UseDPDF=Y")</f>
        <v>—</v>
      </c>
      <c r="P18" s="13" t="str">
        <f>_xll.BDH("GILD US Equity","ARD_OTH_OPERATING_INC_EXP_NET","FQ1 2022","FQ1 2022","Currency=USD","Period=FQ","BEST_FPERIOD_OVERRIDE=FQ","FILING_STATUS=MR","SCALING_FORMAT=MLN","Sort=A","Dates=H","DateFormat=P","Fill=—","Direction=H","UseDPDF=Y")</f>
        <v>—</v>
      </c>
      <c r="Q18" s="13" t="str">
        <f>_xll.BDH("GILD US Equity","ARD_OTH_OPERATING_INC_EXP_NET","FQ2 2022","FQ2 2022","Currency=USD","Period=FQ","BEST_FPERIOD_OVERRIDE=FQ","FILING_STATUS=MR","SCALING_FORMAT=MLN","Sort=A","Dates=H","DateFormat=P","Fill=—","Direction=H","UseDPDF=Y")</f>
        <v>—</v>
      </c>
      <c r="R18" s="13" t="str">
        <f>_xll.BDH("GILD US Equity","ARD_OTH_OPERATING_INC_EXP_NET","FQ3 2022","FQ3 2022","Currency=USD","Period=FQ","BEST_FPERIOD_OVERRIDE=FQ","FILING_STATUS=MR","SCALING_FORMAT=MLN","Sort=A","Dates=H","DateFormat=P","Fill=—","Direction=H","UseDPDF=Y")</f>
        <v>—</v>
      </c>
      <c r="S18" s="13" t="str">
        <f>_xll.BDH("GILD US Equity","ARD_OTH_OPERATING_INC_EXP_NET","FQ4 2022","FQ4 2022","Currency=USD","Period=FQ","BEST_FPERIOD_OVERRIDE=FQ","FILING_STATUS=MR","SCALING_FORMAT=MLN","Sort=A","Dates=H","DateFormat=P","Fill=—","Direction=H","UseDPDF=Y")</f>
        <v>—</v>
      </c>
      <c r="T18" s="13" t="str">
        <f>_xll.BDH("GILD US Equity","ARD_OTH_OPERATING_INC_EXP_NET","FQ1 2023","FQ1 2023","Currency=USD","Period=FQ","BEST_FPERIOD_OVERRIDE=FQ","FILING_STATUS=MR","SCALING_FORMAT=MLN","Sort=A","Dates=H","DateFormat=P","Fill=—","Direction=H","UseDPDF=Y")</f>
        <v>—</v>
      </c>
      <c r="U18" s="13" t="str">
        <f>_xll.BDH("GILD US Equity","ARD_OTH_OPERATING_INC_EXP_NET","FQ2 2023","FQ2 2023","Currency=USD","Period=FQ","BEST_FPERIOD_OVERRIDE=FQ","FILING_STATUS=MR","SCALING_FORMAT=MLN","Sort=A","Dates=H","DateFormat=P","Fill=—","Direction=H","UseDPDF=Y")</f>
        <v>—</v>
      </c>
      <c r="V18" s="13" t="str">
        <f>_xll.BDH("GILD US Equity","ARD_OTH_OPERATING_INC_EXP_NET","FQ3 2023","FQ3 2023","Currency=USD","Period=FQ","BEST_FPERIOD_OVERRIDE=FQ","FILING_STATUS=MR","SCALING_FORMAT=MLN","Sort=A","Dates=H","DateFormat=P","Fill=—","Direction=H","UseDPDF=Y")</f>
        <v>—</v>
      </c>
      <c r="W18" s="13" t="str">
        <f>_xll.BDH("GILD US Equity","ARD_OTH_OPERATING_INC_EXP_NET","FQ4 2023","FQ4 2023","Currency=USD","Period=FQ","BEST_FPERIOD_OVERRIDE=FQ","FILING_STATUS=MR","SCALING_FORMAT=MLN","Sort=A","Dates=H","DateFormat=P","Fill=—","Direction=H","UseDPDF=Y")</f>
        <v>—</v>
      </c>
      <c r="X18" s="13" t="str">
        <f>_xll.BDH("GILD US Equity","ARD_OTH_OPERATING_INC_EXP_NET","FQ1 2024","FQ1 2024","Currency=USD","Period=FQ","BEST_FPERIOD_OVERRIDE=FQ","FILING_STATUS=MR","SCALING_FORMAT=MLN","Sort=A","Dates=H","DateFormat=P","Fill=—","Direction=H","UseDPDF=Y")</f>
        <v>—</v>
      </c>
      <c r="Y18" s="13">
        <f>_xll.BDH("GILD US Equity","ARD_OTH_OPERATING_INC_EXP_NET","FQ2 2024","FQ2 2024","Currency=USD","Period=FQ","BEST_FPERIOD_OVERRIDE=FQ","FILING_STATUS=MR","SCALING_FORMAT=MLN","Sort=A","Dates=H","DateFormat=P","Fill=—","Direction=H","UseDPDF=Y")</f>
        <v>-1</v>
      </c>
      <c r="Z18" s="13" t="str">
        <f>_xll.BDH("GILD US Equity","ARD_OTH_OPERATING_INC_EXP_NET","FQ3 2024","FQ3 2024","Currency=USD","Period=FQ","BEST_FPERIOD_OVERRIDE=FQ","FILING_STATUS=MR","SCALING_FORMAT=MLN","Sort=A","Dates=H","DateFormat=P","Fill=—","Direction=H","UseDPDF=Y")</f>
        <v>—</v>
      </c>
      <c r="AA18" s="13">
        <f>_xll.BDH("GILD US Equity","ARD_OTH_OPERATING_INC_EXP_NET","FQ4 2024","FQ4 2024","Currency=USD","Period=FQ","BEST_FPERIOD_OVERRIDE=FQ","FILING_STATUS=MR","SCALING_FORMAT=MLN","Sort=A","Dates=H","DateFormat=P","Fill=—","Direction=H","UseDPDF=Y")</f>
        <v>1</v>
      </c>
    </row>
    <row r="19" spans="1:27" x14ac:dyDescent="0.25">
      <c r="A19" s="10" t="s">
        <v>439</v>
      </c>
      <c r="B19" s="10" t="s">
        <v>440</v>
      </c>
      <c r="C19" s="13" t="str">
        <f>_xll.BDH("GILD US Equity","ARD_LOSS_RECOV_IMPAIR_INTANG","FQ4 2018","FQ4 2018","Currency=USD","Period=FQ","BEST_FPERIOD_OVERRIDE=FQ","FILING_STATUS=MR","SCALING_FORMAT=MLN","Sort=A","Dates=H","DateFormat=P","Fill=—","Direction=H","UseDPDF=Y")</f>
        <v>—</v>
      </c>
      <c r="D19" s="13" t="str">
        <f>_xll.BDH("GILD US Equity","ARD_LOSS_RECOV_IMPAIR_INTANG","FQ1 2019","FQ1 2019","Currency=USD","Period=FQ","BEST_FPERIOD_OVERRIDE=FQ","FILING_STATUS=MR","SCALING_FORMAT=MLN","Sort=A","Dates=H","DateFormat=P","Fill=—","Direction=H","UseDPDF=Y")</f>
        <v>—</v>
      </c>
      <c r="E19" s="13" t="str">
        <f>_xll.BDH("GILD US Equity","ARD_LOSS_RECOV_IMPAIR_INTANG","FQ2 2019","FQ2 2019","Currency=USD","Period=FQ","BEST_FPERIOD_OVERRIDE=FQ","FILING_STATUS=MR","SCALING_FORMAT=MLN","Sort=A","Dates=H","DateFormat=P","Fill=—","Direction=H","UseDPDF=Y")</f>
        <v>—</v>
      </c>
      <c r="F19" s="13" t="str">
        <f>_xll.BDH("GILD US Equity","ARD_LOSS_RECOV_IMPAIR_INTANG","FQ3 2019","FQ3 2019","Currency=USD","Period=FQ","BEST_FPERIOD_OVERRIDE=FQ","FILING_STATUS=MR","SCALING_FORMAT=MLN","Sort=A","Dates=H","DateFormat=P","Fill=—","Direction=H","UseDPDF=Y")</f>
        <v>—</v>
      </c>
      <c r="G19" s="13" t="str">
        <f>_xll.BDH("GILD US Equity","ARD_LOSS_RECOV_IMPAIR_INTANG","FQ4 2019","FQ4 2019","Currency=USD","Period=FQ","BEST_FPERIOD_OVERRIDE=FQ","FILING_STATUS=MR","SCALING_FORMAT=MLN","Sort=A","Dates=H","DateFormat=P","Fill=—","Direction=H","UseDPDF=Y")</f>
        <v>—</v>
      </c>
      <c r="H19" s="13" t="str">
        <f>_xll.BDH("GILD US Equity","ARD_LOSS_RECOV_IMPAIR_INTANG","FQ1 2020","FQ1 2020","Currency=USD","Period=FQ","BEST_FPERIOD_OVERRIDE=FQ","FILING_STATUS=MR","SCALING_FORMAT=MLN","Sort=A","Dates=H","DateFormat=P","Fill=—","Direction=H","UseDPDF=Y")</f>
        <v>—</v>
      </c>
      <c r="I19" s="13" t="str">
        <f>_xll.BDH("GILD US Equity","ARD_LOSS_RECOV_IMPAIR_INTANG","FQ2 2020","FQ2 2020","Currency=USD","Period=FQ","BEST_FPERIOD_OVERRIDE=FQ","FILING_STATUS=MR","SCALING_FORMAT=MLN","Sort=A","Dates=H","DateFormat=P","Fill=—","Direction=H","UseDPDF=Y")</f>
        <v>—</v>
      </c>
      <c r="J19" s="13" t="str">
        <f>_xll.BDH("GILD US Equity","ARD_LOSS_RECOV_IMPAIR_INTANG","FQ3 2020","FQ3 2020","Currency=USD","Period=FQ","BEST_FPERIOD_OVERRIDE=FQ","FILING_STATUS=MR","SCALING_FORMAT=MLN","Sort=A","Dates=H","DateFormat=P","Fill=—","Direction=H","UseDPDF=Y")</f>
        <v>—</v>
      </c>
      <c r="K19" s="13" t="str">
        <f>_xll.BDH("GILD US Equity","ARD_LOSS_RECOV_IMPAIR_INTANG","FQ4 2020","FQ4 2020","Currency=USD","Period=FQ","BEST_FPERIOD_OVERRIDE=FQ","FILING_STATUS=MR","SCALING_FORMAT=MLN","Sort=A","Dates=H","DateFormat=P","Fill=—","Direction=H","UseDPDF=Y")</f>
        <v>—</v>
      </c>
      <c r="L19" s="13">
        <f>_xll.BDH("GILD US Equity","ARD_LOSS_RECOV_IMPAIR_INTANG","FQ1 2021","FQ1 2021","Currency=USD","Period=FQ","BEST_FPERIOD_OVERRIDE=FQ","FILING_STATUS=MR","SCALING_FORMAT=MLN","Sort=A","Dates=H","DateFormat=P","Fill=—","Direction=H","UseDPDF=Y")</f>
        <v>0</v>
      </c>
      <c r="M19" s="13" t="str">
        <f>_xll.BDH("GILD US Equity","ARD_LOSS_RECOV_IMPAIR_INTANG","FQ2 2021","FQ2 2021","Currency=USD","Period=FQ","BEST_FPERIOD_OVERRIDE=FQ","FILING_STATUS=MR","SCALING_FORMAT=MLN","Sort=A","Dates=H","DateFormat=P","Fill=—","Direction=H","UseDPDF=Y")</f>
        <v>—</v>
      </c>
      <c r="N19" s="13" t="str">
        <f>_xll.BDH("GILD US Equity","ARD_LOSS_RECOV_IMPAIR_INTANG","FQ3 2021","FQ3 2021","Currency=USD","Period=FQ","BEST_FPERIOD_OVERRIDE=FQ","FILING_STATUS=MR","SCALING_FORMAT=MLN","Sort=A","Dates=H","DateFormat=P","Fill=—","Direction=H","UseDPDF=Y")</f>
        <v>—</v>
      </c>
      <c r="O19" s="13">
        <f>_xll.BDH("GILD US Equity","ARD_LOSS_RECOV_IMPAIR_INTANG","FQ4 2021","FQ4 2021","Currency=USD","Period=FQ","BEST_FPERIOD_OVERRIDE=FQ","FILING_STATUS=MR","SCALING_FORMAT=MLN","Sort=A","Dates=H","DateFormat=P","Fill=—","Direction=H","UseDPDF=Y")</f>
        <v>0</v>
      </c>
      <c r="P19" s="13">
        <f>_xll.BDH("GILD US Equity","ARD_LOSS_RECOV_IMPAIR_INTANG","FQ1 2022","FQ1 2022","Currency=USD","Period=FQ","BEST_FPERIOD_OVERRIDE=FQ","FILING_STATUS=MR","SCALING_FORMAT=MLN","Sort=A","Dates=H","DateFormat=P","Fill=—","Direction=H","UseDPDF=Y")</f>
        <v>2700</v>
      </c>
      <c r="Q19" s="13" t="str">
        <f>_xll.BDH("GILD US Equity","ARD_LOSS_RECOV_IMPAIR_INTANG","FQ2 2022","FQ2 2022","Currency=USD","Period=FQ","BEST_FPERIOD_OVERRIDE=FQ","FILING_STATUS=MR","SCALING_FORMAT=MLN","Sort=A","Dates=H","DateFormat=P","Fill=—","Direction=H","UseDPDF=Y")</f>
        <v>—</v>
      </c>
      <c r="R19" s="13" t="str">
        <f>_xll.BDH("GILD US Equity","ARD_LOSS_RECOV_IMPAIR_INTANG","FQ3 2022","FQ3 2022","Currency=USD","Period=FQ","BEST_FPERIOD_OVERRIDE=FQ","FILING_STATUS=MR","SCALING_FORMAT=MLN","Sort=A","Dates=H","DateFormat=P","Fill=—","Direction=H","UseDPDF=Y")</f>
        <v>—</v>
      </c>
      <c r="S19" s="13">
        <f>_xll.BDH("GILD US Equity","ARD_LOSS_RECOV_IMPAIR_INTANG","FQ4 2022","FQ4 2022","Currency=USD","Period=FQ","BEST_FPERIOD_OVERRIDE=FQ","FILING_STATUS=MR","SCALING_FORMAT=MLN","Sort=A","Dates=H","DateFormat=P","Fill=—","Direction=H","UseDPDF=Y")</f>
        <v>0</v>
      </c>
      <c r="T19" s="13">
        <f>_xll.BDH("GILD US Equity","ARD_LOSS_RECOV_IMPAIR_INTANG","FQ1 2023","FQ1 2023","Currency=USD","Period=FQ","BEST_FPERIOD_OVERRIDE=FQ","FILING_STATUS=MR","SCALING_FORMAT=MLN","Sort=A","Dates=H","DateFormat=P","Fill=—","Direction=H","UseDPDF=Y")</f>
        <v>0</v>
      </c>
      <c r="U19" s="13" t="str">
        <f>_xll.BDH("GILD US Equity","ARD_LOSS_RECOV_IMPAIR_INTANG","FQ2 2023","FQ2 2023","Currency=USD","Period=FQ","BEST_FPERIOD_OVERRIDE=FQ","FILING_STATUS=MR","SCALING_FORMAT=MLN","Sort=A","Dates=H","DateFormat=P","Fill=—","Direction=H","UseDPDF=Y")</f>
        <v>—</v>
      </c>
      <c r="V19" s="13">
        <f>_xll.BDH("GILD US Equity","ARD_LOSS_RECOV_IMPAIR_INTANG","FQ3 2023","FQ3 2023","Currency=USD","Period=FQ","BEST_FPERIOD_OVERRIDE=FQ","FILING_STATUS=MR","SCALING_FORMAT=MLN","Sort=A","Dates=H","DateFormat=P","Fill=—","Direction=H","UseDPDF=Y")</f>
        <v>0</v>
      </c>
      <c r="W19" s="13">
        <f>_xll.BDH("GILD US Equity","ARD_LOSS_RECOV_IMPAIR_INTANG","FQ4 2023","FQ4 2023","Currency=USD","Period=FQ","BEST_FPERIOD_OVERRIDE=FQ","FILING_STATUS=MR","SCALING_FORMAT=MLN","Sort=A","Dates=H","DateFormat=P","Fill=—","Direction=H","UseDPDF=Y")</f>
        <v>50</v>
      </c>
      <c r="X19" s="13">
        <f>_xll.BDH("GILD US Equity","ARD_LOSS_RECOV_IMPAIR_INTANG","FQ1 2024","FQ1 2024","Currency=USD","Period=FQ","BEST_FPERIOD_OVERRIDE=FQ","FILING_STATUS=MR","SCALING_FORMAT=MLN","Sort=A","Dates=H","DateFormat=P","Fill=—","Direction=H","UseDPDF=Y")</f>
        <v>2430</v>
      </c>
      <c r="Y19" s="13" t="str">
        <f>_xll.BDH("GILD US Equity","ARD_LOSS_RECOV_IMPAIR_INTANG","FQ2 2024","FQ2 2024","Currency=USD","Period=FQ","BEST_FPERIOD_OVERRIDE=FQ","FILING_STATUS=MR","SCALING_FORMAT=MLN","Sort=A","Dates=H","DateFormat=P","Fill=—","Direction=H","UseDPDF=Y")</f>
        <v>—</v>
      </c>
      <c r="Z19" s="13">
        <f>_xll.BDH("GILD US Equity","ARD_LOSS_RECOV_IMPAIR_INTANG","FQ3 2024","FQ3 2024","Currency=USD","Period=FQ","BEST_FPERIOD_OVERRIDE=FQ","FILING_STATUS=MR","SCALING_FORMAT=MLN","Sort=A","Dates=H","DateFormat=P","Fill=—","Direction=H","UseDPDF=Y")</f>
        <v>1750</v>
      </c>
      <c r="AA19" s="13">
        <f>_xll.BDH("GILD US Equity","ARD_LOSS_RECOV_IMPAIR_INTANG","FQ4 2024","FQ4 2024","Currency=USD","Period=FQ","BEST_FPERIOD_OVERRIDE=FQ","FILING_STATUS=MR","SCALING_FORMAT=MLN","Sort=A","Dates=H","DateFormat=P","Fill=—","Direction=H","UseDPDF=Y")</f>
        <v>0</v>
      </c>
    </row>
    <row r="20" spans="1:27" x14ac:dyDescent="0.25">
      <c r="A20" s="10" t="s">
        <v>441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5">
      <c r="A21" s="10" t="s">
        <v>442</v>
      </c>
      <c r="B21" s="10" t="s">
        <v>443</v>
      </c>
      <c r="C21" s="13">
        <f>_xll.BDH("GILD US Equity","ARD_INT_EXP","FQ4 2018","FQ4 2018","Currency=USD","Period=FQ","BEST_FPERIOD_OVERRIDE=FQ","FILING_STATUS=MR","SCALING_FORMAT=MLN","Sort=A","Dates=H","DateFormat=P","Fill=—","Direction=H","UseDPDF=Y")</f>
        <v>257</v>
      </c>
      <c r="D21" s="13">
        <f>_xll.BDH("GILD US Equity","ARD_INT_EXP","FQ1 2019","FQ1 2019","Currency=USD","Period=FQ","BEST_FPERIOD_OVERRIDE=FQ","FILING_STATUS=MR","SCALING_FORMAT=MLN","Sort=A","Dates=H","DateFormat=P","Fill=—","Direction=H","UseDPDF=Y")</f>
        <v>254</v>
      </c>
      <c r="E21" s="13">
        <f>_xll.BDH("GILD US Equity","ARD_INT_EXP","FQ2 2019","FQ2 2019","Currency=USD","Period=FQ","BEST_FPERIOD_OVERRIDE=FQ","FILING_STATUS=MR","SCALING_FORMAT=MLN","Sort=A","Dates=H","DateFormat=P","Fill=—","Direction=H","UseDPDF=Y")</f>
        <v>248</v>
      </c>
      <c r="F21" s="13">
        <f>_xll.BDH("GILD US Equity","ARD_INT_EXP","FQ3 2019","FQ3 2019","Currency=USD","Period=FQ","BEST_FPERIOD_OVERRIDE=FQ","FILING_STATUS=MR","SCALING_FORMAT=MLN","Sort=A","Dates=H","DateFormat=P","Fill=—","Direction=H","UseDPDF=Y")</f>
        <v>250</v>
      </c>
      <c r="G21" s="13">
        <f>_xll.BDH("GILD US Equity","ARD_INT_EXP","FQ4 2019","FQ4 2019","Currency=USD","Period=FQ","BEST_FPERIOD_OVERRIDE=FQ","FILING_STATUS=MR","SCALING_FORMAT=MLN","Sort=A","Dates=H","DateFormat=P","Fill=—","Direction=H","UseDPDF=Y")</f>
        <v>243</v>
      </c>
      <c r="H21" s="13">
        <f>_xll.BDH("GILD US Equity","ARD_INT_EXP","FQ1 2020","FQ1 2020","Currency=USD","Period=FQ","BEST_FPERIOD_OVERRIDE=FQ","FILING_STATUS=MR","SCALING_FORMAT=MLN","Sort=A","Dates=H","DateFormat=P","Fill=—","Direction=H","UseDPDF=Y")</f>
        <v>241</v>
      </c>
      <c r="I21" s="13">
        <f>_xll.BDH("GILD US Equity","ARD_INT_EXP","FQ2 2020","FQ2 2020","Currency=USD","Period=FQ","BEST_FPERIOD_OVERRIDE=FQ","FILING_STATUS=MR","SCALING_FORMAT=MLN","Sort=A","Dates=H","DateFormat=P","Fill=—","Direction=H","UseDPDF=Y")</f>
        <v>240</v>
      </c>
      <c r="J21" s="13">
        <f>_xll.BDH("GILD US Equity","ARD_INT_EXP","FQ3 2020","FQ3 2020","Currency=USD","Period=FQ","BEST_FPERIOD_OVERRIDE=FQ","FILING_STATUS=MR","SCALING_FORMAT=MLN","Sort=A","Dates=H","DateFormat=P","Fill=—","Direction=H","UseDPDF=Y")</f>
        <v>236</v>
      </c>
      <c r="K21" s="13">
        <f>_xll.BDH("GILD US Equity","ARD_INT_EXP","FQ4 2020","FQ4 2020","Currency=USD","Period=FQ","BEST_FPERIOD_OVERRIDE=FQ","FILING_STATUS=MR","SCALING_FORMAT=MLN","Sort=A","Dates=H","DateFormat=P","Fill=—","Direction=H","UseDPDF=Y")</f>
        <v>267</v>
      </c>
      <c r="L21" s="13">
        <f>_xll.BDH("GILD US Equity","ARD_INT_EXP","FQ1 2021","FQ1 2021","Currency=USD","Period=FQ","BEST_FPERIOD_OVERRIDE=FQ","FILING_STATUS=MR","SCALING_FORMAT=MLN","Sort=A","Dates=H","DateFormat=P","Fill=—","Direction=H","UseDPDF=Y")</f>
        <v>257</v>
      </c>
      <c r="M21" s="13">
        <f>_xll.BDH("GILD US Equity","ARD_INT_EXP","FQ2 2021","FQ2 2021","Currency=USD","Period=FQ","BEST_FPERIOD_OVERRIDE=FQ","FILING_STATUS=MR","SCALING_FORMAT=MLN","Sort=A","Dates=H","DateFormat=P","Fill=—","Direction=H","UseDPDF=Y")</f>
        <v>256</v>
      </c>
      <c r="N21" s="13">
        <f>_xll.BDH("GILD US Equity","ARD_INT_EXP","FQ3 2021","FQ3 2021","Currency=USD","Period=FQ","BEST_FPERIOD_OVERRIDE=FQ","FILING_STATUS=MR","SCALING_FORMAT=MLN","Sort=A","Dates=H","DateFormat=P","Fill=—","Direction=H","UseDPDF=Y")</f>
        <v>250</v>
      </c>
      <c r="O21" s="13">
        <f>_xll.BDH("GILD US Equity","ARD_INT_EXP","FQ4 2021","FQ4 2021","Currency=USD","Period=FQ","BEST_FPERIOD_OVERRIDE=FQ","FILING_STATUS=MR","SCALING_FORMAT=MLN","Sort=A","Dates=H","DateFormat=P","Fill=—","Direction=H","UseDPDF=Y")</f>
        <v>238</v>
      </c>
      <c r="P21" s="13">
        <f>_xll.BDH("GILD US Equity","ARD_INT_EXP","FQ1 2022","FQ1 2022","Currency=USD","Period=FQ","BEST_FPERIOD_OVERRIDE=FQ","FILING_STATUS=MR","SCALING_FORMAT=MLN","Sort=A","Dates=H","DateFormat=P","Fill=—","Direction=H","UseDPDF=Y")</f>
        <v>238</v>
      </c>
      <c r="Q21" s="13">
        <f>_xll.BDH("GILD US Equity","ARD_INT_EXP","FQ2 2022","FQ2 2022","Currency=USD","Period=FQ","BEST_FPERIOD_OVERRIDE=FQ","FILING_STATUS=MR","SCALING_FORMAT=MLN","Sort=A","Dates=H","DateFormat=P","Fill=—","Direction=H","UseDPDF=Y")</f>
        <v>242</v>
      </c>
      <c r="R21" s="13">
        <f>_xll.BDH("GILD US Equity","ARD_INT_EXP","FQ3 2022","FQ3 2022","Currency=USD","Period=FQ","BEST_FPERIOD_OVERRIDE=FQ","FILING_STATUS=MR","SCALING_FORMAT=MLN","Sort=A","Dates=H","DateFormat=P","Fill=—","Direction=H","UseDPDF=Y")</f>
        <v>229</v>
      </c>
      <c r="S21" s="13">
        <f>_xll.BDH("GILD US Equity","ARD_INT_EXP","FQ4 2022","FQ4 2022","Currency=USD","Period=FQ","BEST_FPERIOD_OVERRIDE=FQ","FILING_STATUS=MR","SCALING_FORMAT=MLN","Sort=A","Dates=H","DateFormat=P","Fill=—","Direction=H","UseDPDF=Y")</f>
        <v>227</v>
      </c>
      <c r="T21" s="13">
        <f>_xll.BDH("GILD US Equity","ARD_INT_EXP","FQ1 2023","FQ1 2023","Currency=USD","Period=FQ","BEST_FPERIOD_OVERRIDE=FQ","FILING_STATUS=MR","SCALING_FORMAT=MLN","Sort=A","Dates=H","DateFormat=P","Fill=—","Direction=H","UseDPDF=Y")</f>
        <v>230</v>
      </c>
      <c r="U21" s="13">
        <f>_xll.BDH("GILD US Equity","ARD_INT_EXP","FQ2 2023","FQ2 2023","Currency=USD","Period=FQ","BEST_FPERIOD_OVERRIDE=FQ","FILING_STATUS=MR","SCALING_FORMAT=MLN","Sort=A","Dates=H","DateFormat=P","Fill=—","Direction=H","UseDPDF=Y")</f>
        <v>230</v>
      </c>
      <c r="V21" s="13">
        <f>_xll.BDH("GILD US Equity","ARD_INT_EXP","FQ3 2023","FQ3 2023","Currency=USD","Period=FQ","BEST_FPERIOD_OVERRIDE=FQ","FILING_STATUS=MR","SCALING_FORMAT=MLN","Sort=A","Dates=H","DateFormat=P","Fill=—","Direction=H","UseDPDF=Y")</f>
        <v>232</v>
      </c>
      <c r="W21" s="13">
        <f>_xll.BDH("GILD US Equity","ARD_INT_EXP","FQ4 2023","FQ4 2023","Currency=USD","Period=FQ","BEST_FPERIOD_OVERRIDE=FQ","FILING_STATUS=MR","SCALING_FORMAT=MLN","Sort=A","Dates=H","DateFormat=P","Fill=—","Direction=H","UseDPDF=Y")</f>
        <v>252</v>
      </c>
      <c r="X21" s="13">
        <f>_xll.BDH("GILD US Equity","ARD_INT_EXP","FQ1 2024","FQ1 2024","Currency=USD","Period=FQ","BEST_FPERIOD_OVERRIDE=FQ","FILING_STATUS=MR","SCALING_FORMAT=MLN","Sort=A","Dates=H","DateFormat=P","Fill=—","Direction=H","UseDPDF=Y")</f>
        <v>254</v>
      </c>
      <c r="Y21" s="13">
        <f>_xll.BDH("GILD US Equity","ARD_INT_EXP","FQ2 2024","FQ2 2024","Currency=USD","Period=FQ","BEST_FPERIOD_OVERRIDE=FQ","FILING_STATUS=MR","SCALING_FORMAT=MLN","Sort=A","Dates=H","DateFormat=P","Fill=—","Direction=H","UseDPDF=Y")</f>
        <v>236</v>
      </c>
      <c r="Z21" s="13">
        <f>_xll.BDH("GILD US Equity","ARD_INT_EXP","FQ3 2024","FQ3 2024","Currency=USD","Period=FQ","BEST_FPERIOD_OVERRIDE=FQ","FILING_STATUS=MR","SCALING_FORMAT=MLN","Sort=A","Dates=H","DateFormat=P","Fill=—","Direction=H","UseDPDF=Y")</f>
        <v>238</v>
      </c>
      <c r="AA21" s="13">
        <f>_xll.BDH("GILD US Equity","ARD_INT_EXP","FQ4 2024","FQ4 2024","Currency=USD","Period=FQ","BEST_FPERIOD_OVERRIDE=FQ","FILING_STATUS=MR","SCALING_FORMAT=MLN","Sort=A","Dates=H","DateFormat=P","Fill=—","Direction=H","UseDPDF=Y")</f>
        <v>248</v>
      </c>
    </row>
    <row r="22" spans="1:27" x14ac:dyDescent="0.25">
      <c r="A22" s="10" t="s">
        <v>444</v>
      </c>
      <c r="B22" s="10" t="s">
        <v>445</v>
      </c>
      <c r="C22" s="13">
        <f>_xll.BDH("GILD US Equity","ARD_INCOME_TAX_EXP_BENEFIT","FQ4 2018","FQ4 2018","Currency=USD","Period=FQ","BEST_FPERIOD_OVERRIDE=FQ","FILING_STATUS=MR","SCALING_FORMAT=MLN","Sort=A","Dates=H","DateFormat=P","Fill=—","Direction=H","UseDPDF=Y")</f>
        <v>1013</v>
      </c>
      <c r="D22" s="13">
        <f>_xll.BDH("GILD US Equity","ARD_INCOME_TAX_EXP_BENEFIT","FQ1 2019","FQ1 2019","Currency=USD","Period=FQ","BEST_FPERIOD_OVERRIDE=FQ","FILING_STATUS=MR","SCALING_FORMAT=MLN","Sort=A","Dates=H","DateFormat=P","Fill=—","Direction=H","UseDPDF=Y")</f>
        <v>382</v>
      </c>
      <c r="E22" s="13">
        <f>_xll.BDH("GILD US Equity","ARD_INCOME_TAX_EXP_BENEFIT","FQ2 2019","FQ2 2019","Currency=USD","Period=FQ","BEST_FPERIOD_OVERRIDE=FQ","FILING_STATUS=MR","SCALING_FORMAT=MLN","Sort=A","Dates=H","DateFormat=P","Fill=—","Direction=H","UseDPDF=Y")</f>
        <v>535</v>
      </c>
      <c r="F22" s="13">
        <f>_xll.BDH("GILD US Equity","ARD_INCOME_TAX_EXP_BENEFIT","FQ3 2019","FQ3 2019","Currency=USD","Period=FQ","BEST_FPERIOD_OVERRIDE=FQ","FILING_STATUS=MR","SCALING_FORMAT=MLN","Sort=A","Dates=H","DateFormat=P","Fill=—","Direction=H","UseDPDF=Y")</f>
        <v>-333</v>
      </c>
      <c r="G22" s="13">
        <f>_xll.BDH("GILD US Equity","ARD_INCOME_TAX_EXP_BENEFIT","FQ4 2019","FQ4 2019","Currency=USD","Period=FQ","BEST_FPERIOD_OVERRIDE=FQ","FILING_STATUS=MR","SCALING_FORMAT=MLN","Sort=A","Dates=H","DateFormat=P","Fill=—","Direction=H","UseDPDF=Y")</f>
        <v>-788</v>
      </c>
      <c r="H22" s="13">
        <f>_xll.BDH("GILD US Equity","ARD_INCOME_TAX_EXP_BENEFIT","FQ1 2020","FQ1 2020","Currency=USD","Period=FQ","BEST_FPERIOD_OVERRIDE=FQ","FILING_STATUS=MR","SCALING_FORMAT=MLN","Sort=A","Dates=H","DateFormat=P","Fill=—","Direction=H","UseDPDF=Y")</f>
        <v>465</v>
      </c>
      <c r="I22" s="13">
        <f>_xll.BDH("GILD US Equity","ARD_INCOME_TAX_EXP_BENEFIT","FQ2 2020","FQ2 2020","Currency=USD","Period=FQ","BEST_FPERIOD_OVERRIDE=FQ","FILING_STATUS=MR","SCALING_FORMAT=MLN","Sort=A","Dates=H","DateFormat=P","Fill=—","Direction=H","UseDPDF=Y")</f>
        <v>373</v>
      </c>
      <c r="J22" s="13">
        <f>_xll.BDH("GILD US Equity","ARD_INCOME_TAX_EXP_BENEFIT","FQ3 2020","FQ3 2020","Currency=USD","Period=FQ","BEST_FPERIOD_OVERRIDE=FQ","FILING_STATUS=MR","SCALING_FORMAT=MLN","Sort=A","Dates=H","DateFormat=P","Fill=—","Direction=H","UseDPDF=Y")</f>
        <v>472</v>
      </c>
      <c r="K22" s="13">
        <f>_xll.BDH("GILD US Equity","ARD_INCOME_TAX_EXP_BENEFIT","FQ4 2020","FQ4 2020","Currency=USD","Period=FQ","BEST_FPERIOD_OVERRIDE=FQ","FILING_STATUS=MR","SCALING_FORMAT=MLN","Sort=A","Dates=H","DateFormat=P","Fill=—","Direction=H","UseDPDF=Y")</f>
        <v>270</v>
      </c>
      <c r="L22" s="13">
        <f>_xll.BDH("GILD US Equity","ARD_INCOME_TAX_EXP_BENEFIT","FQ1 2021","FQ1 2021","Currency=USD","Period=FQ","BEST_FPERIOD_OVERRIDE=FQ","FILING_STATUS=MR","SCALING_FORMAT=MLN","Sort=A","Dates=H","DateFormat=P","Fill=—","Direction=H","UseDPDF=Y")</f>
        <v>542</v>
      </c>
      <c r="M22" s="13">
        <f>_xll.BDH("GILD US Equity","ARD_INCOME_TAX_EXP_BENEFIT","FQ2 2021","FQ2 2021","Currency=USD","Period=FQ","BEST_FPERIOD_OVERRIDE=FQ","FILING_STATUS=MR","SCALING_FORMAT=MLN","Sort=A","Dates=H","DateFormat=P","Fill=—","Direction=H","UseDPDF=Y")</f>
        <v>300</v>
      </c>
      <c r="N22" s="13">
        <f>_xll.BDH("GILD US Equity","ARD_INCOME_TAX_EXP_BENEFIT","FQ3 2021","FQ3 2021","Currency=USD","Period=FQ","BEST_FPERIOD_OVERRIDE=FQ","FILING_STATUS=MR","SCALING_FORMAT=MLN","Sort=A","Dates=H","DateFormat=P","Fill=—","Direction=H","UseDPDF=Y")</f>
        <v>852</v>
      </c>
      <c r="O22" s="13">
        <f>_xll.BDH("GILD US Equity","ARD_INCOME_TAX_EXP_BENEFIT","FQ4 2021","FQ4 2021","Currency=USD","Period=FQ","BEST_FPERIOD_OVERRIDE=FQ","FILING_STATUS=MR","SCALING_FORMAT=MLN","Sort=A","Dates=H","DateFormat=P","Fill=—","Direction=H","UseDPDF=Y")</f>
        <v>383</v>
      </c>
      <c r="P22" s="13">
        <f>_xll.BDH("GILD US Equity","ARD_INCOME_TAX_EXP_BENEFIT","FQ1 2022","FQ1 2022","Currency=USD","Period=FQ","BEST_FPERIOD_OVERRIDE=FQ","FILING_STATUS=MR","SCALING_FORMAT=MLN","Sort=A","Dates=H","DateFormat=P","Fill=—","Direction=H","UseDPDF=Y")</f>
        <v>-164</v>
      </c>
      <c r="Q22" s="13">
        <f>_xll.BDH("GILD US Equity","ARD_INCOME_TAX_EXP_BENEFIT","FQ2 2022","FQ2 2022","Currency=USD","Period=FQ","BEST_FPERIOD_OVERRIDE=FQ","FILING_STATUS=MR","SCALING_FORMAT=MLN","Sort=A","Dates=H","DateFormat=P","Fill=—","Direction=H","UseDPDF=Y")</f>
        <v>368</v>
      </c>
      <c r="R22" s="13">
        <f>_xll.BDH("GILD US Equity","ARD_INCOME_TAX_EXP_BENEFIT","FQ3 2022","FQ3 2022","Currency=USD","Period=FQ","BEST_FPERIOD_OVERRIDE=FQ","FILING_STATUS=MR","SCALING_FORMAT=MLN","Sort=A","Dates=H","DateFormat=P","Fill=—","Direction=H","UseDPDF=Y")</f>
        <v>646</v>
      </c>
      <c r="S22" s="13">
        <f>_xll.BDH("GILD US Equity","ARD_INCOME_TAX_EXP_BENEFIT","FQ4 2022","FQ4 2022","Currency=USD","Period=FQ","BEST_FPERIOD_OVERRIDE=FQ","FILING_STATUS=MR","SCALING_FORMAT=MLN","Sort=A","Dates=H","DateFormat=P","Fill=—","Direction=H","UseDPDF=Y")</f>
        <v>398</v>
      </c>
      <c r="T22" s="13">
        <f>_xll.BDH("GILD US Equity","ARD_INCOME_TAX_EXP_BENEFIT","FQ1 2023","FQ1 2023","Currency=USD","Period=FQ","BEST_FPERIOD_OVERRIDE=FQ","FILING_STATUS=MR","SCALING_FORMAT=MLN","Sort=A","Dates=H","DateFormat=P","Fill=—","Direction=H","UseDPDF=Y")</f>
        <v>316</v>
      </c>
      <c r="U22" s="13">
        <f>_xll.BDH("GILD US Equity","ARD_INCOME_TAX_EXP_BENEFIT","FQ2 2023","FQ2 2023","Currency=USD","Period=FQ","BEST_FPERIOD_OVERRIDE=FQ","FILING_STATUS=MR","SCALING_FORMAT=MLN","Sort=A","Dates=H","DateFormat=P","Fill=—","Direction=H","UseDPDF=Y")</f>
        <v>549</v>
      </c>
      <c r="V22" s="13">
        <f>_xll.BDH("GILD US Equity","ARD_INCOME_TAX_EXP_BENEFIT","FQ3 2023","FQ3 2023","Currency=USD","Period=FQ","BEST_FPERIOD_OVERRIDE=FQ","FILING_STATUS=MR","SCALING_FORMAT=MLN","Sort=A","Dates=H","DateFormat=P","Fill=—","Direction=H","UseDPDF=Y")</f>
        <v>146</v>
      </c>
      <c r="W22" s="13">
        <f>_xll.BDH("GILD US Equity","ARD_INCOME_TAX_EXP_BENEFIT","FQ4 2023","FQ4 2023","Currency=USD","Period=FQ","BEST_FPERIOD_OVERRIDE=FQ","FILING_STATUS=MR","SCALING_FORMAT=MLN","Sort=A","Dates=H","DateFormat=P","Fill=—","Direction=H","UseDPDF=Y")</f>
        <v>236</v>
      </c>
      <c r="X22" s="13">
        <f>_xll.BDH("GILD US Equity","ARD_INCOME_TAX_EXP_BENEFIT","FQ1 2024","FQ1 2024","Currency=USD","Period=FQ","BEST_FPERIOD_OVERRIDE=FQ","FILING_STATUS=MR","SCALING_FORMAT=MLN","Sort=A","Dates=H","DateFormat=P","Fill=—","Direction=H","UseDPDF=Y")</f>
        <v>-316</v>
      </c>
      <c r="Y22" s="13">
        <f>_xll.BDH("GILD US Equity","ARD_INCOME_TAX_EXP_BENEFIT","FQ2 2024","FQ2 2024","Currency=USD","Period=FQ","BEST_FPERIOD_OVERRIDE=FQ","FILING_STATUS=MR","SCALING_FORMAT=MLN","Sort=A","Dates=H","DateFormat=P","Fill=—","Direction=H","UseDPDF=Y")</f>
        <v>439</v>
      </c>
      <c r="Z22" s="13">
        <f>_xll.BDH("GILD US Equity","ARD_INCOME_TAX_EXP_BENEFIT","FQ3 2024","FQ3 2024","Currency=USD","Period=FQ","BEST_FPERIOD_OVERRIDE=FQ","FILING_STATUS=MR","SCALING_FORMAT=MLN","Sort=A","Dates=H","DateFormat=P","Fill=—","Direction=H","UseDPDF=Y")</f>
        <v>-297</v>
      </c>
      <c r="AA22" s="13">
        <f>_xll.BDH("GILD US Equity","ARD_INCOME_TAX_EXP_BENEFIT","FQ4 2024","FQ4 2024","Currency=USD","Period=FQ","BEST_FPERIOD_OVERRIDE=FQ","FILING_STATUS=MR","SCALING_FORMAT=MLN","Sort=A","Dates=H","DateFormat=P","Fill=—","Direction=H","UseDPDF=Y")</f>
        <v>385</v>
      </c>
    </row>
    <row r="23" spans="1:27" x14ac:dyDescent="0.25">
      <c r="A23" s="10" t="s">
        <v>446</v>
      </c>
      <c r="B23" s="10" t="s">
        <v>447</v>
      </c>
      <c r="C23" s="13">
        <f>_xll.BDH("GILD US Equity","ARD_INCOME_BEFORE_INCOME_TAXES","FQ4 2018","FQ4 2018","Currency=USD","Period=FQ","BEST_FPERIOD_OVERRIDE=FQ","FILING_STATUS=MR","SCALING_FORMAT=MLN","Sort=A","Dates=H","DateFormat=P","Fill=—","Direction=H","UseDPDF=Y")</f>
        <v>1016</v>
      </c>
      <c r="D23" s="13">
        <f>_xll.BDH("GILD US Equity","ARD_INCOME_BEFORE_INCOME_TAXES","FQ1 2019","FQ1 2019","Currency=USD","Period=FQ","BEST_FPERIOD_OVERRIDE=FQ","FILING_STATUS=MR","SCALING_FORMAT=MLN","Sort=A","Dates=H","DateFormat=P","Fill=—","Direction=H","UseDPDF=Y")</f>
        <v>2350</v>
      </c>
      <c r="E23" s="13">
        <f>_xll.BDH("GILD US Equity","ARD_INCOME_BEFORE_INCOME_TAXES","FQ2 2019","FQ2 2019","Currency=USD","Period=FQ","BEST_FPERIOD_OVERRIDE=FQ","FILING_STATUS=MR","SCALING_FORMAT=MLN","Sort=A","Dates=H","DateFormat=P","Fill=—","Direction=H","UseDPDF=Y")</f>
        <v>2410</v>
      </c>
      <c r="F23" s="13">
        <f>_xll.BDH("GILD US Equity","ARD_INCOME_BEFORE_INCOME_TAXES","FQ3 2019","FQ3 2019","Currency=USD","Period=FQ","BEST_FPERIOD_OVERRIDE=FQ","FILING_STATUS=MR","SCALING_FORMAT=MLN","Sort=A","Dates=H","DateFormat=P","Fill=—","Direction=H","UseDPDF=Y")</f>
        <v>-1501</v>
      </c>
      <c r="G23" s="13">
        <f>_xll.BDH("GILD US Equity","ARD_INCOME_BEFORE_INCOME_TAXES","FQ4 2019","FQ4 2019","Currency=USD","Period=FQ","BEST_FPERIOD_OVERRIDE=FQ","FILING_STATUS=MR","SCALING_FORMAT=MLN","Sort=A","Dates=H","DateFormat=P","Fill=—","Direction=H","UseDPDF=Y")</f>
        <v>1901</v>
      </c>
      <c r="H23" s="13">
        <f>_xll.BDH("GILD US Equity","ARD_INCOME_BEFORE_INCOME_TAXES","FQ1 2020","FQ1 2020","Currency=USD","Period=FQ","BEST_FPERIOD_OVERRIDE=FQ","FILING_STATUS=MR","SCALING_FORMAT=MLN","Sort=A","Dates=H","DateFormat=P","Fill=—","Direction=H","UseDPDF=Y")</f>
        <v>2003</v>
      </c>
      <c r="I23" s="13">
        <f>_xll.BDH("GILD US Equity","ARD_INCOME_BEFORE_INCOME_TAXES","FQ2 2020","FQ2 2020","Currency=USD","Period=FQ","BEST_FPERIOD_OVERRIDE=FQ","FILING_STATUS=MR","SCALING_FORMAT=MLN","Sort=A","Dates=H","DateFormat=P","Fill=—","Direction=H","UseDPDF=Y")</f>
        <v>-2973</v>
      </c>
      <c r="J23" s="13">
        <f>_xll.BDH("GILD US Equity","ARD_INCOME_BEFORE_INCOME_TAXES","FQ3 2020","FQ3 2020","Currency=USD","Period=FQ","BEST_FPERIOD_OVERRIDE=FQ","FILING_STATUS=MR","SCALING_FORMAT=MLN","Sort=A","Dates=H","DateFormat=P","Fill=—","Direction=H","UseDPDF=Y")</f>
        <v>825</v>
      </c>
      <c r="K23" s="13">
        <f>_xll.BDH("GILD US Equity","ARD_INCOME_BEFORE_INCOME_TAXES","FQ4 2020","FQ4 2020","Currency=USD","Period=FQ","BEST_FPERIOD_OVERRIDE=FQ","FILING_STATUS=MR","SCALING_FORMAT=MLN","Sort=A","Dates=H","DateFormat=P","Fill=—","Direction=H","UseDPDF=Y")</f>
        <v>1814</v>
      </c>
      <c r="L23" s="13">
        <f>_xll.BDH("GILD US Equity","ARD_INCOME_BEFORE_INCOME_TAXES","FQ1 2021","FQ1 2021","Currency=USD","Period=FQ","BEST_FPERIOD_OVERRIDE=FQ","FILING_STATUS=MR","SCALING_FORMAT=MLN","Sort=A","Dates=H","DateFormat=P","Fill=—","Direction=H","UseDPDF=Y")</f>
        <v>2264</v>
      </c>
      <c r="M23" s="13">
        <f>_xll.BDH("GILD US Equity","ARD_INCOME_BEFORE_INCOME_TAXES","FQ2 2021","FQ2 2021","Currency=USD","Period=FQ","BEST_FPERIOD_OVERRIDE=FQ","FILING_STATUS=MR","SCALING_FORMAT=MLN","Sort=A","Dates=H","DateFormat=P","Fill=—","Direction=H","UseDPDF=Y")</f>
        <v>1817</v>
      </c>
      <c r="N23" s="13">
        <f>_xll.BDH("GILD US Equity","ARD_INCOME_BEFORE_INCOME_TAXES","FQ3 2021","FQ3 2021","Currency=USD","Period=FQ","BEST_FPERIOD_OVERRIDE=FQ","FILING_STATUS=MR","SCALING_FORMAT=MLN","Sort=A","Dates=H","DateFormat=P","Fill=—","Direction=H","UseDPDF=Y")</f>
        <v>3438</v>
      </c>
      <c r="O23" s="13">
        <f>_xll.BDH("GILD US Equity","ARD_INCOME_BEFORE_INCOME_TAXES","FQ4 2021","FQ4 2021","Currency=USD","Period=FQ","BEST_FPERIOD_OVERRIDE=FQ","FILING_STATUS=MR","SCALING_FORMAT=MLN","Sort=A","Dates=H","DateFormat=P","Fill=—","Direction=H","UseDPDF=Y")</f>
        <v>759</v>
      </c>
      <c r="P23" s="13">
        <f>_xll.BDH("GILD US Equity","ARD_INCOME_BEFORE_INCOME_TAXES","FQ1 2022","FQ1 2022","Currency=USD","Period=FQ","BEST_FPERIOD_OVERRIDE=FQ","FILING_STATUS=MR","SCALING_FORMAT=MLN","Sort=A","Dates=H","DateFormat=P","Fill=—","Direction=H","UseDPDF=Y")</f>
        <v>-152</v>
      </c>
      <c r="Q23" s="13">
        <f>_xll.BDH("GILD US Equity","ARD_INCOME_BEFORE_INCOME_TAXES","FQ2 2022","FQ2 2022","Currency=USD","Period=FQ","BEST_FPERIOD_OVERRIDE=FQ","FILING_STATUS=MR","SCALING_FORMAT=MLN","Sort=A","Dates=H","DateFormat=P","Fill=—","Direction=H","UseDPDF=Y")</f>
        <v>1503</v>
      </c>
      <c r="R23" s="13">
        <f>_xll.BDH("GILD US Equity","ARD_INCOME_BEFORE_INCOME_TAXES","FQ3 2022","FQ3 2022","Currency=USD","Period=FQ","BEST_FPERIOD_OVERRIDE=FQ","FILING_STATUS=MR","SCALING_FORMAT=MLN","Sort=A","Dates=H","DateFormat=P","Fill=—","Direction=H","UseDPDF=Y")</f>
        <v>2432</v>
      </c>
      <c r="S23" s="13">
        <f>_xll.BDH("GILD US Equity","ARD_INCOME_BEFORE_INCOME_TAXES","FQ4 2022","FQ4 2022","Currency=USD","Period=FQ","BEST_FPERIOD_OVERRIDE=FQ","FILING_STATUS=MR","SCALING_FORMAT=MLN","Sort=A","Dates=H","DateFormat=P","Fill=—","Direction=H","UseDPDF=Y")</f>
        <v>2031</v>
      </c>
      <c r="T23" s="13">
        <f>_xll.BDH("GILD US Equity","ARD_INCOME_BEFORE_INCOME_TAXES","FQ1 2023","FQ1 2023","Currency=USD","Period=FQ","BEST_FPERIOD_OVERRIDE=FQ","FILING_STATUS=MR","SCALING_FORMAT=MLN","Sort=A","Dates=H","DateFormat=P","Fill=—","Direction=H","UseDPDF=Y")</f>
        <v>1300</v>
      </c>
      <c r="U23" s="13">
        <f>_xll.BDH("GILD US Equity","ARD_INCOME_BEFORE_INCOME_TAXES","FQ2 2023","FQ2 2023","Currency=USD","Period=FQ","BEST_FPERIOD_OVERRIDE=FQ","FILING_STATUS=MR","SCALING_FORMAT=MLN","Sort=A","Dates=H","DateFormat=P","Fill=—","Direction=H","UseDPDF=Y")</f>
        <v>1588</v>
      </c>
      <c r="V23" s="13">
        <f>_xll.BDH("GILD US Equity","ARD_INCOME_BEFORE_INCOME_TAXES","FQ3 2023","FQ3 2023","Currency=USD","Period=FQ","BEST_FPERIOD_OVERRIDE=FQ","FILING_STATUS=MR","SCALING_FORMAT=MLN","Sort=A","Dates=H","DateFormat=P","Fill=—","Direction=H","UseDPDF=Y")</f>
        <v>2318</v>
      </c>
      <c r="W23" s="13">
        <f>_xll.BDH("GILD US Equity","ARD_INCOME_BEFORE_INCOME_TAXES","FQ4 2023","FQ4 2023","Currency=USD","Period=FQ","BEST_FPERIOD_OVERRIDE=FQ","FILING_STATUS=MR","SCALING_FORMAT=MLN","Sort=A","Dates=H","DateFormat=P","Fill=—","Direction=H","UseDPDF=Y")</f>
        <v>1653</v>
      </c>
      <c r="X23" s="13">
        <f>_xll.BDH("GILD US Equity","ARD_INCOME_BEFORE_INCOME_TAXES","FQ1 2024","FQ1 2024","Currency=USD","Period=FQ","BEST_FPERIOD_OVERRIDE=FQ","FILING_STATUS=MR","SCALING_FORMAT=MLN","Sort=A","Dates=H","DateFormat=P","Fill=—","Direction=H","UseDPDF=Y")</f>
        <v>-4486</v>
      </c>
      <c r="Y23" s="13">
        <f>_xll.BDH("GILD US Equity","ARD_INCOME_BEFORE_INCOME_TAXES","FQ2 2024","FQ2 2024","Currency=USD","Period=FQ","BEST_FPERIOD_OVERRIDE=FQ","FILING_STATUS=MR","SCALING_FORMAT=MLN","Sort=A","Dates=H","DateFormat=P","Fill=—","Direction=H","UseDPDF=Y")</f>
        <v>2053</v>
      </c>
      <c r="Z23" s="13">
        <f>_xll.BDH("GILD US Equity","ARD_INCOME_BEFORE_INCOME_TAXES","FQ3 2024","FQ3 2024","Currency=USD","Period=FQ","BEST_FPERIOD_OVERRIDE=FQ","FILING_STATUS=MR","SCALING_FORMAT=MLN","Sort=A","Dates=H","DateFormat=P","Fill=—","Direction=H","UseDPDF=Y")</f>
        <v>956</v>
      </c>
      <c r="AA23" s="13">
        <f>_xll.BDH("GILD US Equity","ARD_INCOME_BEFORE_INCOME_TAXES","FQ4 2024","FQ4 2024","Currency=USD","Period=FQ","BEST_FPERIOD_OVERRIDE=FQ","FILING_STATUS=MR","SCALING_FORMAT=MLN","Sort=A","Dates=H","DateFormat=P","Fill=—","Direction=H","UseDPDF=Y")</f>
        <v>2168</v>
      </c>
    </row>
    <row r="24" spans="1:27" x14ac:dyDescent="0.25">
      <c r="A24" s="10" t="s">
        <v>448</v>
      </c>
      <c r="B24" s="10" t="s">
        <v>449</v>
      </c>
      <c r="C24" s="13">
        <f>_xll.BDH("GILD US Equity","ARD_OTH_NON_OPER_INC_EXP_NET","FQ4 2018","FQ4 2018","Currency=USD","Period=FQ","BEST_FPERIOD_OVERRIDE=FQ","FILING_STATUS=MR","SCALING_FORMAT=MLN","Sort=A","Dates=H","DateFormat=P","Fill=—","Direction=H","UseDPDF=Y")</f>
        <v>-129</v>
      </c>
      <c r="D24" s="13">
        <f>_xll.BDH("GILD US Equity","ARD_OTH_NON_OPER_INC_EXP_NET","FQ1 2019","FQ1 2019","Currency=USD","Period=FQ","BEST_FPERIOD_OVERRIDE=FQ","FILING_STATUS=MR","SCALING_FORMAT=MLN","Sort=A","Dates=H","DateFormat=P","Fill=—","Direction=H","UseDPDF=Y")</f>
        <v>-367</v>
      </c>
      <c r="E24" s="13">
        <f>_xll.BDH("GILD US Equity","ARD_OTH_NON_OPER_INC_EXP_NET","FQ2 2019","FQ2 2019","Currency=USD","Period=FQ","BEST_FPERIOD_OVERRIDE=FQ","FILING_STATUS=MR","SCALING_FORMAT=MLN","Sort=A","Dates=H","DateFormat=P","Fill=—","Direction=H","UseDPDF=Y")</f>
        <v>-228</v>
      </c>
      <c r="F24" s="13">
        <f>_xll.BDH("GILD US Equity","ARD_OTH_NON_OPER_INC_EXP_NET","FQ3 2019","FQ3 2019","Currency=USD","Period=FQ","BEST_FPERIOD_OVERRIDE=FQ","FILING_STATUS=MR","SCALING_FORMAT=MLN","Sort=A","Dates=H","DateFormat=P","Fill=—","Direction=H","UseDPDF=Y")</f>
        <v>-222</v>
      </c>
      <c r="G24" s="13">
        <f>_xll.BDH("GILD US Equity","ARD_OTH_NON_OPER_INC_EXP_NET","FQ4 2019","FQ4 2019","Currency=USD","Period=FQ","BEST_FPERIOD_OVERRIDE=FQ","FILING_STATUS=MR","SCALING_FORMAT=MLN","Sort=A","Dates=H","DateFormat=P","Fill=—","Direction=H","UseDPDF=Y")</f>
        <v>-1051</v>
      </c>
      <c r="H24" s="13">
        <f>_xll.BDH("GILD US Equity","ARD_OTH_NON_OPER_INC_EXP_NET","FQ1 2020","FQ1 2020","Currency=USD","Period=FQ","BEST_FPERIOD_OVERRIDE=FQ","FILING_STATUS=MR","SCALING_FORMAT=MLN","Sort=A","Dates=H","DateFormat=P","Fill=—","Direction=H","UseDPDF=Y")</f>
        <v>158</v>
      </c>
      <c r="I24" s="13">
        <f>_xll.BDH("GILD US Equity","ARD_OTH_NON_OPER_INC_EXP_NET","FQ2 2020","FQ2 2020","Currency=USD","Period=FQ","BEST_FPERIOD_OVERRIDE=FQ","FILING_STATUS=MR","SCALING_FORMAT=MLN","Sort=A","Dates=H","DateFormat=P","Fill=—","Direction=H","UseDPDF=Y")</f>
        <v>-250</v>
      </c>
      <c r="J24" s="13">
        <f>_xll.BDH("GILD US Equity","ARD_OTH_NON_OPER_INC_EXP_NET","FQ3 2020","FQ3 2020","Currency=USD","Period=FQ","BEST_FPERIOD_OVERRIDE=FQ","FILING_STATUS=MR","SCALING_FORMAT=MLN","Sort=A","Dates=H","DateFormat=P","Fill=—","Direction=H","UseDPDF=Y")</f>
        <v>940</v>
      </c>
      <c r="K24" s="13">
        <f>_xll.BDH("GILD US Equity","ARD_OTH_NON_OPER_INC_EXP_NET","FQ4 2020","FQ4 2020","Currency=USD","Period=FQ","BEST_FPERIOD_OVERRIDE=FQ","FILING_STATUS=MR","SCALING_FORMAT=MLN","Sort=A","Dates=H","DateFormat=P","Fill=—","Direction=H","UseDPDF=Y")</f>
        <v>570</v>
      </c>
      <c r="L24" s="13">
        <f>_xll.BDH("GILD US Equity","ARD_OTH_NON_OPER_INC_EXP_NET","FQ1 2021","FQ1 2021","Currency=USD","Period=FQ","BEST_FPERIOD_OVERRIDE=FQ","FILING_STATUS=MR","SCALING_FORMAT=MLN","Sort=A","Dates=H","DateFormat=P","Fill=—","Direction=H","UseDPDF=Y")</f>
        <v>369</v>
      </c>
      <c r="M24" s="13">
        <f>_xll.BDH("GILD US Equity","ARD_OTH_NON_OPER_INC_EXP_NET","FQ2 2021","FQ2 2021","Currency=USD","Period=FQ","BEST_FPERIOD_OVERRIDE=FQ","FILING_STATUS=MR","SCALING_FORMAT=MLN","Sort=A","Dates=H","DateFormat=P","Fill=—","Direction=H","UseDPDF=Y")</f>
        <v>173</v>
      </c>
      <c r="N24" s="13">
        <f>_xll.BDH("GILD US Equity","ARD_OTH_NON_OPER_INC_EXP_NET","FQ3 2021","FQ3 2021","Currency=USD","Period=FQ","BEST_FPERIOD_OVERRIDE=FQ","FILING_STATUS=MR","SCALING_FORMAT=MLN","Sort=A","Dates=H","DateFormat=P","Fill=—","Direction=H","UseDPDF=Y")</f>
        <v>154</v>
      </c>
      <c r="O24" s="13">
        <f>_xll.BDH("GILD US Equity","ARD_OTH_NON_OPER_INC_EXP_NET","FQ4 2021","FQ4 2021","Currency=USD","Period=FQ","BEST_FPERIOD_OVERRIDE=FQ","FILING_STATUS=MR","SCALING_FORMAT=MLN","Sort=A","Dates=H","DateFormat=P","Fill=—","Direction=H","UseDPDF=Y")</f>
        <v>-57</v>
      </c>
      <c r="P24" s="13">
        <f>_xll.BDH("GILD US Equity","ARD_OTH_NON_OPER_INC_EXP_NET","FQ1 2022","FQ1 2022","Currency=USD","Period=FQ","BEST_FPERIOD_OVERRIDE=FQ","FILING_STATUS=MR","SCALING_FORMAT=MLN","Sort=A","Dates=H","DateFormat=P","Fill=—","Direction=H","UseDPDF=Y")</f>
        <v>111</v>
      </c>
      <c r="Q24" s="13">
        <f>_xll.BDH("GILD US Equity","ARD_OTH_NON_OPER_INC_EXP_NET","FQ2 2022","FQ2 2022","Currency=USD","Period=FQ","BEST_FPERIOD_OVERRIDE=FQ","FILING_STATUS=MR","SCALING_FORMAT=MLN","Sort=A","Dates=H","DateFormat=P","Fill=—","Direction=H","UseDPDF=Y")</f>
        <v>284</v>
      </c>
      <c r="R24" s="13">
        <f>_xll.BDH("GILD US Equity","ARD_OTH_NON_OPER_INC_EXP_NET","FQ3 2022","FQ3 2022","Currency=USD","Period=FQ","BEST_FPERIOD_OVERRIDE=FQ","FILING_STATUS=MR","SCALING_FORMAT=MLN","Sort=A","Dates=H","DateFormat=P","Fill=—","Direction=H","UseDPDF=Y")</f>
        <v>176</v>
      </c>
      <c r="S24" s="13">
        <f>_xll.BDH("GILD US Equity","ARD_OTH_NON_OPER_INC_EXP_NET","FQ4 2022","FQ4 2022","Currency=USD","Period=FQ","BEST_FPERIOD_OVERRIDE=FQ","FILING_STATUS=MR","SCALING_FORMAT=MLN","Sort=A","Dates=H","DateFormat=P","Fill=—","Direction=H","UseDPDF=Y")</f>
        <v>9</v>
      </c>
      <c r="T24" s="13">
        <f>_xll.BDH("GILD US Equity","ARD_OTH_NON_OPER_INC_EXP_NET","FQ1 2023","FQ1 2023","Currency=USD","Period=FQ","BEST_FPERIOD_OVERRIDE=FQ","FILING_STATUS=MR","SCALING_FORMAT=MLN","Sort=A","Dates=H","DateFormat=P","Fill=—","Direction=H","UseDPDF=Y")</f>
        <v>175</v>
      </c>
      <c r="U24" s="13">
        <f>_xll.BDH("GILD US Equity","ARD_OTH_NON_OPER_INC_EXP_NET","FQ2 2023","FQ2 2023","Currency=USD","Period=FQ","BEST_FPERIOD_OVERRIDE=FQ","FILING_STATUS=MR","SCALING_FORMAT=MLN","Sort=A","Dates=H","DateFormat=P","Fill=—","Direction=H","UseDPDF=Y")</f>
        <v>-153</v>
      </c>
      <c r="V24" s="13">
        <f>_xll.BDH("GILD US Equity","ARD_OTH_NON_OPER_INC_EXP_NET","FQ3 2023","FQ3 2023","Currency=USD","Period=FQ","BEST_FPERIOD_OVERRIDE=FQ","FILING_STATUS=MR","SCALING_FORMAT=MLN","Sort=A","Dates=H","DateFormat=P","Fill=—","Direction=H","UseDPDF=Y")</f>
        <v>72</v>
      </c>
      <c r="W24" s="13">
        <f>_xll.BDH("GILD US Equity","ARD_OTH_NON_OPER_INC_EXP_NET","FQ4 2023","FQ4 2023","Currency=USD","Period=FQ","BEST_FPERIOD_OVERRIDE=FQ","FILING_STATUS=MR","SCALING_FORMAT=MLN","Sort=A","Dates=H","DateFormat=P","Fill=—","Direction=H","UseDPDF=Y")</f>
        <v>-293</v>
      </c>
      <c r="X24" s="13">
        <f>_xll.BDH("GILD US Equity","ARD_OTH_NON_OPER_INC_EXP_NET","FQ1 2024","FQ1 2024","Currency=USD","Period=FQ","BEST_FPERIOD_OVERRIDE=FQ","FILING_STATUS=MR","SCALING_FORMAT=MLN","Sort=A","Dates=H","DateFormat=P","Fill=—","Direction=H","UseDPDF=Y")</f>
        <v>-90</v>
      </c>
      <c r="Y24" s="13">
        <f>_xll.BDH("GILD US Equity","ARD_OTH_NON_OPER_INC_EXP_NET","FQ2 2024","FQ2 2024","Currency=USD","Period=FQ","BEST_FPERIOD_OVERRIDE=FQ","FILING_STATUS=MR","SCALING_FORMAT=MLN","Sort=A","Dates=H","DateFormat=P","Fill=—","Direction=H","UseDPDF=Y")</f>
        <v>355</v>
      </c>
      <c r="Z24" s="13">
        <f>_xll.BDH("GILD US Equity","ARD_OTH_NON_OPER_INC_EXP_NET","FQ3 2024","FQ3 2024","Currency=USD","Period=FQ","BEST_FPERIOD_OVERRIDE=FQ","FILING_STATUS=MR","SCALING_FORMAT=MLN","Sort=A","Dates=H","DateFormat=P","Fill=—","Direction=H","UseDPDF=Y")</f>
        <v>-306</v>
      </c>
      <c r="AA24" s="13">
        <f>_xll.BDH("GILD US Equity","ARD_OTH_NON_OPER_INC_EXP_NET","FQ4 2024","FQ4 2024","Currency=USD","Period=FQ","BEST_FPERIOD_OVERRIDE=FQ","FILING_STATUS=MR","SCALING_FORMAT=MLN","Sort=A","Dates=H","DateFormat=P","Fill=—","Direction=H","UseDPDF=Y")</f>
        <v>35</v>
      </c>
    </row>
    <row r="25" spans="1:27" x14ac:dyDescent="0.25">
      <c r="A25" s="10" t="s">
        <v>450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5">
      <c r="A26" s="10" t="s">
        <v>451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5">
      <c r="A27" s="10" t="s">
        <v>452</v>
      </c>
      <c r="B27" s="10" t="s">
        <v>453</v>
      </c>
      <c r="C27" s="13">
        <f>_xll.BDH("GILD US Equity","ARD_MINORITY_NONCONTROL_INTEREST","FQ4 2018","FQ4 2018","Currency=USD","Period=FQ","BEST_FPERIOD_OVERRIDE=FQ","FILING_STATUS=MR","SCALING_FORMAT=MLN","Sort=A","Dates=H","DateFormat=P","Fill=—","Direction=H","UseDPDF=Y")</f>
        <v>0</v>
      </c>
      <c r="D27" s="13">
        <f>_xll.BDH("GILD US Equity","ARD_MINORITY_NONCONTROL_INTEREST","FQ1 2019","FQ1 2019","Currency=USD","Period=FQ","BEST_FPERIOD_OVERRIDE=FQ","FILING_STATUS=MR","SCALING_FORMAT=MLN","Sort=A","Dates=H","DateFormat=P","Fill=—","Direction=H","UseDPDF=Y")</f>
        <v>-7</v>
      </c>
      <c r="E27" s="13">
        <f>_xll.BDH("GILD US Equity","ARD_MINORITY_NONCONTROL_INTEREST","FQ2 2019","FQ2 2019","Currency=USD","Period=FQ","BEST_FPERIOD_OVERRIDE=FQ","FILING_STATUS=MR","SCALING_FORMAT=MLN","Sort=A","Dates=H","DateFormat=P","Fill=—","Direction=H","UseDPDF=Y")</f>
        <v>-5</v>
      </c>
      <c r="F27" s="13">
        <f>_xll.BDH("GILD US Equity","ARD_MINORITY_NONCONTROL_INTEREST","FQ3 2019","FQ3 2019","Currency=USD","Period=FQ","BEST_FPERIOD_OVERRIDE=FQ","FILING_STATUS=MR","SCALING_FORMAT=MLN","Sort=A","Dates=H","DateFormat=P","Fill=—","Direction=H","UseDPDF=Y")</f>
        <v>-3</v>
      </c>
      <c r="G27" s="13">
        <f>_xll.BDH("GILD US Equity","ARD_MINORITY_NONCONTROL_INTEREST","FQ4 2019","FQ4 2019","Currency=USD","Period=FQ","BEST_FPERIOD_OVERRIDE=FQ","FILING_STATUS=MR","SCALING_FORMAT=MLN","Sort=A","Dates=H","DateFormat=P","Fill=—","Direction=H","UseDPDF=Y")</f>
        <v>-7</v>
      </c>
      <c r="H27" s="13">
        <f>_xll.BDH("GILD US Equity","ARD_MINORITY_NONCONTROL_INTEREST","FQ1 2020","FQ1 2020","Currency=USD","Period=FQ","BEST_FPERIOD_OVERRIDE=FQ","FILING_STATUS=MR","SCALING_FORMAT=MLN","Sort=A","Dates=H","DateFormat=P","Fill=—","Direction=H","UseDPDF=Y")</f>
        <v>-13</v>
      </c>
      <c r="I27" s="13">
        <f>_xll.BDH("GILD US Equity","ARD_MINORITY_NONCONTROL_INTEREST","FQ2 2020","FQ2 2020","Currency=USD","Period=FQ","BEST_FPERIOD_OVERRIDE=FQ","FILING_STATUS=MR","SCALING_FORMAT=MLN","Sort=A","Dates=H","DateFormat=P","Fill=—","Direction=H","UseDPDF=Y")</f>
        <v>-7</v>
      </c>
      <c r="J27" s="13">
        <f>_xll.BDH("GILD US Equity","ARD_MINORITY_NONCONTROL_INTEREST","FQ3 2020","FQ3 2020","Currency=USD","Period=FQ","BEST_FPERIOD_OVERRIDE=FQ","FILING_STATUS=MR","SCALING_FORMAT=MLN","Sort=A","Dates=H","DateFormat=P","Fill=—","Direction=H","UseDPDF=Y")</f>
        <v>-7</v>
      </c>
      <c r="K27" s="13">
        <f>_xll.BDH("GILD US Equity","ARD_MINORITY_NONCONTROL_INTEREST","FQ4 2020","FQ4 2020","Currency=USD","Period=FQ","BEST_FPERIOD_OVERRIDE=FQ","FILING_STATUS=MR","SCALING_FORMAT=MLN","Sort=A","Dates=H","DateFormat=P","Fill=—","Direction=H","UseDPDF=Y")</f>
        <v>-7</v>
      </c>
      <c r="L27" s="13">
        <f>_xll.BDH("GILD US Equity","ARD_MINORITY_NONCONTROL_INTEREST","FQ1 2021","FQ1 2021","Currency=USD","Period=FQ","BEST_FPERIOD_OVERRIDE=FQ","FILING_STATUS=MR","SCALING_FORMAT=MLN","Sort=A","Dates=H","DateFormat=P","Fill=—","Direction=H","UseDPDF=Y")</f>
        <v>-7</v>
      </c>
      <c r="M27" s="13">
        <f>_xll.BDH("GILD US Equity","ARD_MINORITY_NONCONTROL_INTEREST","FQ2 2021","FQ2 2021","Currency=USD","Period=FQ","BEST_FPERIOD_OVERRIDE=FQ","FILING_STATUS=MR","SCALING_FORMAT=MLN","Sort=A","Dates=H","DateFormat=P","Fill=—","Direction=H","UseDPDF=Y")</f>
        <v>-5</v>
      </c>
      <c r="N27" s="13">
        <f>_xll.BDH("GILD US Equity","ARD_MINORITY_NONCONTROL_INTEREST","FQ3 2021","FQ3 2021","Currency=USD","Period=FQ","BEST_FPERIOD_OVERRIDE=FQ","FILING_STATUS=MR","SCALING_FORMAT=MLN","Sort=A","Dates=H","DateFormat=P","Fill=—","Direction=H","UseDPDF=Y")</f>
        <v>-6</v>
      </c>
      <c r="O27" s="13">
        <f>_xll.BDH("GILD US Equity","ARD_MINORITY_NONCONTROL_INTEREST","FQ4 2021","FQ4 2021","Currency=USD","Period=FQ","BEST_FPERIOD_OVERRIDE=FQ","FILING_STATUS=MR","SCALING_FORMAT=MLN","Sort=A","Dates=H","DateFormat=P","Fill=—","Direction=H","UseDPDF=Y")</f>
        <v>-6</v>
      </c>
      <c r="P27" s="13">
        <f>_xll.BDH("GILD US Equity","ARD_MINORITY_NONCONTROL_INTEREST","FQ1 2022","FQ1 2022","Currency=USD","Period=FQ","BEST_FPERIOD_OVERRIDE=FQ","FILING_STATUS=MR","SCALING_FORMAT=MLN","Sort=A","Dates=H","DateFormat=P","Fill=—","Direction=H","UseDPDF=Y")</f>
        <v>-7</v>
      </c>
      <c r="Q27" s="13">
        <f>_xll.BDH("GILD US Equity","ARD_MINORITY_NONCONTROL_INTEREST","FQ2 2022","FQ2 2022","Currency=USD","Period=FQ","BEST_FPERIOD_OVERRIDE=FQ","FILING_STATUS=MR","SCALING_FORMAT=MLN","Sort=A","Dates=H","DateFormat=P","Fill=—","Direction=H","UseDPDF=Y")</f>
        <v>-9</v>
      </c>
      <c r="R27" s="13">
        <f>_xll.BDH("GILD US Equity","ARD_MINORITY_NONCONTROL_INTEREST","FQ3 2022","FQ3 2022","Currency=USD","Period=FQ","BEST_FPERIOD_OVERRIDE=FQ","FILING_STATUS=MR","SCALING_FORMAT=MLN","Sort=A","Dates=H","DateFormat=P","Fill=—","Direction=H","UseDPDF=Y")</f>
        <v>-3</v>
      </c>
      <c r="S27" s="13">
        <f>_xll.BDH("GILD US Equity","ARD_MINORITY_NONCONTROL_INTEREST","FQ4 2022","FQ4 2022","Currency=USD","Period=FQ","BEST_FPERIOD_OVERRIDE=FQ","FILING_STATUS=MR","SCALING_FORMAT=MLN","Sort=A","Dates=H","DateFormat=P","Fill=—","Direction=H","UseDPDF=Y")</f>
        <v>-7</v>
      </c>
      <c r="T27" s="13">
        <f>_xll.BDH("GILD US Equity","ARD_MINORITY_NONCONTROL_INTEREST","FQ1 2023","FQ1 2023","Currency=USD","Period=FQ","BEST_FPERIOD_OVERRIDE=FQ","FILING_STATUS=MR","SCALING_FORMAT=MLN","Sort=A","Dates=H","DateFormat=P","Fill=—","Direction=H","UseDPDF=Y")</f>
        <v>-26</v>
      </c>
      <c r="U27" s="13">
        <f>_xll.BDH("GILD US Equity","ARD_MINORITY_NONCONTROL_INTEREST","FQ2 2023","FQ2 2023","Currency=USD","Period=FQ","BEST_FPERIOD_OVERRIDE=FQ","FILING_STATUS=MR","SCALING_FORMAT=MLN","Sort=A","Dates=H","DateFormat=P","Fill=—","Direction=H","UseDPDF=Y")</f>
        <v>-6</v>
      </c>
      <c r="V27" s="13">
        <f>_xll.BDH("GILD US Equity","ARD_MINORITY_NONCONTROL_INTEREST","FQ3 2023","FQ3 2023","Currency=USD","Period=FQ","BEST_FPERIOD_OVERRIDE=FQ","FILING_STATUS=MR","SCALING_FORMAT=MLN","Sort=A","Dates=H","DateFormat=P","Fill=—","Direction=H","UseDPDF=Y")</f>
        <v>-8</v>
      </c>
      <c r="W27" s="13">
        <f>_xll.BDH("GILD US Equity","ARD_MINORITY_NONCONTROL_INTEREST","FQ4 2023","FQ4 2023","Currency=USD","Period=FQ","BEST_FPERIOD_OVERRIDE=FQ","FILING_STATUS=MR","SCALING_FORMAT=MLN","Sort=A","Dates=H","DateFormat=P","Fill=—","Direction=H","UseDPDF=Y")</f>
        <v>-12</v>
      </c>
      <c r="X27" s="13">
        <f>_xll.BDH("GILD US Equity","ARD_MINORITY_NONCONTROL_INTEREST","FQ1 2024","FQ1 2024","Currency=USD","Period=FQ","BEST_FPERIOD_OVERRIDE=FQ","FILING_STATUS=MR","SCALING_FORMAT=MLN","Sort=A","Dates=H","DateFormat=P","Fill=—","Direction=H","UseDPDF=Y")</f>
        <v>0</v>
      </c>
      <c r="Y27" s="13">
        <f>_xll.BDH("GILD US Equity","ARD_MINORITY_NONCONTROL_INTEREST","FQ2 2024","FQ2 2024","Currency=USD","Period=FQ","BEST_FPERIOD_OVERRIDE=FQ","FILING_STATUS=MR","SCALING_FORMAT=MLN","Sort=A","Dates=H","DateFormat=P","Fill=—","Direction=H","UseDPDF=Y")</f>
        <v>0</v>
      </c>
      <c r="Z27" s="13">
        <f>_xll.BDH("GILD US Equity","ARD_MINORITY_NONCONTROL_INTEREST","FQ3 2024","FQ3 2024","Currency=USD","Period=FQ","BEST_FPERIOD_OVERRIDE=FQ","FILING_STATUS=MR","SCALING_FORMAT=MLN","Sort=A","Dates=H","DateFormat=P","Fill=—","Direction=H","UseDPDF=Y")</f>
        <v>0</v>
      </c>
      <c r="AA27" s="13">
        <f>_xll.BDH("GILD US Equity","ARD_MINORITY_NONCONTROL_INTEREST","FQ4 2024","FQ4 2024","Currency=USD","Period=FQ","BEST_FPERIOD_OVERRIDE=FQ","FILING_STATUS=MR","SCALING_FORMAT=MLN","Sort=A","Dates=H","DateFormat=P","Fill=—","Direction=H","UseDPDF=Y")</f>
        <v>0</v>
      </c>
    </row>
    <row r="28" spans="1:27" x14ac:dyDescent="0.25">
      <c r="A28" s="10" t="s">
        <v>454</v>
      </c>
      <c r="B28" s="10" t="s">
        <v>455</v>
      </c>
      <c r="C28" s="14">
        <f>_xll.BDH("GILD US Equity","ARD_DVD_PER_SH","FQ4 2018","FQ4 2018","Currency=USD","Period=FQ","BEST_FPERIOD_OVERRIDE=FQ","FILING_STATUS=MR","Sort=A","Dates=H","DateFormat=P","Fill=—","Direction=H","UseDPDF=Y")</f>
        <v>0.56999999999999995</v>
      </c>
      <c r="D28" s="14">
        <f>_xll.BDH("GILD US Equity","ARD_DVD_PER_SH","FQ1 2019","FQ1 2019","Currency=USD","Period=FQ","BEST_FPERIOD_OVERRIDE=FQ","FILING_STATUS=MR","Sort=A","Dates=H","DateFormat=P","Fill=—","Direction=H","UseDPDF=Y")</f>
        <v>0.63</v>
      </c>
      <c r="E28" s="14" t="str">
        <f>_xll.BDH("GILD US Equity","ARD_DVD_PER_SH","FQ2 2019","FQ2 2019","Currency=USD","Period=FQ","BEST_FPERIOD_OVERRIDE=FQ","FILING_STATUS=MR","Sort=A","Dates=H","DateFormat=P","Fill=—","Direction=H","UseDPDF=Y")</f>
        <v>—</v>
      </c>
      <c r="F28" s="14">
        <f>_xll.BDH("GILD US Equity","ARD_DVD_PER_SH","FQ3 2019","FQ3 2019","Currency=USD","Period=FQ","BEST_FPERIOD_OVERRIDE=FQ","FILING_STATUS=MR","Sort=A","Dates=H","DateFormat=P","Fill=—","Direction=H","UseDPDF=Y")</f>
        <v>0.63</v>
      </c>
      <c r="G28" s="14">
        <f>_xll.BDH("GILD US Equity","ARD_DVD_PER_SH","FQ4 2019","FQ4 2019","Currency=USD","Period=FQ","BEST_FPERIOD_OVERRIDE=FQ","FILING_STATUS=MR","Sort=A","Dates=H","DateFormat=P","Fill=—","Direction=H","UseDPDF=Y")</f>
        <v>0.63</v>
      </c>
      <c r="H28" s="14">
        <f>_xll.BDH("GILD US Equity","ARD_DVD_PER_SH","FQ1 2020","FQ1 2020","Currency=USD","Period=FQ","BEST_FPERIOD_OVERRIDE=FQ","FILING_STATUS=MR","Sort=A","Dates=H","DateFormat=P","Fill=—","Direction=H","UseDPDF=Y")</f>
        <v>0.68</v>
      </c>
      <c r="I28" s="14">
        <f>_xll.BDH("GILD US Equity","ARD_DVD_PER_SH","FQ2 2020","FQ2 2020","Currency=USD","Period=FQ","BEST_FPERIOD_OVERRIDE=FQ","FILING_STATUS=MR","Sort=A","Dates=H","DateFormat=P","Fill=—","Direction=H","UseDPDF=Y")</f>
        <v>0.68</v>
      </c>
      <c r="J28" s="14">
        <f>_xll.BDH("GILD US Equity","ARD_DVD_PER_SH","FQ3 2020","FQ3 2020","Currency=USD","Period=FQ","BEST_FPERIOD_OVERRIDE=FQ","FILING_STATUS=MR","Sort=A","Dates=H","DateFormat=P","Fill=—","Direction=H","UseDPDF=Y")</f>
        <v>0.68</v>
      </c>
      <c r="K28" s="14">
        <f>_xll.BDH("GILD US Equity","ARD_DVD_PER_SH","FQ4 2020","FQ4 2020","Currency=USD","Period=FQ","BEST_FPERIOD_OVERRIDE=FQ","FILING_STATUS=MR","Sort=A","Dates=H","DateFormat=P","Fill=—","Direction=H","UseDPDF=Y")</f>
        <v>0.68</v>
      </c>
      <c r="L28" s="14">
        <f>_xll.BDH("GILD US Equity","ARD_DVD_PER_SH","FQ1 2021","FQ1 2021","Currency=USD","Period=FQ","BEST_FPERIOD_OVERRIDE=FQ","FILING_STATUS=MR","Sort=A","Dates=H","DateFormat=P","Fill=—","Direction=H","UseDPDF=Y")</f>
        <v>0.71</v>
      </c>
      <c r="M28" s="14">
        <f>_xll.BDH("GILD US Equity","ARD_DVD_PER_SH","FQ2 2021","FQ2 2021","Currency=USD","Period=FQ","BEST_FPERIOD_OVERRIDE=FQ","FILING_STATUS=MR","Sort=A","Dates=H","DateFormat=P","Fill=—","Direction=H","UseDPDF=Y")</f>
        <v>0.71</v>
      </c>
      <c r="N28" s="14">
        <f>_xll.BDH("GILD US Equity","ARD_DVD_PER_SH","FQ3 2021","FQ3 2021","Currency=USD","Period=FQ","BEST_FPERIOD_OVERRIDE=FQ","FILING_STATUS=MR","Sort=A","Dates=H","DateFormat=P","Fill=—","Direction=H","UseDPDF=Y")</f>
        <v>0.71</v>
      </c>
      <c r="O28" s="14">
        <f>_xll.BDH("GILD US Equity","ARD_DVD_PER_SH","FQ4 2021","FQ4 2021","Currency=USD","Period=FQ","BEST_FPERIOD_OVERRIDE=FQ","FILING_STATUS=MR","Sort=A","Dates=H","DateFormat=P","Fill=—","Direction=H","UseDPDF=Y")</f>
        <v>0.71</v>
      </c>
      <c r="P28" s="14">
        <f>_xll.BDH("GILD US Equity","ARD_DVD_PER_SH","FQ1 2022","FQ1 2022","Currency=USD","Period=FQ","BEST_FPERIOD_OVERRIDE=FQ","FILING_STATUS=MR","Sort=A","Dates=H","DateFormat=P","Fill=—","Direction=H","UseDPDF=Y")</f>
        <v>0.73</v>
      </c>
      <c r="Q28" s="14">
        <f>_xll.BDH("GILD US Equity","ARD_DVD_PER_SH","FQ2 2022","FQ2 2022","Currency=USD","Period=FQ","BEST_FPERIOD_OVERRIDE=FQ","FILING_STATUS=MR","Sort=A","Dates=H","DateFormat=P","Fill=—","Direction=H","UseDPDF=Y")</f>
        <v>0.73</v>
      </c>
      <c r="R28" s="14">
        <f>_xll.BDH("GILD US Equity","ARD_DVD_PER_SH","FQ3 2022","FQ3 2022","Currency=USD","Period=FQ","BEST_FPERIOD_OVERRIDE=FQ","FILING_STATUS=MR","Sort=A","Dates=H","DateFormat=P","Fill=—","Direction=H","UseDPDF=Y")</f>
        <v>0.73</v>
      </c>
      <c r="S28" s="14">
        <f>_xll.BDH("GILD US Equity","ARD_DVD_PER_SH","FQ4 2022","FQ4 2022","Currency=USD","Period=FQ","BEST_FPERIOD_OVERRIDE=FQ","FILING_STATUS=MR","Sort=A","Dates=H","DateFormat=P","Fill=—","Direction=H","UseDPDF=Y")</f>
        <v>0.73</v>
      </c>
      <c r="T28" s="14">
        <f>_xll.BDH("GILD US Equity","ARD_DVD_PER_SH","FQ1 2023","FQ1 2023","Currency=USD","Period=FQ","BEST_FPERIOD_OVERRIDE=FQ","FILING_STATUS=MR","Sort=A","Dates=H","DateFormat=P","Fill=—","Direction=H","UseDPDF=Y")</f>
        <v>0.75</v>
      </c>
      <c r="U28" s="14">
        <f>_xll.BDH("GILD US Equity","ARD_DVD_PER_SH","FQ2 2023","FQ2 2023","Currency=USD","Period=FQ","BEST_FPERIOD_OVERRIDE=FQ","FILING_STATUS=MR","Sort=A","Dates=H","DateFormat=P","Fill=—","Direction=H","UseDPDF=Y")</f>
        <v>0.75</v>
      </c>
      <c r="V28" s="14">
        <f>_xll.BDH("GILD US Equity","ARD_DVD_PER_SH","FQ3 2023","FQ3 2023","Currency=USD","Period=FQ","BEST_FPERIOD_OVERRIDE=FQ","FILING_STATUS=MR","Sort=A","Dates=H","DateFormat=P","Fill=—","Direction=H","UseDPDF=Y")</f>
        <v>0.75</v>
      </c>
      <c r="W28" s="14">
        <f>_xll.BDH("GILD US Equity","ARD_DVD_PER_SH","FQ4 2023","FQ4 2023","Currency=USD","Period=FQ","BEST_FPERIOD_OVERRIDE=FQ","FILING_STATUS=MR","Sort=A","Dates=H","DateFormat=P","Fill=—","Direction=H","UseDPDF=Y")</f>
        <v>0.75</v>
      </c>
      <c r="X28" s="14" t="str">
        <f>_xll.BDH("GILD US Equity","ARD_DVD_PER_SH","FQ1 2024","FQ1 2024","Currency=USD","Period=FQ","BEST_FPERIOD_OVERRIDE=FQ","FILING_STATUS=MR","Sort=A","Dates=H","DateFormat=P","Fill=—","Direction=H","UseDPDF=Y")</f>
        <v>—</v>
      </c>
      <c r="Y28" s="14">
        <f>_xll.BDH("GILD US Equity","ARD_DVD_PER_SH","FQ2 2024","FQ2 2024","Currency=USD","Period=FQ","BEST_FPERIOD_OVERRIDE=FQ","FILING_STATUS=MR","Sort=A","Dates=H","DateFormat=P","Fill=—","Direction=H","UseDPDF=Y")</f>
        <v>0.77</v>
      </c>
      <c r="Z28" s="14">
        <f>_xll.BDH("GILD US Equity","ARD_DVD_PER_SH","FQ3 2024","FQ3 2024","Currency=USD","Period=FQ","BEST_FPERIOD_OVERRIDE=FQ","FILING_STATUS=MR","Sort=A","Dates=H","DateFormat=P","Fill=—","Direction=H","UseDPDF=Y")</f>
        <v>0.77</v>
      </c>
      <c r="AA28" s="14">
        <f>_xll.BDH("GILD US Equity","ARD_DVD_PER_SH","FQ4 2024","FQ4 2024","Currency=USD","Period=FQ","BEST_FPERIOD_OVERRIDE=FQ","FILING_STATUS=MR","Sort=A","Dates=H","DateFormat=P","Fill=—","Direction=H","UseDPDF=Y")</f>
        <v>0.77</v>
      </c>
    </row>
    <row r="29" spans="1:27" x14ac:dyDescent="0.25">
      <c r="A29" s="10" t="s">
        <v>456</v>
      </c>
      <c r="B29" s="10" t="s">
        <v>457</v>
      </c>
      <c r="C29" s="14">
        <f>_xll.BDH("GILD US Equity","ARD_BASIC_EPS","FQ4 2018","FQ4 2018","Currency=USD","Period=FQ","BEST_FPERIOD_OVERRIDE=FQ","FILING_STATUS=MR","Sort=A","Dates=H","DateFormat=P","Fill=—","Direction=H","UseDPDF=Y")</f>
        <v>0</v>
      </c>
      <c r="D29" s="14">
        <f>_xll.BDH("GILD US Equity","ARD_BASIC_EPS","FQ1 2019","FQ1 2019","Currency=USD","Period=FQ","BEST_FPERIOD_OVERRIDE=FQ","FILING_STATUS=MR","Sort=A","Dates=H","DateFormat=P","Fill=—","Direction=H","UseDPDF=Y")</f>
        <v>1.55</v>
      </c>
      <c r="E29" s="14">
        <f>_xll.BDH("GILD US Equity","ARD_BASIC_EPS","FQ2 2019","FQ2 2019","Currency=USD","Period=FQ","BEST_FPERIOD_OVERRIDE=FQ","FILING_STATUS=MR","Sort=A","Dates=H","DateFormat=P","Fill=—","Direction=H","UseDPDF=Y")</f>
        <v>1.48</v>
      </c>
      <c r="F29" s="14">
        <f>_xll.BDH("GILD US Equity","ARD_BASIC_EPS","FQ3 2019","FQ3 2019","Currency=USD","Period=FQ","BEST_FPERIOD_OVERRIDE=FQ","FILING_STATUS=MR","Sort=A","Dates=H","DateFormat=P","Fill=—","Direction=H","UseDPDF=Y")</f>
        <v>-0.92</v>
      </c>
      <c r="G29" s="14">
        <f>_xll.BDH("GILD US Equity","ARD_BASIC_EPS","FQ4 2019","FQ4 2019","Currency=USD","Period=FQ","BEST_FPERIOD_OVERRIDE=FQ","FILING_STATUS=MR","Sort=A","Dates=H","DateFormat=P","Fill=—","Direction=H","UseDPDF=Y")</f>
        <v>2.13</v>
      </c>
      <c r="H29" s="14">
        <f>_xll.BDH("GILD US Equity","ARD_BASIC_EPS","FQ1 2020","FQ1 2020","Currency=USD","Period=FQ","BEST_FPERIOD_OVERRIDE=FQ","FILING_STATUS=MR","Sort=A","Dates=H","DateFormat=P","Fill=—","Direction=H","UseDPDF=Y")</f>
        <v>1.23</v>
      </c>
      <c r="I29" s="14">
        <f>_xll.BDH("GILD US Equity","ARD_BASIC_EPS","FQ2 2020","FQ2 2020","Currency=USD","Period=FQ","BEST_FPERIOD_OVERRIDE=FQ","FILING_STATUS=MR","Sort=A","Dates=H","DateFormat=P","Fill=—","Direction=H","UseDPDF=Y")</f>
        <v>-2.66</v>
      </c>
      <c r="J29" s="14">
        <f>_xll.BDH("GILD US Equity","ARD_BASIC_EPS","FQ3 2020","FQ3 2020","Currency=USD","Period=FQ","BEST_FPERIOD_OVERRIDE=FQ","FILING_STATUS=MR","Sort=A","Dates=H","DateFormat=P","Fill=—","Direction=H","UseDPDF=Y")</f>
        <v>0.28999999999999998</v>
      </c>
      <c r="K29" s="14">
        <f>_xll.BDH("GILD US Equity","ARD_BASIC_EPS","FQ4 2020","FQ4 2020","Currency=USD","Period=FQ","BEST_FPERIOD_OVERRIDE=FQ","FILING_STATUS=MR","Sort=A","Dates=H","DateFormat=P","Fill=—","Direction=H","UseDPDF=Y")</f>
        <v>1.24</v>
      </c>
      <c r="L29" s="14">
        <f>_xll.BDH("GILD US Equity","ARD_BASIC_EPS","FQ1 2021","FQ1 2021","Currency=USD","Period=FQ","BEST_FPERIOD_OVERRIDE=FQ","FILING_STATUS=MR","Sort=A","Dates=H","DateFormat=P","Fill=—","Direction=H","UseDPDF=Y")</f>
        <v>1.38</v>
      </c>
      <c r="M29" s="14">
        <f>_xll.BDH("GILD US Equity","ARD_BASIC_EPS","FQ2 2021","FQ2 2021","Currency=USD","Period=FQ","BEST_FPERIOD_OVERRIDE=FQ","FILING_STATUS=MR","Sort=A","Dates=H","DateFormat=P","Fill=—","Direction=H","UseDPDF=Y")</f>
        <v>1.21</v>
      </c>
      <c r="N29" s="14">
        <f>_xll.BDH("GILD US Equity","ARD_BASIC_EPS","FQ3 2021","FQ3 2021","Currency=USD","Period=FQ","BEST_FPERIOD_OVERRIDE=FQ","FILING_STATUS=MR","Sort=A","Dates=H","DateFormat=P","Fill=—","Direction=H","UseDPDF=Y")</f>
        <v>2.06</v>
      </c>
      <c r="O29" s="14">
        <f>_xll.BDH("GILD US Equity","ARD_BASIC_EPS","FQ4 2021","FQ4 2021","Currency=USD","Period=FQ","BEST_FPERIOD_OVERRIDE=FQ","FILING_STATUS=MR","Sort=A","Dates=H","DateFormat=P","Fill=—","Direction=H","UseDPDF=Y")</f>
        <v>0.3</v>
      </c>
      <c r="P29" s="14">
        <f>_xll.BDH("GILD US Equity","ARD_BASIC_EPS","FQ1 2022","FQ1 2022","Currency=USD","Period=FQ","BEST_FPERIOD_OVERRIDE=FQ","FILING_STATUS=MR","Sort=A","Dates=H","DateFormat=P","Fill=—","Direction=H","UseDPDF=Y")</f>
        <v>0.02</v>
      </c>
      <c r="Q29" s="14">
        <f>_xll.BDH("GILD US Equity","ARD_BASIC_EPS","FQ2 2022","FQ2 2022","Currency=USD","Period=FQ","BEST_FPERIOD_OVERRIDE=FQ","FILING_STATUS=MR","Sort=A","Dates=H","DateFormat=P","Fill=—","Direction=H","UseDPDF=Y")</f>
        <v>0.91</v>
      </c>
      <c r="R29" s="14">
        <f>_xll.BDH("GILD US Equity","ARD_BASIC_EPS","FQ3 2022","FQ3 2022","Currency=USD","Period=FQ","BEST_FPERIOD_OVERRIDE=FQ","FILING_STATUS=MR","Sort=A","Dates=H","DateFormat=P","Fill=—","Direction=H","UseDPDF=Y")</f>
        <v>1.43</v>
      </c>
      <c r="S29" s="14">
        <f>_xll.BDH("GILD US Equity","ARD_BASIC_EPS","FQ4 2022","FQ4 2022","Currency=USD","Period=FQ","BEST_FPERIOD_OVERRIDE=FQ","FILING_STATUS=MR","Sort=A","Dates=H","DateFormat=P","Fill=—","Direction=H","UseDPDF=Y")</f>
        <v>1.31</v>
      </c>
      <c r="T29" s="14">
        <f>_xll.BDH("GILD US Equity","ARD_BASIC_EPS","FQ1 2023","FQ1 2023","Currency=USD","Period=FQ","BEST_FPERIOD_OVERRIDE=FQ","FILING_STATUS=MR","Sort=A","Dates=H","DateFormat=P","Fill=—","Direction=H","UseDPDF=Y")</f>
        <v>0.81</v>
      </c>
      <c r="U29" s="14">
        <f>_xll.BDH("GILD US Equity","ARD_BASIC_EPS","FQ2 2023","FQ2 2023","Currency=USD","Period=FQ","BEST_FPERIOD_OVERRIDE=FQ","FILING_STATUS=MR","Sort=A","Dates=H","DateFormat=P","Fill=—","Direction=H","UseDPDF=Y")</f>
        <v>0.84</v>
      </c>
      <c r="V29" s="14">
        <f>_xll.BDH("GILD US Equity","ARD_BASIC_EPS","FQ3 2023","FQ3 2023","Currency=USD","Period=FQ","BEST_FPERIOD_OVERRIDE=FQ","FILING_STATUS=MR","Sort=A","Dates=H","DateFormat=P","Fill=—","Direction=H","UseDPDF=Y")</f>
        <v>1.75</v>
      </c>
      <c r="W29" s="14">
        <f>_xll.BDH("GILD US Equity","ARD_BASIC_EPS","FQ4 2023","FQ4 2023","Currency=USD","Period=FQ","BEST_FPERIOD_OVERRIDE=FQ","FILING_STATUS=MR","Sort=A","Dates=H","DateFormat=P","Fill=—","Direction=H","UseDPDF=Y")</f>
        <v>1.1499999999999999</v>
      </c>
      <c r="X29" s="14">
        <f>_xll.BDH("GILD US Equity","ARD_BASIC_EPS","FQ1 2024","FQ1 2024","Currency=USD","Period=FQ","BEST_FPERIOD_OVERRIDE=FQ","FILING_STATUS=MR","Sort=A","Dates=H","DateFormat=P","Fill=—","Direction=H","UseDPDF=Y")</f>
        <v>-3.34</v>
      </c>
      <c r="Y29" s="14">
        <f>_xll.BDH("GILD US Equity","ARD_BASIC_EPS","FQ2 2024","FQ2 2024","Currency=USD","Period=FQ","BEST_FPERIOD_OVERRIDE=FQ","FILING_STATUS=MR","Sort=A","Dates=H","DateFormat=P","Fill=—","Direction=H","UseDPDF=Y")</f>
        <v>1.29</v>
      </c>
      <c r="Z29" s="14">
        <f>_xll.BDH("GILD US Equity","ARD_BASIC_EPS","FQ3 2024","FQ3 2024","Currency=USD","Period=FQ","BEST_FPERIOD_OVERRIDE=FQ","FILING_STATUS=MR","Sort=A","Dates=H","DateFormat=P","Fill=—","Direction=H","UseDPDF=Y")</f>
        <v>1</v>
      </c>
      <c r="AA29" s="14">
        <f>_xll.BDH("GILD US Equity","ARD_BASIC_EPS","FQ4 2024","FQ4 2024","Currency=USD","Period=FQ","BEST_FPERIOD_OVERRIDE=FQ","FILING_STATUS=MR","Sort=A","Dates=H","DateFormat=P","Fill=—","Direction=H","UseDPDF=Y")</f>
        <v>1.43</v>
      </c>
    </row>
    <row r="30" spans="1:27" x14ac:dyDescent="0.25">
      <c r="A30" s="10" t="s">
        <v>458</v>
      </c>
      <c r="B30" s="10" t="s">
        <v>459</v>
      </c>
      <c r="C30" s="13">
        <f>_xll.BDH("GILD US Equity","ARD_WEIGHTED_AVG_SHARES_BASIC","FQ4 2018","FQ4 2018","Currency=USD","Period=FQ","BEST_FPERIOD_OVERRIDE=FQ","FILING_STATUS=MR","Sort=A","Dates=H","DateFormat=P","Fill=—","Direction=H","UseDPDF=Y")</f>
        <v>1290</v>
      </c>
      <c r="D30" s="13">
        <f>_xll.BDH("GILD US Equity","ARD_WEIGHTED_AVG_SHARES_BASIC","FQ1 2019","FQ1 2019","Currency=USD","Period=FQ","BEST_FPERIOD_OVERRIDE=FQ","FILING_STATUS=MR","Sort=A","Dates=H","DateFormat=P","Fill=—","Direction=H","UseDPDF=Y")</f>
        <v>1276</v>
      </c>
      <c r="E30" s="13">
        <f>_xll.BDH("GILD US Equity","ARD_WEIGHTED_AVG_SHARES_BASIC","FQ2 2019","FQ2 2019","Currency=USD","Period=FQ","BEST_FPERIOD_OVERRIDE=FQ","FILING_STATUS=MR","Sort=A","Dates=H","DateFormat=P","Fill=—","Direction=H","UseDPDF=Y")</f>
        <v>1270</v>
      </c>
      <c r="F30" s="13">
        <f>_xll.BDH("GILD US Equity","ARD_WEIGHTED_AVG_SHARES_BASIC","FQ3 2019","FQ3 2019","Currency=USD","Period=FQ","BEST_FPERIOD_OVERRIDE=FQ","FILING_STATUS=MR","Sort=A","Dates=H","DateFormat=P","Fill=—","Direction=H","UseDPDF=Y")</f>
        <v>1267</v>
      </c>
      <c r="G30" s="13">
        <f>_xll.BDH("GILD US Equity","ARD_WEIGHTED_AVG_SHARES_BASIC","FQ4 2019","FQ4 2019","Currency=USD","Period=FQ","BEST_FPERIOD_OVERRIDE=FQ","FILING_STATUS=MR","Sort=A","Dates=H","DateFormat=P","Fill=—","Direction=H","UseDPDF=Y")</f>
        <v>1266</v>
      </c>
      <c r="H30" s="13">
        <f>_xll.BDH("GILD US Equity","ARD_WEIGHTED_AVG_SHARES_BASIC","FQ1 2020","FQ1 2020","Currency=USD","Period=FQ","BEST_FPERIOD_OVERRIDE=FQ","FILING_STATUS=MR","Sort=A","Dates=H","DateFormat=P","Fill=—","Direction=H","UseDPDF=Y")</f>
        <v>1262</v>
      </c>
      <c r="I30" s="13">
        <f>_xll.BDH("GILD US Equity","ARD_WEIGHTED_AVG_SHARES_BASIC","FQ2 2020","FQ2 2020","Currency=USD","Period=FQ","BEST_FPERIOD_OVERRIDE=FQ","FILING_STATUS=MR","Sort=A","Dates=H","DateFormat=P","Fill=—","Direction=H","UseDPDF=Y")</f>
        <v>1255</v>
      </c>
      <c r="J30" s="13">
        <f>_xll.BDH("GILD US Equity","ARD_WEIGHTED_AVG_SHARES_BASIC","FQ3 2020","FQ3 2020","Currency=USD","Period=FQ","BEST_FPERIOD_OVERRIDE=FQ","FILING_STATUS=MR","Sort=A","Dates=H","DateFormat=P","Fill=—","Direction=H","UseDPDF=Y")</f>
        <v>1255</v>
      </c>
      <c r="K30" s="13">
        <f>_xll.BDH("GILD US Equity","ARD_WEIGHTED_AVG_SHARES_BASIC","FQ4 2020","FQ4 2020","Currency=USD","Period=FQ","BEST_FPERIOD_OVERRIDE=FQ","FILING_STATUS=MR","Sort=A","Dates=H","DateFormat=P","Fill=—","Direction=H","UseDPDF=Y")</f>
        <v>1255</v>
      </c>
      <c r="L30" s="13">
        <f>_xll.BDH("GILD US Equity","ARD_WEIGHTED_AVG_SHARES_BASIC","FQ1 2021","FQ1 2021","Currency=USD","Period=FQ","BEST_FPERIOD_OVERRIDE=FQ","FILING_STATUS=MR","Sort=A","Dates=H","DateFormat=P","Fill=—","Direction=H","UseDPDF=Y")</f>
        <v>1256</v>
      </c>
      <c r="M30" s="13">
        <f>_xll.BDH("GILD US Equity","ARD_WEIGHTED_AVG_SHARES_BASIC","FQ2 2021","FQ2 2021","Currency=USD","Period=FQ","BEST_FPERIOD_OVERRIDE=FQ","FILING_STATUS=MR","Sort=A","Dates=H","DateFormat=P","Fill=—","Direction=H","UseDPDF=Y")</f>
        <v>1255</v>
      </c>
      <c r="N30" s="13">
        <f>_xll.BDH("GILD US Equity","ARD_WEIGHTED_AVG_SHARES_BASIC","FQ3 2021","FQ3 2021","Currency=USD","Period=FQ","BEST_FPERIOD_OVERRIDE=FQ","FILING_STATUS=MR","Sort=A","Dates=H","DateFormat=P","Fill=—","Direction=H","UseDPDF=Y")</f>
        <v>1256</v>
      </c>
      <c r="O30" s="13">
        <f>_xll.BDH("GILD US Equity","ARD_WEIGHTED_AVG_SHARES_BASIC","FQ4 2021","FQ4 2021","Currency=USD","Period=FQ","BEST_FPERIOD_OVERRIDE=FQ","FILING_STATUS=MR","Sort=A","Dates=H","DateFormat=P","Fill=—","Direction=H","UseDPDF=Y")</f>
        <v>1256</v>
      </c>
      <c r="P30" s="13">
        <f>_xll.BDH("GILD US Equity","ARD_WEIGHTED_AVG_SHARES_BASIC","FQ1 2022","FQ1 2022","Currency=USD","Period=FQ","BEST_FPERIOD_OVERRIDE=FQ","FILING_STATUS=MR","Sort=A","Dates=H","DateFormat=P","Fill=—","Direction=H","UseDPDF=Y")</f>
        <v>1255</v>
      </c>
      <c r="Q30" s="13">
        <f>_xll.BDH("GILD US Equity","ARD_WEIGHTED_AVG_SHARES_BASIC","FQ2 2022","FQ2 2022","Currency=USD","Period=FQ","BEST_FPERIOD_OVERRIDE=FQ","FILING_STATUS=MR","Sort=A","Dates=H","DateFormat=P","Fill=—","Direction=H","UseDPDF=Y")</f>
        <v>1256</v>
      </c>
      <c r="R30" s="13">
        <f>_xll.BDH("GILD US Equity","ARD_WEIGHTED_AVG_SHARES_BASIC","FQ3 2022","FQ3 2022","Currency=USD","Period=FQ","BEST_FPERIOD_OVERRIDE=FQ","FILING_STATUS=MR","Sort=A","Dates=H","DateFormat=P","Fill=—","Direction=H","UseDPDF=Y")</f>
        <v>1255</v>
      </c>
      <c r="S30" s="13">
        <f>_xll.BDH("GILD US Equity","ARD_WEIGHTED_AVG_SHARES_BASIC","FQ4 2022","FQ4 2022","Currency=USD","Period=FQ","BEST_FPERIOD_OVERRIDE=FQ","FILING_STATUS=MR","Sort=A","Dates=H","DateFormat=P","Fill=—","Direction=H","UseDPDF=Y")</f>
        <v>1252</v>
      </c>
      <c r="T30" s="13">
        <f>_xll.BDH("GILD US Equity","ARD_WEIGHTED_AVG_SHARES_BASIC","FQ1 2023","FQ1 2023","Currency=USD","Period=FQ","BEST_FPERIOD_OVERRIDE=FQ","FILING_STATUS=MR","Sort=A","Dates=H","DateFormat=P","Fill=—","Direction=H","UseDPDF=Y")</f>
        <v>1248</v>
      </c>
      <c r="U30" s="13">
        <f>_xll.BDH("GILD US Equity","ARD_WEIGHTED_AVG_SHARES_BASIC","FQ2 2023","FQ2 2023","Currency=USD","Period=FQ","BEST_FPERIOD_OVERRIDE=FQ","FILING_STATUS=MR","Sort=A","Dates=H","DateFormat=P","Fill=—","Direction=H","UseDPDF=Y")</f>
        <v>1249</v>
      </c>
      <c r="V30" s="13">
        <f>_xll.BDH("GILD US Equity","ARD_WEIGHTED_AVG_SHARES_BASIC","FQ3 2023","FQ3 2023","Currency=USD","Period=FQ","BEST_FPERIOD_OVERRIDE=FQ","FILING_STATUS=MR","Sort=A","Dates=H","DateFormat=P","Fill=—","Direction=H","UseDPDF=Y")</f>
        <v>1248</v>
      </c>
      <c r="W30" s="13">
        <f>_xll.BDH("GILD US Equity","ARD_WEIGHTED_AVG_SHARES_BASIC","FQ4 2023","FQ4 2023","Currency=USD","Period=FQ","BEST_FPERIOD_OVERRIDE=FQ","FILING_STATUS=MR","Sort=A","Dates=H","DateFormat=P","Fill=—","Direction=H","UseDPDF=Y")</f>
        <v>1248</v>
      </c>
      <c r="X30" s="13">
        <f>_xll.BDH("GILD US Equity","ARD_WEIGHTED_AVG_SHARES_BASIC","FQ1 2024","FQ1 2024","Currency=USD","Period=FQ","BEST_FPERIOD_OVERRIDE=FQ","FILING_STATUS=MR","Sort=A","Dates=H","DateFormat=P","Fill=—","Direction=H","UseDPDF=Y")</f>
        <v>1247</v>
      </c>
      <c r="Y30" s="13">
        <f>_xll.BDH("GILD US Equity","ARD_WEIGHTED_AVG_SHARES_BASIC","FQ2 2024","FQ2 2024","Currency=USD","Period=FQ","BEST_FPERIOD_OVERRIDE=FQ","FILING_STATUS=MR","Sort=A","Dates=H","DateFormat=P","Fill=—","Direction=H","UseDPDF=Y")</f>
        <v>1247</v>
      </c>
      <c r="Z30" s="13">
        <f>_xll.BDH("GILD US Equity","ARD_WEIGHTED_AVG_SHARES_BASIC","FQ3 2024","FQ3 2024","Currency=USD","Period=FQ","BEST_FPERIOD_OVERRIDE=FQ","FILING_STATUS=MR","Sort=A","Dates=H","DateFormat=P","Fill=—","Direction=H","UseDPDF=Y")</f>
        <v>1247</v>
      </c>
      <c r="AA30" s="13">
        <f>_xll.BDH("GILD US Equity","ARD_WEIGHTED_AVG_SHARES_BASIC","FQ4 2024","FQ4 2024","Currency=USD","Period=FQ","BEST_FPERIOD_OVERRIDE=FQ","FILING_STATUS=MR","Sort=A","Dates=H","DateFormat=P","Fill=—","Direction=H","UseDPDF=Y")</f>
        <v>1248</v>
      </c>
    </row>
    <row r="31" spans="1:27" x14ac:dyDescent="0.25">
      <c r="A31" s="10" t="s">
        <v>460</v>
      </c>
      <c r="B31" s="10" t="s">
        <v>461</v>
      </c>
      <c r="C31" s="14">
        <f>_xll.BDH("GILD US Equity","ARD_DILUTED_EPS","FQ4 2018","FQ4 2018","Currency=USD","Period=FQ","BEST_FPERIOD_OVERRIDE=FQ","FILING_STATUS=MR","Sort=A","Dates=H","DateFormat=P","Fill=—","Direction=H","UseDPDF=Y")</f>
        <v>0</v>
      </c>
      <c r="D31" s="14">
        <f>_xll.BDH("GILD US Equity","ARD_DILUTED_EPS","FQ1 2019","FQ1 2019","Currency=USD","Period=FQ","BEST_FPERIOD_OVERRIDE=FQ","FILING_STATUS=MR","Sort=A","Dates=H","DateFormat=P","Fill=—","Direction=H","UseDPDF=Y")</f>
        <v>1.54</v>
      </c>
      <c r="E31" s="14">
        <f>_xll.BDH("GILD US Equity","ARD_DILUTED_EPS","FQ2 2019","FQ2 2019","Currency=USD","Period=FQ","BEST_FPERIOD_OVERRIDE=FQ","FILING_STATUS=MR","Sort=A","Dates=H","DateFormat=P","Fill=—","Direction=H","UseDPDF=Y")</f>
        <v>1.47</v>
      </c>
      <c r="F31" s="14">
        <f>_xll.BDH("GILD US Equity","ARD_DILUTED_EPS","FQ3 2019","FQ3 2019","Currency=USD","Period=FQ","BEST_FPERIOD_OVERRIDE=FQ","FILING_STATUS=MR","Sort=A","Dates=H","DateFormat=P","Fill=—","Direction=H","UseDPDF=Y")</f>
        <v>-0.92</v>
      </c>
      <c r="G31" s="14">
        <f>_xll.BDH("GILD US Equity","ARD_DILUTED_EPS","FQ4 2019","FQ4 2019","Currency=USD","Period=FQ","BEST_FPERIOD_OVERRIDE=FQ","FILING_STATUS=MR","Sort=A","Dates=H","DateFormat=P","Fill=—","Direction=H","UseDPDF=Y")</f>
        <v>2.12</v>
      </c>
      <c r="H31" s="14">
        <f>_xll.BDH("GILD US Equity","ARD_DILUTED_EPS","FQ1 2020","FQ1 2020","Currency=USD","Period=FQ","BEST_FPERIOD_OVERRIDE=FQ","FILING_STATUS=MR","Sort=A","Dates=H","DateFormat=P","Fill=—","Direction=H","UseDPDF=Y")</f>
        <v>1.22</v>
      </c>
      <c r="I31" s="14">
        <f>_xll.BDH("GILD US Equity","ARD_DILUTED_EPS","FQ2 2020","FQ2 2020","Currency=USD","Period=FQ","BEST_FPERIOD_OVERRIDE=FQ","FILING_STATUS=MR","Sort=A","Dates=H","DateFormat=P","Fill=—","Direction=H","UseDPDF=Y")</f>
        <v>-2.66</v>
      </c>
      <c r="J31" s="14">
        <f>_xll.BDH("GILD US Equity","ARD_DILUTED_EPS","FQ3 2020","FQ3 2020","Currency=USD","Period=FQ","BEST_FPERIOD_OVERRIDE=FQ","FILING_STATUS=MR","Sort=A","Dates=H","DateFormat=P","Fill=—","Direction=H","UseDPDF=Y")</f>
        <v>0.28999999999999998</v>
      </c>
      <c r="K31" s="14">
        <f>_xll.BDH("GILD US Equity","ARD_DILUTED_EPS","FQ4 2020","FQ4 2020","Currency=USD","Period=FQ","BEST_FPERIOD_OVERRIDE=FQ","FILING_STATUS=MR","Sort=A","Dates=H","DateFormat=P","Fill=—","Direction=H","UseDPDF=Y")</f>
        <v>1.23</v>
      </c>
      <c r="L31" s="14">
        <f>_xll.BDH("GILD US Equity","ARD_DILUTED_EPS","FQ1 2021","FQ1 2021","Currency=USD","Period=FQ","BEST_FPERIOD_OVERRIDE=FQ","FILING_STATUS=MR","Sort=A","Dates=H","DateFormat=P","Fill=—","Direction=H","UseDPDF=Y")</f>
        <v>1.37</v>
      </c>
      <c r="M31" s="14">
        <f>_xll.BDH("GILD US Equity","ARD_DILUTED_EPS","FQ2 2021","FQ2 2021","Currency=USD","Period=FQ","BEST_FPERIOD_OVERRIDE=FQ","FILING_STATUS=MR","Sort=A","Dates=H","DateFormat=P","Fill=—","Direction=H","UseDPDF=Y")</f>
        <v>1.21</v>
      </c>
      <c r="N31" s="14">
        <f>_xll.BDH("GILD US Equity","ARD_DILUTED_EPS","FQ3 2021","FQ3 2021","Currency=USD","Period=FQ","BEST_FPERIOD_OVERRIDE=FQ","FILING_STATUS=MR","Sort=A","Dates=H","DateFormat=P","Fill=—","Direction=H","UseDPDF=Y")</f>
        <v>2.0499999999999998</v>
      </c>
      <c r="O31" s="14">
        <f>_xll.BDH("GILD US Equity","ARD_DILUTED_EPS","FQ4 2021","FQ4 2021","Currency=USD","Period=FQ","BEST_FPERIOD_OVERRIDE=FQ","FILING_STATUS=MR","Sort=A","Dates=H","DateFormat=P","Fill=—","Direction=H","UseDPDF=Y")</f>
        <v>0.3</v>
      </c>
      <c r="P31" s="14">
        <f>_xll.BDH("GILD US Equity","ARD_DILUTED_EPS","FQ1 2022","FQ1 2022","Currency=USD","Period=FQ","BEST_FPERIOD_OVERRIDE=FQ","FILING_STATUS=MR","Sort=A","Dates=H","DateFormat=P","Fill=—","Direction=H","UseDPDF=Y")</f>
        <v>0.02</v>
      </c>
      <c r="Q31" s="14">
        <f>_xll.BDH("GILD US Equity","ARD_DILUTED_EPS","FQ2 2022","FQ2 2022","Currency=USD","Period=FQ","BEST_FPERIOD_OVERRIDE=FQ","FILING_STATUS=MR","Sort=A","Dates=H","DateFormat=P","Fill=—","Direction=H","UseDPDF=Y")</f>
        <v>0.91</v>
      </c>
      <c r="R31" s="14">
        <f>_xll.BDH("GILD US Equity","ARD_DILUTED_EPS","FQ3 2022","FQ3 2022","Currency=USD","Period=FQ","BEST_FPERIOD_OVERRIDE=FQ","FILING_STATUS=MR","Sort=A","Dates=H","DateFormat=P","Fill=—","Direction=H","UseDPDF=Y")</f>
        <v>1.42</v>
      </c>
      <c r="S31" s="14">
        <f>_xll.BDH("GILD US Equity","ARD_DILUTED_EPS","FQ4 2022","FQ4 2022","Currency=USD","Period=FQ","BEST_FPERIOD_OVERRIDE=FQ","FILING_STATUS=MR","Sort=A","Dates=H","DateFormat=P","Fill=—","Direction=H","UseDPDF=Y")</f>
        <v>1.3</v>
      </c>
      <c r="T31" s="14">
        <f>_xll.BDH("GILD US Equity","ARD_DILUTED_EPS","FQ1 2023","FQ1 2023","Currency=USD","Period=FQ","BEST_FPERIOD_OVERRIDE=FQ","FILING_STATUS=MR","Sort=A","Dates=H","DateFormat=P","Fill=—","Direction=H","UseDPDF=Y")</f>
        <v>0.8</v>
      </c>
      <c r="U31" s="14">
        <f>_xll.BDH("GILD US Equity","ARD_DILUTED_EPS","FQ2 2023","FQ2 2023","Currency=USD","Period=FQ","BEST_FPERIOD_OVERRIDE=FQ","FILING_STATUS=MR","Sort=A","Dates=H","DateFormat=P","Fill=—","Direction=H","UseDPDF=Y")</f>
        <v>0.83</v>
      </c>
      <c r="V31" s="14">
        <f>_xll.BDH("GILD US Equity","ARD_DILUTED_EPS","FQ3 2023","FQ3 2023","Currency=USD","Period=FQ","BEST_FPERIOD_OVERRIDE=FQ","FILING_STATUS=MR","Sort=A","Dates=H","DateFormat=P","Fill=—","Direction=H","UseDPDF=Y")</f>
        <v>1.73</v>
      </c>
      <c r="W31" s="14">
        <f>_xll.BDH("GILD US Equity","ARD_DILUTED_EPS","FQ4 2023","FQ4 2023","Currency=USD","Period=FQ","BEST_FPERIOD_OVERRIDE=FQ","FILING_STATUS=MR","Sort=A","Dates=H","DateFormat=P","Fill=—","Direction=H","UseDPDF=Y")</f>
        <v>1.1399999999999999</v>
      </c>
      <c r="X31" s="14">
        <f>_xll.BDH("GILD US Equity","ARD_DILUTED_EPS","FQ1 2024","FQ1 2024","Currency=USD","Period=FQ","BEST_FPERIOD_OVERRIDE=FQ","FILING_STATUS=MR","Sort=A","Dates=H","DateFormat=P","Fill=—","Direction=H","UseDPDF=Y")</f>
        <v>-3.34</v>
      </c>
      <c r="Y31" s="14">
        <f>_xll.BDH("GILD US Equity","ARD_DILUTED_EPS","FQ2 2024","FQ2 2024","Currency=USD","Period=FQ","BEST_FPERIOD_OVERRIDE=FQ","FILING_STATUS=MR","Sort=A","Dates=H","DateFormat=P","Fill=—","Direction=H","UseDPDF=Y")</f>
        <v>1.29</v>
      </c>
      <c r="Z31" s="14">
        <f>_xll.BDH("GILD US Equity","ARD_DILUTED_EPS","FQ3 2024","FQ3 2024","Currency=USD","Period=FQ","BEST_FPERIOD_OVERRIDE=FQ","FILING_STATUS=MR","Sort=A","Dates=H","DateFormat=P","Fill=—","Direction=H","UseDPDF=Y")</f>
        <v>1</v>
      </c>
      <c r="AA31" s="14">
        <f>_xll.BDH("GILD US Equity","ARD_DILUTED_EPS","FQ4 2024","FQ4 2024","Currency=USD","Period=FQ","BEST_FPERIOD_OVERRIDE=FQ","FILING_STATUS=MR","Sort=A","Dates=H","DateFormat=P","Fill=—","Direction=H","UseDPDF=Y")</f>
        <v>1.42</v>
      </c>
    </row>
    <row r="32" spans="1:27" x14ac:dyDescent="0.25">
      <c r="A32" s="10" t="s">
        <v>462</v>
      </c>
      <c r="B32" s="10" t="s">
        <v>463</v>
      </c>
      <c r="C32" s="13">
        <f>_xll.BDH("GILD US Equity","ARD_WEIGHTED_AVG_SHARE_DILUTED","FQ4 2018","FQ4 2018","Currency=USD","Period=FQ","BEST_FPERIOD_OVERRIDE=FQ","FILING_STATUS=MR","Sort=A","Dates=H","DateFormat=P","Fill=—","Direction=H","UseDPDF=Y")</f>
        <v>1299</v>
      </c>
      <c r="D32" s="13">
        <f>_xll.BDH("GILD US Equity","ARD_WEIGHTED_AVG_SHARE_DILUTED","FQ1 2019","FQ1 2019","Currency=USD","Period=FQ","BEST_FPERIOD_OVERRIDE=FQ","FILING_STATUS=MR","Sort=A","Dates=H","DateFormat=P","Fill=—","Direction=H","UseDPDF=Y")</f>
        <v>1283</v>
      </c>
      <c r="E32" s="13">
        <f>_xll.BDH("GILD US Equity","ARD_WEIGHTED_AVG_SHARE_DILUTED","FQ2 2019","FQ2 2019","Currency=USD","Period=FQ","BEST_FPERIOD_OVERRIDE=FQ","FILING_STATUS=MR","Sort=A","Dates=H","DateFormat=P","Fill=—","Direction=H","UseDPDF=Y")</f>
        <v>1277</v>
      </c>
      <c r="F32" s="13">
        <f>_xll.BDH("GILD US Equity","ARD_WEIGHTED_AVG_SHARE_DILUTED","FQ3 2019","FQ3 2019","Currency=USD","Period=FQ","BEST_FPERIOD_OVERRIDE=FQ","FILING_STATUS=MR","Sort=A","Dates=H","DateFormat=P","Fill=—","Direction=H","UseDPDF=Y")</f>
        <v>1267</v>
      </c>
      <c r="G32" s="13">
        <f>_xll.BDH("GILD US Equity","ARD_WEIGHTED_AVG_SHARE_DILUTED","FQ4 2019","FQ4 2019","Currency=USD","Period=FQ","BEST_FPERIOD_OVERRIDE=FQ","FILING_STATUS=MR","Sort=A","Dates=H","DateFormat=P","Fill=—","Direction=H","UseDPDF=Y")</f>
        <v>1273</v>
      </c>
      <c r="H32" s="13">
        <f>_xll.BDH("GILD US Equity","ARD_WEIGHTED_AVG_SHARE_DILUTED","FQ1 2020","FQ1 2020","Currency=USD","Period=FQ","BEST_FPERIOD_OVERRIDE=FQ","FILING_STATUS=MR","Sort=A","Dates=H","DateFormat=P","Fill=—","Direction=H","UseDPDF=Y")</f>
        <v>1270</v>
      </c>
      <c r="I32" s="13">
        <f>_xll.BDH("GILD US Equity","ARD_WEIGHTED_AVG_SHARE_DILUTED","FQ2 2020","FQ2 2020","Currency=USD","Period=FQ","BEST_FPERIOD_OVERRIDE=FQ","FILING_STATUS=MR","Sort=A","Dates=H","DateFormat=P","Fill=—","Direction=H","UseDPDF=Y")</f>
        <v>1255</v>
      </c>
      <c r="J32" s="13">
        <f>_xll.BDH("GILD US Equity","ARD_WEIGHTED_AVG_SHARE_DILUTED","FQ3 2020","FQ3 2020","Currency=USD","Period=FQ","BEST_FPERIOD_OVERRIDE=FQ","FILING_STATUS=MR","Sort=A","Dates=H","DateFormat=P","Fill=—","Direction=H","UseDPDF=Y")</f>
        <v>1261</v>
      </c>
      <c r="K32" s="13">
        <f>_xll.BDH("GILD US Equity","ARD_WEIGHTED_AVG_SHARE_DILUTED","FQ4 2020","FQ4 2020","Currency=USD","Period=FQ","BEST_FPERIOD_OVERRIDE=FQ","FILING_STATUS=MR","Sort=A","Dates=H","DateFormat=P","Fill=—","Direction=H","UseDPDF=Y")</f>
        <v>1259</v>
      </c>
      <c r="L32" s="13">
        <f>_xll.BDH("GILD US Equity","ARD_WEIGHTED_AVG_SHARE_DILUTED","FQ1 2021","FQ1 2021","Currency=USD","Period=FQ","BEST_FPERIOD_OVERRIDE=FQ","FILING_STATUS=MR","Sort=A","Dates=H","DateFormat=P","Fill=—","Direction=H","UseDPDF=Y")</f>
        <v>1262</v>
      </c>
      <c r="M32" s="13">
        <f>_xll.BDH("GILD US Equity","ARD_WEIGHTED_AVG_SHARE_DILUTED","FQ2 2021","FQ2 2021","Currency=USD","Period=FQ","BEST_FPERIOD_OVERRIDE=FQ","FILING_STATUS=MR","Sort=A","Dates=H","DateFormat=P","Fill=—","Direction=H","UseDPDF=Y")</f>
        <v>1260</v>
      </c>
      <c r="N32" s="13">
        <f>_xll.BDH("GILD US Equity","ARD_WEIGHTED_AVG_SHARE_DILUTED","FQ3 2021","FQ3 2021","Currency=USD","Period=FQ","BEST_FPERIOD_OVERRIDE=FQ","FILING_STATUS=MR","Sort=A","Dates=H","DateFormat=P","Fill=—","Direction=H","UseDPDF=Y")</f>
        <v>1262</v>
      </c>
      <c r="O32" s="13">
        <f>_xll.BDH("GILD US Equity","ARD_WEIGHTED_AVG_SHARE_DILUTED","FQ4 2021","FQ4 2021","Currency=USD","Period=FQ","BEST_FPERIOD_OVERRIDE=FQ","FILING_STATUS=MR","Sort=A","Dates=H","DateFormat=P","Fill=—","Direction=H","UseDPDF=Y")</f>
        <v>1262</v>
      </c>
      <c r="P32" s="13">
        <f>_xll.BDH("GILD US Equity","ARD_WEIGHTED_AVG_SHARE_DILUTED","FQ1 2022","FQ1 2022","Currency=USD","Period=FQ","BEST_FPERIOD_OVERRIDE=FQ","FILING_STATUS=MR","Sort=A","Dates=H","DateFormat=P","Fill=—","Direction=H","UseDPDF=Y")</f>
        <v>1262</v>
      </c>
      <c r="Q32" s="13">
        <f>_xll.BDH("GILD US Equity","ARD_WEIGHTED_AVG_SHARE_DILUTED","FQ2 2022","FQ2 2022","Currency=USD","Period=FQ","BEST_FPERIOD_OVERRIDE=FQ","FILING_STATUS=MR","Sort=A","Dates=H","DateFormat=P","Fill=—","Direction=H","UseDPDF=Y")</f>
        <v>1260</v>
      </c>
      <c r="R32" s="13">
        <f>_xll.BDH("GILD US Equity","ARD_WEIGHTED_AVG_SHARE_DILUTED","FQ3 2022","FQ3 2022","Currency=USD","Period=FQ","BEST_FPERIOD_OVERRIDE=FQ","FILING_STATUS=MR","Sort=A","Dates=H","DateFormat=P","Fill=—","Direction=H","UseDPDF=Y")</f>
        <v>1261</v>
      </c>
      <c r="S32" s="13">
        <f>_xll.BDH("GILD US Equity","ARD_WEIGHTED_AVG_SHARE_DILUTED","FQ4 2022","FQ4 2022","Currency=USD","Period=FQ","BEST_FPERIOD_OVERRIDE=FQ","FILING_STATUS=MR","Sort=A","Dates=H","DateFormat=P","Fill=—","Direction=H","UseDPDF=Y")</f>
        <v>1264</v>
      </c>
      <c r="T32" s="13">
        <f>_xll.BDH("GILD US Equity","ARD_WEIGHTED_AVG_SHARE_DILUTED","FQ1 2023","FQ1 2023","Currency=USD","Period=FQ","BEST_FPERIOD_OVERRIDE=FQ","FILING_STATUS=MR","Sort=A","Dates=H","DateFormat=P","Fill=—","Direction=H","UseDPDF=Y")</f>
        <v>1248</v>
      </c>
      <c r="U32" s="13">
        <f>_xll.BDH("GILD US Equity","ARD_WEIGHTED_AVG_SHARE_DILUTED","FQ2 2023","FQ2 2023","Currency=USD","Period=FQ","BEST_FPERIOD_OVERRIDE=FQ","FILING_STATUS=MR","Sort=A","Dates=H","DateFormat=P","Fill=—","Direction=H","UseDPDF=Y")</f>
        <v>1258</v>
      </c>
      <c r="V32" s="13">
        <f>_xll.BDH("GILD US Equity","ARD_WEIGHTED_AVG_SHARE_DILUTED","FQ3 2023","FQ3 2023","Currency=USD","Period=FQ","BEST_FPERIOD_OVERRIDE=FQ","FILING_STATUS=MR","Sort=A","Dates=H","DateFormat=P","Fill=—","Direction=H","UseDPDF=Y")</f>
        <v>1257</v>
      </c>
      <c r="W32" s="13">
        <f>_xll.BDH("GILD US Equity","ARD_WEIGHTED_AVG_SHARE_DILUTED","FQ4 2023","FQ4 2023","Currency=USD","Period=FQ","BEST_FPERIOD_OVERRIDE=FQ","FILING_STATUS=MR","Sort=A","Dates=H","DateFormat=P","Fill=—","Direction=H","UseDPDF=Y")</f>
        <v>1256</v>
      </c>
      <c r="X32" s="13">
        <f>_xll.BDH("GILD US Equity","ARD_WEIGHTED_AVG_SHARE_DILUTED","FQ1 2024","FQ1 2024","Currency=USD","Period=FQ","BEST_FPERIOD_OVERRIDE=FQ","FILING_STATUS=MR","Sort=A","Dates=H","DateFormat=P","Fill=—","Direction=H","UseDPDF=Y")</f>
        <v>1247</v>
      </c>
      <c r="Y32" s="13">
        <f>_xll.BDH("GILD US Equity","ARD_WEIGHTED_AVG_SHARE_DILUTED","FQ2 2024","FQ2 2024","Currency=USD","Period=FQ","BEST_FPERIOD_OVERRIDE=FQ","FILING_STATUS=MR","Sort=A","Dates=H","DateFormat=P","Fill=—","Direction=H","UseDPDF=Y")</f>
        <v>1251</v>
      </c>
      <c r="Z32" s="13">
        <f>_xll.BDH("GILD US Equity","ARD_WEIGHTED_AVG_SHARE_DILUTED","FQ3 2024","FQ3 2024","Currency=USD","Period=FQ","BEST_FPERIOD_OVERRIDE=FQ","FILING_STATUS=MR","Sort=A","Dates=H","DateFormat=P","Fill=—","Direction=H","UseDPDF=Y")</f>
        <v>1254</v>
      </c>
      <c r="AA32" s="13">
        <f>_xll.BDH("GILD US Equity","ARD_WEIGHTED_AVG_SHARE_DILUTED","FQ4 2024","FQ4 2024","Currency=USD","Period=FQ","BEST_FPERIOD_OVERRIDE=FQ","FILING_STATUS=MR","Sort=A","Dates=H","DateFormat=P","Fill=—","Direction=H","UseDPDF=Y")</f>
        <v>1259</v>
      </c>
    </row>
    <row r="33" spans="1:27" x14ac:dyDescent="0.25">
      <c r="A33" s="10" t="s">
        <v>464</v>
      </c>
      <c r="B33" s="10" t="s">
        <v>465</v>
      </c>
      <c r="C33" s="13">
        <f>_xll.BDH("GILD US Equity","ARD_NET_INC_AVAIL_COM_SHRHLDR","FQ4 2018","FQ4 2018","Currency=USD","Period=FQ","BEST_FPERIOD_OVERRIDE=FQ","FILING_STATUS=MR","SCALING_FORMAT=MLN","Sort=A","Dates=H","DateFormat=P","Fill=—","Direction=H","UseDPDF=Y")</f>
        <v>3</v>
      </c>
      <c r="D33" s="13">
        <f>_xll.BDH("GILD US Equity","ARD_NET_INC_AVAIL_COM_SHRHLDR","FQ1 2019","FQ1 2019","Currency=USD","Period=FQ","BEST_FPERIOD_OVERRIDE=FQ","FILING_STATUS=MR","SCALING_FORMAT=MLN","Sort=A","Dates=H","DateFormat=P","Fill=—","Direction=H","UseDPDF=Y")</f>
        <v>1975</v>
      </c>
      <c r="E33" s="13">
        <f>_xll.BDH("GILD US Equity","ARD_NET_INC_AVAIL_COM_SHRHLDR","FQ2 2019","FQ2 2019","Currency=USD","Period=FQ","BEST_FPERIOD_OVERRIDE=FQ","FILING_STATUS=MR","SCALING_FORMAT=MLN","Sort=A","Dates=H","DateFormat=P","Fill=—","Direction=H","UseDPDF=Y")</f>
        <v>1880</v>
      </c>
      <c r="F33" s="13">
        <f>_xll.BDH("GILD US Equity","ARD_NET_INC_AVAIL_COM_SHRHLDR","FQ3 2019","FQ3 2019","Currency=USD","Period=FQ","BEST_FPERIOD_OVERRIDE=FQ","FILING_STATUS=MR","SCALING_FORMAT=MLN","Sort=A","Dates=H","DateFormat=P","Fill=—","Direction=H","UseDPDF=Y")</f>
        <v>-1165</v>
      </c>
      <c r="G33" s="13">
        <f>_xll.BDH("GILD US Equity","ARD_NET_INC_AVAIL_COM_SHRHLDR","FQ4 2019","FQ4 2019","Currency=USD","Period=FQ","BEST_FPERIOD_OVERRIDE=FQ","FILING_STATUS=MR","SCALING_FORMAT=MLN","Sort=A","Dates=H","DateFormat=P","Fill=—","Direction=H","UseDPDF=Y")</f>
        <v>2696</v>
      </c>
      <c r="H33" s="13">
        <f>_xll.BDH("GILD US Equity","ARD_NET_INC_AVAIL_COM_SHRHLDR","FQ1 2020","FQ1 2020","Currency=USD","Period=FQ","BEST_FPERIOD_OVERRIDE=FQ","FILING_STATUS=MR","SCALING_FORMAT=MLN","Sort=A","Dates=H","DateFormat=P","Fill=—","Direction=H","UseDPDF=Y")</f>
        <v>1551</v>
      </c>
      <c r="I33" s="13">
        <f>_xll.BDH("GILD US Equity","ARD_NET_INC_AVAIL_COM_SHRHLDR","FQ2 2020","FQ2 2020","Currency=USD","Period=FQ","BEST_FPERIOD_OVERRIDE=FQ","FILING_STATUS=MR","SCALING_FORMAT=MLN","Sort=A","Dates=H","DateFormat=P","Fill=—","Direction=H","UseDPDF=Y")</f>
        <v>-3339</v>
      </c>
      <c r="J33" s="13">
        <f>_xll.BDH("GILD US Equity","ARD_NET_INC_AVAIL_COM_SHRHLDR","FQ3 2020","FQ3 2020","Currency=USD","Period=FQ","BEST_FPERIOD_OVERRIDE=FQ","FILING_STATUS=MR","SCALING_FORMAT=MLN","Sort=A","Dates=H","DateFormat=P","Fill=—","Direction=H","UseDPDF=Y")</f>
        <v>360</v>
      </c>
      <c r="K33" s="13">
        <f>_xll.BDH("GILD US Equity","ARD_NET_INC_AVAIL_COM_SHRHLDR","FQ4 2020","FQ4 2020","Currency=USD","Period=FQ","BEST_FPERIOD_OVERRIDE=FQ","FILING_STATUS=MR","SCALING_FORMAT=MLN","Sort=A","Dates=H","DateFormat=P","Fill=—","Direction=H","UseDPDF=Y")</f>
        <v>1551</v>
      </c>
      <c r="L33" s="13">
        <f>_xll.BDH("GILD US Equity","ARD_NET_INC_AVAIL_COM_SHRHLDR","FQ1 2021","FQ1 2021","Currency=USD","Period=FQ","BEST_FPERIOD_OVERRIDE=FQ","FILING_STATUS=MR","SCALING_FORMAT=MLN","Sort=A","Dates=H","DateFormat=P","Fill=—","Direction=H","UseDPDF=Y")</f>
        <v>1729</v>
      </c>
      <c r="M33" s="13">
        <f>_xll.BDH("GILD US Equity","ARD_NET_INC_AVAIL_COM_SHRHLDR","FQ2 2021","FQ2 2021","Currency=USD","Period=FQ","BEST_FPERIOD_OVERRIDE=FQ","FILING_STATUS=MR","SCALING_FORMAT=MLN","Sort=A","Dates=H","DateFormat=P","Fill=—","Direction=H","UseDPDF=Y")</f>
        <v>1522</v>
      </c>
      <c r="N33" s="13">
        <f>_xll.BDH("GILD US Equity","ARD_NET_INC_AVAIL_COM_SHRHLDR","FQ3 2021","FQ3 2021","Currency=USD","Period=FQ","BEST_FPERIOD_OVERRIDE=FQ","FILING_STATUS=MR","SCALING_FORMAT=MLN","Sort=A","Dates=H","DateFormat=P","Fill=—","Direction=H","UseDPDF=Y")</f>
        <v>2592</v>
      </c>
      <c r="O33" s="13">
        <f>_xll.BDH("GILD US Equity","ARD_NET_INC_AVAIL_COM_SHRHLDR","FQ4 2021","FQ4 2021","Currency=USD","Period=FQ","BEST_FPERIOD_OVERRIDE=FQ","FILING_STATUS=MR","SCALING_FORMAT=MLN","Sort=A","Dates=H","DateFormat=P","Fill=—","Direction=H","UseDPDF=Y")</f>
        <v>382</v>
      </c>
      <c r="P33" s="13">
        <f>_xll.BDH("GILD US Equity","ARD_NET_INC_AVAIL_COM_SHRHLDR","FQ1 2022","FQ1 2022","Currency=USD","Period=FQ","BEST_FPERIOD_OVERRIDE=FQ","FILING_STATUS=MR","SCALING_FORMAT=MLN","Sort=A","Dates=H","DateFormat=P","Fill=—","Direction=H","UseDPDF=Y")</f>
        <v>19</v>
      </c>
      <c r="Q33" s="13">
        <f>_xll.BDH("GILD US Equity","ARD_NET_INC_AVAIL_COM_SHRHLDR","FQ2 2022","FQ2 2022","Currency=USD","Period=FQ","BEST_FPERIOD_OVERRIDE=FQ","FILING_STATUS=MR","SCALING_FORMAT=MLN","Sort=A","Dates=H","DateFormat=P","Fill=—","Direction=H","UseDPDF=Y")</f>
        <v>1144</v>
      </c>
      <c r="R33" s="13">
        <f>_xll.BDH("GILD US Equity","ARD_NET_INC_AVAIL_COM_SHRHLDR","FQ3 2022","FQ3 2022","Currency=USD","Period=FQ","BEST_FPERIOD_OVERRIDE=FQ","FILING_STATUS=MR","SCALING_FORMAT=MLN","Sort=A","Dates=H","DateFormat=P","Fill=—","Direction=H","UseDPDF=Y")</f>
        <v>1789</v>
      </c>
      <c r="S33" s="13">
        <f>_xll.BDH("GILD US Equity","ARD_NET_INC_AVAIL_COM_SHRHLDR","FQ4 2022","FQ4 2022","Currency=USD","Period=FQ","BEST_FPERIOD_OVERRIDE=FQ","FILING_STATUS=MR","SCALING_FORMAT=MLN","Sort=A","Dates=H","DateFormat=P","Fill=—","Direction=H","UseDPDF=Y")</f>
        <v>1640</v>
      </c>
      <c r="T33" s="13">
        <f>_xll.BDH("GILD US Equity","ARD_NET_INC_AVAIL_COM_SHRHLDR","FQ1 2023","FQ1 2023","Currency=USD","Period=FQ","BEST_FPERIOD_OVERRIDE=FQ","FILING_STATUS=MR","SCALING_FORMAT=MLN","Sort=A","Dates=H","DateFormat=P","Fill=—","Direction=H","UseDPDF=Y")</f>
        <v>1010</v>
      </c>
      <c r="U33" s="13">
        <f>_xll.BDH("GILD US Equity","ARD_NET_INC_AVAIL_COM_SHRHLDR","FQ2 2023","FQ2 2023","Currency=USD","Period=FQ","BEST_FPERIOD_OVERRIDE=FQ","FILING_STATUS=MR","SCALING_FORMAT=MLN","Sort=A","Dates=H","DateFormat=P","Fill=—","Direction=H","UseDPDF=Y")</f>
        <v>1045</v>
      </c>
      <c r="V33" s="13">
        <f>_xll.BDH("GILD US Equity","ARD_NET_INC_AVAIL_COM_SHRHLDR","FQ3 2023","FQ3 2023","Currency=USD","Period=FQ","BEST_FPERIOD_OVERRIDE=FQ","FILING_STATUS=MR","SCALING_FORMAT=MLN","Sort=A","Dates=H","DateFormat=P","Fill=—","Direction=H","UseDPDF=Y")</f>
        <v>2180</v>
      </c>
      <c r="W33" s="13" t="str">
        <f>_xll.BDH("GILD US Equity","ARD_NET_INC_AVAIL_COM_SHRHLDR","FQ4 2023","FQ4 2023","Currency=USD","Period=FQ","BEST_FPERIOD_OVERRIDE=FQ","FILING_STATUS=MR","SCALING_FORMAT=MLN","Sort=A","Dates=H","DateFormat=P","Fill=—","Direction=H","UseDPDF=Y")</f>
        <v>—</v>
      </c>
      <c r="X33" s="13">
        <f>_xll.BDH("GILD US Equity","ARD_NET_INC_AVAIL_COM_SHRHLDR","FQ1 2024","FQ1 2024","Currency=USD","Period=FQ","BEST_FPERIOD_OVERRIDE=FQ","FILING_STATUS=MR","SCALING_FORMAT=MLN","Sort=A","Dates=H","DateFormat=P","Fill=—","Direction=H","UseDPDF=Y")</f>
        <v>-4170</v>
      </c>
      <c r="Y33" s="13">
        <f>_xll.BDH("GILD US Equity","ARD_NET_INC_AVAIL_COM_SHRHLDR","FQ2 2024","FQ2 2024","Currency=USD","Period=FQ","BEST_FPERIOD_OVERRIDE=FQ","FILING_STATUS=MR","SCALING_FORMAT=MLN","Sort=A","Dates=H","DateFormat=P","Fill=—","Direction=H","UseDPDF=Y")</f>
        <v>1614</v>
      </c>
      <c r="Z33" s="13">
        <f>_xll.BDH("GILD US Equity","ARD_NET_INC_AVAIL_COM_SHRHLDR","FQ3 2024","FQ3 2024","Currency=USD","Period=FQ","BEST_FPERIOD_OVERRIDE=FQ","FILING_STATUS=MR","SCALING_FORMAT=MLN","Sort=A","Dates=H","DateFormat=P","Fill=—","Direction=H","UseDPDF=Y")</f>
        <v>1253</v>
      </c>
      <c r="AA33" s="13">
        <f>_xll.BDH("GILD US Equity","ARD_NET_INC_AVAIL_COM_SHRHLDR","FQ4 2024","FQ4 2024","Currency=USD","Period=FQ","BEST_FPERIOD_OVERRIDE=FQ","FILING_STATUS=MR","SCALING_FORMAT=MLN","Sort=A","Dates=H","DateFormat=P","Fill=—","Direction=H","UseDPDF=Y")</f>
        <v>1783</v>
      </c>
    </row>
    <row r="34" spans="1:27" x14ac:dyDescent="0.25">
      <c r="A34" s="10" t="s">
        <v>466</v>
      </c>
      <c r="B34" s="10" t="s">
        <v>467</v>
      </c>
      <c r="C34" s="13">
        <f>_xll.BDH("GILD US Equity","ARD_PROF_AFTER_TAX_BEF_MINORITY","FQ4 2018","FQ4 2018","Currency=USD","Period=FQ","BEST_FPERIOD_OVERRIDE=FQ","FILING_STATUS=MR","SCALING_FORMAT=MLN","Sort=A","Dates=H","DateFormat=P","Fill=—","Direction=H","UseDPDF=Y")</f>
        <v>3</v>
      </c>
      <c r="D34" s="13">
        <f>_xll.BDH("GILD US Equity","ARD_PROF_AFTER_TAX_BEF_MINORITY","FQ1 2019","FQ1 2019","Currency=USD","Period=FQ","BEST_FPERIOD_OVERRIDE=FQ","FILING_STATUS=MR","SCALING_FORMAT=MLN","Sort=A","Dates=H","DateFormat=P","Fill=—","Direction=H","UseDPDF=Y")</f>
        <v>1968</v>
      </c>
      <c r="E34" s="13">
        <f>_xll.BDH("GILD US Equity","ARD_PROF_AFTER_TAX_BEF_MINORITY","FQ2 2019","FQ2 2019","Currency=USD","Period=FQ","BEST_FPERIOD_OVERRIDE=FQ","FILING_STATUS=MR","SCALING_FORMAT=MLN","Sort=A","Dates=H","DateFormat=P","Fill=—","Direction=H","UseDPDF=Y")</f>
        <v>1875</v>
      </c>
      <c r="F34" s="13">
        <f>_xll.BDH("GILD US Equity","ARD_PROF_AFTER_TAX_BEF_MINORITY","FQ3 2019","FQ3 2019","Currency=USD","Period=FQ","BEST_FPERIOD_OVERRIDE=FQ","FILING_STATUS=MR","SCALING_FORMAT=MLN","Sort=A","Dates=H","DateFormat=P","Fill=—","Direction=H","UseDPDF=Y")</f>
        <v>-1168</v>
      </c>
      <c r="G34" s="13">
        <f>_xll.BDH("GILD US Equity","ARD_PROF_AFTER_TAX_BEF_MINORITY","FQ4 2019","FQ4 2019","Currency=USD","Period=FQ","BEST_FPERIOD_OVERRIDE=FQ","FILING_STATUS=MR","SCALING_FORMAT=MLN","Sort=A","Dates=H","DateFormat=P","Fill=—","Direction=H","UseDPDF=Y")</f>
        <v>2689</v>
      </c>
      <c r="H34" s="13">
        <f>_xll.BDH("GILD US Equity","ARD_PROF_AFTER_TAX_BEF_MINORITY","FQ1 2020","FQ1 2020","Currency=USD","Period=FQ","BEST_FPERIOD_OVERRIDE=FQ","FILING_STATUS=MR","SCALING_FORMAT=MLN","Sort=A","Dates=H","DateFormat=P","Fill=—","Direction=H","UseDPDF=Y")</f>
        <v>1538</v>
      </c>
      <c r="I34" s="13">
        <f>_xll.BDH("GILD US Equity","ARD_PROF_AFTER_TAX_BEF_MINORITY","FQ2 2020","FQ2 2020","Currency=USD","Period=FQ","BEST_FPERIOD_OVERRIDE=FQ","FILING_STATUS=MR","SCALING_FORMAT=MLN","Sort=A","Dates=H","DateFormat=P","Fill=—","Direction=H","UseDPDF=Y")</f>
        <v>-3346</v>
      </c>
      <c r="J34" s="13">
        <f>_xll.BDH("GILD US Equity","ARD_PROF_AFTER_TAX_BEF_MINORITY","FQ3 2020","FQ3 2020","Currency=USD","Period=FQ","BEST_FPERIOD_OVERRIDE=FQ","FILING_STATUS=MR","SCALING_FORMAT=MLN","Sort=A","Dates=H","DateFormat=P","Fill=—","Direction=H","UseDPDF=Y")</f>
        <v>353</v>
      </c>
      <c r="K34" s="13">
        <f>_xll.BDH("GILD US Equity","ARD_PROF_AFTER_TAX_BEF_MINORITY","FQ4 2020","FQ4 2020","Currency=USD","Period=FQ","BEST_FPERIOD_OVERRIDE=FQ","FILING_STATUS=MR","SCALING_FORMAT=MLN","Sort=A","Dates=H","DateFormat=P","Fill=—","Direction=H","UseDPDF=Y")</f>
        <v>1544</v>
      </c>
      <c r="L34" s="13">
        <f>_xll.BDH("GILD US Equity","ARD_PROF_AFTER_TAX_BEF_MINORITY","FQ1 2021","FQ1 2021","Currency=USD","Period=FQ","BEST_FPERIOD_OVERRIDE=FQ","FILING_STATUS=MR","SCALING_FORMAT=MLN","Sort=A","Dates=H","DateFormat=P","Fill=—","Direction=H","UseDPDF=Y")</f>
        <v>1722</v>
      </c>
      <c r="M34" s="13">
        <f>_xll.BDH("GILD US Equity","ARD_PROF_AFTER_TAX_BEF_MINORITY","FQ2 2021","FQ2 2021","Currency=USD","Period=FQ","BEST_FPERIOD_OVERRIDE=FQ","FILING_STATUS=MR","SCALING_FORMAT=MLN","Sort=A","Dates=H","DateFormat=P","Fill=—","Direction=H","UseDPDF=Y")</f>
        <v>1517</v>
      </c>
      <c r="N34" s="13">
        <f>_xll.BDH("GILD US Equity","ARD_PROF_AFTER_TAX_BEF_MINORITY","FQ3 2021","FQ3 2021","Currency=USD","Period=FQ","BEST_FPERIOD_OVERRIDE=FQ","FILING_STATUS=MR","SCALING_FORMAT=MLN","Sort=A","Dates=H","DateFormat=P","Fill=—","Direction=H","UseDPDF=Y")</f>
        <v>2586</v>
      </c>
      <c r="O34" s="13">
        <f>_xll.BDH("GILD US Equity","ARD_PROF_AFTER_TAX_BEF_MINORITY","FQ4 2021","FQ4 2021","Currency=USD","Period=FQ","BEST_FPERIOD_OVERRIDE=FQ","FILING_STATUS=MR","SCALING_FORMAT=MLN","Sort=A","Dates=H","DateFormat=P","Fill=—","Direction=H","UseDPDF=Y")</f>
        <v>376</v>
      </c>
      <c r="P34" s="13">
        <f>_xll.BDH("GILD US Equity","ARD_PROF_AFTER_TAX_BEF_MINORITY","FQ1 2022","FQ1 2022","Currency=USD","Period=FQ","BEST_FPERIOD_OVERRIDE=FQ","FILING_STATUS=MR","SCALING_FORMAT=MLN","Sort=A","Dates=H","DateFormat=P","Fill=—","Direction=H","UseDPDF=Y")</f>
        <v>12</v>
      </c>
      <c r="Q34" s="13">
        <f>_xll.BDH("GILD US Equity","ARD_PROF_AFTER_TAX_BEF_MINORITY","FQ2 2022","FQ2 2022","Currency=USD","Period=FQ","BEST_FPERIOD_OVERRIDE=FQ","FILING_STATUS=MR","SCALING_FORMAT=MLN","Sort=A","Dates=H","DateFormat=P","Fill=—","Direction=H","UseDPDF=Y")</f>
        <v>1135</v>
      </c>
      <c r="R34" s="13">
        <f>_xll.BDH("GILD US Equity","ARD_PROF_AFTER_TAX_BEF_MINORITY","FQ3 2022","FQ3 2022","Currency=USD","Period=FQ","BEST_FPERIOD_OVERRIDE=FQ","FILING_STATUS=MR","SCALING_FORMAT=MLN","Sort=A","Dates=H","DateFormat=P","Fill=—","Direction=H","UseDPDF=Y")</f>
        <v>1786</v>
      </c>
      <c r="S34" s="13">
        <f>_xll.BDH("GILD US Equity","ARD_PROF_AFTER_TAX_BEF_MINORITY","FQ4 2022","FQ4 2022","Currency=USD","Period=FQ","BEST_FPERIOD_OVERRIDE=FQ","FILING_STATUS=MR","SCALING_FORMAT=MLN","Sort=A","Dates=H","DateFormat=P","Fill=—","Direction=H","UseDPDF=Y")</f>
        <v>1633</v>
      </c>
      <c r="T34" s="13">
        <f>_xll.BDH("GILD US Equity","ARD_PROF_AFTER_TAX_BEF_MINORITY","FQ1 2023","FQ1 2023","Currency=USD","Period=FQ","BEST_FPERIOD_OVERRIDE=FQ","FILING_STATUS=MR","SCALING_FORMAT=MLN","Sort=A","Dates=H","DateFormat=P","Fill=—","Direction=H","UseDPDF=Y")</f>
        <v>985</v>
      </c>
      <c r="U34" s="13">
        <f>_xll.BDH("GILD US Equity","ARD_PROF_AFTER_TAX_BEF_MINORITY","FQ2 2023","FQ2 2023","Currency=USD","Period=FQ","BEST_FPERIOD_OVERRIDE=FQ","FILING_STATUS=MR","SCALING_FORMAT=MLN","Sort=A","Dates=H","DateFormat=P","Fill=—","Direction=H","UseDPDF=Y")</f>
        <v>1039</v>
      </c>
      <c r="V34" s="13">
        <f>_xll.BDH("GILD US Equity","ARD_PROF_AFTER_TAX_BEF_MINORITY","FQ3 2023","FQ3 2023","Currency=USD","Period=FQ","BEST_FPERIOD_OVERRIDE=FQ","FILING_STATUS=MR","SCALING_FORMAT=MLN","Sort=A","Dates=H","DateFormat=P","Fill=—","Direction=H","UseDPDF=Y")</f>
        <v>2172</v>
      </c>
      <c r="W34" s="13">
        <f>_xll.BDH("GILD US Equity","ARD_PROF_AFTER_TAX_BEF_MINORITY","FQ4 2023","FQ4 2023","Currency=USD","Period=FQ","BEST_FPERIOD_OVERRIDE=FQ","FILING_STATUS=MR","SCALING_FORMAT=MLN","Sort=A","Dates=H","DateFormat=P","Fill=—","Direction=H","UseDPDF=Y")</f>
        <v>1417</v>
      </c>
      <c r="X34" s="13">
        <f>_xll.BDH("GILD US Equity","ARD_PROF_AFTER_TAX_BEF_MINORITY","FQ1 2024","FQ1 2024","Currency=USD","Period=FQ","BEST_FPERIOD_OVERRIDE=FQ","FILING_STATUS=MR","SCALING_FORMAT=MLN","Sort=A","Dates=H","DateFormat=P","Fill=—","Direction=H","UseDPDF=Y")</f>
        <v>-4170</v>
      </c>
      <c r="Y34" s="13">
        <f>_xll.BDH("GILD US Equity","ARD_PROF_AFTER_TAX_BEF_MINORITY","FQ2 2024","FQ2 2024","Currency=USD","Period=FQ","BEST_FPERIOD_OVERRIDE=FQ","FILING_STATUS=MR","SCALING_FORMAT=MLN","Sort=A","Dates=H","DateFormat=P","Fill=—","Direction=H","UseDPDF=Y")</f>
        <v>1614</v>
      </c>
      <c r="Z34" s="13">
        <f>_xll.BDH("GILD US Equity","ARD_PROF_AFTER_TAX_BEF_MINORITY","FQ3 2024","FQ3 2024","Currency=USD","Period=FQ","BEST_FPERIOD_OVERRIDE=FQ","FILING_STATUS=MR","SCALING_FORMAT=MLN","Sort=A","Dates=H","DateFormat=P","Fill=—","Direction=H","UseDPDF=Y")</f>
        <v>1253</v>
      </c>
      <c r="AA34" s="13">
        <f>_xll.BDH("GILD US Equity","ARD_PROF_AFTER_TAX_BEF_MINORITY","FQ4 2024","FQ4 2024","Currency=USD","Period=FQ","BEST_FPERIOD_OVERRIDE=FQ","FILING_STATUS=MR","SCALING_FORMAT=MLN","Sort=A","Dates=H","DateFormat=P","Fill=—","Direction=H","UseDPDF=Y")</f>
        <v>1783</v>
      </c>
    </row>
    <row r="35" spans="1:27" x14ac:dyDescent="0.25">
      <c r="A35" s="10" t="s">
        <v>468</v>
      </c>
      <c r="B35" s="10" t="s">
        <v>469</v>
      </c>
      <c r="C35" s="13">
        <f>_xll.BDH("GILD US Equity","ARD_CUMULATIVE_NET_INCOME","FQ4 2018","FQ4 2018","Currency=USD","Period=FQ","BEST_FPERIOD_OVERRIDE=FQ","FILING_STATUS=MR","SCALING_FORMAT=MLN","Sort=A","Dates=H","DateFormat=P","Fill=—","Direction=H","UseDPDF=Y")</f>
        <v>5455</v>
      </c>
      <c r="D35" s="13">
        <f>_xll.BDH("GILD US Equity","ARD_CUMULATIVE_NET_INCOME","FQ1 2019","FQ1 2019","Currency=USD","Period=FQ","BEST_FPERIOD_OVERRIDE=FQ","FILING_STATUS=MR","SCALING_FORMAT=MLN","Sort=A","Dates=H","DateFormat=P","Fill=—","Direction=H","UseDPDF=Y")</f>
        <v>1975</v>
      </c>
      <c r="E35" s="13">
        <f>_xll.BDH("GILD US Equity","ARD_CUMULATIVE_NET_INCOME","FQ2 2019","FQ2 2019","Currency=USD","Period=FQ","BEST_FPERIOD_OVERRIDE=FQ","FILING_STATUS=MR","SCALING_FORMAT=MLN","Sort=A","Dates=H","DateFormat=P","Fill=—","Direction=H","UseDPDF=Y")</f>
        <v>3855</v>
      </c>
      <c r="F35" s="13">
        <f>_xll.BDH("GILD US Equity","ARD_CUMULATIVE_NET_INCOME","FQ3 2019","FQ3 2019","Currency=USD","Period=FQ","BEST_FPERIOD_OVERRIDE=FQ","FILING_STATUS=MR","SCALING_FORMAT=MLN","Sort=A","Dates=H","DateFormat=P","Fill=—","Direction=H","UseDPDF=Y")</f>
        <v>2690</v>
      </c>
      <c r="G35" s="13">
        <f>_xll.BDH("GILD US Equity","ARD_CUMULATIVE_NET_INCOME","FQ4 2019","FQ4 2019","Currency=USD","Period=FQ","BEST_FPERIOD_OVERRIDE=FQ","FILING_STATUS=MR","SCALING_FORMAT=MLN","Sort=A","Dates=H","DateFormat=P","Fill=—","Direction=H","UseDPDF=Y")</f>
        <v>5386</v>
      </c>
      <c r="H35" s="13">
        <f>_xll.BDH("GILD US Equity","ARD_CUMULATIVE_NET_INCOME","FQ1 2020","FQ1 2020","Currency=USD","Period=FQ","BEST_FPERIOD_OVERRIDE=FQ","FILING_STATUS=MR","SCALING_FORMAT=MLN","Sort=A","Dates=H","DateFormat=P","Fill=—","Direction=H","UseDPDF=Y")</f>
        <v>1551</v>
      </c>
      <c r="I35" s="13">
        <f>_xll.BDH("GILD US Equity","ARD_CUMULATIVE_NET_INCOME","FQ2 2020","FQ2 2020","Currency=USD","Period=FQ","BEST_FPERIOD_OVERRIDE=FQ","FILING_STATUS=MR","SCALING_FORMAT=MLN","Sort=A","Dates=H","DateFormat=P","Fill=—","Direction=H","UseDPDF=Y")</f>
        <v>-1788</v>
      </c>
      <c r="J35" s="13">
        <f>_xll.BDH("GILD US Equity","ARD_CUMULATIVE_NET_INCOME","FQ3 2020","FQ3 2020","Currency=USD","Period=FQ","BEST_FPERIOD_OVERRIDE=FQ","FILING_STATUS=MR","SCALING_FORMAT=MLN","Sort=A","Dates=H","DateFormat=P","Fill=—","Direction=H","UseDPDF=Y")</f>
        <v>-1428</v>
      </c>
      <c r="K35" s="13">
        <f>_xll.BDH("GILD US Equity","ARD_CUMULATIVE_NET_INCOME","FQ4 2020","FQ4 2020","Currency=USD","Period=FQ","BEST_FPERIOD_OVERRIDE=FQ","FILING_STATUS=MR","SCALING_FORMAT=MLN","Sort=A","Dates=H","DateFormat=P","Fill=—","Direction=H","UseDPDF=Y")</f>
        <v>123</v>
      </c>
      <c r="L35" s="13">
        <f>_xll.BDH("GILD US Equity","ARD_CUMULATIVE_NET_INCOME","FQ1 2021","FQ1 2021","Currency=USD","Period=FQ","BEST_FPERIOD_OVERRIDE=FQ","FILING_STATUS=MR","SCALING_FORMAT=MLN","Sort=A","Dates=H","DateFormat=P","Fill=—","Direction=H","UseDPDF=Y")</f>
        <v>1729</v>
      </c>
      <c r="M35" s="13">
        <f>_xll.BDH("GILD US Equity","ARD_CUMULATIVE_NET_INCOME","FQ2 2021","FQ2 2021","Currency=USD","Period=FQ","BEST_FPERIOD_OVERRIDE=FQ","FILING_STATUS=MR","SCALING_FORMAT=MLN","Sort=A","Dates=H","DateFormat=P","Fill=—","Direction=H","UseDPDF=Y")</f>
        <v>3251</v>
      </c>
      <c r="N35" s="13">
        <f>_xll.BDH("GILD US Equity","ARD_CUMULATIVE_NET_INCOME","FQ3 2021","FQ3 2021","Currency=USD","Period=FQ","BEST_FPERIOD_OVERRIDE=FQ","FILING_STATUS=MR","SCALING_FORMAT=MLN","Sort=A","Dates=H","DateFormat=P","Fill=—","Direction=H","UseDPDF=Y")</f>
        <v>5843</v>
      </c>
      <c r="O35" s="13">
        <f>_xll.BDH("GILD US Equity","ARD_CUMULATIVE_NET_INCOME","FQ4 2021","FQ4 2021","Currency=USD","Period=FQ","BEST_FPERIOD_OVERRIDE=FQ","FILING_STATUS=MR","SCALING_FORMAT=MLN","Sort=A","Dates=H","DateFormat=P","Fill=—","Direction=H","UseDPDF=Y")</f>
        <v>6225</v>
      </c>
      <c r="P35" s="13">
        <f>_xll.BDH("GILD US Equity","ARD_CUMULATIVE_NET_INCOME","FQ1 2022","FQ1 2022","Currency=USD","Period=FQ","BEST_FPERIOD_OVERRIDE=FQ","FILING_STATUS=MR","SCALING_FORMAT=MLN","Sort=A","Dates=H","DateFormat=P","Fill=—","Direction=H","UseDPDF=Y")</f>
        <v>19</v>
      </c>
      <c r="Q35" s="13">
        <f>_xll.BDH("GILD US Equity","ARD_CUMULATIVE_NET_INCOME","FQ2 2022","FQ2 2022","Currency=USD","Period=FQ","BEST_FPERIOD_OVERRIDE=FQ","FILING_STATUS=MR","SCALING_FORMAT=MLN","Sort=A","Dates=H","DateFormat=P","Fill=—","Direction=H","UseDPDF=Y")</f>
        <v>1163</v>
      </c>
      <c r="R35" s="13">
        <f>_xll.BDH("GILD US Equity","ARD_CUMULATIVE_NET_INCOME","FQ3 2022","FQ3 2022","Currency=USD","Period=FQ","BEST_FPERIOD_OVERRIDE=FQ","FILING_STATUS=MR","SCALING_FORMAT=MLN","Sort=A","Dates=H","DateFormat=P","Fill=—","Direction=H","UseDPDF=Y")</f>
        <v>2952</v>
      </c>
      <c r="S35" s="13">
        <f>_xll.BDH("GILD US Equity","ARD_CUMULATIVE_NET_INCOME","FQ4 2022","FQ4 2022","Currency=USD","Period=FQ","BEST_FPERIOD_OVERRIDE=FQ","FILING_STATUS=MR","SCALING_FORMAT=MLN","Sort=A","Dates=H","DateFormat=P","Fill=—","Direction=H","UseDPDF=Y")</f>
        <v>4592</v>
      </c>
      <c r="T35" s="13">
        <f>_xll.BDH("GILD US Equity","ARD_CUMULATIVE_NET_INCOME","FQ1 2023","FQ1 2023","Currency=USD","Period=FQ","BEST_FPERIOD_OVERRIDE=FQ","FILING_STATUS=MR","SCALING_FORMAT=MLN","Sort=A","Dates=H","DateFormat=P","Fill=—","Direction=H","UseDPDF=Y")</f>
        <v>1010</v>
      </c>
      <c r="U35" s="13">
        <f>_xll.BDH("GILD US Equity","ARD_CUMULATIVE_NET_INCOME","FQ2 2023","FQ2 2023","Currency=USD","Period=FQ","BEST_FPERIOD_OVERRIDE=FQ","FILING_STATUS=MR","SCALING_FORMAT=MLN","Sort=A","Dates=H","DateFormat=P","Fill=—","Direction=H","UseDPDF=Y")</f>
        <v>2055</v>
      </c>
      <c r="V35" s="13">
        <f>_xll.BDH("GILD US Equity","ARD_CUMULATIVE_NET_INCOME","FQ3 2023","FQ3 2023","Currency=USD","Period=FQ","BEST_FPERIOD_OVERRIDE=FQ","FILING_STATUS=MR","SCALING_FORMAT=MLN","Sort=A","Dates=H","DateFormat=P","Fill=—","Direction=H","UseDPDF=Y")</f>
        <v>4236</v>
      </c>
      <c r="W35" s="13">
        <f>_xll.BDH("GILD US Equity","ARD_CUMULATIVE_NET_INCOME","FQ4 2023","FQ4 2023","Currency=USD","Period=FQ","BEST_FPERIOD_OVERRIDE=FQ","FILING_STATUS=MR","SCALING_FORMAT=MLN","Sort=A","Dates=H","DateFormat=P","Fill=—","Direction=H","UseDPDF=Y")</f>
        <v>5664</v>
      </c>
      <c r="X35" s="13">
        <f>_xll.BDH("GILD US Equity","ARD_CUMULATIVE_NET_INCOME","FQ1 2024","FQ1 2024","Currency=USD","Period=FQ","BEST_FPERIOD_OVERRIDE=FQ","FILING_STATUS=MR","SCALING_FORMAT=MLN","Sort=A","Dates=H","DateFormat=P","Fill=—","Direction=H","UseDPDF=Y")</f>
        <v>-4170</v>
      </c>
      <c r="Y35" s="13">
        <f>_xll.BDH("GILD US Equity","ARD_CUMULATIVE_NET_INCOME","FQ2 2024","FQ2 2024","Currency=USD","Period=FQ","BEST_FPERIOD_OVERRIDE=FQ","FILING_STATUS=MR","SCALING_FORMAT=MLN","Sort=A","Dates=H","DateFormat=P","Fill=—","Direction=H","UseDPDF=Y")</f>
        <v>1614</v>
      </c>
      <c r="Z35" s="13">
        <f>_xll.BDH("GILD US Equity","ARD_CUMULATIVE_NET_INCOME","FQ3 2024","FQ3 2024","Currency=USD","Period=FQ","BEST_FPERIOD_OVERRIDE=FQ","FILING_STATUS=MR","SCALING_FORMAT=MLN","Sort=A","Dates=H","DateFormat=P","Fill=—","Direction=H","UseDPDF=Y")</f>
        <v>-1303</v>
      </c>
      <c r="AA35" s="13">
        <f>_xll.BDH("GILD US Equity","ARD_CUMULATIVE_NET_INCOME","FQ4 2024","FQ4 2024","Currency=USD","Period=FQ","BEST_FPERIOD_OVERRIDE=FQ","FILING_STATUS=MR","SCALING_FORMAT=MLN","Sort=A","Dates=H","DateFormat=P","Fill=—","Direction=H","UseDPDF=Y")</f>
        <v>480</v>
      </c>
    </row>
    <row r="36" spans="1:27" x14ac:dyDescent="0.25">
      <c r="A36" s="6" t="s">
        <v>159</v>
      </c>
      <c r="B36" s="6" t="s">
        <v>470</v>
      </c>
      <c r="C36" s="19">
        <f>_xll.BDH("GILD US Equity","ARD_NET_INC","FQ4 2018","FQ4 2018","Currency=USD","Period=FQ","BEST_FPERIOD_OVERRIDE=FQ","FILING_STATUS=MR","SCALING_FORMAT=MLN","Sort=A","Dates=H","DateFormat=P","Fill=—","Direction=H","UseDPDF=Y")</f>
        <v>3</v>
      </c>
      <c r="D36" s="19">
        <f>_xll.BDH("GILD US Equity","ARD_NET_INC","FQ1 2019","FQ1 2019","Currency=USD","Period=FQ","BEST_FPERIOD_OVERRIDE=FQ","FILING_STATUS=MR","SCALING_FORMAT=MLN","Sort=A","Dates=H","DateFormat=P","Fill=—","Direction=H","UseDPDF=Y")</f>
        <v>1975</v>
      </c>
      <c r="E36" s="19">
        <f>_xll.BDH("GILD US Equity","ARD_NET_INC","FQ2 2019","FQ2 2019","Currency=USD","Period=FQ","BEST_FPERIOD_OVERRIDE=FQ","FILING_STATUS=MR","SCALING_FORMAT=MLN","Sort=A","Dates=H","DateFormat=P","Fill=—","Direction=H","UseDPDF=Y")</f>
        <v>1880</v>
      </c>
      <c r="F36" s="19">
        <f>_xll.BDH("GILD US Equity","ARD_NET_INC","FQ3 2019","FQ3 2019","Currency=USD","Period=FQ","BEST_FPERIOD_OVERRIDE=FQ","FILING_STATUS=MR","SCALING_FORMAT=MLN","Sort=A","Dates=H","DateFormat=P","Fill=—","Direction=H","UseDPDF=Y")</f>
        <v>-1165</v>
      </c>
      <c r="G36" s="19">
        <f>_xll.BDH("GILD US Equity","ARD_NET_INC","FQ4 2019","FQ4 2019","Currency=USD","Period=FQ","BEST_FPERIOD_OVERRIDE=FQ","FILING_STATUS=MR","SCALING_FORMAT=MLN","Sort=A","Dates=H","DateFormat=P","Fill=—","Direction=H","UseDPDF=Y")</f>
        <v>2696</v>
      </c>
      <c r="H36" s="19">
        <f>_xll.BDH("GILD US Equity","ARD_NET_INC","FQ1 2020","FQ1 2020","Currency=USD","Period=FQ","BEST_FPERIOD_OVERRIDE=FQ","FILING_STATUS=MR","SCALING_FORMAT=MLN","Sort=A","Dates=H","DateFormat=P","Fill=—","Direction=H","UseDPDF=Y")</f>
        <v>1551</v>
      </c>
      <c r="I36" s="19">
        <f>_xll.BDH("GILD US Equity","ARD_NET_INC","FQ2 2020","FQ2 2020","Currency=USD","Period=FQ","BEST_FPERIOD_OVERRIDE=FQ","FILING_STATUS=MR","SCALING_FORMAT=MLN","Sort=A","Dates=H","DateFormat=P","Fill=—","Direction=H","UseDPDF=Y")</f>
        <v>-3339</v>
      </c>
      <c r="J36" s="19">
        <f>_xll.BDH("GILD US Equity","ARD_NET_INC","FQ3 2020","FQ3 2020","Currency=USD","Period=FQ","BEST_FPERIOD_OVERRIDE=FQ","FILING_STATUS=MR","SCALING_FORMAT=MLN","Sort=A","Dates=H","DateFormat=P","Fill=—","Direction=H","UseDPDF=Y")</f>
        <v>360</v>
      </c>
      <c r="K36" s="19">
        <f>_xll.BDH("GILD US Equity","ARD_NET_INC","FQ4 2020","FQ4 2020","Currency=USD","Period=FQ","BEST_FPERIOD_OVERRIDE=FQ","FILING_STATUS=MR","SCALING_FORMAT=MLN","Sort=A","Dates=H","DateFormat=P","Fill=—","Direction=H","UseDPDF=Y")</f>
        <v>1551</v>
      </c>
      <c r="L36" s="19">
        <f>_xll.BDH("GILD US Equity","ARD_NET_INC","FQ1 2021","FQ1 2021","Currency=USD","Period=FQ","BEST_FPERIOD_OVERRIDE=FQ","FILING_STATUS=MR","SCALING_FORMAT=MLN","Sort=A","Dates=H","DateFormat=P","Fill=—","Direction=H","UseDPDF=Y")</f>
        <v>1729</v>
      </c>
      <c r="M36" s="19">
        <f>_xll.BDH("GILD US Equity","ARD_NET_INC","FQ2 2021","FQ2 2021","Currency=USD","Period=FQ","BEST_FPERIOD_OVERRIDE=FQ","FILING_STATUS=MR","SCALING_FORMAT=MLN","Sort=A","Dates=H","DateFormat=P","Fill=—","Direction=H","UseDPDF=Y")</f>
        <v>1522</v>
      </c>
      <c r="N36" s="19">
        <f>_xll.BDH("GILD US Equity","ARD_NET_INC","FQ3 2021","FQ3 2021","Currency=USD","Period=FQ","BEST_FPERIOD_OVERRIDE=FQ","FILING_STATUS=MR","SCALING_FORMAT=MLN","Sort=A","Dates=H","DateFormat=P","Fill=—","Direction=H","UseDPDF=Y")</f>
        <v>2592</v>
      </c>
      <c r="O36" s="19">
        <f>_xll.BDH("GILD US Equity","ARD_NET_INC","FQ4 2021","FQ4 2021","Currency=USD","Period=FQ","BEST_FPERIOD_OVERRIDE=FQ","FILING_STATUS=MR","SCALING_FORMAT=MLN","Sort=A","Dates=H","DateFormat=P","Fill=—","Direction=H","UseDPDF=Y")</f>
        <v>382</v>
      </c>
      <c r="P36" s="19">
        <f>_xll.BDH("GILD US Equity","ARD_NET_INC","FQ1 2022","FQ1 2022","Currency=USD","Period=FQ","BEST_FPERIOD_OVERRIDE=FQ","FILING_STATUS=MR","SCALING_FORMAT=MLN","Sort=A","Dates=H","DateFormat=P","Fill=—","Direction=H","UseDPDF=Y")</f>
        <v>19</v>
      </c>
      <c r="Q36" s="19">
        <f>_xll.BDH("GILD US Equity","ARD_NET_INC","FQ2 2022","FQ2 2022","Currency=USD","Period=FQ","BEST_FPERIOD_OVERRIDE=FQ","FILING_STATUS=MR","SCALING_FORMAT=MLN","Sort=A","Dates=H","DateFormat=P","Fill=—","Direction=H","UseDPDF=Y")</f>
        <v>1144</v>
      </c>
      <c r="R36" s="19">
        <f>_xll.BDH("GILD US Equity","ARD_NET_INC","FQ3 2022","FQ3 2022","Currency=USD","Period=FQ","BEST_FPERIOD_OVERRIDE=FQ","FILING_STATUS=MR","SCALING_FORMAT=MLN","Sort=A","Dates=H","DateFormat=P","Fill=—","Direction=H","UseDPDF=Y")</f>
        <v>1789</v>
      </c>
      <c r="S36" s="19">
        <f>_xll.BDH("GILD US Equity","ARD_NET_INC","FQ4 2022","FQ4 2022","Currency=USD","Period=FQ","BEST_FPERIOD_OVERRIDE=FQ","FILING_STATUS=MR","SCALING_FORMAT=MLN","Sort=A","Dates=H","DateFormat=P","Fill=—","Direction=H","UseDPDF=Y")</f>
        <v>1640</v>
      </c>
      <c r="T36" s="19">
        <f>_xll.BDH("GILD US Equity","ARD_NET_INC","FQ1 2023","FQ1 2023","Currency=USD","Period=FQ","BEST_FPERIOD_OVERRIDE=FQ","FILING_STATUS=MR","SCALING_FORMAT=MLN","Sort=A","Dates=H","DateFormat=P","Fill=—","Direction=H","UseDPDF=Y")</f>
        <v>1010</v>
      </c>
      <c r="U36" s="19">
        <f>_xll.BDH("GILD US Equity","ARD_NET_INC","FQ2 2023","FQ2 2023","Currency=USD","Period=FQ","BEST_FPERIOD_OVERRIDE=FQ","FILING_STATUS=MR","SCALING_FORMAT=MLN","Sort=A","Dates=H","DateFormat=P","Fill=—","Direction=H","UseDPDF=Y")</f>
        <v>1045</v>
      </c>
      <c r="V36" s="19">
        <f>_xll.BDH("GILD US Equity","ARD_NET_INC","FQ3 2023","FQ3 2023","Currency=USD","Period=FQ","BEST_FPERIOD_OVERRIDE=FQ","FILING_STATUS=MR","SCALING_FORMAT=MLN","Sort=A","Dates=H","DateFormat=P","Fill=—","Direction=H","UseDPDF=Y")</f>
        <v>2180</v>
      </c>
      <c r="W36" s="19">
        <f>_xll.BDH("GILD US Equity","ARD_NET_INC","FQ4 2023","FQ4 2023","Currency=USD","Period=FQ","BEST_FPERIOD_OVERRIDE=FQ","FILING_STATUS=MR","SCALING_FORMAT=MLN","Sort=A","Dates=H","DateFormat=P","Fill=—","Direction=H","UseDPDF=Y")</f>
        <v>1429</v>
      </c>
      <c r="X36" s="19">
        <f>_xll.BDH("GILD US Equity","ARD_NET_INC","FQ1 2024","FQ1 2024","Currency=USD","Period=FQ","BEST_FPERIOD_OVERRIDE=FQ","FILING_STATUS=MR","SCALING_FORMAT=MLN","Sort=A","Dates=H","DateFormat=P","Fill=—","Direction=H","UseDPDF=Y")</f>
        <v>-4170</v>
      </c>
      <c r="Y36" s="19">
        <f>_xll.BDH("GILD US Equity","ARD_NET_INC","FQ2 2024","FQ2 2024","Currency=USD","Period=FQ","BEST_FPERIOD_OVERRIDE=FQ","FILING_STATUS=MR","SCALING_FORMAT=MLN","Sort=A","Dates=H","DateFormat=P","Fill=—","Direction=H","UseDPDF=Y")</f>
        <v>1614</v>
      </c>
      <c r="Z36" s="19">
        <f>_xll.BDH("GILD US Equity","ARD_NET_INC","FQ3 2024","FQ3 2024","Currency=USD","Period=FQ","BEST_FPERIOD_OVERRIDE=FQ","FILING_STATUS=MR","SCALING_FORMAT=MLN","Sort=A","Dates=H","DateFormat=P","Fill=—","Direction=H","UseDPDF=Y")</f>
        <v>1253</v>
      </c>
      <c r="AA36" s="19">
        <f>_xll.BDH("GILD US Equity","ARD_NET_INC","FQ4 2024","FQ4 2024","Currency=USD","Period=FQ","BEST_FPERIOD_OVERRIDE=FQ","FILING_STATUS=MR","SCALING_FORMAT=MLN","Sort=A","Dates=H","DateFormat=P","Fill=—","Direction=H","UseDPDF=Y")</f>
        <v>1783</v>
      </c>
    </row>
    <row r="37" spans="1:27" x14ac:dyDescent="0.25">
      <c r="A37" s="10" t="s">
        <v>471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25">
      <c r="A38" s="10" t="s">
        <v>472</v>
      </c>
      <c r="B38" s="10" t="s">
        <v>473</v>
      </c>
      <c r="C38" s="13" t="str">
        <f>_xll.BDH("GILD US Equity","ARDR_COMPR_INCOME_NET_INC","FQ4 2018","FQ4 2018","Currency=USD","Period=FQ","BEST_FPERIOD_OVERRIDE=FQ","FILING_STATUS=MR","SCALING_FORMAT=MLN","Sort=A","Dates=H","DateFormat=P","Fill=—","Direction=H","UseDPDF=Y")</f>
        <v>—</v>
      </c>
      <c r="D38" s="13" t="str">
        <f>_xll.BDH("GILD US Equity","ARDR_COMPR_INCOME_NET_INC","FQ1 2019","FQ1 2019","Currency=USD","Period=FQ","BEST_FPERIOD_OVERRIDE=FQ","FILING_STATUS=MR","SCALING_FORMAT=MLN","Sort=A","Dates=H","DateFormat=P","Fill=—","Direction=H","UseDPDF=Y")</f>
        <v>—</v>
      </c>
      <c r="E38" s="13">
        <f>_xll.BDH("GILD US Equity","ARDR_COMPR_INCOME_NET_INC","FQ2 2019","FQ2 2019","Currency=USD","Period=FQ","BEST_FPERIOD_OVERRIDE=FQ","FILING_STATUS=MR","SCALING_FORMAT=MLN","Sort=A","Dates=H","DateFormat=P","Fill=—","Direction=H","UseDPDF=Y")</f>
        <v>1875</v>
      </c>
      <c r="F38" s="13">
        <f>_xll.BDH("GILD US Equity","ARDR_COMPR_INCOME_NET_INC","FQ3 2019","FQ3 2019","Currency=USD","Period=FQ","BEST_FPERIOD_OVERRIDE=FQ","FILING_STATUS=MR","SCALING_FORMAT=MLN","Sort=A","Dates=H","DateFormat=P","Fill=—","Direction=H","UseDPDF=Y")</f>
        <v>-1168</v>
      </c>
      <c r="G38" s="13" t="str">
        <f>_xll.BDH("GILD US Equity","ARDR_COMPR_INCOME_NET_INC","FQ4 2019","FQ4 2019","Currency=USD","Period=FQ","BEST_FPERIOD_OVERRIDE=FQ","FILING_STATUS=MR","SCALING_FORMAT=MLN","Sort=A","Dates=H","DateFormat=P","Fill=—","Direction=H","UseDPDF=Y")</f>
        <v>—</v>
      </c>
      <c r="H38" s="13">
        <f>_xll.BDH("GILD US Equity","ARDR_COMPR_INCOME_NET_INC","FQ1 2020","FQ1 2020","Currency=USD","Period=FQ","BEST_FPERIOD_OVERRIDE=FQ","FILING_STATUS=MR","SCALING_FORMAT=MLN","Sort=A","Dates=H","DateFormat=P","Fill=—","Direction=H","UseDPDF=Y")</f>
        <v>1538</v>
      </c>
      <c r="I38" s="13">
        <f>_xll.BDH("GILD US Equity","ARDR_COMPR_INCOME_NET_INC","FQ2 2020","FQ2 2020","Currency=USD","Period=FQ","BEST_FPERIOD_OVERRIDE=FQ","FILING_STATUS=MR","SCALING_FORMAT=MLN","Sort=A","Dates=H","DateFormat=P","Fill=—","Direction=H","UseDPDF=Y")</f>
        <v>-3346</v>
      </c>
      <c r="J38" s="13">
        <f>_xll.BDH("GILD US Equity","ARDR_COMPR_INCOME_NET_INC","FQ3 2020","FQ3 2020","Currency=USD","Period=FQ","BEST_FPERIOD_OVERRIDE=FQ","FILING_STATUS=MR","SCALING_FORMAT=MLN","Sort=A","Dates=H","DateFormat=P","Fill=—","Direction=H","UseDPDF=Y")</f>
        <v>353</v>
      </c>
      <c r="K38" s="13" t="str">
        <f>_xll.BDH("GILD US Equity","ARDR_COMPR_INCOME_NET_INC","FQ4 2020","FQ4 2020","Currency=USD","Period=FQ","BEST_FPERIOD_OVERRIDE=FQ","FILING_STATUS=MR","SCALING_FORMAT=MLN","Sort=A","Dates=H","DateFormat=P","Fill=—","Direction=H","UseDPDF=Y")</f>
        <v>—</v>
      </c>
      <c r="L38" s="13">
        <f>_xll.BDH("GILD US Equity","ARDR_COMPR_INCOME_NET_INC","FQ1 2021","FQ1 2021","Currency=USD","Period=FQ","BEST_FPERIOD_OVERRIDE=FQ","FILING_STATUS=MR","SCALING_FORMAT=MLN","Sort=A","Dates=H","DateFormat=P","Fill=—","Direction=H","UseDPDF=Y")</f>
        <v>1722</v>
      </c>
      <c r="M38" s="13">
        <f>_xll.BDH("GILD US Equity","ARDR_COMPR_INCOME_NET_INC","FQ2 2021","FQ2 2021","Currency=USD","Period=FQ","BEST_FPERIOD_OVERRIDE=FQ","FILING_STATUS=MR","SCALING_FORMAT=MLN","Sort=A","Dates=H","DateFormat=P","Fill=—","Direction=H","UseDPDF=Y")</f>
        <v>1517</v>
      </c>
      <c r="N38" s="13">
        <f>_xll.BDH("GILD US Equity","ARDR_COMPR_INCOME_NET_INC","FQ3 2021","FQ3 2021","Currency=USD","Period=FQ","BEST_FPERIOD_OVERRIDE=FQ","FILING_STATUS=MR","SCALING_FORMAT=MLN","Sort=A","Dates=H","DateFormat=P","Fill=—","Direction=H","UseDPDF=Y")</f>
        <v>2586</v>
      </c>
      <c r="O38" s="13">
        <f>_xll.BDH("GILD US Equity","ARDR_COMPR_INCOME_NET_INC","FQ4 2021","FQ4 2021","Currency=USD","Period=FQ","BEST_FPERIOD_OVERRIDE=FQ","FILING_STATUS=MR","SCALING_FORMAT=MLN","Sort=A","Dates=H","DateFormat=P","Fill=—","Direction=H","UseDPDF=Y")</f>
        <v>376</v>
      </c>
      <c r="P38" s="13">
        <f>_xll.BDH("GILD US Equity","ARDR_COMPR_INCOME_NET_INC","FQ1 2022","FQ1 2022","Currency=USD","Period=FQ","BEST_FPERIOD_OVERRIDE=FQ","FILING_STATUS=MR","SCALING_FORMAT=MLN","Sort=A","Dates=H","DateFormat=P","Fill=—","Direction=H","UseDPDF=Y")</f>
        <v>12</v>
      </c>
      <c r="Q38" s="13">
        <f>_xll.BDH("GILD US Equity","ARDR_COMPR_INCOME_NET_INC","FQ2 2022","FQ2 2022","Currency=USD","Period=FQ","BEST_FPERIOD_OVERRIDE=FQ","FILING_STATUS=MR","SCALING_FORMAT=MLN","Sort=A","Dates=H","DateFormat=P","Fill=—","Direction=H","UseDPDF=Y")</f>
        <v>1135</v>
      </c>
      <c r="R38" s="13">
        <f>_xll.BDH("GILD US Equity","ARDR_COMPR_INCOME_NET_INC","FQ3 2022","FQ3 2022","Currency=USD","Period=FQ","BEST_FPERIOD_OVERRIDE=FQ","FILING_STATUS=MR","SCALING_FORMAT=MLN","Sort=A","Dates=H","DateFormat=P","Fill=—","Direction=H","UseDPDF=Y")</f>
        <v>1786</v>
      </c>
      <c r="S38" s="13">
        <f>_xll.BDH("GILD US Equity","ARDR_COMPR_INCOME_NET_INC","FQ4 2022","FQ4 2022","Currency=USD","Period=FQ","BEST_FPERIOD_OVERRIDE=FQ","FILING_STATUS=MR","SCALING_FORMAT=MLN","Sort=A","Dates=H","DateFormat=P","Fill=—","Direction=H","UseDPDF=Y")</f>
        <v>1633</v>
      </c>
      <c r="T38" s="13">
        <f>_xll.BDH("GILD US Equity","ARDR_COMPR_INCOME_NET_INC","FQ1 2023","FQ1 2023","Currency=USD","Period=FQ","BEST_FPERIOD_OVERRIDE=FQ","FILING_STATUS=MR","SCALING_FORMAT=MLN","Sort=A","Dates=H","DateFormat=P","Fill=—","Direction=H","UseDPDF=Y")</f>
        <v>985</v>
      </c>
      <c r="U38" s="13">
        <f>_xll.BDH("GILD US Equity","ARDR_COMPR_INCOME_NET_INC","FQ2 2023","FQ2 2023","Currency=USD","Period=FQ","BEST_FPERIOD_OVERRIDE=FQ","FILING_STATUS=MR","SCALING_FORMAT=MLN","Sort=A","Dates=H","DateFormat=P","Fill=—","Direction=H","UseDPDF=Y")</f>
        <v>1039</v>
      </c>
      <c r="V38" s="13">
        <f>_xll.BDH("GILD US Equity","ARDR_COMPR_INCOME_NET_INC","FQ3 2023","FQ3 2023","Currency=USD","Period=FQ","BEST_FPERIOD_OVERRIDE=FQ","FILING_STATUS=MR","SCALING_FORMAT=MLN","Sort=A","Dates=H","DateFormat=P","Fill=—","Direction=H","UseDPDF=Y")</f>
        <v>2172</v>
      </c>
      <c r="W38" s="13">
        <f>_xll.BDH("GILD US Equity","ARDR_COMPR_INCOME_NET_INC","FQ4 2023","FQ4 2023","Currency=USD","Period=FQ","BEST_FPERIOD_OVERRIDE=FQ","FILING_STATUS=MR","SCALING_FORMAT=MLN","Sort=A","Dates=H","DateFormat=P","Fill=—","Direction=H","UseDPDF=Y")</f>
        <v>1417</v>
      </c>
      <c r="X38" s="13">
        <f>_xll.BDH("GILD US Equity","ARDR_COMPR_INCOME_NET_INC","FQ1 2024","FQ1 2024","Currency=USD","Period=FQ","BEST_FPERIOD_OVERRIDE=FQ","FILING_STATUS=MR","SCALING_FORMAT=MLN","Sort=A","Dates=H","DateFormat=P","Fill=—","Direction=H","UseDPDF=Y")</f>
        <v>-4170</v>
      </c>
      <c r="Y38" s="13">
        <f>_xll.BDH("GILD US Equity","ARDR_COMPR_INCOME_NET_INC","FQ2 2024","FQ2 2024","Currency=USD","Period=FQ","BEST_FPERIOD_OVERRIDE=FQ","FILING_STATUS=MR","SCALING_FORMAT=MLN","Sort=A","Dates=H","DateFormat=P","Fill=—","Direction=H","UseDPDF=Y")</f>
        <v>1614</v>
      </c>
      <c r="Z38" s="13">
        <f>_xll.BDH("GILD US Equity","ARDR_COMPR_INCOME_NET_INC","FQ3 2024","FQ3 2024","Currency=USD","Period=FQ","BEST_FPERIOD_OVERRIDE=FQ","FILING_STATUS=MR","SCALING_FORMAT=MLN","Sort=A","Dates=H","DateFormat=P","Fill=—","Direction=H","UseDPDF=Y")</f>
        <v>1253</v>
      </c>
      <c r="AA38" s="13">
        <f>_xll.BDH("GILD US Equity","ARDR_COMPR_INCOME_NET_INC","FQ4 2024","FQ4 2024","Currency=USD","Period=FQ","BEST_FPERIOD_OVERRIDE=FQ","FILING_STATUS=MR","SCALING_FORMAT=MLN","Sort=A","Dates=H","DateFormat=P","Fill=—","Direction=H","UseDPDF=Y")</f>
        <v>1783</v>
      </c>
    </row>
    <row r="39" spans="1:27" x14ac:dyDescent="0.25">
      <c r="A39" s="10" t="s">
        <v>474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5">
      <c r="A40" s="10" t="s">
        <v>475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5">
      <c r="A41" s="10" t="s">
        <v>476</v>
      </c>
      <c r="B41" s="10" t="s">
        <v>477</v>
      </c>
      <c r="C41" s="13" t="str">
        <f>_xll.BDH("GILD US Equity","ARDR_REV_IMPCT_COVID_19_CHRG","FQ4 2018","FQ4 2018","Currency=USD","Period=FQ","BEST_FPERIOD_OVERRIDE=FQ","FILING_STATUS=MR","SCALING_FORMAT=MLN","Sort=A","Dates=H","DateFormat=P","Fill=—","Direction=H","UseDPDF=Y")</f>
        <v>—</v>
      </c>
      <c r="D41" s="13" t="str">
        <f>_xll.BDH("GILD US Equity","ARDR_REV_IMPCT_COVID_19_CHRG","FQ1 2019","FQ1 2019","Currency=USD","Period=FQ","BEST_FPERIOD_OVERRIDE=FQ","FILING_STATUS=MR","SCALING_FORMAT=MLN","Sort=A","Dates=H","DateFormat=P","Fill=—","Direction=H","UseDPDF=Y")</f>
        <v>—</v>
      </c>
      <c r="E41" s="13" t="str">
        <f>_xll.BDH("GILD US Equity","ARDR_REV_IMPCT_COVID_19_CHRG","FQ2 2019","FQ2 2019","Currency=USD","Period=FQ","BEST_FPERIOD_OVERRIDE=FQ","FILING_STATUS=MR","SCALING_FORMAT=MLN","Sort=A","Dates=H","DateFormat=P","Fill=—","Direction=H","UseDPDF=Y")</f>
        <v>—</v>
      </c>
      <c r="F41" s="13" t="str">
        <f>_xll.BDH("GILD US Equity","ARDR_REV_IMPCT_COVID_19_CHRG","FQ3 2019","FQ3 2019","Currency=USD","Period=FQ","BEST_FPERIOD_OVERRIDE=FQ","FILING_STATUS=MR","SCALING_FORMAT=MLN","Sort=A","Dates=H","DateFormat=P","Fill=—","Direction=H","UseDPDF=Y")</f>
        <v>—</v>
      </c>
      <c r="G41" s="13" t="str">
        <f>_xll.BDH("GILD US Equity","ARDR_REV_IMPCT_COVID_19_CHRG","FQ4 2019","FQ4 2019","Currency=USD","Period=FQ","BEST_FPERIOD_OVERRIDE=FQ","FILING_STATUS=MR","SCALING_FORMAT=MLN","Sort=A","Dates=H","DateFormat=P","Fill=—","Direction=H","UseDPDF=Y")</f>
        <v>—</v>
      </c>
      <c r="H41" s="13">
        <f>_xll.BDH("GILD US Equity","ARDR_REV_IMPCT_COVID_19_CHRG","FQ1 2020","FQ1 2020","Currency=USD","Period=FQ","BEST_FPERIOD_OVERRIDE=FQ","FILING_STATUS=MR","SCALING_FORMAT=MLN","Sort=A","Dates=H","DateFormat=P","Fill=—","Direction=H","UseDPDF=Y")</f>
        <v>-200</v>
      </c>
      <c r="I41" s="13" t="str">
        <f>_xll.BDH("GILD US Equity","ARDR_REV_IMPCT_COVID_19_CHRG","FQ2 2020","FQ2 2020","Currency=USD","Period=FQ","BEST_FPERIOD_OVERRIDE=FQ","FILING_STATUS=MR","SCALING_FORMAT=MLN","Sort=A","Dates=H","DateFormat=P","Fill=—","Direction=H","UseDPDF=Y")</f>
        <v>—</v>
      </c>
      <c r="J41" s="13" t="str">
        <f>_xll.BDH("GILD US Equity","ARDR_REV_IMPCT_COVID_19_CHRG","FQ3 2020","FQ3 2020","Currency=USD","Period=FQ","BEST_FPERIOD_OVERRIDE=FQ","FILING_STATUS=MR","SCALING_FORMAT=MLN","Sort=A","Dates=H","DateFormat=P","Fill=—","Direction=H","UseDPDF=Y")</f>
        <v>—</v>
      </c>
      <c r="K41" s="13" t="str">
        <f>_xll.BDH("GILD US Equity","ARDR_REV_IMPCT_COVID_19_CHRG","FQ4 2020","FQ4 2020","Currency=USD","Period=FQ","BEST_FPERIOD_OVERRIDE=FQ","FILING_STATUS=MR","SCALING_FORMAT=MLN","Sort=A","Dates=H","DateFormat=P","Fill=—","Direction=H","UseDPDF=Y")</f>
        <v>—</v>
      </c>
      <c r="L41" s="13" t="str">
        <f>_xll.BDH("GILD US Equity","ARDR_REV_IMPCT_COVID_19_CHRG","FQ1 2021","FQ1 2021","Currency=USD","Period=FQ","BEST_FPERIOD_OVERRIDE=FQ","FILING_STATUS=MR","SCALING_FORMAT=MLN","Sort=A","Dates=H","DateFormat=P","Fill=—","Direction=H","UseDPDF=Y")</f>
        <v>—</v>
      </c>
      <c r="M41" s="13" t="str">
        <f>_xll.BDH("GILD US Equity","ARDR_REV_IMPCT_COVID_19_CHRG","FQ2 2021","FQ2 2021","Currency=USD","Period=FQ","BEST_FPERIOD_OVERRIDE=FQ","FILING_STATUS=MR","SCALING_FORMAT=MLN","Sort=A","Dates=H","DateFormat=P","Fill=—","Direction=H","UseDPDF=Y")</f>
        <v>—</v>
      </c>
      <c r="N41" s="13" t="str">
        <f>_xll.BDH("GILD US Equity","ARDR_REV_IMPCT_COVID_19_CHRG","FQ3 2021","FQ3 2021","Currency=USD","Period=FQ","BEST_FPERIOD_OVERRIDE=FQ","FILING_STATUS=MR","SCALING_FORMAT=MLN","Sort=A","Dates=H","DateFormat=P","Fill=—","Direction=H","UseDPDF=Y")</f>
        <v>—</v>
      </c>
      <c r="O41" s="13" t="str">
        <f>_xll.BDH("GILD US Equity","ARDR_REV_IMPCT_COVID_19_CHRG","FQ4 2021","FQ4 2021","Currency=USD","Period=FQ","BEST_FPERIOD_OVERRIDE=FQ","FILING_STATUS=MR","SCALING_FORMAT=MLN","Sort=A","Dates=H","DateFormat=P","Fill=—","Direction=H","UseDPDF=Y")</f>
        <v>—</v>
      </c>
      <c r="P41" s="13" t="str">
        <f>_xll.BDH("GILD US Equity","ARDR_REV_IMPCT_COVID_19_CHRG","FQ1 2022","FQ1 2022","Currency=USD","Period=FQ","BEST_FPERIOD_OVERRIDE=FQ","FILING_STATUS=MR","SCALING_FORMAT=MLN","Sort=A","Dates=H","DateFormat=P","Fill=—","Direction=H","UseDPDF=Y")</f>
        <v>—</v>
      </c>
      <c r="Q41" s="13" t="str">
        <f>_xll.BDH("GILD US Equity","ARDR_REV_IMPCT_COVID_19_CHRG","FQ2 2022","FQ2 2022","Currency=USD","Period=FQ","BEST_FPERIOD_OVERRIDE=FQ","FILING_STATUS=MR","SCALING_FORMAT=MLN","Sort=A","Dates=H","DateFormat=P","Fill=—","Direction=H","UseDPDF=Y")</f>
        <v>—</v>
      </c>
      <c r="R41" s="13" t="str">
        <f>_xll.BDH("GILD US Equity","ARDR_REV_IMPCT_COVID_19_CHRG","FQ3 2022","FQ3 2022","Currency=USD","Period=FQ","BEST_FPERIOD_OVERRIDE=FQ","FILING_STATUS=MR","SCALING_FORMAT=MLN","Sort=A","Dates=H","DateFormat=P","Fill=—","Direction=H","UseDPDF=Y")</f>
        <v>—</v>
      </c>
      <c r="S41" s="13" t="str">
        <f>_xll.BDH("GILD US Equity","ARDR_REV_IMPCT_COVID_19_CHRG","FQ4 2022","FQ4 2022","Currency=USD","Period=FQ","BEST_FPERIOD_OVERRIDE=FQ","FILING_STATUS=MR","SCALING_FORMAT=MLN","Sort=A","Dates=H","DateFormat=P","Fill=—","Direction=H","UseDPDF=Y")</f>
        <v>—</v>
      </c>
      <c r="T41" s="13" t="str">
        <f>_xll.BDH("GILD US Equity","ARDR_REV_IMPCT_COVID_19_CHRG","FQ1 2023","FQ1 2023","Currency=USD","Period=FQ","BEST_FPERIOD_OVERRIDE=FQ","FILING_STATUS=MR","SCALING_FORMAT=MLN","Sort=A","Dates=H","DateFormat=P","Fill=—","Direction=H","UseDPDF=Y")</f>
        <v>—</v>
      </c>
      <c r="U41" s="13" t="str">
        <f>_xll.BDH("GILD US Equity","ARDR_REV_IMPCT_COVID_19_CHRG","FQ2 2023","FQ2 2023","Currency=USD","Period=FQ","BEST_FPERIOD_OVERRIDE=FQ","FILING_STATUS=MR","SCALING_FORMAT=MLN","Sort=A","Dates=H","DateFormat=P","Fill=—","Direction=H","UseDPDF=Y")</f>
        <v>—</v>
      </c>
      <c r="V41" s="13" t="str">
        <f>_xll.BDH("GILD US Equity","ARDR_REV_IMPCT_COVID_19_CHRG","FQ3 2023","FQ3 2023","Currency=USD","Period=FQ","BEST_FPERIOD_OVERRIDE=FQ","FILING_STATUS=MR","SCALING_FORMAT=MLN","Sort=A","Dates=H","DateFormat=P","Fill=—","Direction=H","UseDPDF=Y")</f>
        <v>—</v>
      </c>
      <c r="W41" s="13" t="str">
        <f>_xll.BDH("GILD US Equity","ARDR_REV_IMPCT_COVID_19_CHRG","FQ4 2023","FQ4 2023","Currency=USD","Period=FQ","BEST_FPERIOD_OVERRIDE=FQ","FILING_STATUS=MR","SCALING_FORMAT=MLN","Sort=A","Dates=H","DateFormat=P","Fill=—","Direction=H","UseDPDF=Y")</f>
        <v>—</v>
      </c>
      <c r="X41" s="13" t="str">
        <f>_xll.BDH("GILD US Equity","ARDR_REV_IMPCT_COVID_19_CHRG","FQ1 2024","FQ1 2024","Currency=USD","Period=FQ","BEST_FPERIOD_OVERRIDE=FQ","FILING_STATUS=MR","SCALING_FORMAT=MLN","Sort=A","Dates=H","DateFormat=P","Fill=—","Direction=H","UseDPDF=Y")</f>
        <v>—</v>
      </c>
      <c r="Y41" s="13" t="str">
        <f>_xll.BDH("GILD US Equity","ARDR_REV_IMPCT_COVID_19_CHRG","FQ2 2024","FQ2 2024","Currency=USD","Period=FQ","BEST_FPERIOD_OVERRIDE=FQ","FILING_STATUS=MR","SCALING_FORMAT=MLN","Sort=A","Dates=H","DateFormat=P","Fill=—","Direction=H","UseDPDF=Y")</f>
        <v>—</v>
      </c>
      <c r="Z41" s="13" t="str">
        <f>_xll.BDH("GILD US Equity","ARDR_REV_IMPCT_COVID_19_CHRG","FQ3 2024","FQ3 2024","Currency=USD","Period=FQ","BEST_FPERIOD_OVERRIDE=FQ","FILING_STATUS=MR","SCALING_FORMAT=MLN","Sort=A","Dates=H","DateFormat=P","Fill=—","Direction=H","UseDPDF=Y")</f>
        <v>—</v>
      </c>
      <c r="AA41" s="13" t="str">
        <f>_xll.BDH("GILD US Equity","ARDR_REV_IMPCT_COVID_19_CHRG","FQ4 2024","FQ4 2024","Currency=USD","Period=FQ","BEST_FPERIOD_OVERRIDE=FQ","FILING_STATUS=MR","SCALING_FORMAT=MLN","Sort=A","Dates=H","DateFormat=P","Fill=—","Direction=H","UseDPDF=Y")</f>
        <v>—</v>
      </c>
    </row>
    <row r="42" spans="1:27" x14ac:dyDescent="0.25">
      <c r="A42" s="10" t="s">
        <v>478</v>
      </c>
      <c r="B42" s="10" t="s">
        <v>479</v>
      </c>
      <c r="C42" s="13" t="str">
        <f>_xll.BDH("GILD US Equity","ARDR_COVID_19_RELTD_CHARGS_OPER","FQ4 2018","FQ4 2018","Currency=USD","Period=FQ","BEST_FPERIOD_OVERRIDE=FQ","FILING_STATUS=MR","SCALING_FORMAT=MLN","Sort=A","Dates=H","DateFormat=P","Fill=—","Direction=H","UseDPDF=Y")</f>
        <v>—</v>
      </c>
      <c r="D42" s="13" t="str">
        <f>_xll.BDH("GILD US Equity","ARDR_COVID_19_RELTD_CHARGS_OPER","FQ1 2019","FQ1 2019","Currency=USD","Period=FQ","BEST_FPERIOD_OVERRIDE=FQ","FILING_STATUS=MR","SCALING_FORMAT=MLN","Sort=A","Dates=H","DateFormat=P","Fill=—","Direction=H","UseDPDF=Y")</f>
        <v>—</v>
      </c>
      <c r="E42" s="13" t="str">
        <f>_xll.BDH("GILD US Equity","ARDR_COVID_19_RELTD_CHARGS_OPER","FQ2 2019","FQ2 2019","Currency=USD","Period=FQ","BEST_FPERIOD_OVERRIDE=FQ","FILING_STATUS=MR","SCALING_FORMAT=MLN","Sort=A","Dates=H","DateFormat=P","Fill=—","Direction=H","UseDPDF=Y")</f>
        <v>—</v>
      </c>
      <c r="F42" s="13" t="str">
        <f>_xll.BDH("GILD US Equity","ARDR_COVID_19_RELTD_CHARGS_OPER","FQ3 2019","FQ3 2019","Currency=USD","Period=FQ","BEST_FPERIOD_OVERRIDE=FQ","FILING_STATUS=MR","SCALING_FORMAT=MLN","Sort=A","Dates=H","DateFormat=P","Fill=—","Direction=H","UseDPDF=Y")</f>
        <v>—</v>
      </c>
      <c r="G42" s="13" t="str">
        <f>_xll.BDH("GILD US Equity","ARDR_COVID_19_RELTD_CHARGS_OPER","FQ4 2019","FQ4 2019","Currency=USD","Period=FQ","BEST_FPERIOD_OVERRIDE=FQ","FILING_STATUS=MR","SCALING_FORMAT=MLN","Sort=A","Dates=H","DateFormat=P","Fill=—","Direction=H","UseDPDF=Y")</f>
        <v>—</v>
      </c>
      <c r="H42" s="13">
        <f>_xll.BDH("GILD US Equity","ARDR_COVID_19_RELTD_CHARGS_OPER","FQ1 2020","FQ1 2020","Currency=USD","Period=FQ","BEST_FPERIOD_OVERRIDE=FQ","FILING_STATUS=MR","SCALING_FORMAT=MLN","Sort=A","Dates=H","DateFormat=P","Fill=—","Direction=H","UseDPDF=Y")</f>
        <v>50</v>
      </c>
      <c r="I42" s="13" t="str">
        <f>_xll.BDH("GILD US Equity","ARDR_COVID_19_RELTD_CHARGS_OPER","FQ2 2020","FQ2 2020","Currency=USD","Period=FQ","BEST_FPERIOD_OVERRIDE=FQ","FILING_STATUS=MR","SCALING_FORMAT=MLN","Sort=A","Dates=H","DateFormat=P","Fill=—","Direction=H","UseDPDF=Y")</f>
        <v>—</v>
      </c>
      <c r="J42" s="13" t="str">
        <f>_xll.BDH("GILD US Equity","ARDR_COVID_19_RELTD_CHARGS_OPER","FQ3 2020","FQ3 2020","Currency=USD","Period=FQ","BEST_FPERIOD_OVERRIDE=FQ","FILING_STATUS=MR","SCALING_FORMAT=MLN","Sort=A","Dates=H","DateFormat=P","Fill=—","Direction=H","UseDPDF=Y")</f>
        <v>—</v>
      </c>
      <c r="K42" s="13" t="str">
        <f>_xll.BDH("GILD US Equity","ARDR_COVID_19_RELTD_CHARGS_OPER","FQ4 2020","FQ4 2020","Currency=USD","Period=FQ","BEST_FPERIOD_OVERRIDE=FQ","FILING_STATUS=MR","SCALING_FORMAT=MLN","Sort=A","Dates=H","DateFormat=P","Fill=—","Direction=H","UseDPDF=Y")</f>
        <v>—</v>
      </c>
      <c r="L42" s="13" t="str">
        <f>_xll.BDH("GILD US Equity","ARDR_COVID_19_RELTD_CHARGS_OPER","FQ1 2021","FQ1 2021","Currency=USD","Period=FQ","BEST_FPERIOD_OVERRIDE=FQ","FILING_STATUS=MR","SCALING_FORMAT=MLN","Sort=A","Dates=H","DateFormat=P","Fill=—","Direction=H","UseDPDF=Y")</f>
        <v>—</v>
      </c>
      <c r="M42" s="13" t="str">
        <f>_xll.BDH("GILD US Equity","ARDR_COVID_19_RELTD_CHARGS_OPER","FQ2 2021","FQ2 2021","Currency=USD","Period=FQ","BEST_FPERIOD_OVERRIDE=FQ","FILING_STATUS=MR","SCALING_FORMAT=MLN","Sort=A","Dates=H","DateFormat=P","Fill=—","Direction=H","UseDPDF=Y")</f>
        <v>—</v>
      </c>
      <c r="N42" s="13" t="str">
        <f>_xll.BDH("GILD US Equity","ARDR_COVID_19_RELTD_CHARGS_OPER","FQ3 2021","FQ3 2021","Currency=USD","Period=FQ","BEST_FPERIOD_OVERRIDE=FQ","FILING_STATUS=MR","SCALING_FORMAT=MLN","Sort=A","Dates=H","DateFormat=P","Fill=—","Direction=H","UseDPDF=Y")</f>
        <v>—</v>
      </c>
      <c r="O42" s="13" t="str">
        <f>_xll.BDH("GILD US Equity","ARDR_COVID_19_RELTD_CHARGS_OPER","FQ4 2021","FQ4 2021","Currency=USD","Period=FQ","BEST_FPERIOD_OVERRIDE=FQ","FILING_STATUS=MR","SCALING_FORMAT=MLN","Sort=A","Dates=H","DateFormat=P","Fill=—","Direction=H","UseDPDF=Y")</f>
        <v>—</v>
      </c>
      <c r="P42" s="13" t="str">
        <f>_xll.BDH("GILD US Equity","ARDR_COVID_19_RELTD_CHARGS_OPER","FQ1 2022","FQ1 2022","Currency=USD","Period=FQ","BEST_FPERIOD_OVERRIDE=FQ","FILING_STATUS=MR","SCALING_FORMAT=MLN","Sort=A","Dates=H","DateFormat=P","Fill=—","Direction=H","UseDPDF=Y")</f>
        <v>—</v>
      </c>
      <c r="Q42" s="13" t="str">
        <f>_xll.BDH("GILD US Equity","ARDR_COVID_19_RELTD_CHARGS_OPER","FQ2 2022","FQ2 2022","Currency=USD","Period=FQ","BEST_FPERIOD_OVERRIDE=FQ","FILING_STATUS=MR","SCALING_FORMAT=MLN","Sort=A","Dates=H","DateFormat=P","Fill=—","Direction=H","UseDPDF=Y")</f>
        <v>—</v>
      </c>
      <c r="R42" s="13" t="str">
        <f>_xll.BDH("GILD US Equity","ARDR_COVID_19_RELTD_CHARGS_OPER","FQ3 2022","FQ3 2022","Currency=USD","Period=FQ","BEST_FPERIOD_OVERRIDE=FQ","FILING_STATUS=MR","SCALING_FORMAT=MLN","Sort=A","Dates=H","DateFormat=P","Fill=—","Direction=H","UseDPDF=Y")</f>
        <v>—</v>
      </c>
      <c r="S42" s="13" t="str">
        <f>_xll.BDH("GILD US Equity","ARDR_COVID_19_RELTD_CHARGS_OPER","FQ4 2022","FQ4 2022","Currency=USD","Period=FQ","BEST_FPERIOD_OVERRIDE=FQ","FILING_STATUS=MR","SCALING_FORMAT=MLN","Sort=A","Dates=H","DateFormat=P","Fill=—","Direction=H","UseDPDF=Y")</f>
        <v>—</v>
      </c>
      <c r="T42" s="13" t="str">
        <f>_xll.BDH("GILD US Equity","ARDR_COVID_19_RELTD_CHARGS_OPER","FQ1 2023","FQ1 2023","Currency=USD","Period=FQ","BEST_FPERIOD_OVERRIDE=FQ","FILING_STATUS=MR","SCALING_FORMAT=MLN","Sort=A","Dates=H","DateFormat=P","Fill=—","Direction=H","UseDPDF=Y")</f>
        <v>—</v>
      </c>
      <c r="U42" s="13" t="str">
        <f>_xll.BDH("GILD US Equity","ARDR_COVID_19_RELTD_CHARGS_OPER","FQ2 2023","FQ2 2023","Currency=USD","Period=FQ","BEST_FPERIOD_OVERRIDE=FQ","FILING_STATUS=MR","SCALING_FORMAT=MLN","Sort=A","Dates=H","DateFormat=P","Fill=—","Direction=H","UseDPDF=Y")</f>
        <v>—</v>
      </c>
      <c r="V42" s="13" t="str">
        <f>_xll.BDH("GILD US Equity","ARDR_COVID_19_RELTD_CHARGS_OPER","FQ3 2023","FQ3 2023","Currency=USD","Period=FQ","BEST_FPERIOD_OVERRIDE=FQ","FILING_STATUS=MR","SCALING_FORMAT=MLN","Sort=A","Dates=H","DateFormat=P","Fill=—","Direction=H","UseDPDF=Y")</f>
        <v>—</v>
      </c>
      <c r="W42" s="13" t="str">
        <f>_xll.BDH("GILD US Equity","ARDR_COVID_19_RELTD_CHARGS_OPER","FQ4 2023","FQ4 2023","Currency=USD","Period=FQ","BEST_FPERIOD_OVERRIDE=FQ","FILING_STATUS=MR","SCALING_FORMAT=MLN","Sort=A","Dates=H","DateFormat=P","Fill=—","Direction=H","UseDPDF=Y")</f>
        <v>—</v>
      </c>
      <c r="X42" s="13" t="str">
        <f>_xll.BDH("GILD US Equity","ARDR_COVID_19_RELTD_CHARGS_OPER","FQ1 2024","FQ1 2024","Currency=USD","Period=FQ","BEST_FPERIOD_OVERRIDE=FQ","FILING_STATUS=MR","SCALING_FORMAT=MLN","Sort=A","Dates=H","DateFormat=P","Fill=—","Direction=H","UseDPDF=Y")</f>
        <v>—</v>
      </c>
      <c r="Y42" s="13" t="str">
        <f>_xll.BDH("GILD US Equity","ARDR_COVID_19_RELTD_CHARGS_OPER","FQ2 2024","FQ2 2024","Currency=USD","Period=FQ","BEST_FPERIOD_OVERRIDE=FQ","FILING_STATUS=MR","SCALING_FORMAT=MLN","Sort=A","Dates=H","DateFormat=P","Fill=—","Direction=H","UseDPDF=Y")</f>
        <v>—</v>
      </c>
      <c r="Z42" s="13" t="str">
        <f>_xll.BDH("GILD US Equity","ARDR_COVID_19_RELTD_CHARGS_OPER","FQ3 2024","FQ3 2024","Currency=USD","Period=FQ","BEST_FPERIOD_OVERRIDE=FQ","FILING_STATUS=MR","SCALING_FORMAT=MLN","Sort=A","Dates=H","DateFormat=P","Fill=—","Direction=H","UseDPDF=Y")</f>
        <v>—</v>
      </c>
      <c r="AA42" s="13" t="str">
        <f>_xll.BDH("GILD US Equity","ARDR_COVID_19_RELTD_CHARGS_OPER","FQ4 2024","FQ4 2024","Currency=USD","Period=FQ","BEST_FPERIOD_OVERRIDE=FQ","FILING_STATUS=MR","SCALING_FORMAT=MLN","Sort=A","Dates=H","DateFormat=P","Fill=—","Direction=H","UseDPDF=Y")</f>
        <v>—</v>
      </c>
    </row>
    <row r="43" spans="1:27" x14ac:dyDescent="0.25">
      <c r="A43" s="10" t="s">
        <v>428</v>
      </c>
      <c r="B43" s="10" t="s">
        <v>480</v>
      </c>
      <c r="C43" s="13" t="str">
        <f>_xll.BDH("GILD US Equity","ARDR_COST_OF_GOODS_SOLD","FQ4 2018","FQ4 2018","Currency=USD","Period=FQ","BEST_FPERIOD_OVERRIDE=FQ","FILING_STATUS=MR","SCALING_FORMAT=MLN","Sort=A","Dates=H","DateFormat=P","Fill=—","Direction=H","UseDPDF=Y")</f>
        <v>—</v>
      </c>
      <c r="D43" s="13">
        <f>_xll.BDH("GILD US Equity","ARDR_COST_OF_GOODS_SOLD","FQ1 2019","FQ1 2019","Currency=USD","Period=FQ","BEST_FPERIOD_OVERRIDE=FQ","FILING_STATUS=MR","SCALING_FORMAT=MLN","Sort=A","Dates=H","DateFormat=P","Fill=—","Direction=H","UseDPDF=Y")</f>
        <v>957</v>
      </c>
      <c r="E43" s="13">
        <f>_xll.BDH("GILD US Equity","ARDR_COST_OF_GOODS_SOLD","FQ2 2019","FQ2 2019","Currency=USD","Period=FQ","BEST_FPERIOD_OVERRIDE=FQ","FILING_STATUS=MR","SCALING_FORMAT=MLN","Sort=A","Dates=H","DateFormat=P","Fill=—","Direction=H","UseDPDF=Y")</f>
        <v>1000</v>
      </c>
      <c r="F43" s="13">
        <f>_xll.BDH("GILD US Equity","ARDR_COST_OF_GOODS_SOLD","FQ3 2019","FQ3 2019","Currency=USD","Period=FQ","BEST_FPERIOD_OVERRIDE=FQ","FILING_STATUS=MR","SCALING_FORMAT=MLN","Sort=A","Dates=H","DateFormat=P","Fill=—","Direction=H","UseDPDF=Y")</f>
        <v>1035</v>
      </c>
      <c r="G43" s="13">
        <f>_xll.BDH("GILD US Equity","ARDR_COST_OF_GOODS_SOLD","FQ4 2019","FQ4 2019","Currency=USD","Period=FQ","BEST_FPERIOD_OVERRIDE=FQ","FILING_STATUS=MR","SCALING_FORMAT=MLN","Sort=A","Dates=H","DateFormat=P","Fill=—","Direction=H","UseDPDF=Y")</f>
        <v>1683</v>
      </c>
      <c r="H43" s="13">
        <f>_xll.BDH("GILD US Equity","ARDR_COST_OF_GOODS_SOLD","FQ1 2020","FQ1 2020","Currency=USD","Period=FQ","BEST_FPERIOD_OVERRIDE=FQ","FILING_STATUS=MR","SCALING_FORMAT=MLN","Sort=A","Dates=H","DateFormat=P","Fill=—","Direction=H","UseDPDF=Y")</f>
        <v>969</v>
      </c>
      <c r="I43" s="13">
        <f>_xll.BDH("GILD US Equity","ARDR_COST_OF_GOODS_SOLD","FQ2 2020","FQ2 2020","Currency=USD","Period=FQ","BEST_FPERIOD_OVERRIDE=FQ","FILING_STATUS=MR","SCALING_FORMAT=MLN","Sort=A","Dates=H","DateFormat=P","Fill=—","Direction=H","UseDPDF=Y")</f>
        <v>1064</v>
      </c>
      <c r="J43" s="13">
        <f>_xll.BDH("GILD US Equity","ARDR_COST_OF_GOODS_SOLD","FQ3 2020","FQ3 2020","Currency=USD","Period=FQ","BEST_FPERIOD_OVERRIDE=FQ","FILING_STATUS=MR","SCALING_FORMAT=MLN","Sort=A","Dates=H","DateFormat=P","Fill=—","Direction=H","UseDPDF=Y")</f>
        <v>1141</v>
      </c>
      <c r="K43" s="13">
        <f>_xll.BDH("GILD US Equity","ARDR_COST_OF_GOODS_SOLD","FQ4 2020","FQ4 2020","Currency=USD","Period=FQ","BEST_FPERIOD_OVERRIDE=FQ","FILING_STATUS=MR","SCALING_FORMAT=MLN","Sort=A","Dates=H","DateFormat=P","Fill=—","Direction=H","UseDPDF=Y")</f>
        <v>1398</v>
      </c>
      <c r="L43" s="13">
        <f>_xll.BDH("GILD US Equity","ARDR_COST_OF_GOODS_SOLD","FQ1 2021","FQ1 2021","Currency=USD","Period=FQ","BEST_FPERIOD_OVERRIDE=FQ","FILING_STATUS=MR","SCALING_FORMAT=MLN","Sort=A","Dates=H","DateFormat=P","Fill=—","Direction=H","UseDPDF=Y")</f>
        <v>1361</v>
      </c>
      <c r="M43" s="13">
        <f>_xll.BDH("GILD US Equity","ARDR_COST_OF_GOODS_SOLD","FQ2 2021","FQ2 2021","Currency=USD","Period=FQ","BEST_FPERIOD_OVERRIDE=FQ","FILING_STATUS=MR","SCALING_FORMAT=MLN","Sort=A","Dates=H","DateFormat=P","Fill=—","Direction=H","UseDPDF=Y")</f>
        <v>1390</v>
      </c>
      <c r="N43" s="13">
        <f>_xll.BDH("GILD US Equity","ARDR_COST_OF_GOODS_SOLD","FQ3 2021","FQ3 2021","Currency=USD","Period=FQ","BEST_FPERIOD_OVERRIDE=FQ","FILING_STATUS=MR","SCALING_FORMAT=MLN","Sort=A","Dates=H","DateFormat=P","Fill=—","Direction=H","UseDPDF=Y")</f>
        <v>1223</v>
      </c>
      <c r="O43" s="13">
        <f>_xll.BDH("GILD US Equity","ARDR_COST_OF_GOODS_SOLD","FQ4 2021","FQ4 2021","Currency=USD","Period=FQ","BEST_FPERIOD_OVERRIDE=FQ","FILING_STATUS=MR","SCALING_FORMAT=MLN","Sort=A","Dates=H","DateFormat=P","Fill=—","Direction=H","UseDPDF=Y")</f>
        <v>2627</v>
      </c>
      <c r="P43" s="13">
        <f>_xll.BDH("GILD US Equity","ARDR_COST_OF_GOODS_SOLD","FQ1 2022","FQ1 2022","Currency=USD","Period=FQ","BEST_FPERIOD_OVERRIDE=FQ","FILING_STATUS=MR","SCALING_FORMAT=MLN","Sort=A","Dates=H","DateFormat=P","Fill=—","Direction=H","UseDPDF=Y")</f>
        <v>1424</v>
      </c>
      <c r="Q43" s="13">
        <f>_xll.BDH("GILD US Equity","ARDR_COST_OF_GOODS_SOLD","FQ2 2022","FQ2 2022","Currency=USD","Period=FQ","BEST_FPERIOD_OVERRIDE=FQ","FILING_STATUS=MR","SCALING_FORMAT=MLN","Sort=A","Dates=H","DateFormat=P","Fill=—","Direction=H","UseDPDF=Y")</f>
        <v>1442</v>
      </c>
      <c r="R43" s="13">
        <f>_xll.BDH("GILD US Equity","ARDR_COST_OF_GOODS_SOLD","FQ3 2022","FQ3 2022","Currency=USD","Period=FQ","BEST_FPERIOD_OVERRIDE=FQ","FILING_STATUS=MR","SCALING_FORMAT=MLN","Sort=A","Dates=H","DateFormat=P","Fill=—","Direction=H","UseDPDF=Y")</f>
        <v>1395</v>
      </c>
      <c r="S43" s="13">
        <f>_xll.BDH("GILD US Equity","ARDR_COST_OF_GOODS_SOLD","FQ4 2022","FQ4 2022","Currency=USD","Period=FQ","BEST_FPERIOD_OVERRIDE=FQ","FILING_STATUS=MR","SCALING_FORMAT=MLN","Sort=A","Dates=H","DateFormat=P","Fill=—","Direction=H","UseDPDF=Y")</f>
        <v>1396</v>
      </c>
      <c r="T43" s="13">
        <f>_xll.BDH("GILD US Equity","ARDR_COST_OF_GOODS_SOLD","FQ1 2023","FQ1 2023","Currency=USD","Period=FQ","BEST_FPERIOD_OVERRIDE=FQ","FILING_STATUS=MR","SCALING_FORMAT=MLN","Sort=A","Dates=H","DateFormat=P","Fill=—","Direction=H","UseDPDF=Y")</f>
        <v>1401</v>
      </c>
      <c r="U43" s="13">
        <f>_xll.BDH("GILD US Equity","ARDR_COST_OF_GOODS_SOLD","FQ2 2023","FQ2 2023","Currency=USD","Period=FQ","BEST_FPERIOD_OVERRIDE=FQ","FILING_STATUS=MR","SCALING_FORMAT=MLN","Sort=A","Dates=H","DateFormat=P","Fill=—","Direction=H","UseDPDF=Y")</f>
        <v>1442</v>
      </c>
      <c r="V43" s="13">
        <f>_xll.BDH("GILD US Equity","ARDR_COST_OF_GOODS_SOLD","FQ3 2023","FQ3 2023","Currency=USD","Period=FQ","BEST_FPERIOD_OVERRIDE=FQ","FILING_STATUS=MR","SCALING_FORMAT=MLN","Sort=A","Dates=H","DateFormat=P","Fill=—","Direction=H","UseDPDF=Y")</f>
        <v>1565</v>
      </c>
      <c r="W43" s="13">
        <f>_xll.BDH("GILD US Equity","ARDR_COST_OF_GOODS_SOLD","FQ4 2023","FQ4 2023","Currency=USD","Period=FQ","BEST_FPERIOD_OVERRIDE=FQ","FILING_STATUS=MR","SCALING_FORMAT=MLN","Sort=A","Dates=H","DateFormat=P","Fill=—","Direction=H","UseDPDF=Y")</f>
        <v>2090</v>
      </c>
      <c r="X43" s="13">
        <f>_xll.BDH("GILD US Equity","ARDR_COST_OF_GOODS_SOLD","FQ1 2024","FQ1 2024","Currency=USD","Period=FQ","BEST_FPERIOD_OVERRIDE=FQ","FILING_STATUS=MR","SCALING_FORMAT=MLN","Sort=A","Dates=H","DateFormat=P","Fill=—","Direction=H","UseDPDF=Y")</f>
        <v>1552</v>
      </c>
      <c r="Y43" s="13">
        <f>_xll.BDH("GILD US Equity","ARDR_COST_OF_GOODS_SOLD","FQ2 2024","FQ2 2024","Currency=USD","Period=FQ","BEST_FPERIOD_OVERRIDE=FQ","FILING_STATUS=MR","SCALING_FORMAT=MLN","Sort=A","Dates=H","DateFormat=P","Fill=—","Direction=H","UseDPDF=Y")</f>
        <v>1544</v>
      </c>
      <c r="Z43" s="13">
        <f>_xll.BDH("GILD US Equity","ARDR_COST_OF_GOODS_SOLD","FQ3 2024","FQ3 2024","Currency=USD","Period=FQ","BEST_FPERIOD_OVERRIDE=FQ","FILING_STATUS=MR","SCALING_FORMAT=MLN","Sort=A","Dates=H","DateFormat=P","Fill=—","Direction=H","UseDPDF=Y")</f>
        <v>1574</v>
      </c>
      <c r="AA43" s="13">
        <f>_xll.BDH("GILD US Equity","ARDR_COST_OF_GOODS_SOLD","FQ4 2024","FQ4 2024","Currency=USD","Period=FQ","BEST_FPERIOD_OVERRIDE=FQ","FILING_STATUS=MR","SCALING_FORMAT=MLN","Sort=A","Dates=H","DateFormat=P","Fill=—","Direction=H","UseDPDF=Y")</f>
        <v>1581</v>
      </c>
    </row>
    <row r="44" spans="1:27" x14ac:dyDescent="0.25">
      <c r="A44" s="10" t="s">
        <v>481</v>
      </c>
      <c r="B44" s="10" t="s">
        <v>482</v>
      </c>
      <c r="C44" s="13">
        <f>_xll.BDH("GILD US Equity","ARDR_AMORT_EXP","FQ4 2018","FQ4 2018","Currency=USD","Period=FQ","BEST_FPERIOD_OVERRIDE=FQ","FILING_STATUS=MR","SCALING_FORMAT=MLN","Sort=A","Dates=H","DateFormat=P","Fill=—","Direction=H","UseDPDF=Y")</f>
        <v>301</v>
      </c>
      <c r="D44" s="13">
        <f>_xll.BDH("GILD US Equity","ARDR_AMORT_EXP","FQ1 2019","FQ1 2019","Currency=USD","Period=FQ","BEST_FPERIOD_OVERRIDE=FQ","FILING_STATUS=MR","SCALING_FORMAT=MLN","Sort=A","Dates=H","DateFormat=P","Fill=—","Direction=H","UseDPDF=Y")</f>
        <v>283</v>
      </c>
      <c r="E44" s="13">
        <f>_xll.BDH("GILD US Equity","ARDR_AMORT_EXP","FQ2 2019","FQ2 2019","Currency=USD","Period=FQ","BEST_FPERIOD_OVERRIDE=FQ","FILING_STATUS=MR","SCALING_FORMAT=MLN","Sort=A","Dates=H","DateFormat=P","Fill=—","Direction=H","UseDPDF=Y")</f>
        <v>273</v>
      </c>
      <c r="F44" s="13">
        <f>_xll.BDH("GILD US Equity","ARDR_AMORT_EXP","FQ3 2019","FQ3 2019","Currency=USD","Period=FQ","BEST_FPERIOD_OVERRIDE=FQ","FILING_STATUS=MR","SCALING_FORMAT=MLN","Sort=A","Dates=H","DateFormat=P","Fill=—","Direction=H","UseDPDF=Y")</f>
        <v>266</v>
      </c>
      <c r="G44" s="13">
        <f>_xll.BDH("GILD US Equity","ARDR_AMORT_EXP","FQ4 2019","FQ4 2019","Currency=USD","Period=FQ","BEST_FPERIOD_OVERRIDE=FQ","FILING_STATUS=MR","SCALING_FORMAT=MLN","Sort=A","Dates=H","DateFormat=P","Fill=—","Direction=H","UseDPDF=Y")</f>
        <v>266</v>
      </c>
      <c r="H44" s="13">
        <f>_xll.BDH("GILD US Equity","ARDR_AMORT_EXP","FQ1 2020","FQ1 2020","Currency=USD","Period=FQ","BEST_FPERIOD_OVERRIDE=FQ","FILING_STATUS=MR","SCALING_FORMAT=MLN","Sort=A","Dates=H","DateFormat=P","Fill=—","Direction=H","UseDPDF=Y")</f>
        <v>266</v>
      </c>
      <c r="I44" s="13">
        <f>_xll.BDH("GILD US Equity","ARDR_AMORT_EXP","FQ2 2020","FQ2 2020","Currency=USD","Period=FQ","BEST_FPERIOD_OVERRIDE=FQ","FILING_STATUS=MR","SCALING_FORMAT=MLN","Sort=A","Dates=H","DateFormat=P","Fill=—","Direction=H","UseDPDF=Y")</f>
        <v>266</v>
      </c>
      <c r="J44" s="13">
        <f>_xll.BDH("GILD US Equity","ARDR_AMORT_EXP","FQ3 2020","FQ3 2020","Currency=USD","Period=FQ","BEST_FPERIOD_OVERRIDE=FQ","FILING_STATUS=MR","SCALING_FORMAT=MLN","Sort=A","Dates=H","DateFormat=P","Fill=—","Direction=H","UseDPDF=Y")</f>
        <v>266</v>
      </c>
      <c r="K44" s="13">
        <f>_xll.BDH("GILD US Equity","ARDR_AMORT_EXP","FQ4 2020","FQ4 2020","Currency=USD","Period=FQ","BEST_FPERIOD_OVERRIDE=FQ","FILING_STATUS=MR","SCALING_FORMAT=MLN","Sort=A","Dates=H","DateFormat=P","Fill=—","Direction=H","UseDPDF=Y")</f>
        <v>417</v>
      </c>
      <c r="L44" s="13">
        <f>_xll.BDH("GILD US Equity","ARDR_AMORT_EXP","FQ1 2021","FQ1 2021","Currency=USD","Period=FQ","BEST_FPERIOD_OVERRIDE=FQ","FILING_STATUS=MR","SCALING_FORMAT=MLN","Sort=A","Dates=H","DateFormat=P","Fill=—","Direction=H","UseDPDF=Y")</f>
        <v>506</v>
      </c>
      <c r="M44" s="13">
        <f>_xll.BDH("GILD US Equity","ARDR_AMORT_EXP","FQ2 2021","FQ2 2021","Currency=USD","Period=FQ","BEST_FPERIOD_OVERRIDE=FQ","FILING_STATUS=MR","SCALING_FORMAT=MLN","Sort=A","Dates=H","DateFormat=P","Fill=—","Direction=H","UseDPDF=Y")</f>
        <v>554</v>
      </c>
      <c r="N44" s="13" t="str">
        <f>_xll.BDH("GILD US Equity","ARDR_AMORT_EXP","FQ3 2021","FQ3 2021","Currency=USD","Period=FQ","BEST_FPERIOD_OVERRIDE=FQ","FILING_STATUS=MR","SCALING_FORMAT=MLN","Sort=A","Dates=H","DateFormat=P","Fill=—","Direction=H","UseDPDF=Y")</f>
        <v>—</v>
      </c>
      <c r="O44" s="13">
        <f>_xll.BDH("GILD US Equity","ARDR_AMORT_EXP","FQ4 2021","FQ4 2021","Currency=USD","Period=FQ","BEST_FPERIOD_OVERRIDE=FQ","FILING_STATUS=MR","SCALING_FORMAT=MLN","Sort=A","Dates=H","DateFormat=P","Fill=—","Direction=H","UseDPDF=Y")</f>
        <v>516</v>
      </c>
      <c r="P44" s="13">
        <f>_xll.BDH("GILD US Equity","ARDR_AMORT_EXP","FQ1 2022","FQ1 2022","Currency=USD","Period=FQ","BEST_FPERIOD_OVERRIDE=FQ","FILING_STATUS=MR","SCALING_FORMAT=MLN","Sort=A","Dates=H","DateFormat=P","Fill=—","Direction=H","UseDPDF=Y")</f>
        <v>599</v>
      </c>
      <c r="Q44" s="13">
        <f>_xll.BDH("GILD US Equity","ARDR_AMORT_EXP","FQ2 2022","FQ2 2022","Currency=USD","Period=FQ","BEST_FPERIOD_OVERRIDE=FQ","FILING_STATUS=MR","SCALING_FORMAT=MLN","Sort=A","Dates=H","DateFormat=P","Fill=—","Direction=H","UseDPDF=Y")</f>
        <v>556</v>
      </c>
      <c r="R44" s="13" t="str">
        <f>_xll.BDH("GILD US Equity","ARDR_AMORT_EXP","FQ3 2022","FQ3 2022","Currency=USD","Period=FQ","BEST_FPERIOD_OVERRIDE=FQ","FILING_STATUS=MR","SCALING_FORMAT=MLN","Sort=A","Dates=H","DateFormat=P","Fill=—","Direction=H","UseDPDF=Y")</f>
        <v>—</v>
      </c>
      <c r="S44" s="13">
        <f>_xll.BDH("GILD US Equity","ARDR_AMORT_EXP","FQ4 2022","FQ4 2022","Currency=USD","Period=FQ","BEST_FPERIOD_OVERRIDE=FQ","FILING_STATUS=MR","SCALING_FORMAT=MLN","Sort=A","Dates=H","DateFormat=P","Fill=—","Direction=H","UseDPDF=Y")</f>
        <v>445</v>
      </c>
      <c r="T44" s="13">
        <f>_xll.BDH("GILD US Equity","ARDR_AMORT_EXP","FQ1 2023","FQ1 2023","Currency=USD","Period=FQ","BEST_FPERIOD_OVERRIDE=FQ","FILING_STATUS=MR","SCALING_FORMAT=MLN","Sort=A","Dates=H","DateFormat=P","Fill=—","Direction=H","UseDPDF=Y")</f>
        <v>530</v>
      </c>
      <c r="U44" s="13">
        <f>_xll.BDH("GILD US Equity","ARDR_AMORT_EXP","FQ2 2023","FQ2 2023","Currency=USD","Period=FQ","BEST_FPERIOD_OVERRIDE=FQ","FILING_STATUS=MR","SCALING_FORMAT=MLN","Sort=A","Dates=H","DateFormat=P","Fill=—","Direction=H","UseDPDF=Y")</f>
        <v>581</v>
      </c>
      <c r="V44" s="13">
        <f>_xll.BDH("GILD US Equity","ARDR_AMORT_EXP","FQ3 2023","FQ3 2023","Currency=USD","Period=FQ","BEST_FPERIOD_OVERRIDE=FQ","FILING_STATUS=MR","SCALING_FORMAT=MLN","Sort=A","Dates=H","DateFormat=P","Fill=—","Direction=H","UseDPDF=Y")</f>
        <v>598</v>
      </c>
      <c r="W44" s="13">
        <f>_xll.BDH("GILD US Equity","ARDR_AMORT_EXP","FQ4 2023","FQ4 2023","Currency=USD","Period=FQ","BEST_FPERIOD_OVERRIDE=FQ","FILING_STATUS=MR","SCALING_FORMAT=MLN","Sort=A","Dates=H","DateFormat=P","Fill=—","Direction=H","UseDPDF=Y")</f>
        <v>580</v>
      </c>
      <c r="X44" s="13">
        <f>_xll.BDH("GILD US Equity","ARDR_AMORT_EXP","FQ1 2024","FQ1 2024","Currency=USD","Period=FQ","BEST_FPERIOD_OVERRIDE=FQ","FILING_STATUS=MR","SCALING_FORMAT=MLN","Sort=A","Dates=H","DateFormat=P","Fill=—","Direction=H","UseDPDF=Y")</f>
        <v>579</v>
      </c>
      <c r="Y44" s="13">
        <f>_xll.BDH("GILD US Equity","ARDR_AMORT_EXP","FQ2 2024","FQ2 2024","Currency=USD","Period=FQ","BEST_FPERIOD_OVERRIDE=FQ","FILING_STATUS=MR","SCALING_FORMAT=MLN","Sort=A","Dates=H","DateFormat=P","Fill=—","Direction=H","UseDPDF=Y")</f>
        <v>613</v>
      </c>
      <c r="Z44" s="13">
        <f>_xll.BDH("GILD US Equity","ARDR_AMORT_EXP","FQ3 2024","FQ3 2024","Currency=USD","Period=FQ","BEST_FPERIOD_OVERRIDE=FQ","FILING_STATUS=MR","SCALING_FORMAT=MLN","Sort=A","Dates=H","DateFormat=P","Fill=—","Direction=H","UseDPDF=Y")</f>
        <v>596</v>
      </c>
      <c r="AA44" s="13">
        <f>_xll.BDH("GILD US Equity","ARDR_AMORT_EXP","FQ4 2024","FQ4 2024","Currency=USD","Period=FQ","BEST_FPERIOD_OVERRIDE=FQ","FILING_STATUS=MR","SCALING_FORMAT=MLN","Sort=A","Dates=H","DateFormat=P","Fill=—","Direction=H","UseDPDF=Y")</f>
        <v>598</v>
      </c>
    </row>
    <row r="45" spans="1:27" x14ac:dyDescent="0.25">
      <c r="A45" s="10" t="s">
        <v>430</v>
      </c>
      <c r="B45" s="10" t="s">
        <v>483</v>
      </c>
      <c r="C45" s="13">
        <f>_xll.BDH("GILD US Equity","ARDR_R&amp;D_EXPENDITURES","FQ4 2018","FQ4 2018","Currency=USD","Period=FQ","BEST_FPERIOD_OVERRIDE=FQ","FILING_STATUS=MR","SCALING_FORMAT=MLN","Sort=A","Dates=H","DateFormat=P","Fill=—","Direction=H","UseDPDF=Y")</f>
        <v>1950</v>
      </c>
      <c r="D45" s="13">
        <f>_xll.BDH("GILD US Equity","ARDR_R&amp;D_EXPENDITURES","FQ1 2019","FQ1 2019","Currency=USD","Period=FQ","BEST_FPERIOD_OVERRIDE=FQ","FILING_STATUS=MR","SCALING_FORMAT=MLN","Sort=A","Dates=H","DateFormat=P","Fill=—","Direction=H","UseDPDF=Y")</f>
        <v>1057</v>
      </c>
      <c r="E45" s="13">
        <f>_xll.BDH("GILD US Equity","ARDR_R&amp;D_EXPENDITURES","FQ2 2019","FQ2 2019","Currency=USD","Period=FQ","BEST_FPERIOD_OVERRIDE=FQ","FILING_STATUS=MR","SCALING_FORMAT=MLN","Sort=A","Dates=H","DateFormat=P","Fill=—","Direction=H","UseDPDF=Y")</f>
        <v>1160</v>
      </c>
      <c r="F45" s="13">
        <f>_xll.BDH("GILD US Equity","ARDR_R&amp;D_EXPENDITURES","FQ3 2019","FQ3 2019","Currency=USD","Period=FQ","BEST_FPERIOD_OVERRIDE=FQ","FILING_STATUS=MR","SCALING_FORMAT=MLN","Sort=A","Dates=H","DateFormat=P","Fill=—","Direction=H","UseDPDF=Y")</f>
        <v>1030</v>
      </c>
      <c r="G45" s="13">
        <f>_xll.BDH("GILD US Equity","ARDR_R&amp;D_EXPENDITURES","FQ4 2019","FQ4 2019","Currency=USD","Period=FQ","BEST_FPERIOD_OVERRIDE=FQ","FILING_STATUS=MR","SCALING_FORMAT=MLN","Sort=A","Dates=H","DateFormat=P","Fill=—","Direction=H","UseDPDF=Y")</f>
        <v>1899</v>
      </c>
      <c r="H45" s="13">
        <f>_xll.BDH("GILD US Equity","ARDR_R&amp;D_EXPENDITURES","FQ1 2020","FQ1 2020","Currency=USD","Period=FQ","BEST_FPERIOD_OVERRIDE=FQ","FILING_STATUS=MR","SCALING_FORMAT=MLN","Sort=A","Dates=H","DateFormat=P","Fill=—","Direction=H","UseDPDF=Y")</f>
        <v>1004</v>
      </c>
      <c r="I45" s="13">
        <f>_xll.BDH("GILD US Equity","ARDR_R&amp;D_EXPENDITURES","FQ2 2020","FQ2 2020","Currency=USD","Period=FQ","BEST_FPERIOD_OVERRIDE=FQ","FILING_STATUS=MR","SCALING_FORMAT=MLN","Sort=A","Dates=H","DateFormat=P","Fill=—","Direction=H","UseDPDF=Y")</f>
        <v>1299</v>
      </c>
      <c r="J45" s="13">
        <f>_xll.BDH("GILD US Equity","ARDR_R&amp;D_EXPENDITURES","FQ3 2020","FQ3 2020","Currency=USD","Period=FQ","BEST_FPERIOD_OVERRIDE=FQ","FILING_STATUS=MR","SCALING_FORMAT=MLN","Sort=A","Dates=H","DateFormat=P","Fill=—","Direction=H","UseDPDF=Y")</f>
        <v>1158</v>
      </c>
      <c r="K45" s="13">
        <f>_xll.BDH("GILD US Equity","ARDR_R&amp;D_EXPENDITURES","FQ4 2020","FQ4 2020","Currency=USD","Period=FQ","BEST_FPERIOD_OVERRIDE=FQ","FILING_STATUS=MR","SCALING_FORMAT=MLN","Sort=A","Dates=H","DateFormat=P","Fill=—","Direction=H","UseDPDF=Y")</f>
        <v>1578</v>
      </c>
      <c r="L45" s="13">
        <f>_xll.BDH("GILD US Equity","ARDR_R&amp;D_EXPENDITURES","FQ1 2021","FQ1 2021","Currency=USD","Period=FQ","BEST_FPERIOD_OVERRIDE=FQ","FILING_STATUS=MR","SCALING_FORMAT=MLN","Sort=A","Dates=H","DateFormat=P","Fill=—","Direction=H","UseDPDF=Y")</f>
        <v>1055</v>
      </c>
      <c r="M45" s="13">
        <f>_xll.BDH("GILD US Equity","ARDR_R&amp;D_EXPENDITURES","FQ2 2021","FQ2 2021","Currency=USD","Period=FQ","BEST_FPERIOD_OVERRIDE=FQ","FILING_STATUS=MR","SCALING_FORMAT=MLN","Sort=A","Dates=H","DateFormat=P","Fill=—","Direction=H","UseDPDF=Y")</f>
        <v>1134</v>
      </c>
      <c r="N45" s="13">
        <f>_xll.BDH("GILD US Equity","ARDR_R&amp;D_EXPENDITURES","FQ3 2021","FQ3 2021","Currency=USD","Period=FQ","BEST_FPERIOD_OVERRIDE=FQ","FILING_STATUS=MR","SCALING_FORMAT=MLN","Sort=A","Dates=H","DateFormat=P","Fill=—","Direction=H","UseDPDF=Y")</f>
        <v>1101</v>
      </c>
      <c r="O45" s="13">
        <f>_xll.BDH("GILD US Equity","ARDR_R&amp;D_EXPENDITURES","FQ4 2021","FQ4 2021","Currency=USD","Period=FQ","BEST_FPERIOD_OVERRIDE=FQ","FILING_STATUS=MR","SCALING_FORMAT=MLN","Sort=A","Dates=H","DateFormat=P","Fill=—","Direction=H","UseDPDF=Y")</f>
        <v>1358</v>
      </c>
      <c r="P45" s="13">
        <f>_xll.BDH("GILD US Equity","ARDR_R&amp;D_EXPENDITURES","FQ1 2022","FQ1 2022","Currency=USD","Period=FQ","BEST_FPERIOD_OVERRIDE=FQ","FILING_STATUS=MR","SCALING_FORMAT=MLN","Sort=A","Dates=H","DateFormat=P","Fill=—","Direction=H","UseDPDF=Y")</f>
        <v>1186</v>
      </c>
      <c r="Q45" s="13">
        <f>_xll.BDH("GILD US Equity","ARDR_R&amp;D_EXPENDITURES","FQ2 2022","FQ2 2022","Currency=USD","Period=FQ","BEST_FPERIOD_OVERRIDE=FQ","FILING_STATUS=MR","SCALING_FORMAT=MLN","Sort=A","Dates=H","DateFormat=P","Fill=—","Direction=H","UseDPDF=Y")</f>
        <v>1102</v>
      </c>
      <c r="R45" s="13">
        <f>_xll.BDH("GILD US Equity","ARDR_R&amp;D_EXPENDITURES","FQ3 2022","FQ3 2022","Currency=USD","Period=FQ","BEST_FPERIOD_OVERRIDE=FQ","FILING_STATUS=MR","SCALING_FORMAT=MLN","Sort=A","Dates=H","DateFormat=P","Fill=—","Direction=H","UseDPDF=Y")</f>
        <v>1149</v>
      </c>
      <c r="S45" s="13">
        <f>_xll.BDH("GILD US Equity","ARDR_R&amp;D_EXPENDITURES","FQ4 2022","FQ4 2022","Currency=USD","Period=FQ","BEST_FPERIOD_OVERRIDE=FQ","FILING_STATUS=MR","SCALING_FORMAT=MLN","Sort=A","Dates=H","DateFormat=P","Fill=—","Direction=H","UseDPDF=Y")</f>
        <v>1548</v>
      </c>
      <c r="T45" s="13">
        <f>_xll.BDH("GILD US Equity","ARDR_R&amp;D_EXPENDITURES","FQ1 2023","FQ1 2023","Currency=USD","Period=FQ","BEST_FPERIOD_OVERRIDE=FQ","FILING_STATUS=MR","SCALING_FORMAT=MLN","Sort=A","Dates=H","DateFormat=P","Fill=—","Direction=H","UseDPDF=Y")</f>
        <v>1447</v>
      </c>
      <c r="U45" s="13">
        <f>_xll.BDH("GILD US Equity","ARDR_R&amp;D_EXPENDITURES","FQ2 2023","FQ2 2023","Currency=USD","Period=FQ","BEST_FPERIOD_OVERRIDE=FQ","FILING_STATUS=MR","SCALING_FORMAT=MLN","Sort=A","Dates=H","DateFormat=P","Fill=—","Direction=H","UseDPDF=Y")</f>
        <v>1407</v>
      </c>
      <c r="V45" s="13">
        <f>_xll.BDH("GILD US Equity","ARDR_R&amp;D_EXPENDITURES","FQ3 2023","FQ3 2023","Currency=USD","Period=FQ","BEST_FPERIOD_OVERRIDE=FQ","FILING_STATUS=MR","SCALING_FORMAT=MLN","Sort=A","Dates=H","DateFormat=P","Fill=—","Direction=H","UseDPDF=Y")</f>
        <v>1457</v>
      </c>
      <c r="W45" s="13">
        <f>_xll.BDH("GILD US Equity","ARDR_R&amp;D_EXPENDITURES","FQ4 2023","FQ4 2023","Currency=USD","Period=FQ","BEST_FPERIOD_OVERRIDE=FQ","FILING_STATUS=MR","SCALING_FORMAT=MLN","Sort=A","Dates=H","DateFormat=P","Fill=—","Direction=H","UseDPDF=Y")</f>
        <v>1408</v>
      </c>
      <c r="X45" s="13">
        <f>_xll.BDH("GILD US Equity","ARDR_R&amp;D_EXPENDITURES","FQ1 2024","FQ1 2024","Currency=USD","Period=FQ","BEST_FPERIOD_OVERRIDE=FQ","FILING_STATUS=MR","SCALING_FORMAT=MLN","Sort=A","Dates=H","DateFormat=P","Fill=—","Direction=H","UseDPDF=Y")</f>
        <v>1520</v>
      </c>
      <c r="Y45" s="13">
        <f>_xll.BDH("GILD US Equity","ARDR_R&amp;D_EXPENDITURES","FQ2 2024","FQ2 2024","Currency=USD","Period=FQ","BEST_FPERIOD_OVERRIDE=FQ","FILING_STATUS=MR","SCALING_FORMAT=MLN","Sort=A","Dates=H","DateFormat=P","Fill=—","Direction=H","UseDPDF=Y")</f>
        <v>1351</v>
      </c>
      <c r="Z45" s="13">
        <f>_xll.BDH("GILD US Equity","ARDR_R&amp;D_EXPENDITURES","FQ3 2024","FQ3 2024","Currency=USD","Period=FQ","BEST_FPERIOD_OVERRIDE=FQ","FILING_STATUS=MR","SCALING_FORMAT=MLN","Sort=A","Dates=H","DateFormat=P","Fill=—","Direction=H","UseDPDF=Y")</f>
        <v>1395</v>
      </c>
      <c r="AA45" s="13">
        <f>_xll.BDH("GILD US Equity","ARDR_R&amp;D_EXPENDITURES","FQ4 2024","FQ4 2024","Currency=USD","Period=FQ","BEST_FPERIOD_OVERRIDE=FQ","FILING_STATUS=MR","SCALING_FORMAT=MLN","Sort=A","Dates=H","DateFormat=P","Fill=—","Direction=H","UseDPDF=Y")</f>
        <v>1641</v>
      </c>
    </row>
    <row r="46" spans="1:27" x14ac:dyDescent="0.25">
      <c r="A46" s="10" t="s">
        <v>407</v>
      </c>
      <c r="B46" s="10" t="s">
        <v>484</v>
      </c>
      <c r="C46" s="13">
        <f>_xll.BDH("GILD US Equity","ARDR_DEPRECIATION_EXP","FQ4 2018","FQ4 2018","Currency=USD","Period=FQ","BEST_FPERIOD_OVERRIDE=FQ","FILING_STATUS=MR","SCALING_FORMAT=MLN","Sort=A","Dates=H","DateFormat=P","Fill=—","Direction=H","UseDPDF=Y")</f>
        <v>57</v>
      </c>
      <c r="D46" s="13">
        <f>_xll.BDH("GILD US Equity","ARDR_DEPRECIATION_EXP","FQ1 2019","FQ1 2019","Currency=USD","Period=FQ","BEST_FPERIOD_OVERRIDE=FQ","FILING_STATUS=MR","SCALING_FORMAT=MLN","Sort=A","Dates=H","DateFormat=P","Fill=—","Direction=H","UseDPDF=Y")</f>
        <v>60</v>
      </c>
      <c r="E46" s="13">
        <f>_xll.BDH("GILD US Equity","ARDR_DEPRECIATION_EXP","FQ2 2019","FQ2 2019","Currency=USD","Period=FQ","BEST_FPERIOD_OVERRIDE=FQ","FILING_STATUS=MR","SCALING_FORMAT=MLN","Sort=A","Dates=H","DateFormat=P","Fill=—","Direction=H","UseDPDF=Y")</f>
        <v>60</v>
      </c>
      <c r="F46" s="13">
        <f>_xll.BDH("GILD US Equity","ARDR_DEPRECIATION_EXP","FQ3 2019","FQ3 2019","Currency=USD","Period=FQ","BEST_FPERIOD_OVERRIDE=FQ","FILING_STATUS=MR","SCALING_FORMAT=MLN","Sort=A","Dates=H","DateFormat=P","Fill=—","Direction=H","UseDPDF=Y")</f>
        <v>66</v>
      </c>
      <c r="G46" s="13">
        <f>_xll.BDH("GILD US Equity","ARDR_DEPRECIATION_EXP","FQ4 2019","FQ4 2019","Currency=USD","Period=FQ","BEST_FPERIOD_OVERRIDE=FQ","FILING_STATUS=MR","SCALING_FORMAT=MLN","Sort=A","Dates=H","DateFormat=P","Fill=—","Direction=H","UseDPDF=Y")</f>
        <v>69</v>
      </c>
      <c r="H46" s="13">
        <f>_xll.BDH("GILD US Equity","ARDR_DEPRECIATION_EXP","FQ1 2020","FQ1 2020","Currency=USD","Period=FQ","BEST_FPERIOD_OVERRIDE=FQ","FILING_STATUS=MR","SCALING_FORMAT=MLN","Sort=A","Dates=H","DateFormat=P","Fill=—","Direction=H","UseDPDF=Y")</f>
        <v>68</v>
      </c>
      <c r="I46" s="13">
        <f>_xll.BDH("GILD US Equity","ARDR_DEPRECIATION_EXP","FQ2 2020","FQ2 2020","Currency=USD","Period=FQ","BEST_FPERIOD_OVERRIDE=FQ","FILING_STATUS=MR","SCALING_FORMAT=MLN","Sort=A","Dates=H","DateFormat=P","Fill=—","Direction=H","UseDPDF=Y")</f>
        <v>68</v>
      </c>
      <c r="J46" s="13">
        <f>_xll.BDH("GILD US Equity","ARDR_DEPRECIATION_EXP","FQ3 2020","FQ3 2020","Currency=USD","Period=FQ","BEST_FPERIOD_OVERRIDE=FQ","FILING_STATUS=MR","SCALING_FORMAT=MLN","Sort=A","Dates=H","DateFormat=P","Fill=—","Direction=H","UseDPDF=Y")</f>
        <v>73</v>
      </c>
      <c r="K46" s="13">
        <f>_xll.BDH("GILD US Equity","ARDR_DEPRECIATION_EXP","FQ4 2020","FQ4 2020","Currency=USD","Period=FQ","BEST_FPERIOD_OVERRIDE=FQ","FILING_STATUS=MR","SCALING_FORMAT=MLN","Sort=A","Dates=H","DateFormat=P","Fill=—","Direction=H","UseDPDF=Y")</f>
        <v>79</v>
      </c>
      <c r="L46" s="13">
        <f>_xll.BDH("GILD US Equity","ARDR_DEPRECIATION_EXP","FQ1 2021","FQ1 2021","Currency=USD","Period=FQ","BEST_FPERIOD_OVERRIDE=FQ","FILING_STATUS=MR","SCALING_FORMAT=MLN","Sort=A","Dates=H","DateFormat=P","Fill=—","Direction=H","UseDPDF=Y")</f>
        <v>78</v>
      </c>
      <c r="M46" s="13">
        <f>_xll.BDH("GILD US Equity","ARDR_DEPRECIATION_EXP","FQ2 2021","FQ2 2021","Currency=USD","Period=FQ","BEST_FPERIOD_OVERRIDE=FQ","FILING_STATUS=MR","SCALING_FORMAT=MLN","Sort=A","Dates=H","DateFormat=P","Fill=—","Direction=H","UseDPDF=Y")</f>
        <v>79</v>
      </c>
      <c r="N46" s="13">
        <f>_xll.BDH("GILD US Equity","ARDR_DEPRECIATION_EXP","FQ3 2021","FQ3 2021","Currency=USD","Period=FQ","BEST_FPERIOD_OVERRIDE=FQ","FILING_STATUS=MR","SCALING_FORMAT=MLN","Sort=A","Dates=H","DateFormat=P","Fill=—","Direction=H","UseDPDF=Y")</f>
        <v>82</v>
      </c>
      <c r="O46" s="13">
        <f>_xll.BDH("GILD US Equity","ARDR_DEPRECIATION_EXP","FQ4 2021","FQ4 2021","Currency=USD","Period=FQ","BEST_FPERIOD_OVERRIDE=FQ","FILING_STATUS=MR","SCALING_FORMAT=MLN","Sort=A","Dates=H","DateFormat=P","Fill=—","Direction=H","UseDPDF=Y")</f>
        <v>90</v>
      </c>
      <c r="P46" s="13">
        <f>_xll.BDH("GILD US Equity","ARDR_DEPRECIATION_EXP","FQ1 2022","FQ1 2022","Currency=USD","Period=FQ","BEST_FPERIOD_OVERRIDE=FQ","FILING_STATUS=MR","SCALING_FORMAT=MLN","Sort=A","Dates=H","DateFormat=P","Fill=—","Direction=H","UseDPDF=Y")</f>
        <v>80</v>
      </c>
      <c r="Q46" s="13">
        <f>_xll.BDH("GILD US Equity","ARDR_DEPRECIATION_EXP","FQ2 2022","FQ2 2022","Currency=USD","Period=FQ","BEST_FPERIOD_OVERRIDE=FQ","FILING_STATUS=MR","SCALING_FORMAT=MLN","Sort=A","Dates=H","DateFormat=P","Fill=—","Direction=H","UseDPDF=Y")</f>
        <v>80</v>
      </c>
      <c r="R46" s="13">
        <f>_xll.BDH("GILD US Equity","ARDR_DEPRECIATION_EXP","FQ3 2022","FQ3 2022","Currency=USD","Period=FQ","BEST_FPERIOD_OVERRIDE=FQ","FILING_STATUS=MR","SCALING_FORMAT=MLN","Sort=A","Dates=H","DateFormat=P","Fill=—","Direction=H","UseDPDF=Y")</f>
        <v>80</v>
      </c>
      <c r="S46" s="13">
        <f>_xll.BDH("GILD US Equity","ARDR_DEPRECIATION_EXP","FQ4 2022","FQ4 2022","Currency=USD","Period=FQ","BEST_FPERIOD_OVERRIDE=FQ","FILING_STATUS=MR","SCALING_FORMAT=MLN","Sort=A","Dates=H","DateFormat=P","Fill=—","Direction=H","UseDPDF=Y")</f>
        <v>83</v>
      </c>
      <c r="T46" s="13">
        <f>_xll.BDH("GILD US Equity","ARDR_DEPRECIATION_EXP","FQ1 2023","FQ1 2023","Currency=USD","Period=FQ","BEST_FPERIOD_OVERRIDE=FQ","FILING_STATUS=MR","SCALING_FORMAT=MLN","Sort=A","Dates=H","DateFormat=P","Fill=—","Direction=H","UseDPDF=Y")</f>
        <v>94</v>
      </c>
      <c r="U46" s="13">
        <f>_xll.BDH("GILD US Equity","ARDR_DEPRECIATION_EXP","FQ2 2023","FQ2 2023","Currency=USD","Period=FQ","BEST_FPERIOD_OVERRIDE=FQ","FILING_STATUS=MR","SCALING_FORMAT=MLN","Sort=A","Dates=H","DateFormat=P","Fill=—","Direction=H","UseDPDF=Y")</f>
        <v>83</v>
      </c>
      <c r="V46" s="13">
        <f>_xll.BDH("GILD US Equity","ARDR_DEPRECIATION_EXP","FQ3 2023","FQ3 2023","Currency=USD","Period=FQ","BEST_FPERIOD_OVERRIDE=FQ","FILING_STATUS=MR","SCALING_FORMAT=MLN","Sort=A","Dates=H","DateFormat=P","Fill=—","Direction=H","UseDPDF=Y")</f>
        <v>86</v>
      </c>
      <c r="W46" s="13">
        <f>_xll.BDH("GILD US Equity","ARDR_DEPRECIATION_EXP","FQ4 2023","FQ4 2023","Currency=USD","Period=FQ","BEST_FPERIOD_OVERRIDE=FQ","FILING_STATUS=MR","SCALING_FORMAT=MLN","Sort=A","Dates=H","DateFormat=P","Fill=—","Direction=H","UseDPDF=Y")</f>
        <v>91</v>
      </c>
      <c r="X46" s="13">
        <f>_xll.BDH("GILD US Equity","ARDR_DEPRECIATION_EXP","FQ1 2024","FQ1 2024","Currency=USD","Period=FQ","BEST_FPERIOD_OVERRIDE=FQ","FILING_STATUS=MR","SCALING_FORMAT=MLN","Sort=A","Dates=H","DateFormat=P","Fill=—","Direction=H","UseDPDF=Y")</f>
        <v>94</v>
      </c>
      <c r="Y46" s="13">
        <f>_xll.BDH("GILD US Equity","ARDR_DEPRECIATION_EXP","FQ2 2024","FQ2 2024","Currency=USD","Period=FQ","BEST_FPERIOD_OVERRIDE=FQ","FILING_STATUS=MR","SCALING_FORMAT=MLN","Sort=A","Dates=H","DateFormat=P","Fill=—","Direction=H","UseDPDF=Y")</f>
        <v>98</v>
      </c>
      <c r="Z46" s="13">
        <f>_xll.BDH("GILD US Equity","ARDR_DEPRECIATION_EXP","FQ3 2024","FQ3 2024","Currency=USD","Period=FQ","BEST_FPERIOD_OVERRIDE=FQ","FILING_STATUS=MR","SCALING_FORMAT=MLN","Sort=A","Dates=H","DateFormat=P","Fill=—","Direction=H","UseDPDF=Y")</f>
        <v>94</v>
      </c>
      <c r="AA46" s="13">
        <f>_xll.BDH("GILD US Equity","ARDR_DEPRECIATION_EXP","FQ4 2024","FQ4 2024","Currency=USD","Period=FQ","BEST_FPERIOD_OVERRIDE=FQ","FILING_STATUS=MR","SCALING_FORMAT=MLN","Sort=A","Dates=H","DateFormat=P","Fill=—","Direction=H","UseDPDF=Y")</f>
        <v>95</v>
      </c>
    </row>
    <row r="47" spans="1:27" x14ac:dyDescent="0.25">
      <c r="A47" s="10" t="s">
        <v>485</v>
      </c>
      <c r="B47" s="10" t="s">
        <v>486</v>
      </c>
      <c r="C47" s="13">
        <f>_xll.BDH("GILD US Equity","ARDR_SELLING_GENERAL_ADMIN_EXP","FQ4 2018","FQ4 2018","Currency=USD","Period=FQ","BEST_FPERIOD_OVERRIDE=FQ","FILING_STATUS=MR","SCALING_FORMAT=MLN","Sort=A","Dates=H","DateFormat=P","Fill=—","Direction=H","UseDPDF=Y")</f>
        <v>1131</v>
      </c>
      <c r="D47" s="13">
        <f>_xll.BDH("GILD US Equity","ARDR_SELLING_GENERAL_ADMIN_EXP","FQ1 2019","FQ1 2019","Currency=USD","Period=FQ","BEST_FPERIOD_OVERRIDE=FQ","FILING_STATUS=MR","SCALING_FORMAT=MLN","Sort=A","Dates=H","DateFormat=P","Fill=—","Direction=H","UseDPDF=Y")</f>
        <v>1030</v>
      </c>
      <c r="E47" s="13">
        <f>_xll.BDH("GILD US Equity","ARDR_SELLING_GENERAL_ADMIN_EXP","FQ2 2019","FQ2 2019","Currency=USD","Period=FQ","BEST_FPERIOD_OVERRIDE=FQ","FILING_STATUS=MR","SCALING_FORMAT=MLN","Sort=A","Dates=H","DateFormat=P","Fill=—","Direction=H","UseDPDF=Y")</f>
        <v>1095</v>
      </c>
      <c r="F47" s="13">
        <f>_xll.BDH("GILD US Equity","ARDR_SELLING_GENERAL_ADMIN_EXP","FQ3 2019","FQ3 2019","Currency=USD","Period=FQ","BEST_FPERIOD_OVERRIDE=FQ","FILING_STATUS=MR","SCALING_FORMAT=MLN","Sort=A","Dates=H","DateFormat=P","Fill=—","Direction=H","UseDPDF=Y")</f>
        <v>1052</v>
      </c>
      <c r="G47" s="13">
        <f>_xll.BDH("GILD US Equity","ARDR_SELLING_GENERAL_ADMIN_EXP","FQ4 2019","FQ4 2019","Currency=USD","Period=FQ","BEST_FPERIOD_OVERRIDE=FQ","FILING_STATUS=MR","SCALING_FORMAT=MLN","Sort=A","Dates=H","DateFormat=P","Fill=—","Direction=H","UseDPDF=Y")</f>
        <v>1204</v>
      </c>
      <c r="H47" s="13">
        <f>_xll.BDH("GILD US Equity","ARDR_SELLING_GENERAL_ADMIN_EXP","FQ1 2020","FQ1 2020","Currency=USD","Period=FQ","BEST_FPERIOD_OVERRIDE=FQ","FILING_STATUS=MR","SCALING_FORMAT=MLN","Sort=A","Dates=H","DateFormat=P","Fill=—","Direction=H","UseDPDF=Y")</f>
        <v>1076</v>
      </c>
      <c r="I47" s="13">
        <f>_xll.BDH("GILD US Equity","ARDR_SELLING_GENERAL_ADMIN_EXP","FQ2 2020","FQ2 2020","Currency=USD","Period=FQ","BEST_FPERIOD_OVERRIDE=FQ","FILING_STATUS=MR","SCALING_FORMAT=MLN","Sort=A","Dates=H","DateFormat=P","Fill=—","Direction=H","UseDPDF=Y")</f>
        <v>1239</v>
      </c>
      <c r="J47" s="13">
        <f>_xll.BDH("GILD US Equity","ARDR_SELLING_GENERAL_ADMIN_EXP","FQ3 2020","FQ3 2020","Currency=USD","Period=FQ","BEST_FPERIOD_OVERRIDE=FQ","FILING_STATUS=MR","SCALING_FORMAT=MLN","Sort=A","Dates=H","DateFormat=P","Fill=—","Direction=H","UseDPDF=Y")</f>
        <v>1106</v>
      </c>
      <c r="K47" s="13">
        <f>_xll.BDH("GILD US Equity","ARDR_SELLING_GENERAL_ADMIN_EXP","FQ4 2020","FQ4 2020","Currency=USD","Period=FQ","BEST_FPERIOD_OVERRIDE=FQ","FILING_STATUS=MR","SCALING_FORMAT=MLN","Sort=A","Dates=H","DateFormat=P","Fill=—","Direction=H","UseDPDF=Y")</f>
        <v>1730</v>
      </c>
      <c r="L47" s="13">
        <f>_xll.BDH("GILD US Equity","ARDR_SELLING_GENERAL_ADMIN_EXP","FQ1 2021","FQ1 2021","Currency=USD","Period=FQ","BEST_FPERIOD_OVERRIDE=FQ","FILING_STATUS=MR","SCALING_FORMAT=MLN","Sort=A","Dates=H","DateFormat=P","Fill=—","Direction=H","UseDPDF=Y")</f>
        <v>1055</v>
      </c>
      <c r="M47" s="13">
        <f>_xll.BDH("GILD US Equity","ARDR_SELLING_GENERAL_ADMIN_EXP","FQ2 2021","FQ2 2021","Currency=USD","Period=FQ","BEST_FPERIOD_OVERRIDE=FQ","FILING_STATUS=MR","SCALING_FORMAT=MLN","Sort=A","Dates=H","DateFormat=P","Fill=—","Direction=H","UseDPDF=Y")</f>
        <v>1351</v>
      </c>
      <c r="N47" s="13">
        <f>_xll.BDH("GILD US Equity","ARDR_SELLING_GENERAL_ADMIN_EXP","FQ3 2021","FQ3 2021","Currency=USD","Period=FQ","BEST_FPERIOD_OVERRIDE=FQ","FILING_STATUS=MR","SCALING_FORMAT=MLN","Sort=A","Dates=H","DateFormat=P","Fill=—","Direction=H","UseDPDF=Y")</f>
        <v>1190</v>
      </c>
      <c r="O47" s="13" t="str">
        <f>_xll.BDH("GILD US Equity","ARDR_SELLING_GENERAL_ADMIN_EXP","FQ4 2021","FQ4 2021","Currency=USD","Period=FQ","BEST_FPERIOD_OVERRIDE=FQ","FILING_STATUS=MR","SCALING_FORMAT=MLN","Sort=A","Dates=H","DateFormat=P","Fill=—","Direction=H","UseDPDF=Y")</f>
        <v>—</v>
      </c>
      <c r="P47" s="13">
        <f>_xll.BDH("GILD US Equity","ARDR_SELLING_GENERAL_ADMIN_EXP","FQ1 2022","FQ1 2022","Currency=USD","Period=FQ","BEST_FPERIOD_OVERRIDE=FQ","FILING_STATUS=MR","SCALING_FORMAT=MLN","Sort=A","Dates=H","DateFormat=P","Fill=—","Direction=H","UseDPDF=Y")</f>
        <v>1083</v>
      </c>
      <c r="Q47" s="13">
        <f>_xll.BDH("GILD US Equity","ARDR_SELLING_GENERAL_ADMIN_EXP","FQ2 2022","FQ2 2022","Currency=USD","Period=FQ","BEST_FPERIOD_OVERRIDE=FQ","FILING_STATUS=MR","SCALING_FORMAT=MLN","Sort=A","Dates=H","DateFormat=P","Fill=—","Direction=H","UseDPDF=Y")</f>
        <v>1357</v>
      </c>
      <c r="R47" s="13">
        <f>_xll.BDH("GILD US Equity","ARDR_SELLING_GENERAL_ADMIN_EXP","FQ3 2022","FQ3 2022","Currency=USD","Period=FQ","BEST_FPERIOD_OVERRIDE=FQ","FILING_STATUS=MR","SCALING_FORMAT=MLN","Sort=A","Dates=H","DateFormat=P","Fill=—","Direction=H","UseDPDF=Y")</f>
        <v>1213</v>
      </c>
      <c r="S47" s="13">
        <f>_xll.BDH("GILD US Equity","ARDR_SELLING_GENERAL_ADMIN_EXP","FQ4 2022","FQ4 2022","Currency=USD","Period=FQ","BEST_FPERIOD_OVERRIDE=FQ","FILING_STATUS=MR","SCALING_FORMAT=MLN","Sort=A","Dates=H","DateFormat=P","Fill=—","Direction=H","UseDPDF=Y")</f>
        <v>2020</v>
      </c>
      <c r="T47" s="13">
        <f>_xll.BDH("GILD US Equity","ARDR_SELLING_GENERAL_ADMIN_EXP","FQ1 2023","FQ1 2023","Currency=USD","Period=FQ","BEST_FPERIOD_OVERRIDE=FQ","FILING_STATUS=MR","SCALING_FORMAT=MLN","Sort=A","Dates=H","DateFormat=P","Fill=—","Direction=H","UseDPDF=Y")</f>
        <v>1318</v>
      </c>
      <c r="U47" s="13">
        <f>_xll.BDH("GILD US Equity","ARDR_SELLING_GENERAL_ADMIN_EXP","FQ2 2023","FQ2 2023","Currency=USD","Period=FQ","BEST_FPERIOD_OVERRIDE=FQ","FILING_STATUS=MR","SCALING_FORMAT=MLN","Sort=A","Dates=H","DateFormat=P","Fill=—","Direction=H","UseDPDF=Y")</f>
        <v>1849</v>
      </c>
      <c r="V47" s="13">
        <f>_xll.BDH("GILD US Equity","ARDR_SELLING_GENERAL_ADMIN_EXP","FQ3 2023","FQ3 2023","Currency=USD","Period=FQ","BEST_FPERIOD_OVERRIDE=FQ","FILING_STATUS=MR","SCALING_FORMAT=MLN","Sort=A","Dates=H","DateFormat=P","Fill=—","Direction=H","UseDPDF=Y")</f>
        <v>1315</v>
      </c>
      <c r="W47" s="13">
        <f>_xll.BDH("GILD US Equity","ARDR_SELLING_GENERAL_ADMIN_EXP","FQ4 2023","FQ4 2023","Currency=USD","Period=FQ","BEST_FPERIOD_OVERRIDE=FQ","FILING_STATUS=MR","SCALING_FORMAT=MLN","Sort=A","Dates=H","DateFormat=P","Fill=—","Direction=H","UseDPDF=Y")</f>
        <v>1608</v>
      </c>
      <c r="X47" s="13">
        <f>_xll.BDH("GILD US Equity","ARDR_SELLING_GENERAL_ADMIN_EXP","FQ1 2024","FQ1 2024","Currency=USD","Period=FQ","BEST_FPERIOD_OVERRIDE=FQ","FILING_STATUS=MR","SCALING_FORMAT=MLN","Sort=A","Dates=H","DateFormat=P","Fill=—","Direction=H","UseDPDF=Y")</f>
        <v>1375</v>
      </c>
      <c r="Y47" s="13">
        <f>_xll.BDH("GILD US Equity","ARDR_SELLING_GENERAL_ADMIN_EXP","FQ2 2024","FQ2 2024","Currency=USD","Period=FQ","BEST_FPERIOD_OVERRIDE=FQ","FILING_STATUS=MR","SCALING_FORMAT=MLN","Sort=A","Dates=H","DateFormat=P","Fill=—","Direction=H","UseDPDF=Y")</f>
        <v>1377</v>
      </c>
      <c r="Z47" s="13">
        <f>_xll.BDH("GILD US Equity","ARDR_SELLING_GENERAL_ADMIN_EXP","FQ3 2024","FQ3 2024","Currency=USD","Period=FQ","BEST_FPERIOD_OVERRIDE=FQ","FILING_STATUS=MR","SCALING_FORMAT=MLN","Sort=A","Dates=H","DateFormat=P","Fill=—","Direction=H","UseDPDF=Y")</f>
        <v>1433</v>
      </c>
      <c r="AA47" s="13">
        <f>_xll.BDH("GILD US Equity","ARDR_SELLING_GENERAL_ADMIN_EXP","FQ4 2024","FQ4 2024","Currency=USD","Period=FQ","BEST_FPERIOD_OVERRIDE=FQ","FILING_STATUS=MR","SCALING_FORMAT=MLN","Sort=A","Dates=H","DateFormat=P","Fill=—","Direction=H","UseDPDF=Y")</f>
        <v>1906</v>
      </c>
    </row>
    <row r="48" spans="1:27" x14ac:dyDescent="0.25">
      <c r="A48" s="10" t="s">
        <v>487</v>
      </c>
      <c r="B48" s="10" t="s">
        <v>488</v>
      </c>
      <c r="C48" s="13" t="str">
        <f>_xll.BDH("GILD US Equity","ARDR_DEPRECIATION_AMORTIZATION","FQ4 2018","FQ4 2018","Currency=USD","Period=FQ","BEST_FPERIOD_OVERRIDE=FQ","FILING_STATUS=MR","SCALING_FORMAT=MLN","Sort=A","Dates=H","DateFormat=P","Fill=—","Direction=H","UseDPDF=Y")</f>
        <v>—</v>
      </c>
      <c r="D48" s="13" t="str">
        <f>_xll.BDH("GILD US Equity","ARDR_DEPRECIATION_AMORTIZATION","FQ1 2019","FQ1 2019","Currency=USD","Period=FQ","BEST_FPERIOD_OVERRIDE=FQ","FILING_STATUS=MR","SCALING_FORMAT=MLN","Sort=A","Dates=H","DateFormat=P","Fill=—","Direction=H","UseDPDF=Y")</f>
        <v>—</v>
      </c>
      <c r="E48" s="13" t="str">
        <f>_xll.BDH("GILD US Equity","ARDR_DEPRECIATION_AMORTIZATION","FQ2 2019","FQ2 2019","Currency=USD","Period=FQ","BEST_FPERIOD_OVERRIDE=FQ","FILING_STATUS=MR","SCALING_FORMAT=MLN","Sort=A","Dates=H","DateFormat=P","Fill=—","Direction=H","UseDPDF=Y")</f>
        <v>—</v>
      </c>
      <c r="F48" s="13" t="str">
        <f>_xll.BDH("GILD US Equity","ARDR_DEPRECIATION_AMORTIZATION","FQ3 2019","FQ3 2019","Currency=USD","Period=FQ","BEST_FPERIOD_OVERRIDE=FQ","FILING_STATUS=MR","SCALING_FORMAT=MLN","Sort=A","Dates=H","DateFormat=P","Fill=—","Direction=H","UseDPDF=Y")</f>
        <v>—</v>
      </c>
      <c r="G48" s="13" t="str">
        <f>_xll.BDH("GILD US Equity","ARDR_DEPRECIATION_AMORTIZATION","FQ4 2019","FQ4 2019","Currency=USD","Period=FQ","BEST_FPERIOD_OVERRIDE=FQ","FILING_STATUS=MR","SCALING_FORMAT=MLN","Sort=A","Dates=H","DateFormat=P","Fill=—","Direction=H","UseDPDF=Y")</f>
        <v>—</v>
      </c>
      <c r="H48" s="13" t="str">
        <f>_xll.BDH("GILD US Equity","ARDR_DEPRECIATION_AMORTIZATION","FQ1 2020","FQ1 2020","Currency=USD","Period=FQ","BEST_FPERIOD_OVERRIDE=FQ","FILING_STATUS=MR","SCALING_FORMAT=MLN","Sort=A","Dates=H","DateFormat=P","Fill=—","Direction=H","UseDPDF=Y")</f>
        <v>—</v>
      </c>
      <c r="I48" s="13" t="str">
        <f>_xll.BDH("GILD US Equity","ARDR_DEPRECIATION_AMORTIZATION","FQ2 2020","FQ2 2020","Currency=USD","Period=FQ","BEST_FPERIOD_OVERRIDE=FQ","FILING_STATUS=MR","SCALING_FORMAT=MLN","Sort=A","Dates=H","DateFormat=P","Fill=—","Direction=H","UseDPDF=Y")</f>
        <v>—</v>
      </c>
      <c r="J48" s="13" t="str">
        <f>_xll.BDH("GILD US Equity","ARDR_DEPRECIATION_AMORTIZATION","FQ3 2020","FQ3 2020","Currency=USD","Period=FQ","BEST_FPERIOD_OVERRIDE=FQ","FILING_STATUS=MR","SCALING_FORMAT=MLN","Sort=A","Dates=H","DateFormat=P","Fill=—","Direction=H","UseDPDF=Y")</f>
        <v>—</v>
      </c>
      <c r="K48" s="13">
        <f>_xll.BDH("GILD US Equity","ARDR_DEPRECIATION_AMORTIZATION","FQ4 2020","FQ4 2020","Currency=USD","Period=FQ","BEST_FPERIOD_OVERRIDE=FQ","FILING_STATUS=MR","SCALING_FORMAT=MLN","Sort=A","Dates=H","DateFormat=P","Fill=—","Direction=H","UseDPDF=Y")</f>
        <v>427</v>
      </c>
      <c r="L48" s="13">
        <f>_xll.BDH("GILD US Equity","ARDR_DEPRECIATION_AMORTIZATION","FQ1 2021","FQ1 2021","Currency=USD","Period=FQ","BEST_FPERIOD_OVERRIDE=FQ","FILING_STATUS=MR","SCALING_FORMAT=MLN","Sort=A","Dates=H","DateFormat=P","Fill=—","Direction=H","UseDPDF=Y")</f>
        <v>473</v>
      </c>
      <c r="M48" s="13" t="str">
        <f>_xll.BDH("GILD US Equity","ARDR_DEPRECIATION_AMORTIZATION","FQ2 2021","FQ2 2021","Currency=USD","Period=FQ","BEST_FPERIOD_OVERRIDE=FQ","FILING_STATUS=MR","SCALING_FORMAT=MLN","Sort=A","Dates=H","DateFormat=P","Fill=—","Direction=H","UseDPDF=Y")</f>
        <v>—</v>
      </c>
      <c r="N48" s="13" t="str">
        <f>_xll.BDH("GILD US Equity","ARDR_DEPRECIATION_AMORTIZATION","FQ3 2021","FQ3 2021","Currency=USD","Period=FQ","BEST_FPERIOD_OVERRIDE=FQ","FILING_STATUS=MR","SCALING_FORMAT=MLN","Sort=A","Dates=H","DateFormat=P","Fill=—","Direction=H","UseDPDF=Y")</f>
        <v>—</v>
      </c>
      <c r="O48" s="13">
        <f>_xll.BDH("GILD US Equity","ARDR_DEPRECIATION_AMORTIZATION","FQ4 2021","FQ4 2021","Currency=USD","Period=FQ","BEST_FPERIOD_OVERRIDE=FQ","FILING_STATUS=MR","SCALING_FORMAT=MLN","Sort=A","Dates=H","DateFormat=P","Fill=—","Direction=H","UseDPDF=Y")</f>
        <v>535</v>
      </c>
      <c r="P48" s="13">
        <f>_xll.BDH("GILD US Equity","ARDR_DEPRECIATION_AMORTIZATION","FQ1 2022","FQ1 2022","Currency=USD","Period=FQ","BEST_FPERIOD_OVERRIDE=FQ","FILING_STATUS=MR","SCALING_FORMAT=MLN","Sort=A","Dates=H","DateFormat=P","Fill=—","Direction=H","UseDPDF=Y")</f>
        <v>525</v>
      </c>
      <c r="Q48" s="13" t="str">
        <f>_xll.BDH("GILD US Equity","ARDR_DEPRECIATION_AMORTIZATION","FQ2 2022","FQ2 2022","Currency=USD","Period=FQ","BEST_FPERIOD_OVERRIDE=FQ","FILING_STATUS=MR","SCALING_FORMAT=MLN","Sort=A","Dates=H","DateFormat=P","Fill=—","Direction=H","UseDPDF=Y")</f>
        <v>—</v>
      </c>
      <c r="R48" s="13">
        <f>_xll.BDH("GILD US Equity","ARDR_DEPRECIATION_AMORTIZATION","FQ3 2022","FQ3 2022","Currency=USD","Period=FQ","BEST_FPERIOD_OVERRIDE=FQ","FILING_STATUS=MR","SCALING_FORMAT=MLN","Sort=A","Dates=H","DateFormat=P","Fill=—","Direction=H","UseDPDF=Y")</f>
        <v>525</v>
      </c>
      <c r="S48" s="13">
        <f>_xll.BDH("GILD US Equity","ARDR_DEPRECIATION_AMORTIZATION","FQ4 2022","FQ4 2022","Currency=USD","Period=FQ","BEST_FPERIOD_OVERRIDE=FQ","FILING_STATUS=MR","SCALING_FORMAT=MLN","Sort=A","Dates=H","DateFormat=P","Fill=—","Direction=H","UseDPDF=Y")</f>
        <v>528</v>
      </c>
      <c r="T48" s="13">
        <f>_xll.BDH("GILD US Equity","ARDR_DEPRECIATION_AMORTIZATION","FQ1 2023","FQ1 2023","Currency=USD","Period=FQ","BEST_FPERIOD_OVERRIDE=FQ","FILING_STATUS=MR","SCALING_FORMAT=MLN","Sort=A","Dates=H","DateFormat=P","Fill=—","Direction=H","UseDPDF=Y")</f>
        <v>546</v>
      </c>
      <c r="U48" s="13">
        <f>_xll.BDH("GILD US Equity","ARDR_DEPRECIATION_AMORTIZATION","FQ2 2023","FQ2 2023","Currency=USD","Period=FQ","BEST_FPERIOD_OVERRIDE=FQ","FILING_STATUS=MR","SCALING_FORMAT=MLN","Sort=A","Dates=H","DateFormat=P","Fill=—","Direction=H","UseDPDF=Y")</f>
        <v>681</v>
      </c>
      <c r="V48" s="13">
        <f>_xll.BDH("GILD US Equity","ARDR_DEPRECIATION_AMORTIZATION","FQ3 2023","FQ3 2023","Currency=USD","Period=FQ","BEST_FPERIOD_OVERRIDE=FQ","FILING_STATUS=MR","SCALING_FORMAT=MLN","Sort=A","Dates=H","DateFormat=P","Fill=—","Direction=H","UseDPDF=Y")</f>
        <v>684</v>
      </c>
      <c r="W48" s="13">
        <f>_xll.BDH("GILD US Equity","ARDR_DEPRECIATION_AMORTIZATION","FQ4 2023","FQ4 2023","Currency=USD","Period=FQ","BEST_FPERIOD_OVERRIDE=FQ","FILING_STATUS=MR","SCALING_FORMAT=MLN","Sort=A","Dates=H","DateFormat=P","Fill=—","Direction=H","UseDPDF=Y")</f>
        <v>688</v>
      </c>
      <c r="X48" s="13">
        <f>_xll.BDH("GILD US Equity","ARDR_DEPRECIATION_AMORTIZATION","FQ1 2024","FQ1 2024","Currency=USD","Period=FQ","BEST_FPERIOD_OVERRIDE=FQ","FILING_STATUS=MR","SCALING_FORMAT=MLN","Sort=A","Dates=H","DateFormat=P","Fill=—","Direction=H","UseDPDF=Y")</f>
        <v>690</v>
      </c>
      <c r="Y48" s="13">
        <f>_xll.BDH("GILD US Equity","ARDR_DEPRECIATION_AMORTIZATION","FQ2 2024","FQ2 2024","Currency=USD","Period=FQ","BEST_FPERIOD_OVERRIDE=FQ","FILING_STATUS=MR","SCALING_FORMAT=MLN","Sort=A","Dates=H","DateFormat=P","Fill=—","Direction=H","UseDPDF=Y")</f>
        <v>694</v>
      </c>
      <c r="Z48" s="13">
        <f>_xll.BDH("GILD US Equity","ARDR_DEPRECIATION_AMORTIZATION","FQ3 2024","FQ3 2024","Currency=USD","Period=FQ","BEST_FPERIOD_OVERRIDE=FQ","FILING_STATUS=MR","SCALING_FORMAT=MLN","Sort=A","Dates=H","DateFormat=P","Fill=—","Direction=H","UseDPDF=Y")</f>
        <v>690</v>
      </c>
      <c r="AA48" s="13">
        <f>_xll.BDH("GILD US Equity","ARDR_DEPRECIATION_AMORTIZATION","FQ4 2024","FQ4 2024","Currency=USD","Period=FQ","BEST_FPERIOD_OVERRIDE=FQ","FILING_STATUS=MR","SCALING_FORMAT=MLN","Sort=A","Dates=H","DateFormat=P","Fill=—","Direction=H","UseDPDF=Y")</f>
        <v>693</v>
      </c>
    </row>
    <row r="49" spans="1:27" x14ac:dyDescent="0.25">
      <c r="A49" s="10" t="s">
        <v>442</v>
      </c>
      <c r="B49" s="10" t="s">
        <v>489</v>
      </c>
      <c r="C49" s="13">
        <f>_xll.BDH("GILD US Equity","ARDR_INT_EXP","FQ4 2018","FQ4 2018","Currency=USD","Period=FQ","BEST_FPERIOD_OVERRIDE=FQ","FILING_STATUS=MR","SCALING_FORMAT=MLN","Sort=A","Dates=H","DateFormat=P","Fill=—","Direction=H","UseDPDF=Y")</f>
        <v>257</v>
      </c>
      <c r="D49" s="13">
        <f>_xll.BDH("GILD US Equity","ARDR_INT_EXP","FQ1 2019","FQ1 2019","Currency=USD","Period=FQ","BEST_FPERIOD_OVERRIDE=FQ","FILING_STATUS=MR","SCALING_FORMAT=MLN","Sort=A","Dates=H","DateFormat=P","Fill=—","Direction=H","UseDPDF=Y")</f>
        <v>254</v>
      </c>
      <c r="E49" s="13">
        <f>_xll.BDH("GILD US Equity","ARDR_INT_EXP","FQ2 2019","FQ2 2019","Currency=USD","Period=FQ","BEST_FPERIOD_OVERRIDE=FQ","FILING_STATUS=MR","SCALING_FORMAT=MLN","Sort=A","Dates=H","DateFormat=P","Fill=—","Direction=H","UseDPDF=Y")</f>
        <v>248</v>
      </c>
      <c r="F49" s="13">
        <f>_xll.BDH("GILD US Equity","ARDR_INT_EXP","FQ3 2019","FQ3 2019","Currency=USD","Period=FQ","BEST_FPERIOD_OVERRIDE=FQ","FILING_STATUS=MR","SCALING_FORMAT=MLN","Sort=A","Dates=H","DateFormat=P","Fill=—","Direction=H","UseDPDF=Y")</f>
        <v>250</v>
      </c>
      <c r="G49" s="13">
        <f>_xll.BDH("GILD US Equity","ARDR_INT_EXP","FQ4 2019","FQ4 2019","Currency=USD","Period=FQ","BEST_FPERIOD_OVERRIDE=FQ","FILING_STATUS=MR","SCALING_FORMAT=MLN","Sort=A","Dates=H","DateFormat=P","Fill=—","Direction=H","UseDPDF=Y")</f>
        <v>243</v>
      </c>
      <c r="H49" s="13">
        <f>_xll.BDH("GILD US Equity","ARDR_INT_EXP","FQ1 2020","FQ1 2020","Currency=USD","Period=FQ","BEST_FPERIOD_OVERRIDE=FQ","FILING_STATUS=MR","SCALING_FORMAT=MLN","Sort=A","Dates=H","DateFormat=P","Fill=—","Direction=H","UseDPDF=Y")</f>
        <v>241</v>
      </c>
      <c r="I49" s="13">
        <f>_xll.BDH("GILD US Equity","ARDR_INT_EXP","FQ2 2020","FQ2 2020","Currency=USD","Period=FQ","BEST_FPERIOD_OVERRIDE=FQ","FILING_STATUS=MR","SCALING_FORMAT=MLN","Sort=A","Dates=H","DateFormat=P","Fill=—","Direction=H","UseDPDF=Y")</f>
        <v>240</v>
      </c>
      <c r="J49" s="13">
        <f>_xll.BDH("GILD US Equity","ARDR_INT_EXP","FQ3 2020","FQ3 2020","Currency=USD","Period=FQ","BEST_FPERIOD_OVERRIDE=FQ","FILING_STATUS=MR","SCALING_FORMAT=MLN","Sort=A","Dates=H","DateFormat=P","Fill=—","Direction=H","UseDPDF=Y")</f>
        <v>236</v>
      </c>
      <c r="K49" s="13">
        <f>_xll.BDH("GILD US Equity","ARDR_INT_EXP","FQ4 2020","FQ4 2020","Currency=USD","Period=FQ","BEST_FPERIOD_OVERRIDE=FQ","FILING_STATUS=MR","SCALING_FORMAT=MLN","Sort=A","Dates=H","DateFormat=P","Fill=—","Direction=H","UseDPDF=Y")</f>
        <v>267</v>
      </c>
      <c r="L49" s="13">
        <f>_xll.BDH("GILD US Equity","ARDR_INT_EXP","FQ1 2021","FQ1 2021","Currency=USD","Period=FQ","BEST_FPERIOD_OVERRIDE=FQ","FILING_STATUS=MR","SCALING_FORMAT=MLN","Sort=A","Dates=H","DateFormat=P","Fill=—","Direction=H","UseDPDF=Y")</f>
        <v>257</v>
      </c>
      <c r="M49" s="13">
        <f>_xll.BDH("GILD US Equity","ARDR_INT_EXP","FQ2 2021","FQ2 2021","Currency=USD","Period=FQ","BEST_FPERIOD_OVERRIDE=FQ","FILING_STATUS=MR","SCALING_FORMAT=MLN","Sort=A","Dates=H","DateFormat=P","Fill=—","Direction=H","UseDPDF=Y")</f>
        <v>256</v>
      </c>
      <c r="N49" s="13">
        <f>_xll.BDH("GILD US Equity","ARDR_INT_EXP","FQ3 2021","FQ3 2021","Currency=USD","Period=FQ","BEST_FPERIOD_OVERRIDE=FQ","FILING_STATUS=MR","SCALING_FORMAT=MLN","Sort=A","Dates=H","DateFormat=P","Fill=—","Direction=H","UseDPDF=Y")</f>
        <v>250</v>
      </c>
      <c r="O49" s="13">
        <f>_xll.BDH("GILD US Equity","ARDR_INT_EXP","FQ4 2021","FQ4 2021","Currency=USD","Period=FQ","BEST_FPERIOD_OVERRIDE=FQ","FILING_STATUS=MR","SCALING_FORMAT=MLN","Sort=A","Dates=H","DateFormat=P","Fill=—","Direction=H","UseDPDF=Y")</f>
        <v>238</v>
      </c>
      <c r="P49" s="13">
        <f>_xll.BDH("GILD US Equity","ARDR_INT_EXP","FQ1 2022","FQ1 2022","Currency=USD","Period=FQ","BEST_FPERIOD_OVERRIDE=FQ","FILING_STATUS=MR","SCALING_FORMAT=MLN","Sort=A","Dates=H","DateFormat=P","Fill=—","Direction=H","UseDPDF=Y")</f>
        <v>238</v>
      </c>
      <c r="Q49" s="13">
        <f>_xll.BDH("GILD US Equity","ARDR_INT_EXP","FQ2 2022","FQ2 2022","Currency=USD","Period=FQ","BEST_FPERIOD_OVERRIDE=FQ","FILING_STATUS=MR","SCALING_FORMAT=MLN","Sort=A","Dates=H","DateFormat=P","Fill=—","Direction=H","UseDPDF=Y")</f>
        <v>242</v>
      </c>
      <c r="R49" s="13">
        <f>_xll.BDH("GILD US Equity","ARDR_INT_EXP","FQ3 2022","FQ3 2022","Currency=USD","Period=FQ","BEST_FPERIOD_OVERRIDE=FQ","FILING_STATUS=MR","SCALING_FORMAT=MLN","Sort=A","Dates=H","DateFormat=P","Fill=—","Direction=H","UseDPDF=Y")</f>
        <v>229</v>
      </c>
      <c r="S49" s="13">
        <f>_xll.BDH("GILD US Equity","ARDR_INT_EXP","FQ4 2022","FQ4 2022","Currency=USD","Period=FQ","BEST_FPERIOD_OVERRIDE=FQ","FILING_STATUS=MR","SCALING_FORMAT=MLN","Sort=A","Dates=H","DateFormat=P","Fill=—","Direction=H","UseDPDF=Y")</f>
        <v>227</v>
      </c>
      <c r="T49" s="13">
        <f>_xll.BDH("GILD US Equity","ARDR_INT_EXP","FQ1 2023","FQ1 2023","Currency=USD","Period=FQ","BEST_FPERIOD_OVERRIDE=FQ","FILING_STATUS=MR","SCALING_FORMAT=MLN","Sort=A","Dates=H","DateFormat=P","Fill=—","Direction=H","UseDPDF=Y")</f>
        <v>230</v>
      </c>
      <c r="U49" s="13">
        <f>_xll.BDH("GILD US Equity","ARDR_INT_EXP","FQ2 2023","FQ2 2023","Currency=USD","Period=FQ","BEST_FPERIOD_OVERRIDE=FQ","FILING_STATUS=MR","SCALING_FORMAT=MLN","Sort=A","Dates=H","DateFormat=P","Fill=—","Direction=H","UseDPDF=Y")</f>
        <v>230</v>
      </c>
      <c r="V49" s="13">
        <f>_xll.BDH("GILD US Equity","ARDR_INT_EXP","FQ3 2023","FQ3 2023","Currency=USD","Period=FQ","BEST_FPERIOD_OVERRIDE=FQ","FILING_STATUS=MR","SCALING_FORMAT=MLN","Sort=A","Dates=H","DateFormat=P","Fill=—","Direction=H","UseDPDF=Y")</f>
        <v>232</v>
      </c>
      <c r="W49" s="13">
        <f>_xll.BDH("GILD US Equity","ARDR_INT_EXP","FQ4 2023","FQ4 2023","Currency=USD","Period=FQ","BEST_FPERIOD_OVERRIDE=FQ","FILING_STATUS=MR","SCALING_FORMAT=MLN","Sort=A","Dates=H","DateFormat=P","Fill=—","Direction=H","UseDPDF=Y")</f>
        <v>252</v>
      </c>
      <c r="X49" s="13">
        <f>_xll.BDH("GILD US Equity","ARDR_INT_EXP","FQ1 2024","FQ1 2024","Currency=USD","Period=FQ","BEST_FPERIOD_OVERRIDE=FQ","FILING_STATUS=MR","SCALING_FORMAT=MLN","Sort=A","Dates=H","DateFormat=P","Fill=—","Direction=H","UseDPDF=Y")</f>
        <v>254</v>
      </c>
      <c r="Y49" s="13">
        <f>_xll.BDH("GILD US Equity","ARDR_INT_EXP","FQ2 2024","FQ2 2024","Currency=USD","Period=FQ","BEST_FPERIOD_OVERRIDE=FQ","FILING_STATUS=MR","SCALING_FORMAT=MLN","Sort=A","Dates=H","DateFormat=P","Fill=—","Direction=H","UseDPDF=Y")</f>
        <v>236</v>
      </c>
      <c r="Z49" s="13">
        <f>_xll.BDH("GILD US Equity","ARDR_INT_EXP","FQ3 2024","FQ3 2024","Currency=USD","Period=FQ","BEST_FPERIOD_OVERRIDE=FQ","FILING_STATUS=MR","SCALING_FORMAT=MLN","Sort=A","Dates=H","DateFormat=P","Fill=—","Direction=H","UseDPDF=Y")</f>
        <v>238</v>
      </c>
      <c r="AA49" s="13">
        <f>_xll.BDH("GILD US Equity","ARDR_INT_EXP","FQ4 2024","FQ4 2024","Currency=USD","Period=FQ","BEST_FPERIOD_OVERRIDE=FQ","FILING_STATUS=MR","SCALING_FORMAT=MLN","Sort=A","Dates=H","DateFormat=P","Fill=—","Direction=H","UseDPDF=Y")</f>
        <v>248</v>
      </c>
    </row>
    <row r="50" spans="1:27" x14ac:dyDescent="0.25">
      <c r="A50" s="10" t="s">
        <v>434</v>
      </c>
      <c r="B50" s="10" t="s">
        <v>490</v>
      </c>
      <c r="C50" s="13" t="str">
        <f>_xll.BDH("GILD US Equity","ARDR_ACQUIRED_IN_PROCESS_R&amp;D","FQ4 2018","FQ4 2018","Currency=USD","Period=FQ","BEST_FPERIOD_OVERRIDE=FQ","FILING_STATUS=MR","SCALING_FORMAT=MLN","Sort=A","Dates=H","DateFormat=P","Fill=—","Direction=H","UseDPDF=Y")</f>
        <v>—</v>
      </c>
      <c r="D50" s="13" t="str">
        <f>_xll.BDH("GILD US Equity","ARDR_ACQUIRED_IN_PROCESS_R&amp;D","FQ1 2019","FQ1 2019","Currency=USD","Period=FQ","BEST_FPERIOD_OVERRIDE=FQ","FILING_STATUS=MR","SCALING_FORMAT=MLN","Sort=A","Dates=H","DateFormat=P","Fill=—","Direction=H","UseDPDF=Y")</f>
        <v>—</v>
      </c>
      <c r="E50" s="13" t="str">
        <f>_xll.BDH("GILD US Equity","ARDR_ACQUIRED_IN_PROCESS_R&amp;D","FQ2 2019","FQ2 2019","Currency=USD","Period=FQ","BEST_FPERIOD_OVERRIDE=FQ","FILING_STATUS=MR","SCALING_FORMAT=MLN","Sort=A","Dates=H","DateFormat=P","Fill=—","Direction=H","UseDPDF=Y")</f>
        <v>—</v>
      </c>
      <c r="F50" s="13">
        <f>_xll.BDH("GILD US Equity","ARDR_ACQUIRED_IN_PROCESS_R&amp;D","FQ3 2019","FQ3 2019","Currency=USD","Period=FQ","BEST_FPERIOD_OVERRIDE=FQ","FILING_STATUS=MR","SCALING_FORMAT=MLN","Sort=A","Dates=H","DateFormat=P","Fill=—","Direction=H","UseDPDF=Y")</f>
        <v>3960</v>
      </c>
      <c r="G50" s="13">
        <f>_xll.BDH("GILD US Equity","ARDR_ACQUIRED_IN_PROCESS_R&amp;D","FQ4 2019","FQ4 2019","Currency=USD","Period=FQ","BEST_FPERIOD_OVERRIDE=FQ","FILING_STATUS=MR","SCALING_FORMAT=MLN","Sort=A","Dates=H","DateFormat=P","Fill=—","Direction=H","UseDPDF=Y")</f>
        <v>800</v>
      </c>
      <c r="H50" s="13">
        <f>_xll.BDH("GILD US Equity","ARDR_ACQUIRED_IN_PROCESS_R&amp;D","FQ1 2020","FQ1 2020","Currency=USD","Period=FQ","BEST_FPERIOD_OVERRIDE=FQ","FILING_STATUS=MR","SCALING_FORMAT=MLN","Sort=A","Dates=H","DateFormat=P","Fill=—","Direction=H","UseDPDF=Y")</f>
        <v>97</v>
      </c>
      <c r="I50" s="13">
        <f>_xll.BDH("GILD US Equity","ARDR_ACQUIRED_IN_PROCESS_R&amp;D","FQ2 2020","FQ2 2020","Currency=USD","Period=FQ","BEST_FPERIOD_OVERRIDE=FQ","FILING_STATUS=MR","SCALING_FORMAT=MLN","Sort=A","Dates=H","DateFormat=P","Fill=—","Direction=H","UseDPDF=Y")</f>
        <v>4524</v>
      </c>
      <c r="J50" s="13">
        <f>_xll.BDH("GILD US Equity","ARDR_ACQUIRED_IN_PROCESS_R&amp;D","FQ3 2020","FQ3 2020","Currency=USD","Period=FQ","BEST_FPERIOD_OVERRIDE=FQ","FILING_STATUS=MR","SCALING_FORMAT=MLN","Sort=A","Dates=H","DateFormat=P","Fill=—","Direction=H","UseDPDF=Y")</f>
        <v>1171</v>
      </c>
      <c r="K50" s="13">
        <f>_xll.BDH("GILD US Equity","ARDR_ACQUIRED_IN_PROCESS_R&amp;D","FQ4 2020","FQ4 2020","Currency=USD","Period=FQ","BEST_FPERIOD_OVERRIDE=FQ","FILING_STATUS=MR","SCALING_FORMAT=MLN","Sort=A","Dates=H","DateFormat=P","Fill=—","Direction=H","UseDPDF=Y")</f>
        <v>64</v>
      </c>
      <c r="L50" s="13">
        <f>_xll.BDH("GILD US Equity","ARDR_ACQUIRED_IN_PROCESS_R&amp;D","FQ1 2021","FQ1 2021","Currency=USD","Period=FQ","BEST_FPERIOD_OVERRIDE=FQ","FILING_STATUS=MR","SCALING_FORMAT=MLN","Sort=A","Dates=H","DateFormat=P","Fill=—","Direction=H","UseDPDF=Y")</f>
        <v>62</v>
      </c>
      <c r="M50" s="13">
        <f>_xll.BDH("GILD US Equity","ARDR_ACQUIRED_IN_PROCESS_R&amp;D","FQ2 2021","FQ2 2021","Currency=USD","Period=FQ","BEST_FPERIOD_OVERRIDE=FQ","FILING_STATUS=MR","SCALING_FORMAT=MLN","Sort=A","Dates=H","DateFormat=P","Fill=—","Direction=H","UseDPDF=Y")</f>
        <v>96</v>
      </c>
      <c r="N50" s="13">
        <f>_xll.BDH("GILD US Equity","ARDR_ACQUIRED_IN_PROCESS_R&amp;D","FQ3 2021","FQ3 2021","Currency=USD","Period=FQ","BEST_FPERIOD_OVERRIDE=FQ","FILING_STATUS=MR","SCALING_FORMAT=MLN","Sort=A","Dates=H","DateFormat=P","Fill=—","Direction=H","UseDPDF=Y")</f>
        <v>19</v>
      </c>
      <c r="O50" s="13">
        <f>_xll.BDH("GILD US Equity","ARDR_ACQUIRED_IN_PROCESS_R&amp;D","FQ4 2021","FQ4 2021","Currency=USD","Period=FQ","BEST_FPERIOD_OVERRIDE=FQ","FILING_STATUS=MR","SCALING_FORMAT=MLN","Sort=A","Dates=H","DateFormat=P","Fill=—","Direction=H","UseDPDF=Y")</f>
        <v>669</v>
      </c>
      <c r="P50" s="13" t="str">
        <f>_xll.BDH("GILD US Equity","ARDR_ACQUIRED_IN_PROCESS_R&amp;D","FQ1 2022","FQ1 2022","Currency=USD","Period=FQ","BEST_FPERIOD_OVERRIDE=FQ","FILING_STATUS=MR","SCALING_FORMAT=MLN","Sort=A","Dates=H","DateFormat=P","Fill=—","Direction=H","UseDPDF=Y")</f>
        <v>—</v>
      </c>
      <c r="Q50" s="13">
        <f>_xll.BDH("GILD US Equity","ARDR_ACQUIRED_IN_PROCESS_R&amp;D","FQ2 2022","FQ2 2022","Currency=USD","Period=FQ","BEST_FPERIOD_OVERRIDE=FQ","FILING_STATUS=MR","SCALING_FORMAT=MLN","Sort=A","Dates=H","DateFormat=P","Fill=—","Direction=H","UseDPDF=Y")</f>
        <v>330</v>
      </c>
      <c r="R50" s="13">
        <f>_xll.BDH("GILD US Equity","ARDR_ACQUIRED_IN_PROCESS_R&amp;D","FQ3 2022","FQ3 2022","Currency=USD","Period=FQ","BEST_FPERIOD_OVERRIDE=FQ","FILING_STATUS=MR","SCALING_FORMAT=MLN","Sort=A","Dates=H","DateFormat=P","Fill=—","Direction=H","UseDPDF=Y")</f>
        <v>448</v>
      </c>
      <c r="S50" s="13">
        <f>_xll.BDH("GILD US Equity","ARDR_ACQUIRED_IN_PROCESS_R&amp;D","FQ4 2022","FQ4 2022","Currency=USD","Period=FQ","BEST_FPERIOD_OVERRIDE=FQ","FILING_STATUS=MR","SCALING_FORMAT=MLN","Sort=A","Dates=H","DateFormat=P","Fill=—","Direction=H","UseDPDF=Y")</f>
        <v>158</v>
      </c>
      <c r="T50" s="13">
        <f>_xll.BDH("GILD US Equity","ARDR_ACQUIRED_IN_PROCESS_R&amp;D","FQ1 2023","FQ1 2023","Currency=USD","Period=FQ","BEST_FPERIOD_OVERRIDE=FQ","FILING_STATUS=MR","SCALING_FORMAT=MLN","Sort=A","Dates=H","DateFormat=P","Fill=—","Direction=H","UseDPDF=Y")</f>
        <v>481</v>
      </c>
      <c r="U50" s="13">
        <f>_xll.BDH("GILD US Equity","ARDR_ACQUIRED_IN_PROCESS_R&amp;D","FQ2 2023","FQ2 2023","Currency=USD","Period=FQ","BEST_FPERIOD_OVERRIDE=FQ","FILING_STATUS=MR","SCALING_FORMAT=MLN","Sort=A","Dates=H","DateFormat=P","Fill=—","Direction=H","UseDPDF=Y")</f>
        <v>236</v>
      </c>
      <c r="V50" s="13">
        <f>_xll.BDH("GILD US Equity","ARDR_ACQUIRED_IN_PROCESS_R&amp;D","FQ3 2023","FQ3 2023","Currency=USD","Period=FQ","BEST_FPERIOD_OVERRIDE=FQ","FILING_STATUS=MR","SCALING_FORMAT=MLN","Sort=A","Dates=H","DateFormat=P","Fill=—","Direction=H","UseDPDF=Y")</f>
        <v>91</v>
      </c>
      <c r="W50" s="13">
        <f>_xll.BDH("GILD US Equity","ARDR_ACQUIRED_IN_PROCESS_R&amp;D","FQ4 2023","FQ4 2023","Currency=USD","Period=FQ","BEST_FPERIOD_OVERRIDE=FQ","FILING_STATUS=MR","SCALING_FORMAT=MLN","Sort=A","Dates=H","DateFormat=P","Fill=—","Direction=H","UseDPDF=Y")</f>
        <v>347</v>
      </c>
      <c r="X50" s="13">
        <f>_xll.BDH("GILD US Equity","ARDR_ACQUIRED_IN_PROCESS_R&amp;D","FQ1 2024","FQ1 2024","Currency=USD","Period=FQ","BEST_FPERIOD_OVERRIDE=FQ","FILING_STATUS=MR","SCALING_FORMAT=MLN","Sort=A","Dates=H","DateFormat=P","Fill=—","Direction=H","UseDPDF=Y")</f>
        <v>4131</v>
      </c>
      <c r="Y50" s="13">
        <f>_xll.BDH("GILD US Equity","ARDR_ACQUIRED_IN_PROCESS_R&amp;D","FQ2 2024","FQ2 2024","Currency=USD","Period=FQ","BEST_FPERIOD_OVERRIDE=FQ","FILING_STATUS=MR","SCALING_FORMAT=MLN","Sort=A","Dates=H","DateFormat=P","Fill=—","Direction=H","UseDPDF=Y")</f>
        <v>38</v>
      </c>
      <c r="Z50" s="13">
        <f>_xll.BDH("GILD US Equity","ARDR_ACQUIRED_IN_PROCESS_R&amp;D","FQ3 2024","FQ3 2024","Currency=USD","Period=FQ","BEST_FPERIOD_OVERRIDE=FQ","FILING_STATUS=MR","SCALING_FORMAT=MLN","Sort=A","Dates=H","DateFormat=P","Fill=—","Direction=H","UseDPDF=Y")</f>
        <v>505</v>
      </c>
      <c r="AA50" s="13">
        <f>_xll.BDH("GILD US Equity","ARDR_ACQUIRED_IN_PROCESS_R&amp;D","FQ4 2024","FQ4 2024","Currency=USD","Period=FQ","BEST_FPERIOD_OVERRIDE=FQ","FILING_STATUS=MR","SCALING_FORMAT=MLN","Sort=A","Dates=H","DateFormat=P","Fill=—","Direction=H","UseDPDF=Y")</f>
        <v>-11</v>
      </c>
    </row>
    <row r="51" spans="1:27" x14ac:dyDescent="0.25">
      <c r="A51" s="10" t="s">
        <v>491</v>
      </c>
      <c r="B51" s="10" t="s">
        <v>492</v>
      </c>
      <c r="C51" s="13" t="str">
        <f>_xll.BDH("GILD US Equity","ARDR_RESTRUCTURING_CHARGES","FQ4 2018","FQ4 2018","Currency=USD","Period=FQ","BEST_FPERIOD_OVERRIDE=FQ","FILING_STATUS=MR","SCALING_FORMAT=MLN","Sort=A","Dates=H","DateFormat=P","Fill=—","Direction=H","UseDPDF=Y")</f>
        <v>—</v>
      </c>
      <c r="D51" s="13" t="str">
        <f>_xll.BDH("GILD US Equity","ARDR_RESTRUCTURING_CHARGES","FQ1 2019","FQ1 2019","Currency=USD","Period=FQ","BEST_FPERIOD_OVERRIDE=FQ","FILING_STATUS=MR","SCALING_FORMAT=MLN","Sort=A","Dates=H","DateFormat=P","Fill=—","Direction=H","UseDPDF=Y")</f>
        <v>—</v>
      </c>
      <c r="E51" s="13" t="str">
        <f>_xll.BDH("GILD US Equity","ARDR_RESTRUCTURING_CHARGES","FQ2 2019","FQ2 2019","Currency=USD","Period=FQ","BEST_FPERIOD_OVERRIDE=FQ","FILING_STATUS=MR","SCALING_FORMAT=MLN","Sort=A","Dates=H","DateFormat=P","Fill=—","Direction=H","UseDPDF=Y")</f>
        <v>—</v>
      </c>
      <c r="F51" s="13" t="str">
        <f>_xll.BDH("GILD US Equity","ARDR_RESTRUCTURING_CHARGES","FQ3 2019","FQ3 2019","Currency=USD","Period=FQ","BEST_FPERIOD_OVERRIDE=FQ","FILING_STATUS=MR","SCALING_FORMAT=MLN","Sort=A","Dates=H","DateFormat=P","Fill=—","Direction=H","UseDPDF=Y")</f>
        <v>—</v>
      </c>
      <c r="G51" s="13" t="str">
        <f>_xll.BDH("GILD US Equity","ARDR_RESTRUCTURING_CHARGES","FQ4 2019","FQ4 2019","Currency=USD","Period=FQ","BEST_FPERIOD_OVERRIDE=FQ","FILING_STATUS=MR","SCALING_FORMAT=MLN","Sort=A","Dates=H","DateFormat=P","Fill=—","Direction=H","UseDPDF=Y")</f>
        <v>—</v>
      </c>
      <c r="H51" s="13" t="str">
        <f>_xll.BDH("GILD US Equity","ARDR_RESTRUCTURING_CHARGES","FQ1 2020","FQ1 2020","Currency=USD","Period=FQ","BEST_FPERIOD_OVERRIDE=FQ","FILING_STATUS=MR","SCALING_FORMAT=MLN","Sort=A","Dates=H","DateFormat=P","Fill=—","Direction=H","UseDPDF=Y")</f>
        <v>—</v>
      </c>
      <c r="I51" s="13" t="str">
        <f>_xll.BDH("GILD US Equity","ARDR_RESTRUCTURING_CHARGES","FQ2 2020","FQ2 2020","Currency=USD","Period=FQ","BEST_FPERIOD_OVERRIDE=FQ","FILING_STATUS=MR","SCALING_FORMAT=MLN","Sort=A","Dates=H","DateFormat=P","Fill=—","Direction=H","UseDPDF=Y")</f>
        <v>—</v>
      </c>
      <c r="J51" s="13" t="str">
        <f>_xll.BDH("GILD US Equity","ARDR_RESTRUCTURING_CHARGES","FQ3 2020","FQ3 2020","Currency=USD","Period=FQ","BEST_FPERIOD_OVERRIDE=FQ","FILING_STATUS=MR","SCALING_FORMAT=MLN","Sort=A","Dates=H","DateFormat=P","Fill=—","Direction=H","UseDPDF=Y")</f>
        <v>—</v>
      </c>
      <c r="K51" s="13" t="str">
        <f>_xll.BDH("GILD US Equity","ARDR_RESTRUCTURING_CHARGES","FQ4 2020","FQ4 2020","Currency=USD","Period=FQ","BEST_FPERIOD_OVERRIDE=FQ","FILING_STATUS=MR","SCALING_FORMAT=MLN","Sort=A","Dates=H","DateFormat=P","Fill=—","Direction=H","UseDPDF=Y")</f>
        <v>—</v>
      </c>
      <c r="L51" s="13" t="str">
        <f>_xll.BDH("GILD US Equity","ARDR_RESTRUCTURING_CHARGES","FQ1 2021","FQ1 2021","Currency=USD","Period=FQ","BEST_FPERIOD_OVERRIDE=FQ","FILING_STATUS=MR","SCALING_FORMAT=MLN","Sort=A","Dates=H","DateFormat=P","Fill=—","Direction=H","UseDPDF=Y")</f>
        <v>—</v>
      </c>
      <c r="M51" s="13" t="str">
        <f>_xll.BDH("GILD US Equity","ARDR_RESTRUCTURING_CHARGES","FQ2 2021","FQ2 2021","Currency=USD","Period=FQ","BEST_FPERIOD_OVERRIDE=FQ","FILING_STATUS=MR","SCALING_FORMAT=MLN","Sort=A","Dates=H","DateFormat=P","Fill=—","Direction=H","UseDPDF=Y")</f>
        <v>—</v>
      </c>
      <c r="N51" s="13" t="str">
        <f>_xll.BDH("GILD US Equity","ARDR_RESTRUCTURING_CHARGES","FQ3 2021","FQ3 2021","Currency=USD","Period=FQ","BEST_FPERIOD_OVERRIDE=FQ","FILING_STATUS=MR","SCALING_FORMAT=MLN","Sort=A","Dates=H","DateFormat=P","Fill=—","Direction=H","UseDPDF=Y")</f>
        <v>—</v>
      </c>
      <c r="O51" s="13" t="str">
        <f>_xll.BDH("GILD US Equity","ARDR_RESTRUCTURING_CHARGES","FQ4 2021","FQ4 2021","Currency=USD","Period=FQ","BEST_FPERIOD_OVERRIDE=FQ","FILING_STATUS=MR","SCALING_FORMAT=MLN","Sort=A","Dates=H","DateFormat=P","Fill=—","Direction=H","UseDPDF=Y")</f>
        <v>—</v>
      </c>
      <c r="P51" s="13">
        <f>_xll.BDH("GILD US Equity","ARDR_RESTRUCTURING_CHARGES","FQ1 2022","FQ1 2022","Currency=USD","Period=FQ","BEST_FPERIOD_OVERRIDE=FQ","FILING_STATUS=MR","SCALING_FORMAT=MLN","Sort=A","Dates=H","DateFormat=P","Fill=—","Direction=H","UseDPDF=Y")</f>
        <v>60</v>
      </c>
      <c r="Q51" s="13" t="str">
        <f>_xll.BDH("GILD US Equity","ARDR_RESTRUCTURING_CHARGES","FQ2 2022","FQ2 2022","Currency=USD","Period=FQ","BEST_FPERIOD_OVERRIDE=FQ","FILING_STATUS=MR","SCALING_FORMAT=MLN","Sort=A","Dates=H","DateFormat=P","Fill=—","Direction=H","UseDPDF=Y")</f>
        <v>—</v>
      </c>
      <c r="R51" s="13" t="str">
        <f>_xll.BDH("GILD US Equity","ARDR_RESTRUCTURING_CHARGES","FQ3 2022","FQ3 2022","Currency=USD","Period=FQ","BEST_FPERIOD_OVERRIDE=FQ","FILING_STATUS=MR","SCALING_FORMAT=MLN","Sort=A","Dates=H","DateFormat=P","Fill=—","Direction=H","UseDPDF=Y")</f>
        <v>—</v>
      </c>
      <c r="S51" s="13" t="str">
        <f>_xll.BDH("GILD US Equity","ARDR_RESTRUCTURING_CHARGES","FQ4 2022","FQ4 2022","Currency=USD","Period=FQ","BEST_FPERIOD_OVERRIDE=FQ","FILING_STATUS=MR","SCALING_FORMAT=MLN","Sort=A","Dates=H","DateFormat=P","Fill=—","Direction=H","UseDPDF=Y")</f>
        <v>—</v>
      </c>
      <c r="T51" s="13">
        <f>_xll.BDH("GILD US Equity","ARDR_RESTRUCTURING_CHARGES","FQ1 2023","FQ1 2023","Currency=USD","Period=FQ","BEST_FPERIOD_OVERRIDE=FQ","FILING_STATUS=MR","SCALING_FORMAT=MLN","Sort=A","Dates=H","DateFormat=P","Fill=—","Direction=H","UseDPDF=Y")</f>
        <v>0</v>
      </c>
      <c r="U51" s="13" t="str">
        <f>_xll.BDH("GILD US Equity","ARDR_RESTRUCTURING_CHARGES","FQ2 2023","FQ2 2023","Currency=USD","Period=FQ","BEST_FPERIOD_OVERRIDE=FQ","FILING_STATUS=MR","SCALING_FORMAT=MLN","Sort=A","Dates=H","DateFormat=P","Fill=—","Direction=H","UseDPDF=Y")</f>
        <v>—</v>
      </c>
      <c r="V51" s="13">
        <f>_xll.BDH("GILD US Equity","ARDR_RESTRUCTURING_CHARGES","FQ3 2023","FQ3 2023","Currency=USD","Period=FQ","BEST_FPERIOD_OVERRIDE=FQ","FILING_STATUS=MR","SCALING_FORMAT=MLN","Sort=A","Dates=H","DateFormat=P","Fill=—","Direction=H","UseDPDF=Y")</f>
        <v>22</v>
      </c>
      <c r="W51" s="13">
        <f>_xll.BDH("GILD US Equity","ARDR_RESTRUCTURING_CHARGES","FQ4 2023","FQ4 2023","Currency=USD","Period=FQ","BEST_FPERIOD_OVERRIDE=FQ","FILING_STATUS=MR","SCALING_FORMAT=MLN","Sort=A","Dates=H","DateFormat=P","Fill=—","Direction=H","UseDPDF=Y")</f>
        <v>505</v>
      </c>
      <c r="X51" s="13">
        <f>_xll.BDH("GILD US Equity","ARDR_RESTRUCTURING_CHARGES","FQ1 2024","FQ1 2024","Currency=USD","Period=FQ","BEST_FPERIOD_OVERRIDE=FQ","FILING_STATUS=MR","SCALING_FORMAT=MLN","Sort=A","Dates=H","DateFormat=P","Fill=—","Direction=H","UseDPDF=Y")</f>
        <v>63</v>
      </c>
      <c r="Y51" s="13">
        <f>_xll.BDH("GILD US Equity","ARDR_RESTRUCTURING_CHARGES","FQ2 2024","FQ2 2024","Currency=USD","Period=FQ","BEST_FPERIOD_OVERRIDE=FQ","FILING_STATUS=MR","SCALING_FORMAT=MLN","Sort=A","Dates=H","DateFormat=P","Fill=—","Direction=H","UseDPDF=Y")</f>
        <v>21</v>
      </c>
      <c r="Z51" s="13">
        <f>_xll.BDH("GILD US Equity","ARDR_RESTRUCTURING_CHARGES","FQ3 2024","FQ3 2024","Currency=USD","Period=FQ","BEST_FPERIOD_OVERRIDE=FQ","FILING_STATUS=MR","SCALING_FORMAT=MLN","Sort=A","Dates=H","DateFormat=P","Fill=—","Direction=H","UseDPDF=Y")</f>
        <v>28</v>
      </c>
      <c r="AA51" s="13">
        <f>_xll.BDH("GILD US Equity","ARDR_RESTRUCTURING_CHARGES","FQ4 2024","FQ4 2024","Currency=USD","Period=FQ","BEST_FPERIOD_OVERRIDE=FQ","FILING_STATUS=MR","SCALING_FORMAT=MLN","Sort=A","Dates=H","DateFormat=P","Fill=—","Direction=H","UseDPDF=Y")</f>
        <v>76</v>
      </c>
    </row>
    <row r="52" spans="1:27" x14ac:dyDescent="0.25">
      <c r="A52" s="10" t="s">
        <v>493</v>
      </c>
      <c r="B52" s="10" t="s">
        <v>494</v>
      </c>
      <c r="C52" s="13">
        <f>_xll.BDH("GILD US Equity","ARDR_OTHER_ONE_TIME_CHARGES","FQ4 2018","FQ4 2018","Currency=USD","Period=FQ","BEST_FPERIOD_OVERRIDE=FQ","FILING_STATUS=MR","SCALING_FORMAT=MLN","Sort=A","Dates=H","DateFormat=P","Fill=—","Direction=H","UseDPDF=Y")</f>
        <v>127</v>
      </c>
      <c r="D52" s="13" t="str">
        <f>_xll.BDH("GILD US Equity","ARDR_OTHER_ONE_TIME_CHARGES","FQ1 2019","FQ1 2019","Currency=USD","Period=FQ","BEST_FPERIOD_OVERRIDE=FQ","FILING_STATUS=MR","SCALING_FORMAT=MLN","Sort=A","Dates=H","DateFormat=P","Fill=—","Direction=H","UseDPDF=Y")</f>
        <v>—</v>
      </c>
      <c r="E52" s="13">
        <f>_xll.BDH("GILD US Equity","ARDR_OTHER_ONE_TIME_CHARGES","FQ2 2019","FQ2 2019","Currency=USD","Period=FQ","BEST_FPERIOD_OVERRIDE=FQ","FILING_STATUS=MR","SCALING_FORMAT=MLN","Sort=A","Dates=H","DateFormat=P","Fill=—","Direction=H","UseDPDF=Y")</f>
        <v>164</v>
      </c>
      <c r="F52" s="13">
        <f>_xll.BDH("GILD US Equity","ARDR_OTHER_ONE_TIME_CHARGES","FQ3 2019","FQ3 2019","Currency=USD","Period=FQ","BEST_FPERIOD_OVERRIDE=FQ","FILING_STATUS=MR","SCALING_FORMAT=MLN","Sort=A","Dates=H","DateFormat=P","Fill=—","Direction=H","UseDPDF=Y")</f>
        <v>9</v>
      </c>
      <c r="G52" s="13">
        <f>_xll.BDH("GILD US Equity","ARDR_OTHER_ONE_TIME_CHARGES","FQ4 2019","FQ4 2019","Currency=USD","Period=FQ","BEST_FPERIOD_OVERRIDE=FQ","FILING_STATUS=MR","SCALING_FORMAT=MLN","Sort=A","Dates=H","DateFormat=P","Fill=—","Direction=H","UseDPDF=Y")</f>
        <v>-4</v>
      </c>
      <c r="H52" s="13" t="str">
        <f>_xll.BDH("GILD US Equity","ARDR_OTHER_ONE_TIME_CHARGES","FQ1 2020","FQ1 2020","Currency=USD","Period=FQ","BEST_FPERIOD_OVERRIDE=FQ","FILING_STATUS=MR","SCALING_FORMAT=MLN","Sort=A","Dates=H","DateFormat=P","Fill=—","Direction=H","UseDPDF=Y")</f>
        <v>—</v>
      </c>
      <c r="I52" s="13">
        <f>_xll.BDH("GILD US Equity","ARDR_OTHER_ONE_TIME_CHARGES","FQ2 2020","FQ2 2020","Currency=USD","Period=FQ","BEST_FPERIOD_OVERRIDE=FQ","FILING_STATUS=MR","SCALING_FORMAT=MLN","Sort=A","Dates=H","DateFormat=P","Fill=—","Direction=H","UseDPDF=Y")</f>
        <v>-2</v>
      </c>
      <c r="J52" s="13">
        <f>_xll.BDH("GILD US Equity","ARDR_OTHER_ONE_TIME_CHARGES","FQ3 2020","FQ3 2020","Currency=USD","Period=FQ","BEST_FPERIOD_OVERRIDE=FQ","FILING_STATUS=MR","SCALING_FORMAT=MLN","Sort=A","Dates=H","DateFormat=P","Fill=—","Direction=H","UseDPDF=Y")</f>
        <v>-1</v>
      </c>
      <c r="K52" s="13" t="str">
        <f>_xll.BDH("GILD US Equity","ARDR_OTHER_ONE_TIME_CHARGES","FQ4 2020","FQ4 2020","Currency=USD","Period=FQ","BEST_FPERIOD_OVERRIDE=FQ","FILING_STATUS=MR","SCALING_FORMAT=MLN","Sort=A","Dates=H","DateFormat=P","Fill=—","Direction=H","UseDPDF=Y")</f>
        <v>—</v>
      </c>
      <c r="L52" s="13" t="str">
        <f>_xll.BDH("GILD US Equity","ARDR_OTHER_ONE_TIME_CHARGES","FQ1 2021","FQ1 2021","Currency=USD","Period=FQ","BEST_FPERIOD_OVERRIDE=FQ","FILING_STATUS=MR","SCALING_FORMAT=MLN","Sort=A","Dates=H","DateFormat=P","Fill=—","Direction=H","UseDPDF=Y")</f>
        <v>—</v>
      </c>
      <c r="M52" s="13">
        <f>_xll.BDH("GILD US Equity","ARDR_OTHER_ONE_TIME_CHARGES","FQ2 2021","FQ2 2021","Currency=USD","Period=FQ","BEST_FPERIOD_OVERRIDE=FQ","FILING_STATUS=MR","SCALING_FORMAT=MLN","Sort=A","Dates=H","DateFormat=P","Fill=—","Direction=H","UseDPDF=Y")</f>
        <v>264</v>
      </c>
      <c r="N52" s="13" t="str">
        <f>_xll.BDH("GILD US Equity","ARDR_OTHER_ONE_TIME_CHARGES","FQ3 2021","FQ3 2021","Currency=USD","Period=FQ","BEST_FPERIOD_OVERRIDE=FQ","FILING_STATUS=MR","SCALING_FORMAT=MLN","Sort=A","Dates=H","DateFormat=P","Fill=—","Direction=H","UseDPDF=Y")</f>
        <v>—</v>
      </c>
      <c r="O52" s="13">
        <f>_xll.BDH("GILD US Equity","ARDR_OTHER_ONE_TIME_CHARGES","FQ4 2021","FQ4 2021","Currency=USD","Period=FQ","BEST_FPERIOD_OVERRIDE=FQ","FILING_STATUS=MR","SCALING_FORMAT=MLN","Sort=A","Dates=H","DateFormat=P","Fill=—","Direction=H","UseDPDF=Y")</f>
        <v>6</v>
      </c>
      <c r="P52" s="13" t="str">
        <f>_xll.BDH("GILD US Equity","ARDR_OTHER_ONE_TIME_CHARGES","FQ1 2022","FQ1 2022","Currency=USD","Period=FQ","BEST_FPERIOD_OVERRIDE=FQ","FILING_STATUS=MR","SCALING_FORMAT=MLN","Sort=A","Dates=H","DateFormat=P","Fill=—","Direction=H","UseDPDF=Y")</f>
        <v>—</v>
      </c>
      <c r="Q52" s="13">
        <f>_xll.BDH("GILD US Equity","ARDR_OTHER_ONE_TIME_CHARGES","FQ2 2022","FQ2 2022","Currency=USD","Period=FQ","BEST_FPERIOD_OVERRIDE=FQ","FILING_STATUS=MR","SCALING_FORMAT=MLN","Sort=A","Dates=H","DateFormat=P","Fill=—","Direction=H","UseDPDF=Y")</f>
        <v>85</v>
      </c>
      <c r="R52" s="13">
        <f>_xll.BDH("GILD US Equity","ARDR_OTHER_ONE_TIME_CHARGES","FQ3 2022","FQ3 2022","Currency=USD","Period=FQ","BEST_FPERIOD_OVERRIDE=FQ","FILING_STATUS=MR","SCALING_FORMAT=MLN","Sort=A","Dates=H","DateFormat=P","Fill=—","Direction=H","UseDPDF=Y")</f>
        <v>-1</v>
      </c>
      <c r="S52" s="13">
        <f>_xll.BDH("GILD US Equity","ARDR_OTHER_ONE_TIME_CHARGES","FQ4 2022","FQ4 2022","Currency=USD","Period=FQ","BEST_FPERIOD_OVERRIDE=FQ","FILING_STATUS=MR","SCALING_FORMAT=MLN","Sort=A","Dates=H","DateFormat=P","Fill=—","Direction=H","UseDPDF=Y")</f>
        <v>2</v>
      </c>
      <c r="T52" s="13" t="str">
        <f>_xll.BDH("GILD US Equity","ARDR_OTHER_ONE_TIME_CHARGES","FQ1 2023","FQ1 2023","Currency=USD","Period=FQ","BEST_FPERIOD_OVERRIDE=FQ","FILING_STATUS=MR","SCALING_FORMAT=MLN","Sort=A","Dates=H","DateFormat=P","Fill=—","Direction=H","UseDPDF=Y")</f>
        <v>—</v>
      </c>
      <c r="U52" s="13" t="str">
        <f>_xll.BDH("GILD US Equity","ARDR_OTHER_ONE_TIME_CHARGES","FQ2 2023","FQ2 2023","Currency=USD","Period=FQ","BEST_FPERIOD_OVERRIDE=FQ","FILING_STATUS=MR","SCALING_FORMAT=MLN","Sort=A","Dates=H","DateFormat=P","Fill=—","Direction=H","UseDPDF=Y")</f>
        <v>—</v>
      </c>
      <c r="V52" s="13" t="str">
        <f>_xll.BDH("GILD US Equity","ARDR_OTHER_ONE_TIME_CHARGES","FQ3 2023","FQ3 2023","Currency=USD","Period=FQ","BEST_FPERIOD_OVERRIDE=FQ","FILING_STATUS=MR","SCALING_FORMAT=MLN","Sort=A","Dates=H","DateFormat=P","Fill=—","Direction=H","UseDPDF=Y")</f>
        <v>—</v>
      </c>
      <c r="W52" s="13">
        <f>_xll.BDH("GILD US Equity","ARDR_OTHER_ONE_TIME_CHARGES","FQ4 2023","FQ4 2023","Currency=USD","Period=FQ","BEST_FPERIOD_OVERRIDE=FQ","FILING_STATUS=MR","SCALING_FORMAT=MLN","Sort=A","Dates=H","DateFormat=P","Fill=—","Direction=H","UseDPDF=Y")</f>
        <v>51</v>
      </c>
      <c r="X52" s="13" t="str">
        <f>_xll.BDH("GILD US Equity","ARDR_OTHER_ONE_TIME_CHARGES","FQ1 2024","FQ1 2024","Currency=USD","Period=FQ","BEST_FPERIOD_OVERRIDE=FQ","FILING_STATUS=MR","SCALING_FORMAT=MLN","Sort=A","Dates=H","DateFormat=P","Fill=—","Direction=H","UseDPDF=Y")</f>
        <v>—</v>
      </c>
      <c r="Y52" s="13" t="str">
        <f>_xll.BDH("GILD US Equity","ARDR_OTHER_ONE_TIME_CHARGES","FQ2 2024","FQ2 2024","Currency=USD","Period=FQ","BEST_FPERIOD_OVERRIDE=FQ","FILING_STATUS=MR","SCALING_FORMAT=MLN","Sort=A","Dates=H","DateFormat=P","Fill=—","Direction=H","UseDPDF=Y")</f>
        <v>—</v>
      </c>
      <c r="Z52" s="13" t="str">
        <f>_xll.BDH("GILD US Equity","ARDR_OTHER_ONE_TIME_CHARGES","FQ3 2024","FQ3 2024","Currency=USD","Period=FQ","BEST_FPERIOD_OVERRIDE=FQ","FILING_STATUS=MR","SCALING_FORMAT=MLN","Sort=A","Dates=H","DateFormat=P","Fill=—","Direction=H","UseDPDF=Y")</f>
        <v>—</v>
      </c>
      <c r="AA52" s="13" t="str">
        <f>_xll.BDH("GILD US Equity","ARDR_OTHER_ONE_TIME_CHARGES","FQ4 2024","FQ4 2024","Currency=USD","Period=FQ","BEST_FPERIOD_OVERRIDE=FQ","FILING_STATUS=MR","SCALING_FORMAT=MLN","Sort=A","Dates=H","DateFormat=P","Fill=—","Direction=H","UseDPDF=Y")</f>
        <v>—</v>
      </c>
    </row>
    <row r="53" spans="1:27" x14ac:dyDescent="0.25">
      <c r="A53" s="10" t="s">
        <v>495</v>
      </c>
      <c r="B53" s="10" t="s">
        <v>496</v>
      </c>
      <c r="C53" s="13" t="str">
        <f>_xll.BDH("GILD US Equity","ARDR_INT_INCOME","FQ4 2018","FQ4 2018","Currency=USD","Period=FQ","BEST_FPERIOD_OVERRIDE=FQ","FILING_STATUS=MR","SCALING_FORMAT=MLN","Sort=A","Dates=H","DateFormat=P","Fill=—","Direction=H","UseDPDF=Y")</f>
        <v>—</v>
      </c>
      <c r="D53" s="13" t="str">
        <f>_xll.BDH("GILD US Equity","ARDR_INT_INCOME","FQ1 2019","FQ1 2019","Currency=USD","Period=FQ","BEST_FPERIOD_OVERRIDE=FQ","FILING_STATUS=MR","SCALING_FORMAT=MLN","Sort=A","Dates=H","DateFormat=P","Fill=—","Direction=H","UseDPDF=Y")</f>
        <v>—</v>
      </c>
      <c r="E53" s="13" t="str">
        <f>_xll.BDH("GILD US Equity","ARDR_INT_INCOME","FQ2 2019","FQ2 2019","Currency=USD","Period=FQ","BEST_FPERIOD_OVERRIDE=FQ","FILING_STATUS=MR","SCALING_FORMAT=MLN","Sort=A","Dates=H","DateFormat=P","Fill=—","Direction=H","UseDPDF=Y")</f>
        <v>—</v>
      </c>
      <c r="F53" s="13" t="str">
        <f>_xll.BDH("GILD US Equity","ARDR_INT_INCOME","FQ3 2019","FQ3 2019","Currency=USD","Period=FQ","BEST_FPERIOD_OVERRIDE=FQ","FILING_STATUS=MR","SCALING_FORMAT=MLN","Sort=A","Dates=H","DateFormat=P","Fill=—","Direction=H","UseDPDF=Y")</f>
        <v>—</v>
      </c>
      <c r="G53" s="13" t="str">
        <f>_xll.BDH("GILD US Equity","ARDR_INT_INCOME","FQ4 2019","FQ4 2019","Currency=USD","Period=FQ","BEST_FPERIOD_OVERRIDE=FQ","FILING_STATUS=MR","SCALING_FORMAT=MLN","Sort=A","Dates=H","DateFormat=P","Fill=—","Direction=H","UseDPDF=Y")</f>
        <v>—</v>
      </c>
      <c r="H53" s="13" t="str">
        <f>_xll.BDH("GILD US Equity","ARDR_INT_INCOME","FQ1 2020","FQ1 2020","Currency=USD","Period=FQ","BEST_FPERIOD_OVERRIDE=FQ","FILING_STATUS=MR","SCALING_FORMAT=MLN","Sort=A","Dates=H","DateFormat=P","Fill=—","Direction=H","UseDPDF=Y")</f>
        <v>—</v>
      </c>
      <c r="I53" s="13" t="str">
        <f>_xll.BDH("GILD US Equity","ARDR_INT_INCOME","FQ2 2020","FQ2 2020","Currency=USD","Period=FQ","BEST_FPERIOD_OVERRIDE=FQ","FILING_STATUS=MR","SCALING_FORMAT=MLN","Sort=A","Dates=H","DateFormat=P","Fill=—","Direction=H","UseDPDF=Y")</f>
        <v>—</v>
      </c>
      <c r="J53" s="13" t="str">
        <f>_xll.BDH("GILD US Equity","ARDR_INT_INCOME","FQ3 2020","FQ3 2020","Currency=USD","Period=FQ","BEST_FPERIOD_OVERRIDE=FQ","FILING_STATUS=MR","SCALING_FORMAT=MLN","Sort=A","Dates=H","DateFormat=P","Fill=—","Direction=H","UseDPDF=Y")</f>
        <v>—</v>
      </c>
      <c r="K53" s="13" t="str">
        <f>_xll.BDH("GILD US Equity","ARDR_INT_INCOME","FQ4 2020","FQ4 2020","Currency=USD","Period=FQ","BEST_FPERIOD_OVERRIDE=FQ","FILING_STATUS=MR","SCALING_FORMAT=MLN","Sort=A","Dates=H","DateFormat=P","Fill=—","Direction=H","UseDPDF=Y")</f>
        <v>—</v>
      </c>
      <c r="L53" s="13" t="str">
        <f>_xll.BDH("GILD US Equity","ARDR_INT_INCOME","FQ1 2021","FQ1 2021","Currency=USD","Period=FQ","BEST_FPERIOD_OVERRIDE=FQ","FILING_STATUS=MR","SCALING_FORMAT=MLN","Sort=A","Dates=H","DateFormat=P","Fill=—","Direction=H","UseDPDF=Y")</f>
        <v>—</v>
      </c>
      <c r="M53" s="13" t="str">
        <f>_xll.BDH("GILD US Equity","ARDR_INT_INCOME","FQ2 2021","FQ2 2021","Currency=USD","Period=FQ","BEST_FPERIOD_OVERRIDE=FQ","FILING_STATUS=MR","SCALING_FORMAT=MLN","Sort=A","Dates=H","DateFormat=P","Fill=—","Direction=H","UseDPDF=Y")</f>
        <v>—</v>
      </c>
      <c r="N53" s="13" t="str">
        <f>_xll.BDH("GILD US Equity","ARDR_INT_INCOME","FQ3 2021","FQ3 2021","Currency=USD","Period=FQ","BEST_FPERIOD_OVERRIDE=FQ","FILING_STATUS=MR","SCALING_FORMAT=MLN","Sort=A","Dates=H","DateFormat=P","Fill=—","Direction=H","UseDPDF=Y")</f>
        <v>—</v>
      </c>
      <c r="O53" s="13" t="str">
        <f>_xll.BDH("GILD US Equity","ARDR_INT_INCOME","FQ4 2021","FQ4 2021","Currency=USD","Period=FQ","BEST_FPERIOD_OVERRIDE=FQ","FILING_STATUS=MR","SCALING_FORMAT=MLN","Sort=A","Dates=H","DateFormat=P","Fill=—","Direction=H","UseDPDF=Y")</f>
        <v>—</v>
      </c>
      <c r="P53" s="13" t="str">
        <f>_xll.BDH("GILD US Equity","ARDR_INT_INCOME","FQ1 2022","FQ1 2022","Currency=USD","Period=FQ","BEST_FPERIOD_OVERRIDE=FQ","FILING_STATUS=MR","SCALING_FORMAT=MLN","Sort=A","Dates=H","DateFormat=P","Fill=—","Direction=H","UseDPDF=Y")</f>
        <v>—</v>
      </c>
      <c r="Q53" s="13" t="str">
        <f>_xll.BDH("GILD US Equity","ARDR_INT_INCOME","FQ2 2022","FQ2 2022","Currency=USD","Period=FQ","BEST_FPERIOD_OVERRIDE=FQ","FILING_STATUS=MR","SCALING_FORMAT=MLN","Sort=A","Dates=H","DateFormat=P","Fill=—","Direction=H","UseDPDF=Y")</f>
        <v>—</v>
      </c>
      <c r="R53" s="13" t="str">
        <f>_xll.BDH("GILD US Equity","ARDR_INT_INCOME","FQ3 2022","FQ3 2022","Currency=USD","Period=FQ","BEST_FPERIOD_OVERRIDE=FQ","FILING_STATUS=MR","SCALING_FORMAT=MLN","Sort=A","Dates=H","DateFormat=P","Fill=—","Direction=H","UseDPDF=Y")</f>
        <v>—</v>
      </c>
      <c r="S53" s="13" t="str">
        <f>_xll.BDH("GILD US Equity","ARDR_INT_INCOME","FQ4 2022","FQ4 2022","Currency=USD","Period=FQ","BEST_FPERIOD_OVERRIDE=FQ","FILING_STATUS=MR","SCALING_FORMAT=MLN","Sort=A","Dates=H","DateFormat=P","Fill=—","Direction=H","UseDPDF=Y")</f>
        <v>—</v>
      </c>
      <c r="T53" s="13" t="str">
        <f>_xll.BDH("GILD US Equity","ARDR_INT_INCOME","FQ1 2023","FQ1 2023","Currency=USD","Period=FQ","BEST_FPERIOD_OVERRIDE=FQ","FILING_STATUS=MR","SCALING_FORMAT=MLN","Sort=A","Dates=H","DateFormat=P","Fill=—","Direction=H","UseDPDF=Y")</f>
        <v>—</v>
      </c>
      <c r="U53" s="13" t="str">
        <f>_xll.BDH("GILD US Equity","ARDR_INT_INCOME","FQ2 2023","FQ2 2023","Currency=USD","Period=FQ","BEST_FPERIOD_OVERRIDE=FQ","FILING_STATUS=MR","SCALING_FORMAT=MLN","Sort=A","Dates=H","DateFormat=P","Fill=—","Direction=H","UseDPDF=Y")</f>
        <v>—</v>
      </c>
      <c r="V53" s="13" t="str">
        <f>_xll.BDH("GILD US Equity","ARDR_INT_INCOME","FQ3 2023","FQ3 2023","Currency=USD","Period=FQ","BEST_FPERIOD_OVERRIDE=FQ","FILING_STATUS=MR","SCALING_FORMAT=MLN","Sort=A","Dates=H","DateFormat=P","Fill=—","Direction=H","UseDPDF=Y")</f>
        <v>—</v>
      </c>
      <c r="W53" s="13" t="str">
        <f>_xll.BDH("GILD US Equity","ARDR_INT_INCOME","FQ4 2023","FQ4 2023","Currency=USD","Period=FQ","BEST_FPERIOD_OVERRIDE=FQ","FILING_STATUS=MR","SCALING_FORMAT=MLN","Sort=A","Dates=H","DateFormat=P","Fill=—","Direction=H","UseDPDF=Y")</f>
        <v>—</v>
      </c>
      <c r="X53" s="13" t="str">
        <f>_xll.BDH("GILD US Equity","ARDR_INT_INCOME","FQ1 2024","FQ1 2024","Currency=USD","Period=FQ","BEST_FPERIOD_OVERRIDE=FQ","FILING_STATUS=MR","SCALING_FORMAT=MLN","Sort=A","Dates=H","DateFormat=P","Fill=—","Direction=H","UseDPDF=Y")</f>
        <v>—</v>
      </c>
      <c r="Y53" s="13" t="str">
        <f>_xll.BDH("GILD US Equity","ARDR_INT_INCOME","FQ2 2024","FQ2 2024","Currency=USD","Period=FQ","BEST_FPERIOD_OVERRIDE=FQ","FILING_STATUS=MR","SCALING_FORMAT=MLN","Sort=A","Dates=H","DateFormat=P","Fill=—","Direction=H","UseDPDF=Y")</f>
        <v>—</v>
      </c>
      <c r="Z53" s="13">
        <f>_xll.BDH("GILD US Equity","ARDR_INT_INCOME","FQ3 2024","FQ3 2024","Currency=USD","Period=FQ","BEST_FPERIOD_OVERRIDE=FQ","FILING_STATUS=MR","SCALING_FORMAT=MLN","Sort=A","Dates=H","DateFormat=P","Fill=—","Direction=H","UseDPDF=Y")</f>
        <v>-52</v>
      </c>
      <c r="AA53" s="13" t="str">
        <f>_xll.BDH("GILD US Equity","ARDR_INT_INCOME","FQ4 2024","FQ4 2024","Currency=USD","Period=FQ","BEST_FPERIOD_OVERRIDE=FQ","FILING_STATUS=MR","SCALING_FORMAT=MLN","Sort=A","Dates=H","DateFormat=P","Fill=—","Direction=H","UseDPDF=Y")</f>
        <v>—</v>
      </c>
    </row>
    <row r="54" spans="1:27" x14ac:dyDescent="0.25">
      <c r="A54" s="10" t="s">
        <v>497</v>
      </c>
      <c r="B54" s="10" t="s">
        <v>498</v>
      </c>
      <c r="C54" s="13" t="str">
        <f>_xll.BDH("GILD US Equity","ARDR_OTHER_NON_OPERATING_INC","FQ4 2018","FQ4 2018","Currency=USD","Period=FQ","BEST_FPERIOD_OVERRIDE=FQ","FILING_STATUS=MR","SCALING_FORMAT=MLN","Sort=A","Dates=H","DateFormat=P","Fill=—","Direction=H","UseDPDF=Y")</f>
        <v>—</v>
      </c>
      <c r="D54" s="13" t="str">
        <f>_xll.BDH("GILD US Equity","ARDR_OTHER_NON_OPERATING_INC","FQ1 2019","FQ1 2019","Currency=USD","Period=FQ","BEST_FPERIOD_OVERRIDE=FQ","FILING_STATUS=MR","SCALING_FORMAT=MLN","Sort=A","Dates=H","DateFormat=P","Fill=—","Direction=H","UseDPDF=Y")</f>
        <v>—</v>
      </c>
      <c r="E54" s="13" t="str">
        <f>_xll.BDH("GILD US Equity","ARDR_OTHER_NON_OPERATING_INC","FQ2 2019","FQ2 2019","Currency=USD","Period=FQ","BEST_FPERIOD_OVERRIDE=FQ","FILING_STATUS=MR","SCALING_FORMAT=MLN","Sort=A","Dates=H","DateFormat=P","Fill=—","Direction=H","UseDPDF=Y")</f>
        <v>—</v>
      </c>
      <c r="F54" s="13" t="str">
        <f>_xll.BDH("GILD US Equity","ARDR_OTHER_NON_OPERATING_INC","FQ3 2019","FQ3 2019","Currency=USD","Period=FQ","BEST_FPERIOD_OVERRIDE=FQ","FILING_STATUS=MR","SCALING_FORMAT=MLN","Sort=A","Dates=H","DateFormat=P","Fill=—","Direction=H","UseDPDF=Y")</f>
        <v>—</v>
      </c>
      <c r="G54" s="13" t="str">
        <f>_xll.BDH("GILD US Equity","ARDR_OTHER_NON_OPERATING_INC","FQ4 2019","FQ4 2019","Currency=USD","Period=FQ","BEST_FPERIOD_OVERRIDE=FQ","FILING_STATUS=MR","SCALING_FORMAT=MLN","Sort=A","Dates=H","DateFormat=P","Fill=—","Direction=H","UseDPDF=Y")</f>
        <v>—</v>
      </c>
      <c r="H54" s="13" t="str">
        <f>_xll.BDH("GILD US Equity","ARDR_OTHER_NON_OPERATING_INC","FQ1 2020","FQ1 2020","Currency=USD","Period=FQ","BEST_FPERIOD_OVERRIDE=FQ","FILING_STATUS=MR","SCALING_FORMAT=MLN","Sort=A","Dates=H","DateFormat=P","Fill=—","Direction=H","UseDPDF=Y")</f>
        <v>—</v>
      </c>
      <c r="I54" s="13" t="str">
        <f>_xll.BDH("GILD US Equity","ARDR_OTHER_NON_OPERATING_INC","FQ2 2020","FQ2 2020","Currency=USD","Period=FQ","BEST_FPERIOD_OVERRIDE=FQ","FILING_STATUS=MR","SCALING_FORMAT=MLN","Sort=A","Dates=H","DateFormat=P","Fill=—","Direction=H","UseDPDF=Y")</f>
        <v>—</v>
      </c>
      <c r="J54" s="13" t="str">
        <f>_xll.BDH("GILD US Equity","ARDR_OTHER_NON_OPERATING_INC","FQ3 2020","FQ3 2020","Currency=USD","Period=FQ","BEST_FPERIOD_OVERRIDE=FQ","FILING_STATUS=MR","SCALING_FORMAT=MLN","Sort=A","Dates=H","DateFormat=P","Fill=—","Direction=H","UseDPDF=Y")</f>
        <v>—</v>
      </c>
      <c r="K54" s="13" t="str">
        <f>_xll.BDH("GILD US Equity","ARDR_OTHER_NON_OPERATING_INC","FQ4 2020","FQ4 2020","Currency=USD","Period=FQ","BEST_FPERIOD_OVERRIDE=FQ","FILING_STATUS=MR","SCALING_FORMAT=MLN","Sort=A","Dates=H","DateFormat=P","Fill=—","Direction=H","UseDPDF=Y")</f>
        <v>—</v>
      </c>
      <c r="L54" s="13" t="str">
        <f>_xll.BDH("GILD US Equity","ARDR_OTHER_NON_OPERATING_INC","FQ1 2021","FQ1 2021","Currency=USD","Period=FQ","BEST_FPERIOD_OVERRIDE=FQ","FILING_STATUS=MR","SCALING_FORMAT=MLN","Sort=A","Dates=H","DateFormat=P","Fill=—","Direction=H","UseDPDF=Y")</f>
        <v>—</v>
      </c>
      <c r="M54" s="13" t="str">
        <f>_xll.BDH("GILD US Equity","ARDR_OTHER_NON_OPERATING_INC","FQ2 2021","FQ2 2021","Currency=USD","Period=FQ","BEST_FPERIOD_OVERRIDE=FQ","FILING_STATUS=MR","SCALING_FORMAT=MLN","Sort=A","Dates=H","DateFormat=P","Fill=—","Direction=H","UseDPDF=Y")</f>
        <v>—</v>
      </c>
      <c r="N54" s="13" t="str">
        <f>_xll.BDH("GILD US Equity","ARDR_OTHER_NON_OPERATING_INC","FQ3 2021","FQ3 2021","Currency=USD","Period=FQ","BEST_FPERIOD_OVERRIDE=FQ","FILING_STATUS=MR","SCALING_FORMAT=MLN","Sort=A","Dates=H","DateFormat=P","Fill=—","Direction=H","UseDPDF=Y")</f>
        <v>—</v>
      </c>
      <c r="O54" s="13" t="str">
        <f>_xll.BDH("GILD US Equity","ARDR_OTHER_NON_OPERATING_INC","FQ4 2021","FQ4 2021","Currency=USD","Period=FQ","BEST_FPERIOD_OVERRIDE=FQ","FILING_STATUS=MR","SCALING_FORMAT=MLN","Sort=A","Dates=H","DateFormat=P","Fill=—","Direction=H","UseDPDF=Y")</f>
        <v>—</v>
      </c>
      <c r="P54" s="13" t="str">
        <f>_xll.BDH("GILD US Equity","ARDR_OTHER_NON_OPERATING_INC","FQ1 2022","FQ1 2022","Currency=USD","Period=FQ","BEST_FPERIOD_OVERRIDE=FQ","FILING_STATUS=MR","SCALING_FORMAT=MLN","Sort=A","Dates=H","DateFormat=P","Fill=—","Direction=H","UseDPDF=Y")</f>
        <v>—</v>
      </c>
      <c r="Q54" s="13" t="str">
        <f>_xll.BDH("GILD US Equity","ARDR_OTHER_NON_OPERATING_INC","FQ2 2022","FQ2 2022","Currency=USD","Period=FQ","BEST_FPERIOD_OVERRIDE=FQ","FILING_STATUS=MR","SCALING_FORMAT=MLN","Sort=A","Dates=H","DateFormat=P","Fill=—","Direction=H","UseDPDF=Y")</f>
        <v>—</v>
      </c>
      <c r="R54" s="13" t="str">
        <f>_xll.BDH("GILD US Equity","ARDR_OTHER_NON_OPERATING_INC","FQ3 2022","FQ3 2022","Currency=USD","Period=FQ","BEST_FPERIOD_OVERRIDE=FQ","FILING_STATUS=MR","SCALING_FORMAT=MLN","Sort=A","Dates=H","DateFormat=P","Fill=—","Direction=H","UseDPDF=Y")</f>
        <v>—</v>
      </c>
      <c r="S54" s="13" t="str">
        <f>_xll.BDH("GILD US Equity","ARDR_OTHER_NON_OPERATING_INC","FQ4 2022","FQ4 2022","Currency=USD","Period=FQ","BEST_FPERIOD_OVERRIDE=FQ","FILING_STATUS=MR","SCALING_FORMAT=MLN","Sort=A","Dates=H","DateFormat=P","Fill=—","Direction=H","UseDPDF=Y")</f>
        <v>—</v>
      </c>
      <c r="T54" s="13">
        <f>_xll.BDH("GILD US Equity","ARDR_OTHER_NON_OPERATING_INC","FQ1 2023","FQ1 2023","Currency=USD","Period=FQ","BEST_FPERIOD_OVERRIDE=FQ","FILING_STATUS=MR","SCALING_FORMAT=MLN","Sort=A","Dates=H","DateFormat=P","Fill=—","Direction=H","UseDPDF=Y")</f>
        <v>-1</v>
      </c>
      <c r="U54" s="13" t="str">
        <f>_xll.BDH("GILD US Equity","ARDR_OTHER_NON_OPERATING_INC","FQ2 2023","FQ2 2023","Currency=USD","Period=FQ","BEST_FPERIOD_OVERRIDE=FQ","FILING_STATUS=MR","SCALING_FORMAT=MLN","Sort=A","Dates=H","DateFormat=P","Fill=—","Direction=H","UseDPDF=Y")</f>
        <v>—</v>
      </c>
      <c r="V54" s="13" t="str">
        <f>_xll.BDH("GILD US Equity","ARDR_OTHER_NON_OPERATING_INC","FQ3 2023","FQ3 2023","Currency=USD","Period=FQ","BEST_FPERIOD_OVERRIDE=FQ","FILING_STATUS=MR","SCALING_FORMAT=MLN","Sort=A","Dates=H","DateFormat=P","Fill=—","Direction=H","UseDPDF=Y")</f>
        <v>—</v>
      </c>
      <c r="W54" s="13" t="str">
        <f>_xll.BDH("GILD US Equity","ARDR_OTHER_NON_OPERATING_INC","FQ4 2023","FQ4 2023","Currency=USD","Period=FQ","BEST_FPERIOD_OVERRIDE=FQ","FILING_STATUS=MR","SCALING_FORMAT=MLN","Sort=A","Dates=H","DateFormat=P","Fill=—","Direction=H","UseDPDF=Y")</f>
        <v>—</v>
      </c>
      <c r="X54" s="13" t="str">
        <f>_xll.BDH("GILD US Equity","ARDR_OTHER_NON_OPERATING_INC","FQ1 2024","FQ1 2024","Currency=USD","Period=FQ","BEST_FPERIOD_OVERRIDE=FQ","FILING_STATUS=MR","SCALING_FORMAT=MLN","Sort=A","Dates=H","DateFormat=P","Fill=—","Direction=H","UseDPDF=Y")</f>
        <v>—</v>
      </c>
      <c r="Y54" s="13" t="str">
        <f>_xll.BDH("GILD US Equity","ARDR_OTHER_NON_OPERATING_INC","FQ2 2024","FQ2 2024","Currency=USD","Period=FQ","BEST_FPERIOD_OVERRIDE=FQ","FILING_STATUS=MR","SCALING_FORMAT=MLN","Sort=A","Dates=H","DateFormat=P","Fill=—","Direction=H","UseDPDF=Y")</f>
        <v>—</v>
      </c>
      <c r="Z54" s="13" t="str">
        <f>_xll.BDH("GILD US Equity","ARDR_OTHER_NON_OPERATING_INC","FQ3 2024","FQ3 2024","Currency=USD","Period=FQ","BEST_FPERIOD_OVERRIDE=FQ","FILING_STATUS=MR","SCALING_FORMAT=MLN","Sort=A","Dates=H","DateFormat=P","Fill=—","Direction=H","UseDPDF=Y")</f>
        <v>—</v>
      </c>
      <c r="AA54" s="13" t="str">
        <f>_xll.BDH("GILD US Equity","ARDR_OTHER_NON_OPERATING_INC","FQ4 2024","FQ4 2024","Currency=USD","Period=FQ","BEST_FPERIOD_OVERRIDE=FQ","FILING_STATUS=MR","SCALING_FORMAT=MLN","Sort=A","Dates=H","DateFormat=P","Fill=—","Direction=H","UseDPDF=Y")</f>
        <v>—</v>
      </c>
    </row>
    <row r="55" spans="1:27" x14ac:dyDescent="0.25">
      <c r="A55" s="10" t="s">
        <v>444</v>
      </c>
      <c r="B55" s="10" t="s">
        <v>499</v>
      </c>
      <c r="C55" s="13" t="str">
        <f>_xll.BDH("GILD US Equity","ARDR_INCOME_TAX_EXP_BENEFIT","FQ4 2018","FQ4 2018","Currency=USD","Period=FQ","BEST_FPERIOD_OVERRIDE=FQ","FILING_STATUS=MR","SCALING_FORMAT=MLN","Sort=A","Dates=H","DateFormat=P","Fill=—","Direction=H","UseDPDF=Y")</f>
        <v>—</v>
      </c>
      <c r="D55" s="13" t="str">
        <f>_xll.BDH("GILD US Equity","ARDR_INCOME_TAX_EXP_BENEFIT","FQ1 2019","FQ1 2019","Currency=USD","Period=FQ","BEST_FPERIOD_OVERRIDE=FQ","FILING_STATUS=MR","SCALING_FORMAT=MLN","Sort=A","Dates=H","DateFormat=P","Fill=—","Direction=H","UseDPDF=Y")</f>
        <v>—</v>
      </c>
      <c r="E55" s="13" t="str">
        <f>_xll.BDH("GILD US Equity","ARDR_INCOME_TAX_EXP_BENEFIT","FQ2 2019","FQ2 2019","Currency=USD","Period=FQ","BEST_FPERIOD_OVERRIDE=FQ","FILING_STATUS=MR","SCALING_FORMAT=MLN","Sort=A","Dates=H","DateFormat=P","Fill=—","Direction=H","UseDPDF=Y")</f>
        <v>—</v>
      </c>
      <c r="F55" s="13">
        <f>_xll.BDH("GILD US Equity","ARDR_INCOME_TAX_EXP_BENEFIT","FQ3 2019","FQ3 2019","Currency=USD","Period=FQ","BEST_FPERIOD_OVERRIDE=FQ","FILING_STATUS=MR","SCALING_FORMAT=MLN","Sort=A","Dates=H","DateFormat=P","Fill=—","Direction=H","UseDPDF=Y")</f>
        <v>-333</v>
      </c>
      <c r="G55" s="13" t="str">
        <f>_xll.BDH("GILD US Equity","ARDR_INCOME_TAX_EXP_BENEFIT","FQ4 2019","FQ4 2019","Currency=USD","Period=FQ","BEST_FPERIOD_OVERRIDE=FQ","FILING_STATUS=MR","SCALING_FORMAT=MLN","Sort=A","Dates=H","DateFormat=P","Fill=—","Direction=H","UseDPDF=Y")</f>
        <v>—</v>
      </c>
      <c r="H55" s="13" t="str">
        <f>_xll.BDH("GILD US Equity","ARDR_INCOME_TAX_EXP_BENEFIT","FQ1 2020","FQ1 2020","Currency=USD","Period=FQ","BEST_FPERIOD_OVERRIDE=FQ","FILING_STATUS=MR","SCALING_FORMAT=MLN","Sort=A","Dates=H","DateFormat=P","Fill=—","Direction=H","UseDPDF=Y")</f>
        <v>—</v>
      </c>
      <c r="I55" s="13">
        <f>_xll.BDH("GILD US Equity","ARDR_INCOME_TAX_EXP_BENEFIT","FQ2 2020","FQ2 2020","Currency=USD","Period=FQ","BEST_FPERIOD_OVERRIDE=FQ","FILING_STATUS=MR","SCALING_FORMAT=MLN","Sort=A","Dates=H","DateFormat=P","Fill=—","Direction=H","UseDPDF=Y")</f>
        <v>373</v>
      </c>
      <c r="J55" s="13">
        <f>_xll.BDH("GILD US Equity","ARDR_INCOME_TAX_EXP_BENEFIT","FQ3 2020","FQ3 2020","Currency=USD","Period=FQ","BEST_FPERIOD_OVERRIDE=FQ","FILING_STATUS=MR","SCALING_FORMAT=MLN","Sort=A","Dates=H","DateFormat=P","Fill=—","Direction=H","UseDPDF=Y")</f>
        <v>472</v>
      </c>
      <c r="K55" s="13" t="str">
        <f>_xll.BDH("GILD US Equity","ARDR_INCOME_TAX_EXP_BENEFIT","FQ4 2020","FQ4 2020","Currency=USD","Period=FQ","BEST_FPERIOD_OVERRIDE=FQ","FILING_STATUS=MR","SCALING_FORMAT=MLN","Sort=A","Dates=H","DateFormat=P","Fill=—","Direction=H","UseDPDF=Y")</f>
        <v>—</v>
      </c>
      <c r="L55" s="13">
        <f>_xll.BDH("GILD US Equity","ARDR_INCOME_TAX_EXP_BENEFIT","FQ1 2021","FQ1 2021","Currency=USD","Period=FQ","BEST_FPERIOD_OVERRIDE=FQ","FILING_STATUS=MR","SCALING_FORMAT=MLN","Sort=A","Dates=H","DateFormat=P","Fill=—","Direction=H","UseDPDF=Y")</f>
        <v>542</v>
      </c>
      <c r="M55" s="13">
        <f>_xll.BDH("GILD US Equity","ARDR_INCOME_TAX_EXP_BENEFIT","FQ2 2021","FQ2 2021","Currency=USD","Period=FQ","BEST_FPERIOD_OVERRIDE=FQ","FILING_STATUS=MR","SCALING_FORMAT=MLN","Sort=A","Dates=H","DateFormat=P","Fill=—","Direction=H","UseDPDF=Y")</f>
        <v>300</v>
      </c>
      <c r="N55" s="13">
        <f>_xll.BDH("GILD US Equity","ARDR_INCOME_TAX_EXP_BENEFIT","FQ3 2021","FQ3 2021","Currency=USD","Period=FQ","BEST_FPERIOD_OVERRIDE=FQ","FILING_STATUS=MR","SCALING_FORMAT=MLN","Sort=A","Dates=H","DateFormat=P","Fill=—","Direction=H","UseDPDF=Y")</f>
        <v>852</v>
      </c>
      <c r="O55" s="13">
        <f>_xll.BDH("GILD US Equity","ARDR_INCOME_TAX_EXP_BENEFIT","FQ4 2021","FQ4 2021","Currency=USD","Period=FQ","BEST_FPERIOD_OVERRIDE=FQ","FILING_STATUS=MR","SCALING_FORMAT=MLN","Sort=A","Dates=H","DateFormat=P","Fill=—","Direction=H","UseDPDF=Y")</f>
        <v>383</v>
      </c>
      <c r="P55" s="13" t="str">
        <f>_xll.BDH("GILD US Equity","ARDR_INCOME_TAX_EXP_BENEFIT","FQ1 2022","FQ1 2022","Currency=USD","Period=FQ","BEST_FPERIOD_OVERRIDE=FQ","FILING_STATUS=MR","SCALING_FORMAT=MLN","Sort=A","Dates=H","DateFormat=P","Fill=—","Direction=H","UseDPDF=Y")</f>
        <v>—</v>
      </c>
      <c r="Q55" s="13">
        <f>_xll.BDH("GILD US Equity","ARDR_INCOME_TAX_EXP_BENEFIT","FQ2 2022","FQ2 2022","Currency=USD","Period=FQ","BEST_FPERIOD_OVERRIDE=FQ","FILING_STATUS=MR","SCALING_FORMAT=MLN","Sort=A","Dates=H","DateFormat=P","Fill=—","Direction=H","UseDPDF=Y")</f>
        <v>368</v>
      </c>
      <c r="R55" s="13">
        <f>_xll.BDH("GILD US Equity","ARDR_INCOME_TAX_EXP_BENEFIT","FQ3 2022","FQ3 2022","Currency=USD","Period=FQ","BEST_FPERIOD_OVERRIDE=FQ","FILING_STATUS=MR","SCALING_FORMAT=MLN","Sort=A","Dates=H","DateFormat=P","Fill=—","Direction=H","UseDPDF=Y")</f>
        <v>646</v>
      </c>
      <c r="S55" s="13">
        <f>_xll.BDH("GILD US Equity","ARDR_INCOME_TAX_EXP_BENEFIT","FQ4 2022","FQ4 2022","Currency=USD","Period=FQ","BEST_FPERIOD_OVERRIDE=FQ","FILING_STATUS=MR","SCALING_FORMAT=MLN","Sort=A","Dates=H","DateFormat=P","Fill=—","Direction=H","UseDPDF=Y")</f>
        <v>398</v>
      </c>
      <c r="T55" s="13">
        <f>_xll.BDH("GILD US Equity","ARDR_INCOME_TAX_EXP_BENEFIT","FQ1 2023","FQ1 2023","Currency=USD","Period=FQ","BEST_FPERIOD_OVERRIDE=FQ","FILING_STATUS=MR","SCALING_FORMAT=MLN","Sort=A","Dates=H","DateFormat=P","Fill=—","Direction=H","UseDPDF=Y")</f>
        <v>316</v>
      </c>
      <c r="U55" s="13">
        <f>_xll.BDH("GILD US Equity","ARDR_INCOME_TAX_EXP_BENEFIT","FQ2 2023","FQ2 2023","Currency=USD","Period=FQ","BEST_FPERIOD_OVERRIDE=FQ","FILING_STATUS=MR","SCALING_FORMAT=MLN","Sort=A","Dates=H","DateFormat=P","Fill=—","Direction=H","UseDPDF=Y")</f>
        <v>549</v>
      </c>
      <c r="V55" s="13">
        <f>_xll.BDH("GILD US Equity","ARDR_INCOME_TAX_EXP_BENEFIT","FQ3 2023","FQ3 2023","Currency=USD","Period=FQ","BEST_FPERIOD_OVERRIDE=FQ","FILING_STATUS=MR","SCALING_FORMAT=MLN","Sort=A","Dates=H","DateFormat=P","Fill=—","Direction=H","UseDPDF=Y")</f>
        <v>-146</v>
      </c>
      <c r="W55" s="13">
        <f>_xll.BDH("GILD US Equity","ARDR_INCOME_TAX_EXP_BENEFIT","FQ4 2023","FQ4 2023","Currency=USD","Period=FQ","BEST_FPERIOD_OVERRIDE=FQ","FILING_STATUS=MR","SCALING_FORMAT=MLN","Sort=A","Dates=H","DateFormat=P","Fill=—","Direction=H","UseDPDF=Y")</f>
        <v>-236</v>
      </c>
      <c r="X55" s="13">
        <f>_xll.BDH("GILD US Equity","ARDR_INCOME_TAX_EXP_BENEFIT","FQ1 2024","FQ1 2024","Currency=USD","Period=FQ","BEST_FPERIOD_OVERRIDE=FQ","FILING_STATUS=MR","SCALING_FORMAT=MLN","Sort=A","Dates=H","DateFormat=P","Fill=—","Direction=H","UseDPDF=Y")</f>
        <v>-315</v>
      </c>
      <c r="Y55" s="13">
        <f>_xll.BDH("GILD US Equity","ARDR_INCOME_TAX_EXP_BENEFIT","FQ2 2024","FQ2 2024","Currency=USD","Period=FQ","BEST_FPERIOD_OVERRIDE=FQ","FILING_STATUS=MR","SCALING_FORMAT=MLN","Sort=A","Dates=H","DateFormat=P","Fill=—","Direction=H","UseDPDF=Y")</f>
        <v>438</v>
      </c>
      <c r="Z55" s="13">
        <f>_xll.BDH("GILD US Equity","ARDR_INCOME_TAX_EXP_BENEFIT","FQ3 2024","FQ3 2024","Currency=USD","Period=FQ","BEST_FPERIOD_OVERRIDE=FQ","FILING_STATUS=MR","SCALING_FORMAT=MLN","Sort=A","Dates=H","DateFormat=P","Fill=—","Direction=H","UseDPDF=Y")</f>
        <v>-297</v>
      </c>
      <c r="AA55" s="13">
        <f>_xll.BDH("GILD US Equity","ARDR_INCOME_TAX_EXP_BENEFIT","FQ4 2024","FQ4 2024","Currency=USD","Period=FQ","BEST_FPERIOD_OVERRIDE=FQ","FILING_STATUS=MR","SCALING_FORMAT=MLN","Sort=A","Dates=H","DateFormat=P","Fill=—","Direction=H","UseDPDF=Y")</f>
        <v>385</v>
      </c>
    </row>
    <row r="56" spans="1:27" x14ac:dyDescent="0.25">
      <c r="A56" s="10" t="s">
        <v>500</v>
      </c>
      <c r="B56" s="10" t="s">
        <v>501</v>
      </c>
      <c r="C56" s="13">
        <f>_xll.BDH("GILD US Equity","ARDR_FOR_CRNCY_TRANSLATION_ADJ","FQ4 2018","FQ4 2018","Currency=USD","Period=FQ","BEST_FPERIOD_OVERRIDE=FQ","FILING_STATUS=MR","SCALING_FORMAT=MLN","Sort=A","Dates=H","DateFormat=P","Fill=—","Direction=H","UseDPDF=Y")</f>
        <v>-21</v>
      </c>
      <c r="D56" s="13">
        <f>_xll.BDH("GILD US Equity","ARDR_FOR_CRNCY_TRANSLATION_ADJ","FQ1 2019","FQ1 2019","Currency=USD","Period=FQ","BEST_FPERIOD_OVERRIDE=FQ","FILING_STATUS=MR","SCALING_FORMAT=MLN","Sort=A","Dates=H","DateFormat=P","Fill=—","Direction=H","UseDPDF=Y")</f>
        <v>21</v>
      </c>
      <c r="E56" s="13">
        <f>_xll.BDH("GILD US Equity","ARDR_FOR_CRNCY_TRANSLATION_ADJ","FQ2 2019","FQ2 2019","Currency=USD","Period=FQ","BEST_FPERIOD_OVERRIDE=FQ","FILING_STATUS=MR","SCALING_FORMAT=MLN","Sort=A","Dates=H","DateFormat=P","Fill=—","Direction=H","UseDPDF=Y")</f>
        <v>-13</v>
      </c>
      <c r="F56" s="13">
        <f>_xll.BDH("GILD US Equity","ARDR_FOR_CRNCY_TRANSLATION_ADJ","FQ3 2019","FQ3 2019","Currency=USD","Period=FQ","BEST_FPERIOD_OVERRIDE=FQ","FILING_STATUS=MR","SCALING_FORMAT=MLN","Sort=A","Dates=H","DateFormat=P","Fill=—","Direction=H","UseDPDF=Y")</f>
        <v>-27</v>
      </c>
      <c r="G56" s="13">
        <f>_xll.BDH("GILD US Equity","ARDR_FOR_CRNCY_TRANSLATION_ADJ","FQ4 2019","FQ4 2019","Currency=USD","Period=FQ","BEST_FPERIOD_OVERRIDE=FQ","FILING_STATUS=MR","SCALING_FORMAT=MLN","Sort=A","Dates=H","DateFormat=P","Fill=—","Direction=H","UseDPDF=Y")</f>
        <v>25</v>
      </c>
      <c r="H56" s="13">
        <f>_xll.BDH("GILD US Equity","ARDR_FOR_CRNCY_TRANSLATION_ADJ","FQ1 2020","FQ1 2020","Currency=USD","Period=FQ","BEST_FPERIOD_OVERRIDE=FQ","FILING_STATUS=MR","SCALING_FORMAT=MLN","Sort=A","Dates=H","DateFormat=P","Fill=—","Direction=H","UseDPDF=Y")</f>
        <v>-39</v>
      </c>
      <c r="I56" s="13">
        <f>_xll.BDH("GILD US Equity","ARDR_FOR_CRNCY_TRANSLATION_ADJ","FQ2 2020","FQ2 2020","Currency=USD","Period=FQ","BEST_FPERIOD_OVERRIDE=FQ","FILING_STATUS=MR","SCALING_FORMAT=MLN","Sort=A","Dates=H","DateFormat=P","Fill=—","Direction=H","UseDPDF=Y")</f>
        <v>4</v>
      </c>
      <c r="J56" s="13">
        <f>_xll.BDH("GILD US Equity","ARDR_FOR_CRNCY_TRANSLATION_ADJ","FQ3 2020","FQ3 2020","Currency=USD","Period=FQ","BEST_FPERIOD_OVERRIDE=FQ","FILING_STATUS=MR","SCALING_FORMAT=MLN","Sort=A","Dates=H","DateFormat=P","Fill=—","Direction=H","UseDPDF=Y")</f>
        <v>23</v>
      </c>
      <c r="K56" s="13">
        <f>_xll.BDH("GILD US Equity","ARDR_FOR_CRNCY_TRANSLATION_ADJ","FQ4 2020","FQ4 2020","Currency=USD","Period=FQ","BEST_FPERIOD_OVERRIDE=FQ","FILING_STATUS=MR","SCALING_FORMAT=MLN","Sort=A","Dates=H","DateFormat=P","Fill=—","Direction=H","UseDPDF=Y")</f>
        <v>10</v>
      </c>
      <c r="L56" s="13">
        <f>_xll.BDH("GILD US Equity","ARDR_FOR_CRNCY_TRANSLATION_ADJ","FQ1 2021","FQ1 2021","Currency=USD","Period=FQ","BEST_FPERIOD_OVERRIDE=FQ","FILING_STATUS=MR","SCALING_FORMAT=MLN","Sort=A","Dates=H","DateFormat=P","Fill=—","Direction=H","UseDPDF=Y")</f>
        <v>10</v>
      </c>
      <c r="M56" s="13">
        <f>_xll.BDH("GILD US Equity","ARDR_FOR_CRNCY_TRANSLATION_ADJ","FQ2 2021","FQ2 2021","Currency=USD","Period=FQ","BEST_FPERIOD_OVERRIDE=FQ","FILING_STATUS=MR","SCALING_FORMAT=MLN","Sort=A","Dates=H","DateFormat=P","Fill=—","Direction=H","UseDPDF=Y")</f>
        <v>-5</v>
      </c>
      <c r="N56" s="13">
        <f>_xll.BDH("GILD US Equity","ARDR_FOR_CRNCY_TRANSLATION_ADJ","FQ3 2021","FQ3 2021","Currency=USD","Period=FQ","BEST_FPERIOD_OVERRIDE=FQ","FILING_STATUS=MR","SCALING_FORMAT=MLN","Sort=A","Dates=H","DateFormat=P","Fill=—","Direction=H","UseDPDF=Y")</f>
        <v>-20</v>
      </c>
      <c r="O56" s="13">
        <f>_xll.BDH("GILD US Equity","ARDR_FOR_CRNCY_TRANSLATION_ADJ","FQ4 2021","FQ4 2021","Currency=USD","Period=FQ","BEST_FPERIOD_OVERRIDE=FQ","FILING_STATUS=MR","SCALING_FORMAT=MLN","Sort=A","Dates=H","DateFormat=P","Fill=—","Direction=H","UseDPDF=Y")</f>
        <v>-23</v>
      </c>
      <c r="P56" s="13">
        <f>_xll.BDH("GILD US Equity","ARDR_FOR_CRNCY_TRANSLATION_ADJ","FQ1 2022","FQ1 2022","Currency=USD","Period=FQ","BEST_FPERIOD_OVERRIDE=FQ","FILING_STATUS=MR","SCALING_FORMAT=MLN","Sort=A","Dates=H","DateFormat=P","Fill=—","Direction=H","UseDPDF=Y")</f>
        <v>5</v>
      </c>
      <c r="Q56" s="13">
        <f>_xll.BDH("GILD US Equity","ARDR_FOR_CRNCY_TRANSLATION_ADJ","FQ2 2022","FQ2 2022","Currency=USD","Period=FQ","BEST_FPERIOD_OVERRIDE=FQ","FILING_STATUS=MR","SCALING_FORMAT=MLN","Sort=A","Dates=H","DateFormat=P","Fill=—","Direction=H","UseDPDF=Y")</f>
        <v>-26</v>
      </c>
      <c r="R56" s="13">
        <f>_xll.BDH("GILD US Equity","ARDR_FOR_CRNCY_TRANSLATION_ADJ","FQ3 2022","FQ3 2022","Currency=USD","Period=FQ","BEST_FPERIOD_OVERRIDE=FQ","FILING_STATUS=MR","SCALING_FORMAT=MLN","Sort=A","Dates=H","DateFormat=P","Fill=—","Direction=H","UseDPDF=Y")</f>
        <v>-81</v>
      </c>
      <c r="S56" s="13">
        <f>_xll.BDH("GILD US Equity","ARDR_FOR_CRNCY_TRANSLATION_ADJ","FQ4 2022","FQ4 2022","Currency=USD","Period=FQ","BEST_FPERIOD_OVERRIDE=FQ","FILING_STATUS=MR","SCALING_FORMAT=MLN","Sort=A","Dates=H","DateFormat=P","Fill=—","Direction=H","UseDPDF=Y")</f>
        <v>91</v>
      </c>
      <c r="T56" s="13">
        <f>_xll.BDH("GILD US Equity","ARDR_FOR_CRNCY_TRANSLATION_ADJ","FQ1 2023","FQ1 2023","Currency=USD","Period=FQ","BEST_FPERIOD_OVERRIDE=FQ","FILING_STATUS=MR","SCALING_FORMAT=MLN","Sort=A","Dates=H","DateFormat=P","Fill=—","Direction=H","UseDPDF=Y")</f>
        <v>-5</v>
      </c>
      <c r="U56" s="13">
        <f>_xll.BDH("GILD US Equity","ARDR_FOR_CRNCY_TRANSLATION_ADJ","FQ2 2023","FQ2 2023","Currency=USD","Period=FQ","BEST_FPERIOD_OVERRIDE=FQ","FILING_STATUS=MR","SCALING_FORMAT=MLN","Sort=A","Dates=H","DateFormat=P","Fill=—","Direction=H","UseDPDF=Y")</f>
        <v>37</v>
      </c>
      <c r="V56" s="13">
        <f>_xll.BDH("GILD US Equity","ARDR_FOR_CRNCY_TRANSLATION_ADJ","FQ3 2023","FQ3 2023","Currency=USD","Period=FQ","BEST_FPERIOD_OVERRIDE=FQ","FILING_STATUS=MR","SCALING_FORMAT=MLN","Sort=A","Dates=H","DateFormat=P","Fill=—","Direction=H","UseDPDF=Y")</f>
        <v>-35</v>
      </c>
      <c r="W56" s="13">
        <f>_xll.BDH("GILD US Equity","ARDR_FOR_CRNCY_TRANSLATION_ADJ","FQ4 2023","FQ4 2023","Currency=USD","Period=FQ","BEST_FPERIOD_OVERRIDE=FQ","FILING_STATUS=MR","SCALING_FORMAT=MLN","Sort=A","Dates=H","DateFormat=P","Fill=—","Direction=H","UseDPDF=Y")</f>
        <v>63</v>
      </c>
      <c r="X56" s="13">
        <f>_xll.BDH("GILD US Equity","ARDR_FOR_CRNCY_TRANSLATION_ADJ","FQ1 2024","FQ1 2024","Currency=USD","Period=FQ","BEST_FPERIOD_OVERRIDE=FQ","FILING_STATUS=MR","SCALING_FORMAT=MLN","Sort=A","Dates=H","DateFormat=P","Fill=—","Direction=H","UseDPDF=Y")</f>
        <v>-17</v>
      </c>
      <c r="Y56" s="13">
        <f>_xll.BDH("GILD US Equity","ARDR_FOR_CRNCY_TRANSLATION_ADJ","FQ2 2024","FQ2 2024","Currency=USD","Period=FQ","BEST_FPERIOD_OVERRIDE=FQ","FILING_STATUS=MR","SCALING_FORMAT=MLN","Sort=A","Dates=H","DateFormat=P","Fill=—","Direction=H","UseDPDF=Y")</f>
        <v>1</v>
      </c>
      <c r="Z56" s="13">
        <f>_xll.BDH("GILD US Equity","ARDR_FOR_CRNCY_TRANSLATION_ADJ","FQ3 2024","FQ3 2024","Currency=USD","Period=FQ","BEST_FPERIOD_OVERRIDE=FQ","FILING_STATUS=MR","SCALING_FORMAT=MLN","Sort=A","Dates=H","DateFormat=P","Fill=—","Direction=H","UseDPDF=Y")</f>
        <v>54</v>
      </c>
      <c r="AA56" s="13">
        <f>_xll.BDH("GILD US Equity","ARDR_FOR_CRNCY_TRANSLATION_ADJ","FQ4 2024","FQ4 2024","Currency=USD","Period=FQ","BEST_FPERIOD_OVERRIDE=FQ","FILING_STATUS=MR","SCALING_FORMAT=MLN","Sort=A","Dates=H","DateFormat=P","Fill=—","Direction=H","UseDPDF=Y")</f>
        <v>-64</v>
      </c>
    </row>
    <row r="57" spans="1:27" x14ac:dyDescent="0.25">
      <c r="A57" s="10" t="s">
        <v>502</v>
      </c>
      <c r="B57" s="10" t="s">
        <v>503</v>
      </c>
      <c r="C57" s="13">
        <f>_xll.BDH("GILD US Equity","ARDR_UNREALIZED_GL_ON_SECS","FQ4 2018","FQ4 2018","Currency=USD","Period=FQ","BEST_FPERIOD_OVERRIDE=FQ","FILING_STATUS=MR","SCALING_FORMAT=MLN","Sort=A","Dates=H","DateFormat=P","Fill=—","Direction=H","UseDPDF=Y")</f>
        <v>18</v>
      </c>
      <c r="D57" s="13">
        <f>_xll.BDH("GILD US Equity","ARDR_UNREALIZED_GL_ON_SECS","FQ1 2019","FQ1 2019","Currency=USD","Period=FQ","BEST_FPERIOD_OVERRIDE=FQ","FILING_STATUS=MR","SCALING_FORMAT=MLN","Sort=A","Dates=H","DateFormat=P","Fill=—","Direction=H","UseDPDF=Y")</f>
        <v>30</v>
      </c>
      <c r="E57" s="13">
        <f>_xll.BDH("GILD US Equity","ARDR_UNREALIZED_GL_ON_SECS","FQ2 2019","FQ2 2019","Currency=USD","Period=FQ","BEST_FPERIOD_OVERRIDE=FQ","FILING_STATUS=MR","SCALING_FORMAT=MLN","Sort=A","Dates=H","DateFormat=P","Fill=—","Direction=H","UseDPDF=Y")</f>
        <v>19</v>
      </c>
      <c r="F57" s="13">
        <f>_xll.BDH("GILD US Equity","ARDR_UNREALIZED_GL_ON_SECS","FQ3 2019","FQ3 2019","Currency=USD","Period=FQ","BEST_FPERIOD_OVERRIDE=FQ","FILING_STATUS=MR","SCALING_FORMAT=MLN","Sort=A","Dates=H","DateFormat=P","Fill=—","Direction=H","UseDPDF=Y")</f>
        <v>70</v>
      </c>
      <c r="G57" s="13">
        <f>_xll.BDH("GILD US Equity","ARDR_UNREALIZED_GL_ON_SECS","FQ4 2019","FQ4 2019","Currency=USD","Period=FQ","BEST_FPERIOD_OVERRIDE=FQ","FILING_STATUS=MR","SCALING_FORMAT=MLN","Sort=A","Dates=H","DateFormat=P","Fill=—","Direction=H","UseDPDF=Y")</f>
        <v>1</v>
      </c>
      <c r="H57" s="13">
        <f>_xll.BDH("GILD US Equity","ARDR_UNREALIZED_GL_ON_SECS","FQ1 2020","FQ1 2020","Currency=USD","Period=FQ","BEST_FPERIOD_OVERRIDE=FQ","FILING_STATUS=MR","SCALING_FORMAT=MLN","Sort=A","Dates=H","DateFormat=P","Fill=—","Direction=H","UseDPDF=Y")</f>
        <v>-23</v>
      </c>
      <c r="I57" s="13">
        <f>_xll.BDH("GILD US Equity","ARDR_UNREALIZED_GL_ON_SECS","FQ2 2020","FQ2 2020","Currency=USD","Period=FQ","BEST_FPERIOD_OVERRIDE=FQ","FILING_STATUS=MR","SCALING_FORMAT=MLN","Sort=A","Dates=H","DateFormat=P","Fill=—","Direction=H","UseDPDF=Y")</f>
        <v>74</v>
      </c>
      <c r="J57" s="13">
        <f>_xll.BDH("GILD US Equity","ARDR_UNREALIZED_GL_ON_SECS","FQ3 2020","FQ3 2020","Currency=USD","Period=FQ","BEST_FPERIOD_OVERRIDE=FQ","FILING_STATUS=MR","SCALING_FORMAT=MLN","Sort=A","Dates=H","DateFormat=P","Fill=—","Direction=H","UseDPDF=Y")</f>
        <v>-46</v>
      </c>
      <c r="K57" s="13">
        <f>_xll.BDH("GILD US Equity","ARDR_UNREALIZED_GL_ON_SECS","FQ4 2020","FQ4 2020","Currency=USD","Period=FQ","BEST_FPERIOD_OVERRIDE=FQ","FILING_STATUS=MR","SCALING_FORMAT=MLN","Sort=A","Dates=H","DateFormat=P","Fill=—","Direction=H","UseDPDF=Y")</f>
        <v>1</v>
      </c>
      <c r="L57" s="13">
        <f>_xll.BDH("GILD US Equity","ARDR_UNREALIZED_GL_ON_SECS","FQ1 2021","FQ1 2021","Currency=USD","Period=FQ","BEST_FPERIOD_OVERRIDE=FQ","FILING_STATUS=MR","SCALING_FORMAT=MLN","Sort=A","Dates=H","DateFormat=P","Fill=—","Direction=H","UseDPDF=Y")</f>
        <v>-2</v>
      </c>
      <c r="M57" s="13">
        <f>_xll.BDH("GILD US Equity","ARDR_UNREALIZED_GL_ON_SECS","FQ2 2021","FQ2 2021","Currency=USD","Period=FQ","BEST_FPERIOD_OVERRIDE=FQ","FILING_STATUS=MR","SCALING_FORMAT=MLN","Sort=A","Dates=H","DateFormat=P","Fill=—","Direction=H","UseDPDF=Y")</f>
        <v>-1</v>
      </c>
      <c r="N57" s="13">
        <f>_xll.BDH("GILD US Equity","ARDR_UNREALIZED_GL_ON_SECS","FQ3 2021","FQ3 2021","Currency=USD","Period=FQ","BEST_FPERIOD_OVERRIDE=FQ","FILING_STATUS=MR","SCALING_FORMAT=MLN","Sort=A","Dates=H","DateFormat=P","Fill=—","Direction=H","UseDPDF=Y")</f>
        <v>0</v>
      </c>
      <c r="O57" s="13">
        <f>_xll.BDH("GILD US Equity","ARDR_UNREALIZED_GL_ON_SECS","FQ4 2021","FQ4 2021","Currency=USD","Period=FQ","BEST_FPERIOD_OVERRIDE=FQ","FILING_STATUS=MR","SCALING_FORMAT=MLN","Sort=A","Dates=H","DateFormat=P","Fill=—","Direction=H","UseDPDF=Y")</f>
        <v>-3</v>
      </c>
      <c r="P57" s="13">
        <f>_xll.BDH("GILD US Equity","ARDR_UNREALIZED_GL_ON_SECS","FQ1 2022","FQ1 2022","Currency=USD","Period=FQ","BEST_FPERIOD_OVERRIDE=FQ","FILING_STATUS=MR","SCALING_FORMAT=MLN","Sort=A","Dates=H","DateFormat=P","Fill=—","Direction=H","UseDPDF=Y")</f>
        <v>-19</v>
      </c>
      <c r="Q57" s="13">
        <f>_xll.BDH("GILD US Equity","ARDR_UNREALIZED_GL_ON_SECS","FQ2 2022","FQ2 2022","Currency=USD","Period=FQ","BEST_FPERIOD_OVERRIDE=FQ","FILING_STATUS=MR","SCALING_FORMAT=MLN","Sort=A","Dates=H","DateFormat=P","Fill=—","Direction=H","UseDPDF=Y")</f>
        <v>-12</v>
      </c>
      <c r="R57" s="13">
        <f>_xll.BDH("GILD US Equity","ARDR_UNREALIZED_GL_ON_SECS","FQ3 2022","FQ3 2022","Currency=USD","Period=FQ","BEST_FPERIOD_OVERRIDE=FQ","FILING_STATUS=MR","SCALING_FORMAT=MLN","Sort=A","Dates=H","DateFormat=P","Fill=—","Direction=H","UseDPDF=Y")</f>
        <v>-7</v>
      </c>
      <c r="S57" s="13">
        <f>_xll.BDH("GILD US Equity","ARDR_UNREALIZED_GL_ON_SECS","FQ4 2022","FQ4 2022","Currency=USD","Period=FQ","BEST_FPERIOD_OVERRIDE=FQ","FILING_STATUS=MR","SCALING_FORMAT=MLN","Sort=A","Dates=H","DateFormat=P","Fill=—","Direction=H","UseDPDF=Y")</f>
        <v>8</v>
      </c>
      <c r="T57" s="13">
        <f>_xll.BDH("GILD US Equity","ARDR_UNREALIZED_GL_ON_SECS","FQ1 2023","FQ1 2023","Currency=USD","Period=FQ","BEST_FPERIOD_OVERRIDE=FQ","FILING_STATUS=MR","SCALING_FORMAT=MLN","Sort=A","Dates=H","DateFormat=P","Fill=—","Direction=H","UseDPDF=Y")</f>
        <v>8</v>
      </c>
      <c r="U57" s="13">
        <f>_xll.BDH("GILD US Equity","ARDR_UNREALIZED_GL_ON_SECS","FQ2 2023","FQ2 2023","Currency=USD","Period=FQ","BEST_FPERIOD_OVERRIDE=FQ","FILING_STATUS=MR","SCALING_FORMAT=MLN","Sort=A","Dates=H","DateFormat=P","Fill=—","Direction=H","UseDPDF=Y")</f>
        <v>-3</v>
      </c>
      <c r="V57" s="13">
        <f>_xll.BDH("GILD US Equity","ARDR_UNREALIZED_GL_ON_SECS","FQ3 2023","FQ3 2023","Currency=USD","Period=FQ","BEST_FPERIOD_OVERRIDE=FQ","FILING_STATUS=MR","SCALING_FORMAT=MLN","Sort=A","Dates=H","DateFormat=P","Fill=—","Direction=H","UseDPDF=Y")</f>
        <v>4</v>
      </c>
      <c r="W57" s="13">
        <f>_xll.BDH("GILD US Equity","ARDR_UNREALIZED_GL_ON_SECS","FQ4 2023","FQ4 2023","Currency=USD","Period=FQ","BEST_FPERIOD_OVERRIDE=FQ","FILING_STATUS=MR","SCALING_FORMAT=MLN","Sort=A","Dates=H","DateFormat=P","Fill=—","Direction=H","UseDPDF=Y")</f>
        <v>16</v>
      </c>
      <c r="X57" s="13">
        <f>_xll.BDH("GILD US Equity","ARDR_UNREALIZED_GL_ON_SECS","FQ1 2024","FQ1 2024","Currency=USD","Period=FQ","BEST_FPERIOD_OVERRIDE=FQ","FILING_STATUS=MR","SCALING_FORMAT=MLN","Sort=A","Dates=H","DateFormat=P","Fill=—","Direction=H","UseDPDF=Y")</f>
        <v>0</v>
      </c>
      <c r="Y57" s="13">
        <f>_xll.BDH("GILD US Equity","ARDR_UNREALIZED_GL_ON_SECS","FQ2 2024","FQ2 2024","Currency=USD","Period=FQ","BEST_FPERIOD_OVERRIDE=FQ","FILING_STATUS=MR","SCALING_FORMAT=MLN","Sort=A","Dates=H","DateFormat=P","Fill=—","Direction=H","UseDPDF=Y")</f>
        <v>0</v>
      </c>
      <c r="Z57" s="13">
        <f>_xll.BDH("GILD US Equity","ARDR_UNREALIZED_GL_ON_SECS","FQ3 2024","FQ3 2024","Currency=USD","Period=FQ","BEST_FPERIOD_OVERRIDE=FQ","FILING_STATUS=MR","SCALING_FORMAT=MLN","Sort=A","Dates=H","DateFormat=P","Fill=—","Direction=H","UseDPDF=Y")</f>
        <v>0</v>
      </c>
      <c r="AA57" s="13">
        <f>_xll.BDH("GILD US Equity","ARDR_UNREALIZED_GL_ON_SECS","FQ4 2024","FQ4 2024","Currency=USD","Period=FQ","BEST_FPERIOD_OVERRIDE=FQ","FILING_STATUS=MR","SCALING_FORMAT=MLN","Sort=A","Dates=H","DateFormat=P","Fill=—","Direction=H","UseDPDF=Y")</f>
        <v>5</v>
      </c>
    </row>
    <row r="58" spans="1:27" x14ac:dyDescent="0.25">
      <c r="A58" s="10" t="s">
        <v>504</v>
      </c>
      <c r="B58" s="10" t="s">
        <v>505</v>
      </c>
      <c r="C58" s="13">
        <f>_xll.BDH("GILD US Equity","ARDR_CHG_FAIR_VAL_OF_DERIVATIVES","FQ4 2018","FQ4 2018","Currency=USD","Period=FQ","BEST_FPERIOD_OVERRIDE=FQ","FILING_STATUS=MR","SCALING_FORMAT=MLN","Sort=A","Dates=H","DateFormat=P","Fill=—","Direction=H","UseDPDF=Y")</f>
        <v>61</v>
      </c>
      <c r="D58" s="13">
        <f>_xll.BDH("GILD US Equity","ARDR_CHG_FAIR_VAL_OF_DERIVATIVES","FQ1 2019","FQ1 2019","Currency=USD","Period=FQ","BEST_FPERIOD_OVERRIDE=FQ","FILING_STATUS=MR","SCALING_FORMAT=MLN","Sort=A","Dates=H","DateFormat=P","Fill=—","Direction=H","UseDPDF=Y")</f>
        <v>28</v>
      </c>
      <c r="E58" s="13">
        <f>_xll.BDH("GILD US Equity","ARDR_CHG_FAIR_VAL_OF_DERIVATIVES","FQ2 2019","FQ2 2019","Currency=USD","Period=FQ","BEST_FPERIOD_OVERRIDE=FQ","FILING_STATUS=MR","SCALING_FORMAT=MLN","Sort=A","Dates=H","DateFormat=P","Fill=—","Direction=H","UseDPDF=Y")</f>
        <v>1</v>
      </c>
      <c r="F58" s="13">
        <f>_xll.BDH("GILD US Equity","ARDR_CHG_FAIR_VAL_OF_DERIVATIVES","FQ3 2019","FQ3 2019","Currency=USD","Period=FQ","BEST_FPERIOD_OVERRIDE=FQ","FILING_STATUS=MR","SCALING_FORMAT=MLN","Sort=A","Dates=H","DateFormat=P","Fill=—","Direction=H","UseDPDF=Y")</f>
        <v>4</v>
      </c>
      <c r="G58" s="13">
        <f>_xll.BDH("GILD US Equity","ARDR_CHG_FAIR_VAL_OF_DERIVATIVES","FQ4 2019","FQ4 2019","Currency=USD","Period=FQ","BEST_FPERIOD_OVERRIDE=FQ","FILING_STATUS=MR","SCALING_FORMAT=MLN","Sort=A","Dates=H","DateFormat=P","Fill=—","Direction=H","UseDPDF=Y")</f>
        <v>-27</v>
      </c>
      <c r="H58" s="13">
        <f>_xll.BDH("GILD US Equity","ARDR_CHG_FAIR_VAL_OF_DERIVATIVES","FQ1 2020","FQ1 2020","Currency=USD","Period=FQ","BEST_FPERIOD_OVERRIDE=FQ","FILING_STATUS=MR","SCALING_FORMAT=MLN","Sort=A","Dates=H","DateFormat=P","Fill=—","Direction=H","UseDPDF=Y")</f>
        <v>57</v>
      </c>
      <c r="I58" s="13">
        <f>_xll.BDH("GILD US Equity","ARDR_CHG_FAIR_VAL_OF_DERIVATIVES","FQ2 2020","FQ2 2020","Currency=USD","Period=FQ","BEST_FPERIOD_OVERRIDE=FQ","FILING_STATUS=MR","SCALING_FORMAT=MLN","Sort=A","Dates=H","DateFormat=P","Fill=—","Direction=H","UseDPDF=Y")</f>
        <v>-36</v>
      </c>
      <c r="J58" s="13">
        <f>_xll.BDH("GILD US Equity","ARDR_CHG_FAIR_VAL_OF_DERIVATIVES","FQ3 2020","FQ3 2020","Currency=USD","Period=FQ","BEST_FPERIOD_OVERRIDE=FQ","FILING_STATUS=MR","SCALING_FORMAT=MLN","Sort=A","Dates=H","DateFormat=P","Fill=—","Direction=H","UseDPDF=Y")</f>
        <v>-9</v>
      </c>
      <c r="K58" s="13">
        <f>_xll.BDH("GILD US Equity","ARDR_CHG_FAIR_VAL_OF_DERIVATIVES","FQ4 2020","FQ4 2020","Currency=USD","Period=FQ","BEST_FPERIOD_OVERRIDE=FQ","FILING_STATUS=MR","SCALING_FORMAT=MLN","Sort=A","Dates=H","DateFormat=P","Fill=—","Direction=H","UseDPDF=Y")</f>
        <v>-78</v>
      </c>
      <c r="L58" s="13">
        <f>_xll.BDH("GILD US Equity","ARDR_CHG_FAIR_VAL_OF_DERIVATIVES","FQ1 2021","FQ1 2021","Currency=USD","Period=FQ","BEST_FPERIOD_OVERRIDE=FQ","FILING_STATUS=MR","SCALING_FORMAT=MLN","Sort=A","Dates=H","DateFormat=P","Fill=—","Direction=H","UseDPDF=Y")</f>
        <v>68</v>
      </c>
      <c r="M58" s="13">
        <f>_xll.BDH("GILD US Equity","ARDR_CHG_FAIR_VAL_OF_DERIVATIVES","FQ2 2021","FQ2 2021","Currency=USD","Period=FQ","BEST_FPERIOD_OVERRIDE=FQ","FILING_STATUS=MR","SCALING_FORMAT=MLN","Sort=A","Dates=H","DateFormat=P","Fill=—","Direction=H","UseDPDF=Y")</f>
        <v>-13</v>
      </c>
      <c r="N58" s="13">
        <f>_xll.BDH("GILD US Equity","ARDR_CHG_FAIR_VAL_OF_DERIVATIVES","FQ3 2021","FQ3 2021","Currency=USD","Period=FQ","BEST_FPERIOD_OVERRIDE=FQ","FILING_STATUS=MR","SCALING_FORMAT=MLN","Sort=A","Dates=H","DateFormat=P","Fill=—","Direction=H","UseDPDF=Y")</f>
        <v>37</v>
      </c>
      <c r="O58" s="13">
        <f>_xll.BDH("GILD US Equity","ARDR_CHG_FAIR_VAL_OF_DERIVATIVES","FQ4 2021","FQ4 2021","Currency=USD","Period=FQ","BEST_FPERIOD_OVERRIDE=FQ","FILING_STATUS=MR","SCALING_FORMAT=MLN","Sort=A","Dates=H","DateFormat=P","Fill=—","Direction=H","UseDPDF=Y")</f>
        <v>37</v>
      </c>
      <c r="P58" s="13">
        <f>_xll.BDH("GILD US Equity","ARDR_CHG_FAIR_VAL_OF_DERIVATIVES","FQ1 2022","FQ1 2022","Currency=USD","Period=FQ","BEST_FPERIOD_OVERRIDE=FQ","FILING_STATUS=MR","SCALING_FORMAT=MLN","Sort=A","Dates=H","DateFormat=P","Fill=—","Direction=H","UseDPDF=Y")</f>
        <v>24</v>
      </c>
      <c r="Q58" s="13">
        <f>_xll.BDH("GILD US Equity","ARDR_CHG_FAIR_VAL_OF_DERIVATIVES","FQ2 2022","FQ2 2022","Currency=USD","Period=FQ","BEST_FPERIOD_OVERRIDE=FQ","FILING_STATUS=MR","SCALING_FORMAT=MLN","Sort=A","Dates=H","DateFormat=P","Fill=—","Direction=H","UseDPDF=Y")</f>
        <v>90</v>
      </c>
      <c r="R58" s="13">
        <f>_xll.BDH("GILD US Equity","ARDR_CHG_FAIR_VAL_OF_DERIVATIVES","FQ3 2022","FQ3 2022","Currency=USD","Period=FQ","BEST_FPERIOD_OVERRIDE=FQ","FILING_STATUS=MR","SCALING_FORMAT=MLN","Sort=A","Dates=H","DateFormat=P","Fill=—","Direction=H","UseDPDF=Y")</f>
        <v>140</v>
      </c>
      <c r="S58" s="13">
        <f>_xll.BDH("GILD US Equity","ARDR_CHG_FAIR_VAL_OF_DERIVATIVES","FQ4 2022","FQ4 2022","Currency=USD","Period=FQ","BEST_FPERIOD_OVERRIDE=FQ","FILING_STATUS=MR","SCALING_FORMAT=MLN","Sort=A","Dates=H","DateFormat=P","Fill=—","Direction=H","UseDPDF=Y")</f>
        <v>-124</v>
      </c>
      <c r="T58" s="13">
        <f>_xll.BDH("GILD US Equity","ARDR_CHG_FAIR_VAL_OF_DERIVATIVES","FQ1 2023","FQ1 2023","Currency=USD","Period=FQ","BEST_FPERIOD_OVERRIDE=FQ","FILING_STATUS=MR","SCALING_FORMAT=MLN","Sort=A","Dates=H","DateFormat=P","Fill=—","Direction=H","UseDPDF=Y")</f>
        <v>-6</v>
      </c>
      <c r="U58" s="13">
        <f>_xll.BDH("GILD US Equity","ARDR_CHG_FAIR_VAL_OF_DERIVATIVES","FQ2 2023","FQ2 2023","Currency=USD","Period=FQ","BEST_FPERIOD_OVERRIDE=FQ","FILING_STATUS=MR","SCALING_FORMAT=MLN","Sort=A","Dates=H","DateFormat=P","Fill=—","Direction=H","UseDPDF=Y")</f>
        <v>5</v>
      </c>
      <c r="V58" s="13">
        <f>_xll.BDH("GILD US Equity","ARDR_CHG_FAIR_VAL_OF_DERIVATIVES","FQ3 2023","FQ3 2023","Currency=USD","Period=FQ","BEST_FPERIOD_OVERRIDE=FQ","FILING_STATUS=MR","SCALING_FORMAT=MLN","Sort=A","Dates=H","DateFormat=P","Fill=—","Direction=H","UseDPDF=Y")</f>
        <v>66</v>
      </c>
      <c r="W58" s="13">
        <f>_xll.BDH("GILD US Equity","ARDR_CHG_FAIR_VAL_OF_DERIVATIVES","FQ4 2023","FQ4 2023","Currency=USD","Period=FQ","BEST_FPERIOD_OVERRIDE=FQ","FILING_STATUS=MR","SCALING_FORMAT=MLN","Sort=A","Dates=H","DateFormat=P","Fill=—","Direction=H","UseDPDF=Y")</f>
        <v>-77</v>
      </c>
      <c r="X58" s="13">
        <f>_xll.BDH("GILD US Equity","ARDR_CHG_FAIR_VAL_OF_DERIVATIVES","FQ1 2024","FQ1 2024","Currency=USD","Period=FQ","BEST_FPERIOD_OVERRIDE=FQ","FILING_STATUS=MR","SCALING_FORMAT=MLN","Sort=A","Dates=H","DateFormat=P","Fill=—","Direction=H","UseDPDF=Y")</f>
        <v>53</v>
      </c>
      <c r="Y58" s="13">
        <f>_xll.BDH("GILD US Equity","ARDR_CHG_FAIR_VAL_OF_DERIVATIVES","FQ2 2024","FQ2 2024","Currency=USD","Period=FQ","BEST_FPERIOD_OVERRIDE=FQ","FILING_STATUS=MR","SCALING_FORMAT=MLN","Sort=A","Dates=H","DateFormat=P","Fill=—","Direction=H","UseDPDF=Y")</f>
        <v>28</v>
      </c>
      <c r="Z58" s="13">
        <f>_xll.BDH("GILD US Equity","ARDR_CHG_FAIR_VAL_OF_DERIVATIVES","FQ3 2024","FQ3 2024","Currency=USD","Period=FQ","BEST_FPERIOD_OVERRIDE=FQ","FILING_STATUS=MR","SCALING_FORMAT=MLN","Sort=A","Dates=H","DateFormat=P","Fill=—","Direction=H","UseDPDF=Y")</f>
        <v>-61</v>
      </c>
      <c r="AA58" s="13">
        <f>_xll.BDH("GILD US Equity","ARDR_CHG_FAIR_VAL_OF_DERIVATIVES","FQ4 2024","FQ4 2024","Currency=USD","Period=FQ","BEST_FPERIOD_OVERRIDE=FQ","FILING_STATUS=MR","SCALING_FORMAT=MLN","Sort=A","Dates=H","DateFormat=P","Fill=—","Direction=H","UseDPDF=Y")</f>
        <v>-20</v>
      </c>
    </row>
    <row r="59" spans="1:27" x14ac:dyDescent="0.25">
      <c r="A59" s="10" t="s">
        <v>506</v>
      </c>
      <c r="B59" s="10" t="s">
        <v>507</v>
      </c>
      <c r="C59" s="13">
        <f>_xll.BDH("GILD US Equity","ARDR_RECLASS_ADJUSTMENTS","FQ4 2018","FQ4 2018","Currency=USD","Period=FQ","BEST_FPERIOD_OVERRIDE=FQ","FILING_STATUS=MR","SCALING_FORMAT=MLN","Sort=A","Dates=H","DateFormat=P","Fill=—","Direction=H","UseDPDF=Y")</f>
        <v>-14</v>
      </c>
      <c r="D59" s="13">
        <f>_xll.BDH("GILD US Equity","ARDR_RECLASS_ADJUSTMENTS","FQ1 2019","FQ1 2019","Currency=USD","Period=FQ","BEST_FPERIOD_OVERRIDE=FQ","FILING_STATUS=MR","SCALING_FORMAT=MLN","Sort=A","Dates=H","DateFormat=P","Fill=—","Direction=H","UseDPDF=Y")</f>
        <v>-29</v>
      </c>
      <c r="E59" s="13">
        <f>_xll.BDH("GILD US Equity","ARDR_RECLASS_ADJUSTMENTS","FQ2 2019","FQ2 2019","Currency=USD","Period=FQ","BEST_FPERIOD_OVERRIDE=FQ","FILING_STATUS=MR","SCALING_FORMAT=MLN","Sort=A","Dates=H","DateFormat=P","Fill=—","Direction=H","UseDPDF=Y")</f>
        <v>-35</v>
      </c>
      <c r="F59" s="13">
        <f>_xll.BDH("GILD US Equity","ARDR_RECLASS_ADJUSTMENTS","FQ3 2019","FQ3 2019","Currency=USD","Period=FQ","BEST_FPERIOD_OVERRIDE=FQ","FILING_STATUS=MR","SCALING_FORMAT=MLN","Sort=A","Dates=H","DateFormat=P","Fill=—","Direction=H","UseDPDF=Y")</f>
        <v>-32</v>
      </c>
      <c r="G59" s="13">
        <f>_xll.BDH("GILD US Equity","ARDR_RECLASS_ADJUSTMENTS","FQ4 2019","FQ4 2019","Currency=USD","Period=FQ","BEST_FPERIOD_OVERRIDE=FQ","FILING_STATUS=MR","SCALING_FORMAT=MLN","Sort=A","Dates=H","DateFormat=P","Fill=—","Direction=H","UseDPDF=Y")</f>
        <v>-30</v>
      </c>
      <c r="H59" s="13">
        <f>_xll.BDH("GILD US Equity","ARDR_RECLASS_ADJUSTMENTS","FQ1 2020","FQ1 2020","Currency=USD","Period=FQ","BEST_FPERIOD_OVERRIDE=FQ","FILING_STATUS=MR","SCALING_FORMAT=MLN","Sort=A","Dates=H","DateFormat=P","Fill=—","Direction=H","UseDPDF=Y")</f>
        <v>-34</v>
      </c>
      <c r="I59" s="13">
        <f>_xll.BDH("GILD US Equity","ARDR_RECLASS_ADJUSTMENTS","FQ2 2020","FQ2 2020","Currency=USD","Period=FQ","BEST_FPERIOD_OVERRIDE=FQ","FILING_STATUS=MR","SCALING_FORMAT=MLN","Sort=A","Dates=H","DateFormat=P","Fill=—","Direction=H","UseDPDF=Y")</f>
        <v>-18</v>
      </c>
      <c r="J59" s="13">
        <f>_xll.BDH("GILD US Equity","ARDR_RECLASS_ADJUSTMENTS","FQ3 2020","FQ3 2020","Currency=USD","Period=FQ","BEST_FPERIOD_OVERRIDE=FQ","FILING_STATUS=MR","SCALING_FORMAT=MLN","Sort=A","Dates=H","DateFormat=P","Fill=—","Direction=H","UseDPDF=Y")</f>
        <v>-15</v>
      </c>
      <c r="K59" s="13">
        <f>_xll.BDH("GILD US Equity","ARDR_RECLASS_ADJUSTMENTS","FQ4 2020","FQ4 2020","Currency=USD","Period=FQ","BEST_FPERIOD_OVERRIDE=FQ","FILING_STATUS=MR","SCALING_FORMAT=MLN","Sort=A","Dates=H","DateFormat=P","Fill=—","Direction=H","UseDPDF=Y")</f>
        <v>-16</v>
      </c>
      <c r="L59" s="13">
        <f>_xll.BDH("GILD US Equity","ARDR_RECLASS_ADJUSTMENTS","FQ1 2021","FQ1 2021","Currency=USD","Period=FQ","BEST_FPERIOD_OVERRIDE=FQ","FILING_STATUS=MR","SCALING_FORMAT=MLN","Sort=A","Dates=H","DateFormat=P","Fill=—","Direction=H","UseDPDF=Y")</f>
        <v>22</v>
      </c>
      <c r="M59" s="13">
        <f>_xll.BDH("GILD US Equity","ARDR_RECLASS_ADJUSTMENTS","FQ2 2021","FQ2 2021","Currency=USD","Period=FQ","BEST_FPERIOD_OVERRIDE=FQ","FILING_STATUS=MR","SCALING_FORMAT=MLN","Sort=A","Dates=H","DateFormat=P","Fill=—","Direction=H","UseDPDF=Y")</f>
        <v>20</v>
      </c>
      <c r="N59" s="13">
        <f>_xll.BDH("GILD US Equity","ARDR_RECLASS_ADJUSTMENTS","FQ3 2021","FQ3 2021","Currency=USD","Period=FQ","BEST_FPERIOD_OVERRIDE=FQ","FILING_STATUS=MR","SCALING_FORMAT=MLN","Sort=A","Dates=H","DateFormat=P","Fill=—","Direction=H","UseDPDF=Y")</f>
        <v>18</v>
      </c>
      <c r="O59" s="13">
        <f>_xll.BDH("GILD US Equity","ARDR_RECLASS_ADJUSTMENTS","FQ4 2021","FQ4 2021","Currency=USD","Period=FQ","BEST_FPERIOD_OVERRIDE=FQ","FILING_STATUS=MR","SCALING_FORMAT=MLN","Sort=A","Dates=H","DateFormat=P","Fill=—","Direction=H","UseDPDF=Y")</f>
        <v>-2</v>
      </c>
      <c r="P59" s="13">
        <f>_xll.BDH("GILD US Equity","ARDR_RECLASS_ADJUSTMENTS","FQ1 2022","FQ1 2022","Currency=USD","Period=FQ","BEST_FPERIOD_OVERRIDE=FQ","FILING_STATUS=MR","SCALING_FORMAT=MLN","Sort=A","Dates=H","DateFormat=P","Fill=—","Direction=H","UseDPDF=Y")</f>
        <v>-20</v>
      </c>
      <c r="Q59" s="13">
        <f>_xll.BDH("GILD US Equity","ARDR_RECLASS_ADJUSTMENTS","FQ2 2022","FQ2 2022","Currency=USD","Period=FQ","BEST_FPERIOD_OVERRIDE=FQ","FILING_STATUS=MR","SCALING_FORMAT=MLN","Sort=A","Dates=H","DateFormat=P","Fill=—","Direction=H","UseDPDF=Y")</f>
        <v>-38</v>
      </c>
      <c r="R59" s="13">
        <f>_xll.BDH("GILD US Equity","ARDR_RECLASS_ADJUSTMENTS","FQ3 2022","FQ3 2022","Currency=USD","Period=FQ","BEST_FPERIOD_OVERRIDE=FQ","FILING_STATUS=MR","SCALING_FORMAT=MLN","Sort=A","Dates=H","DateFormat=P","Fill=—","Direction=H","UseDPDF=Y")</f>
        <v>-41</v>
      </c>
      <c r="S59" s="13">
        <f>_xll.BDH("GILD US Equity","ARDR_RECLASS_ADJUSTMENTS","FQ4 2022","FQ4 2022","Currency=USD","Period=FQ","BEST_FPERIOD_OVERRIDE=FQ","FILING_STATUS=MR","SCALING_FORMAT=MLN","Sort=A","Dates=H","DateFormat=P","Fill=—","Direction=H","UseDPDF=Y")</f>
        <v>-71</v>
      </c>
      <c r="T59" s="13">
        <f>_xll.BDH("GILD US Equity","ARDR_RECLASS_ADJUSTMENTS","FQ1 2023","FQ1 2023","Currency=USD","Period=FQ","BEST_FPERIOD_OVERRIDE=FQ","FILING_STATUS=MR","SCALING_FORMAT=MLN","Sort=A","Dates=H","DateFormat=P","Fill=—","Direction=H","UseDPDF=Y")</f>
        <v>-20</v>
      </c>
      <c r="U59" s="13">
        <f>_xll.BDH("GILD US Equity","ARDR_RECLASS_ADJUSTMENTS","FQ2 2023","FQ2 2023","Currency=USD","Period=FQ","BEST_FPERIOD_OVERRIDE=FQ","FILING_STATUS=MR","SCALING_FORMAT=MLN","Sort=A","Dates=H","DateFormat=P","Fill=—","Direction=H","UseDPDF=Y")</f>
        <v>-8</v>
      </c>
      <c r="V59" s="13">
        <f>_xll.BDH("GILD US Equity","ARDR_RECLASS_ADJUSTMENTS","FQ3 2023","FQ3 2023","Currency=USD","Period=FQ","BEST_FPERIOD_OVERRIDE=FQ","FILING_STATUS=MR","SCALING_FORMAT=MLN","Sort=A","Dates=H","DateFormat=P","Fill=—","Direction=H","UseDPDF=Y")</f>
        <v>-14</v>
      </c>
      <c r="W59" s="13">
        <f>_xll.BDH("GILD US Equity","ARDR_RECLASS_ADJUSTMENTS","FQ4 2023","FQ4 2023","Currency=USD","Period=FQ","BEST_FPERIOD_OVERRIDE=FQ","FILING_STATUS=MR","SCALING_FORMAT=MLN","Sort=A","Dates=H","DateFormat=P","Fill=—","Direction=H","UseDPDF=Y")</f>
        <v>-5</v>
      </c>
      <c r="X59" s="13">
        <f>_xll.BDH("GILD US Equity","ARDR_RECLASS_ADJUSTMENTS","FQ1 2024","FQ1 2024","Currency=USD","Period=FQ","BEST_FPERIOD_OVERRIDE=FQ","FILING_STATUS=MR","SCALING_FORMAT=MLN","Sort=A","Dates=H","DateFormat=P","Fill=—","Direction=H","UseDPDF=Y")</f>
        <v>5</v>
      </c>
      <c r="Y59" s="13" t="str">
        <f>_xll.BDH("GILD US Equity","ARDR_RECLASS_ADJUSTMENTS","FQ2 2024","FQ2 2024","Currency=USD","Period=FQ","BEST_FPERIOD_OVERRIDE=FQ","FILING_STATUS=MR","SCALING_FORMAT=MLN","Sort=A","Dates=H","DateFormat=P","Fill=—","Direction=H","UseDPDF=Y")</f>
        <v>—</v>
      </c>
      <c r="Z59" s="13">
        <f>_xll.BDH("GILD US Equity","ARDR_RECLASS_ADJUSTMENTS","FQ3 2024","FQ3 2024","Currency=USD","Period=FQ","BEST_FPERIOD_OVERRIDE=FQ","FILING_STATUS=MR","SCALING_FORMAT=MLN","Sort=A","Dates=H","DateFormat=P","Fill=—","Direction=H","UseDPDF=Y")</f>
        <v>-13</v>
      </c>
      <c r="AA59" s="13">
        <f>_xll.BDH("GILD US Equity","ARDR_RECLASS_ADJUSTMENTS","FQ4 2024","FQ4 2024","Currency=USD","Period=FQ","BEST_FPERIOD_OVERRIDE=FQ","FILING_STATUS=MR","SCALING_FORMAT=MLN","Sort=A","Dates=H","DateFormat=P","Fill=—","Direction=H","UseDPDF=Y")</f>
        <v>13</v>
      </c>
    </row>
    <row r="60" spans="1:27" x14ac:dyDescent="0.25">
      <c r="A60" s="10" t="s">
        <v>508</v>
      </c>
      <c r="B60" s="10" t="s">
        <v>509</v>
      </c>
      <c r="C60" s="13" t="str">
        <f>_xll.BDH("GILD US Equity","ARDR_OTHER_COMPREHENSIVE_INCOME","FQ4 2018","FQ4 2018","Currency=USD","Period=FQ","BEST_FPERIOD_OVERRIDE=FQ","FILING_STATUS=MR","SCALING_FORMAT=MLN","Sort=A","Dates=H","DateFormat=P","Fill=—","Direction=H","UseDPDF=Y")</f>
        <v>—</v>
      </c>
      <c r="D60" s="13" t="str">
        <f>_xll.BDH("GILD US Equity","ARDR_OTHER_COMPREHENSIVE_INCOME","FQ1 2019","FQ1 2019","Currency=USD","Period=FQ","BEST_FPERIOD_OVERRIDE=FQ","FILING_STATUS=MR","SCALING_FORMAT=MLN","Sort=A","Dates=H","DateFormat=P","Fill=—","Direction=H","UseDPDF=Y")</f>
        <v>—</v>
      </c>
      <c r="E60" s="13" t="str">
        <f>_xll.BDH("GILD US Equity","ARDR_OTHER_COMPREHENSIVE_INCOME","FQ2 2019","FQ2 2019","Currency=USD","Period=FQ","BEST_FPERIOD_OVERRIDE=FQ","FILING_STATUS=MR","SCALING_FORMAT=MLN","Sort=A","Dates=H","DateFormat=P","Fill=—","Direction=H","UseDPDF=Y")</f>
        <v>—</v>
      </c>
      <c r="F60" s="13" t="str">
        <f>_xll.BDH("GILD US Equity","ARDR_OTHER_COMPREHENSIVE_INCOME","FQ3 2019","FQ3 2019","Currency=USD","Period=FQ","BEST_FPERIOD_OVERRIDE=FQ","FILING_STATUS=MR","SCALING_FORMAT=MLN","Sort=A","Dates=H","DateFormat=P","Fill=—","Direction=H","UseDPDF=Y")</f>
        <v>—</v>
      </c>
      <c r="G60" s="13" t="str">
        <f>_xll.BDH("GILD US Equity","ARDR_OTHER_COMPREHENSIVE_INCOME","FQ4 2019","FQ4 2019","Currency=USD","Period=FQ","BEST_FPERIOD_OVERRIDE=FQ","FILING_STATUS=MR","SCALING_FORMAT=MLN","Sort=A","Dates=H","DateFormat=P","Fill=—","Direction=H","UseDPDF=Y")</f>
        <v>—</v>
      </c>
      <c r="H60" s="13" t="str">
        <f>_xll.BDH("GILD US Equity","ARDR_OTHER_COMPREHENSIVE_INCOME","FQ1 2020","FQ1 2020","Currency=USD","Period=FQ","BEST_FPERIOD_OVERRIDE=FQ","FILING_STATUS=MR","SCALING_FORMAT=MLN","Sort=A","Dates=H","DateFormat=P","Fill=—","Direction=H","UseDPDF=Y")</f>
        <v>—</v>
      </c>
      <c r="I60" s="13" t="str">
        <f>_xll.BDH("GILD US Equity","ARDR_OTHER_COMPREHENSIVE_INCOME","FQ2 2020","FQ2 2020","Currency=USD","Period=FQ","BEST_FPERIOD_OVERRIDE=FQ","FILING_STATUS=MR","SCALING_FORMAT=MLN","Sort=A","Dates=H","DateFormat=P","Fill=—","Direction=H","UseDPDF=Y")</f>
        <v>—</v>
      </c>
      <c r="J60" s="13" t="str">
        <f>_xll.BDH("GILD US Equity","ARDR_OTHER_COMPREHENSIVE_INCOME","FQ3 2020","FQ3 2020","Currency=USD","Period=FQ","BEST_FPERIOD_OVERRIDE=FQ","FILING_STATUS=MR","SCALING_FORMAT=MLN","Sort=A","Dates=H","DateFormat=P","Fill=—","Direction=H","UseDPDF=Y")</f>
        <v>—</v>
      </c>
      <c r="K60" s="13" t="str">
        <f>_xll.BDH("GILD US Equity","ARDR_OTHER_COMPREHENSIVE_INCOME","FQ4 2020","FQ4 2020","Currency=USD","Period=FQ","BEST_FPERIOD_OVERRIDE=FQ","FILING_STATUS=MR","SCALING_FORMAT=MLN","Sort=A","Dates=H","DateFormat=P","Fill=—","Direction=H","UseDPDF=Y")</f>
        <v>—</v>
      </c>
      <c r="L60" s="13" t="str">
        <f>_xll.BDH("GILD US Equity","ARDR_OTHER_COMPREHENSIVE_INCOME","FQ1 2021","FQ1 2021","Currency=USD","Period=FQ","BEST_FPERIOD_OVERRIDE=FQ","FILING_STATUS=MR","SCALING_FORMAT=MLN","Sort=A","Dates=H","DateFormat=P","Fill=—","Direction=H","UseDPDF=Y")</f>
        <v>—</v>
      </c>
      <c r="M60" s="13" t="str">
        <f>_xll.BDH("GILD US Equity","ARDR_OTHER_COMPREHENSIVE_INCOME","FQ2 2021","FQ2 2021","Currency=USD","Period=FQ","BEST_FPERIOD_OVERRIDE=FQ","FILING_STATUS=MR","SCALING_FORMAT=MLN","Sort=A","Dates=H","DateFormat=P","Fill=—","Direction=H","UseDPDF=Y")</f>
        <v>—</v>
      </c>
      <c r="N60" s="13" t="str">
        <f>_xll.BDH("GILD US Equity","ARDR_OTHER_COMPREHENSIVE_INCOME","FQ3 2021","FQ3 2021","Currency=USD","Period=FQ","BEST_FPERIOD_OVERRIDE=FQ","FILING_STATUS=MR","SCALING_FORMAT=MLN","Sort=A","Dates=H","DateFormat=P","Fill=—","Direction=H","UseDPDF=Y")</f>
        <v>—</v>
      </c>
      <c r="O60" s="13" t="str">
        <f>_xll.BDH("GILD US Equity","ARDR_OTHER_COMPREHENSIVE_INCOME","FQ4 2021","FQ4 2021","Currency=USD","Period=FQ","BEST_FPERIOD_OVERRIDE=FQ","FILING_STATUS=MR","SCALING_FORMAT=MLN","Sort=A","Dates=H","DateFormat=P","Fill=—","Direction=H","UseDPDF=Y")</f>
        <v>—</v>
      </c>
      <c r="P60" s="13" t="str">
        <f>_xll.BDH("GILD US Equity","ARDR_OTHER_COMPREHENSIVE_INCOME","FQ1 2022","FQ1 2022","Currency=USD","Period=FQ","BEST_FPERIOD_OVERRIDE=FQ","FILING_STATUS=MR","SCALING_FORMAT=MLN","Sort=A","Dates=H","DateFormat=P","Fill=—","Direction=H","UseDPDF=Y")</f>
        <v>—</v>
      </c>
      <c r="Q60" s="13" t="str">
        <f>_xll.BDH("GILD US Equity","ARDR_OTHER_COMPREHENSIVE_INCOME","FQ2 2022","FQ2 2022","Currency=USD","Period=FQ","BEST_FPERIOD_OVERRIDE=FQ","FILING_STATUS=MR","SCALING_FORMAT=MLN","Sort=A","Dates=H","DateFormat=P","Fill=—","Direction=H","UseDPDF=Y")</f>
        <v>—</v>
      </c>
      <c r="R60" s="13" t="str">
        <f>_xll.BDH("GILD US Equity","ARDR_OTHER_COMPREHENSIVE_INCOME","FQ3 2022","FQ3 2022","Currency=USD","Period=FQ","BEST_FPERIOD_OVERRIDE=FQ","FILING_STATUS=MR","SCALING_FORMAT=MLN","Sort=A","Dates=H","DateFormat=P","Fill=—","Direction=H","UseDPDF=Y")</f>
        <v>—</v>
      </c>
      <c r="S60" s="13" t="str">
        <f>_xll.BDH("GILD US Equity","ARDR_OTHER_COMPREHENSIVE_INCOME","FQ4 2022","FQ4 2022","Currency=USD","Period=FQ","BEST_FPERIOD_OVERRIDE=FQ","FILING_STATUS=MR","SCALING_FORMAT=MLN","Sort=A","Dates=H","DateFormat=P","Fill=—","Direction=H","UseDPDF=Y")</f>
        <v>—</v>
      </c>
      <c r="T60" s="13">
        <f>_xll.BDH("GILD US Equity","ARDR_OTHER_COMPREHENSIVE_INCOME","FQ1 2023","FQ1 2023","Currency=USD","Period=FQ","BEST_FPERIOD_OVERRIDE=FQ","FILING_STATUS=MR","SCALING_FORMAT=MLN","Sort=A","Dates=H","DateFormat=P","Fill=—","Direction=H","UseDPDF=Y")</f>
        <v>1</v>
      </c>
      <c r="U60" s="13" t="str">
        <f>_xll.BDH("GILD US Equity","ARDR_OTHER_COMPREHENSIVE_INCOME","FQ2 2023","FQ2 2023","Currency=USD","Period=FQ","BEST_FPERIOD_OVERRIDE=FQ","FILING_STATUS=MR","SCALING_FORMAT=MLN","Sort=A","Dates=H","DateFormat=P","Fill=—","Direction=H","UseDPDF=Y")</f>
        <v>—</v>
      </c>
      <c r="V60" s="13" t="str">
        <f>_xll.BDH("GILD US Equity","ARDR_OTHER_COMPREHENSIVE_INCOME","FQ3 2023","FQ3 2023","Currency=USD","Period=FQ","BEST_FPERIOD_OVERRIDE=FQ","FILING_STATUS=MR","SCALING_FORMAT=MLN","Sort=A","Dates=H","DateFormat=P","Fill=—","Direction=H","UseDPDF=Y")</f>
        <v>—</v>
      </c>
      <c r="W60" s="13" t="str">
        <f>_xll.BDH("GILD US Equity","ARDR_OTHER_COMPREHENSIVE_INCOME","FQ4 2023","FQ4 2023","Currency=USD","Period=FQ","BEST_FPERIOD_OVERRIDE=FQ","FILING_STATUS=MR","SCALING_FORMAT=MLN","Sort=A","Dates=H","DateFormat=P","Fill=—","Direction=H","UseDPDF=Y")</f>
        <v>—</v>
      </c>
      <c r="X60" s="13">
        <f>_xll.BDH("GILD US Equity","ARDR_OTHER_COMPREHENSIVE_INCOME","FQ1 2024","FQ1 2024","Currency=USD","Period=FQ","BEST_FPERIOD_OVERRIDE=FQ","FILING_STATUS=MR","SCALING_FORMAT=MLN","Sort=A","Dates=H","DateFormat=P","Fill=—","Direction=H","UseDPDF=Y")</f>
        <v>-1</v>
      </c>
      <c r="Y60" s="13">
        <f>_xll.BDH("GILD US Equity","ARDR_OTHER_COMPREHENSIVE_INCOME","FQ2 2024","FQ2 2024","Currency=USD","Period=FQ","BEST_FPERIOD_OVERRIDE=FQ","FILING_STATUS=MR","SCALING_FORMAT=MLN","Sort=A","Dates=H","DateFormat=P","Fill=—","Direction=H","UseDPDF=Y")</f>
        <v>-4</v>
      </c>
      <c r="Z60" s="13">
        <f>_xll.BDH("GILD US Equity","ARDR_OTHER_COMPREHENSIVE_INCOME","FQ3 2024","FQ3 2024","Currency=USD","Period=FQ","BEST_FPERIOD_OVERRIDE=FQ","FILING_STATUS=MR","SCALING_FORMAT=MLN","Sort=A","Dates=H","DateFormat=P","Fill=—","Direction=H","UseDPDF=Y")</f>
        <v>0</v>
      </c>
      <c r="AA60" s="13">
        <f>_xll.BDH("GILD US Equity","ARDR_OTHER_COMPREHENSIVE_INCOME","FQ4 2024","FQ4 2024","Currency=USD","Period=FQ","BEST_FPERIOD_OVERRIDE=FQ","FILING_STATUS=MR","SCALING_FORMAT=MLN","Sort=A","Dates=H","DateFormat=P","Fill=—","Direction=H","UseDPDF=Y")</f>
        <v>125</v>
      </c>
    </row>
    <row r="61" spans="1:27" x14ac:dyDescent="0.25">
      <c r="A61" s="10" t="s">
        <v>405</v>
      </c>
      <c r="B61" s="10" t="s">
        <v>510</v>
      </c>
      <c r="C61" s="13">
        <f>_xll.BDH("GILD US Equity","ARDR_TOTAL_CASH_COMMON_DVD","FQ4 2018","FQ4 2018","Currency=USD","Period=FQ","BEST_FPERIOD_OVERRIDE=FQ","FILING_STATUS=MR","SCALING_FORMAT=MLN","Sort=A","Dates=H","DateFormat=P","Fill=—","Direction=H","UseDPDF=Y")</f>
        <v>741</v>
      </c>
      <c r="D61" s="13">
        <f>_xll.BDH("GILD US Equity","ARDR_TOTAL_CASH_COMMON_DVD","FQ1 2019","FQ1 2019","Currency=USD","Period=FQ","BEST_FPERIOD_OVERRIDE=FQ","FILING_STATUS=MR","SCALING_FORMAT=MLN","Sort=A","Dates=H","DateFormat=P","Fill=—","Direction=H","UseDPDF=Y")</f>
        <v>817</v>
      </c>
      <c r="E61" s="13">
        <f>_xll.BDH("GILD US Equity","ARDR_TOTAL_CASH_COMMON_DVD","FQ2 2019","FQ2 2019","Currency=USD","Period=FQ","BEST_FPERIOD_OVERRIDE=FQ","FILING_STATUS=MR","SCALING_FORMAT=MLN","Sort=A","Dates=H","DateFormat=P","Fill=—","Direction=H","UseDPDF=Y")</f>
        <v>800</v>
      </c>
      <c r="F61" s="13">
        <f>_xll.BDH("GILD US Equity","ARDR_TOTAL_CASH_COMMON_DVD","FQ3 2019","FQ3 2019","Currency=USD","Period=FQ","BEST_FPERIOD_OVERRIDE=FQ","FILING_STATUS=MR","SCALING_FORMAT=MLN","Sort=A","Dates=H","DateFormat=P","Fill=—","Direction=H","UseDPDF=Y")</f>
        <v>804</v>
      </c>
      <c r="G61" s="13">
        <f>_xll.BDH("GILD US Equity","ARDR_TOTAL_CASH_COMMON_DVD","FQ4 2019","FQ4 2019","Currency=USD","Period=FQ","BEST_FPERIOD_OVERRIDE=FQ","FILING_STATUS=MR","SCALING_FORMAT=MLN","Sort=A","Dates=H","DateFormat=P","Fill=—","Direction=H","UseDPDF=Y")</f>
        <v>808</v>
      </c>
      <c r="H61" s="13">
        <f>_xll.BDH("GILD US Equity","ARDR_TOTAL_CASH_COMMON_DVD","FQ1 2020","FQ1 2020","Currency=USD","Period=FQ","BEST_FPERIOD_OVERRIDE=FQ","FILING_STATUS=MR","SCALING_FORMAT=MLN","Sort=A","Dates=H","DateFormat=P","Fill=—","Direction=H","UseDPDF=Y")</f>
        <v>874</v>
      </c>
      <c r="I61" s="13" t="str">
        <f>_xll.BDH("GILD US Equity","ARDR_TOTAL_CASH_COMMON_DVD","FQ2 2020","FQ2 2020","Currency=USD","Period=FQ","BEST_FPERIOD_OVERRIDE=FQ","FILING_STATUS=MR","SCALING_FORMAT=MLN","Sort=A","Dates=H","DateFormat=P","Fill=—","Direction=H","UseDPDF=Y")</f>
        <v>—</v>
      </c>
      <c r="J61" s="13">
        <f>_xll.BDH("GILD US Equity","ARDR_TOTAL_CASH_COMMON_DVD","FQ3 2020","FQ3 2020","Currency=USD","Period=FQ","BEST_FPERIOD_OVERRIDE=FQ","FILING_STATUS=MR","SCALING_FORMAT=MLN","Sort=A","Dates=H","DateFormat=P","Fill=—","Direction=H","UseDPDF=Y")</f>
        <v>866</v>
      </c>
      <c r="K61" s="13">
        <f>_xll.BDH("GILD US Equity","ARDR_TOTAL_CASH_COMMON_DVD","FQ4 2020","FQ4 2020","Currency=USD","Period=FQ","BEST_FPERIOD_OVERRIDE=FQ","FILING_STATUS=MR","SCALING_FORMAT=MLN","Sort=A","Dates=H","DateFormat=P","Fill=—","Direction=H","UseDPDF=Y")</f>
        <v>865</v>
      </c>
      <c r="L61" s="13">
        <f>_xll.BDH("GILD US Equity","ARDR_TOTAL_CASH_COMMON_DVD","FQ1 2021","FQ1 2021","Currency=USD","Period=FQ","BEST_FPERIOD_OVERRIDE=FQ","FILING_STATUS=MR","SCALING_FORMAT=MLN","Sort=A","Dates=H","DateFormat=P","Fill=—","Direction=H","UseDPDF=Y")</f>
        <v>906</v>
      </c>
      <c r="M61" s="13">
        <f>_xll.BDH("GILD US Equity","ARDR_TOTAL_CASH_COMMON_DVD","FQ2 2021","FQ2 2021","Currency=USD","Period=FQ","BEST_FPERIOD_OVERRIDE=FQ","FILING_STATUS=MR","SCALING_FORMAT=MLN","Sort=A","Dates=H","DateFormat=P","Fill=—","Direction=H","UseDPDF=Y")</f>
        <v>903</v>
      </c>
      <c r="N61" s="13">
        <f>_xll.BDH("GILD US Equity","ARDR_TOTAL_CASH_COMMON_DVD","FQ3 2021","FQ3 2021","Currency=USD","Period=FQ","BEST_FPERIOD_OVERRIDE=FQ","FILING_STATUS=MR","SCALING_FORMAT=MLN","Sort=A","Dates=H","DateFormat=P","Fill=—","Direction=H","UseDPDF=Y")</f>
        <v>905</v>
      </c>
      <c r="O61" s="13" t="str">
        <f>_xll.BDH("GILD US Equity","ARDR_TOTAL_CASH_COMMON_DVD","FQ4 2021","FQ4 2021","Currency=USD","Period=FQ","BEST_FPERIOD_OVERRIDE=FQ","FILING_STATUS=MR","SCALING_FORMAT=MLN","Sort=A","Dates=H","DateFormat=P","Fill=—","Direction=H","UseDPDF=Y")</f>
        <v>—</v>
      </c>
      <c r="P61" s="13">
        <f>_xll.BDH("GILD US Equity","ARDR_TOTAL_CASH_COMMON_DVD","FQ1 2022","FQ1 2022","Currency=USD","Period=FQ","BEST_FPERIOD_OVERRIDE=FQ","FILING_STATUS=MR","SCALING_FORMAT=MLN","Sort=A","Dates=H","DateFormat=P","Fill=—","Direction=H","UseDPDF=Y")</f>
        <v>932</v>
      </c>
      <c r="Q61" s="13">
        <f>_xll.BDH("GILD US Equity","ARDR_TOTAL_CASH_COMMON_DVD","FQ2 2022","FQ2 2022","Currency=USD","Period=FQ","BEST_FPERIOD_OVERRIDE=FQ","FILING_STATUS=MR","SCALING_FORMAT=MLN","Sort=A","Dates=H","DateFormat=P","Fill=—","Direction=H","UseDPDF=Y")</f>
        <v>932</v>
      </c>
      <c r="R61" s="13" t="str">
        <f>_xll.BDH("GILD US Equity","ARDR_TOTAL_CASH_COMMON_DVD","FQ3 2022","FQ3 2022","Currency=USD","Period=FQ","BEST_FPERIOD_OVERRIDE=FQ","FILING_STATUS=MR","SCALING_FORMAT=MLN","Sort=A","Dates=H","DateFormat=P","Fill=—","Direction=H","UseDPDF=Y")</f>
        <v>—</v>
      </c>
      <c r="S61" s="13" t="str">
        <f>_xll.BDH("GILD US Equity","ARDR_TOTAL_CASH_COMMON_DVD","FQ4 2022","FQ4 2022","Currency=USD","Period=FQ","BEST_FPERIOD_OVERRIDE=FQ","FILING_STATUS=MR","SCALING_FORMAT=MLN","Sort=A","Dates=H","DateFormat=P","Fill=—","Direction=H","UseDPDF=Y")</f>
        <v>—</v>
      </c>
      <c r="T61" s="13">
        <f>_xll.BDH("GILD US Equity","ARDR_TOTAL_CASH_COMMON_DVD","FQ1 2023","FQ1 2023","Currency=USD","Period=FQ","BEST_FPERIOD_OVERRIDE=FQ","FILING_STATUS=MR","SCALING_FORMAT=MLN","Sort=A","Dates=H","DateFormat=P","Fill=—","Direction=H","UseDPDF=Y")</f>
        <v>957</v>
      </c>
      <c r="U61" s="13">
        <f>_xll.BDH("GILD US Equity","ARDR_TOTAL_CASH_COMMON_DVD","FQ2 2023","FQ2 2023","Currency=USD","Period=FQ","BEST_FPERIOD_OVERRIDE=FQ","FILING_STATUS=MR","SCALING_FORMAT=MLN","Sort=A","Dates=H","DateFormat=P","Fill=—","Direction=H","UseDPDF=Y")</f>
        <v>954</v>
      </c>
      <c r="V61" s="13">
        <f>_xll.BDH("GILD US Equity","ARDR_TOTAL_CASH_COMMON_DVD","FQ3 2023","FQ3 2023","Currency=USD","Period=FQ","BEST_FPERIOD_OVERRIDE=FQ","FILING_STATUS=MR","SCALING_FORMAT=MLN","Sort=A","Dates=H","DateFormat=P","Fill=—","Direction=H","UseDPDF=Y")</f>
        <v>953</v>
      </c>
      <c r="W61" s="13" t="str">
        <f>_xll.BDH("GILD US Equity","ARDR_TOTAL_CASH_COMMON_DVD","FQ4 2023","FQ4 2023","Currency=USD","Period=FQ","BEST_FPERIOD_OVERRIDE=FQ","FILING_STATUS=MR","SCALING_FORMAT=MLN","Sort=A","Dates=H","DateFormat=P","Fill=—","Direction=H","UseDPDF=Y")</f>
        <v>—</v>
      </c>
      <c r="X61" s="13">
        <f>_xll.BDH("GILD US Equity","ARDR_TOTAL_CASH_COMMON_DVD","FQ1 2024","FQ1 2024","Currency=USD","Period=FQ","BEST_FPERIOD_OVERRIDE=FQ","FILING_STATUS=MR","SCALING_FORMAT=MLN","Sort=A","Dates=H","DateFormat=P","Fill=—","Direction=H","UseDPDF=Y")</f>
        <v>980</v>
      </c>
      <c r="Y61" s="13">
        <f>_xll.BDH("GILD US Equity","ARDR_TOTAL_CASH_COMMON_DVD","FQ2 2024","FQ2 2024","Currency=USD","Period=FQ","BEST_FPERIOD_OVERRIDE=FQ","FILING_STATUS=MR","SCALING_FORMAT=MLN","Sort=A","Dates=H","DateFormat=P","Fill=—","Direction=H","UseDPDF=Y")</f>
        <v>978</v>
      </c>
      <c r="Z61" s="13">
        <f>_xll.BDH("GILD US Equity","ARDR_TOTAL_CASH_COMMON_DVD","FQ3 2024","FQ3 2024","Currency=USD","Period=FQ","BEST_FPERIOD_OVERRIDE=FQ","FILING_STATUS=MR","SCALING_FORMAT=MLN","Sort=A","Dates=H","DateFormat=P","Fill=—","Direction=H","UseDPDF=Y")</f>
        <v>977</v>
      </c>
      <c r="AA61" s="13" t="str">
        <f>_xll.BDH("GILD US Equity","ARDR_TOTAL_CASH_COMMON_DVD","FQ4 2024","FQ4 2024","Currency=USD","Period=FQ","BEST_FPERIOD_OVERRIDE=FQ","FILING_STATUS=MR","SCALING_FORMAT=MLN","Sort=A","Dates=H","DateFormat=P","Fill=—","Direction=H","UseDPDF=Y")</f>
        <v>—</v>
      </c>
    </row>
    <row r="62" spans="1:27" x14ac:dyDescent="0.25">
      <c r="A62" s="10" t="s">
        <v>454</v>
      </c>
      <c r="B62" s="10" t="s">
        <v>511</v>
      </c>
      <c r="C62" s="14">
        <f>_xll.BDH("GILD US Equity","ARDR_DVD_PER_SH","FQ4 2018","FQ4 2018","Currency=USD","Period=FQ","BEST_FPERIOD_OVERRIDE=FQ","FILING_STATUS=MR","Sort=A","Dates=H","DateFormat=P","Fill=—","Direction=H","UseDPDF=Y")</f>
        <v>0.56999999999999995</v>
      </c>
      <c r="D62" s="14">
        <f>_xll.BDH("GILD US Equity","ARDR_DVD_PER_SH","FQ1 2019","FQ1 2019","Currency=USD","Period=FQ","BEST_FPERIOD_OVERRIDE=FQ","FILING_STATUS=MR","Sort=A","Dates=H","DateFormat=P","Fill=—","Direction=H","UseDPDF=Y")</f>
        <v>0.63</v>
      </c>
      <c r="E62" s="14">
        <f>_xll.BDH("GILD US Equity","ARDR_DVD_PER_SH","FQ2 2019","FQ2 2019","Currency=USD","Period=FQ","BEST_FPERIOD_OVERRIDE=FQ","FILING_STATUS=MR","Sort=A","Dates=H","DateFormat=P","Fill=—","Direction=H","UseDPDF=Y")</f>
        <v>0.63</v>
      </c>
      <c r="F62" s="14">
        <f>_xll.BDH("GILD US Equity","ARDR_DVD_PER_SH","FQ3 2019","FQ3 2019","Currency=USD","Period=FQ","BEST_FPERIOD_OVERRIDE=FQ","FILING_STATUS=MR","Sort=A","Dates=H","DateFormat=P","Fill=—","Direction=H","UseDPDF=Y")</f>
        <v>0.63</v>
      </c>
      <c r="G62" s="14">
        <f>_xll.BDH("GILD US Equity","ARDR_DVD_PER_SH","FQ4 2019","FQ4 2019","Currency=USD","Period=FQ","BEST_FPERIOD_OVERRIDE=FQ","FILING_STATUS=MR","Sort=A","Dates=H","DateFormat=P","Fill=—","Direction=H","UseDPDF=Y")</f>
        <v>0.63</v>
      </c>
      <c r="H62" s="14">
        <f>_xll.BDH("GILD US Equity","ARDR_DVD_PER_SH","FQ1 2020","FQ1 2020","Currency=USD","Period=FQ","BEST_FPERIOD_OVERRIDE=FQ","FILING_STATUS=MR","Sort=A","Dates=H","DateFormat=P","Fill=—","Direction=H","UseDPDF=Y")</f>
        <v>0.68</v>
      </c>
      <c r="I62" s="14">
        <f>_xll.BDH("GILD US Equity","ARDR_DVD_PER_SH","FQ2 2020","FQ2 2020","Currency=USD","Period=FQ","BEST_FPERIOD_OVERRIDE=FQ","FILING_STATUS=MR","Sort=A","Dates=H","DateFormat=P","Fill=—","Direction=H","UseDPDF=Y")</f>
        <v>0.68</v>
      </c>
      <c r="J62" s="14">
        <f>_xll.BDH("GILD US Equity","ARDR_DVD_PER_SH","FQ3 2020","FQ3 2020","Currency=USD","Period=FQ","BEST_FPERIOD_OVERRIDE=FQ","FILING_STATUS=MR","Sort=A","Dates=H","DateFormat=P","Fill=—","Direction=H","UseDPDF=Y")</f>
        <v>0.68</v>
      </c>
      <c r="K62" s="14">
        <f>_xll.BDH("GILD US Equity","ARDR_DVD_PER_SH","FQ4 2020","FQ4 2020","Currency=USD","Period=FQ","BEST_FPERIOD_OVERRIDE=FQ","FILING_STATUS=MR","Sort=A","Dates=H","DateFormat=P","Fill=—","Direction=H","UseDPDF=Y")</f>
        <v>0.68</v>
      </c>
      <c r="L62" s="14">
        <f>_xll.BDH("GILD US Equity","ARDR_DVD_PER_SH","FQ1 2021","FQ1 2021","Currency=USD","Period=FQ","BEST_FPERIOD_OVERRIDE=FQ","FILING_STATUS=MR","Sort=A","Dates=H","DateFormat=P","Fill=—","Direction=H","UseDPDF=Y")</f>
        <v>0.71</v>
      </c>
      <c r="M62" s="14">
        <f>_xll.BDH("GILD US Equity","ARDR_DVD_PER_SH","FQ2 2021","FQ2 2021","Currency=USD","Period=FQ","BEST_FPERIOD_OVERRIDE=FQ","FILING_STATUS=MR","Sort=A","Dates=H","DateFormat=P","Fill=—","Direction=H","UseDPDF=Y")</f>
        <v>0.71</v>
      </c>
      <c r="N62" s="14">
        <f>_xll.BDH("GILD US Equity","ARDR_DVD_PER_SH","FQ3 2021","FQ3 2021","Currency=USD","Period=FQ","BEST_FPERIOD_OVERRIDE=FQ","FILING_STATUS=MR","Sort=A","Dates=H","DateFormat=P","Fill=—","Direction=H","UseDPDF=Y")</f>
        <v>0.71</v>
      </c>
      <c r="O62" s="14">
        <f>_xll.BDH("GILD US Equity","ARDR_DVD_PER_SH","FQ4 2021","FQ4 2021","Currency=USD","Period=FQ","BEST_FPERIOD_OVERRIDE=FQ","FILING_STATUS=MR","Sort=A","Dates=H","DateFormat=P","Fill=—","Direction=H","UseDPDF=Y")</f>
        <v>0.71</v>
      </c>
      <c r="P62" s="14">
        <f>_xll.BDH("GILD US Equity","ARDR_DVD_PER_SH","FQ1 2022","FQ1 2022","Currency=USD","Period=FQ","BEST_FPERIOD_OVERRIDE=FQ","FILING_STATUS=MR","Sort=A","Dates=H","DateFormat=P","Fill=—","Direction=H","UseDPDF=Y")</f>
        <v>0.73</v>
      </c>
      <c r="Q62" s="14">
        <f>_xll.BDH("GILD US Equity","ARDR_DVD_PER_SH","FQ2 2022","FQ2 2022","Currency=USD","Period=FQ","BEST_FPERIOD_OVERRIDE=FQ","FILING_STATUS=MR","Sort=A","Dates=H","DateFormat=P","Fill=—","Direction=H","UseDPDF=Y")</f>
        <v>0.73</v>
      </c>
      <c r="R62" s="14">
        <f>_xll.BDH("GILD US Equity","ARDR_DVD_PER_SH","FQ3 2022","FQ3 2022","Currency=USD","Period=FQ","BEST_FPERIOD_OVERRIDE=FQ","FILING_STATUS=MR","Sort=A","Dates=H","DateFormat=P","Fill=—","Direction=H","UseDPDF=Y")</f>
        <v>0.73</v>
      </c>
      <c r="S62" s="14">
        <f>_xll.BDH("GILD US Equity","ARDR_DVD_PER_SH","FQ4 2022","FQ4 2022","Currency=USD","Period=FQ","BEST_FPERIOD_OVERRIDE=FQ","FILING_STATUS=MR","Sort=A","Dates=H","DateFormat=P","Fill=—","Direction=H","UseDPDF=Y")</f>
        <v>0.73</v>
      </c>
      <c r="T62" s="14">
        <f>_xll.BDH("GILD US Equity","ARDR_DVD_PER_SH","FQ1 2023","FQ1 2023","Currency=USD","Period=FQ","BEST_FPERIOD_OVERRIDE=FQ","FILING_STATUS=MR","Sort=A","Dates=H","DateFormat=P","Fill=—","Direction=H","UseDPDF=Y")</f>
        <v>0.75</v>
      </c>
      <c r="U62" s="14">
        <f>_xll.BDH("GILD US Equity","ARDR_DVD_PER_SH","FQ2 2023","FQ2 2023","Currency=USD","Period=FQ","BEST_FPERIOD_OVERRIDE=FQ","FILING_STATUS=MR","Sort=A","Dates=H","DateFormat=P","Fill=—","Direction=H","UseDPDF=Y")</f>
        <v>0.75</v>
      </c>
      <c r="V62" s="14">
        <f>_xll.BDH("GILD US Equity","ARDR_DVD_PER_SH","FQ3 2023","FQ3 2023","Currency=USD","Period=FQ","BEST_FPERIOD_OVERRIDE=FQ","FILING_STATUS=MR","Sort=A","Dates=H","DateFormat=P","Fill=—","Direction=H","UseDPDF=Y")</f>
        <v>0.75</v>
      </c>
      <c r="W62" s="14">
        <f>_xll.BDH("GILD US Equity","ARDR_DVD_PER_SH","FQ4 2023","FQ4 2023","Currency=USD","Period=FQ","BEST_FPERIOD_OVERRIDE=FQ","FILING_STATUS=MR","Sort=A","Dates=H","DateFormat=P","Fill=—","Direction=H","UseDPDF=Y")</f>
        <v>0.75</v>
      </c>
      <c r="X62" s="14">
        <f>_xll.BDH("GILD US Equity","ARDR_DVD_PER_SH","FQ1 2024","FQ1 2024","Currency=USD","Period=FQ","BEST_FPERIOD_OVERRIDE=FQ","FILING_STATUS=MR","Sort=A","Dates=H","DateFormat=P","Fill=—","Direction=H","UseDPDF=Y")</f>
        <v>0.77</v>
      </c>
      <c r="Y62" s="14">
        <f>_xll.BDH("GILD US Equity","ARDR_DVD_PER_SH","FQ2 2024","FQ2 2024","Currency=USD","Period=FQ","BEST_FPERIOD_OVERRIDE=FQ","FILING_STATUS=MR","Sort=A","Dates=H","DateFormat=P","Fill=—","Direction=H","UseDPDF=Y")</f>
        <v>0.77</v>
      </c>
      <c r="Z62" s="14">
        <f>_xll.BDH("GILD US Equity","ARDR_DVD_PER_SH","FQ3 2024","FQ3 2024","Currency=USD","Period=FQ","BEST_FPERIOD_OVERRIDE=FQ","FILING_STATUS=MR","Sort=A","Dates=H","DateFormat=P","Fill=—","Direction=H","UseDPDF=Y")</f>
        <v>0.77</v>
      </c>
      <c r="AA62" s="14">
        <f>_xll.BDH("GILD US Equity","ARDR_DVD_PER_SH","FQ4 2024","FQ4 2024","Currency=USD","Period=FQ","BEST_FPERIOD_OVERRIDE=FQ","FILING_STATUS=MR","Sort=A","Dates=H","DateFormat=P","Fill=—","Direction=H","UseDPDF=Y")</f>
        <v>0.77</v>
      </c>
    </row>
    <row r="63" spans="1:27" x14ac:dyDescent="0.25">
      <c r="A63" s="10" t="s">
        <v>456</v>
      </c>
      <c r="B63" s="10" t="s">
        <v>512</v>
      </c>
      <c r="C63" s="14" t="str">
        <f>_xll.BDH("GILD US Equity","ARDR_BASIC_EPS","FQ4 2018","FQ4 2018","Currency=USD","Period=FQ","BEST_FPERIOD_OVERRIDE=FQ","FILING_STATUS=MR","Sort=A","Dates=H","DateFormat=P","Fill=—","Direction=H","UseDPDF=Y")</f>
        <v>—</v>
      </c>
      <c r="D63" s="14">
        <f>_xll.BDH("GILD US Equity","ARDR_BASIC_EPS","FQ1 2019","FQ1 2019","Currency=USD","Period=FQ","BEST_FPERIOD_OVERRIDE=FQ","FILING_STATUS=MR","Sort=A","Dates=H","DateFormat=P","Fill=—","Direction=H","UseDPDF=Y")</f>
        <v>1.55</v>
      </c>
      <c r="E63" s="14">
        <f>_xll.BDH("GILD US Equity","ARDR_BASIC_EPS","FQ2 2019","FQ2 2019","Currency=USD","Period=FQ","BEST_FPERIOD_OVERRIDE=FQ","FILING_STATUS=MR","Sort=A","Dates=H","DateFormat=P","Fill=—","Direction=H","UseDPDF=Y")</f>
        <v>1.48</v>
      </c>
      <c r="F63" s="14">
        <f>_xll.BDH("GILD US Equity","ARDR_BASIC_EPS","FQ3 2019","FQ3 2019","Currency=USD","Period=FQ","BEST_FPERIOD_OVERRIDE=FQ","FILING_STATUS=MR","Sort=A","Dates=H","DateFormat=P","Fill=—","Direction=H","UseDPDF=Y")</f>
        <v>-0.92</v>
      </c>
      <c r="G63" s="14" t="str">
        <f>_xll.BDH("GILD US Equity","ARDR_BASIC_EPS","FQ4 2019","FQ4 2019","Currency=USD","Period=FQ","BEST_FPERIOD_OVERRIDE=FQ","FILING_STATUS=MR","Sort=A","Dates=H","DateFormat=P","Fill=—","Direction=H","UseDPDF=Y")</f>
        <v>—</v>
      </c>
      <c r="H63" s="14">
        <f>_xll.BDH("GILD US Equity","ARDR_BASIC_EPS","FQ1 2020","FQ1 2020","Currency=USD","Period=FQ","BEST_FPERIOD_OVERRIDE=FQ","FILING_STATUS=MR","Sort=A","Dates=H","DateFormat=P","Fill=—","Direction=H","UseDPDF=Y")</f>
        <v>1.23</v>
      </c>
      <c r="I63" s="14">
        <f>_xll.BDH("GILD US Equity","ARDR_BASIC_EPS","FQ2 2020","FQ2 2020","Currency=USD","Period=FQ","BEST_FPERIOD_OVERRIDE=FQ","FILING_STATUS=MR","Sort=A","Dates=H","DateFormat=P","Fill=—","Direction=H","UseDPDF=Y")</f>
        <v>-2.66</v>
      </c>
      <c r="J63" s="14">
        <f>_xll.BDH("GILD US Equity","ARDR_BASIC_EPS","FQ3 2020","FQ3 2020","Currency=USD","Period=FQ","BEST_FPERIOD_OVERRIDE=FQ","FILING_STATUS=MR","Sort=A","Dates=H","DateFormat=P","Fill=—","Direction=H","UseDPDF=Y")</f>
        <v>0.28999999999999998</v>
      </c>
      <c r="K63" s="14">
        <f>_xll.BDH("GILD US Equity","ARDR_BASIC_EPS","FQ4 2020","FQ4 2020","Currency=USD","Period=FQ","BEST_FPERIOD_OVERRIDE=FQ","FILING_STATUS=MR","Sort=A","Dates=H","DateFormat=P","Fill=—","Direction=H","UseDPDF=Y")</f>
        <v>1.24</v>
      </c>
      <c r="L63" s="14">
        <f>_xll.BDH("GILD US Equity","ARDR_BASIC_EPS","FQ1 2021","FQ1 2021","Currency=USD","Period=FQ","BEST_FPERIOD_OVERRIDE=FQ","FILING_STATUS=MR","Sort=A","Dates=H","DateFormat=P","Fill=—","Direction=H","UseDPDF=Y")</f>
        <v>1.38</v>
      </c>
      <c r="M63" s="14">
        <f>_xll.BDH("GILD US Equity","ARDR_BASIC_EPS","FQ2 2021","FQ2 2021","Currency=USD","Period=FQ","BEST_FPERIOD_OVERRIDE=FQ","FILING_STATUS=MR","Sort=A","Dates=H","DateFormat=P","Fill=—","Direction=H","UseDPDF=Y")</f>
        <v>1.21</v>
      </c>
      <c r="N63" s="14">
        <f>_xll.BDH("GILD US Equity","ARDR_BASIC_EPS","FQ3 2021","FQ3 2021","Currency=USD","Period=FQ","BEST_FPERIOD_OVERRIDE=FQ","FILING_STATUS=MR","Sort=A","Dates=H","DateFormat=P","Fill=—","Direction=H","UseDPDF=Y")</f>
        <v>2.06</v>
      </c>
      <c r="O63" s="14">
        <f>_xll.BDH("GILD US Equity","ARDR_BASIC_EPS","FQ4 2021","FQ4 2021","Currency=USD","Period=FQ","BEST_FPERIOD_OVERRIDE=FQ","FILING_STATUS=MR","Sort=A","Dates=H","DateFormat=P","Fill=—","Direction=H","UseDPDF=Y")</f>
        <v>0.3</v>
      </c>
      <c r="P63" s="14">
        <f>_xll.BDH("GILD US Equity","ARDR_BASIC_EPS","FQ1 2022","FQ1 2022","Currency=USD","Period=FQ","BEST_FPERIOD_OVERRIDE=FQ","FILING_STATUS=MR","Sort=A","Dates=H","DateFormat=P","Fill=—","Direction=H","UseDPDF=Y")</f>
        <v>0.02</v>
      </c>
      <c r="Q63" s="14">
        <f>_xll.BDH("GILD US Equity","ARDR_BASIC_EPS","FQ2 2022","FQ2 2022","Currency=USD","Period=FQ","BEST_FPERIOD_OVERRIDE=FQ","FILING_STATUS=MR","Sort=A","Dates=H","DateFormat=P","Fill=—","Direction=H","UseDPDF=Y")</f>
        <v>0.91</v>
      </c>
      <c r="R63" s="14">
        <f>_xll.BDH("GILD US Equity","ARDR_BASIC_EPS","FQ3 2022","FQ3 2022","Currency=USD","Period=FQ","BEST_FPERIOD_OVERRIDE=FQ","FILING_STATUS=MR","Sort=A","Dates=H","DateFormat=P","Fill=—","Direction=H","UseDPDF=Y")</f>
        <v>1.43</v>
      </c>
      <c r="S63" s="14">
        <f>_xll.BDH("GILD US Equity","ARDR_BASIC_EPS","FQ4 2022","FQ4 2022","Currency=USD","Period=FQ","BEST_FPERIOD_OVERRIDE=FQ","FILING_STATUS=MR","Sort=A","Dates=H","DateFormat=P","Fill=—","Direction=H","UseDPDF=Y")</f>
        <v>1.31</v>
      </c>
      <c r="T63" s="14">
        <f>_xll.BDH("GILD US Equity","ARDR_BASIC_EPS","FQ1 2023","FQ1 2023","Currency=USD","Period=FQ","BEST_FPERIOD_OVERRIDE=FQ","FILING_STATUS=MR","Sort=A","Dates=H","DateFormat=P","Fill=—","Direction=H","UseDPDF=Y")</f>
        <v>0.81</v>
      </c>
      <c r="U63" s="14">
        <f>_xll.BDH("GILD US Equity","ARDR_BASIC_EPS","FQ2 2023","FQ2 2023","Currency=USD","Period=FQ","BEST_FPERIOD_OVERRIDE=FQ","FILING_STATUS=MR","Sort=A","Dates=H","DateFormat=P","Fill=—","Direction=H","UseDPDF=Y")</f>
        <v>0.84</v>
      </c>
      <c r="V63" s="14">
        <f>_xll.BDH("GILD US Equity","ARDR_BASIC_EPS","FQ3 2023","FQ3 2023","Currency=USD","Period=FQ","BEST_FPERIOD_OVERRIDE=FQ","FILING_STATUS=MR","Sort=A","Dates=H","DateFormat=P","Fill=—","Direction=H","UseDPDF=Y")</f>
        <v>1.75</v>
      </c>
      <c r="W63" s="14">
        <f>_xll.BDH("GILD US Equity","ARDR_BASIC_EPS","FQ4 2023","FQ4 2023","Currency=USD","Period=FQ","BEST_FPERIOD_OVERRIDE=FQ","FILING_STATUS=MR","Sort=A","Dates=H","DateFormat=P","Fill=—","Direction=H","UseDPDF=Y")</f>
        <v>1.1499999999999999</v>
      </c>
      <c r="X63" s="14">
        <f>_xll.BDH("GILD US Equity","ARDR_BASIC_EPS","FQ1 2024","FQ1 2024","Currency=USD","Period=FQ","BEST_FPERIOD_OVERRIDE=FQ","FILING_STATUS=MR","Sort=A","Dates=H","DateFormat=P","Fill=—","Direction=H","UseDPDF=Y")</f>
        <v>-3.34</v>
      </c>
      <c r="Y63" s="14">
        <f>_xll.BDH("GILD US Equity","ARDR_BASIC_EPS","FQ2 2024","FQ2 2024","Currency=USD","Period=FQ","BEST_FPERIOD_OVERRIDE=FQ","FILING_STATUS=MR","Sort=A","Dates=H","DateFormat=P","Fill=—","Direction=H","UseDPDF=Y")</f>
        <v>1.29</v>
      </c>
      <c r="Z63" s="14">
        <f>_xll.BDH("GILD US Equity","ARDR_BASIC_EPS","FQ3 2024","FQ3 2024","Currency=USD","Period=FQ","BEST_FPERIOD_OVERRIDE=FQ","FILING_STATUS=MR","Sort=A","Dates=H","DateFormat=P","Fill=—","Direction=H","UseDPDF=Y")</f>
        <v>1</v>
      </c>
      <c r="AA63" s="14">
        <f>_xll.BDH("GILD US Equity","ARDR_BASIC_EPS","FQ4 2024","FQ4 2024","Currency=USD","Period=FQ","BEST_FPERIOD_OVERRIDE=FQ","FILING_STATUS=MR","Sort=A","Dates=H","DateFormat=P","Fill=—","Direction=H","UseDPDF=Y")</f>
        <v>1.43</v>
      </c>
    </row>
    <row r="64" spans="1:27" x14ac:dyDescent="0.25">
      <c r="A64" s="10" t="s">
        <v>458</v>
      </c>
      <c r="B64" s="10" t="s">
        <v>513</v>
      </c>
      <c r="C64" s="13" t="str">
        <f>_xll.BDH("GILD US Equity","ARDR_WEIGHTED_AVG_SHARES_BASIC","FQ4 2018","FQ4 2018","Currency=USD","Period=FQ","BEST_FPERIOD_OVERRIDE=FQ","FILING_STATUS=MR","Sort=A","Dates=H","DateFormat=P","Fill=—","Direction=H","UseDPDF=Y")</f>
        <v>—</v>
      </c>
      <c r="D64" s="13">
        <f>_xll.BDH("GILD US Equity","ARDR_WEIGHTED_AVG_SHARES_BASIC","FQ1 2019","FQ1 2019","Currency=USD","Period=FQ","BEST_FPERIOD_OVERRIDE=FQ","FILING_STATUS=MR","Sort=A","Dates=H","DateFormat=P","Fill=—","Direction=H","UseDPDF=Y")</f>
        <v>1276</v>
      </c>
      <c r="E64" s="13">
        <f>_xll.BDH("GILD US Equity","ARDR_WEIGHTED_AVG_SHARES_BASIC","FQ2 2019","FQ2 2019","Currency=USD","Period=FQ","BEST_FPERIOD_OVERRIDE=FQ","FILING_STATUS=MR","Sort=A","Dates=H","DateFormat=P","Fill=—","Direction=H","UseDPDF=Y")</f>
        <v>1270</v>
      </c>
      <c r="F64" s="13">
        <f>_xll.BDH("GILD US Equity","ARDR_WEIGHTED_AVG_SHARES_BASIC","FQ3 2019","FQ3 2019","Currency=USD","Period=FQ","BEST_FPERIOD_OVERRIDE=FQ","FILING_STATUS=MR","Sort=A","Dates=H","DateFormat=P","Fill=—","Direction=H","UseDPDF=Y")</f>
        <v>1267</v>
      </c>
      <c r="G64" s="13" t="str">
        <f>_xll.BDH("GILD US Equity","ARDR_WEIGHTED_AVG_SHARES_BASIC","FQ4 2019","FQ4 2019","Currency=USD","Period=FQ","BEST_FPERIOD_OVERRIDE=FQ","FILING_STATUS=MR","Sort=A","Dates=H","DateFormat=P","Fill=—","Direction=H","UseDPDF=Y")</f>
        <v>—</v>
      </c>
      <c r="H64" s="13">
        <f>_xll.BDH("GILD US Equity","ARDR_WEIGHTED_AVG_SHARES_BASIC","FQ1 2020","FQ1 2020","Currency=USD","Period=FQ","BEST_FPERIOD_OVERRIDE=FQ","FILING_STATUS=MR","Sort=A","Dates=H","DateFormat=P","Fill=—","Direction=H","UseDPDF=Y")</f>
        <v>1262</v>
      </c>
      <c r="I64" s="13">
        <f>_xll.BDH("GILD US Equity","ARDR_WEIGHTED_AVG_SHARES_BASIC","FQ2 2020","FQ2 2020","Currency=USD","Period=FQ","BEST_FPERIOD_OVERRIDE=FQ","FILING_STATUS=MR","Sort=A","Dates=H","DateFormat=P","Fill=—","Direction=H","UseDPDF=Y")</f>
        <v>1255</v>
      </c>
      <c r="J64" s="13">
        <f>_xll.BDH("GILD US Equity","ARDR_WEIGHTED_AVG_SHARES_BASIC","FQ3 2020","FQ3 2020","Currency=USD","Period=FQ","BEST_FPERIOD_OVERRIDE=FQ","FILING_STATUS=MR","Sort=A","Dates=H","DateFormat=P","Fill=—","Direction=H","UseDPDF=Y")</f>
        <v>1255</v>
      </c>
      <c r="K64" s="13">
        <f>_xll.BDH("GILD US Equity","ARDR_WEIGHTED_AVG_SHARES_BASIC","FQ4 2020","FQ4 2020","Currency=USD","Period=FQ","BEST_FPERIOD_OVERRIDE=FQ","FILING_STATUS=MR","Sort=A","Dates=H","DateFormat=P","Fill=—","Direction=H","UseDPDF=Y")</f>
        <v>1255</v>
      </c>
      <c r="L64" s="13">
        <f>_xll.BDH("GILD US Equity","ARDR_WEIGHTED_AVG_SHARES_BASIC","FQ1 2021","FQ1 2021","Currency=USD","Period=FQ","BEST_FPERIOD_OVERRIDE=FQ","FILING_STATUS=MR","Sort=A","Dates=H","DateFormat=P","Fill=—","Direction=H","UseDPDF=Y")</f>
        <v>1256</v>
      </c>
      <c r="M64" s="13">
        <f>_xll.BDH("GILD US Equity","ARDR_WEIGHTED_AVG_SHARES_BASIC","FQ2 2021","FQ2 2021","Currency=USD","Period=FQ","BEST_FPERIOD_OVERRIDE=FQ","FILING_STATUS=MR","Sort=A","Dates=H","DateFormat=P","Fill=—","Direction=H","UseDPDF=Y")</f>
        <v>1255</v>
      </c>
      <c r="N64" s="13">
        <f>_xll.BDH("GILD US Equity","ARDR_WEIGHTED_AVG_SHARES_BASIC","FQ3 2021","FQ3 2021","Currency=USD","Period=FQ","BEST_FPERIOD_OVERRIDE=FQ","FILING_STATUS=MR","Sort=A","Dates=H","DateFormat=P","Fill=—","Direction=H","UseDPDF=Y")</f>
        <v>1256</v>
      </c>
      <c r="O64" s="13">
        <f>_xll.BDH("GILD US Equity","ARDR_WEIGHTED_AVG_SHARES_BASIC","FQ4 2021","FQ4 2021","Currency=USD","Period=FQ","BEST_FPERIOD_OVERRIDE=FQ","FILING_STATUS=MR","Sort=A","Dates=H","DateFormat=P","Fill=—","Direction=H","UseDPDF=Y")</f>
        <v>1256</v>
      </c>
      <c r="P64" s="13">
        <f>_xll.BDH("GILD US Equity","ARDR_WEIGHTED_AVG_SHARES_BASIC","FQ1 2022","FQ1 2022","Currency=USD","Period=FQ","BEST_FPERIOD_OVERRIDE=FQ","FILING_STATUS=MR","Sort=A","Dates=H","DateFormat=P","Fill=—","Direction=H","UseDPDF=Y")</f>
        <v>1255</v>
      </c>
      <c r="Q64" s="13">
        <f>_xll.BDH("GILD US Equity","ARDR_WEIGHTED_AVG_SHARES_BASIC","FQ2 2022","FQ2 2022","Currency=USD","Period=FQ","BEST_FPERIOD_OVERRIDE=FQ","FILING_STATUS=MR","Sort=A","Dates=H","DateFormat=P","Fill=—","Direction=H","UseDPDF=Y")</f>
        <v>1256</v>
      </c>
      <c r="R64" s="13">
        <f>_xll.BDH("GILD US Equity","ARDR_WEIGHTED_AVG_SHARES_BASIC","FQ3 2022","FQ3 2022","Currency=USD","Period=FQ","BEST_FPERIOD_OVERRIDE=FQ","FILING_STATUS=MR","Sort=A","Dates=H","DateFormat=P","Fill=—","Direction=H","UseDPDF=Y")</f>
        <v>1255</v>
      </c>
      <c r="S64" s="13">
        <f>_xll.BDH("GILD US Equity","ARDR_WEIGHTED_AVG_SHARES_BASIC","FQ4 2022","FQ4 2022","Currency=USD","Period=FQ","BEST_FPERIOD_OVERRIDE=FQ","FILING_STATUS=MR","Sort=A","Dates=H","DateFormat=P","Fill=—","Direction=H","UseDPDF=Y")</f>
        <v>1252</v>
      </c>
      <c r="T64" s="13">
        <f>_xll.BDH("GILD US Equity","ARDR_WEIGHTED_AVG_SHARES_BASIC","FQ1 2023","FQ1 2023","Currency=USD","Period=FQ","BEST_FPERIOD_OVERRIDE=FQ","FILING_STATUS=MR","Sort=A","Dates=H","DateFormat=P","Fill=—","Direction=H","UseDPDF=Y")</f>
        <v>1248</v>
      </c>
      <c r="U64" s="13">
        <f>_xll.BDH("GILD US Equity","ARDR_WEIGHTED_AVG_SHARES_BASIC","FQ2 2023","FQ2 2023","Currency=USD","Period=FQ","BEST_FPERIOD_OVERRIDE=FQ","FILING_STATUS=MR","Sort=A","Dates=H","DateFormat=P","Fill=—","Direction=H","UseDPDF=Y")</f>
        <v>1249</v>
      </c>
      <c r="V64" s="13">
        <f>_xll.BDH("GILD US Equity","ARDR_WEIGHTED_AVG_SHARES_BASIC","FQ3 2023","FQ3 2023","Currency=USD","Period=FQ","BEST_FPERIOD_OVERRIDE=FQ","FILING_STATUS=MR","Sort=A","Dates=H","DateFormat=P","Fill=—","Direction=H","UseDPDF=Y")</f>
        <v>1248</v>
      </c>
      <c r="W64" s="13">
        <f>_xll.BDH("GILD US Equity","ARDR_WEIGHTED_AVG_SHARES_BASIC","FQ4 2023","FQ4 2023","Currency=USD","Period=FQ","BEST_FPERIOD_OVERRIDE=FQ","FILING_STATUS=MR","Sort=A","Dates=H","DateFormat=P","Fill=—","Direction=H","UseDPDF=Y")</f>
        <v>1248</v>
      </c>
      <c r="X64" s="13">
        <f>_xll.BDH("GILD US Equity","ARDR_WEIGHTED_AVG_SHARES_BASIC","FQ1 2024","FQ1 2024","Currency=USD","Period=FQ","BEST_FPERIOD_OVERRIDE=FQ","FILING_STATUS=MR","Sort=A","Dates=H","DateFormat=P","Fill=—","Direction=H","UseDPDF=Y")</f>
        <v>1247</v>
      </c>
      <c r="Y64" s="13">
        <f>_xll.BDH("GILD US Equity","ARDR_WEIGHTED_AVG_SHARES_BASIC","FQ2 2024","FQ2 2024","Currency=USD","Period=FQ","BEST_FPERIOD_OVERRIDE=FQ","FILING_STATUS=MR","Sort=A","Dates=H","DateFormat=P","Fill=—","Direction=H","UseDPDF=Y")</f>
        <v>1247</v>
      </c>
      <c r="Z64" s="13">
        <f>_xll.BDH("GILD US Equity","ARDR_WEIGHTED_AVG_SHARES_BASIC","FQ3 2024","FQ3 2024","Currency=USD","Period=FQ","BEST_FPERIOD_OVERRIDE=FQ","FILING_STATUS=MR","Sort=A","Dates=H","DateFormat=P","Fill=—","Direction=H","UseDPDF=Y")</f>
        <v>1247</v>
      </c>
      <c r="AA64" s="13">
        <f>_xll.BDH("GILD US Equity","ARDR_WEIGHTED_AVG_SHARES_BASIC","FQ4 2024","FQ4 2024","Currency=USD","Period=FQ","BEST_FPERIOD_OVERRIDE=FQ","FILING_STATUS=MR","Sort=A","Dates=H","DateFormat=P","Fill=—","Direction=H","UseDPDF=Y")</f>
        <v>1248</v>
      </c>
    </row>
    <row r="65" spans="1:27" x14ac:dyDescent="0.25">
      <c r="A65" s="10" t="s">
        <v>460</v>
      </c>
      <c r="B65" s="10" t="s">
        <v>514</v>
      </c>
      <c r="C65" s="14">
        <f>_xll.BDH("GILD US Equity","ARDR_DILUTED_EPS","FQ4 2018","FQ4 2018","Currency=USD","Period=FQ","BEST_FPERIOD_OVERRIDE=FQ","FILING_STATUS=MR","Sort=A","Dates=H","DateFormat=P","Fill=—","Direction=H","UseDPDF=Y")</f>
        <v>0</v>
      </c>
      <c r="D65" s="14">
        <f>_xll.BDH("GILD US Equity","ARDR_DILUTED_EPS","FQ1 2019","FQ1 2019","Currency=USD","Period=FQ","BEST_FPERIOD_OVERRIDE=FQ","FILING_STATUS=MR","Sort=A","Dates=H","DateFormat=P","Fill=—","Direction=H","UseDPDF=Y")</f>
        <v>1.54</v>
      </c>
      <c r="E65" s="14">
        <f>_xll.BDH("GILD US Equity","ARDR_DILUTED_EPS","FQ2 2019","FQ2 2019","Currency=USD","Period=FQ","BEST_FPERIOD_OVERRIDE=FQ","FILING_STATUS=MR","Sort=A","Dates=H","DateFormat=P","Fill=—","Direction=H","UseDPDF=Y")</f>
        <v>1.47</v>
      </c>
      <c r="F65" s="14">
        <f>_xll.BDH("GILD US Equity","ARDR_DILUTED_EPS","FQ3 2019","FQ3 2019","Currency=USD","Period=FQ","BEST_FPERIOD_OVERRIDE=FQ","FILING_STATUS=MR","Sort=A","Dates=H","DateFormat=P","Fill=—","Direction=H","UseDPDF=Y")</f>
        <v>-0.92</v>
      </c>
      <c r="G65" s="14">
        <f>_xll.BDH("GILD US Equity","ARDR_DILUTED_EPS","FQ4 2019","FQ4 2019","Currency=USD","Period=FQ","BEST_FPERIOD_OVERRIDE=FQ","FILING_STATUS=MR","Sort=A","Dates=H","DateFormat=P","Fill=—","Direction=H","UseDPDF=Y")</f>
        <v>2.12</v>
      </c>
      <c r="H65" s="14">
        <f>_xll.BDH("GILD US Equity","ARDR_DILUTED_EPS","FQ1 2020","FQ1 2020","Currency=USD","Period=FQ","BEST_FPERIOD_OVERRIDE=FQ","FILING_STATUS=MR","Sort=A","Dates=H","DateFormat=P","Fill=—","Direction=H","UseDPDF=Y")</f>
        <v>1.22</v>
      </c>
      <c r="I65" s="14">
        <f>_xll.BDH("GILD US Equity","ARDR_DILUTED_EPS","FQ2 2020","FQ2 2020","Currency=USD","Period=FQ","BEST_FPERIOD_OVERRIDE=FQ","FILING_STATUS=MR","Sort=A","Dates=H","DateFormat=P","Fill=—","Direction=H","UseDPDF=Y")</f>
        <v>-2.66</v>
      </c>
      <c r="J65" s="14">
        <f>_xll.BDH("GILD US Equity","ARDR_DILUTED_EPS","FQ3 2020","FQ3 2020","Currency=USD","Period=FQ","BEST_FPERIOD_OVERRIDE=FQ","FILING_STATUS=MR","Sort=A","Dates=H","DateFormat=P","Fill=—","Direction=H","UseDPDF=Y")</f>
        <v>0.28999999999999998</v>
      </c>
      <c r="K65" s="14">
        <f>_xll.BDH("GILD US Equity","ARDR_DILUTED_EPS","FQ4 2020","FQ4 2020","Currency=USD","Period=FQ","BEST_FPERIOD_OVERRIDE=FQ","FILING_STATUS=MR","Sort=A","Dates=H","DateFormat=P","Fill=—","Direction=H","UseDPDF=Y")</f>
        <v>1.23</v>
      </c>
      <c r="L65" s="14">
        <f>_xll.BDH("GILD US Equity","ARDR_DILUTED_EPS","FQ1 2021","FQ1 2021","Currency=USD","Period=FQ","BEST_FPERIOD_OVERRIDE=FQ","FILING_STATUS=MR","Sort=A","Dates=H","DateFormat=P","Fill=—","Direction=H","UseDPDF=Y")</f>
        <v>1.37</v>
      </c>
      <c r="M65" s="14">
        <f>_xll.BDH("GILD US Equity","ARDR_DILUTED_EPS","FQ2 2021","FQ2 2021","Currency=USD","Period=FQ","BEST_FPERIOD_OVERRIDE=FQ","FILING_STATUS=MR","Sort=A","Dates=H","DateFormat=P","Fill=—","Direction=H","UseDPDF=Y")</f>
        <v>1.21</v>
      </c>
      <c r="N65" s="14">
        <f>_xll.BDH("GILD US Equity","ARDR_DILUTED_EPS","FQ3 2021","FQ3 2021","Currency=USD","Period=FQ","BEST_FPERIOD_OVERRIDE=FQ","FILING_STATUS=MR","Sort=A","Dates=H","DateFormat=P","Fill=—","Direction=H","UseDPDF=Y")</f>
        <v>2.0499999999999998</v>
      </c>
      <c r="O65" s="14">
        <f>_xll.BDH("GILD US Equity","ARDR_DILUTED_EPS","FQ4 2021","FQ4 2021","Currency=USD","Period=FQ","BEST_FPERIOD_OVERRIDE=FQ","FILING_STATUS=MR","Sort=A","Dates=H","DateFormat=P","Fill=—","Direction=H","UseDPDF=Y")</f>
        <v>0.3</v>
      </c>
      <c r="P65" s="14">
        <f>_xll.BDH("GILD US Equity","ARDR_DILUTED_EPS","FQ1 2022","FQ1 2022","Currency=USD","Period=FQ","BEST_FPERIOD_OVERRIDE=FQ","FILING_STATUS=MR","Sort=A","Dates=H","DateFormat=P","Fill=—","Direction=H","UseDPDF=Y")</f>
        <v>0.02</v>
      </c>
      <c r="Q65" s="14">
        <f>_xll.BDH("GILD US Equity","ARDR_DILUTED_EPS","FQ2 2022","FQ2 2022","Currency=USD","Period=FQ","BEST_FPERIOD_OVERRIDE=FQ","FILING_STATUS=MR","Sort=A","Dates=H","DateFormat=P","Fill=—","Direction=H","UseDPDF=Y")</f>
        <v>0.91</v>
      </c>
      <c r="R65" s="14">
        <f>_xll.BDH("GILD US Equity","ARDR_DILUTED_EPS","FQ3 2022","FQ3 2022","Currency=USD","Period=FQ","BEST_FPERIOD_OVERRIDE=FQ","FILING_STATUS=MR","Sort=A","Dates=H","DateFormat=P","Fill=—","Direction=H","UseDPDF=Y")</f>
        <v>1.42</v>
      </c>
      <c r="S65" s="14">
        <f>_xll.BDH("GILD US Equity","ARDR_DILUTED_EPS","FQ4 2022","FQ4 2022","Currency=USD","Period=FQ","BEST_FPERIOD_OVERRIDE=FQ","FILING_STATUS=MR","Sort=A","Dates=H","DateFormat=P","Fill=—","Direction=H","UseDPDF=Y")</f>
        <v>1.3</v>
      </c>
      <c r="T65" s="14">
        <f>_xll.BDH("GILD US Equity","ARDR_DILUTED_EPS","FQ1 2023","FQ1 2023","Currency=USD","Period=FQ","BEST_FPERIOD_OVERRIDE=FQ","FILING_STATUS=MR","Sort=A","Dates=H","DateFormat=P","Fill=—","Direction=H","UseDPDF=Y")</f>
        <v>0.8</v>
      </c>
      <c r="U65" s="14">
        <f>_xll.BDH("GILD US Equity","ARDR_DILUTED_EPS","FQ2 2023","FQ2 2023","Currency=USD","Period=FQ","BEST_FPERIOD_OVERRIDE=FQ","FILING_STATUS=MR","Sort=A","Dates=H","DateFormat=P","Fill=—","Direction=H","UseDPDF=Y")</f>
        <v>0.83</v>
      </c>
      <c r="V65" s="14">
        <f>_xll.BDH("GILD US Equity","ARDR_DILUTED_EPS","FQ3 2023","FQ3 2023","Currency=USD","Period=FQ","BEST_FPERIOD_OVERRIDE=FQ","FILING_STATUS=MR","Sort=A","Dates=H","DateFormat=P","Fill=—","Direction=H","UseDPDF=Y")</f>
        <v>1.73</v>
      </c>
      <c r="W65" s="14">
        <f>_xll.BDH("GILD US Equity","ARDR_DILUTED_EPS","FQ4 2023","FQ4 2023","Currency=USD","Period=FQ","BEST_FPERIOD_OVERRIDE=FQ","FILING_STATUS=MR","Sort=A","Dates=H","DateFormat=P","Fill=—","Direction=H","UseDPDF=Y")</f>
        <v>1.1399999999999999</v>
      </c>
      <c r="X65" s="14">
        <f>_xll.BDH("GILD US Equity","ARDR_DILUTED_EPS","FQ1 2024","FQ1 2024","Currency=USD","Period=FQ","BEST_FPERIOD_OVERRIDE=FQ","FILING_STATUS=MR","Sort=A","Dates=H","DateFormat=P","Fill=—","Direction=H","UseDPDF=Y")</f>
        <v>-3.34</v>
      </c>
      <c r="Y65" s="14">
        <f>_xll.BDH("GILD US Equity","ARDR_DILUTED_EPS","FQ2 2024","FQ2 2024","Currency=USD","Period=FQ","BEST_FPERIOD_OVERRIDE=FQ","FILING_STATUS=MR","Sort=A","Dates=H","DateFormat=P","Fill=—","Direction=H","UseDPDF=Y")</f>
        <v>1.29</v>
      </c>
      <c r="Z65" s="14">
        <f>_xll.BDH("GILD US Equity","ARDR_DILUTED_EPS","FQ3 2024","FQ3 2024","Currency=USD","Period=FQ","BEST_FPERIOD_OVERRIDE=FQ","FILING_STATUS=MR","Sort=A","Dates=H","DateFormat=P","Fill=—","Direction=H","UseDPDF=Y")</f>
        <v>1</v>
      </c>
      <c r="AA65" s="14">
        <f>_xll.BDH("GILD US Equity","ARDR_DILUTED_EPS","FQ4 2024","FQ4 2024","Currency=USD","Period=FQ","BEST_FPERIOD_OVERRIDE=FQ","FILING_STATUS=MR","Sort=A","Dates=H","DateFormat=P","Fill=—","Direction=H","UseDPDF=Y")</f>
        <v>1.42</v>
      </c>
    </row>
    <row r="66" spans="1:27" x14ac:dyDescent="0.25">
      <c r="A66" s="10" t="s">
        <v>462</v>
      </c>
      <c r="B66" s="10" t="s">
        <v>515</v>
      </c>
      <c r="C66" s="13">
        <f>_xll.BDH("GILD US Equity","ARDR_WEIGHTED_AVG_SHARE_DILUTED","FQ4 2018","FQ4 2018","Currency=USD","Period=FQ","BEST_FPERIOD_OVERRIDE=FQ","FILING_STATUS=MR","Sort=A","Dates=H","DateFormat=P","Fill=—","Direction=H","UseDPDF=Y")</f>
        <v>1299</v>
      </c>
      <c r="D66" s="13">
        <f>_xll.BDH("GILD US Equity","ARDR_WEIGHTED_AVG_SHARE_DILUTED","FQ1 2019","FQ1 2019","Currency=USD","Period=FQ","BEST_FPERIOD_OVERRIDE=FQ","FILING_STATUS=MR","Sort=A","Dates=H","DateFormat=P","Fill=—","Direction=H","UseDPDF=Y")</f>
        <v>1283</v>
      </c>
      <c r="E66" s="13">
        <f>_xll.BDH("GILD US Equity","ARDR_WEIGHTED_AVG_SHARE_DILUTED","FQ2 2019","FQ2 2019","Currency=USD","Period=FQ","BEST_FPERIOD_OVERRIDE=FQ","FILING_STATUS=MR","Sort=A","Dates=H","DateFormat=P","Fill=—","Direction=H","UseDPDF=Y")</f>
        <v>1277</v>
      </c>
      <c r="F66" s="13">
        <f>_xll.BDH("GILD US Equity","ARDR_WEIGHTED_AVG_SHARE_DILUTED","FQ3 2019","FQ3 2019","Currency=USD","Period=FQ","BEST_FPERIOD_OVERRIDE=FQ","FILING_STATUS=MR","Sort=A","Dates=H","DateFormat=P","Fill=—","Direction=H","UseDPDF=Y")</f>
        <v>1267</v>
      </c>
      <c r="G66" s="13" t="str">
        <f>_xll.BDH("GILD US Equity","ARDR_WEIGHTED_AVG_SHARE_DILUTED","FQ4 2019","FQ4 2019","Currency=USD","Period=FQ","BEST_FPERIOD_OVERRIDE=FQ","FILING_STATUS=MR","Sort=A","Dates=H","DateFormat=P","Fill=—","Direction=H","UseDPDF=Y")</f>
        <v>—</v>
      </c>
      <c r="H66" s="13">
        <f>_xll.BDH("GILD US Equity","ARDR_WEIGHTED_AVG_SHARE_DILUTED","FQ1 2020","FQ1 2020","Currency=USD","Period=FQ","BEST_FPERIOD_OVERRIDE=FQ","FILING_STATUS=MR","Sort=A","Dates=H","DateFormat=P","Fill=—","Direction=H","UseDPDF=Y")</f>
        <v>1270</v>
      </c>
      <c r="I66" s="13">
        <f>_xll.BDH("GILD US Equity","ARDR_WEIGHTED_AVG_SHARE_DILUTED","FQ2 2020","FQ2 2020","Currency=USD","Period=FQ","BEST_FPERIOD_OVERRIDE=FQ","FILING_STATUS=MR","Sort=A","Dates=H","DateFormat=P","Fill=—","Direction=H","UseDPDF=Y")</f>
        <v>1255</v>
      </c>
      <c r="J66" s="13">
        <f>_xll.BDH("GILD US Equity","ARDR_WEIGHTED_AVG_SHARE_DILUTED","FQ3 2020","FQ3 2020","Currency=USD","Period=FQ","BEST_FPERIOD_OVERRIDE=FQ","FILING_STATUS=MR","Sort=A","Dates=H","DateFormat=P","Fill=—","Direction=H","UseDPDF=Y")</f>
        <v>1261</v>
      </c>
      <c r="K66" s="13">
        <f>_xll.BDH("GILD US Equity","ARDR_WEIGHTED_AVG_SHARE_DILUTED","FQ4 2020","FQ4 2020","Currency=USD","Period=FQ","BEST_FPERIOD_OVERRIDE=FQ","FILING_STATUS=MR","Sort=A","Dates=H","DateFormat=P","Fill=—","Direction=H","UseDPDF=Y")</f>
        <v>1259</v>
      </c>
      <c r="L66" s="13">
        <f>_xll.BDH("GILD US Equity","ARDR_WEIGHTED_AVG_SHARE_DILUTED","FQ1 2021","FQ1 2021","Currency=USD","Period=FQ","BEST_FPERIOD_OVERRIDE=FQ","FILING_STATUS=MR","Sort=A","Dates=H","DateFormat=P","Fill=—","Direction=H","UseDPDF=Y")</f>
        <v>1262</v>
      </c>
      <c r="M66" s="13">
        <f>_xll.BDH("GILD US Equity","ARDR_WEIGHTED_AVG_SHARE_DILUTED","FQ2 2021","FQ2 2021","Currency=USD","Period=FQ","BEST_FPERIOD_OVERRIDE=FQ","FILING_STATUS=MR","Sort=A","Dates=H","DateFormat=P","Fill=—","Direction=H","UseDPDF=Y")</f>
        <v>1260</v>
      </c>
      <c r="N66" s="13">
        <f>_xll.BDH("GILD US Equity","ARDR_WEIGHTED_AVG_SHARE_DILUTED","FQ3 2021","FQ3 2021","Currency=USD","Period=FQ","BEST_FPERIOD_OVERRIDE=FQ","FILING_STATUS=MR","Sort=A","Dates=H","DateFormat=P","Fill=—","Direction=H","UseDPDF=Y")</f>
        <v>1262</v>
      </c>
      <c r="O66" s="13">
        <f>_xll.BDH("GILD US Equity","ARDR_WEIGHTED_AVG_SHARE_DILUTED","FQ4 2021","FQ4 2021","Currency=USD","Period=FQ","BEST_FPERIOD_OVERRIDE=FQ","FILING_STATUS=MR","Sort=A","Dates=H","DateFormat=P","Fill=—","Direction=H","UseDPDF=Y")</f>
        <v>1262</v>
      </c>
      <c r="P66" s="13">
        <f>_xll.BDH("GILD US Equity","ARDR_WEIGHTED_AVG_SHARE_DILUTED","FQ1 2022","FQ1 2022","Currency=USD","Period=FQ","BEST_FPERIOD_OVERRIDE=FQ","FILING_STATUS=MR","Sort=A","Dates=H","DateFormat=P","Fill=—","Direction=H","UseDPDF=Y")</f>
        <v>1262</v>
      </c>
      <c r="Q66" s="13">
        <f>_xll.BDH("GILD US Equity","ARDR_WEIGHTED_AVG_SHARE_DILUTED","FQ2 2022","FQ2 2022","Currency=USD","Period=FQ","BEST_FPERIOD_OVERRIDE=FQ","FILING_STATUS=MR","Sort=A","Dates=H","DateFormat=P","Fill=—","Direction=H","UseDPDF=Y")</f>
        <v>1260</v>
      </c>
      <c r="R66" s="13">
        <f>_xll.BDH("GILD US Equity","ARDR_WEIGHTED_AVG_SHARE_DILUTED","FQ3 2022","FQ3 2022","Currency=USD","Period=FQ","BEST_FPERIOD_OVERRIDE=FQ","FILING_STATUS=MR","Sort=A","Dates=H","DateFormat=P","Fill=—","Direction=H","UseDPDF=Y")</f>
        <v>1261</v>
      </c>
      <c r="S66" s="13">
        <f>_xll.BDH("GILD US Equity","ARDR_WEIGHTED_AVG_SHARE_DILUTED","FQ4 2022","FQ4 2022","Currency=USD","Period=FQ","BEST_FPERIOD_OVERRIDE=FQ","FILING_STATUS=MR","Sort=A","Dates=H","DateFormat=P","Fill=—","Direction=H","UseDPDF=Y")</f>
        <v>1264</v>
      </c>
      <c r="T66" s="13">
        <f>_xll.BDH("GILD US Equity","ARDR_WEIGHTED_AVG_SHARE_DILUTED","FQ1 2023","FQ1 2023","Currency=USD","Period=FQ","BEST_FPERIOD_OVERRIDE=FQ","FILING_STATUS=MR","Sort=A","Dates=H","DateFormat=P","Fill=—","Direction=H","UseDPDF=Y")</f>
        <v>1261</v>
      </c>
      <c r="U66" s="13">
        <f>_xll.BDH("GILD US Equity","ARDR_WEIGHTED_AVG_SHARE_DILUTED","FQ2 2023","FQ2 2023","Currency=USD","Period=FQ","BEST_FPERIOD_OVERRIDE=FQ","FILING_STATUS=MR","Sort=A","Dates=H","DateFormat=P","Fill=—","Direction=H","UseDPDF=Y")</f>
        <v>1258</v>
      </c>
      <c r="V66" s="13">
        <f>_xll.BDH("GILD US Equity","ARDR_WEIGHTED_AVG_SHARE_DILUTED","FQ3 2023","FQ3 2023","Currency=USD","Period=FQ","BEST_FPERIOD_OVERRIDE=FQ","FILING_STATUS=MR","Sort=A","Dates=H","DateFormat=P","Fill=—","Direction=H","UseDPDF=Y")</f>
        <v>1257</v>
      </c>
      <c r="W66" s="13">
        <f>_xll.BDH("GILD US Equity","ARDR_WEIGHTED_AVG_SHARE_DILUTED","FQ4 2023","FQ4 2023","Currency=USD","Period=FQ","BEST_FPERIOD_OVERRIDE=FQ","FILING_STATUS=MR","Sort=A","Dates=H","DateFormat=P","Fill=—","Direction=H","UseDPDF=Y")</f>
        <v>1256</v>
      </c>
      <c r="X66" s="13">
        <f>_xll.BDH("GILD US Equity","ARDR_WEIGHTED_AVG_SHARE_DILUTED","FQ1 2024","FQ1 2024","Currency=USD","Period=FQ","BEST_FPERIOD_OVERRIDE=FQ","FILING_STATUS=MR","Sort=A","Dates=H","DateFormat=P","Fill=—","Direction=H","UseDPDF=Y")</f>
        <v>1247</v>
      </c>
      <c r="Y66" s="13">
        <f>_xll.BDH("GILD US Equity","ARDR_WEIGHTED_AVG_SHARE_DILUTED","FQ2 2024","FQ2 2024","Currency=USD","Period=FQ","BEST_FPERIOD_OVERRIDE=FQ","FILING_STATUS=MR","Sort=A","Dates=H","DateFormat=P","Fill=—","Direction=H","UseDPDF=Y")</f>
        <v>1251</v>
      </c>
      <c r="Z66" s="13">
        <f>_xll.BDH("GILD US Equity","ARDR_WEIGHTED_AVG_SHARE_DILUTED","FQ3 2024","FQ3 2024","Currency=USD","Period=FQ","BEST_FPERIOD_OVERRIDE=FQ","FILING_STATUS=MR","Sort=A","Dates=H","DateFormat=P","Fill=—","Direction=H","UseDPDF=Y")</f>
        <v>1254</v>
      </c>
      <c r="AA66" s="13">
        <f>_xll.BDH("GILD US Equity","ARDR_WEIGHTED_AVG_SHARE_DILUTED","FQ4 2024","FQ4 2024","Currency=USD","Period=FQ","BEST_FPERIOD_OVERRIDE=FQ","FILING_STATUS=MR","Sort=A","Dates=H","DateFormat=P","Fill=—","Direction=H","UseDPDF=Y")</f>
        <v>1259</v>
      </c>
    </row>
    <row r="67" spans="1:27" x14ac:dyDescent="0.25">
      <c r="A67" s="10" t="s">
        <v>516</v>
      </c>
      <c r="B67" s="10" t="s">
        <v>517</v>
      </c>
      <c r="C67" s="13" t="str">
        <f>_xll.BDH("GILD US Equity","ARDR_CURRENT_RENTAL_EXP","FQ4 2018","FQ4 2018","Currency=USD","Period=FQ","BEST_FPERIOD_OVERRIDE=FQ","FILING_STATUS=MR","SCALING_FORMAT=MLN","Sort=A","Dates=H","DateFormat=P","Fill=—","Direction=H","UseDPDF=Y")</f>
        <v>—</v>
      </c>
      <c r="D67" s="13">
        <f>_xll.BDH("GILD US Equity","ARDR_CURRENT_RENTAL_EXP","FQ1 2019","FQ1 2019","Currency=USD","Period=FQ","BEST_FPERIOD_OVERRIDE=FQ","FILING_STATUS=MR","SCALING_FORMAT=MLN","Sort=A","Dates=H","DateFormat=P","Fill=—","Direction=H","UseDPDF=Y")</f>
        <v>36</v>
      </c>
      <c r="E67" s="13">
        <f>_xll.BDH("GILD US Equity","ARDR_CURRENT_RENTAL_EXP","FQ2 2019","FQ2 2019","Currency=USD","Period=FQ","BEST_FPERIOD_OVERRIDE=FQ","FILING_STATUS=MR","SCALING_FORMAT=MLN","Sort=A","Dates=H","DateFormat=P","Fill=—","Direction=H","UseDPDF=Y")</f>
        <v>38</v>
      </c>
      <c r="F67" s="13">
        <f>_xll.BDH("GILD US Equity","ARDR_CURRENT_RENTAL_EXP","FQ3 2019","FQ3 2019","Currency=USD","Period=FQ","BEST_FPERIOD_OVERRIDE=FQ","FILING_STATUS=MR","SCALING_FORMAT=MLN","Sort=A","Dates=H","DateFormat=P","Fill=—","Direction=H","UseDPDF=Y")</f>
        <v>44</v>
      </c>
      <c r="G67" s="13">
        <f>_xll.BDH("GILD US Equity","ARDR_CURRENT_RENTAL_EXP","FQ4 2019","FQ4 2019","Currency=USD","Period=FQ","BEST_FPERIOD_OVERRIDE=FQ","FILING_STATUS=MR","SCALING_FORMAT=MLN","Sort=A","Dates=H","DateFormat=P","Fill=—","Direction=H","UseDPDF=Y")</f>
        <v>44</v>
      </c>
      <c r="H67" s="13" t="str">
        <f>_xll.BDH("GILD US Equity","ARDR_CURRENT_RENTAL_EXP","FQ1 2020","FQ1 2020","Currency=USD","Period=FQ","BEST_FPERIOD_OVERRIDE=FQ","FILING_STATUS=MR","SCALING_FORMAT=MLN","Sort=A","Dates=H","DateFormat=P","Fill=—","Direction=H","UseDPDF=Y")</f>
        <v>—</v>
      </c>
      <c r="I67" s="13" t="str">
        <f>_xll.BDH("GILD US Equity","ARDR_CURRENT_RENTAL_EXP","FQ2 2020","FQ2 2020","Currency=USD","Period=FQ","BEST_FPERIOD_OVERRIDE=FQ","FILING_STATUS=MR","SCALING_FORMAT=MLN","Sort=A","Dates=H","DateFormat=P","Fill=—","Direction=H","UseDPDF=Y")</f>
        <v>—</v>
      </c>
      <c r="J67" s="13" t="str">
        <f>_xll.BDH("GILD US Equity","ARDR_CURRENT_RENTAL_EXP","FQ3 2020","FQ3 2020","Currency=USD","Period=FQ","BEST_FPERIOD_OVERRIDE=FQ","FILING_STATUS=MR","SCALING_FORMAT=MLN","Sort=A","Dates=H","DateFormat=P","Fill=—","Direction=H","UseDPDF=Y")</f>
        <v>—</v>
      </c>
      <c r="K67" s="13" t="str">
        <f>_xll.BDH("GILD US Equity","ARDR_CURRENT_RENTAL_EXP","FQ4 2020","FQ4 2020","Currency=USD","Period=FQ","BEST_FPERIOD_OVERRIDE=FQ","FILING_STATUS=MR","SCALING_FORMAT=MLN","Sort=A","Dates=H","DateFormat=P","Fill=—","Direction=H","UseDPDF=Y")</f>
        <v>—</v>
      </c>
      <c r="L67" s="13" t="str">
        <f>_xll.BDH("GILD US Equity","ARDR_CURRENT_RENTAL_EXP","FQ1 2021","FQ1 2021","Currency=USD","Period=FQ","BEST_FPERIOD_OVERRIDE=FQ","FILING_STATUS=MR","SCALING_FORMAT=MLN","Sort=A","Dates=H","DateFormat=P","Fill=—","Direction=H","UseDPDF=Y")</f>
        <v>—</v>
      </c>
      <c r="M67" s="13" t="str">
        <f>_xll.BDH("GILD US Equity","ARDR_CURRENT_RENTAL_EXP","FQ2 2021","FQ2 2021","Currency=USD","Period=FQ","BEST_FPERIOD_OVERRIDE=FQ","FILING_STATUS=MR","SCALING_FORMAT=MLN","Sort=A","Dates=H","DateFormat=P","Fill=—","Direction=H","UseDPDF=Y")</f>
        <v>—</v>
      </c>
      <c r="N67" s="13" t="str">
        <f>_xll.BDH("GILD US Equity","ARDR_CURRENT_RENTAL_EXP","FQ3 2021","FQ3 2021","Currency=USD","Period=FQ","BEST_FPERIOD_OVERRIDE=FQ","FILING_STATUS=MR","SCALING_FORMAT=MLN","Sort=A","Dates=H","DateFormat=P","Fill=—","Direction=H","UseDPDF=Y")</f>
        <v>—</v>
      </c>
      <c r="O67" s="13" t="str">
        <f>_xll.BDH("GILD US Equity","ARDR_CURRENT_RENTAL_EXP","FQ4 2021","FQ4 2021","Currency=USD","Period=FQ","BEST_FPERIOD_OVERRIDE=FQ","FILING_STATUS=MR","SCALING_FORMAT=MLN","Sort=A","Dates=H","DateFormat=P","Fill=—","Direction=H","UseDPDF=Y")</f>
        <v>—</v>
      </c>
      <c r="P67" s="13" t="str">
        <f>_xll.BDH("GILD US Equity","ARDR_CURRENT_RENTAL_EXP","FQ1 2022","FQ1 2022","Currency=USD","Period=FQ","BEST_FPERIOD_OVERRIDE=FQ","FILING_STATUS=MR","SCALING_FORMAT=MLN","Sort=A","Dates=H","DateFormat=P","Fill=—","Direction=H","UseDPDF=Y")</f>
        <v>—</v>
      </c>
      <c r="Q67" s="13" t="str">
        <f>_xll.BDH("GILD US Equity","ARDR_CURRENT_RENTAL_EXP","FQ2 2022","FQ2 2022","Currency=USD","Period=FQ","BEST_FPERIOD_OVERRIDE=FQ","FILING_STATUS=MR","SCALING_FORMAT=MLN","Sort=A","Dates=H","DateFormat=P","Fill=—","Direction=H","UseDPDF=Y")</f>
        <v>—</v>
      </c>
      <c r="R67" s="13" t="str">
        <f>_xll.BDH("GILD US Equity","ARDR_CURRENT_RENTAL_EXP","FQ3 2022","FQ3 2022","Currency=USD","Period=FQ","BEST_FPERIOD_OVERRIDE=FQ","FILING_STATUS=MR","SCALING_FORMAT=MLN","Sort=A","Dates=H","DateFormat=P","Fill=—","Direction=H","UseDPDF=Y")</f>
        <v>—</v>
      </c>
      <c r="S67" s="13" t="str">
        <f>_xll.BDH("GILD US Equity","ARDR_CURRENT_RENTAL_EXP","FQ4 2022","FQ4 2022","Currency=USD","Period=FQ","BEST_FPERIOD_OVERRIDE=FQ","FILING_STATUS=MR","SCALING_FORMAT=MLN","Sort=A","Dates=H","DateFormat=P","Fill=—","Direction=H","UseDPDF=Y")</f>
        <v>—</v>
      </c>
      <c r="T67" s="13" t="str">
        <f>_xll.BDH("GILD US Equity","ARDR_CURRENT_RENTAL_EXP","FQ1 2023","FQ1 2023","Currency=USD","Period=FQ","BEST_FPERIOD_OVERRIDE=FQ","FILING_STATUS=MR","SCALING_FORMAT=MLN","Sort=A","Dates=H","DateFormat=P","Fill=—","Direction=H","UseDPDF=Y")</f>
        <v>—</v>
      </c>
      <c r="U67" s="13" t="str">
        <f>_xll.BDH("GILD US Equity","ARDR_CURRENT_RENTAL_EXP","FQ2 2023","FQ2 2023","Currency=USD","Period=FQ","BEST_FPERIOD_OVERRIDE=FQ","FILING_STATUS=MR","SCALING_FORMAT=MLN","Sort=A","Dates=H","DateFormat=P","Fill=—","Direction=H","UseDPDF=Y")</f>
        <v>—</v>
      </c>
      <c r="V67" s="13" t="str">
        <f>_xll.BDH("GILD US Equity","ARDR_CURRENT_RENTAL_EXP","FQ3 2023","FQ3 2023","Currency=USD","Period=FQ","BEST_FPERIOD_OVERRIDE=FQ","FILING_STATUS=MR","SCALING_FORMAT=MLN","Sort=A","Dates=H","DateFormat=P","Fill=—","Direction=H","UseDPDF=Y")</f>
        <v>—</v>
      </c>
      <c r="W67" s="13" t="str">
        <f>_xll.BDH("GILD US Equity","ARDR_CURRENT_RENTAL_EXP","FQ4 2023","FQ4 2023","Currency=USD","Period=FQ","BEST_FPERIOD_OVERRIDE=FQ","FILING_STATUS=MR","SCALING_FORMAT=MLN","Sort=A","Dates=H","DateFormat=P","Fill=—","Direction=H","UseDPDF=Y")</f>
        <v>—</v>
      </c>
      <c r="X67" s="13" t="str">
        <f>_xll.BDH("GILD US Equity","ARDR_CURRENT_RENTAL_EXP","FQ1 2024","FQ1 2024","Currency=USD","Period=FQ","BEST_FPERIOD_OVERRIDE=FQ","FILING_STATUS=MR","SCALING_FORMAT=MLN","Sort=A","Dates=H","DateFormat=P","Fill=—","Direction=H","UseDPDF=Y")</f>
        <v>—</v>
      </c>
      <c r="Y67" s="13" t="str">
        <f>_xll.BDH("GILD US Equity","ARDR_CURRENT_RENTAL_EXP","FQ2 2024","FQ2 2024","Currency=USD","Period=FQ","BEST_FPERIOD_OVERRIDE=FQ","FILING_STATUS=MR","SCALING_FORMAT=MLN","Sort=A","Dates=H","DateFormat=P","Fill=—","Direction=H","UseDPDF=Y")</f>
        <v>—</v>
      </c>
      <c r="Z67" s="13" t="str">
        <f>_xll.BDH("GILD US Equity","ARDR_CURRENT_RENTAL_EXP","FQ3 2024","FQ3 2024","Currency=USD","Period=FQ","BEST_FPERIOD_OVERRIDE=FQ","FILING_STATUS=MR","SCALING_FORMAT=MLN","Sort=A","Dates=H","DateFormat=P","Fill=—","Direction=H","UseDPDF=Y")</f>
        <v>—</v>
      </c>
      <c r="AA67" s="13" t="str">
        <f>_xll.BDH("GILD US Equity","ARDR_CURRENT_RENTAL_EXP","FQ4 2024","FQ4 2024","Currency=USD","Period=FQ","BEST_FPERIOD_OVERRIDE=FQ","FILING_STATUS=MR","SCALING_FORMAT=MLN","Sort=A","Dates=H","DateFormat=P","Fill=—","Direction=H","UseDPDF=Y")</f>
        <v>—</v>
      </c>
    </row>
    <row r="68" spans="1:27" x14ac:dyDescent="0.25">
      <c r="A68" s="10" t="s">
        <v>518</v>
      </c>
      <c r="B68" s="10" t="s">
        <v>519</v>
      </c>
      <c r="C68" s="13">
        <f>_xll.BDH("GILD US Equity","ARDR_STK_BASED_COMPENSATION_EXP","FQ4 2018","FQ4 2018","Currency=USD","Period=FQ","BEST_FPERIOD_OVERRIDE=FQ","FILING_STATUS=MR","SCALING_FORMAT=MLN","Sort=A","Dates=H","DateFormat=P","Fill=—","Direction=H","UseDPDF=Y")</f>
        <v>175</v>
      </c>
      <c r="D68" s="13">
        <f>_xll.BDH("GILD US Equity","ARDR_STK_BASED_COMPENSATION_EXP","FQ1 2019","FQ1 2019","Currency=USD","Period=FQ","BEST_FPERIOD_OVERRIDE=FQ","FILING_STATUS=MR","SCALING_FORMAT=MLN","Sort=A","Dates=H","DateFormat=P","Fill=—","Direction=H","UseDPDF=Y")</f>
        <v>143</v>
      </c>
      <c r="E68" s="13">
        <f>_xll.BDH("GILD US Equity","ARDR_STK_BASED_COMPENSATION_EXP","FQ2 2019","FQ2 2019","Currency=USD","Period=FQ","BEST_FPERIOD_OVERRIDE=FQ","FILING_STATUS=MR","SCALING_FORMAT=MLN","Sort=A","Dates=H","DateFormat=P","Fill=—","Direction=H","UseDPDF=Y")</f>
        <v>174</v>
      </c>
      <c r="F68" s="13">
        <f>_xll.BDH("GILD US Equity","ARDR_STK_BASED_COMPENSATION_EXP","FQ3 2019","FQ3 2019","Currency=USD","Period=FQ","BEST_FPERIOD_OVERRIDE=FQ","FILING_STATUS=MR","SCALING_FORMAT=MLN","Sort=A","Dates=H","DateFormat=P","Fill=—","Direction=H","UseDPDF=Y")</f>
        <v>162</v>
      </c>
      <c r="G68" s="13">
        <f>_xll.BDH("GILD US Equity","ARDR_STK_BASED_COMPENSATION_EXP","FQ4 2019","FQ4 2019","Currency=USD","Period=FQ","BEST_FPERIOD_OVERRIDE=FQ","FILING_STATUS=MR","SCALING_FORMAT=MLN","Sort=A","Dates=H","DateFormat=P","Fill=—","Direction=H","UseDPDF=Y")</f>
        <v>157</v>
      </c>
      <c r="H68" s="13">
        <f>_xll.BDH("GILD US Equity","ARDR_STK_BASED_COMPENSATION_EXP","FQ1 2020","FQ1 2020","Currency=USD","Period=FQ","BEST_FPERIOD_OVERRIDE=FQ","FILING_STATUS=MR","SCALING_FORMAT=MLN","Sort=A","Dates=H","DateFormat=P","Fill=—","Direction=H","UseDPDF=Y")</f>
        <v>141</v>
      </c>
      <c r="I68" s="13">
        <f>_xll.BDH("GILD US Equity","ARDR_STK_BASED_COMPENSATION_EXP","FQ2 2020","FQ2 2020","Currency=USD","Period=FQ","BEST_FPERIOD_OVERRIDE=FQ","FILING_STATUS=MR","SCALING_FORMAT=MLN","Sort=A","Dates=H","DateFormat=P","Fill=—","Direction=H","UseDPDF=Y")</f>
        <v>168</v>
      </c>
      <c r="J68" s="13">
        <f>_xll.BDH("GILD US Equity","ARDR_STK_BASED_COMPENSATION_EXP","FQ3 2020","FQ3 2020","Currency=USD","Period=FQ","BEST_FPERIOD_OVERRIDE=FQ","FILING_STATUS=MR","SCALING_FORMAT=MLN","Sort=A","Dates=H","DateFormat=P","Fill=—","Direction=H","UseDPDF=Y")</f>
        <v>173</v>
      </c>
      <c r="K68" s="13">
        <f>_xll.BDH("GILD US Equity","ARDR_STK_BASED_COMPENSATION_EXP","FQ4 2020","FQ4 2020","Currency=USD","Period=FQ","BEST_FPERIOD_OVERRIDE=FQ","FILING_STATUS=MR","SCALING_FORMAT=MLN","Sort=A","Dates=H","DateFormat=P","Fill=—","Direction=H","UseDPDF=Y")</f>
        <v>226</v>
      </c>
      <c r="L68" s="13">
        <f>_xll.BDH("GILD US Equity","ARDR_STK_BASED_COMPENSATION_EXP","FQ1 2021","FQ1 2021","Currency=USD","Period=FQ","BEST_FPERIOD_OVERRIDE=FQ","FILING_STATUS=MR","SCALING_FORMAT=MLN","Sort=A","Dates=H","DateFormat=P","Fill=—","Direction=H","UseDPDF=Y")</f>
        <v>139</v>
      </c>
      <c r="M68" s="13">
        <f>_xll.BDH("GILD US Equity","ARDR_STK_BASED_COMPENSATION_EXP","FQ2 2021","FQ2 2021","Currency=USD","Period=FQ","BEST_FPERIOD_OVERRIDE=FQ","FILING_STATUS=MR","SCALING_FORMAT=MLN","Sort=A","Dates=H","DateFormat=P","Fill=—","Direction=H","UseDPDF=Y")</f>
        <v>166</v>
      </c>
      <c r="N68" s="13">
        <f>_xll.BDH("GILD US Equity","ARDR_STK_BASED_COMPENSATION_EXP","FQ3 2021","FQ3 2021","Currency=USD","Period=FQ","BEST_FPERIOD_OVERRIDE=FQ","FILING_STATUS=MR","SCALING_FORMAT=MLN","Sort=A","Dates=H","DateFormat=P","Fill=—","Direction=H","UseDPDF=Y")</f>
        <v>171</v>
      </c>
      <c r="O68" s="13">
        <f>_xll.BDH("GILD US Equity","ARDR_STK_BASED_COMPENSATION_EXP","FQ4 2021","FQ4 2021","Currency=USD","Period=FQ","BEST_FPERIOD_OVERRIDE=FQ","FILING_STATUS=MR","SCALING_FORMAT=MLN","Sort=A","Dates=H","DateFormat=P","Fill=—","Direction=H","UseDPDF=Y")</f>
        <v>159</v>
      </c>
      <c r="P68" s="13">
        <f>_xll.BDH("GILD US Equity","ARDR_STK_BASED_COMPENSATION_EXP","FQ1 2022","FQ1 2022","Currency=USD","Period=FQ","BEST_FPERIOD_OVERRIDE=FQ","FILING_STATUS=MR","SCALING_FORMAT=MLN","Sort=A","Dates=H","DateFormat=P","Fill=—","Direction=H","UseDPDF=Y")</f>
        <v>130</v>
      </c>
      <c r="Q68" s="13">
        <f>_xll.BDH("GILD US Equity","ARDR_STK_BASED_COMPENSATION_EXP","FQ2 2022","FQ2 2022","Currency=USD","Period=FQ","BEST_FPERIOD_OVERRIDE=FQ","FILING_STATUS=MR","SCALING_FORMAT=MLN","Sort=A","Dates=H","DateFormat=P","Fill=—","Direction=H","UseDPDF=Y")</f>
        <v>165</v>
      </c>
      <c r="R68" s="13">
        <f>_xll.BDH("GILD US Equity","ARDR_STK_BASED_COMPENSATION_EXP","FQ3 2022","FQ3 2022","Currency=USD","Period=FQ","BEST_FPERIOD_OVERRIDE=FQ","FILING_STATUS=MR","SCALING_FORMAT=MLN","Sort=A","Dates=H","DateFormat=P","Fill=—","Direction=H","UseDPDF=Y")</f>
        <v>168</v>
      </c>
      <c r="S68" s="13">
        <f>_xll.BDH("GILD US Equity","ARDR_STK_BASED_COMPENSATION_EXP","FQ4 2022","FQ4 2022","Currency=USD","Period=FQ","BEST_FPERIOD_OVERRIDE=FQ","FILING_STATUS=MR","SCALING_FORMAT=MLN","Sort=A","Dates=H","DateFormat=P","Fill=—","Direction=H","UseDPDF=Y")</f>
        <v>182</v>
      </c>
      <c r="T68" s="13">
        <f>_xll.BDH("GILD US Equity","ARDR_STK_BASED_COMPENSATION_EXP","FQ1 2023","FQ1 2023","Currency=USD","Period=FQ","BEST_FPERIOD_OVERRIDE=FQ","FILING_STATUS=MR","SCALING_FORMAT=MLN","Sort=A","Dates=H","DateFormat=P","Fill=—","Direction=H","UseDPDF=Y")</f>
        <v>165</v>
      </c>
      <c r="U68" s="13">
        <f>_xll.BDH("GILD US Equity","ARDR_STK_BASED_COMPENSATION_EXP","FQ2 2023","FQ2 2023","Currency=USD","Period=FQ","BEST_FPERIOD_OVERRIDE=FQ","FILING_STATUS=MR","SCALING_FORMAT=MLN","Sort=A","Dates=H","DateFormat=P","Fill=—","Direction=H","UseDPDF=Y")</f>
        <v>198</v>
      </c>
      <c r="V68" s="13">
        <f>_xll.BDH("GILD US Equity","ARDR_STK_BASED_COMPENSATION_EXP","FQ3 2023","FQ3 2023","Currency=USD","Period=FQ","BEST_FPERIOD_OVERRIDE=FQ","FILING_STATUS=MR","SCALING_FORMAT=MLN","Sort=A","Dates=H","DateFormat=P","Fill=—","Direction=H","UseDPDF=Y")</f>
        <v>202</v>
      </c>
      <c r="W68" s="13">
        <f>_xll.BDH("GILD US Equity","ARDR_STK_BASED_COMPENSATION_EXP","FQ4 2023","FQ4 2023","Currency=USD","Period=FQ","BEST_FPERIOD_OVERRIDE=FQ","FILING_STATUS=MR","SCALING_FORMAT=MLN","Sort=A","Dates=H","DateFormat=P","Fill=—","Direction=H","UseDPDF=Y")</f>
        <v>231</v>
      </c>
      <c r="X68" s="13">
        <f>_xll.BDH("GILD US Equity","ARDR_STK_BASED_COMPENSATION_EXP","FQ1 2024","FQ1 2024","Currency=USD","Period=FQ","BEST_FPERIOD_OVERRIDE=FQ","FILING_STATUS=MR","SCALING_FORMAT=MLN","Sort=A","Dates=H","DateFormat=P","Fill=—","Direction=H","UseDPDF=Y")</f>
        <v>188</v>
      </c>
      <c r="Y68" s="13">
        <f>_xll.BDH("GILD US Equity","ARDR_STK_BASED_COMPENSATION_EXP","FQ2 2024","FQ2 2024","Currency=USD","Period=FQ","BEST_FPERIOD_OVERRIDE=FQ","FILING_STATUS=MR","SCALING_FORMAT=MLN","Sort=A","Dates=H","DateFormat=P","Fill=—","Direction=H","UseDPDF=Y")</f>
        <v>209</v>
      </c>
      <c r="Z68" s="13">
        <f>_xll.BDH("GILD US Equity","ARDR_STK_BASED_COMPENSATION_EXP","FQ3 2024","FQ3 2024","Currency=USD","Period=FQ","BEST_FPERIOD_OVERRIDE=FQ","FILING_STATUS=MR","SCALING_FORMAT=MLN","Sort=A","Dates=H","DateFormat=P","Fill=—","Direction=H","UseDPDF=Y")</f>
        <v>216</v>
      </c>
      <c r="AA68" s="13">
        <f>_xll.BDH("GILD US Equity","ARDR_STK_BASED_COMPENSATION_EXP","FQ4 2024","FQ4 2024","Currency=USD","Period=FQ","BEST_FPERIOD_OVERRIDE=FQ","FILING_STATUS=MR","SCALING_FORMAT=MLN","Sort=A","Dates=H","DateFormat=P","Fill=—","Direction=H","UseDPDF=Y")</f>
        <v>356</v>
      </c>
    </row>
    <row r="69" spans="1:27" x14ac:dyDescent="0.25">
      <c r="A69" s="10" t="s">
        <v>520</v>
      </c>
      <c r="B69" s="10" t="s">
        <v>521</v>
      </c>
      <c r="C69" s="13">
        <f>_xll.BDH("GILD US Equity","ARDR_TOTAL_COMPREHENSIVE_INCOME","FQ4 2018","FQ4 2018","Currency=USD","Period=FQ","BEST_FPERIOD_OVERRIDE=FQ","FILING_STATUS=MR","SCALING_FORMAT=MLN","Sort=A","Dates=H","DateFormat=P","Fill=—","Direction=H","UseDPDF=Y")</f>
        <v>47</v>
      </c>
      <c r="D69" s="13">
        <f>_xll.BDH("GILD US Equity","ARDR_TOTAL_COMPREHENSIVE_INCOME","FQ1 2019","FQ1 2019","Currency=USD","Period=FQ","BEST_FPERIOD_OVERRIDE=FQ","FILING_STATUS=MR","SCALING_FORMAT=MLN","Sort=A","Dates=H","DateFormat=P","Fill=—","Direction=H","UseDPDF=Y")</f>
        <v>2018</v>
      </c>
      <c r="E69" s="13">
        <f>_xll.BDH("GILD US Equity","ARDR_TOTAL_COMPREHENSIVE_INCOME","FQ2 2019","FQ2 2019","Currency=USD","Period=FQ","BEST_FPERIOD_OVERRIDE=FQ","FILING_STATUS=MR","SCALING_FORMAT=MLN","Sort=A","Dates=H","DateFormat=P","Fill=—","Direction=H","UseDPDF=Y")</f>
        <v>1852</v>
      </c>
      <c r="F69" s="13">
        <f>_xll.BDH("GILD US Equity","ARDR_TOTAL_COMPREHENSIVE_INCOME","FQ3 2019","FQ3 2019","Currency=USD","Period=FQ","BEST_FPERIOD_OVERRIDE=FQ","FILING_STATUS=MR","SCALING_FORMAT=MLN","Sort=A","Dates=H","DateFormat=P","Fill=—","Direction=H","UseDPDF=Y")</f>
        <v>-1150</v>
      </c>
      <c r="G69" s="13">
        <f>_xll.BDH("GILD US Equity","ARDR_TOTAL_COMPREHENSIVE_INCOME","FQ4 2019","FQ4 2019","Currency=USD","Period=FQ","BEST_FPERIOD_OVERRIDE=FQ","FILING_STATUS=MR","SCALING_FORMAT=MLN","Sort=A","Dates=H","DateFormat=P","Fill=—","Direction=H","UseDPDF=Y")</f>
        <v>2664</v>
      </c>
      <c r="H69" s="13">
        <f>_xll.BDH("GILD US Equity","ARDR_TOTAL_COMPREHENSIVE_INCOME","FQ1 2020","FQ1 2020","Currency=USD","Period=FQ","BEST_FPERIOD_OVERRIDE=FQ","FILING_STATUS=MR","SCALING_FORMAT=MLN","Sort=A","Dates=H","DateFormat=P","Fill=—","Direction=H","UseDPDF=Y")</f>
        <v>1512</v>
      </c>
      <c r="I69" s="13">
        <f>_xll.BDH("GILD US Equity","ARDR_TOTAL_COMPREHENSIVE_INCOME","FQ2 2020","FQ2 2020","Currency=USD","Period=FQ","BEST_FPERIOD_OVERRIDE=FQ","FILING_STATUS=MR","SCALING_FORMAT=MLN","Sort=A","Dates=H","DateFormat=P","Fill=—","Direction=H","UseDPDF=Y")</f>
        <v>-3315</v>
      </c>
      <c r="J69" s="13">
        <f>_xll.BDH("GILD US Equity","ARDR_TOTAL_COMPREHENSIVE_INCOME","FQ3 2020","FQ3 2020","Currency=USD","Period=FQ","BEST_FPERIOD_OVERRIDE=FQ","FILING_STATUS=MR","SCALING_FORMAT=MLN","Sort=A","Dates=H","DateFormat=P","Fill=—","Direction=H","UseDPDF=Y")</f>
        <v>313</v>
      </c>
      <c r="K69" s="13" t="str">
        <f>_xll.BDH("GILD US Equity","ARDR_TOTAL_COMPREHENSIVE_INCOME","FQ4 2020","FQ4 2020","Currency=USD","Period=FQ","BEST_FPERIOD_OVERRIDE=FQ","FILING_STATUS=MR","SCALING_FORMAT=MLN","Sort=A","Dates=H","DateFormat=P","Fill=—","Direction=H","UseDPDF=Y")</f>
        <v>—</v>
      </c>
      <c r="L69" s="13">
        <f>_xll.BDH("GILD US Equity","ARDR_TOTAL_COMPREHENSIVE_INCOME","FQ1 2021","FQ1 2021","Currency=USD","Period=FQ","BEST_FPERIOD_OVERRIDE=FQ","FILING_STATUS=MR","SCALING_FORMAT=MLN","Sort=A","Dates=H","DateFormat=P","Fill=—","Direction=H","UseDPDF=Y")</f>
        <v>1827</v>
      </c>
      <c r="M69" s="13">
        <f>_xll.BDH("GILD US Equity","ARDR_TOTAL_COMPREHENSIVE_INCOME","FQ2 2021","FQ2 2021","Currency=USD","Period=FQ","BEST_FPERIOD_OVERRIDE=FQ","FILING_STATUS=MR","SCALING_FORMAT=MLN","Sort=A","Dates=H","DateFormat=P","Fill=—","Direction=H","UseDPDF=Y")</f>
        <v>1523</v>
      </c>
      <c r="N69" s="13">
        <f>_xll.BDH("GILD US Equity","ARDR_TOTAL_COMPREHENSIVE_INCOME","FQ3 2021","FQ3 2021","Currency=USD","Period=FQ","BEST_FPERIOD_OVERRIDE=FQ","FILING_STATUS=MR","SCALING_FORMAT=MLN","Sort=A","Dates=H","DateFormat=P","Fill=—","Direction=H","UseDPDF=Y")</f>
        <v>2627</v>
      </c>
      <c r="O69" s="13">
        <f>_xll.BDH("GILD US Equity","ARDR_TOTAL_COMPREHENSIVE_INCOME","FQ4 2021","FQ4 2021","Currency=USD","Period=FQ","BEST_FPERIOD_OVERRIDE=FQ","FILING_STATUS=MR","SCALING_FORMAT=MLN","Sort=A","Dates=H","DateFormat=P","Fill=—","Direction=H","UseDPDF=Y")</f>
        <v>391</v>
      </c>
      <c r="P69" s="13">
        <f>_xll.BDH("GILD US Equity","ARDR_TOTAL_COMPREHENSIVE_INCOME","FQ1 2022","FQ1 2022","Currency=USD","Period=FQ","BEST_FPERIOD_OVERRIDE=FQ","FILING_STATUS=MR","SCALING_FORMAT=MLN","Sort=A","Dates=H","DateFormat=P","Fill=—","Direction=H","UseDPDF=Y")</f>
        <v>9</v>
      </c>
      <c r="Q69" s="13">
        <f>_xll.BDH("GILD US Equity","ARDR_TOTAL_COMPREHENSIVE_INCOME","FQ2 2022","FQ2 2022","Currency=USD","Period=FQ","BEST_FPERIOD_OVERRIDE=FQ","FILING_STATUS=MR","SCALING_FORMAT=MLN","Sort=A","Dates=H","DateFormat=P","Fill=—","Direction=H","UseDPDF=Y")</f>
        <v>1158</v>
      </c>
      <c r="R69" s="13">
        <f>_xll.BDH("GILD US Equity","ARDR_TOTAL_COMPREHENSIVE_INCOME","FQ3 2022","FQ3 2022","Currency=USD","Period=FQ","BEST_FPERIOD_OVERRIDE=FQ","FILING_STATUS=MR","SCALING_FORMAT=MLN","Sort=A","Dates=H","DateFormat=P","Fill=—","Direction=H","UseDPDF=Y")</f>
        <v>1800</v>
      </c>
      <c r="S69" s="13">
        <f>_xll.BDH("GILD US Equity","ARDR_TOTAL_COMPREHENSIVE_INCOME","FQ4 2022","FQ4 2022","Currency=USD","Period=FQ","BEST_FPERIOD_OVERRIDE=FQ","FILING_STATUS=MR","SCALING_FORMAT=MLN","Sort=A","Dates=H","DateFormat=P","Fill=—","Direction=H","UseDPDF=Y")</f>
        <v>1544</v>
      </c>
      <c r="T69" s="13">
        <f>_xll.BDH("GILD US Equity","ARDR_TOTAL_COMPREHENSIVE_INCOME","FQ1 2023","FQ1 2023","Currency=USD","Period=FQ","BEST_FPERIOD_OVERRIDE=FQ","FILING_STATUS=MR","SCALING_FORMAT=MLN","Sort=A","Dates=H","DateFormat=P","Fill=—","Direction=H","UseDPDF=Y")</f>
        <v>988</v>
      </c>
      <c r="U69" s="13">
        <f>_xll.BDH("GILD US Equity","ARDR_TOTAL_COMPREHENSIVE_INCOME","FQ2 2023","FQ2 2023","Currency=USD","Period=FQ","BEST_FPERIOD_OVERRIDE=FQ","FILING_STATUS=MR","SCALING_FORMAT=MLN","Sort=A","Dates=H","DateFormat=P","Fill=—","Direction=H","UseDPDF=Y")</f>
        <v>1076</v>
      </c>
      <c r="V69" s="13">
        <f>_xll.BDH("GILD US Equity","ARDR_TOTAL_COMPREHENSIVE_INCOME","FQ3 2023","FQ3 2023","Currency=USD","Period=FQ","BEST_FPERIOD_OVERRIDE=FQ","FILING_STATUS=MR","SCALING_FORMAT=MLN","Sort=A","Dates=H","DateFormat=P","Fill=—","Direction=H","UseDPDF=Y")</f>
        <v>2201</v>
      </c>
      <c r="W69" s="13">
        <f>_xll.BDH("GILD US Equity","ARDR_TOTAL_COMPREHENSIVE_INCOME","FQ4 2023","FQ4 2023","Currency=USD","Period=FQ","BEST_FPERIOD_OVERRIDE=FQ","FILING_STATUS=MR","SCALING_FORMAT=MLN","Sort=A","Dates=H","DateFormat=P","Fill=—","Direction=H","UseDPDF=Y")</f>
        <v>1426</v>
      </c>
      <c r="X69" s="13">
        <f>_xll.BDH("GILD US Equity","ARDR_TOTAL_COMPREHENSIVE_INCOME","FQ1 2024","FQ1 2024","Currency=USD","Period=FQ","BEST_FPERIOD_OVERRIDE=FQ","FILING_STATUS=MR","SCALING_FORMAT=MLN","Sort=A","Dates=H","DateFormat=P","Fill=—","Direction=H","UseDPDF=Y")</f>
        <v>-4130</v>
      </c>
      <c r="Y69" s="13">
        <f>_xll.BDH("GILD US Equity","ARDR_TOTAL_COMPREHENSIVE_INCOME","FQ2 2024","FQ2 2024","Currency=USD","Period=FQ","BEST_FPERIOD_OVERRIDE=FQ","FILING_STATUS=MR","SCALING_FORMAT=MLN","Sort=A","Dates=H","DateFormat=P","Fill=—","Direction=H","UseDPDF=Y")</f>
        <v>1639</v>
      </c>
      <c r="Z69" s="13">
        <f>_xll.BDH("GILD US Equity","ARDR_TOTAL_COMPREHENSIVE_INCOME","FQ3 2024","FQ3 2024","Currency=USD","Period=FQ","BEST_FPERIOD_OVERRIDE=FQ","FILING_STATUS=MR","SCALING_FORMAT=MLN","Sort=A","Dates=H","DateFormat=P","Fill=—","Direction=H","UseDPDF=Y")</f>
        <v>1233</v>
      </c>
      <c r="AA69" s="13">
        <f>_xll.BDH("GILD US Equity","ARDR_TOTAL_COMPREHENSIVE_INCOME","FQ4 2024","FQ4 2024","Currency=USD","Period=FQ","BEST_FPERIOD_OVERRIDE=FQ","FILING_STATUS=MR","SCALING_FORMAT=MLN","Sort=A","Dates=H","DateFormat=P","Fill=—","Direction=H","UseDPDF=Y")</f>
        <v>1842</v>
      </c>
    </row>
    <row r="70" spans="1:27" x14ac:dyDescent="0.25">
      <c r="A70" s="10" t="s">
        <v>522</v>
      </c>
      <c r="B70" s="10" t="s">
        <v>523</v>
      </c>
      <c r="C70" s="13">
        <f>_xll.BDH("GILD US Equity","ARDR_MERGER_ACQUISITION_EXPENSE","FQ4 2018","FQ4 2018","Currency=USD","Period=FQ","BEST_FPERIOD_OVERRIDE=FQ","FILING_STATUS=MR","SCALING_FORMAT=MLN","Sort=A","Dates=H","DateFormat=P","Fill=—","Direction=H","UseDPDF=Y")</f>
        <v>820</v>
      </c>
      <c r="D70" s="13" t="str">
        <f>_xll.BDH("GILD US Equity","ARDR_MERGER_ACQUISITION_EXPENSE","FQ1 2019","FQ1 2019","Currency=USD","Period=FQ","BEST_FPERIOD_OVERRIDE=FQ","FILING_STATUS=MR","SCALING_FORMAT=MLN","Sort=A","Dates=H","DateFormat=P","Fill=—","Direction=H","UseDPDF=Y")</f>
        <v>—</v>
      </c>
      <c r="E70" s="13" t="str">
        <f>_xll.BDH("GILD US Equity","ARDR_MERGER_ACQUISITION_EXPENSE","FQ2 2019","FQ2 2019","Currency=USD","Period=FQ","BEST_FPERIOD_OVERRIDE=FQ","FILING_STATUS=MR","SCALING_FORMAT=MLN","Sort=A","Dates=H","DateFormat=P","Fill=—","Direction=H","UseDPDF=Y")</f>
        <v>—</v>
      </c>
      <c r="F70" s="13" t="str">
        <f>_xll.BDH("GILD US Equity","ARDR_MERGER_ACQUISITION_EXPENSE","FQ3 2019","FQ3 2019","Currency=USD","Period=FQ","BEST_FPERIOD_OVERRIDE=FQ","FILING_STATUS=MR","SCALING_FORMAT=MLN","Sort=A","Dates=H","DateFormat=P","Fill=—","Direction=H","UseDPDF=Y")</f>
        <v>—</v>
      </c>
      <c r="G70" s="13" t="str">
        <f>_xll.BDH("GILD US Equity","ARDR_MERGER_ACQUISITION_EXPENSE","FQ4 2019","FQ4 2019","Currency=USD","Period=FQ","BEST_FPERIOD_OVERRIDE=FQ","FILING_STATUS=MR","SCALING_FORMAT=MLN","Sort=A","Dates=H","DateFormat=P","Fill=—","Direction=H","UseDPDF=Y")</f>
        <v>—</v>
      </c>
      <c r="H70" s="13">
        <f>_xll.BDH("GILD US Equity","ARDR_MERGER_ACQUISITION_EXPENSE","FQ1 2020","FQ1 2020","Currency=USD","Period=FQ","BEST_FPERIOD_OVERRIDE=FQ","FILING_STATUS=MR","SCALING_FORMAT=MLN","Sort=A","Dates=H","DateFormat=P","Fill=—","Direction=H","UseDPDF=Y")</f>
        <v>266</v>
      </c>
      <c r="I70" s="13">
        <f>_xll.BDH("GILD US Equity","ARDR_MERGER_ACQUISITION_EXPENSE","FQ2 2020","FQ2 2020","Currency=USD","Period=FQ","BEST_FPERIOD_OVERRIDE=FQ","FILING_STATUS=MR","SCALING_FORMAT=MLN","Sort=A","Dates=H","DateFormat=P","Fill=—","Direction=H","UseDPDF=Y")</f>
        <v>190</v>
      </c>
      <c r="J70" s="13">
        <f>_xll.BDH("GILD US Equity","ARDR_MERGER_ACQUISITION_EXPENSE","FQ3 2020","FQ3 2020","Currency=USD","Period=FQ","BEST_FPERIOD_OVERRIDE=FQ","FILING_STATUS=MR","SCALING_FORMAT=MLN","Sort=A","Dates=H","DateFormat=P","Fill=—","Direction=H","UseDPDF=Y")</f>
        <v>15</v>
      </c>
      <c r="K70" s="13">
        <f>_xll.BDH("GILD US Equity","ARDR_MERGER_ACQUISITION_EXPENSE","FQ4 2020","FQ4 2020","Currency=USD","Period=FQ","BEST_FPERIOD_OVERRIDE=FQ","FILING_STATUS=MR","SCALING_FORMAT=MLN","Sort=A","Dates=H","DateFormat=P","Fill=—","Direction=H","UseDPDF=Y")</f>
        <v>360</v>
      </c>
      <c r="L70" s="13">
        <f>_xll.BDH("GILD US Equity","ARDR_MERGER_ACQUISITION_EXPENSE","FQ1 2021","FQ1 2021","Currency=USD","Period=FQ","BEST_FPERIOD_OVERRIDE=FQ","FILING_STATUS=MR","SCALING_FORMAT=MLN","Sort=A","Dates=H","DateFormat=P","Fill=—","Direction=H","UseDPDF=Y")</f>
        <v>534</v>
      </c>
      <c r="M70" s="13">
        <f>_xll.BDH("GILD US Equity","ARDR_MERGER_ACQUISITION_EXPENSE","FQ2 2021","FQ2 2021","Currency=USD","Period=FQ","BEST_FPERIOD_OVERRIDE=FQ","FILING_STATUS=MR","SCALING_FORMAT=MLN","Sort=A","Dates=H","DateFormat=P","Fill=—","Direction=H","UseDPDF=Y")</f>
        <v>16</v>
      </c>
      <c r="N70" s="13">
        <f>_xll.BDH("GILD US Equity","ARDR_MERGER_ACQUISITION_EXPENSE","FQ3 2021","FQ3 2021","Currency=USD","Period=FQ","BEST_FPERIOD_OVERRIDE=FQ","FILING_STATUS=MR","SCALING_FORMAT=MLN","Sort=A","Dates=H","DateFormat=P","Fill=—","Direction=H","UseDPDF=Y")</f>
        <v>-17</v>
      </c>
      <c r="O70" s="13">
        <f>_xll.BDH("GILD US Equity","ARDR_MERGER_ACQUISITION_EXPENSE","FQ4 2021","FQ4 2021","Currency=USD","Period=FQ","BEST_FPERIOD_OVERRIDE=FQ","FILING_STATUS=MR","SCALING_FORMAT=MLN","Sort=A","Dates=H","DateFormat=P","Fill=—","Direction=H","UseDPDF=Y")</f>
        <v>3</v>
      </c>
      <c r="P70" s="13">
        <f>_xll.BDH("GILD US Equity","ARDR_MERGER_ACQUISITION_EXPENSE","FQ1 2022","FQ1 2022","Currency=USD","Period=FQ","BEST_FPERIOD_OVERRIDE=FQ","FILING_STATUS=MR","SCALING_FORMAT=MLN","Sort=A","Dates=H","DateFormat=P","Fill=—","Direction=H","UseDPDF=Y")</f>
        <v>10</v>
      </c>
      <c r="Q70" s="13">
        <f>_xll.BDH("GILD US Equity","ARDR_MERGER_ACQUISITION_EXPENSE","FQ2 2022","FQ2 2022","Currency=USD","Period=FQ","BEST_FPERIOD_OVERRIDE=FQ","FILING_STATUS=MR","SCALING_FORMAT=MLN","Sort=A","Dates=H","DateFormat=P","Fill=—","Direction=H","UseDPDF=Y")</f>
        <v>0</v>
      </c>
      <c r="R70" s="13">
        <f>_xll.BDH("GILD US Equity","ARDR_MERGER_ACQUISITION_EXPENSE","FQ3 2022","FQ3 2022","Currency=USD","Period=FQ","BEST_FPERIOD_OVERRIDE=FQ","FILING_STATUS=MR","SCALING_FORMAT=MLN","Sort=A","Dates=H","DateFormat=P","Fill=—","Direction=H","UseDPDF=Y")</f>
        <v>427</v>
      </c>
      <c r="S70" s="13">
        <f>_xll.BDH("GILD US Equity","ARDR_MERGER_ACQUISITION_EXPENSE","FQ4 2022","FQ4 2022","Currency=USD","Period=FQ","BEST_FPERIOD_OVERRIDE=FQ","FILING_STATUS=MR","SCALING_FORMAT=MLN","Sort=A","Dates=H","DateFormat=P","Fill=—","Direction=H","UseDPDF=Y")</f>
        <v>2</v>
      </c>
      <c r="T70" s="13">
        <f>_xll.BDH("GILD US Equity","ARDR_MERGER_ACQUISITION_EXPENSE","FQ1 2023","FQ1 2023","Currency=USD","Period=FQ","BEST_FPERIOD_OVERRIDE=FQ","FILING_STATUS=MR","SCALING_FORMAT=MLN","Sort=A","Dates=H","DateFormat=P","Fill=—","Direction=H","UseDPDF=Y")</f>
        <v>9</v>
      </c>
      <c r="U70" s="13">
        <f>_xll.BDH("GILD US Equity","ARDR_MERGER_ACQUISITION_EXPENSE","FQ2 2023","FQ2 2023","Currency=USD","Period=FQ","BEST_FPERIOD_OVERRIDE=FQ","FILING_STATUS=MR","SCALING_FORMAT=MLN","Sort=A","Dates=H","DateFormat=P","Fill=—","Direction=H","UseDPDF=Y")</f>
        <v>31</v>
      </c>
      <c r="V70" s="13">
        <f>_xll.BDH("GILD US Equity","ARDR_MERGER_ACQUISITION_EXPENSE","FQ3 2023","FQ3 2023","Currency=USD","Period=FQ","BEST_FPERIOD_OVERRIDE=FQ","FILING_STATUS=MR","SCALING_FORMAT=MLN","Sort=A","Dates=H","DateFormat=P","Fill=—","Direction=H","UseDPDF=Y")</f>
        <v>-1</v>
      </c>
      <c r="W70" s="13">
        <f>_xll.BDH("GILD US Equity","ARDR_MERGER_ACQUISITION_EXPENSE","FQ4 2023","FQ4 2023","Currency=USD","Period=FQ","BEST_FPERIOD_OVERRIDE=FQ","FILING_STATUS=MR","SCALING_FORMAT=MLN","Sort=A","Dates=H","DateFormat=P","Fill=—","Direction=H","UseDPDF=Y")</f>
        <v>-59</v>
      </c>
      <c r="X70" s="13">
        <f>_xll.BDH("GILD US Equity","ARDR_MERGER_ACQUISITION_EXPENSE","FQ1 2024","FQ1 2024","Currency=USD","Period=FQ","BEST_FPERIOD_OVERRIDE=FQ","FILING_STATUS=MR","SCALING_FORMAT=MLN","Sort=A","Dates=H","DateFormat=P","Fill=—","Direction=H","UseDPDF=Y")</f>
        <v>133</v>
      </c>
      <c r="Y70" s="13">
        <f>_xll.BDH("GILD US Equity","ARDR_MERGER_ACQUISITION_EXPENSE","FQ2 2024","FQ2 2024","Currency=USD","Period=FQ","BEST_FPERIOD_OVERRIDE=FQ","FILING_STATUS=MR","SCALING_FORMAT=MLN","Sort=A","Dates=H","DateFormat=P","Fill=—","Direction=H","UseDPDF=Y")</f>
        <v>21</v>
      </c>
      <c r="Z70" s="13">
        <f>_xll.BDH("GILD US Equity","ARDR_MERGER_ACQUISITION_EXPENSE","FQ3 2024","FQ3 2024","Currency=USD","Period=FQ","BEST_FPERIOD_OVERRIDE=FQ","FILING_STATUS=MR","SCALING_FORMAT=MLN","Sort=A","Dates=H","DateFormat=P","Fill=—","Direction=H","UseDPDF=Y")</f>
        <v>13</v>
      </c>
      <c r="AA70" s="13">
        <f>_xll.BDH("GILD US Equity","ARDR_MERGER_ACQUISITION_EXPENSE","FQ4 2024","FQ4 2024","Currency=USD","Period=FQ","BEST_FPERIOD_OVERRIDE=FQ","FILING_STATUS=MR","SCALING_FORMAT=MLN","Sort=A","Dates=H","DateFormat=P","Fill=—","Direction=H","UseDPDF=Y")</f>
        <v>8</v>
      </c>
    </row>
    <row r="71" spans="1:27" x14ac:dyDescent="0.25">
      <c r="A71" s="10" t="s">
        <v>524</v>
      </c>
      <c r="B71" s="10" t="s">
        <v>525</v>
      </c>
      <c r="C71" s="13">
        <f>_xll.BDH("GILD US Equity","ARDR_AMORT_OF_INTANGIBLE_ASSETS","FQ4 2018","FQ4 2018","Currency=USD","Period=FQ","BEST_FPERIOD_OVERRIDE=FQ","FILING_STATUS=MR","SCALING_FORMAT=MLN","Sort=A","Dates=H","DateFormat=P","Fill=—","Direction=H","UseDPDF=Y")</f>
        <v>301</v>
      </c>
      <c r="D71" s="13">
        <f>_xll.BDH("GILD US Equity","ARDR_AMORT_OF_INTANGIBLE_ASSETS","FQ1 2019","FQ1 2019","Currency=USD","Period=FQ","BEST_FPERIOD_OVERRIDE=FQ","FILING_STATUS=MR","SCALING_FORMAT=MLN","Sort=A","Dates=H","DateFormat=P","Fill=—","Direction=H","UseDPDF=Y")</f>
        <v>299</v>
      </c>
      <c r="E71" s="13">
        <f>_xll.BDH("GILD US Equity","ARDR_AMORT_OF_INTANGIBLE_ASSETS","FQ2 2019","FQ2 2019","Currency=USD","Period=FQ","BEST_FPERIOD_OVERRIDE=FQ","FILING_STATUS=MR","SCALING_FORMAT=MLN","Sort=A","Dates=H","DateFormat=P","Fill=—","Direction=H","UseDPDF=Y")</f>
        <v>288</v>
      </c>
      <c r="F71" s="13">
        <f>_xll.BDH("GILD US Equity","ARDR_AMORT_OF_INTANGIBLE_ASSETS","FQ3 2019","FQ3 2019","Currency=USD","Period=FQ","BEST_FPERIOD_OVERRIDE=FQ","FILING_STATUS=MR","SCALING_FORMAT=MLN","Sort=A","Dates=H","DateFormat=P","Fill=—","Direction=H","UseDPDF=Y")</f>
        <v>281</v>
      </c>
      <c r="G71" s="13">
        <f>_xll.BDH("GILD US Equity","ARDR_AMORT_OF_INTANGIBLE_ASSETS","FQ4 2019","FQ4 2019","Currency=USD","Period=FQ","BEST_FPERIOD_OVERRIDE=FQ","FILING_STATUS=MR","SCALING_FORMAT=MLN","Sort=A","Dates=H","DateFormat=P","Fill=—","Direction=H","UseDPDF=Y")</f>
        <v>281</v>
      </c>
      <c r="H71" s="13">
        <f>_xll.BDH("GILD US Equity","ARDR_AMORT_OF_INTANGIBLE_ASSETS","FQ1 2020","FQ1 2020","Currency=USD","Period=FQ","BEST_FPERIOD_OVERRIDE=FQ","FILING_STATUS=MR","SCALING_FORMAT=MLN","Sort=A","Dates=H","DateFormat=P","Fill=—","Direction=H","UseDPDF=Y")</f>
        <v>281</v>
      </c>
      <c r="I71" s="13">
        <f>_xll.BDH("GILD US Equity","ARDR_AMORT_OF_INTANGIBLE_ASSETS","FQ2 2020","FQ2 2020","Currency=USD","Period=FQ","BEST_FPERIOD_OVERRIDE=FQ","FILING_STATUS=MR","SCALING_FORMAT=MLN","Sort=A","Dates=H","DateFormat=P","Fill=—","Direction=H","UseDPDF=Y")</f>
        <v>281</v>
      </c>
      <c r="J71" s="13">
        <f>_xll.BDH("GILD US Equity","ARDR_AMORT_OF_INTANGIBLE_ASSETS","FQ3 2020","FQ3 2020","Currency=USD","Period=FQ","BEST_FPERIOD_OVERRIDE=FQ","FILING_STATUS=MR","SCALING_FORMAT=MLN","Sort=A","Dates=H","DateFormat=P","Fill=—","Direction=H","UseDPDF=Y")</f>
        <v>282</v>
      </c>
      <c r="K71" s="13">
        <f>_xll.BDH("GILD US Equity","ARDR_AMORT_OF_INTANGIBLE_ASSETS","FQ4 2020","FQ4 2020","Currency=USD","Period=FQ","BEST_FPERIOD_OVERRIDE=FQ","FILING_STATUS=MR","SCALING_FORMAT=MLN","Sort=A","Dates=H","DateFormat=P","Fill=—","Direction=H","UseDPDF=Y")</f>
        <v>348</v>
      </c>
      <c r="L71" s="13">
        <f>_xll.BDH("GILD US Equity","ARDR_AMORT_OF_INTANGIBLE_ASSETS","FQ1 2021","FQ1 2021","Currency=USD","Period=FQ","BEST_FPERIOD_OVERRIDE=FQ","FILING_STATUS=MR","SCALING_FORMAT=MLN","Sort=A","Dates=H","DateFormat=P","Fill=—","Direction=H","UseDPDF=Y")</f>
        <v>395</v>
      </c>
      <c r="M71" s="13">
        <f>_xll.BDH("GILD US Equity","ARDR_AMORT_OF_INTANGIBLE_ASSETS","FQ2 2021","FQ2 2021","Currency=USD","Period=FQ","BEST_FPERIOD_OVERRIDE=FQ","FILING_STATUS=MR","SCALING_FORMAT=MLN","Sort=A","Dates=H","DateFormat=P","Fill=—","Direction=H","UseDPDF=Y")</f>
        <v>440</v>
      </c>
      <c r="N71" s="13">
        <f>_xll.BDH("GILD US Equity","ARDR_AMORT_OF_INTANGIBLE_ASSETS","FQ3 2021","FQ3 2021","Currency=USD","Period=FQ","BEST_FPERIOD_OVERRIDE=FQ","FILING_STATUS=MR","SCALING_FORMAT=MLN","Sort=A","Dates=H","DateFormat=P","Fill=—","Direction=H","UseDPDF=Y")</f>
        <v>441</v>
      </c>
      <c r="O71" s="13">
        <f>_xll.BDH("GILD US Equity","ARDR_AMORT_OF_INTANGIBLE_ASSETS","FQ4 2021","FQ4 2021","Currency=USD","Period=FQ","BEST_FPERIOD_OVERRIDE=FQ","FILING_STATUS=MR","SCALING_FORMAT=MLN","Sort=A","Dates=H","DateFormat=P","Fill=—","Direction=H","UseDPDF=Y")</f>
        <v>445</v>
      </c>
      <c r="P71" s="13">
        <f>_xll.BDH("GILD US Equity","ARDR_AMORT_OF_INTANGIBLE_ASSETS","FQ1 2022","FQ1 2022","Currency=USD","Period=FQ","BEST_FPERIOD_OVERRIDE=FQ","FILING_STATUS=MR","SCALING_FORMAT=MLN","Sort=A","Dates=H","DateFormat=P","Fill=—","Direction=H","UseDPDF=Y")</f>
        <v>445</v>
      </c>
      <c r="Q71" s="13">
        <f>_xll.BDH("GILD US Equity","ARDR_AMORT_OF_INTANGIBLE_ASSETS","FQ2 2022","FQ2 2022","Currency=USD","Period=FQ","BEST_FPERIOD_OVERRIDE=FQ","FILING_STATUS=MR","SCALING_FORMAT=MLN","Sort=A","Dates=H","DateFormat=P","Fill=—","Direction=H","UseDPDF=Y")</f>
        <v>556</v>
      </c>
      <c r="R71" s="13" t="str">
        <f>_xll.BDH("GILD US Equity","ARDR_AMORT_OF_INTANGIBLE_ASSETS","FQ3 2022","FQ3 2022","Currency=USD","Period=FQ","BEST_FPERIOD_OVERRIDE=FQ","FILING_STATUS=MR","SCALING_FORMAT=MLN","Sort=A","Dates=H","DateFormat=P","Fill=—","Direction=H","UseDPDF=Y")</f>
        <v>—</v>
      </c>
      <c r="S71" s="13">
        <f>_xll.BDH("GILD US Equity","ARDR_AMORT_OF_INTANGIBLE_ASSETS","FQ4 2022","FQ4 2022","Currency=USD","Period=FQ","BEST_FPERIOD_OVERRIDE=FQ","FILING_STATUS=MR","SCALING_FORMAT=MLN","Sort=A","Dates=H","DateFormat=P","Fill=—","Direction=H","UseDPDF=Y")</f>
        <v>445</v>
      </c>
      <c r="T71" s="13">
        <f>_xll.BDH("GILD US Equity","ARDR_AMORT_OF_INTANGIBLE_ASSETS","FQ1 2023","FQ1 2023","Currency=USD","Period=FQ","BEST_FPERIOD_OVERRIDE=FQ","FILING_STATUS=MR","SCALING_FORMAT=MLN","Sort=A","Dates=H","DateFormat=P","Fill=—","Direction=H","UseDPDF=Y")</f>
        <v>546</v>
      </c>
      <c r="U71" s="13">
        <f>_xll.BDH("GILD US Equity","ARDR_AMORT_OF_INTANGIBLE_ASSETS","FQ2 2023","FQ2 2023","Currency=USD","Period=FQ","BEST_FPERIOD_OVERRIDE=FQ","FILING_STATUS=MR","SCALING_FORMAT=MLN","Sort=A","Dates=H","DateFormat=P","Fill=—","Direction=H","UseDPDF=Y")</f>
        <v>598</v>
      </c>
      <c r="V71" s="13">
        <f>_xll.BDH("GILD US Equity","ARDR_AMORT_OF_INTANGIBLE_ASSETS","FQ3 2023","FQ3 2023","Currency=USD","Period=FQ","BEST_FPERIOD_OVERRIDE=FQ","FILING_STATUS=MR","SCALING_FORMAT=MLN","Sort=A","Dates=H","DateFormat=P","Fill=—","Direction=H","UseDPDF=Y")</f>
        <v>598</v>
      </c>
      <c r="W71" s="13">
        <f>_xll.BDH("GILD US Equity","ARDR_AMORT_OF_INTANGIBLE_ASSETS","FQ4 2023","FQ4 2023","Currency=USD","Period=FQ","BEST_FPERIOD_OVERRIDE=FQ","FILING_STATUS=MR","SCALING_FORMAT=MLN","Sort=A","Dates=H","DateFormat=P","Fill=—","Direction=H","UseDPDF=Y")</f>
        <v>597</v>
      </c>
      <c r="X71" s="13">
        <f>_xll.BDH("GILD US Equity","ARDR_AMORT_OF_INTANGIBLE_ASSETS","FQ1 2024","FQ1 2024","Currency=USD","Period=FQ","BEST_FPERIOD_OVERRIDE=FQ","FILING_STATUS=MR","SCALING_FORMAT=MLN","Sort=A","Dates=H","DateFormat=P","Fill=—","Direction=H","UseDPDF=Y")</f>
        <v>596</v>
      </c>
      <c r="Y71" s="13">
        <f>_xll.BDH("GILD US Equity","ARDR_AMORT_OF_INTANGIBLE_ASSETS","FQ2 2024","FQ2 2024","Currency=USD","Period=FQ","BEST_FPERIOD_OVERRIDE=FQ","FILING_STATUS=MR","SCALING_FORMAT=MLN","Sort=A","Dates=H","DateFormat=P","Fill=—","Direction=H","UseDPDF=Y")</f>
        <v>596</v>
      </c>
      <c r="Z71" s="13">
        <f>_xll.BDH("GILD US Equity","ARDR_AMORT_OF_INTANGIBLE_ASSETS","FQ3 2024","FQ3 2024","Currency=USD","Period=FQ","BEST_FPERIOD_OVERRIDE=FQ","FILING_STATUS=MR","SCALING_FORMAT=MLN","Sort=A","Dates=H","DateFormat=P","Fill=—","Direction=H","UseDPDF=Y")</f>
        <v>596</v>
      </c>
      <c r="AA71" s="13">
        <f>_xll.BDH("GILD US Equity","ARDR_AMORT_OF_INTANGIBLE_ASSETS","FQ4 2024","FQ4 2024","Currency=USD","Period=FQ","BEST_FPERIOD_OVERRIDE=FQ","FILING_STATUS=MR","SCALING_FORMAT=MLN","Sort=A","Dates=H","DateFormat=P","Fill=—","Direction=H","UseDPDF=Y")</f>
        <v>598</v>
      </c>
    </row>
    <row r="72" spans="1:27" x14ac:dyDescent="0.25">
      <c r="A72" s="10" t="s">
        <v>1</v>
      </c>
      <c r="B72" s="10" t="s">
        <v>526</v>
      </c>
      <c r="C72" s="13">
        <f>_xll.BDH("GILD US Equity","ARDR_TOTAL_REVENUES","FQ4 2018","FQ4 2018","Currency=USD","Period=FQ","BEST_FPERIOD_OVERRIDE=FQ","FILING_STATUS=MR","SCALING_FORMAT=MLN","Sort=A","Dates=H","DateFormat=P","Fill=—","Direction=H","UseDPDF=Y")</f>
        <v>5795</v>
      </c>
      <c r="D72" s="13">
        <f>_xll.BDH("GILD US Equity","ARDR_TOTAL_REVENUES","FQ1 2019","FQ1 2019","Currency=USD","Period=FQ","BEST_FPERIOD_OVERRIDE=FQ","FILING_STATUS=MR","SCALING_FORMAT=MLN","Sort=A","Dates=H","DateFormat=P","Fill=—","Direction=H","UseDPDF=Y")</f>
        <v>5281</v>
      </c>
      <c r="E72" s="13">
        <f>_xll.BDH("GILD US Equity","ARDR_TOTAL_REVENUES","FQ2 2019","FQ2 2019","Currency=USD","Period=FQ","BEST_FPERIOD_OVERRIDE=FQ","FILING_STATUS=MR","SCALING_FORMAT=MLN","Sort=A","Dates=H","DateFormat=P","Fill=—","Direction=H","UseDPDF=Y")</f>
        <v>5685</v>
      </c>
      <c r="F72" s="13">
        <f>_xll.BDH("GILD US Equity","ARDR_TOTAL_REVENUES","FQ3 2019","FQ3 2019","Currency=USD","Period=FQ","BEST_FPERIOD_OVERRIDE=FQ","FILING_STATUS=MR","SCALING_FORMAT=MLN","Sort=A","Dates=H","DateFormat=P","Fill=—","Direction=H","UseDPDF=Y")</f>
        <v>5604</v>
      </c>
      <c r="G72" s="13">
        <f>_xll.BDH("GILD US Equity","ARDR_TOTAL_REVENUES","FQ4 2019","FQ4 2019","Currency=USD","Period=FQ","BEST_FPERIOD_OVERRIDE=FQ","FILING_STATUS=MR","SCALING_FORMAT=MLN","Sort=A","Dates=H","DateFormat=P","Fill=—","Direction=H","UseDPDF=Y")</f>
        <v>5879</v>
      </c>
      <c r="H72" s="13">
        <f>_xll.BDH("GILD US Equity","ARDR_TOTAL_REVENUES","FQ1 2020","FQ1 2020","Currency=USD","Period=FQ","BEST_FPERIOD_OVERRIDE=FQ","FILING_STATUS=MR","SCALING_FORMAT=MLN","Sort=A","Dates=H","DateFormat=P","Fill=—","Direction=H","UseDPDF=Y")</f>
        <v>5548</v>
      </c>
      <c r="I72" s="13">
        <f>_xll.BDH("GILD US Equity","ARDR_TOTAL_REVENUES","FQ2 2020","FQ2 2020","Currency=USD","Period=FQ","BEST_FPERIOD_OVERRIDE=FQ","FILING_STATUS=MR","SCALING_FORMAT=MLN","Sort=A","Dates=H","DateFormat=P","Fill=—","Direction=H","UseDPDF=Y")</f>
        <v>5143</v>
      </c>
      <c r="J72" s="13">
        <f>_xll.BDH("GILD US Equity","ARDR_TOTAL_REVENUES","FQ3 2020","FQ3 2020","Currency=USD","Period=FQ","BEST_FPERIOD_OVERRIDE=FQ","FILING_STATUS=MR","SCALING_FORMAT=MLN","Sort=A","Dates=H","DateFormat=P","Fill=—","Direction=H","UseDPDF=Y")</f>
        <v>6577</v>
      </c>
      <c r="K72" s="13">
        <f>_xll.BDH("GILD US Equity","ARDR_TOTAL_REVENUES","FQ4 2020","FQ4 2020","Currency=USD","Period=FQ","BEST_FPERIOD_OVERRIDE=FQ","FILING_STATUS=MR","SCALING_FORMAT=MLN","Sort=A","Dates=H","DateFormat=P","Fill=—","Direction=H","UseDPDF=Y")</f>
        <v>7421</v>
      </c>
      <c r="L72" s="13">
        <f>_xll.BDH("GILD US Equity","ARDR_TOTAL_REVENUES","FQ1 2021","FQ1 2021","Currency=USD","Period=FQ","BEST_FPERIOD_OVERRIDE=FQ","FILING_STATUS=MR","SCALING_FORMAT=MLN","Sort=A","Dates=H","DateFormat=P","Fill=—","Direction=H","UseDPDF=Y")</f>
        <v>6423</v>
      </c>
      <c r="M72" s="13">
        <f>_xll.BDH("GILD US Equity","ARDR_TOTAL_REVENUES","FQ2 2021","FQ2 2021","Currency=USD","Period=FQ","BEST_FPERIOD_OVERRIDE=FQ","FILING_STATUS=MR","SCALING_FORMAT=MLN","Sort=A","Dates=H","DateFormat=P","Fill=—","Direction=H","UseDPDF=Y")</f>
        <v>6217</v>
      </c>
      <c r="N72" s="13">
        <f>_xll.BDH("GILD US Equity","ARDR_TOTAL_REVENUES","FQ3 2021","FQ3 2021","Currency=USD","Period=FQ","BEST_FPERIOD_OVERRIDE=FQ","FILING_STATUS=MR","SCALING_FORMAT=MLN","Sort=A","Dates=H","DateFormat=P","Fill=—","Direction=H","UseDPDF=Y")</f>
        <v>7421</v>
      </c>
      <c r="O72" s="13">
        <f>_xll.BDH("GILD US Equity","ARDR_TOTAL_REVENUES","FQ4 2021","FQ4 2021","Currency=USD","Period=FQ","BEST_FPERIOD_OVERRIDE=FQ","FILING_STATUS=MR","SCALING_FORMAT=MLN","Sort=A","Dates=H","DateFormat=P","Fill=—","Direction=H","UseDPDF=Y")</f>
        <v>7244</v>
      </c>
      <c r="P72" s="13">
        <f>_xll.BDH("GILD US Equity","ARDR_TOTAL_REVENUES","FQ1 2022","FQ1 2022","Currency=USD","Period=FQ","BEST_FPERIOD_OVERRIDE=FQ","FILING_STATUS=MR","SCALING_FORMAT=MLN","Sort=A","Dates=H","DateFormat=P","Fill=—","Direction=H","UseDPDF=Y")</f>
        <v>6590</v>
      </c>
      <c r="Q72" s="13">
        <f>_xll.BDH("GILD US Equity","ARDR_TOTAL_REVENUES","FQ2 2022","FQ2 2022","Currency=USD","Period=FQ","BEST_FPERIOD_OVERRIDE=FQ","FILING_STATUS=MR","SCALING_FORMAT=MLN","Sort=A","Dates=H","DateFormat=P","Fill=—","Direction=H","UseDPDF=Y")</f>
        <v>6260</v>
      </c>
      <c r="R72" s="13">
        <f>_xll.BDH("GILD US Equity","ARDR_TOTAL_REVENUES","FQ3 2022","FQ3 2022","Currency=USD","Period=FQ","BEST_FPERIOD_OVERRIDE=FQ","FILING_STATUS=MR","SCALING_FORMAT=MLN","Sort=A","Dates=H","DateFormat=P","Fill=—","Direction=H","UseDPDF=Y")</f>
        <v>7042</v>
      </c>
      <c r="S72" s="13">
        <f>_xll.BDH("GILD US Equity","ARDR_TOTAL_REVENUES","FQ4 2022","FQ4 2022","Currency=USD","Period=FQ","BEST_FPERIOD_OVERRIDE=FQ","FILING_STATUS=MR","SCALING_FORMAT=MLN","Sort=A","Dates=H","DateFormat=P","Fill=—","Direction=H","UseDPDF=Y")</f>
        <v>7389</v>
      </c>
      <c r="T72" s="13">
        <f>_xll.BDH("GILD US Equity","ARDR_TOTAL_REVENUES","FQ1 2023","FQ1 2023","Currency=USD","Period=FQ","BEST_FPERIOD_OVERRIDE=FQ","FILING_STATUS=MR","SCALING_FORMAT=MLN","Sort=A","Dates=H","DateFormat=P","Fill=—","Direction=H","UseDPDF=Y")</f>
        <v>6352</v>
      </c>
      <c r="U72" s="13">
        <f>_xll.BDH("GILD US Equity","ARDR_TOTAL_REVENUES","FQ2 2023","FQ2 2023","Currency=USD","Period=FQ","BEST_FPERIOD_OVERRIDE=FQ","FILING_STATUS=MR","SCALING_FORMAT=MLN","Sort=A","Dates=H","DateFormat=P","Fill=—","Direction=H","UseDPDF=Y")</f>
        <v>6599</v>
      </c>
      <c r="V72" s="13">
        <f>_xll.BDH("GILD US Equity","ARDR_TOTAL_REVENUES","FQ3 2023","FQ3 2023","Currency=USD","Period=FQ","BEST_FPERIOD_OVERRIDE=FQ","FILING_STATUS=MR","SCALING_FORMAT=MLN","Sort=A","Dates=H","DateFormat=P","Fill=—","Direction=H","UseDPDF=Y")</f>
        <v>7051</v>
      </c>
      <c r="W72" s="13">
        <f>_xll.BDH("GILD US Equity","ARDR_TOTAL_REVENUES","FQ4 2023","FQ4 2023","Currency=USD","Period=FQ","BEST_FPERIOD_OVERRIDE=FQ","FILING_STATUS=MR","SCALING_FORMAT=MLN","Sort=A","Dates=H","DateFormat=P","Fill=—","Direction=H","UseDPDF=Y")</f>
        <v>7115</v>
      </c>
      <c r="X72" s="13">
        <f>_xll.BDH("GILD US Equity","ARDR_TOTAL_REVENUES","FQ1 2024","FQ1 2024","Currency=USD","Period=FQ","BEST_FPERIOD_OVERRIDE=FQ","FILING_STATUS=MR","SCALING_FORMAT=MLN","Sort=A","Dates=H","DateFormat=P","Fill=—","Direction=H","UseDPDF=Y")</f>
        <v>6686</v>
      </c>
      <c r="Y72" s="13">
        <f>_xll.BDH("GILD US Equity","ARDR_TOTAL_REVENUES","FQ2 2024","FQ2 2024","Currency=USD","Period=FQ","BEST_FPERIOD_OVERRIDE=FQ","FILING_STATUS=MR","SCALING_FORMAT=MLN","Sort=A","Dates=H","DateFormat=P","Fill=—","Direction=H","UseDPDF=Y")</f>
        <v>6953</v>
      </c>
      <c r="Z72" s="13">
        <f>_xll.BDH("GILD US Equity","ARDR_TOTAL_REVENUES","FQ3 2024","FQ3 2024","Currency=USD","Period=FQ","BEST_FPERIOD_OVERRIDE=FQ","FILING_STATUS=MR","SCALING_FORMAT=MLN","Sort=A","Dates=H","DateFormat=P","Fill=—","Direction=H","UseDPDF=Y")</f>
        <v>7545</v>
      </c>
      <c r="AA72" s="13">
        <f>_xll.BDH("GILD US Equity","ARDR_TOTAL_REVENUES","FQ4 2024","FQ4 2024","Currency=USD","Period=FQ","BEST_FPERIOD_OVERRIDE=FQ","FILING_STATUS=MR","SCALING_FORMAT=MLN","Sort=A","Dates=H","DateFormat=P","Fill=—","Direction=H","UseDPDF=Y")</f>
        <v>7569</v>
      </c>
    </row>
    <row r="73" spans="1:27" x14ac:dyDescent="0.25">
      <c r="A73" s="10" t="s">
        <v>420</v>
      </c>
      <c r="B73" s="10" t="s">
        <v>527</v>
      </c>
      <c r="C73" s="13">
        <f>_xll.BDH("GILD US Equity","ARDR_ROYALTY_REVENUE","FQ4 2018","FQ4 2018","Currency=USD","Period=FQ","BEST_FPERIOD_OVERRIDE=FQ","FILING_STATUS=MR","SCALING_FORMAT=MLN","Sort=A","Dates=H","DateFormat=P","Fill=—","Direction=H","UseDPDF=Y")</f>
        <v>114</v>
      </c>
      <c r="D73" s="13">
        <f>_xll.BDH("GILD US Equity","ARDR_ROYALTY_REVENUE","FQ1 2019","FQ1 2019","Currency=USD","Period=FQ","BEST_FPERIOD_OVERRIDE=FQ","FILING_STATUS=MR","SCALING_FORMAT=MLN","Sort=A","Dates=H","DateFormat=P","Fill=—","Direction=H","UseDPDF=Y")</f>
        <v>81</v>
      </c>
      <c r="E73" s="13">
        <f>_xll.BDH("GILD US Equity","ARDR_ROYALTY_REVENUE","FQ2 2019","FQ2 2019","Currency=USD","Period=FQ","BEST_FPERIOD_OVERRIDE=FQ","FILING_STATUS=MR","SCALING_FORMAT=MLN","Sort=A","Dates=H","DateFormat=P","Fill=—","Direction=H","UseDPDF=Y")</f>
        <v>78</v>
      </c>
      <c r="F73" s="13">
        <f>_xll.BDH("GILD US Equity","ARDR_ROYALTY_REVENUE","FQ3 2019","FQ3 2019","Currency=USD","Period=FQ","BEST_FPERIOD_OVERRIDE=FQ","FILING_STATUS=MR","SCALING_FORMAT=MLN","Sort=A","Dates=H","DateFormat=P","Fill=—","Direction=H","UseDPDF=Y")</f>
        <v>88</v>
      </c>
      <c r="G73" s="13">
        <f>_xll.BDH("GILD US Equity","ARDR_ROYALTY_REVENUE","FQ4 2019","FQ4 2019","Currency=USD","Period=FQ","BEST_FPERIOD_OVERRIDE=FQ","FILING_STATUS=MR","SCALING_FORMAT=MLN","Sort=A","Dates=H","DateFormat=P","Fill=—","Direction=H","UseDPDF=Y")</f>
        <v>83</v>
      </c>
      <c r="H73" s="13">
        <f>_xll.BDH("GILD US Equity","ARDR_ROYALTY_REVENUE","FQ1 2020","FQ1 2020","Currency=USD","Period=FQ","BEST_FPERIOD_OVERRIDE=FQ","FILING_STATUS=MR","SCALING_FORMAT=MLN","Sort=A","Dates=H","DateFormat=P","Fill=—","Direction=H","UseDPDF=Y")</f>
        <v>81</v>
      </c>
      <c r="I73" s="13">
        <f>_xll.BDH("GILD US Equity","ARDR_ROYALTY_REVENUE","FQ2 2020","FQ2 2020","Currency=USD","Period=FQ","BEST_FPERIOD_OVERRIDE=FQ","FILING_STATUS=MR","SCALING_FORMAT=MLN","Sort=A","Dates=H","DateFormat=P","Fill=—","Direction=H","UseDPDF=Y")</f>
        <v>76</v>
      </c>
      <c r="J73" s="13">
        <f>_xll.BDH("GILD US Equity","ARDR_ROYALTY_REVENUE","FQ3 2020","FQ3 2020","Currency=USD","Period=FQ","BEST_FPERIOD_OVERRIDE=FQ","FILING_STATUS=MR","SCALING_FORMAT=MLN","Sort=A","Dates=H","DateFormat=P","Fill=—","Direction=H","UseDPDF=Y")</f>
        <v>84</v>
      </c>
      <c r="K73" s="13">
        <f>_xll.BDH("GILD US Equity","ARDR_ROYALTY_REVENUE","FQ4 2020","FQ4 2020","Currency=USD","Period=FQ","BEST_FPERIOD_OVERRIDE=FQ","FILING_STATUS=MR","SCALING_FORMAT=MLN","Sort=A","Dates=H","DateFormat=P","Fill=—","Direction=H","UseDPDF=Y")</f>
        <v>93</v>
      </c>
      <c r="L73" s="13">
        <f>_xll.BDH("GILD US Equity","ARDR_ROYALTY_REVENUE","FQ1 2021","FQ1 2021","Currency=USD","Period=FQ","BEST_FPERIOD_OVERRIDE=FQ","FILING_STATUS=MR","SCALING_FORMAT=MLN","Sort=A","Dates=H","DateFormat=P","Fill=—","Direction=H","UseDPDF=Y")</f>
        <v>83</v>
      </c>
      <c r="M73" s="13">
        <f>_xll.BDH("GILD US Equity","ARDR_ROYALTY_REVENUE","FQ2 2021","FQ2 2021","Currency=USD","Period=FQ","BEST_FPERIOD_OVERRIDE=FQ","FILING_STATUS=MR","SCALING_FORMAT=MLN","Sort=A","Dates=H","DateFormat=P","Fill=—","Direction=H","UseDPDF=Y")</f>
        <v>65</v>
      </c>
      <c r="N73" s="13">
        <f>_xll.BDH("GILD US Equity","ARDR_ROYALTY_REVENUE","FQ3 2021","FQ3 2021","Currency=USD","Period=FQ","BEST_FPERIOD_OVERRIDE=FQ","FILING_STATUS=MR","SCALING_FORMAT=MLN","Sort=A","Dates=H","DateFormat=P","Fill=—","Direction=H","UseDPDF=Y")</f>
        <v>65</v>
      </c>
      <c r="O73" s="13">
        <f>_xll.BDH("GILD US Equity","ARDR_ROYALTY_REVENUE","FQ4 2021","FQ4 2021","Currency=USD","Period=FQ","BEST_FPERIOD_OVERRIDE=FQ","FILING_STATUS=MR","SCALING_FORMAT=MLN","Sort=A","Dates=H","DateFormat=P","Fill=—","Direction=H","UseDPDF=Y")</f>
        <v>84</v>
      </c>
      <c r="P73" s="13">
        <f>_xll.BDH("GILD US Equity","ARDR_ROYALTY_REVENUE","FQ1 2022","FQ1 2022","Currency=USD","Period=FQ","BEST_FPERIOD_OVERRIDE=FQ","FILING_STATUS=MR","SCALING_FORMAT=MLN","Sort=A","Dates=H","DateFormat=P","Fill=—","Direction=H","UseDPDF=Y")</f>
        <v>56</v>
      </c>
      <c r="Q73" s="13">
        <f>_xll.BDH("GILD US Equity","ARDR_ROYALTY_REVENUE","FQ2 2022","FQ2 2022","Currency=USD","Period=FQ","BEST_FPERIOD_OVERRIDE=FQ","FILING_STATUS=MR","SCALING_FORMAT=MLN","Sort=A","Dates=H","DateFormat=P","Fill=—","Direction=H","UseDPDF=Y")</f>
        <v>122</v>
      </c>
      <c r="R73" s="13">
        <f>_xll.BDH("GILD US Equity","ARDR_ROYALTY_REVENUE","FQ3 2022","FQ3 2022","Currency=USD","Period=FQ","BEST_FPERIOD_OVERRIDE=FQ","FILING_STATUS=MR","SCALING_FORMAT=MLN","Sort=A","Dates=H","DateFormat=P","Fill=—","Direction=H","UseDPDF=Y")</f>
        <v>64</v>
      </c>
      <c r="S73" s="13">
        <f>_xll.BDH("GILD US Equity","ARDR_ROYALTY_REVENUE","FQ4 2022","FQ4 2022","Currency=USD","Period=FQ","BEST_FPERIOD_OVERRIDE=FQ","FILING_STATUS=MR","SCALING_FORMAT=MLN","Sort=A","Dates=H","DateFormat=P","Fill=—","Direction=H","UseDPDF=Y")</f>
        <v>56</v>
      </c>
      <c r="T73" s="13">
        <f>_xll.BDH("GILD US Equity","ARDR_ROYALTY_REVENUE","FQ1 2023","FQ1 2023","Currency=USD","Period=FQ","BEST_FPERIOD_OVERRIDE=FQ","FILING_STATUS=MR","SCALING_FORMAT=MLN","Sort=A","Dates=H","DateFormat=P","Fill=—","Direction=H","UseDPDF=Y")</f>
        <v>46</v>
      </c>
      <c r="U73" s="13">
        <f>_xll.BDH("GILD US Equity","ARDR_ROYALTY_REVENUE","FQ2 2023","FQ2 2023","Currency=USD","Period=FQ","BEST_FPERIOD_OVERRIDE=FQ","FILING_STATUS=MR","SCALING_FORMAT=MLN","Sort=A","Dates=H","DateFormat=P","Fill=—","Direction=H","UseDPDF=Y")</f>
        <v>35</v>
      </c>
      <c r="V73" s="13">
        <f>_xll.BDH("GILD US Equity","ARDR_ROYALTY_REVENUE","FQ3 2023","FQ3 2023","Currency=USD","Period=FQ","BEST_FPERIOD_OVERRIDE=FQ","FILING_STATUS=MR","SCALING_FORMAT=MLN","Sort=A","Dates=H","DateFormat=P","Fill=—","Direction=H","UseDPDF=Y")</f>
        <v>57</v>
      </c>
      <c r="W73" s="13">
        <f>_xll.BDH("GILD US Equity","ARDR_ROYALTY_REVENUE","FQ4 2023","FQ4 2023","Currency=USD","Period=FQ","BEST_FPERIOD_OVERRIDE=FQ","FILING_STATUS=MR","SCALING_FORMAT=MLN","Sort=A","Dates=H","DateFormat=P","Fill=—","Direction=H","UseDPDF=Y")</f>
        <v>45</v>
      </c>
      <c r="X73" s="13">
        <f>_xll.BDH("GILD US Equity","ARDR_ROYALTY_REVENUE","FQ1 2024","FQ1 2024","Currency=USD","Period=FQ","BEST_FPERIOD_OVERRIDE=FQ","FILING_STATUS=MR","SCALING_FORMAT=MLN","Sort=A","Dates=H","DateFormat=P","Fill=—","Direction=H","UseDPDF=Y")</f>
        <v>39</v>
      </c>
      <c r="Y73" s="13">
        <f>_xll.BDH("GILD US Equity","ARDR_ROYALTY_REVENUE","FQ2 2024","FQ2 2024","Currency=USD","Period=FQ","BEST_FPERIOD_OVERRIDE=FQ","FILING_STATUS=MR","SCALING_FORMAT=MLN","Sort=A","Dates=H","DateFormat=P","Fill=—","Direction=H","UseDPDF=Y")</f>
        <v>41</v>
      </c>
      <c r="Z73" s="13">
        <f>_xll.BDH("GILD US Equity","ARDR_ROYALTY_REVENUE","FQ3 2024","FQ3 2024","Currency=USD","Period=FQ","BEST_FPERIOD_OVERRIDE=FQ","FILING_STATUS=MR","SCALING_FORMAT=MLN","Sort=A","Dates=H","DateFormat=P","Fill=—","Direction=H","UseDPDF=Y")</f>
        <v>30</v>
      </c>
      <c r="AA73" s="13">
        <f>_xll.BDH("GILD US Equity","ARDR_ROYALTY_REVENUE","FQ4 2024","FQ4 2024","Currency=USD","Period=FQ","BEST_FPERIOD_OVERRIDE=FQ","FILING_STATUS=MR","SCALING_FORMAT=MLN","Sort=A","Dates=H","DateFormat=P","Fill=—","Direction=H","UseDPDF=Y")</f>
        <v>33</v>
      </c>
    </row>
    <row r="74" spans="1:27" x14ac:dyDescent="0.25">
      <c r="A74" s="10" t="s">
        <v>422</v>
      </c>
      <c r="B74" s="10" t="s">
        <v>528</v>
      </c>
      <c r="C74" s="13">
        <f>_xll.BDH("GILD US Equity","ARDR_PRODUCT_REVENUE","FQ4 2018","FQ4 2018","Currency=USD","Period=FQ","BEST_FPERIOD_OVERRIDE=FQ","FILING_STATUS=MR","SCALING_FORMAT=MLN","Sort=A","Dates=H","DateFormat=P","Fill=—","Direction=H","UseDPDF=Y")</f>
        <v>5681</v>
      </c>
      <c r="D74" s="13">
        <f>_xll.BDH("GILD US Equity","ARDR_PRODUCT_REVENUE","FQ1 2019","FQ1 2019","Currency=USD","Period=FQ","BEST_FPERIOD_OVERRIDE=FQ","FILING_STATUS=MR","SCALING_FORMAT=MLN","Sort=A","Dates=H","DateFormat=P","Fill=—","Direction=H","UseDPDF=Y")</f>
        <v>5200</v>
      </c>
      <c r="E74" s="13">
        <f>_xll.BDH("GILD US Equity","ARDR_PRODUCT_REVENUE","FQ2 2019","FQ2 2019","Currency=USD","Period=FQ","BEST_FPERIOD_OVERRIDE=FQ","FILING_STATUS=MR","SCALING_FORMAT=MLN","Sort=A","Dates=H","DateFormat=P","Fill=—","Direction=H","UseDPDF=Y")</f>
        <v>5607</v>
      </c>
      <c r="F74" s="13">
        <f>_xll.BDH("GILD US Equity","ARDR_PRODUCT_REVENUE","FQ3 2019","FQ3 2019","Currency=USD","Period=FQ","BEST_FPERIOD_OVERRIDE=FQ","FILING_STATUS=MR","SCALING_FORMAT=MLN","Sort=A","Dates=H","DateFormat=P","Fill=—","Direction=H","UseDPDF=Y")</f>
        <v>5516</v>
      </c>
      <c r="G74" s="13">
        <f>_xll.BDH("GILD US Equity","ARDR_PRODUCT_REVENUE","FQ4 2019","FQ4 2019","Currency=USD","Period=FQ","BEST_FPERIOD_OVERRIDE=FQ","FILING_STATUS=MR","SCALING_FORMAT=MLN","Sort=A","Dates=H","DateFormat=P","Fill=—","Direction=H","UseDPDF=Y")</f>
        <v>5796</v>
      </c>
      <c r="H74" s="13">
        <f>_xll.BDH("GILD US Equity","ARDR_PRODUCT_REVENUE","FQ1 2020","FQ1 2020","Currency=USD","Period=FQ","BEST_FPERIOD_OVERRIDE=FQ","FILING_STATUS=MR","SCALING_FORMAT=MLN","Sort=A","Dates=H","DateFormat=P","Fill=—","Direction=H","UseDPDF=Y")</f>
        <v>5467</v>
      </c>
      <c r="I74" s="13">
        <f>_xll.BDH("GILD US Equity","ARDR_PRODUCT_REVENUE","FQ2 2020","FQ2 2020","Currency=USD","Period=FQ","BEST_FPERIOD_OVERRIDE=FQ","FILING_STATUS=MR","SCALING_FORMAT=MLN","Sort=A","Dates=H","DateFormat=P","Fill=—","Direction=H","UseDPDF=Y")</f>
        <v>5067</v>
      </c>
      <c r="J74" s="13">
        <f>_xll.BDH("GILD US Equity","ARDR_PRODUCT_REVENUE","FQ3 2020","FQ3 2020","Currency=USD","Period=FQ","BEST_FPERIOD_OVERRIDE=FQ","FILING_STATUS=MR","SCALING_FORMAT=MLN","Sort=A","Dates=H","DateFormat=P","Fill=—","Direction=H","UseDPDF=Y")</f>
        <v>6493</v>
      </c>
      <c r="K74" s="13">
        <f>_xll.BDH("GILD US Equity","ARDR_PRODUCT_REVENUE","FQ4 2020","FQ4 2020","Currency=USD","Period=FQ","BEST_FPERIOD_OVERRIDE=FQ","FILING_STATUS=MR","SCALING_FORMAT=MLN","Sort=A","Dates=H","DateFormat=P","Fill=—","Direction=H","UseDPDF=Y")</f>
        <v>7328</v>
      </c>
      <c r="L74" s="13">
        <f>_xll.BDH("GILD US Equity","ARDR_PRODUCT_REVENUE","FQ1 2021","FQ1 2021","Currency=USD","Period=FQ","BEST_FPERIOD_OVERRIDE=FQ","FILING_STATUS=MR","SCALING_FORMAT=MLN","Sort=A","Dates=H","DateFormat=P","Fill=—","Direction=H","UseDPDF=Y")</f>
        <v>6340</v>
      </c>
      <c r="M74" s="13">
        <f>_xll.BDH("GILD US Equity","ARDR_PRODUCT_REVENUE","FQ2 2021","FQ2 2021","Currency=USD","Period=FQ","BEST_FPERIOD_OVERRIDE=FQ","FILING_STATUS=MR","SCALING_FORMAT=MLN","Sort=A","Dates=H","DateFormat=P","Fill=—","Direction=H","UseDPDF=Y")</f>
        <v>6152</v>
      </c>
      <c r="N74" s="13">
        <f>_xll.BDH("GILD US Equity","ARDR_PRODUCT_REVENUE","FQ3 2021","FQ3 2021","Currency=USD","Period=FQ","BEST_FPERIOD_OVERRIDE=FQ","FILING_STATUS=MR","SCALING_FORMAT=MLN","Sort=A","Dates=H","DateFormat=P","Fill=—","Direction=H","UseDPDF=Y")</f>
        <v>7356</v>
      </c>
      <c r="O74" s="13">
        <f>_xll.BDH("GILD US Equity","ARDR_PRODUCT_REVENUE","FQ4 2021","FQ4 2021","Currency=USD","Period=FQ","BEST_FPERIOD_OVERRIDE=FQ","FILING_STATUS=MR","SCALING_FORMAT=MLN","Sort=A","Dates=H","DateFormat=P","Fill=—","Direction=H","UseDPDF=Y")</f>
        <v>7160</v>
      </c>
      <c r="P74" s="13">
        <f>_xll.BDH("GILD US Equity","ARDR_PRODUCT_REVENUE","FQ1 2022","FQ1 2022","Currency=USD","Period=FQ","BEST_FPERIOD_OVERRIDE=FQ","FILING_STATUS=MR","SCALING_FORMAT=MLN","Sort=A","Dates=H","DateFormat=P","Fill=—","Direction=H","UseDPDF=Y")</f>
        <v>6534</v>
      </c>
      <c r="Q74" s="13">
        <f>_xll.BDH("GILD US Equity","ARDR_PRODUCT_REVENUE","FQ2 2022","FQ2 2022","Currency=USD","Period=FQ","BEST_FPERIOD_OVERRIDE=FQ","FILING_STATUS=MR","SCALING_FORMAT=MLN","Sort=A","Dates=H","DateFormat=P","Fill=—","Direction=H","UseDPDF=Y")</f>
        <v>6138</v>
      </c>
      <c r="R74" s="13">
        <f>_xll.BDH("GILD US Equity","ARDR_PRODUCT_REVENUE","FQ3 2022","FQ3 2022","Currency=USD","Period=FQ","BEST_FPERIOD_OVERRIDE=FQ","FILING_STATUS=MR","SCALING_FORMAT=MLN","Sort=A","Dates=H","DateFormat=P","Fill=—","Direction=H","UseDPDF=Y")</f>
        <v>6978</v>
      </c>
      <c r="S74" s="13">
        <f>_xll.BDH("GILD US Equity","ARDR_PRODUCT_REVENUE","FQ4 2022","FQ4 2022","Currency=USD","Period=FQ","BEST_FPERIOD_OVERRIDE=FQ","FILING_STATUS=MR","SCALING_FORMAT=MLN","Sort=A","Dates=H","DateFormat=P","Fill=—","Direction=H","UseDPDF=Y")</f>
        <v>7333</v>
      </c>
      <c r="T74" s="13">
        <f>_xll.BDH("GILD US Equity","ARDR_PRODUCT_REVENUE","FQ1 2023","FQ1 2023","Currency=USD","Period=FQ","BEST_FPERIOD_OVERRIDE=FQ","FILING_STATUS=MR","SCALING_FORMAT=MLN","Sort=A","Dates=H","DateFormat=P","Fill=—","Direction=H","UseDPDF=Y")</f>
        <v>6306</v>
      </c>
      <c r="U74" s="13">
        <f>_xll.BDH("GILD US Equity","ARDR_PRODUCT_REVENUE","FQ2 2023","FQ2 2023","Currency=USD","Period=FQ","BEST_FPERIOD_OVERRIDE=FQ","FILING_STATUS=MR","SCALING_FORMAT=MLN","Sort=A","Dates=H","DateFormat=P","Fill=—","Direction=H","UseDPDF=Y")</f>
        <v>6564</v>
      </c>
      <c r="V74" s="13">
        <f>_xll.BDH("GILD US Equity","ARDR_PRODUCT_REVENUE","FQ3 2023","FQ3 2023","Currency=USD","Period=FQ","BEST_FPERIOD_OVERRIDE=FQ","FILING_STATUS=MR","SCALING_FORMAT=MLN","Sort=A","Dates=H","DateFormat=P","Fill=—","Direction=H","UseDPDF=Y")</f>
        <v>6994</v>
      </c>
      <c r="W74" s="13">
        <f>_xll.BDH("GILD US Equity","ARDR_PRODUCT_REVENUE","FQ4 2023","FQ4 2023","Currency=USD","Period=FQ","BEST_FPERIOD_OVERRIDE=FQ","FILING_STATUS=MR","SCALING_FORMAT=MLN","Sort=A","Dates=H","DateFormat=P","Fill=—","Direction=H","UseDPDF=Y")</f>
        <v>7070</v>
      </c>
      <c r="X74" s="13">
        <f>_xll.BDH("GILD US Equity","ARDR_PRODUCT_REVENUE","FQ1 2024","FQ1 2024","Currency=USD","Period=FQ","BEST_FPERIOD_OVERRIDE=FQ","FILING_STATUS=MR","SCALING_FORMAT=MLN","Sort=A","Dates=H","DateFormat=P","Fill=—","Direction=H","UseDPDF=Y")</f>
        <v>6647</v>
      </c>
      <c r="Y74" s="13">
        <f>_xll.BDH("GILD US Equity","ARDR_PRODUCT_REVENUE","FQ2 2024","FQ2 2024","Currency=USD","Period=FQ","BEST_FPERIOD_OVERRIDE=FQ","FILING_STATUS=MR","SCALING_FORMAT=MLN","Sort=A","Dates=H","DateFormat=P","Fill=—","Direction=H","UseDPDF=Y")</f>
        <v>6912</v>
      </c>
      <c r="Z74" s="13">
        <f>_xll.BDH("GILD US Equity","ARDR_PRODUCT_REVENUE","FQ3 2024","FQ3 2024","Currency=USD","Period=FQ","BEST_FPERIOD_OVERRIDE=FQ","FILING_STATUS=MR","SCALING_FORMAT=MLN","Sort=A","Dates=H","DateFormat=P","Fill=—","Direction=H","UseDPDF=Y")</f>
        <v>7515</v>
      </c>
      <c r="AA74" s="13">
        <f>_xll.BDH("GILD US Equity","ARDR_PRODUCT_REVENUE","FQ4 2024","FQ4 2024","Currency=USD","Period=FQ","BEST_FPERIOD_OVERRIDE=FQ","FILING_STATUS=MR","SCALING_FORMAT=MLN","Sort=A","Dates=H","DateFormat=P","Fill=—","Direction=H","UseDPDF=Y")</f>
        <v>7536</v>
      </c>
    </row>
    <row r="75" spans="1:27" x14ac:dyDescent="0.25">
      <c r="A75" s="10" t="s">
        <v>529</v>
      </c>
      <c r="B75" s="10" t="s">
        <v>530</v>
      </c>
      <c r="C75" s="13" t="str">
        <f>_xll.BDH("GILD US Equity","ARDR_GL_ON_SALE_OF_INVESTMENTS","FQ4 2018","FQ4 2018","Currency=USD","Period=FQ","BEST_FPERIOD_OVERRIDE=FQ","FILING_STATUS=MR","SCALING_FORMAT=MLN","Sort=A","Dates=H","DateFormat=P","Fill=—","Direction=H","UseDPDF=Y")</f>
        <v>—</v>
      </c>
      <c r="D75" s="13" t="str">
        <f>_xll.BDH("GILD US Equity","ARDR_GL_ON_SALE_OF_INVESTMENTS","FQ1 2019","FQ1 2019","Currency=USD","Period=FQ","BEST_FPERIOD_OVERRIDE=FQ","FILING_STATUS=MR","SCALING_FORMAT=MLN","Sort=A","Dates=H","DateFormat=P","Fill=—","Direction=H","UseDPDF=Y")</f>
        <v>—</v>
      </c>
      <c r="E75" s="13" t="str">
        <f>_xll.BDH("GILD US Equity","ARDR_GL_ON_SALE_OF_INVESTMENTS","FQ2 2019","FQ2 2019","Currency=USD","Period=FQ","BEST_FPERIOD_OVERRIDE=FQ","FILING_STATUS=MR","SCALING_FORMAT=MLN","Sort=A","Dates=H","DateFormat=P","Fill=—","Direction=H","UseDPDF=Y")</f>
        <v>—</v>
      </c>
      <c r="F75" s="13">
        <f>_xll.BDH("GILD US Equity","ARDR_GL_ON_SALE_OF_INVESTMENTS","FQ3 2019","FQ3 2019","Currency=USD","Period=FQ","BEST_FPERIOD_OVERRIDE=FQ","FILING_STATUS=MR","SCALING_FORMAT=MLN","Sort=A","Dates=H","DateFormat=P","Fill=—","Direction=H","UseDPDF=Y")</f>
        <v>-58</v>
      </c>
      <c r="G75" s="13">
        <f>_xll.BDH("GILD US Equity","ARDR_GL_ON_SALE_OF_INVESTMENTS","FQ4 2019","FQ4 2019","Currency=USD","Period=FQ","BEST_FPERIOD_OVERRIDE=FQ","FILING_STATUS=MR","SCALING_FORMAT=MLN","Sort=A","Dates=H","DateFormat=P","Fill=—","Direction=H","UseDPDF=Y")</f>
        <v>-929</v>
      </c>
      <c r="H75" s="13">
        <f>_xll.BDH("GILD US Equity","ARDR_GL_ON_SALE_OF_INVESTMENTS","FQ1 2020","FQ1 2020","Currency=USD","Period=FQ","BEST_FPERIOD_OVERRIDE=FQ","FILING_STATUS=MR","SCALING_FORMAT=MLN","Sort=A","Dates=H","DateFormat=P","Fill=—","Direction=H","UseDPDF=Y")</f>
        <v>283</v>
      </c>
      <c r="I75" s="13">
        <f>_xll.BDH("GILD US Equity","ARDR_GL_ON_SALE_OF_INVESTMENTS","FQ2 2020","FQ2 2020","Currency=USD","Period=FQ","BEST_FPERIOD_OVERRIDE=FQ","FILING_STATUS=MR","SCALING_FORMAT=MLN","Sort=A","Dates=H","DateFormat=P","Fill=—","Direction=H","UseDPDF=Y")</f>
        <v>-201</v>
      </c>
      <c r="J75" s="13">
        <f>_xll.BDH("GILD US Equity","ARDR_GL_ON_SALE_OF_INVESTMENTS","FQ3 2020","FQ3 2020","Currency=USD","Period=FQ","BEST_FPERIOD_OVERRIDE=FQ","FILING_STATUS=MR","SCALING_FORMAT=MLN","Sort=A","Dates=H","DateFormat=P","Fill=—","Direction=H","UseDPDF=Y")</f>
        <v>969</v>
      </c>
      <c r="K75" s="13">
        <f>_xll.BDH("GILD US Equity","ARDR_GL_ON_SALE_OF_INVESTMENTS","FQ4 2020","FQ4 2020","Currency=USD","Period=FQ","BEST_FPERIOD_OVERRIDE=FQ","FILING_STATUS=MR","SCALING_FORMAT=MLN","Sort=A","Dates=H","DateFormat=P","Fill=—","Direction=H","UseDPDF=Y")</f>
        <v>616</v>
      </c>
      <c r="L75" s="13">
        <f>_xll.BDH("GILD US Equity","ARDR_GL_ON_SALE_OF_INVESTMENTS","FQ1 2021","FQ1 2021","Currency=USD","Period=FQ","BEST_FPERIOD_OVERRIDE=FQ","FILING_STATUS=MR","SCALING_FORMAT=MLN","Sort=A","Dates=H","DateFormat=P","Fill=—","Direction=H","UseDPDF=Y")</f>
        <v>351</v>
      </c>
      <c r="M75" s="13">
        <f>_xll.BDH("GILD US Equity","ARDR_GL_ON_SALE_OF_INVESTMENTS","FQ2 2021","FQ2 2021","Currency=USD","Period=FQ","BEST_FPERIOD_OVERRIDE=FQ","FILING_STATUS=MR","SCALING_FORMAT=MLN","Sort=A","Dates=H","DateFormat=P","Fill=—","Direction=H","UseDPDF=Y")</f>
        <v>174</v>
      </c>
      <c r="N75" s="13">
        <f>_xll.BDH("GILD US Equity","ARDR_GL_ON_SALE_OF_INVESTMENTS","FQ3 2021","FQ3 2021","Currency=USD","Period=FQ","BEST_FPERIOD_OVERRIDE=FQ","FILING_STATUS=MR","SCALING_FORMAT=MLN","Sort=A","Dates=H","DateFormat=P","Fill=—","Direction=H","UseDPDF=Y")</f>
        <v>142</v>
      </c>
      <c r="O75" s="13">
        <f>_xll.BDH("GILD US Equity","ARDR_GL_ON_SALE_OF_INVESTMENTS","FQ4 2021","FQ4 2021","Currency=USD","Period=FQ","BEST_FPERIOD_OVERRIDE=FQ","FILING_STATUS=MR","SCALING_FORMAT=MLN","Sort=A","Dates=H","DateFormat=P","Fill=—","Direction=H","UseDPDF=Y")</f>
        <v>-56</v>
      </c>
      <c r="P75" s="13" t="str">
        <f>_xll.BDH("GILD US Equity","ARDR_GL_ON_SALE_OF_INVESTMENTS","FQ1 2022","FQ1 2022","Currency=USD","Period=FQ","BEST_FPERIOD_OVERRIDE=FQ","FILING_STATUS=MR","SCALING_FORMAT=MLN","Sort=A","Dates=H","DateFormat=P","Fill=—","Direction=H","UseDPDF=Y")</f>
        <v>—</v>
      </c>
      <c r="Q75" s="13">
        <f>_xll.BDH("GILD US Equity","ARDR_GL_ON_SALE_OF_INVESTMENTS","FQ2 2022","FQ2 2022","Currency=USD","Period=FQ","BEST_FPERIOD_OVERRIDE=FQ","FILING_STATUS=MR","SCALING_FORMAT=MLN","Sort=A","Dates=H","DateFormat=P","Fill=—","Direction=H","UseDPDF=Y")</f>
        <v>303</v>
      </c>
      <c r="R75" s="13">
        <f>_xll.BDH("GILD US Equity","ARDR_GL_ON_SALE_OF_INVESTMENTS","FQ3 2022","FQ3 2022","Currency=USD","Period=FQ","BEST_FPERIOD_OVERRIDE=FQ","FILING_STATUS=MR","SCALING_FORMAT=MLN","Sort=A","Dates=H","DateFormat=P","Fill=—","Direction=H","UseDPDF=Y")</f>
        <v>198</v>
      </c>
      <c r="S75" s="13">
        <f>_xll.BDH("GILD US Equity","ARDR_GL_ON_SALE_OF_INVESTMENTS","FQ4 2022","FQ4 2022","Currency=USD","Period=FQ","BEST_FPERIOD_OVERRIDE=FQ","FILING_STATUS=MR","SCALING_FORMAT=MLN","Sort=A","Dates=H","DateFormat=P","Fill=—","Direction=H","UseDPDF=Y")</f>
        <v>61</v>
      </c>
      <c r="T75" s="13">
        <f>_xll.BDH("GILD US Equity","ARDR_GL_ON_SALE_OF_INVESTMENTS","FQ1 2023","FQ1 2023","Currency=USD","Period=FQ","BEST_FPERIOD_OVERRIDE=FQ","FILING_STATUS=MR","SCALING_FORMAT=MLN","Sort=A","Dates=H","DateFormat=P","Fill=—","Direction=H","UseDPDF=Y")</f>
        <v>257</v>
      </c>
      <c r="U75" s="13">
        <f>_xll.BDH("GILD US Equity","ARDR_GL_ON_SALE_OF_INVESTMENTS","FQ2 2023","FQ2 2023","Currency=USD","Period=FQ","BEST_FPERIOD_OVERRIDE=FQ","FILING_STATUS=MR","SCALING_FORMAT=MLN","Sort=A","Dates=H","DateFormat=P","Fill=—","Direction=H","UseDPDF=Y")</f>
        <v>-70</v>
      </c>
      <c r="V75" s="13" t="str">
        <f>_xll.BDH("GILD US Equity","ARDR_GL_ON_SALE_OF_INVESTMENTS","FQ3 2023","FQ3 2023","Currency=USD","Period=FQ","BEST_FPERIOD_OVERRIDE=FQ","FILING_STATUS=MR","SCALING_FORMAT=MLN","Sort=A","Dates=H","DateFormat=P","Fill=—","Direction=H","UseDPDF=Y")</f>
        <v>—</v>
      </c>
      <c r="W75" s="13">
        <f>_xll.BDH("GILD US Equity","ARDR_GL_ON_SALE_OF_INVESTMENTS","FQ4 2023","FQ4 2023","Currency=USD","Period=FQ","BEST_FPERIOD_OVERRIDE=FQ","FILING_STATUS=MR","SCALING_FORMAT=MLN","Sort=A","Dates=H","DateFormat=P","Fill=—","Direction=H","UseDPDF=Y")</f>
        <v>-189</v>
      </c>
      <c r="X75" s="13">
        <f>_xll.BDH("GILD US Equity","ARDR_GL_ON_SALE_OF_INVESTMENTS","FQ1 2024","FQ1 2024","Currency=USD","Period=FQ","BEST_FPERIOD_OVERRIDE=FQ","FILING_STATUS=MR","SCALING_FORMAT=MLN","Sort=A","Dates=H","DateFormat=P","Fill=—","Direction=H","UseDPDF=Y")</f>
        <v>14</v>
      </c>
      <c r="Y75" s="13">
        <f>_xll.BDH("GILD US Equity","ARDR_GL_ON_SALE_OF_INVESTMENTS","FQ2 2024","FQ2 2024","Currency=USD","Period=FQ","BEST_FPERIOD_OVERRIDE=FQ","FILING_STATUS=MR","SCALING_FORMAT=MLN","Sort=A","Dates=H","DateFormat=P","Fill=—","Direction=H","UseDPDF=Y")</f>
        <v>359</v>
      </c>
      <c r="Z75" s="13">
        <f>_xll.BDH("GILD US Equity","ARDR_GL_ON_SALE_OF_INVESTMENTS","FQ3 2024","FQ3 2024","Currency=USD","Period=FQ","BEST_FPERIOD_OVERRIDE=FQ","FILING_STATUS=MR","SCALING_FORMAT=MLN","Sort=A","Dates=H","DateFormat=P","Fill=—","Direction=H","UseDPDF=Y")</f>
        <v>-258</v>
      </c>
      <c r="AA75" s="13">
        <f>_xll.BDH("GILD US Equity","ARDR_GL_ON_SALE_OF_INVESTMENTS","FQ4 2024","FQ4 2024","Currency=USD","Period=FQ","BEST_FPERIOD_OVERRIDE=FQ","FILING_STATUS=MR","SCALING_FORMAT=MLN","Sort=A","Dates=H","DateFormat=P","Fill=—","Direction=H","UseDPDF=Y")</f>
        <v>126</v>
      </c>
    </row>
    <row r="76" spans="1:27" x14ac:dyDescent="0.25">
      <c r="A76" s="10" t="s">
        <v>531</v>
      </c>
      <c r="B76" s="10" t="s">
        <v>532</v>
      </c>
      <c r="C76" s="13">
        <f>_xll.BDH("GILD US Equity","ARDR_NET_INC_AVAIL_COM_SHRHLDR","FQ4 2018","FQ4 2018","Currency=USD","Period=FQ","BEST_FPERIOD_OVERRIDE=FQ","FILING_STATUS=MR","SCALING_FORMAT=MLN","Sort=A","Dates=H","DateFormat=P","Fill=—","Direction=H","UseDPDF=Y")</f>
        <v>3</v>
      </c>
      <c r="D76" s="13">
        <f>_xll.BDH("GILD US Equity","ARDR_NET_INC_AVAIL_COM_SHRHLDR","FQ1 2019","FQ1 2019","Currency=USD","Period=FQ","BEST_FPERIOD_OVERRIDE=FQ","FILING_STATUS=MR","SCALING_FORMAT=MLN","Sort=A","Dates=H","DateFormat=P","Fill=—","Direction=H","UseDPDF=Y")</f>
        <v>1975</v>
      </c>
      <c r="E76" s="13">
        <f>_xll.BDH("GILD US Equity","ARDR_NET_INC_AVAIL_COM_SHRHLDR","FQ2 2019","FQ2 2019","Currency=USD","Period=FQ","BEST_FPERIOD_OVERRIDE=FQ","FILING_STATUS=MR","SCALING_FORMAT=MLN","Sort=A","Dates=H","DateFormat=P","Fill=—","Direction=H","UseDPDF=Y")</f>
        <v>1880</v>
      </c>
      <c r="F76" s="13">
        <f>_xll.BDH("GILD US Equity","ARDR_NET_INC_AVAIL_COM_SHRHLDR","FQ3 2019","FQ3 2019","Currency=USD","Period=FQ","BEST_FPERIOD_OVERRIDE=FQ","FILING_STATUS=MR","SCALING_FORMAT=MLN","Sort=A","Dates=H","DateFormat=P","Fill=—","Direction=H","UseDPDF=Y")</f>
        <v>-1165</v>
      </c>
      <c r="G76" s="13">
        <f>_xll.BDH("GILD US Equity","ARDR_NET_INC_AVAIL_COM_SHRHLDR","FQ4 2019","FQ4 2019","Currency=USD","Period=FQ","BEST_FPERIOD_OVERRIDE=FQ","FILING_STATUS=MR","SCALING_FORMAT=MLN","Sort=A","Dates=H","DateFormat=P","Fill=—","Direction=H","UseDPDF=Y")</f>
        <v>2696</v>
      </c>
      <c r="H76" s="13">
        <f>_xll.BDH("GILD US Equity","ARDR_NET_INC_AVAIL_COM_SHRHLDR","FQ1 2020","FQ1 2020","Currency=USD","Period=FQ","BEST_FPERIOD_OVERRIDE=FQ","FILING_STATUS=MR","SCALING_FORMAT=MLN","Sort=A","Dates=H","DateFormat=P","Fill=—","Direction=H","UseDPDF=Y")</f>
        <v>1551</v>
      </c>
      <c r="I76" s="13">
        <f>_xll.BDH("GILD US Equity","ARDR_NET_INC_AVAIL_COM_SHRHLDR","FQ2 2020","FQ2 2020","Currency=USD","Period=FQ","BEST_FPERIOD_OVERRIDE=FQ","FILING_STATUS=MR","SCALING_FORMAT=MLN","Sort=A","Dates=H","DateFormat=P","Fill=—","Direction=H","UseDPDF=Y")</f>
        <v>-3339</v>
      </c>
      <c r="J76" s="13">
        <f>_xll.BDH("GILD US Equity","ARDR_NET_INC_AVAIL_COM_SHRHLDR","FQ3 2020","FQ3 2020","Currency=USD","Period=FQ","BEST_FPERIOD_OVERRIDE=FQ","FILING_STATUS=MR","SCALING_FORMAT=MLN","Sort=A","Dates=H","DateFormat=P","Fill=—","Direction=H","UseDPDF=Y")</f>
        <v>360</v>
      </c>
      <c r="K76" s="13">
        <f>_xll.BDH("GILD US Equity","ARDR_NET_INC_AVAIL_COM_SHRHLDR","FQ4 2020","FQ4 2020","Currency=USD","Period=FQ","BEST_FPERIOD_OVERRIDE=FQ","FILING_STATUS=MR","SCALING_FORMAT=MLN","Sort=A","Dates=H","DateFormat=P","Fill=—","Direction=H","UseDPDF=Y")</f>
        <v>1551</v>
      </c>
      <c r="L76" s="13">
        <f>_xll.BDH("GILD US Equity","ARDR_NET_INC_AVAIL_COM_SHRHLDR","FQ1 2021","FQ1 2021","Currency=USD","Period=FQ","BEST_FPERIOD_OVERRIDE=FQ","FILING_STATUS=MR","SCALING_FORMAT=MLN","Sort=A","Dates=H","DateFormat=P","Fill=—","Direction=H","UseDPDF=Y")</f>
        <v>1729</v>
      </c>
      <c r="M76" s="13">
        <f>_xll.BDH("GILD US Equity","ARDR_NET_INC_AVAIL_COM_SHRHLDR","FQ2 2021","FQ2 2021","Currency=USD","Period=FQ","BEST_FPERIOD_OVERRIDE=FQ","FILING_STATUS=MR","SCALING_FORMAT=MLN","Sort=A","Dates=H","DateFormat=P","Fill=—","Direction=H","UseDPDF=Y")</f>
        <v>1522</v>
      </c>
      <c r="N76" s="13">
        <f>_xll.BDH("GILD US Equity","ARDR_NET_INC_AVAIL_COM_SHRHLDR","FQ3 2021","FQ3 2021","Currency=USD","Period=FQ","BEST_FPERIOD_OVERRIDE=FQ","FILING_STATUS=MR","SCALING_FORMAT=MLN","Sort=A","Dates=H","DateFormat=P","Fill=—","Direction=H","UseDPDF=Y")</f>
        <v>2592</v>
      </c>
      <c r="O76" s="13">
        <f>_xll.BDH("GILD US Equity","ARDR_NET_INC_AVAIL_COM_SHRHLDR","FQ4 2021","FQ4 2021","Currency=USD","Period=FQ","BEST_FPERIOD_OVERRIDE=FQ","FILING_STATUS=MR","SCALING_FORMAT=MLN","Sort=A","Dates=H","DateFormat=P","Fill=—","Direction=H","UseDPDF=Y")</f>
        <v>382</v>
      </c>
      <c r="P76" s="13">
        <f>_xll.BDH("GILD US Equity","ARDR_NET_INC_AVAIL_COM_SHRHLDR","FQ1 2022","FQ1 2022","Currency=USD","Period=FQ","BEST_FPERIOD_OVERRIDE=FQ","FILING_STATUS=MR","SCALING_FORMAT=MLN","Sort=A","Dates=H","DateFormat=P","Fill=—","Direction=H","UseDPDF=Y")</f>
        <v>19</v>
      </c>
      <c r="Q76" s="13">
        <f>_xll.BDH("GILD US Equity","ARDR_NET_INC_AVAIL_COM_SHRHLDR","FQ2 2022","FQ2 2022","Currency=USD","Period=FQ","BEST_FPERIOD_OVERRIDE=FQ","FILING_STATUS=MR","SCALING_FORMAT=MLN","Sort=A","Dates=H","DateFormat=P","Fill=—","Direction=H","UseDPDF=Y")</f>
        <v>1144</v>
      </c>
      <c r="R76" s="13">
        <f>_xll.BDH("GILD US Equity","ARDR_NET_INC_AVAIL_COM_SHRHLDR","FQ3 2022","FQ3 2022","Currency=USD","Period=FQ","BEST_FPERIOD_OVERRIDE=FQ","FILING_STATUS=MR","SCALING_FORMAT=MLN","Sort=A","Dates=H","DateFormat=P","Fill=—","Direction=H","UseDPDF=Y")</f>
        <v>1789</v>
      </c>
      <c r="S76" s="13">
        <f>_xll.BDH("GILD US Equity","ARDR_NET_INC_AVAIL_COM_SHRHLDR","FQ4 2022","FQ4 2022","Currency=USD","Period=FQ","BEST_FPERIOD_OVERRIDE=FQ","FILING_STATUS=MR","SCALING_FORMAT=MLN","Sort=A","Dates=H","DateFormat=P","Fill=—","Direction=H","UseDPDF=Y")</f>
        <v>1640</v>
      </c>
      <c r="T76" s="13">
        <f>_xll.BDH("GILD US Equity","ARDR_NET_INC_AVAIL_COM_SHRHLDR","FQ1 2023","FQ1 2023","Currency=USD","Period=FQ","BEST_FPERIOD_OVERRIDE=FQ","FILING_STATUS=MR","SCALING_FORMAT=MLN","Sort=A","Dates=H","DateFormat=P","Fill=—","Direction=H","UseDPDF=Y")</f>
        <v>1010</v>
      </c>
      <c r="U76" s="13">
        <f>_xll.BDH("GILD US Equity","ARDR_NET_INC_AVAIL_COM_SHRHLDR","FQ2 2023","FQ2 2023","Currency=USD","Period=FQ","BEST_FPERIOD_OVERRIDE=FQ","FILING_STATUS=MR","SCALING_FORMAT=MLN","Sort=A","Dates=H","DateFormat=P","Fill=—","Direction=H","UseDPDF=Y")</f>
        <v>1045</v>
      </c>
      <c r="V76" s="13">
        <f>_xll.BDH("GILD US Equity","ARDR_NET_INC_AVAIL_COM_SHRHLDR","FQ3 2023","FQ3 2023","Currency=USD","Period=FQ","BEST_FPERIOD_OVERRIDE=FQ","FILING_STATUS=MR","SCALING_FORMAT=MLN","Sort=A","Dates=H","DateFormat=P","Fill=—","Direction=H","UseDPDF=Y")</f>
        <v>2180</v>
      </c>
      <c r="W76" s="13">
        <f>_xll.BDH("GILD US Equity","ARDR_NET_INC_AVAIL_COM_SHRHLDR","FQ4 2023","FQ4 2023","Currency=USD","Period=FQ","BEST_FPERIOD_OVERRIDE=FQ","FILING_STATUS=MR","SCALING_FORMAT=MLN","Sort=A","Dates=H","DateFormat=P","Fill=—","Direction=H","UseDPDF=Y")</f>
        <v>1429</v>
      </c>
      <c r="X76" s="13">
        <f>_xll.BDH("GILD US Equity","ARDR_NET_INC_AVAIL_COM_SHRHLDR","FQ1 2024","FQ1 2024","Currency=USD","Period=FQ","BEST_FPERIOD_OVERRIDE=FQ","FILING_STATUS=MR","SCALING_FORMAT=MLN","Sort=A","Dates=H","DateFormat=P","Fill=—","Direction=H","UseDPDF=Y")</f>
        <v>-4170</v>
      </c>
      <c r="Y76" s="13">
        <f>_xll.BDH("GILD US Equity","ARDR_NET_INC_AVAIL_COM_SHRHLDR","FQ2 2024","FQ2 2024","Currency=USD","Period=FQ","BEST_FPERIOD_OVERRIDE=FQ","FILING_STATUS=MR","SCALING_FORMAT=MLN","Sort=A","Dates=H","DateFormat=P","Fill=—","Direction=H","UseDPDF=Y")</f>
        <v>1614</v>
      </c>
      <c r="Z76" s="13">
        <f>_xll.BDH("GILD US Equity","ARDR_NET_INC_AVAIL_COM_SHRHLDR","FQ3 2024","FQ3 2024","Currency=USD","Period=FQ","BEST_FPERIOD_OVERRIDE=FQ","FILING_STATUS=MR","SCALING_FORMAT=MLN","Sort=A","Dates=H","DateFormat=P","Fill=—","Direction=H","UseDPDF=Y")</f>
        <v>1253</v>
      </c>
      <c r="AA76" s="13">
        <f>_xll.BDH("GILD US Equity","ARDR_NET_INC_AVAIL_COM_SHRHLDR","FQ4 2024","FQ4 2024","Currency=USD","Period=FQ","BEST_FPERIOD_OVERRIDE=FQ","FILING_STATUS=MR","SCALING_FORMAT=MLN","Sort=A","Dates=H","DateFormat=P","Fill=—","Direction=H","UseDPDF=Y")</f>
        <v>1783</v>
      </c>
    </row>
    <row r="77" spans="1:27" x14ac:dyDescent="0.25">
      <c r="A77" s="10" t="s">
        <v>448</v>
      </c>
      <c r="B77" s="10" t="s">
        <v>533</v>
      </c>
      <c r="C77" s="13" t="str">
        <f>_xll.BDH("GILD US Equity","ARDR_OTH_NON_OPER_INC_EXP_NET","FQ4 2018","FQ4 2018","Currency=USD","Period=FQ","BEST_FPERIOD_OVERRIDE=FQ","FILING_STATUS=MR","SCALING_FORMAT=MLN","Sort=A","Dates=H","DateFormat=P","Fill=—","Direction=H","UseDPDF=Y")</f>
        <v>—</v>
      </c>
      <c r="D77" s="13" t="str">
        <f>_xll.BDH("GILD US Equity","ARDR_OTH_NON_OPER_INC_EXP_NET","FQ1 2019","FQ1 2019","Currency=USD","Period=FQ","BEST_FPERIOD_OVERRIDE=FQ","FILING_STATUS=MR","SCALING_FORMAT=MLN","Sort=A","Dates=H","DateFormat=P","Fill=—","Direction=H","UseDPDF=Y")</f>
        <v>—</v>
      </c>
      <c r="E77" s="13" t="str">
        <f>_xll.BDH("GILD US Equity","ARDR_OTH_NON_OPER_INC_EXP_NET","FQ2 2019","FQ2 2019","Currency=USD","Period=FQ","BEST_FPERIOD_OVERRIDE=FQ","FILING_STATUS=MR","SCALING_FORMAT=MLN","Sort=A","Dates=H","DateFormat=P","Fill=—","Direction=H","UseDPDF=Y")</f>
        <v>—</v>
      </c>
      <c r="F77" s="13" t="str">
        <f>_xll.BDH("GILD US Equity","ARDR_OTH_NON_OPER_INC_EXP_NET","FQ3 2019","FQ3 2019","Currency=USD","Period=FQ","BEST_FPERIOD_OVERRIDE=FQ","FILING_STATUS=MR","SCALING_FORMAT=MLN","Sort=A","Dates=H","DateFormat=P","Fill=—","Direction=H","UseDPDF=Y")</f>
        <v>—</v>
      </c>
      <c r="G77" s="13" t="str">
        <f>_xll.BDH("GILD US Equity","ARDR_OTH_NON_OPER_INC_EXP_NET","FQ4 2019","FQ4 2019","Currency=USD","Period=FQ","BEST_FPERIOD_OVERRIDE=FQ","FILING_STATUS=MR","SCALING_FORMAT=MLN","Sort=A","Dates=H","DateFormat=P","Fill=—","Direction=H","UseDPDF=Y")</f>
        <v>—</v>
      </c>
      <c r="H77" s="13" t="str">
        <f>_xll.BDH("GILD US Equity","ARDR_OTH_NON_OPER_INC_EXP_NET","FQ1 2020","FQ1 2020","Currency=USD","Period=FQ","BEST_FPERIOD_OVERRIDE=FQ","FILING_STATUS=MR","SCALING_FORMAT=MLN","Sort=A","Dates=H","DateFormat=P","Fill=—","Direction=H","UseDPDF=Y")</f>
        <v>—</v>
      </c>
      <c r="I77" s="13" t="str">
        <f>_xll.BDH("GILD US Equity","ARDR_OTH_NON_OPER_INC_EXP_NET","FQ2 2020","FQ2 2020","Currency=USD","Period=FQ","BEST_FPERIOD_OVERRIDE=FQ","FILING_STATUS=MR","SCALING_FORMAT=MLN","Sort=A","Dates=H","DateFormat=P","Fill=—","Direction=H","UseDPDF=Y")</f>
        <v>—</v>
      </c>
      <c r="J77" s="13" t="str">
        <f>_xll.BDH("GILD US Equity","ARDR_OTH_NON_OPER_INC_EXP_NET","FQ3 2020","FQ3 2020","Currency=USD","Period=FQ","BEST_FPERIOD_OVERRIDE=FQ","FILING_STATUS=MR","SCALING_FORMAT=MLN","Sort=A","Dates=H","DateFormat=P","Fill=—","Direction=H","UseDPDF=Y")</f>
        <v>—</v>
      </c>
      <c r="K77" s="13" t="str">
        <f>_xll.BDH("GILD US Equity","ARDR_OTH_NON_OPER_INC_EXP_NET","FQ4 2020","FQ4 2020","Currency=USD","Period=FQ","BEST_FPERIOD_OVERRIDE=FQ","FILING_STATUS=MR","SCALING_FORMAT=MLN","Sort=A","Dates=H","DateFormat=P","Fill=—","Direction=H","UseDPDF=Y")</f>
        <v>—</v>
      </c>
      <c r="L77" s="13" t="str">
        <f>_xll.BDH("GILD US Equity","ARDR_OTH_NON_OPER_INC_EXP_NET","FQ1 2021","FQ1 2021","Currency=USD","Period=FQ","BEST_FPERIOD_OVERRIDE=FQ","FILING_STATUS=MR","SCALING_FORMAT=MLN","Sort=A","Dates=H","DateFormat=P","Fill=—","Direction=H","UseDPDF=Y")</f>
        <v>—</v>
      </c>
      <c r="M77" s="13" t="str">
        <f>_xll.BDH("GILD US Equity","ARDR_OTH_NON_OPER_INC_EXP_NET","FQ2 2021","FQ2 2021","Currency=USD","Period=FQ","BEST_FPERIOD_OVERRIDE=FQ","FILING_STATUS=MR","SCALING_FORMAT=MLN","Sort=A","Dates=H","DateFormat=P","Fill=—","Direction=H","UseDPDF=Y")</f>
        <v>—</v>
      </c>
      <c r="N77" s="13" t="str">
        <f>_xll.BDH("GILD US Equity","ARDR_OTH_NON_OPER_INC_EXP_NET","FQ3 2021","FQ3 2021","Currency=USD","Period=FQ","BEST_FPERIOD_OVERRIDE=FQ","FILING_STATUS=MR","SCALING_FORMAT=MLN","Sort=A","Dates=H","DateFormat=P","Fill=—","Direction=H","UseDPDF=Y")</f>
        <v>—</v>
      </c>
      <c r="O77" s="13" t="str">
        <f>_xll.BDH("GILD US Equity","ARDR_OTH_NON_OPER_INC_EXP_NET","FQ4 2021","FQ4 2021","Currency=USD","Period=FQ","BEST_FPERIOD_OVERRIDE=FQ","FILING_STATUS=MR","SCALING_FORMAT=MLN","Sort=A","Dates=H","DateFormat=P","Fill=—","Direction=H","UseDPDF=Y")</f>
        <v>—</v>
      </c>
      <c r="P77" s="13" t="str">
        <f>_xll.BDH("GILD US Equity","ARDR_OTH_NON_OPER_INC_EXP_NET","FQ1 2022","FQ1 2022","Currency=USD","Period=FQ","BEST_FPERIOD_OVERRIDE=FQ","FILING_STATUS=MR","SCALING_FORMAT=MLN","Sort=A","Dates=H","DateFormat=P","Fill=—","Direction=H","UseDPDF=Y")</f>
        <v>—</v>
      </c>
      <c r="Q77" s="13" t="str">
        <f>_xll.BDH("GILD US Equity","ARDR_OTH_NON_OPER_INC_EXP_NET","FQ2 2022","FQ2 2022","Currency=USD","Period=FQ","BEST_FPERIOD_OVERRIDE=FQ","FILING_STATUS=MR","SCALING_FORMAT=MLN","Sort=A","Dates=H","DateFormat=P","Fill=—","Direction=H","UseDPDF=Y")</f>
        <v>—</v>
      </c>
      <c r="R77" s="13" t="str">
        <f>_xll.BDH("GILD US Equity","ARDR_OTH_NON_OPER_INC_EXP_NET","FQ3 2022","FQ3 2022","Currency=USD","Period=FQ","BEST_FPERIOD_OVERRIDE=FQ","FILING_STATUS=MR","SCALING_FORMAT=MLN","Sort=A","Dates=H","DateFormat=P","Fill=—","Direction=H","UseDPDF=Y")</f>
        <v>—</v>
      </c>
      <c r="S77" s="13" t="str">
        <f>_xll.BDH("GILD US Equity","ARDR_OTH_NON_OPER_INC_EXP_NET","FQ4 2022","FQ4 2022","Currency=USD","Period=FQ","BEST_FPERIOD_OVERRIDE=FQ","FILING_STATUS=MR","SCALING_FORMAT=MLN","Sort=A","Dates=H","DateFormat=P","Fill=—","Direction=H","UseDPDF=Y")</f>
        <v>—</v>
      </c>
      <c r="T77" s="13">
        <f>_xll.BDH("GILD US Equity","ARDR_OTH_NON_OPER_INC_EXP_NET","FQ1 2023","FQ1 2023","Currency=USD","Period=FQ","BEST_FPERIOD_OVERRIDE=FQ","FILING_STATUS=MR","SCALING_FORMAT=MLN","Sort=A","Dates=H","DateFormat=P","Fill=—","Direction=H","UseDPDF=Y")</f>
        <v>82</v>
      </c>
      <c r="U77" s="13" t="str">
        <f>_xll.BDH("GILD US Equity","ARDR_OTH_NON_OPER_INC_EXP_NET","FQ2 2023","FQ2 2023","Currency=USD","Period=FQ","BEST_FPERIOD_OVERRIDE=FQ","FILING_STATUS=MR","SCALING_FORMAT=MLN","Sort=A","Dates=H","DateFormat=P","Fill=—","Direction=H","UseDPDF=Y")</f>
        <v>—</v>
      </c>
      <c r="V77" s="13" t="str">
        <f>_xll.BDH("GILD US Equity","ARDR_OTH_NON_OPER_INC_EXP_NET","FQ3 2023","FQ3 2023","Currency=USD","Period=FQ","BEST_FPERIOD_OVERRIDE=FQ","FILING_STATUS=MR","SCALING_FORMAT=MLN","Sort=A","Dates=H","DateFormat=P","Fill=—","Direction=H","UseDPDF=Y")</f>
        <v>—</v>
      </c>
      <c r="W77" s="13" t="str">
        <f>_xll.BDH("GILD US Equity","ARDR_OTH_NON_OPER_INC_EXP_NET","FQ4 2023","FQ4 2023","Currency=USD","Period=FQ","BEST_FPERIOD_OVERRIDE=FQ","FILING_STATUS=MR","SCALING_FORMAT=MLN","Sort=A","Dates=H","DateFormat=P","Fill=—","Direction=H","UseDPDF=Y")</f>
        <v>—</v>
      </c>
      <c r="X77" s="13" t="str">
        <f>_xll.BDH("GILD US Equity","ARDR_OTH_NON_OPER_INC_EXP_NET","FQ1 2024","FQ1 2024","Currency=USD","Period=FQ","BEST_FPERIOD_OVERRIDE=FQ","FILING_STATUS=MR","SCALING_FORMAT=MLN","Sort=A","Dates=H","DateFormat=P","Fill=—","Direction=H","UseDPDF=Y")</f>
        <v>—</v>
      </c>
      <c r="Y77" s="13" t="str">
        <f>_xll.BDH("GILD US Equity","ARDR_OTH_NON_OPER_INC_EXP_NET","FQ2 2024","FQ2 2024","Currency=USD","Period=FQ","BEST_FPERIOD_OVERRIDE=FQ","FILING_STATUS=MR","SCALING_FORMAT=MLN","Sort=A","Dates=H","DateFormat=P","Fill=—","Direction=H","UseDPDF=Y")</f>
        <v>—</v>
      </c>
      <c r="Z77" s="13" t="str">
        <f>_xll.BDH("GILD US Equity","ARDR_OTH_NON_OPER_INC_EXP_NET","FQ3 2024","FQ3 2024","Currency=USD","Period=FQ","BEST_FPERIOD_OVERRIDE=FQ","FILING_STATUS=MR","SCALING_FORMAT=MLN","Sort=A","Dates=H","DateFormat=P","Fill=—","Direction=H","UseDPDF=Y")</f>
        <v>—</v>
      </c>
      <c r="AA77" s="13" t="str">
        <f>_xll.BDH("GILD US Equity","ARDR_OTH_NON_OPER_INC_EXP_NET","FQ4 2024","FQ4 2024","Currency=USD","Period=FQ","BEST_FPERIOD_OVERRIDE=FQ","FILING_STATUS=MR","SCALING_FORMAT=MLN","Sort=A","Dates=H","DateFormat=P","Fill=—","Direction=H","UseDPDF=Y")</f>
        <v>—</v>
      </c>
    </row>
    <row r="78" spans="1:27" x14ac:dyDescent="0.25">
      <c r="A78" s="10" t="s">
        <v>534</v>
      </c>
      <c r="B78" s="10" t="s">
        <v>535</v>
      </c>
      <c r="C78" s="13">
        <f>_xll.BDH("GILD US Equity","ARD_ADJ_NET_INCOME_AS_REPORTED","FQ4 2018","FQ4 2018","Currency=USD","Period=FQ","BEST_FPERIOD_OVERRIDE=FQ","FILING_STATUS=MR","SCALING_FORMAT=MLN","Sort=A","Dates=H","DateFormat=P","Fill=—","Direction=H","UseDPDF=Y")</f>
        <v>1873</v>
      </c>
      <c r="D78" s="13">
        <f>_xll.BDH("GILD US Equity","ARD_ADJ_NET_INCOME_AS_REPORTED","FQ1 2019","FQ1 2019","Currency=USD","Period=FQ","BEST_FPERIOD_OVERRIDE=FQ","FILING_STATUS=MR","SCALING_FORMAT=MLN","Sort=A","Dates=H","DateFormat=P","Fill=—","Direction=H","UseDPDF=Y")</f>
        <v>2141</v>
      </c>
      <c r="E78" s="13">
        <f>_xll.BDH("GILD US Equity","ARD_ADJ_NET_INCOME_AS_REPORTED","FQ2 2019","FQ2 2019","Currency=USD","Period=FQ","BEST_FPERIOD_OVERRIDE=FQ","FILING_STATUS=MR","SCALING_FORMAT=MLN","Sort=A","Dates=H","DateFormat=P","Fill=—","Direction=H","UseDPDF=Y")</f>
        <v>2331</v>
      </c>
      <c r="F78" s="13">
        <f>_xll.BDH("GILD US Equity","ARD_ADJ_NET_INCOME_AS_REPORTED","FQ3 2019","FQ3 2019","Currency=USD","Period=FQ","BEST_FPERIOD_OVERRIDE=FQ","FILING_STATUS=MR","SCALING_FORMAT=MLN","Sort=A","Dates=H","DateFormat=P","Fill=—","Direction=H","UseDPDF=Y")</f>
        <v>2091</v>
      </c>
      <c r="G78" s="13">
        <f>_xll.BDH("GILD US Equity","ARD_ADJ_NET_INCOME_AS_REPORTED","FQ4 2019","FQ4 2019","Currency=USD","Period=FQ","BEST_FPERIOD_OVERRIDE=FQ","FILING_STATUS=MR","SCALING_FORMAT=MLN","Sort=A","Dates=H","DateFormat=P","Fill=—","Direction=H","UseDPDF=Y")</f>
        <v>1653</v>
      </c>
      <c r="H78" s="13">
        <f>_xll.BDH("GILD US Equity","ARD_ADJ_NET_INCOME_AS_REPORTED","FQ1 2020","FQ1 2020","Currency=USD","Period=FQ","BEST_FPERIOD_OVERRIDE=FQ","FILING_STATUS=MR","SCALING_FORMAT=MLN","Sort=A","Dates=H","DateFormat=P","Fill=—","Direction=H","UseDPDF=Y")</f>
        <v>2139</v>
      </c>
      <c r="I78" s="13">
        <f>_xll.BDH("GILD US Equity","ARD_ADJ_NET_INCOME_AS_REPORTED","FQ2 2020","FQ2 2020","Currency=USD","Period=FQ","BEST_FPERIOD_OVERRIDE=FQ","FILING_STATUS=MR","SCALING_FORMAT=MLN","Sort=A","Dates=H","DateFormat=P","Fill=—","Direction=H","UseDPDF=Y")</f>
        <v>1400</v>
      </c>
      <c r="J78" s="13">
        <f>_xll.BDH("GILD US Equity","ARD_ADJ_NET_INCOME_AS_REPORTED","FQ3 2020","FQ3 2020","Currency=USD","Period=FQ","BEST_FPERIOD_OVERRIDE=FQ","FILING_STATUS=MR","SCALING_FORMAT=MLN","Sort=A","Dates=H","DateFormat=P","Fill=—","Direction=H","UseDPDF=Y")</f>
        <v>2657</v>
      </c>
      <c r="K78" s="13">
        <f>_xll.BDH("GILD US Equity","ARD_ADJ_NET_INCOME_AS_REPORTED","FQ4 2020","FQ4 2020","Currency=USD","Period=FQ","BEST_FPERIOD_OVERRIDE=FQ","FILING_STATUS=MR","SCALING_FORMAT=MLN","Sort=A","Dates=H","DateFormat=P","Fill=—","Direction=H","UseDPDF=Y")</f>
        <v>2762</v>
      </c>
      <c r="L78" s="13">
        <f>_xll.BDH("GILD US Equity","ARD_ADJ_NET_INCOME_AS_REPORTED","FQ1 2021","FQ1 2021","Currency=USD","Period=FQ","BEST_FPERIOD_OVERRIDE=FQ","FILING_STATUS=MR","SCALING_FORMAT=MLN","Sort=A","Dates=H","DateFormat=P","Fill=—","Direction=H","UseDPDF=Y")</f>
        <v>2578</v>
      </c>
      <c r="M78" s="13">
        <f>_xll.BDH("GILD US Equity","ARD_ADJ_NET_INCOME_AS_REPORTED","FQ2 2021","FQ2 2021","Currency=USD","Period=FQ","BEST_FPERIOD_OVERRIDE=FQ","FILING_STATUS=MR","SCALING_FORMAT=MLN","Sort=A","Dates=H","DateFormat=P","Fill=—","Direction=H","UseDPDF=Y")</f>
        <v>2353</v>
      </c>
      <c r="N78" s="13">
        <f>_xll.BDH("GILD US Equity","ARD_ADJ_NET_INCOME_AS_REPORTED","FQ3 2021","FQ3 2021","Currency=USD","Period=FQ","BEST_FPERIOD_OVERRIDE=FQ","FILING_STATUS=MR","SCALING_FORMAT=MLN","Sort=A","Dates=H","DateFormat=P","Fill=—","Direction=H","UseDPDF=Y")</f>
        <v>3343</v>
      </c>
      <c r="O78" s="13">
        <f>_xll.BDH("GILD US Equity","ARD_ADJ_NET_INCOME_AS_REPORTED","FQ4 2021","FQ4 2021","Currency=USD","Period=FQ","BEST_FPERIOD_OVERRIDE=FQ","FILING_STATUS=MR","SCALING_FORMAT=MLN","Sort=A","Dates=H","DateFormat=P","Fill=—","Direction=H","UseDPDF=Y")</f>
        <v>866</v>
      </c>
      <c r="P78" s="13">
        <f>_xll.BDH("GILD US Equity","ARD_ADJ_NET_INCOME_AS_REPORTED","FQ1 2022","FQ1 2022","Currency=USD","Period=FQ","BEST_FPERIOD_OVERRIDE=FQ","FILING_STATUS=MR","SCALING_FORMAT=MLN","Sort=A","Dates=H","DateFormat=P","Fill=—","Direction=H","UseDPDF=Y")</f>
        <v>2676</v>
      </c>
      <c r="Q78" s="13">
        <f>_xll.BDH("GILD US Equity","ARD_ADJ_NET_INCOME_AS_REPORTED","FQ2 2022","FQ2 2022","Currency=USD","Period=FQ","BEST_FPERIOD_OVERRIDE=FQ","FILING_STATUS=MR","SCALING_FORMAT=MLN","Sort=A","Dates=H","DateFormat=P","Fill=—","Direction=H","UseDPDF=Y")</f>
        <v>1985</v>
      </c>
      <c r="R78" s="13">
        <f>_xll.BDH("GILD US Equity","ARD_ADJ_NET_INCOME_AS_REPORTED","FQ3 2022","FQ3 2022","Currency=USD","Period=FQ","BEST_FPERIOD_OVERRIDE=FQ","FILING_STATUS=MR","SCALING_FORMAT=MLN","Sort=A","Dates=H","DateFormat=P","Fill=—","Direction=H","UseDPDF=Y")</f>
        <v>2391</v>
      </c>
      <c r="S78" s="13">
        <f>_xll.BDH("GILD US Equity","ARD_ADJ_NET_INCOME_AS_REPORTED","FQ4 2022","FQ4 2022","Currency=USD","Period=FQ","BEST_FPERIOD_OVERRIDE=FQ","FILING_STATUS=MR","SCALING_FORMAT=MLN","Sort=A","Dates=H","DateFormat=P","Fill=—","Direction=H","UseDPDF=Y")</f>
        <v>2106</v>
      </c>
      <c r="T78" s="13">
        <f>_xll.BDH("GILD US Equity","ARD_ADJ_NET_INCOME_AS_REPORTED","FQ1 2023","FQ1 2023","Currency=USD","Period=FQ","BEST_FPERIOD_OVERRIDE=FQ","FILING_STATUS=MR","SCALING_FORMAT=MLN","Sort=A","Dates=H","DateFormat=P","Fill=—","Direction=H","UseDPDF=Y")</f>
        <v>1725</v>
      </c>
      <c r="U78" s="13">
        <f>_xll.BDH("GILD US Equity","ARD_ADJ_NET_INCOME_AS_REPORTED","FQ2 2023","FQ2 2023","Currency=USD","Period=FQ","BEST_FPERIOD_OVERRIDE=FQ","FILING_STATUS=MR","SCALING_FORMAT=MLN","Sort=A","Dates=H","DateFormat=P","Fill=—","Direction=H","UseDPDF=Y")</f>
        <v>1688</v>
      </c>
      <c r="V78" s="13">
        <f>_xll.BDH("GILD US Equity","ARD_ADJ_NET_INCOME_AS_REPORTED","FQ3 2023","FQ3 2023","Currency=USD","Period=FQ","BEST_FPERIOD_OVERRIDE=FQ","FILING_STATUS=MR","SCALING_FORMAT=MLN","Sort=A","Dates=H","DateFormat=P","Fill=—","Direction=H","UseDPDF=Y")</f>
        <v>2879</v>
      </c>
      <c r="W78" s="13">
        <f>_xll.BDH("GILD US Equity","ARD_ADJ_NET_INCOME_AS_REPORTED","FQ4 2023","FQ4 2023","Currency=USD","Period=FQ","BEST_FPERIOD_OVERRIDE=FQ","FILING_STATUS=MR","SCALING_FORMAT=MLN","Sort=A","Dates=H","DateFormat=P","Fill=—","Direction=H","UseDPDF=Y")</f>
        <v>2161</v>
      </c>
      <c r="X78" s="13">
        <f>_xll.BDH("GILD US Equity","ARD_ADJ_NET_INCOME_AS_REPORTED","FQ1 2024","FQ1 2024","Currency=USD","Period=FQ","BEST_FPERIOD_OVERRIDE=FQ","FILING_STATUS=MR","SCALING_FORMAT=MLN","Sort=A","Dates=H","DateFormat=P","Fill=—","Direction=H","UseDPDF=Y")</f>
        <v>-1644</v>
      </c>
      <c r="Y78" s="13">
        <f>_xll.BDH("GILD US Equity","ARD_ADJ_NET_INCOME_AS_REPORTED","FQ2 2024","FQ2 2024","Currency=USD","Period=FQ","BEST_FPERIOD_OVERRIDE=FQ","FILING_STATUS=MR","SCALING_FORMAT=MLN","Sort=A","Dates=H","DateFormat=P","Fill=—","Direction=H","UseDPDF=Y")</f>
        <v>2519</v>
      </c>
      <c r="Z78" s="13">
        <f>_xll.BDH("GILD US Equity","ARD_ADJ_NET_INCOME_AS_REPORTED","FQ3 2024","FQ3 2024","Currency=USD","Period=FQ","BEST_FPERIOD_OVERRIDE=FQ","FILING_STATUS=MR","SCALING_FORMAT=MLN","Sort=A","Dates=H","DateFormat=P","Fill=—","Direction=H","UseDPDF=Y")</f>
        <v>2531</v>
      </c>
      <c r="AA78" s="13">
        <f>_xll.BDH("GILD US Equity","ARD_ADJ_NET_INCOME_AS_REPORTED","FQ4 2024","FQ4 2024","Currency=USD","Period=FQ","BEST_FPERIOD_OVERRIDE=FQ","FILING_STATUS=MR","SCALING_FORMAT=MLN","Sort=A","Dates=H","DateFormat=P","Fill=—","Direction=H","UseDPDF=Y")</f>
        <v>2390</v>
      </c>
    </row>
    <row r="79" spans="1:27" x14ac:dyDescent="0.25">
      <c r="A79" s="10" t="s">
        <v>536</v>
      </c>
      <c r="B79" s="10" t="s">
        <v>537</v>
      </c>
      <c r="C79" s="14">
        <f>_xll.BDH("GILD US Equity","ARDR_EFFECTIVE_TAX_RATE_PCT","FQ4 2018","FQ4 2018","Currency=USD","Period=FQ","BEST_FPERIOD_OVERRIDE=FQ","FILING_STATUS=MR","Sort=A","Dates=H","DateFormat=P","Fill=—","Direction=H","UseDPDF=Y")</f>
        <v>99.6</v>
      </c>
      <c r="D79" s="14">
        <f>_xll.BDH("GILD US Equity","ARDR_EFFECTIVE_TAX_RATE_PCT","FQ1 2019","FQ1 2019","Currency=USD","Period=FQ","BEST_FPERIOD_OVERRIDE=FQ","FILING_STATUS=MR","Sort=A","Dates=H","DateFormat=P","Fill=—","Direction=H","UseDPDF=Y")</f>
        <v>16.3</v>
      </c>
      <c r="E79" s="14">
        <f>_xll.BDH("GILD US Equity","ARDR_EFFECTIVE_TAX_RATE_PCT","FQ2 2019","FQ2 2019","Currency=USD","Period=FQ","BEST_FPERIOD_OVERRIDE=FQ","FILING_STATUS=MR","Sort=A","Dates=H","DateFormat=P","Fill=—","Direction=H","UseDPDF=Y")</f>
        <v>22.2</v>
      </c>
      <c r="F79" s="14">
        <f>_xll.BDH("GILD US Equity","ARDR_EFFECTIVE_TAX_RATE_PCT","FQ3 2019","FQ3 2019","Currency=USD","Period=FQ","BEST_FPERIOD_OVERRIDE=FQ","FILING_STATUS=MR","Sort=A","Dates=H","DateFormat=P","Fill=—","Direction=H","UseDPDF=Y")</f>
        <v>22.2</v>
      </c>
      <c r="G79" s="14">
        <f>_xll.BDH("GILD US Equity","ARDR_EFFECTIVE_TAX_RATE_PCT","FQ4 2019","FQ4 2019","Currency=USD","Period=FQ","BEST_FPERIOD_OVERRIDE=FQ","FILING_STATUS=MR","Sort=A","Dates=H","DateFormat=P","Fill=—","Direction=H","UseDPDF=Y")</f>
        <v>-41.5</v>
      </c>
      <c r="H79" s="14">
        <f>_xll.BDH("GILD US Equity","ARDR_EFFECTIVE_TAX_RATE_PCT","FQ1 2020","FQ1 2020","Currency=USD","Period=FQ","BEST_FPERIOD_OVERRIDE=FQ","FILING_STATUS=MR","Sort=A","Dates=H","DateFormat=P","Fill=—","Direction=H","UseDPDF=Y")</f>
        <v>23.2</v>
      </c>
      <c r="I79" s="14">
        <f>_xll.BDH("GILD US Equity","ARDR_EFFECTIVE_TAX_RATE_PCT","FQ2 2020","FQ2 2020","Currency=USD","Period=FQ","BEST_FPERIOD_OVERRIDE=FQ","FILING_STATUS=MR","Sort=A","Dates=H","DateFormat=P","Fill=—","Direction=H","UseDPDF=Y")</f>
        <v>-12.5</v>
      </c>
      <c r="J79" s="14">
        <f>_xll.BDH("GILD US Equity","ARDR_EFFECTIVE_TAX_RATE_PCT","FQ3 2020","FQ3 2020","Currency=USD","Period=FQ","BEST_FPERIOD_OVERRIDE=FQ","FILING_STATUS=MR","Sort=A","Dates=H","DateFormat=P","Fill=—","Direction=H","UseDPDF=Y")</f>
        <v>57.2</v>
      </c>
      <c r="K79" s="14">
        <f>_xll.BDH("GILD US Equity","ARDR_EFFECTIVE_TAX_RATE_PCT","FQ4 2020","FQ4 2020","Currency=USD","Period=FQ","BEST_FPERIOD_OVERRIDE=FQ","FILING_STATUS=MR","Sort=A","Dates=H","DateFormat=P","Fill=—","Direction=H","UseDPDF=Y")</f>
        <v>14.9</v>
      </c>
      <c r="L79" s="14">
        <f>_xll.BDH("GILD US Equity","ARDR_EFFECTIVE_TAX_RATE_PCT","FQ1 2021","FQ1 2021","Currency=USD","Period=FQ","BEST_FPERIOD_OVERRIDE=FQ","FILING_STATUS=MR","Sort=A","Dates=H","DateFormat=P","Fill=—","Direction=H","UseDPDF=Y")</f>
        <v>23.9</v>
      </c>
      <c r="M79" s="14">
        <f>_xll.BDH("GILD US Equity","ARDR_EFFECTIVE_TAX_RATE_PCT","FQ2 2021","FQ2 2021","Currency=USD","Period=FQ","BEST_FPERIOD_OVERRIDE=FQ","FILING_STATUS=MR","Sort=A","Dates=H","DateFormat=P","Fill=—","Direction=H","UseDPDF=Y")</f>
        <v>16.5</v>
      </c>
      <c r="N79" s="14">
        <f>_xll.BDH("GILD US Equity","ARDR_EFFECTIVE_TAX_RATE_PCT","FQ3 2021","FQ3 2021","Currency=USD","Period=FQ","BEST_FPERIOD_OVERRIDE=FQ","FILING_STATUS=MR","Sort=A","Dates=H","DateFormat=P","Fill=—","Direction=H","UseDPDF=Y")</f>
        <v>24.8</v>
      </c>
      <c r="O79" s="14">
        <f>_xll.BDH("GILD US Equity","ARDR_EFFECTIVE_TAX_RATE_PCT","FQ4 2021","FQ4 2021","Currency=USD","Period=FQ","BEST_FPERIOD_OVERRIDE=FQ","FILING_STATUS=MR","Sort=A","Dates=H","DateFormat=P","Fill=—","Direction=H","UseDPDF=Y")</f>
        <v>50.5</v>
      </c>
      <c r="P79" s="14">
        <f>_xll.BDH("GILD US Equity","ARDR_EFFECTIVE_TAX_RATE_PCT","FQ1 2022","FQ1 2022","Currency=USD","Period=FQ","BEST_FPERIOD_OVERRIDE=FQ","FILING_STATUS=MR","Sort=A","Dates=H","DateFormat=P","Fill=—","Direction=H","UseDPDF=Y")</f>
        <v>107.9</v>
      </c>
      <c r="Q79" s="14">
        <f>_xll.BDH("GILD US Equity","ARDR_EFFECTIVE_TAX_RATE_PCT","FQ2 2022","FQ2 2022","Currency=USD","Period=FQ","BEST_FPERIOD_OVERRIDE=FQ","FILING_STATUS=MR","Sort=A","Dates=H","DateFormat=P","Fill=—","Direction=H","UseDPDF=Y")</f>
        <v>24.5</v>
      </c>
      <c r="R79" s="14">
        <f>_xll.BDH("GILD US Equity","ARDR_EFFECTIVE_TAX_RATE_PCT","FQ3 2022","FQ3 2022","Currency=USD","Period=FQ","BEST_FPERIOD_OVERRIDE=FQ","FILING_STATUS=MR","Sort=A","Dates=H","DateFormat=P","Fill=—","Direction=H","UseDPDF=Y")</f>
        <v>26.6</v>
      </c>
      <c r="S79" s="14">
        <f>_xll.BDH("GILD US Equity","ARDR_EFFECTIVE_TAX_RATE_PCT","FQ4 2022","FQ4 2022","Currency=USD","Period=FQ","BEST_FPERIOD_OVERRIDE=FQ","FILING_STATUS=MR","Sort=A","Dates=H","DateFormat=P","Fill=—","Direction=H","UseDPDF=Y")</f>
        <v>19.600000000000001</v>
      </c>
      <c r="T79" s="14">
        <f>_xll.BDH("GILD US Equity","ARDR_EFFECTIVE_TAX_RATE_PCT","FQ1 2023","FQ1 2023","Currency=USD","Period=FQ","BEST_FPERIOD_OVERRIDE=FQ","FILING_STATUS=MR","Sort=A","Dates=H","DateFormat=P","Fill=—","Direction=H","UseDPDF=Y")</f>
        <v>24.3</v>
      </c>
      <c r="U79" s="14">
        <f>_xll.BDH("GILD US Equity","ARDR_EFFECTIVE_TAX_RATE_PCT","FQ2 2023","FQ2 2023","Currency=USD","Period=FQ","BEST_FPERIOD_OVERRIDE=FQ","FILING_STATUS=MR","Sort=A","Dates=H","DateFormat=P","Fill=—","Direction=H","UseDPDF=Y")</f>
        <v>34.6</v>
      </c>
      <c r="V79" s="14">
        <f>_xll.BDH("GILD US Equity","ARDR_EFFECTIVE_TAX_RATE_PCT","FQ3 2023","FQ3 2023","Currency=USD","Period=FQ","BEST_FPERIOD_OVERRIDE=FQ","FILING_STATUS=MR","Sort=A","Dates=H","DateFormat=P","Fill=—","Direction=H","UseDPDF=Y")</f>
        <v>6.3</v>
      </c>
      <c r="W79" s="14">
        <f>_xll.BDH("GILD US Equity","ARDR_EFFECTIVE_TAX_RATE_PCT","FQ4 2023","FQ4 2023","Currency=USD","Period=FQ","BEST_FPERIOD_OVERRIDE=FQ","FILING_STATUS=MR","Sort=A","Dates=H","DateFormat=P","Fill=—","Direction=H","UseDPDF=Y")</f>
        <v>14.3</v>
      </c>
      <c r="X79" s="14">
        <f>_xll.BDH("GILD US Equity","ARDR_EFFECTIVE_TAX_RATE_PCT","FQ1 2024","FQ1 2024","Currency=USD","Period=FQ","BEST_FPERIOD_OVERRIDE=FQ","FILING_STATUS=MR","Sort=A","Dates=H","DateFormat=P","Fill=—","Direction=H","UseDPDF=Y")</f>
        <v>7</v>
      </c>
      <c r="Y79" s="14">
        <f>_xll.BDH("GILD US Equity","ARDR_EFFECTIVE_TAX_RATE_PCT","FQ2 2024","FQ2 2024","Currency=USD","Period=FQ","BEST_FPERIOD_OVERRIDE=FQ","FILING_STATUS=MR","Sort=A","Dates=H","DateFormat=P","Fill=—","Direction=H","UseDPDF=Y")</f>
        <v>21.4</v>
      </c>
      <c r="Z79" s="14">
        <f>_xll.BDH("GILD US Equity","ARDR_EFFECTIVE_TAX_RATE_PCT","FQ3 2024","FQ3 2024","Currency=USD","Period=FQ","BEST_FPERIOD_OVERRIDE=FQ","FILING_STATUS=MR","Sort=A","Dates=H","DateFormat=P","Fill=—","Direction=H","UseDPDF=Y")</f>
        <v>-31.1</v>
      </c>
      <c r="AA79" s="14">
        <f>_xll.BDH("GILD US Equity","ARDR_EFFECTIVE_TAX_RATE_PCT","FQ4 2024","FQ4 2024","Currency=USD","Period=FQ","BEST_FPERIOD_OVERRIDE=FQ","FILING_STATUS=MR","Sort=A","Dates=H","DateFormat=P","Fill=—","Direction=H","UseDPDF=Y")</f>
        <v>17.8</v>
      </c>
    </row>
    <row r="80" spans="1:27" x14ac:dyDescent="0.25">
      <c r="A80" s="10" t="s">
        <v>538</v>
      </c>
      <c r="B80" s="10" t="s">
        <v>539</v>
      </c>
      <c r="C80" s="13" t="str">
        <f>_xll.BDH("GILD US Equity","ARDR_UNREALIZED_GL_ON_SEC_TAX","FQ4 2018","FQ4 2018","Currency=USD","Period=FQ","BEST_FPERIOD_OVERRIDE=FQ","FILING_STATUS=MR","SCALING_FORMAT=MLN","Sort=A","Dates=H","DateFormat=P","Fill=—","Direction=H","UseDPDF=Y")</f>
        <v>—</v>
      </c>
      <c r="D80" s="13" t="str">
        <f>_xll.BDH("GILD US Equity","ARDR_UNREALIZED_GL_ON_SEC_TAX","FQ1 2019","FQ1 2019","Currency=USD","Period=FQ","BEST_FPERIOD_OVERRIDE=FQ","FILING_STATUS=MR","SCALING_FORMAT=MLN","Sort=A","Dates=H","DateFormat=P","Fill=—","Direction=H","UseDPDF=Y")</f>
        <v>—</v>
      </c>
      <c r="E80" s="13" t="str">
        <f>_xll.BDH("GILD US Equity","ARDR_UNREALIZED_GL_ON_SEC_TAX","FQ2 2019","FQ2 2019","Currency=USD","Period=FQ","BEST_FPERIOD_OVERRIDE=FQ","FILING_STATUS=MR","SCALING_FORMAT=MLN","Sort=A","Dates=H","DateFormat=P","Fill=—","Direction=H","UseDPDF=Y")</f>
        <v>—</v>
      </c>
      <c r="F80" s="13" t="str">
        <f>_xll.BDH("GILD US Equity","ARDR_UNREALIZED_GL_ON_SEC_TAX","FQ3 2019","FQ3 2019","Currency=USD","Period=FQ","BEST_FPERIOD_OVERRIDE=FQ","FILING_STATUS=MR","SCALING_FORMAT=MLN","Sort=A","Dates=H","DateFormat=P","Fill=—","Direction=H","UseDPDF=Y")</f>
        <v>—</v>
      </c>
      <c r="G80" s="13">
        <f>_xll.BDH("GILD US Equity","ARDR_UNREALIZED_GL_ON_SEC_TAX","FQ4 2019","FQ4 2019","Currency=USD","Period=FQ","BEST_FPERIOD_OVERRIDE=FQ","FILING_STATUS=MR","SCALING_FORMAT=MLN","Sort=A","Dates=H","DateFormat=P","Fill=—","Direction=H","UseDPDF=Y")</f>
        <v>1</v>
      </c>
      <c r="H80" s="13" t="str">
        <f>_xll.BDH("GILD US Equity","ARDR_UNREALIZED_GL_ON_SEC_TAX","FQ1 2020","FQ1 2020","Currency=USD","Period=FQ","BEST_FPERIOD_OVERRIDE=FQ","FILING_STATUS=MR","SCALING_FORMAT=MLN","Sort=A","Dates=H","DateFormat=P","Fill=—","Direction=H","UseDPDF=Y")</f>
        <v>—</v>
      </c>
      <c r="I80" s="13" t="str">
        <f>_xll.BDH("GILD US Equity","ARDR_UNREALIZED_GL_ON_SEC_TAX","FQ2 2020","FQ2 2020","Currency=USD","Period=FQ","BEST_FPERIOD_OVERRIDE=FQ","FILING_STATUS=MR","SCALING_FORMAT=MLN","Sort=A","Dates=H","DateFormat=P","Fill=—","Direction=H","UseDPDF=Y")</f>
        <v>—</v>
      </c>
      <c r="J80" s="13" t="str">
        <f>_xll.BDH("GILD US Equity","ARDR_UNREALIZED_GL_ON_SEC_TAX","FQ3 2020","FQ3 2020","Currency=USD","Period=FQ","BEST_FPERIOD_OVERRIDE=FQ","FILING_STATUS=MR","SCALING_FORMAT=MLN","Sort=A","Dates=H","DateFormat=P","Fill=—","Direction=H","UseDPDF=Y")</f>
        <v>—</v>
      </c>
      <c r="K80" s="13" t="str">
        <f>_xll.BDH("GILD US Equity","ARDR_UNREALIZED_GL_ON_SEC_TAX","FQ4 2020","FQ4 2020","Currency=USD","Period=FQ","BEST_FPERIOD_OVERRIDE=FQ","FILING_STATUS=MR","SCALING_FORMAT=MLN","Sort=A","Dates=H","DateFormat=P","Fill=—","Direction=H","UseDPDF=Y")</f>
        <v>—</v>
      </c>
      <c r="L80" s="13" t="str">
        <f>_xll.BDH("GILD US Equity","ARDR_UNREALIZED_GL_ON_SEC_TAX","FQ1 2021","FQ1 2021","Currency=USD","Period=FQ","BEST_FPERIOD_OVERRIDE=FQ","FILING_STATUS=MR","SCALING_FORMAT=MLN","Sort=A","Dates=H","DateFormat=P","Fill=—","Direction=H","UseDPDF=Y")</f>
        <v>—</v>
      </c>
      <c r="M80" s="13" t="str">
        <f>_xll.BDH("GILD US Equity","ARDR_UNREALIZED_GL_ON_SEC_TAX","FQ2 2021","FQ2 2021","Currency=USD","Period=FQ","BEST_FPERIOD_OVERRIDE=FQ","FILING_STATUS=MR","SCALING_FORMAT=MLN","Sort=A","Dates=H","DateFormat=P","Fill=—","Direction=H","UseDPDF=Y")</f>
        <v>—</v>
      </c>
      <c r="N80" s="13" t="str">
        <f>_xll.BDH("GILD US Equity","ARDR_UNREALIZED_GL_ON_SEC_TAX","FQ3 2021","FQ3 2021","Currency=USD","Period=FQ","BEST_FPERIOD_OVERRIDE=FQ","FILING_STATUS=MR","SCALING_FORMAT=MLN","Sort=A","Dates=H","DateFormat=P","Fill=—","Direction=H","UseDPDF=Y")</f>
        <v>—</v>
      </c>
      <c r="O80" s="13" t="str">
        <f>_xll.BDH("GILD US Equity","ARDR_UNREALIZED_GL_ON_SEC_TAX","FQ4 2021","FQ4 2021","Currency=USD","Period=FQ","BEST_FPERIOD_OVERRIDE=FQ","FILING_STATUS=MR","SCALING_FORMAT=MLN","Sort=A","Dates=H","DateFormat=P","Fill=—","Direction=H","UseDPDF=Y")</f>
        <v>—</v>
      </c>
      <c r="P80" s="13" t="str">
        <f>_xll.BDH("GILD US Equity","ARDR_UNREALIZED_GL_ON_SEC_TAX","FQ1 2022","FQ1 2022","Currency=USD","Period=FQ","BEST_FPERIOD_OVERRIDE=FQ","FILING_STATUS=MR","SCALING_FORMAT=MLN","Sort=A","Dates=H","DateFormat=P","Fill=—","Direction=H","UseDPDF=Y")</f>
        <v>—</v>
      </c>
      <c r="Q80" s="13" t="str">
        <f>_xll.BDH("GILD US Equity","ARDR_UNREALIZED_GL_ON_SEC_TAX","FQ2 2022","FQ2 2022","Currency=USD","Period=FQ","BEST_FPERIOD_OVERRIDE=FQ","FILING_STATUS=MR","SCALING_FORMAT=MLN","Sort=A","Dates=H","DateFormat=P","Fill=—","Direction=H","UseDPDF=Y")</f>
        <v>—</v>
      </c>
      <c r="R80" s="13" t="str">
        <f>_xll.BDH("GILD US Equity","ARDR_UNREALIZED_GL_ON_SEC_TAX","FQ3 2022","FQ3 2022","Currency=USD","Period=FQ","BEST_FPERIOD_OVERRIDE=FQ","FILING_STATUS=MR","SCALING_FORMAT=MLN","Sort=A","Dates=H","DateFormat=P","Fill=—","Direction=H","UseDPDF=Y")</f>
        <v>—</v>
      </c>
      <c r="S80" s="13" t="str">
        <f>_xll.BDH("GILD US Equity","ARDR_UNREALIZED_GL_ON_SEC_TAX","FQ4 2022","FQ4 2022","Currency=USD","Period=FQ","BEST_FPERIOD_OVERRIDE=FQ","FILING_STATUS=MR","SCALING_FORMAT=MLN","Sort=A","Dates=H","DateFormat=P","Fill=—","Direction=H","UseDPDF=Y")</f>
        <v>—</v>
      </c>
      <c r="T80" s="13" t="str">
        <f>_xll.BDH("GILD US Equity","ARDR_UNREALIZED_GL_ON_SEC_TAX","FQ1 2023","FQ1 2023","Currency=USD","Period=FQ","BEST_FPERIOD_OVERRIDE=FQ","FILING_STATUS=MR","SCALING_FORMAT=MLN","Sort=A","Dates=H","DateFormat=P","Fill=—","Direction=H","UseDPDF=Y")</f>
        <v>—</v>
      </c>
      <c r="U80" s="13" t="str">
        <f>_xll.BDH("GILD US Equity","ARDR_UNREALIZED_GL_ON_SEC_TAX","FQ2 2023","FQ2 2023","Currency=USD","Period=FQ","BEST_FPERIOD_OVERRIDE=FQ","FILING_STATUS=MR","SCALING_FORMAT=MLN","Sort=A","Dates=H","DateFormat=P","Fill=—","Direction=H","UseDPDF=Y")</f>
        <v>—</v>
      </c>
      <c r="V80" s="13" t="str">
        <f>_xll.BDH("GILD US Equity","ARDR_UNREALIZED_GL_ON_SEC_TAX","FQ3 2023","FQ3 2023","Currency=USD","Period=FQ","BEST_FPERIOD_OVERRIDE=FQ","FILING_STATUS=MR","SCALING_FORMAT=MLN","Sort=A","Dates=H","DateFormat=P","Fill=—","Direction=H","UseDPDF=Y")</f>
        <v>—</v>
      </c>
      <c r="W80" s="13" t="str">
        <f>_xll.BDH("GILD US Equity","ARDR_UNREALIZED_GL_ON_SEC_TAX","FQ4 2023","FQ4 2023","Currency=USD","Period=FQ","BEST_FPERIOD_OVERRIDE=FQ","FILING_STATUS=MR","SCALING_FORMAT=MLN","Sort=A","Dates=H","DateFormat=P","Fill=—","Direction=H","UseDPDF=Y")</f>
        <v>—</v>
      </c>
      <c r="X80" s="13" t="str">
        <f>_xll.BDH("GILD US Equity","ARDR_UNREALIZED_GL_ON_SEC_TAX","FQ1 2024","FQ1 2024","Currency=USD","Period=FQ","BEST_FPERIOD_OVERRIDE=FQ","FILING_STATUS=MR","SCALING_FORMAT=MLN","Sort=A","Dates=H","DateFormat=P","Fill=—","Direction=H","UseDPDF=Y")</f>
        <v>—</v>
      </c>
      <c r="Y80" s="13" t="str">
        <f>_xll.BDH("GILD US Equity","ARDR_UNREALIZED_GL_ON_SEC_TAX","FQ2 2024","FQ2 2024","Currency=USD","Period=FQ","BEST_FPERIOD_OVERRIDE=FQ","FILING_STATUS=MR","SCALING_FORMAT=MLN","Sort=A","Dates=H","DateFormat=P","Fill=—","Direction=H","UseDPDF=Y")</f>
        <v>—</v>
      </c>
      <c r="Z80" s="13" t="str">
        <f>_xll.BDH("GILD US Equity","ARDR_UNREALIZED_GL_ON_SEC_TAX","FQ3 2024","FQ3 2024","Currency=USD","Period=FQ","BEST_FPERIOD_OVERRIDE=FQ","FILING_STATUS=MR","SCALING_FORMAT=MLN","Sort=A","Dates=H","DateFormat=P","Fill=—","Direction=H","UseDPDF=Y")</f>
        <v>—</v>
      </c>
      <c r="AA80" s="13" t="str">
        <f>_xll.BDH("GILD US Equity","ARDR_UNREALIZED_GL_ON_SEC_TAX","FQ4 2024","FQ4 2024","Currency=USD","Period=FQ","BEST_FPERIOD_OVERRIDE=FQ","FILING_STATUS=MR","SCALING_FORMAT=MLN","Sort=A","Dates=H","DateFormat=P","Fill=—","Direction=H","UseDPDF=Y")</f>
        <v>—</v>
      </c>
    </row>
    <row r="81" spans="1:27" x14ac:dyDescent="0.25">
      <c r="A81" s="10" t="s">
        <v>540</v>
      </c>
      <c r="B81" s="10" t="s">
        <v>541</v>
      </c>
      <c r="C81" s="14">
        <f>_xll.BDH("GILD US Equity","ARDR_ADJUSTED_EPS","FQ4 2018","FQ4 2018","Currency=USD","Period=FQ","BEST_FPERIOD_OVERRIDE=FQ","FILING_STATUS=MR","Sort=A","Dates=H","DateFormat=P","Fill=—","Direction=H","UseDPDF=Y")</f>
        <v>1.44</v>
      </c>
      <c r="D81" s="14">
        <f>_xll.BDH("GILD US Equity","ARDR_ADJUSTED_EPS","FQ1 2019","FQ1 2019","Currency=USD","Period=FQ","BEST_FPERIOD_OVERRIDE=FQ","FILING_STATUS=MR","Sort=A","Dates=H","DateFormat=P","Fill=—","Direction=H","UseDPDF=Y")</f>
        <v>1.67</v>
      </c>
      <c r="E81" s="14">
        <f>_xll.BDH("GILD US Equity","ARDR_ADJUSTED_EPS","FQ2 2019","FQ2 2019","Currency=USD","Period=FQ","BEST_FPERIOD_OVERRIDE=FQ","FILING_STATUS=MR","Sort=A","Dates=H","DateFormat=P","Fill=—","Direction=H","UseDPDF=Y")</f>
        <v>1.82</v>
      </c>
      <c r="F81" s="14">
        <f>_xll.BDH("GILD US Equity","ARDR_ADJUSTED_EPS","FQ3 2019","FQ3 2019","Currency=USD","Period=FQ","BEST_FPERIOD_OVERRIDE=FQ","FILING_STATUS=MR","Sort=A","Dates=H","DateFormat=P","Fill=—","Direction=H","UseDPDF=Y")</f>
        <v>1.64</v>
      </c>
      <c r="G81" s="14">
        <f>_xll.BDH("GILD US Equity","ARDR_ADJUSTED_EPS","FQ4 2019","FQ4 2019","Currency=USD","Period=FQ","BEST_FPERIOD_OVERRIDE=FQ","FILING_STATUS=MR","Sort=A","Dates=H","DateFormat=P","Fill=—","Direction=H","UseDPDF=Y")</f>
        <v>1.3</v>
      </c>
      <c r="H81" s="14">
        <f>_xll.BDH("GILD US Equity","ARDR_ADJUSTED_EPS","FQ1 2020","FQ1 2020","Currency=USD","Period=FQ","BEST_FPERIOD_OVERRIDE=FQ","FILING_STATUS=MR","Sort=A","Dates=H","DateFormat=P","Fill=—","Direction=H","UseDPDF=Y")</f>
        <v>1.68</v>
      </c>
      <c r="I81" s="14">
        <f>_xll.BDH("GILD US Equity","ARDR_ADJUSTED_EPS","FQ2 2020","FQ2 2020","Currency=USD","Period=FQ","BEST_FPERIOD_OVERRIDE=FQ","FILING_STATUS=MR","Sort=A","Dates=H","DateFormat=P","Fill=—","Direction=H","UseDPDF=Y")</f>
        <v>1.1100000000000001</v>
      </c>
      <c r="J81" s="14">
        <f>_xll.BDH("GILD US Equity","ARDR_ADJUSTED_EPS","FQ3 2020","FQ3 2020","Currency=USD","Period=FQ","BEST_FPERIOD_OVERRIDE=FQ","FILING_STATUS=MR","Sort=A","Dates=H","DateFormat=P","Fill=—","Direction=H","UseDPDF=Y")</f>
        <v>2.11</v>
      </c>
      <c r="K81" s="14">
        <f>_xll.BDH("GILD US Equity","ARDR_ADJUSTED_EPS","FQ4 2020","FQ4 2020","Currency=USD","Period=FQ","BEST_FPERIOD_OVERRIDE=FQ","FILING_STATUS=MR","Sort=A","Dates=H","DateFormat=P","Fill=—","Direction=H","UseDPDF=Y")</f>
        <v>2.19</v>
      </c>
      <c r="L81" s="14">
        <f>_xll.BDH("GILD US Equity","ARDR_ADJUSTED_EPS","FQ1 2021","FQ1 2021","Currency=USD","Period=FQ","BEST_FPERIOD_OVERRIDE=FQ","FILING_STATUS=MR","Sort=A","Dates=H","DateFormat=P","Fill=—","Direction=H","UseDPDF=Y")</f>
        <v>2.04</v>
      </c>
      <c r="M81" s="14">
        <f>_xll.BDH("GILD US Equity","ARDR_ADJUSTED_EPS","FQ2 2021","FQ2 2021","Currency=USD","Period=FQ","BEST_FPERIOD_OVERRIDE=FQ","FILING_STATUS=MR","Sort=A","Dates=H","DateFormat=P","Fill=—","Direction=H","UseDPDF=Y")</f>
        <v>1.87</v>
      </c>
      <c r="N81" s="14">
        <f>_xll.BDH("GILD US Equity","ARDR_ADJUSTED_EPS","FQ3 2021","FQ3 2021","Currency=USD","Period=FQ","BEST_FPERIOD_OVERRIDE=FQ","FILING_STATUS=MR","Sort=A","Dates=H","DateFormat=P","Fill=—","Direction=H","UseDPDF=Y")</f>
        <v>2.65</v>
      </c>
      <c r="O81" s="14">
        <f>_xll.BDH("GILD US Equity","ARDR_ADJUSTED_EPS","FQ4 2021","FQ4 2021","Currency=USD","Period=FQ","BEST_FPERIOD_OVERRIDE=FQ","FILING_STATUS=MR","Sort=A","Dates=H","DateFormat=P","Fill=—","Direction=H","UseDPDF=Y")</f>
        <v>0.69</v>
      </c>
      <c r="P81" s="14">
        <f>_xll.BDH("GILD US Equity","ARDR_ADJUSTED_EPS","FQ1 2022","FQ1 2022","Currency=USD","Period=FQ","BEST_FPERIOD_OVERRIDE=FQ","FILING_STATUS=MR","Sort=A","Dates=H","DateFormat=P","Fill=—","Direction=H","UseDPDF=Y")</f>
        <v>2.12</v>
      </c>
      <c r="Q81" s="14">
        <f>_xll.BDH("GILD US Equity","ARDR_ADJUSTED_EPS","FQ2 2022","FQ2 2022","Currency=USD","Period=FQ","BEST_FPERIOD_OVERRIDE=FQ","FILING_STATUS=MR","Sort=A","Dates=H","DateFormat=P","Fill=—","Direction=H","UseDPDF=Y")</f>
        <v>1.58</v>
      </c>
      <c r="R81" s="14">
        <f>_xll.BDH("GILD US Equity","ARDR_ADJUSTED_EPS","FQ3 2022","FQ3 2022","Currency=USD","Period=FQ","BEST_FPERIOD_OVERRIDE=FQ","FILING_STATUS=MR","Sort=A","Dates=H","DateFormat=P","Fill=—","Direction=H","UseDPDF=Y")</f>
        <v>1.9</v>
      </c>
      <c r="S81" s="14">
        <f>_xll.BDH("GILD US Equity","ARDR_ADJUSTED_EPS","FQ4 2022","FQ4 2022","Currency=USD","Period=FQ","BEST_FPERIOD_OVERRIDE=FQ","FILING_STATUS=MR","Sort=A","Dates=H","DateFormat=P","Fill=—","Direction=H","UseDPDF=Y")</f>
        <v>1.67</v>
      </c>
      <c r="T81" s="14">
        <f>_xll.BDH("GILD US Equity","ARDR_ADJUSTED_EPS","FQ1 2023","FQ1 2023","Currency=USD","Period=FQ","BEST_FPERIOD_OVERRIDE=FQ","FILING_STATUS=MR","Sort=A","Dates=H","DateFormat=P","Fill=—","Direction=H","UseDPDF=Y")</f>
        <v>1.37</v>
      </c>
      <c r="U81" s="14">
        <f>_xll.BDH("GILD US Equity","ARDR_ADJUSTED_EPS","FQ2 2023","FQ2 2023","Currency=USD","Period=FQ","BEST_FPERIOD_OVERRIDE=FQ","FILING_STATUS=MR","Sort=A","Dates=H","DateFormat=P","Fill=—","Direction=H","UseDPDF=Y")</f>
        <v>1.34</v>
      </c>
      <c r="V81" s="14">
        <f>_xll.BDH("GILD US Equity","ARDR_ADJUSTED_EPS","FQ3 2023","FQ3 2023","Currency=USD","Period=FQ","BEST_FPERIOD_OVERRIDE=FQ","FILING_STATUS=MR","Sort=A","Dates=H","DateFormat=P","Fill=—","Direction=H","UseDPDF=Y")</f>
        <v>2.29</v>
      </c>
      <c r="W81" s="14">
        <f>_xll.BDH("GILD US Equity","ARDR_ADJUSTED_EPS","FQ4 2023","FQ4 2023","Currency=USD","Period=FQ","BEST_FPERIOD_OVERRIDE=FQ","FILING_STATUS=MR","Sort=A","Dates=H","DateFormat=P","Fill=—","Direction=H","UseDPDF=Y")</f>
        <v>1.72</v>
      </c>
      <c r="X81" s="14">
        <f>_xll.BDH("GILD US Equity","ARDR_ADJUSTED_EPS","FQ1 2024","FQ1 2024","Currency=USD","Period=FQ","BEST_FPERIOD_OVERRIDE=FQ","FILING_STATUS=MR","Sort=A","Dates=H","DateFormat=P","Fill=—","Direction=H","UseDPDF=Y")</f>
        <v>-1.32</v>
      </c>
      <c r="Y81" s="14">
        <f>_xll.BDH("GILD US Equity","ARDR_ADJUSTED_EPS","FQ2 2024","FQ2 2024","Currency=USD","Period=FQ","BEST_FPERIOD_OVERRIDE=FQ","FILING_STATUS=MR","Sort=A","Dates=H","DateFormat=P","Fill=—","Direction=H","UseDPDF=Y")</f>
        <v>2.0099999999999998</v>
      </c>
      <c r="Z81" s="14">
        <f>_xll.BDH("GILD US Equity","ARDR_ADJUSTED_EPS","FQ3 2024","FQ3 2024","Currency=USD","Period=FQ","BEST_FPERIOD_OVERRIDE=FQ","FILING_STATUS=MR","Sort=A","Dates=H","DateFormat=P","Fill=—","Direction=H","UseDPDF=Y")</f>
        <v>2.02</v>
      </c>
      <c r="AA81" s="14">
        <f>_xll.BDH("GILD US Equity","ARDR_ADJUSTED_EPS","FQ4 2024","FQ4 2024","Currency=USD","Period=FQ","BEST_FPERIOD_OVERRIDE=FQ","FILING_STATUS=MR","Sort=A","Dates=H","DateFormat=P","Fill=—","Direction=H","UseDPDF=Y")</f>
        <v>1.9</v>
      </c>
    </row>
    <row r="82" spans="1:27" x14ac:dyDescent="0.25">
      <c r="A82" s="10" t="s">
        <v>542</v>
      </c>
      <c r="B82" s="10" t="s">
        <v>543</v>
      </c>
      <c r="C82" s="13" t="str">
        <f>_xll.BDH("GILD US Equity","ARDR_UNREAL_GL_FROM_SECS_NON_OP","FQ4 2018","FQ4 2018","Currency=USD","Period=FQ","BEST_FPERIOD_OVERRIDE=FQ","FILING_STATUS=MR","SCALING_FORMAT=MLN","Sort=A","Dates=H","DateFormat=P","Fill=—","Direction=H","UseDPDF=Y")</f>
        <v>—</v>
      </c>
      <c r="D82" s="13" t="str">
        <f>_xll.BDH("GILD US Equity","ARDR_UNREAL_GL_FROM_SECS_NON_OP","FQ1 2019","FQ1 2019","Currency=USD","Period=FQ","BEST_FPERIOD_OVERRIDE=FQ","FILING_STATUS=MR","SCALING_FORMAT=MLN","Sort=A","Dates=H","DateFormat=P","Fill=—","Direction=H","UseDPDF=Y")</f>
        <v>—</v>
      </c>
      <c r="E82" s="13">
        <f>_xll.BDH("GILD US Equity","ARDR_UNREAL_GL_FROM_SECS_NON_OP","FQ2 2019","FQ2 2019","Currency=USD","Period=FQ","BEST_FPERIOD_OVERRIDE=FQ","FILING_STATUS=MR","SCALING_FORMAT=MLN","Sort=A","Dates=H","DateFormat=P","Fill=—","Direction=H","UseDPDF=Y")</f>
        <v>-57</v>
      </c>
      <c r="F82" s="13" t="str">
        <f>_xll.BDH("GILD US Equity","ARDR_UNREAL_GL_FROM_SECS_NON_OP","FQ3 2019","FQ3 2019","Currency=USD","Period=FQ","BEST_FPERIOD_OVERRIDE=FQ","FILING_STATUS=MR","SCALING_FORMAT=MLN","Sort=A","Dates=H","DateFormat=P","Fill=—","Direction=H","UseDPDF=Y")</f>
        <v>—</v>
      </c>
      <c r="G82" s="13" t="str">
        <f>_xll.BDH("GILD US Equity","ARDR_UNREAL_GL_FROM_SECS_NON_OP","FQ4 2019","FQ4 2019","Currency=USD","Period=FQ","BEST_FPERIOD_OVERRIDE=FQ","FILING_STATUS=MR","SCALING_FORMAT=MLN","Sort=A","Dates=H","DateFormat=P","Fill=—","Direction=H","UseDPDF=Y")</f>
        <v>—</v>
      </c>
      <c r="H82" s="13" t="str">
        <f>_xll.BDH("GILD US Equity","ARDR_UNREAL_GL_FROM_SECS_NON_OP","FQ1 2020","FQ1 2020","Currency=USD","Period=FQ","BEST_FPERIOD_OVERRIDE=FQ","FILING_STATUS=MR","SCALING_FORMAT=MLN","Sort=A","Dates=H","DateFormat=P","Fill=—","Direction=H","UseDPDF=Y")</f>
        <v>—</v>
      </c>
      <c r="I82" s="13" t="str">
        <f>_xll.BDH("GILD US Equity","ARDR_UNREAL_GL_FROM_SECS_NON_OP","FQ2 2020","FQ2 2020","Currency=USD","Period=FQ","BEST_FPERIOD_OVERRIDE=FQ","FILING_STATUS=MR","SCALING_FORMAT=MLN","Sort=A","Dates=H","DateFormat=P","Fill=—","Direction=H","UseDPDF=Y")</f>
        <v>—</v>
      </c>
      <c r="J82" s="13" t="str">
        <f>_xll.BDH("GILD US Equity","ARDR_UNREAL_GL_FROM_SECS_NON_OP","FQ3 2020","FQ3 2020","Currency=USD","Period=FQ","BEST_FPERIOD_OVERRIDE=FQ","FILING_STATUS=MR","SCALING_FORMAT=MLN","Sort=A","Dates=H","DateFormat=P","Fill=—","Direction=H","UseDPDF=Y")</f>
        <v>—</v>
      </c>
      <c r="K82" s="13" t="str">
        <f>_xll.BDH("GILD US Equity","ARDR_UNREAL_GL_FROM_SECS_NON_OP","FQ4 2020","FQ4 2020","Currency=USD","Period=FQ","BEST_FPERIOD_OVERRIDE=FQ","FILING_STATUS=MR","SCALING_FORMAT=MLN","Sort=A","Dates=H","DateFormat=P","Fill=—","Direction=H","UseDPDF=Y")</f>
        <v>—</v>
      </c>
      <c r="L82" s="13" t="str">
        <f>_xll.BDH("GILD US Equity","ARDR_UNREAL_GL_FROM_SECS_NON_OP","FQ1 2021","FQ1 2021","Currency=USD","Period=FQ","BEST_FPERIOD_OVERRIDE=FQ","FILING_STATUS=MR","SCALING_FORMAT=MLN","Sort=A","Dates=H","DateFormat=P","Fill=—","Direction=H","UseDPDF=Y")</f>
        <v>—</v>
      </c>
      <c r="M82" s="13" t="str">
        <f>_xll.BDH("GILD US Equity","ARDR_UNREAL_GL_FROM_SECS_NON_OP","FQ2 2021","FQ2 2021","Currency=USD","Period=FQ","BEST_FPERIOD_OVERRIDE=FQ","FILING_STATUS=MR","SCALING_FORMAT=MLN","Sort=A","Dates=H","DateFormat=P","Fill=—","Direction=H","UseDPDF=Y")</f>
        <v>—</v>
      </c>
      <c r="N82" s="13" t="str">
        <f>_xll.BDH("GILD US Equity","ARDR_UNREAL_GL_FROM_SECS_NON_OP","FQ3 2021","FQ3 2021","Currency=USD","Period=FQ","BEST_FPERIOD_OVERRIDE=FQ","FILING_STATUS=MR","SCALING_FORMAT=MLN","Sort=A","Dates=H","DateFormat=P","Fill=—","Direction=H","UseDPDF=Y")</f>
        <v>—</v>
      </c>
      <c r="O82" s="13" t="str">
        <f>_xll.BDH("GILD US Equity","ARDR_UNREAL_GL_FROM_SECS_NON_OP","FQ4 2021","FQ4 2021","Currency=USD","Period=FQ","BEST_FPERIOD_OVERRIDE=FQ","FILING_STATUS=MR","SCALING_FORMAT=MLN","Sort=A","Dates=H","DateFormat=P","Fill=—","Direction=H","UseDPDF=Y")</f>
        <v>—</v>
      </c>
      <c r="P82" s="13" t="str">
        <f>_xll.BDH("GILD US Equity","ARDR_UNREAL_GL_FROM_SECS_NON_OP","FQ1 2022","FQ1 2022","Currency=USD","Period=FQ","BEST_FPERIOD_OVERRIDE=FQ","FILING_STATUS=MR","SCALING_FORMAT=MLN","Sort=A","Dates=H","DateFormat=P","Fill=—","Direction=H","UseDPDF=Y")</f>
        <v>—</v>
      </c>
      <c r="Q82" s="13" t="str">
        <f>_xll.BDH("GILD US Equity","ARDR_UNREAL_GL_FROM_SECS_NON_OP","FQ2 2022","FQ2 2022","Currency=USD","Period=FQ","BEST_FPERIOD_OVERRIDE=FQ","FILING_STATUS=MR","SCALING_FORMAT=MLN","Sort=A","Dates=H","DateFormat=P","Fill=—","Direction=H","UseDPDF=Y")</f>
        <v>—</v>
      </c>
      <c r="R82" s="13" t="str">
        <f>_xll.BDH("GILD US Equity","ARDR_UNREAL_GL_FROM_SECS_NON_OP","FQ3 2022","FQ3 2022","Currency=USD","Period=FQ","BEST_FPERIOD_OVERRIDE=FQ","FILING_STATUS=MR","SCALING_FORMAT=MLN","Sort=A","Dates=H","DateFormat=P","Fill=—","Direction=H","UseDPDF=Y")</f>
        <v>—</v>
      </c>
      <c r="S82" s="13" t="str">
        <f>_xll.BDH("GILD US Equity","ARDR_UNREAL_GL_FROM_SECS_NON_OP","FQ4 2022","FQ4 2022","Currency=USD","Period=FQ","BEST_FPERIOD_OVERRIDE=FQ","FILING_STATUS=MR","SCALING_FORMAT=MLN","Sort=A","Dates=H","DateFormat=P","Fill=—","Direction=H","UseDPDF=Y")</f>
        <v>—</v>
      </c>
      <c r="T82" s="13" t="str">
        <f>_xll.BDH("GILD US Equity","ARDR_UNREAL_GL_FROM_SECS_NON_OP","FQ1 2023","FQ1 2023","Currency=USD","Period=FQ","BEST_FPERIOD_OVERRIDE=FQ","FILING_STATUS=MR","SCALING_FORMAT=MLN","Sort=A","Dates=H","DateFormat=P","Fill=—","Direction=H","UseDPDF=Y")</f>
        <v>—</v>
      </c>
      <c r="U82" s="13" t="str">
        <f>_xll.BDH("GILD US Equity","ARDR_UNREAL_GL_FROM_SECS_NON_OP","FQ2 2023","FQ2 2023","Currency=USD","Period=FQ","BEST_FPERIOD_OVERRIDE=FQ","FILING_STATUS=MR","SCALING_FORMAT=MLN","Sort=A","Dates=H","DateFormat=P","Fill=—","Direction=H","UseDPDF=Y")</f>
        <v>—</v>
      </c>
      <c r="V82" s="13" t="str">
        <f>_xll.BDH("GILD US Equity","ARDR_UNREAL_GL_FROM_SECS_NON_OP","FQ3 2023","FQ3 2023","Currency=USD","Period=FQ","BEST_FPERIOD_OVERRIDE=FQ","FILING_STATUS=MR","SCALING_FORMAT=MLN","Sort=A","Dates=H","DateFormat=P","Fill=—","Direction=H","UseDPDF=Y")</f>
        <v>—</v>
      </c>
      <c r="W82" s="13" t="str">
        <f>_xll.BDH("GILD US Equity","ARDR_UNREAL_GL_FROM_SECS_NON_OP","FQ4 2023","FQ4 2023","Currency=USD","Period=FQ","BEST_FPERIOD_OVERRIDE=FQ","FILING_STATUS=MR","SCALING_FORMAT=MLN","Sort=A","Dates=H","DateFormat=P","Fill=—","Direction=H","UseDPDF=Y")</f>
        <v>—</v>
      </c>
      <c r="X82" s="13" t="str">
        <f>_xll.BDH("GILD US Equity","ARDR_UNREAL_GL_FROM_SECS_NON_OP","FQ1 2024","FQ1 2024","Currency=USD","Period=FQ","BEST_FPERIOD_OVERRIDE=FQ","FILING_STATUS=MR","SCALING_FORMAT=MLN","Sort=A","Dates=H","DateFormat=P","Fill=—","Direction=H","UseDPDF=Y")</f>
        <v>—</v>
      </c>
      <c r="Y82" s="13" t="str">
        <f>_xll.BDH("GILD US Equity","ARDR_UNREAL_GL_FROM_SECS_NON_OP","FQ2 2024","FQ2 2024","Currency=USD","Period=FQ","BEST_FPERIOD_OVERRIDE=FQ","FILING_STATUS=MR","SCALING_FORMAT=MLN","Sort=A","Dates=H","DateFormat=P","Fill=—","Direction=H","UseDPDF=Y")</f>
        <v>—</v>
      </c>
      <c r="Z82" s="13" t="str">
        <f>_xll.BDH("GILD US Equity","ARDR_UNREAL_GL_FROM_SECS_NON_OP","FQ3 2024","FQ3 2024","Currency=USD","Period=FQ","BEST_FPERIOD_OVERRIDE=FQ","FILING_STATUS=MR","SCALING_FORMAT=MLN","Sort=A","Dates=H","DateFormat=P","Fill=—","Direction=H","UseDPDF=Y")</f>
        <v>—</v>
      </c>
      <c r="AA82" s="13" t="str">
        <f>_xll.BDH("GILD US Equity","ARDR_UNREAL_GL_FROM_SECS_NON_OP","FQ4 2024","FQ4 2024","Currency=USD","Period=FQ","BEST_FPERIOD_OVERRIDE=FQ","FILING_STATUS=MR","SCALING_FORMAT=MLN","Sort=A","Dates=H","DateFormat=P","Fill=—","Direction=H","UseDPDF=Y")</f>
        <v>—</v>
      </c>
    </row>
    <row r="83" spans="1:27" x14ac:dyDescent="0.25">
      <c r="A83" s="10" t="s">
        <v>544</v>
      </c>
      <c r="B83" s="10" t="s">
        <v>545</v>
      </c>
      <c r="C83" s="13" t="str">
        <f>_xll.BDH("GILD US Equity","ARDR_LOSS_RECOVERY_IMPAIR_INTANG","FQ4 2018","FQ4 2018","Currency=USD","Period=FQ","BEST_FPERIOD_OVERRIDE=FQ","FILING_STATUS=MR","SCALING_FORMAT=MLN","Sort=A","Dates=H","DateFormat=P","Fill=—","Direction=H","UseDPDF=Y")</f>
        <v>—</v>
      </c>
      <c r="D83" s="13" t="str">
        <f>_xll.BDH("GILD US Equity","ARDR_LOSS_RECOVERY_IMPAIR_INTANG","FQ1 2019","FQ1 2019","Currency=USD","Period=FQ","BEST_FPERIOD_OVERRIDE=FQ","FILING_STATUS=MR","SCALING_FORMAT=MLN","Sort=A","Dates=H","DateFormat=P","Fill=—","Direction=H","UseDPDF=Y")</f>
        <v>—</v>
      </c>
      <c r="E83" s="13" t="str">
        <f>_xll.BDH("GILD US Equity","ARDR_LOSS_RECOVERY_IMPAIR_INTANG","FQ2 2019","FQ2 2019","Currency=USD","Period=FQ","BEST_FPERIOD_OVERRIDE=FQ","FILING_STATUS=MR","SCALING_FORMAT=MLN","Sort=A","Dates=H","DateFormat=P","Fill=—","Direction=H","UseDPDF=Y")</f>
        <v>—</v>
      </c>
      <c r="F83" s="13" t="str">
        <f>_xll.BDH("GILD US Equity","ARDR_LOSS_RECOVERY_IMPAIR_INTANG","FQ3 2019","FQ3 2019","Currency=USD","Period=FQ","BEST_FPERIOD_OVERRIDE=FQ","FILING_STATUS=MR","SCALING_FORMAT=MLN","Sort=A","Dates=H","DateFormat=P","Fill=—","Direction=H","UseDPDF=Y")</f>
        <v>—</v>
      </c>
      <c r="G83" s="13" t="str">
        <f>_xll.BDH("GILD US Equity","ARDR_LOSS_RECOVERY_IMPAIR_INTANG","FQ4 2019","FQ4 2019","Currency=USD","Period=FQ","BEST_FPERIOD_OVERRIDE=FQ","FILING_STATUS=MR","SCALING_FORMAT=MLN","Sort=A","Dates=H","DateFormat=P","Fill=—","Direction=H","UseDPDF=Y")</f>
        <v>—</v>
      </c>
      <c r="H83" s="13" t="str">
        <f>_xll.BDH("GILD US Equity","ARDR_LOSS_RECOVERY_IMPAIR_INTANG","FQ1 2020","FQ1 2020","Currency=USD","Period=FQ","BEST_FPERIOD_OVERRIDE=FQ","FILING_STATUS=MR","SCALING_FORMAT=MLN","Sort=A","Dates=H","DateFormat=P","Fill=—","Direction=H","UseDPDF=Y")</f>
        <v>—</v>
      </c>
      <c r="I83" s="13" t="str">
        <f>_xll.BDH("GILD US Equity","ARDR_LOSS_RECOVERY_IMPAIR_INTANG","FQ2 2020","FQ2 2020","Currency=USD","Period=FQ","BEST_FPERIOD_OVERRIDE=FQ","FILING_STATUS=MR","SCALING_FORMAT=MLN","Sort=A","Dates=H","DateFormat=P","Fill=—","Direction=H","UseDPDF=Y")</f>
        <v>—</v>
      </c>
      <c r="J83" s="13" t="str">
        <f>_xll.BDH("GILD US Equity","ARDR_LOSS_RECOVERY_IMPAIR_INTANG","FQ3 2020","FQ3 2020","Currency=USD","Period=FQ","BEST_FPERIOD_OVERRIDE=FQ","FILING_STATUS=MR","SCALING_FORMAT=MLN","Sort=A","Dates=H","DateFormat=P","Fill=—","Direction=H","UseDPDF=Y")</f>
        <v>—</v>
      </c>
      <c r="K83" s="13" t="str">
        <f>_xll.BDH("GILD US Equity","ARDR_LOSS_RECOVERY_IMPAIR_INTANG","FQ4 2020","FQ4 2020","Currency=USD","Period=FQ","BEST_FPERIOD_OVERRIDE=FQ","FILING_STATUS=MR","SCALING_FORMAT=MLN","Sort=A","Dates=H","DateFormat=P","Fill=—","Direction=H","UseDPDF=Y")</f>
        <v>—</v>
      </c>
      <c r="L83" s="13" t="str">
        <f>_xll.BDH("GILD US Equity","ARDR_LOSS_RECOVERY_IMPAIR_INTANG","FQ1 2021","FQ1 2021","Currency=USD","Period=FQ","BEST_FPERIOD_OVERRIDE=FQ","FILING_STATUS=MR","SCALING_FORMAT=MLN","Sort=A","Dates=H","DateFormat=P","Fill=—","Direction=H","UseDPDF=Y")</f>
        <v>—</v>
      </c>
      <c r="M83" s="13" t="str">
        <f>_xll.BDH("GILD US Equity","ARDR_LOSS_RECOVERY_IMPAIR_INTANG","FQ2 2021","FQ2 2021","Currency=USD","Period=FQ","BEST_FPERIOD_OVERRIDE=FQ","FILING_STATUS=MR","SCALING_FORMAT=MLN","Sort=A","Dates=H","DateFormat=P","Fill=—","Direction=H","UseDPDF=Y")</f>
        <v>—</v>
      </c>
      <c r="N83" s="13" t="str">
        <f>_xll.BDH("GILD US Equity","ARDR_LOSS_RECOVERY_IMPAIR_INTANG","FQ3 2021","FQ3 2021","Currency=USD","Period=FQ","BEST_FPERIOD_OVERRIDE=FQ","FILING_STATUS=MR","SCALING_FORMAT=MLN","Sort=A","Dates=H","DateFormat=P","Fill=—","Direction=H","UseDPDF=Y")</f>
        <v>—</v>
      </c>
      <c r="O83" s="13" t="str">
        <f>_xll.BDH("GILD US Equity","ARDR_LOSS_RECOVERY_IMPAIR_INTANG","FQ4 2021","FQ4 2021","Currency=USD","Period=FQ","BEST_FPERIOD_OVERRIDE=FQ","FILING_STATUS=MR","SCALING_FORMAT=MLN","Sort=A","Dates=H","DateFormat=P","Fill=—","Direction=H","UseDPDF=Y")</f>
        <v>—</v>
      </c>
      <c r="P83" s="13">
        <f>_xll.BDH("GILD US Equity","ARDR_LOSS_RECOVERY_IMPAIR_INTANG","FQ1 2022","FQ1 2022","Currency=USD","Period=FQ","BEST_FPERIOD_OVERRIDE=FQ","FILING_STATUS=MR","SCALING_FORMAT=MLN","Sort=A","Dates=H","DateFormat=P","Fill=—","Direction=H","UseDPDF=Y")</f>
        <v>2700</v>
      </c>
      <c r="Q83" s="13" t="str">
        <f>_xll.BDH("GILD US Equity","ARDR_LOSS_RECOVERY_IMPAIR_INTANG","FQ2 2022","FQ2 2022","Currency=USD","Period=FQ","BEST_FPERIOD_OVERRIDE=FQ","FILING_STATUS=MR","SCALING_FORMAT=MLN","Sort=A","Dates=H","DateFormat=P","Fill=—","Direction=H","UseDPDF=Y")</f>
        <v>—</v>
      </c>
      <c r="R83" s="13" t="str">
        <f>_xll.BDH("GILD US Equity","ARDR_LOSS_RECOVERY_IMPAIR_INTANG","FQ3 2022","FQ3 2022","Currency=USD","Period=FQ","BEST_FPERIOD_OVERRIDE=FQ","FILING_STATUS=MR","SCALING_FORMAT=MLN","Sort=A","Dates=H","DateFormat=P","Fill=—","Direction=H","UseDPDF=Y")</f>
        <v>—</v>
      </c>
      <c r="S83" s="13" t="str">
        <f>_xll.BDH("GILD US Equity","ARDR_LOSS_RECOVERY_IMPAIR_INTANG","FQ4 2022","FQ4 2022","Currency=USD","Period=FQ","BEST_FPERIOD_OVERRIDE=FQ","FILING_STATUS=MR","SCALING_FORMAT=MLN","Sort=A","Dates=H","DateFormat=P","Fill=—","Direction=H","UseDPDF=Y")</f>
        <v>—</v>
      </c>
      <c r="T83" s="13">
        <f>_xll.BDH("GILD US Equity","ARDR_LOSS_RECOVERY_IMPAIR_INTANG","FQ1 2023","FQ1 2023","Currency=USD","Period=FQ","BEST_FPERIOD_OVERRIDE=FQ","FILING_STATUS=MR","SCALING_FORMAT=MLN","Sort=A","Dates=H","DateFormat=P","Fill=—","Direction=H","UseDPDF=Y")</f>
        <v>0</v>
      </c>
      <c r="U83" s="13" t="str">
        <f>_xll.BDH("GILD US Equity","ARDR_LOSS_RECOVERY_IMPAIR_INTANG","FQ2 2023","FQ2 2023","Currency=USD","Period=FQ","BEST_FPERIOD_OVERRIDE=FQ","FILING_STATUS=MR","SCALING_FORMAT=MLN","Sort=A","Dates=H","DateFormat=P","Fill=—","Direction=H","UseDPDF=Y")</f>
        <v>—</v>
      </c>
      <c r="V83" s="13" t="str">
        <f>_xll.BDH("GILD US Equity","ARDR_LOSS_RECOVERY_IMPAIR_INTANG","FQ3 2023","FQ3 2023","Currency=USD","Period=FQ","BEST_FPERIOD_OVERRIDE=FQ","FILING_STATUS=MR","SCALING_FORMAT=MLN","Sort=A","Dates=H","DateFormat=P","Fill=—","Direction=H","UseDPDF=Y")</f>
        <v>—</v>
      </c>
      <c r="W83" s="13">
        <f>_xll.BDH("GILD US Equity","ARDR_LOSS_RECOVERY_IMPAIR_INTANG","FQ4 2023","FQ4 2023","Currency=USD","Period=FQ","BEST_FPERIOD_OVERRIDE=FQ","FILING_STATUS=MR","SCALING_FORMAT=MLN","Sort=A","Dates=H","DateFormat=P","Fill=—","Direction=H","UseDPDF=Y")</f>
        <v>50</v>
      </c>
      <c r="X83" s="13">
        <f>_xll.BDH("GILD US Equity","ARDR_LOSS_RECOVERY_IMPAIR_INTANG","FQ1 2024","FQ1 2024","Currency=USD","Period=FQ","BEST_FPERIOD_OVERRIDE=FQ","FILING_STATUS=MR","SCALING_FORMAT=MLN","Sort=A","Dates=H","DateFormat=P","Fill=—","Direction=H","UseDPDF=Y")</f>
        <v>2430</v>
      </c>
      <c r="Y83" s="13">
        <f>_xll.BDH("GILD US Equity","ARDR_LOSS_RECOVERY_IMPAIR_INTANG","FQ2 2024","FQ2 2024","Currency=USD","Period=FQ","BEST_FPERIOD_OVERRIDE=FQ","FILING_STATUS=MR","SCALING_FORMAT=MLN","Sort=A","Dates=H","DateFormat=P","Fill=—","Direction=H","UseDPDF=Y")</f>
        <v>0</v>
      </c>
      <c r="Z83" s="13">
        <f>_xll.BDH("GILD US Equity","ARDR_LOSS_RECOVERY_IMPAIR_INTANG","FQ3 2024","FQ3 2024","Currency=USD","Period=FQ","BEST_FPERIOD_OVERRIDE=FQ","FILING_STATUS=MR","SCALING_FORMAT=MLN","Sort=A","Dates=H","DateFormat=P","Fill=—","Direction=H","UseDPDF=Y")</f>
        <v>1750</v>
      </c>
      <c r="AA83" s="13" t="str">
        <f>_xll.BDH("GILD US Equity","ARDR_LOSS_RECOVERY_IMPAIR_INTANG","FQ4 2024","FQ4 2024","Currency=USD","Period=FQ","BEST_FPERIOD_OVERRIDE=FQ","FILING_STATUS=MR","SCALING_FORMAT=MLN","Sort=A","Dates=H","DateFormat=P","Fill=—","Direction=H","UseDPDF=Y")</f>
        <v>—</v>
      </c>
    </row>
    <row r="84" spans="1:27" x14ac:dyDescent="0.25">
      <c r="A84" s="10" t="s">
        <v>546</v>
      </c>
      <c r="B84" s="10" t="s">
        <v>547</v>
      </c>
      <c r="C84" s="13">
        <f>_xll.BDH("GILD US Equity","ARDR_TAX_PROV_BENEFIT_NONREC","FQ4 2018","FQ4 2018","Currency=USD","Period=FQ","BEST_FPERIOD_OVERRIDE=FQ","FILING_STATUS=MR","SCALING_FORMAT=MLN","Sort=A","Dates=H","DateFormat=P","Fill=—","Direction=H","UseDPDF=Y")</f>
        <v>602</v>
      </c>
      <c r="D84" s="13" t="str">
        <f>_xll.BDH("GILD US Equity","ARDR_TAX_PROV_BENEFIT_NONREC","FQ1 2019","FQ1 2019","Currency=USD","Period=FQ","BEST_FPERIOD_OVERRIDE=FQ","FILING_STATUS=MR","SCALING_FORMAT=MLN","Sort=A","Dates=H","DateFormat=P","Fill=—","Direction=H","UseDPDF=Y")</f>
        <v>—</v>
      </c>
      <c r="E84" s="13" t="str">
        <f>_xll.BDH("GILD US Equity","ARDR_TAX_PROV_BENEFIT_NONREC","FQ2 2019","FQ2 2019","Currency=USD","Period=FQ","BEST_FPERIOD_OVERRIDE=FQ","FILING_STATUS=MR","SCALING_FORMAT=MLN","Sort=A","Dates=H","DateFormat=P","Fill=—","Direction=H","UseDPDF=Y")</f>
        <v>—</v>
      </c>
      <c r="F84" s="13" t="str">
        <f>_xll.BDH("GILD US Equity","ARDR_TAX_PROV_BENEFIT_NONREC","FQ3 2019","FQ3 2019","Currency=USD","Period=FQ","BEST_FPERIOD_OVERRIDE=FQ","FILING_STATUS=MR","SCALING_FORMAT=MLN","Sort=A","Dates=H","DateFormat=P","Fill=—","Direction=H","UseDPDF=Y")</f>
        <v>—</v>
      </c>
      <c r="G84" s="13">
        <f>_xll.BDH("GILD US Equity","ARDR_TAX_PROV_BENEFIT_NONREC","FQ4 2019","FQ4 2019","Currency=USD","Period=FQ","BEST_FPERIOD_OVERRIDE=FQ","FILING_STATUS=MR","SCALING_FORMAT=MLN","Sort=A","Dates=H","DateFormat=P","Fill=—","Direction=H","UseDPDF=Y")</f>
        <v>-1240</v>
      </c>
      <c r="H84" s="13">
        <f>_xll.BDH("GILD US Equity","ARDR_TAX_PROV_BENEFIT_NONREC","FQ1 2020","FQ1 2020","Currency=USD","Period=FQ","BEST_FPERIOD_OVERRIDE=FQ","FILING_STATUS=MR","SCALING_FORMAT=MLN","Sort=A","Dates=H","DateFormat=P","Fill=—","Direction=H","UseDPDF=Y")</f>
        <v>33</v>
      </c>
      <c r="I84" s="13">
        <f>_xll.BDH("GILD US Equity","ARDR_TAX_PROV_BENEFIT_NONREC","FQ2 2020","FQ2 2020","Currency=USD","Period=FQ","BEST_FPERIOD_OVERRIDE=FQ","FILING_STATUS=MR","SCALING_FORMAT=MLN","Sort=A","Dates=H","DateFormat=P","Fill=—","Direction=H","UseDPDF=Y")</f>
        <v>4</v>
      </c>
      <c r="J84" s="13">
        <f>_xll.BDH("GILD US Equity","ARDR_TAX_PROV_BENEFIT_NONREC","FQ3 2020","FQ3 2020","Currency=USD","Period=FQ","BEST_FPERIOD_OVERRIDE=FQ","FILING_STATUS=MR","SCALING_FORMAT=MLN","Sort=A","Dates=H","DateFormat=P","Fill=—","Direction=H","UseDPDF=Y")</f>
        <v>45</v>
      </c>
      <c r="K84" s="13">
        <f>_xll.BDH("GILD US Equity","ARDR_TAX_PROV_BENEFIT_NONREC","FQ4 2020","FQ4 2020","Currency=USD","Period=FQ","BEST_FPERIOD_OVERRIDE=FQ","FILING_STATUS=MR","SCALING_FORMAT=MLN","Sort=A","Dates=H","DateFormat=P","Fill=—","Direction=H","UseDPDF=Y")</f>
        <v>-82</v>
      </c>
      <c r="L84" s="13">
        <f>_xll.BDH("GILD US Equity","ARDR_TAX_PROV_BENEFIT_NONREC","FQ1 2021","FQ1 2021","Currency=USD","Period=FQ","BEST_FPERIOD_OVERRIDE=FQ","FILING_STATUS=MR","SCALING_FORMAT=MLN","Sort=A","Dates=H","DateFormat=P","Fill=—","Direction=H","UseDPDF=Y")</f>
        <v>54</v>
      </c>
      <c r="M84" s="13">
        <f>_xll.BDH("GILD US Equity","ARDR_TAX_PROV_BENEFIT_NONREC","FQ2 2021","FQ2 2021","Currency=USD","Period=FQ","BEST_FPERIOD_OVERRIDE=FQ","FILING_STATUS=MR","SCALING_FORMAT=MLN","Sort=A","Dates=H","DateFormat=P","Fill=—","Direction=H","UseDPDF=Y")</f>
        <v>-40</v>
      </c>
      <c r="N84" s="13">
        <f>_xll.BDH("GILD US Equity","ARDR_TAX_PROV_BENEFIT_NONREC","FQ3 2021","FQ3 2021","Currency=USD","Period=FQ","BEST_FPERIOD_OVERRIDE=FQ","FILING_STATUS=MR","SCALING_FORMAT=MLN","Sort=A","Dates=H","DateFormat=P","Fill=—","Direction=H","UseDPDF=Y")</f>
        <v>165</v>
      </c>
      <c r="O84" s="13">
        <f>_xll.BDH("GILD US Equity","ARDR_TAX_PROV_BENEFIT_NONREC","FQ4 2021","FQ4 2021","Currency=USD","Period=FQ","BEST_FPERIOD_OVERRIDE=FQ","FILING_STATUS=MR","SCALING_FORMAT=MLN","Sort=A","Dates=H","DateFormat=P","Fill=—","Direction=H","UseDPDF=Y")</f>
        <v>88</v>
      </c>
      <c r="P84" s="13">
        <f>_xll.BDH("GILD US Equity","ARDR_TAX_PROV_BENEFIT_NONREC","FQ1 2022","FQ1 2022","Currency=USD","Period=FQ","BEST_FPERIOD_OVERRIDE=FQ","FILING_STATUS=MR","SCALING_FORMAT=MLN","Sort=A","Dates=H","DateFormat=P","Fill=—","Direction=H","UseDPDF=Y")</f>
        <v>38</v>
      </c>
      <c r="Q84" s="13">
        <f>_xll.BDH("GILD US Equity","ARDR_TAX_PROV_BENEFIT_NONREC","FQ2 2022","FQ2 2022","Currency=USD","Period=FQ","BEST_FPERIOD_OVERRIDE=FQ","FILING_STATUS=MR","SCALING_FORMAT=MLN","Sort=A","Dates=H","DateFormat=P","Fill=—","Direction=H","UseDPDF=Y")</f>
        <v>31</v>
      </c>
      <c r="R84" s="13">
        <f>_xll.BDH("GILD US Equity","ARDR_TAX_PROV_BENEFIT_NONREC","FQ3 2022","FQ3 2022","Currency=USD","Period=FQ","BEST_FPERIOD_OVERRIDE=FQ","FILING_STATUS=MR","SCALING_FORMAT=MLN","Sort=A","Dates=H","DateFormat=P","Fill=—","Direction=H","UseDPDF=Y")</f>
        <v>49</v>
      </c>
      <c r="S84" s="13">
        <f>_xll.BDH("GILD US Equity","ARDR_TAX_PROV_BENEFIT_NONREC","FQ4 2022","FQ4 2022","Currency=USD","Period=FQ","BEST_FPERIOD_OVERRIDE=FQ","FILING_STATUS=MR","SCALING_FORMAT=MLN","Sort=A","Dates=H","DateFormat=P","Fill=—","Direction=H","UseDPDF=Y")</f>
        <v>57</v>
      </c>
      <c r="T84" s="13">
        <f>_xll.BDH("GILD US Equity","ARDR_TAX_PROV_BENEFIT_NONREC","FQ1 2023","FQ1 2023","Currency=USD","Period=FQ","BEST_FPERIOD_OVERRIDE=FQ","FILING_STATUS=MR","SCALING_FORMAT=MLN","Sort=A","Dates=H","DateFormat=P","Fill=—","Direction=H","UseDPDF=Y")</f>
        <v>29</v>
      </c>
      <c r="U84" s="13">
        <f>_xll.BDH("GILD US Equity","ARDR_TAX_PROV_BENEFIT_NONREC","FQ2 2023","FQ2 2023","Currency=USD","Period=FQ","BEST_FPERIOD_OVERRIDE=FQ","FILING_STATUS=MR","SCALING_FORMAT=MLN","Sort=A","Dates=H","DateFormat=P","Fill=—","Direction=H","UseDPDF=Y")</f>
        <v>227</v>
      </c>
      <c r="V84" s="13">
        <f>_xll.BDH("GILD US Equity","ARDR_TAX_PROV_BENEFIT_NONREC","FQ3 2023","FQ3 2023","Currency=USD","Period=FQ","BEST_FPERIOD_OVERRIDE=FQ","FILING_STATUS=MR","SCALING_FORMAT=MLN","Sort=A","Dates=H","DateFormat=P","Fill=—","Direction=H","UseDPDF=Y")</f>
        <v>58</v>
      </c>
      <c r="W84" s="13">
        <f>_xll.BDH("GILD US Equity","ARDR_TAX_PROV_BENEFIT_NONREC","FQ4 2023","FQ4 2023","Currency=USD","Period=FQ","BEST_FPERIOD_OVERRIDE=FQ","FILING_STATUS=MR","SCALING_FORMAT=MLN","Sort=A","Dates=H","DateFormat=P","Fill=—","Direction=H","UseDPDF=Y")</f>
        <v>12</v>
      </c>
      <c r="X84" s="13">
        <f>_xll.BDH("GILD US Equity","ARDR_TAX_PROV_BENEFIT_NONREC","FQ1 2024","FQ1 2024","Currency=USD","Period=FQ","BEST_FPERIOD_OVERRIDE=FQ","FILING_STATUS=MR","SCALING_FORMAT=MLN","Sort=A","Dates=H","DateFormat=P","Fill=—","Direction=H","UseDPDF=Y")</f>
        <v>39</v>
      </c>
      <c r="Y84" s="13">
        <f>_xll.BDH("GILD US Equity","ARDR_TAX_PROV_BENEFIT_NONREC","FQ2 2024","FQ2 2024","Currency=USD","Period=FQ","BEST_FPERIOD_OVERRIDE=FQ","FILING_STATUS=MR","SCALING_FORMAT=MLN","Sort=A","Dates=H","DateFormat=P","Fill=—","Direction=H","UseDPDF=Y")</f>
        <v>60</v>
      </c>
      <c r="Z84" s="13">
        <f>_xll.BDH("GILD US Equity","ARDR_TAX_PROV_BENEFIT_NONREC","FQ3 2024","FQ3 2024","Currency=USD","Period=FQ","BEST_FPERIOD_OVERRIDE=FQ","FILING_STATUS=MR","SCALING_FORMAT=MLN","Sort=A","Dates=H","DateFormat=P","Fill=—","Direction=H","UseDPDF=Y")</f>
        <v>-314</v>
      </c>
      <c r="AA84" s="13">
        <f>_xll.BDH("GILD US Equity","ARDR_TAX_PROV_BENEFIT_NONREC","FQ4 2024","FQ4 2024","Currency=USD","Period=FQ","BEST_FPERIOD_OVERRIDE=FQ","FILING_STATUS=MR","SCALING_FORMAT=MLN","Sort=A","Dates=H","DateFormat=P","Fill=—","Direction=H","UseDPDF=Y")</f>
        <v>-29</v>
      </c>
    </row>
    <row r="85" spans="1:27" x14ac:dyDescent="0.25">
      <c r="A85" s="10" t="s">
        <v>548</v>
      </c>
      <c r="B85" s="10" t="s">
        <v>549</v>
      </c>
      <c r="C85" s="13" t="str">
        <f>_xll.BDH("GILD US Equity","ARDR_IN_PROCESS_R&amp;D_AFTER_TAX","FQ4 2018","FQ4 2018","Currency=USD","Period=FQ","BEST_FPERIOD_OVERRIDE=FQ","FILING_STATUS=MR","SCALING_FORMAT=MLN","Sort=A","Dates=H","DateFormat=P","Fill=—","Direction=H","UseDPDF=Y")</f>
        <v>—</v>
      </c>
      <c r="D85" s="13" t="str">
        <f>_xll.BDH("GILD US Equity","ARDR_IN_PROCESS_R&amp;D_AFTER_TAX","FQ1 2019","FQ1 2019","Currency=USD","Period=FQ","BEST_FPERIOD_OVERRIDE=FQ","FILING_STATUS=MR","SCALING_FORMAT=MLN","Sort=A","Dates=H","DateFormat=P","Fill=—","Direction=H","UseDPDF=Y")</f>
        <v>—</v>
      </c>
      <c r="E85" s="13" t="str">
        <f>_xll.BDH("GILD US Equity","ARDR_IN_PROCESS_R&amp;D_AFTER_TAX","FQ2 2019","FQ2 2019","Currency=USD","Period=FQ","BEST_FPERIOD_OVERRIDE=FQ","FILING_STATUS=MR","SCALING_FORMAT=MLN","Sort=A","Dates=H","DateFormat=P","Fill=—","Direction=H","UseDPDF=Y")</f>
        <v>—</v>
      </c>
      <c r="F85" s="13">
        <f>_xll.BDH("GILD US Equity","ARDR_IN_PROCESS_R&amp;D_AFTER_TAX","FQ3 2019","FQ3 2019","Currency=USD","Period=FQ","BEST_FPERIOD_OVERRIDE=FQ","FILING_STATUS=MR","SCALING_FORMAT=MLN","Sort=A","Dates=H","DateFormat=P","Fill=—","Direction=H","UseDPDF=Y")</f>
        <v>3068</v>
      </c>
      <c r="G85" s="13">
        <f>_xll.BDH("GILD US Equity","ARDR_IN_PROCESS_R&amp;D_AFTER_TAX","FQ4 2019","FQ4 2019","Currency=USD","Period=FQ","BEST_FPERIOD_OVERRIDE=FQ","FILING_STATUS=MR","SCALING_FORMAT=MLN","Sort=A","Dates=H","DateFormat=P","Fill=—","Direction=H","UseDPDF=Y")</f>
        <v>623</v>
      </c>
      <c r="H85" s="13">
        <f>_xll.BDH("GILD US Equity","ARDR_IN_PROCESS_R&amp;D_AFTER_TAX","FQ1 2020","FQ1 2020","Currency=USD","Period=FQ","BEST_FPERIOD_OVERRIDE=FQ","FILING_STATUS=MR","SCALING_FORMAT=MLN","Sort=A","Dates=H","DateFormat=P","Fill=—","Direction=H","UseDPDF=Y")</f>
        <v>75</v>
      </c>
      <c r="I85" s="13">
        <f>_xll.BDH("GILD US Equity","ARDR_IN_PROCESS_R&amp;D_AFTER_TAX","FQ2 2020","FQ2 2020","Currency=USD","Period=FQ","BEST_FPERIOD_OVERRIDE=FQ","FILING_STATUS=MR","SCALING_FORMAT=MLN","Sort=A","Dates=H","DateFormat=P","Fill=—","Direction=H","UseDPDF=Y")</f>
        <v>4514</v>
      </c>
      <c r="J85" s="13">
        <f>_xll.BDH("GILD US Equity","ARDR_IN_PROCESS_R&amp;D_AFTER_TAX","FQ3 2020","FQ3 2020","Currency=USD","Period=FQ","BEST_FPERIOD_OVERRIDE=FQ","FILING_STATUS=MR","SCALING_FORMAT=MLN","Sort=A","Dates=H","DateFormat=P","Fill=—","Direction=H","UseDPDF=Y")</f>
        <v>1033</v>
      </c>
      <c r="K85" s="13">
        <f>_xll.BDH("GILD US Equity","ARDR_IN_PROCESS_R&amp;D_AFTER_TAX","FQ4 2020","FQ4 2020","Currency=USD","Period=FQ","BEST_FPERIOD_OVERRIDE=FQ","FILING_STATUS=MR","SCALING_FORMAT=MLN","Sort=A","Dates=H","DateFormat=P","Fill=—","Direction=H","UseDPDF=Y")</f>
        <v>50</v>
      </c>
      <c r="L85" s="13">
        <f>_xll.BDH("GILD US Equity","ARDR_IN_PROCESS_R&amp;D_AFTER_TAX","FQ1 2021","FQ1 2021","Currency=USD","Period=FQ","BEST_FPERIOD_OVERRIDE=FQ","FILING_STATUS=MR","SCALING_FORMAT=MLN","Sort=A","Dates=H","DateFormat=P","Fill=—","Direction=H","UseDPDF=Y")</f>
        <v>50</v>
      </c>
      <c r="M85" s="13">
        <f>_xll.BDH("GILD US Equity","ARDR_IN_PROCESS_R&amp;D_AFTER_TAX","FQ2 2021","FQ2 2021","Currency=USD","Period=FQ","BEST_FPERIOD_OVERRIDE=FQ","FILING_STATUS=MR","SCALING_FORMAT=MLN","Sort=A","Dates=H","DateFormat=P","Fill=—","Direction=H","UseDPDF=Y")</f>
        <v>75</v>
      </c>
      <c r="N85" s="13" t="str">
        <f>_xll.BDH("GILD US Equity","ARDR_IN_PROCESS_R&amp;D_AFTER_TAX","FQ3 2021","FQ3 2021","Currency=USD","Period=FQ","BEST_FPERIOD_OVERRIDE=FQ","FILING_STATUS=MR","SCALING_FORMAT=MLN","Sort=A","Dates=H","DateFormat=P","Fill=—","Direction=H","UseDPDF=Y")</f>
        <v>—</v>
      </c>
      <c r="O85" s="13" t="str">
        <f>_xll.BDH("GILD US Equity","ARDR_IN_PROCESS_R&amp;D_AFTER_TAX","FQ4 2021","FQ4 2021","Currency=USD","Period=FQ","BEST_FPERIOD_OVERRIDE=FQ","FILING_STATUS=MR","SCALING_FORMAT=MLN","Sort=A","Dates=H","DateFormat=P","Fill=—","Direction=H","UseDPDF=Y")</f>
        <v>—</v>
      </c>
      <c r="P85" s="13" t="str">
        <f>_xll.BDH("GILD US Equity","ARDR_IN_PROCESS_R&amp;D_AFTER_TAX","FQ1 2022","FQ1 2022","Currency=USD","Period=FQ","BEST_FPERIOD_OVERRIDE=FQ","FILING_STATUS=MR","SCALING_FORMAT=MLN","Sort=A","Dates=H","DateFormat=P","Fill=—","Direction=H","UseDPDF=Y")</f>
        <v>—</v>
      </c>
      <c r="Q85" s="13">
        <f>_xll.BDH("GILD US Equity","ARDR_IN_PROCESS_R&amp;D_AFTER_TAX","FQ2 2022","FQ2 2022","Currency=USD","Period=FQ","BEST_FPERIOD_OVERRIDE=FQ","FILING_STATUS=MR","SCALING_FORMAT=MLN","Sort=A","Dates=H","DateFormat=P","Fill=—","Direction=H","UseDPDF=Y")</f>
        <v>0</v>
      </c>
      <c r="R85" s="13">
        <f>_xll.BDH("GILD US Equity","ARDR_IN_PROCESS_R&amp;D_AFTER_TAX","FQ3 2022","FQ3 2022","Currency=USD","Period=FQ","BEST_FPERIOD_OVERRIDE=FQ","FILING_STATUS=MR","SCALING_FORMAT=MLN","Sort=A","Dates=H","DateFormat=P","Fill=—","Direction=H","UseDPDF=Y")</f>
        <v>0</v>
      </c>
      <c r="S85" s="13" t="str">
        <f>_xll.BDH("GILD US Equity","ARDR_IN_PROCESS_R&amp;D_AFTER_TAX","FQ4 2022","FQ4 2022","Currency=USD","Period=FQ","BEST_FPERIOD_OVERRIDE=FQ","FILING_STATUS=MR","SCALING_FORMAT=MLN","Sort=A","Dates=H","DateFormat=P","Fill=—","Direction=H","UseDPDF=Y")</f>
        <v>—</v>
      </c>
      <c r="T85" s="13" t="str">
        <f>_xll.BDH("GILD US Equity","ARDR_IN_PROCESS_R&amp;D_AFTER_TAX","FQ1 2023","FQ1 2023","Currency=USD","Period=FQ","BEST_FPERIOD_OVERRIDE=FQ","FILING_STATUS=MR","SCALING_FORMAT=MLN","Sort=A","Dates=H","DateFormat=P","Fill=—","Direction=H","UseDPDF=Y")</f>
        <v>—</v>
      </c>
      <c r="U85" s="13" t="str">
        <f>_xll.BDH("GILD US Equity","ARDR_IN_PROCESS_R&amp;D_AFTER_TAX","FQ2 2023","FQ2 2023","Currency=USD","Period=FQ","BEST_FPERIOD_OVERRIDE=FQ","FILING_STATUS=MR","SCALING_FORMAT=MLN","Sort=A","Dates=H","DateFormat=P","Fill=—","Direction=H","UseDPDF=Y")</f>
        <v>—</v>
      </c>
      <c r="V85" s="13" t="str">
        <f>_xll.BDH("GILD US Equity","ARDR_IN_PROCESS_R&amp;D_AFTER_TAX","FQ3 2023","FQ3 2023","Currency=USD","Period=FQ","BEST_FPERIOD_OVERRIDE=FQ","FILING_STATUS=MR","SCALING_FORMAT=MLN","Sort=A","Dates=H","DateFormat=P","Fill=—","Direction=H","UseDPDF=Y")</f>
        <v>—</v>
      </c>
      <c r="W85" s="13" t="str">
        <f>_xll.BDH("GILD US Equity","ARDR_IN_PROCESS_R&amp;D_AFTER_TAX","FQ4 2023","FQ4 2023","Currency=USD","Period=FQ","BEST_FPERIOD_OVERRIDE=FQ","FILING_STATUS=MR","SCALING_FORMAT=MLN","Sort=A","Dates=H","DateFormat=P","Fill=—","Direction=H","UseDPDF=Y")</f>
        <v>—</v>
      </c>
      <c r="X85" s="13" t="str">
        <f>_xll.BDH("GILD US Equity","ARDR_IN_PROCESS_R&amp;D_AFTER_TAX","FQ1 2024","FQ1 2024","Currency=USD","Period=FQ","BEST_FPERIOD_OVERRIDE=FQ","FILING_STATUS=MR","SCALING_FORMAT=MLN","Sort=A","Dates=H","DateFormat=P","Fill=—","Direction=H","UseDPDF=Y")</f>
        <v>—</v>
      </c>
      <c r="Y85" s="13" t="str">
        <f>_xll.BDH("GILD US Equity","ARDR_IN_PROCESS_R&amp;D_AFTER_TAX","FQ2 2024","FQ2 2024","Currency=USD","Period=FQ","BEST_FPERIOD_OVERRIDE=FQ","FILING_STATUS=MR","SCALING_FORMAT=MLN","Sort=A","Dates=H","DateFormat=P","Fill=—","Direction=H","UseDPDF=Y")</f>
        <v>—</v>
      </c>
      <c r="Z85" s="13" t="str">
        <f>_xll.BDH("GILD US Equity","ARDR_IN_PROCESS_R&amp;D_AFTER_TAX","FQ3 2024","FQ3 2024","Currency=USD","Period=FQ","BEST_FPERIOD_OVERRIDE=FQ","FILING_STATUS=MR","SCALING_FORMAT=MLN","Sort=A","Dates=H","DateFormat=P","Fill=—","Direction=H","UseDPDF=Y")</f>
        <v>—</v>
      </c>
      <c r="AA85" s="13" t="str">
        <f>_xll.BDH("GILD US Equity","ARDR_IN_PROCESS_R&amp;D_AFTER_TAX","FQ4 2024","FQ4 2024","Currency=USD","Period=FQ","BEST_FPERIOD_OVERRIDE=FQ","FILING_STATUS=MR","SCALING_FORMAT=MLN","Sort=A","Dates=H","DateFormat=P","Fill=—","Direction=H","UseDPDF=Y")</f>
        <v>—</v>
      </c>
    </row>
    <row r="86" spans="1:27" x14ac:dyDescent="0.25">
      <c r="A86" s="10" t="s">
        <v>550</v>
      </c>
      <c r="B86" s="10" t="s">
        <v>551</v>
      </c>
      <c r="C86" s="13">
        <f>_xll.BDH("GILD US Equity","ARDR_ACQUISITION_MERGERS_AFT_TAX","FQ4 2018","FQ4 2018","Currency=USD","Period=FQ","BEST_FPERIOD_OVERRIDE=FQ","FILING_STATUS=MR","SCALING_FORMAT=MLN","Sort=A","Dates=H","DateFormat=P","Fill=—","Direction=H","UseDPDF=Y")</f>
        <v>696</v>
      </c>
      <c r="D86" s="13" t="str">
        <f>_xll.BDH("GILD US Equity","ARDR_ACQUISITION_MERGERS_AFT_TAX","FQ1 2019","FQ1 2019","Currency=USD","Period=FQ","BEST_FPERIOD_OVERRIDE=FQ","FILING_STATUS=MR","SCALING_FORMAT=MLN","Sort=A","Dates=H","DateFormat=P","Fill=—","Direction=H","UseDPDF=Y")</f>
        <v>—</v>
      </c>
      <c r="E86" s="13" t="str">
        <f>_xll.BDH("GILD US Equity","ARDR_ACQUISITION_MERGERS_AFT_TAX","FQ2 2019","FQ2 2019","Currency=USD","Period=FQ","BEST_FPERIOD_OVERRIDE=FQ","FILING_STATUS=MR","SCALING_FORMAT=MLN","Sort=A","Dates=H","DateFormat=P","Fill=—","Direction=H","UseDPDF=Y")</f>
        <v>—</v>
      </c>
      <c r="F86" s="13" t="str">
        <f>_xll.BDH("GILD US Equity","ARDR_ACQUISITION_MERGERS_AFT_TAX","FQ3 2019","FQ3 2019","Currency=USD","Period=FQ","BEST_FPERIOD_OVERRIDE=FQ","FILING_STATUS=MR","SCALING_FORMAT=MLN","Sort=A","Dates=H","DateFormat=P","Fill=—","Direction=H","UseDPDF=Y")</f>
        <v>—</v>
      </c>
      <c r="G86" s="13" t="str">
        <f>_xll.BDH("GILD US Equity","ARDR_ACQUISITION_MERGERS_AFT_TAX","FQ4 2019","FQ4 2019","Currency=USD","Period=FQ","BEST_FPERIOD_OVERRIDE=FQ","FILING_STATUS=MR","SCALING_FORMAT=MLN","Sort=A","Dates=H","DateFormat=P","Fill=—","Direction=H","UseDPDF=Y")</f>
        <v>—</v>
      </c>
      <c r="H86" s="13">
        <f>_xll.BDH("GILD US Equity","ARDR_ACQUISITION_MERGERS_AFT_TAX","FQ1 2020","FQ1 2020","Currency=USD","Period=FQ","BEST_FPERIOD_OVERRIDE=FQ","FILING_STATUS=MR","SCALING_FORMAT=MLN","Sort=A","Dates=H","DateFormat=P","Fill=—","Direction=H","UseDPDF=Y")</f>
        <v>224</v>
      </c>
      <c r="I86" s="13">
        <f>_xll.BDH("GILD US Equity","ARDR_ACQUISITION_MERGERS_AFT_TAX","FQ2 2020","FQ2 2020","Currency=USD","Period=FQ","BEST_FPERIOD_OVERRIDE=FQ","FILING_STATUS=MR","SCALING_FORMAT=MLN","Sort=A","Dates=H","DateFormat=P","Fill=—","Direction=H","UseDPDF=Y")</f>
        <v>148</v>
      </c>
      <c r="J86" s="13">
        <f>_xll.BDH("GILD US Equity","ARDR_ACQUISITION_MERGERS_AFT_TAX","FQ3 2020","FQ3 2020","Currency=USD","Period=FQ","BEST_FPERIOD_OVERRIDE=FQ","FILING_STATUS=MR","SCALING_FORMAT=MLN","Sort=A","Dates=H","DateFormat=P","Fill=—","Direction=H","UseDPDF=Y")</f>
        <v>11</v>
      </c>
      <c r="K86" s="13">
        <f>_xll.BDH("GILD US Equity","ARDR_ACQUISITION_MERGERS_AFT_TAX","FQ4 2020","FQ4 2020","Currency=USD","Period=FQ","BEST_FPERIOD_OVERRIDE=FQ","FILING_STATUS=MR","SCALING_FORMAT=MLN","Sort=A","Dates=H","DateFormat=P","Fill=—","Direction=H","UseDPDF=Y")</f>
        <v>286</v>
      </c>
      <c r="L86" s="13">
        <f>_xll.BDH("GILD US Equity","ARDR_ACQUISITION_MERGERS_AFT_TAX","FQ1 2021","FQ1 2021","Currency=USD","Period=FQ","BEST_FPERIOD_OVERRIDE=FQ","FILING_STATUS=MR","SCALING_FORMAT=MLN","Sort=A","Dates=H","DateFormat=P","Fill=—","Direction=H","UseDPDF=Y")</f>
        <v>431</v>
      </c>
      <c r="M86" s="13">
        <f>_xll.BDH("GILD US Equity","ARDR_ACQUISITION_MERGERS_AFT_TAX","FQ2 2021","FQ2 2021","Currency=USD","Period=FQ","BEST_FPERIOD_OVERRIDE=FQ","FILING_STATUS=MR","SCALING_FORMAT=MLN","Sort=A","Dates=H","DateFormat=P","Fill=—","Direction=H","UseDPDF=Y")</f>
        <v>15</v>
      </c>
      <c r="N86" s="13">
        <f>_xll.BDH("GILD US Equity","ARDR_ACQUISITION_MERGERS_AFT_TAX","FQ3 2021","FQ3 2021","Currency=USD","Period=FQ","BEST_FPERIOD_OVERRIDE=FQ","FILING_STATUS=MR","SCALING_FORMAT=MLN","Sort=A","Dates=H","DateFormat=P","Fill=—","Direction=H","UseDPDF=Y")</f>
        <v>-14</v>
      </c>
      <c r="O86" s="13" t="str">
        <f>_xll.BDH("GILD US Equity","ARDR_ACQUISITION_MERGERS_AFT_TAX","FQ4 2021","FQ4 2021","Currency=USD","Period=FQ","BEST_FPERIOD_OVERRIDE=FQ","FILING_STATUS=MR","SCALING_FORMAT=MLN","Sort=A","Dates=H","DateFormat=P","Fill=—","Direction=H","UseDPDF=Y")</f>
        <v>—</v>
      </c>
      <c r="P86" s="13">
        <f>_xll.BDH("GILD US Equity","ARDR_ACQUISITION_MERGERS_AFT_TAX","FQ1 2022","FQ1 2022","Currency=USD","Period=FQ","BEST_FPERIOD_OVERRIDE=FQ","FILING_STATUS=MR","SCALING_FORMAT=MLN","Sort=A","Dates=H","DateFormat=P","Fill=—","Direction=H","UseDPDF=Y")</f>
        <v>10</v>
      </c>
      <c r="Q86" s="13">
        <f>_xll.BDH("GILD US Equity","ARDR_ACQUISITION_MERGERS_AFT_TAX","FQ2 2022","FQ2 2022","Currency=USD","Period=FQ","BEST_FPERIOD_OVERRIDE=FQ","FILING_STATUS=MR","SCALING_FORMAT=MLN","Sort=A","Dates=H","DateFormat=P","Fill=—","Direction=H","UseDPDF=Y")</f>
        <v>0</v>
      </c>
      <c r="R86" s="13">
        <f>_xll.BDH("GILD US Equity","ARDR_ACQUISITION_MERGERS_AFT_TAX","FQ3 2022","FQ3 2022","Currency=USD","Period=FQ","BEST_FPERIOD_OVERRIDE=FQ","FILING_STATUS=MR","SCALING_FORMAT=MLN","Sort=A","Dates=H","DateFormat=P","Fill=—","Direction=H","UseDPDF=Y")</f>
        <v>356</v>
      </c>
      <c r="S86" s="13">
        <f>_xll.BDH("GILD US Equity","ARDR_ACQUISITION_MERGERS_AFT_TAX","FQ4 2022","FQ4 2022","Currency=USD","Period=FQ","BEST_FPERIOD_OVERRIDE=FQ","FILING_STATUS=MR","SCALING_FORMAT=MLN","Sort=A","Dates=H","DateFormat=P","Fill=—","Direction=H","UseDPDF=Y")</f>
        <v>1</v>
      </c>
      <c r="T86" s="13">
        <f>_xll.BDH("GILD US Equity","ARDR_ACQUISITION_MERGERS_AFT_TAX","FQ1 2023","FQ1 2023","Currency=USD","Period=FQ","BEST_FPERIOD_OVERRIDE=FQ","FILING_STATUS=MR","SCALING_FORMAT=MLN","Sort=A","Dates=H","DateFormat=P","Fill=—","Direction=H","UseDPDF=Y")</f>
        <v>6</v>
      </c>
      <c r="U86" s="13">
        <f>_xll.BDH("GILD US Equity","ARDR_ACQUISITION_MERGERS_AFT_TAX","FQ2 2023","FQ2 2023","Currency=USD","Period=FQ","BEST_FPERIOD_OVERRIDE=FQ","FILING_STATUS=MR","SCALING_FORMAT=MLN","Sort=A","Dates=H","DateFormat=P","Fill=—","Direction=H","UseDPDF=Y")</f>
        <v>26</v>
      </c>
      <c r="V86" s="13">
        <f>_xll.BDH("GILD US Equity","ARDR_ACQUISITION_MERGERS_AFT_TAX","FQ3 2023","FQ3 2023","Currency=USD","Period=FQ","BEST_FPERIOD_OVERRIDE=FQ","FILING_STATUS=MR","SCALING_FORMAT=MLN","Sort=A","Dates=H","DateFormat=P","Fill=—","Direction=H","UseDPDF=Y")</f>
        <v>-1</v>
      </c>
      <c r="W86" s="13">
        <f>_xll.BDH("GILD US Equity","ARDR_ACQUISITION_MERGERS_AFT_TAX","FQ4 2023","FQ4 2023","Currency=USD","Period=FQ","BEST_FPERIOD_OVERRIDE=FQ","FILING_STATUS=MR","SCALING_FORMAT=MLN","Sort=A","Dates=H","DateFormat=P","Fill=—","Direction=H","UseDPDF=Y")</f>
        <v>-59</v>
      </c>
      <c r="X86" s="13">
        <f>_xll.BDH("GILD US Equity","ARDR_ACQUISITION_MERGERS_AFT_TAX","FQ1 2024","FQ1 2024","Currency=USD","Period=FQ","BEST_FPERIOD_OVERRIDE=FQ","FILING_STATUS=MR","SCALING_FORMAT=MLN","Sort=A","Dates=H","DateFormat=P","Fill=—","Direction=H","UseDPDF=Y")</f>
        <v>103</v>
      </c>
      <c r="Y86" s="13">
        <f>_xll.BDH("GILD US Equity","ARDR_ACQUISITION_MERGERS_AFT_TAX","FQ2 2024","FQ2 2024","Currency=USD","Period=FQ","BEST_FPERIOD_OVERRIDE=FQ","FILING_STATUS=MR","SCALING_FORMAT=MLN","Sort=A","Dates=H","DateFormat=P","Fill=—","Direction=H","UseDPDF=Y")</f>
        <v>14</v>
      </c>
      <c r="Z86" s="13">
        <f>_xll.BDH("GILD US Equity","ARDR_ACQUISITION_MERGERS_AFT_TAX","FQ3 2024","FQ3 2024","Currency=USD","Period=FQ","BEST_FPERIOD_OVERRIDE=FQ","FILING_STATUS=MR","SCALING_FORMAT=MLN","Sort=A","Dates=H","DateFormat=P","Fill=—","Direction=H","UseDPDF=Y")</f>
        <v>11</v>
      </c>
      <c r="AA86" s="13">
        <f>_xll.BDH("GILD US Equity","ARDR_ACQUISITION_MERGERS_AFT_TAX","FQ4 2024","FQ4 2024","Currency=USD","Period=FQ","BEST_FPERIOD_OVERRIDE=FQ","FILING_STATUS=MR","SCALING_FORMAT=MLN","Sort=A","Dates=H","DateFormat=P","Fill=—","Direction=H","UseDPDF=Y")</f>
        <v>6</v>
      </c>
    </row>
    <row r="87" spans="1:27" x14ac:dyDescent="0.25">
      <c r="A87" s="10" t="s">
        <v>552</v>
      </c>
      <c r="B87" s="10" t="s">
        <v>553</v>
      </c>
      <c r="C87" s="13" t="str">
        <f>_xll.BDH("GILD US Equity","ARDR_RESTRUCTURING_AFTER_TAX","FQ4 2018","FQ4 2018","Currency=USD","Period=FQ","BEST_FPERIOD_OVERRIDE=FQ","FILING_STATUS=MR","SCALING_FORMAT=MLN","Sort=A","Dates=H","DateFormat=P","Fill=—","Direction=H","UseDPDF=Y")</f>
        <v>—</v>
      </c>
      <c r="D87" s="13" t="str">
        <f>_xll.BDH("GILD US Equity","ARDR_RESTRUCTURING_AFTER_TAX","FQ1 2019","FQ1 2019","Currency=USD","Period=FQ","BEST_FPERIOD_OVERRIDE=FQ","FILING_STATUS=MR","SCALING_FORMAT=MLN","Sort=A","Dates=H","DateFormat=P","Fill=—","Direction=H","UseDPDF=Y")</f>
        <v>—</v>
      </c>
      <c r="E87" s="13" t="str">
        <f>_xll.BDH("GILD US Equity","ARDR_RESTRUCTURING_AFTER_TAX","FQ2 2019","FQ2 2019","Currency=USD","Period=FQ","BEST_FPERIOD_OVERRIDE=FQ","FILING_STATUS=MR","SCALING_FORMAT=MLN","Sort=A","Dates=H","DateFormat=P","Fill=—","Direction=H","UseDPDF=Y")</f>
        <v>—</v>
      </c>
      <c r="F87" s="13" t="str">
        <f>_xll.BDH("GILD US Equity","ARDR_RESTRUCTURING_AFTER_TAX","FQ3 2019","FQ3 2019","Currency=USD","Period=FQ","BEST_FPERIOD_OVERRIDE=FQ","FILING_STATUS=MR","SCALING_FORMAT=MLN","Sort=A","Dates=H","DateFormat=P","Fill=—","Direction=H","UseDPDF=Y")</f>
        <v>—</v>
      </c>
      <c r="G87" s="13" t="str">
        <f>_xll.BDH("GILD US Equity","ARDR_RESTRUCTURING_AFTER_TAX","FQ4 2019","FQ4 2019","Currency=USD","Period=FQ","BEST_FPERIOD_OVERRIDE=FQ","FILING_STATUS=MR","SCALING_FORMAT=MLN","Sort=A","Dates=H","DateFormat=P","Fill=—","Direction=H","UseDPDF=Y")</f>
        <v>—</v>
      </c>
      <c r="H87" s="13" t="str">
        <f>_xll.BDH("GILD US Equity","ARDR_RESTRUCTURING_AFTER_TAX","FQ1 2020","FQ1 2020","Currency=USD","Period=FQ","BEST_FPERIOD_OVERRIDE=FQ","FILING_STATUS=MR","SCALING_FORMAT=MLN","Sort=A","Dates=H","DateFormat=P","Fill=—","Direction=H","UseDPDF=Y")</f>
        <v>—</v>
      </c>
      <c r="I87" s="13" t="str">
        <f>_xll.BDH("GILD US Equity","ARDR_RESTRUCTURING_AFTER_TAX","FQ2 2020","FQ2 2020","Currency=USD","Period=FQ","BEST_FPERIOD_OVERRIDE=FQ","FILING_STATUS=MR","SCALING_FORMAT=MLN","Sort=A","Dates=H","DateFormat=P","Fill=—","Direction=H","UseDPDF=Y")</f>
        <v>—</v>
      </c>
      <c r="J87" s="13" t="str">
        <f>_xll.BDH("GILD US Equity","ARDR_RESTRUCTURING_AFTER_TAX","FQ3 2020","FQ3 2020","Currency=USD","Period=FQ","BEST_FPERIOD_OVERRIDE=FQ","FILING_STATUS=MR","SCALING_FORMAT=MLN","Sort=A","Dates=H","DateFormat=P","Fill=—","Direction=H","UseDPDF=Y")</f>
        <v>—</v>
      </c>
      <c r="K87" s="13" t="str">
        <f>_xll.BDH("GILD US Equity","ARDR_RESTRUCTURING_AFTER_TAX","FQ4 2020","FQ4 2020","Currency=USD","Period=FQ","BEST_FPERIOD_OVERRIDE=FQ","FILING_STATUS=MR","SCALING_FORMAT=MLN","Sort=A","Dates=H","DateFormat=P","Fill=—","Direction=H","UseDPDF=Y")</f>
        <v>—</v>
      </c>
      <c r="L87" s="13" t="str">
        <f>_xll.BDH("GILD US Equity","ARDR_RESTRUCTURING_AFTER_TAX","FQ1 2021","FQ1 2021","Currency=USD","Period=FQ","BEST_FPERIOD_OVERRIDE=FQ","FILING_STATUS=MR","SCALING_FORMAT=MLN","Sort=A","Dates=H","DateFormat=P","Fill=—","Direction=H","UseDPDF=Y")</f>
        <v>—</v>
      </c>
      <c r="M87" s="13" t="str">
        <f>_xll.BDH("GILD US Equity","ARDR_RESTRUCTURING_AFTER_TAX","FQ2 2021","FQ2 2021","Currency=USD","Period=FQ","BEST_FPERIOD_OVERRIDE=FQ","FILING_STATUS=MR","SCALING_FORMAT=MLN","Sort=A","Dates=H","DateFormat=P","Fill=—","Direction=H","UseDPDF=Y")</f>
        <v>—</v>
      </c>
      <c r="N87" s="13" t="str">
        <f>_xll.BDH("GILD US Equity","ARDR_RESTRUCTURING_AFTER_TAX","FQ3 2021","FQ3 2021","Currency=USD","Period=FQ","BEST_FPERIOD_OVERRIDE=FQ","FILING_STATUS=MR","SCALING_FORMAT=MLN","Sort=A","Dates=H","DateFormat=P","Fill=—","Direction=H","UseDPDF=Y")</f>
        <v>—</v>
      </c>
      <c r="O87" s="13">
        <f>_xll.BDH("GILD US Equity","ARDR_RESTRUCTURING_AFTER_TAX","FQ4 2021","FQ4 2021","Currency=USD","Period=FQ","BEST_FPERIOD_OVERRIDE=FQ","FILING_STATUS=MR","SCALING_FORMAT=MLN","Sort=A","Dates=H","DateFormat=P","Fill=—","Direction=H","UseDPDF=Y")</f>
        <v>3</v>
      </c>
      <c r="P87" s="13">
        <f>_xll.BDH("GILD US Equity","ARDR_RESTRUCTURING_AFTER_TAX","FQ1 2022","FQ1 2022","Currency=USD","Period=FQ","BEST_FPERIOD_OVERRIDE=FQ","FILING_STATUS=MR","SCALING_FORMAT=MLN","Sort=A","Dates=H","DateFormat=P","Fill=—","Direction=H","UseDPDF=Y")</f>
        <v>45</v>
      </c>
      <c r="Q87" s="13" t="str">
        <f>_xll.BDH("GILD US Equity","ARDR_RESTRUCTURING_AFTER_TAX","FQ2 2022","FQ2 2022","Currency=USD","Period=FQ","BEST_FPERIOD_OVERRIDE=FQ","FILING_STATUS=MR","SCALING_FORMAT=MLN","Sort=A","Dates=H","DateFormat=P","Fill=—","Direction=H","UseDPDF=Y")</f>
        <v>—</v>
      </c>
      <c r="R87" s="13" t="str">
        <f>_xll.BDH("GILD US Equity","ARDR_RESTRUCTURING_AFTER_TAX","FQ3 2022","FQ3 2022","Currency=USD","Period=FQ","BEST_FPERIOD_OVERRIDE=FQ","FILING_STATUS=MR","SCALING_FORMAT=MLN","Sort=A","Dates=H","DateFormat=P","Fill=—","Direction=H","UseDPDF=Y")</f>
        <v>—</v>
      </c>
      <c r="S87" s="13" t="str">
        <f>_xll.BDH("GILD US Equity","ARDR_RESTRUCTURING_AFTER_TAX","FQ4 2022","FQ4 2022","Currency=USD","Period=FQ","BEST_FPERIOD_OVERRIDE=FQ","FILING_STATUS=MR","SCALING_FORMAT=MLN","Sort=A","Dates=H","DateFormat=P","Fill=—","Direction=H","UseDPDF=Y")</f>
        <v>—</v>
      </c>
      <c r="T87" s="13">
        <f>_xll.BDH("GILD US Equity","ARDR_RESTRUCTURING_AFTER_TAX","FQ1 2023","FQ1 2023","Currency=USD","Period=FQ","BEST_FPERIOD_OVERRIDE=FQ","FILING_STATUS=MR","SCALING_FORMAT=MLN","Sort=A","Dates=H","DateFormat=P","Fill=—","Direction=H","UseDPDF=Y")</f>
        <v>0</v>
      </c>
      <c r="U87" s="13" t="str">
        <f>_xll.BDH("GILD US Equity","ARDR_RESTRUCTURING_AFTER_TAX","FQ2 2023","FQ2 2023","Currency=USD","Period=FQ","BEST_FPERIOD_OVERRIDE=FQ","FILING_STATUS=MR","SCALING_FORMAT=MLN","Sort=A","Dates=H","DateFormat=P","Fill=—","Direction=H","UseDPDF=Y")</f>
        <v>—</v>
      </c>
      <c r="V87" s="13">
        <f>_xll.BDH("GILD US Equity","ARDR_RESTRUCTURING_AFTER_TAX","FQ3 2023","FQ3 2023","Currency=USD","Period=FQ","BEST_FPERIOD_OVERRIDE=FQ","FILING_STATUS=MR","SCALING_FORMAT=MLN","Sort=A","Dates=H","DateFormat=P","Fill=—","Direction=H","UseDPDF=Y")</f>
        <v>17</v>
      </c>
      <c r="W87" s="13">
        <f>_xll.BDH("GILD US Equity","ARDR_RESTRUCTURING_AFTER_TAX","FQ4 2023","FQ4 2023","Currency=USD","Period=FQ","BEST_FPERIOD_OVERRIDE=FQ","FILING_STATUS=MR","SCALING_FORMAT=MLN","Sort=A","Dates=H","DateFormat=P","Fill=—","Direction=H","UseDPDF=Y")</f>
        <v>414</v>
      </c>
      <c r="X87" s="13">
        <f>_xll.BDH("GILD US Equity","ARDR_RESTRUCTURING_AFTER_TAX","FQ1 2024","FQ1 2024","Currency=USD","Period=FQ","BEST_FPERIOD_OVERRIDE=FQ","FILING_STATUS=MR","SCALING_FORMAT=MLN","Sort=A","Dates=H","DateFormat=P","Fill=—","Direction=H","UseDPDF=Y")</f>
        <v>54</v>
      </c>
      <c r="Y87" s="13">
        <f>_xll.BDH("GILD US Equity","ARDR_RESTRUCTURING_AFTER_TAX","FQ2 2024","FQ2 2024","Currency=USD","Period=FQ","BEST_FPERIOD_OVERRIDE=FQ","FILING_STATUS=MR","SCALING_FORMAT=MLN","Sort=A","Dates=H","DateFormat=P","Fill=—","Direction=H","UseDPDF=Y")</f>
        <v>14</v>
      </c>
      <c r="Z87" s="13">
        <f>_xll.BDH("GILD US Equity","ARDR_RESTRUCTURING_AFTER_TAX","FQ3 2024","FQ3 2024","Currency=USD","Period=FQ","BEST_FPERIOD_OVERRIDE=FQ","FILING_STATUS=MR","SCALING_FORMAT=MLN","Sort=A","Dates=H","DateFormat=P","Fill=—","Direction=H","UseDPDF=Y")</f>
        <v>24</v>
      </c>
      <c r="AA87" s="13">
        <f>_xll.BDH("GILD US Equity","ARDR_RESTRUCTURING_AFTER_TAX","FQ4 2024","FQ4 2024","Currency=USD","Period=FQ","BEST_FPERIOD_OVERRIDE=FQ","FILING_STATUS=MR","SCALING_FORMAT=MLN","Sort=A","Dates=H","DateFormat=P","Fill=—","Direction=H","UseDPDF=Y")</f>
        <v>59</v>
      </c>
    </row>
    <row r="88" spans="1:27" x14ac:dyDescent="0.25">
      <c r="A88" s="10" t="s">
        <v>554</v>
      </c>
      <c r="B88" s="10" t="s">
        <v>555</v>
      </c>
      <c r="C88" s="13" t="str">
        <f>_xll.BDH("GILD US Equity","ARDR_REALIZED_INVESTMNTS_AFT_TAX","FQ4 2018","FQ4 2018","Currency=USD","Period=FQ","BEST_FPERIOD_OVERRIDE=FQ","FILING_STATUS=MR","SCALING_FORMAT=MLN","Sort=A","Dates=H","DateFormat=P","Fill=—","Direction=H","UseDPDF=Y")</f>
        <v>—</v>
      </c>
      <c r="D88" s="13" t="str">
        <f>_xll.BDH("GILD US Equity","ARDR_REALIZED_INVESTMNTS_AFT_TAX","FQ1 2019","FQ1 2019","Currency=USD","Period=FQ","BEST_FPERIOD_OVERRIDE=FQ","FILING_STATUS=MR","SCALING_FORMAT=MLN","Sort=A","Dates=H","DateFormat=P","Fill=—","Direction=H","UseDPDF=Y")</f>
        <v>—</v>
      </c>
      <c r="E88" s="13" t="str">
        <f>_xll.BDH("GILD US Equity","ARDR_REALIZED_INVESTMNTS_AFT_TAX","FQ2 2019","FQ2 2019","Currency=USD","Period=FQ","BEST_FPERIOD_OVERRIDE=FQ","FILING_STATUS=MR","SCALING_FORMAT=MLN","Sort=A","Dates=H","DateFormat=P","Fill=—","Direction=H","UseDPDF=Y")</f>
        <v>—</v>
      </c>
      <c r="F88" s="13">
        <f>_xll.BDH("GILD US Equity","ARDR_REALIZED_INVESTMNTS_AFT_TAX","FQ3 2019","FQ3 2019","Currency=USD","Period=FQ","BEST_FPERIOD_OVERRIDE=FQ","FILING_STATUS=MR","SCALING_FORMAT=MLN","Sort=A","Dates=H","DateFormat=P","Fill=—","Direction=H","UseDPDF=Y")</f>
        <v>-66</v>
      </c>
      <c r="G88" s="13">
        <f>_xll.BDH("GILD US Equity","ARDR_REALIZED_INVESTMNTS_AFT_TAX","FQ4 2019","FQ4 2019","Currency=USD","Period=FQ","BEST_FPERIOD_OVERRIDE=FQ","FILING_STATUS=MR","SCALING_FORMAT=MLN","Sort=A","Dates=H","DateFormat=P","Fill=—","Direction=H","UseDPDF=Y")</f>
        <v>-921</v>
      </c>
      <c r="H88" s="13">
        <f>_xll.BDH("GILD US Equity","ARDR_REALIZED_INVESTMNTS_AFT_TAX","FQ1 2020","FQ1 2020","Currency=USD","Period=FQ","BEST_FPERIOD_OVERRIDE=FQ","FILING_STATUS=MR","SCALING_FORMAT=MLN","Sort=A","Dates=H","DateFormat=P","Fill=—","Direction=H","UseDPDF=Y")</f>
        <v>256</v>
      </c>
      <c r="I88" s="13">
        <f>_xll.BDH("GILD US Equity","ARDR_REALIZED_INVESTMNTS_AFT_TAX","FQ2 2020","FQ2 2020","Currency=USD","Period=FQ","BEST_FPERIOD_OVERRIDE=FQ","FILING_STATUS=MR","SCALING_FORMAT=MLN","Sort=A","Dates=H","DateFormat=P","Fill=—","Direction=H","UseDPDF=Y")</f>
        <v>-149</v>
      </c>
      <c r="J88" s="13">
        <f>_xll.BDH("GILD US Equity","ARDR_REALIZED_INVESTMNTS_AFT_TAX","FQ3 2020","FQ3 2020","Currency=USD","Period=FQ","BEST_FPERIOD_OVERRIDE=FQ","FILING_STATUS=MR","SCALING_FORMAT=MLN","Sort=A","Dates=H","DateFormat=P","Fill=—","Direction=H","UseDPDF=Y")</f>
        <v>983</v>
      </c>
      <c r="K88" s="13">
        <f>_xll.BDH("GILD US Equity","ARDR_REALIZED_INVESTMNTS_AFT_TAX","FQ4 2020","FQ4 2020","Currency=USD","Period=FQ","BEST_FPERIOD_OVERRIDE=FQ","FILING_STATUS=MR","SCALING_FORMAT=MLN","Sort=A","Dates=H","DateFormat=P","Fill=—","Direction=H","UseDPDF=Y")</f>
        <v>628</v>
      </c>
      <c r="L88" s="13">
        <f>_xll.BDH("GILD US Equity","ARDR_REALIZED_INVESTMNTS_AFT_TAX","FQ1 2021","FQ1 2021","Currency=USD","Period=FQ","BEST_FPERIOD_OVERRIDE=FQ","FILING_STATUS=MR","SCALING_FORMAT=MLN","Sort=A","Dates=H","DateFormat=P","Fill=—","Direction=H","UseDPDF=Y")</f>
        <v>364</v>
      </c>
      <c r="M88" s="13">
        <f>_xll.BDH("GILD US Equity","ARDR_REALIZED_INVESTMNTS_AFT_TAX","FQ2 2021","FQ2 2021","Currency=USD","Period=FQ","BEST_FPERIOD_OVERRIDE=FQ","FILING_STATUS=MR","SCALING_FORMAT=MLN","Sort=A","Dates=H","DateFormat=P","Fill=—","Direction=H","UseDPDF=Y")</f>
        <v>169</v>
      </c>
      <c r="N88" s="13">
        <f>_xll.BDH("GILD US Equity","ARDR_REALIZED_INVESTMNTS_AFT_TAX","FQ3 2021","FQ3 2021","Currency=USD","Period=FQ","BEST_FPERIOD_OVERRIDE=FQ","FILING_STATUS=MR","SCALING_FORMAT=MLN","Sort=A","Dates=H","DateFormat=P","Fill=—","Direction=H","UseDPDF=Y")</f>
        <v>154</v>
      </c>
      <c r="O88" s="13">
        <f>_xll.BDH("GILD US Equity","ARDR_REALIZED_INVESTMNTS_AFT_TAX","FQ4 2021","FQ4 2021","Currency=USD","Period=FQ","BEST_FPERIOD_OVERRIDE=FQ","FILING_STATUS=MR","SCALING_FORMAT=MLN","Sort=A","Dates=H","DateFormat=P","Fill=—","Direction=H","UseDPDF=Y")</f>
        <v>-56</v>
      </c>
      <c r="P88" s="13" t="str">
        <f>_xll.BDH("GILD US Equity","ARDR_REALIZED_INVESTMNTS_AFT_TAX","FQ1 2022","FQ1 2022","Currency=USD","Period=FQ","BEST_FPERIOD_OVERRIDE=FQ","FILING_STATUS=MR","SCALING_FORMAT=MLN","Sort=A","Dates=H","DateFormat=P","Fill=—","Direction=H","UseDPDF=Y")</f>
        <v>—</v>
      </c>
      <c r="Q88" s="13">
        <f>_xll.BDH("GILD US Equity","ARDR_REALIZED_INVESTMNTS_AFT_TAX","FQ2 2022","FQ2 2022","Currency=USD","Period=FQ","BEST_FPERIOD_OVERRIDE=FQ","FILING_STATUS=MR","SCALING_FORMAT=MLN","Sort=A","Dates=H","DateFormat=P","Fill=—","Direction=H","UseDPDF=Y")</f>
        <v>308</v>
      </c>
      <c r="R88" s="13">
        <f>_xll.BDH("GILD US Equity","ARDR_REALIZED_INVESTMNTS_AFT_TAX","FQ3 2022","FQ3 2022","Currency=USD","Period=FQ","BEST_FPERIOD_OVERRIDE=FQ","FILING_STATUS=MR","SCALING_FORMAT=MLN","Sort=A","Dates=H","DateFormat=P","Fill=—","Direction=H","UseDPDF=Y")</f>
        <v>197</v>
      </c>
      <c r="S88" s="13">
        <f>_xll.BDH("GILD US Equity","ARDR_REALIZED_INVESTMNTS_AFT_TAX","FQ4 2022","FQ4 2022","Currency=USD","Period=FQ","BEST_FPERIOD_OVERRIDE=FQ","FILING_STATUS=MR","SCALING_FORMAT=MLN","Sort=A","Dates=H","DateFormat=P","Fill=—","Direction=H","UseDPDF=Y")</f>
        <v>60</v>
      </c>
      <c r="T88" s="13">
        <f>_xll.BDH("GILD US Equity","ARDR_REALIZED_INVESTMNTS_AFT_TAX","FQ1 2023","FQ1 2023","Currency=USD","Period=FQ","BEST_FPERIOD_OVERRIDE=FQ","FILING_STATUS=MR","SCALING_FORMAT=MLN","Sort=A","Dates=H","DateFormat=P","Fill=—","Direction=H","UseDPDF=Y")</f>
        <v>257</v>
      </c>
      <c r="U88" s="13">
        <f>_xll.BDH("GILD US Equity","ARDR_REALIZED_INVESTMNTS_AFT_TAX","FQ2 2023","FQ2 2023","Currency=USD","Period=FQ","BEST_FPERIOD_OVERRIDE=FQ","FILING_STATUS=MR","SCALING_FORMAT=MLN","Sort=A","Dates=H","DateFormat=P","Fill=—","Direction=H","UseDPDF=Y")</f>
        <v>-70</v>
      </c>
      <c r="V88" s="13">
        <f>_xll.BDH("GILD US Equity","ARDR_REALIZED_INVESTMNTS_AFT_TAX","FQ3 2023","FQ3 2023","Currency=USD","Period=FQ","BEST_FPERIOD_OVERRIDE=FQ","FILING_STATUS=MR","SCALING_FORMAT=MLN","Sort=A","Dates=H","DateFormat=P","Fill=—","Direction=H","UseDPDF=Y")</f>
        <v>164</v>
      </c>
      <c r="W88" s="13">
        <f>_xll.BDH("GILD US Equity","ARDR_REALIZED_INVESTMNTS_AFT_TAX","FQ4 2023","FQ4 2023","Currency=USD","Period=FQ","BEST_FPERIOD_OVERRIDE=FQ","FILING_STATUS=MR","SCALING_FORMAT=MLN","Sort=A","Dates=H","DateFormat=P","Fill=—","Direction=H","UseDPDF=Y")</f>
        <v>-171</v>
      </c>
      <c r="X88" s="13">
        <f>_xll.BDH("GILD US Equity","ARDR_REALIZED_INVESTMNTS_AFT_TAX","FQ1 2024","FQ1 2024","Currency=USD","Period=FQ","BEST_FPERIOD_OVERRIDE=FQ","FILING_STATUS=MR","SCALING_FORMAT=MLN","Sort=A","Dates=H","DateFormat=P","Fill=—","Direction=H","UseDPDF=Y")</f>
        <v>53</v>
      </c>
      <c r="Y88" s="13">
        <f>_xll.BDH("GILD US Equity","ARDR_REALIZED_INVESTMNTS_AFT_TAX","FQ2 2024","FQ2 2024","Currency=USD","Period=FQ","BEST_FPERIOD_OVERRIDE=FQ","FILING_STATUS=MR","SCALING_FORMAT=MLN","Sort=A","Dates=H","DateFormat=P","Fill=—","Direction=H","UseDPDF=Y")</f>
        <v>359</v>
      </c>
      <c r="Z88" s="13">
        <f>_xll.BDH("GILD US Equity","ARDR_REALIZED_INVESTMNTS_AFT_TAX","FQ3 2024","FQ3 2024","Currency=USD","Period=FQ","BEST_FPERIOD_OVERRIDE=FQ","FILING_STATUS=MR","SCALING_FORMAT=MLN","Sort=A","Dates=H","DateFormat=P","Fill=—","Direction=H","UseDPDF=Y")</f>
        <v>-212</v>
      </c>
      <c r="AA88" s="13">
        <f>_xll.BDH("GILD US Equity","ARDR_REALIZED_INVESTMNTS_AFT_TAX","FQ4 2024","FQ4 2024","Currency=USD","Period=FQ","BEST_FPERIOD_OVERRIDE=FQ","FILING_STATUS=MR","SCALING_FORMAT=MLN","Sort=A","Dates=H","DateFormat=P","Fill=—","Direction=H","UseDPDF=Y")</f>
        <v>113</v>
      </c>
    </row>
    <row r="89" spans="1:27" x14ac:dyDescent="0.25">
      <c r="A89" s="10" t="s">
        <v>556</v>
      </c>
      <c r="B89" s="10" t="s">
        <v>557</v>
      </c>
      <c r="C89" s="13">
        <f>_xll.BDH("GILD US Equity","ARDR_SBC_AFTER_TAX","FQ4 2018","FQ4 2018","Currency=USD","Period=FQ","BEST_FPERIOD_OVERRIDE=FQ","FILING_STATUS=MR","SCALING_FORMAT=MLN","Sort=A","Dates=H","DateFormat=P","Fill=—","Direction=H","UseDPDF=Y")</f>
        <v>135</v>
      </c>
      <c r="D89" s="13">
        <f>_xll.BDH("GILD US Equity","ARDR_SBC_AFTER_TAX","FQ1 2019","FQ1 2019","Currency=USD","Period=FQ","BEST_FPERIOD_OVERRIDE=FQ","FILING_STATUS=MR","SCALING_FORMAT=MLN","Sort=A","Dates=H","DateFormat=P","Fill=—","Direction=H","UseDPDF=Y")</f>
        <v>117</v>
      </c>
      <c r="E89" s="13">
        <f>_xll.BDH("GILD US Equity","ARDR_SBC_AFTER_TAX","FQ2 2019","FQ2 2019","Currency=USD","Period=FQ","BEST_FPERIOD_OVERRIDE=FQ","FILING_STATUS=MR","SCALING_FORMAT=MLN","Sort=A","Dates=H","DateFormat=P","Fill=—","Direction=H","UseDPDF=Y")</f>
        <v>135</v>
      </c>
      <c r="F89" s="13" t="str">
        <f>_xll.BDH("GILD US Equity","ARDR_SBC_AFTER_TAX","FQ3 2019","FQ3 2019","Currency=USD","Period=FQ","BEST_FPERIOD_OVERRIDE=FQ","FILING_STATUS=MR","SCALING_FORMAT=MLN","Sort=A","Dates=H","DateFormat=P","Fill=—","Direction=H","UseDPDF=Y")</f>
        <v>—</v>
      </c>
      <c r="G89" s="13">
        <f>_xll.BDH("GILD US Equity","ARDR_SBC_AFTER_TAX","FQ4 2019","FQ4 2019","Currency=USD","Period=FQ","BEST_FPERIOD_OVERRIDE=FQ","FILING_STATUS=MR","SCALING_FORMAT=MLN","Sort=A","Dates=H","DateFormat=P","Fill=—","Direction=H","UseDPDF=Y")</f>
        <v>253</v>
      </c>
      <c r="H89" s="13" t="str">
        <f>_xll.BDH("GILD US Equity","ARDR_SBC_AFTER_TAX","FQ1 2020","FQ1 2020","Currency=USD","Period=FQ","BEST_FPERIOD_OVERRIDE=FQ","FILING_STATUS=MR","SCALING_FORMAT=MLN","Sort=A","Dates=H","DateFormat=P","Fill=—","Direction=H","UseDPDF=Y")</f>
        <v>—</v>
      </c>
      <c r="I89" s="13" t="str">
        <f>_xll.BDH("GILD US Equity","ARDR_SBC_AFTER_TAX","FQ2 2020","FQ2 2020","Currency=USD","Period=FQ","BEST_FPERIOD_OVERRIDE=FQ","FILING_STATUS=MR","SCALING_FORMAT=MLN","Sort=A","Dates=H","DateFormat=P","Fill=—","Direction=H","UseDPDF=Y")</f>
        <v>—</v>
      </c>
      <c r="J89" s="13" t="str">
        <f>_xll.BDH("GILD US Equity","ARDR_SBC_AFTER_TAX","FQ3 2020","FQ3 2020","Currency=USD","Period=FQ","BEST_FPERIOD_OVERRIDE=FQ","FILING_STATUS=MR","SCALING_FORMAT=MLN","Sort=A","Dates=H","DateFormat=P","Fill=—","Direction=H","UseDPDF=Y")</f>
        <v>—</v>
      </c>
      <c r="K89" s="13" t="str">
        <f>_xll.BDH("GILD US Equity","ARDR_SBC_AFTER_TAX","FQ4 2020","FQ4 2020","Currency=USD","Period=FQ","BEST_FPERIOD_OVERRIDE=FQ","FILING_STATUS=MR","SCALING_FORMAT=MLN","Sort=A","Dates=H","DateFormat=P","Fill=—","Direction=H","UseDPDF=Y")</f>
        <v>—</v>
      </c>
      <c r="L89" s="13" t="str">
        <f>_xll.BDH("GILD US Equity","ARDR_SBC_AFTER_TAX","FQ1 2021","FQ1 2021","Currency=USD","Period=FQ","BEST_FPERIOD_OVERRIDE=FQ","FILING_STATUS=MR","SCALING_FORMAT=MLN","Sort=A","Dates=H","DateFormat=P","Fill=—","Direction=H","UseDPDF=Y")</f>
        <v>—</v>
      </c>
      <c r="M89" s="13" t="str">
        <f>_xll.BDH("GILD US Equity","ARDR_SBC_AFTER_TAX","FQ2 2021","FQ2 2021","Currency=USD","Period=FQ","BEST_FPERIOD_OVERRIDE=FQ","FILING_STATUS=MR","SCALING_FORMAT=MLN","Sort=A","Dates=H","DateFormat=P","Fill=—","Direction=H","UseDPDF=Y")</f>
        <v>—</v>
      </c>
      <c r="N89" s="13" t="str">
        <f>_xll.BDH("GILD US Equity","ARDR_SBC_AFTER_TAX","FQ3 2021","FQ3 2021","Currency=USD","Period=FQ","BEST_FPERIOD_OVERRIDE=FQ","FILING_STATUS=MR","SCALING_FORMAT=MLN","Sort=A","Dates=H","DateFormat=P","Fill=—","Direction=H","UseDPDF=Y")</f>
        <v>—</v>
      </c>
      <c r="O89" s="13" t="str">
        <f>_xll.BDH("GILD US Equity","ARDR_SBC_AFTER_TAX","FQ4 2021","FQ4 2021","Currency=USD","Period=FQ","BEST_FPERIOD_OVERRIDE=FQ","FILING_STATUS=MR","SCALING_FORMAT=MLN","Sort=A","Dates=H","DateFormat=P","Fill=—","Direction=H","UseDPDF=Y")</f>
        <v>—</v>
      </c>
      <c r="P89" s="13" t="str">
        <f>_xll.BDH("GILD US Equity","ARDR_SBC_AFTER_TAX","FQ1 2022","FQ1 2022","Currency=USD","Period=FQ","BEST_FPERIOD_OVERRIDE=FQ","FILING_STATUS=MR","SCALING_FORMAT=MLN","Sort=A","Dates=H","DateFormat=P","Fill=—","Direction=H","UseDPDF=Y")</f>
        <v>—</v>
      </c>
      <c r="Q89" s="13" t="str">
        <f>_xll.BDH("GILD US Equity","ARDR_SBC_AFTER_TAX","FQ2 2022","FQ2 2022","Currency=USD","Period=FQ","BEST_FPERIOD_OVERRIDE=FQ","FILING_STATUS=MR","SCALING_FORMAT=MLN","Sort=A","Dates=H","DateFormat=P","Fill=—","Direction=H","UseDPDF=Y")</f>
        <v>—</v>
      </c>
      <c r="R89" s="13" t="str">
        <f>_xll.BDH("GILD US Equity","ARDR_SBC_AFTER_TAX","FQ3 2022","FQ3 2022","Currency=USD","Period=FQ","BEST_FPERIOD_OVERRIDE=FQ","FILING_STATUS=MR","SCALING_FORMAT=MLN","Sort=A","Dates=H","DateFormat=P","Fill=—","Direction=H","UseDPDF=Y")</f>
        <v>—</v>
      </c>
      <c r="S89" s="13" t="str">
        <f>_xll.BDH("GILD US Equity","ARDR_SBC_AFTER_TAX","FQ4 2022","FQ4 2022","Currency=USD","Period=FQ","BEST_FPERIOD_OVERRIDE=FQ","FILING_STATUS=MR","SCALING_FORMAT=MLN","Sort=A","Dates=H","DateFormat=P","Fill=—","Direction=H","UseDPDF=Y")</f>
        <v>—</v>
      </c>
      <c r="T89" s="13" t="str">
        <f>_xll.BDH("GILD US Equity","ARDR_SBC_AFTER_TAX","FQ1 2023","FQ1 2023","Currency=USD","Period=FQ","BEST_FPERIOD_OVERRIDE=FQ","FILING_STATUS=MR","SCALING_FORMAT=MLN","Sort=A","Dates=H","DateFormat=P","Fill=—","Direction=H","UseDPDF=Y")</f>
        <v>—</v>
      </c>
      <c r="U89" s="13" t="str">
        <f>_xll.BDH("GILD US Equity","ARDR_SBC_AFTER_TAX","FQ2 2023","FQ2 2023","Currency=USD","Period=FQ","BEST_FPERIOD_OVERRIDE=FQ","FILING_STATUS=MR","SCALING_FORMAT=MLN","Sort=A","Dates=H","DateFormat=P","Fill=—","Direction=H","UseDPDF=Y")</f>
        <v>—</v>
      </c>
      <c r="V89" s="13" t="str">
        <f>_xll.BDH("GILD US Equity","ARDR_SBC_AFTER_TAX","FQ3 2023","FQ3 2023","Currency=USD","Period=FQ","BEST_FPERIOD_OVERRIDE=FQ","FILING_STATUS=MR","SCALING_FORMAT=MLN","Sort=A","Dates=H","DateFormat=P","Fill=—","Direction=H","UseDPDF=Y")</f>
        <v>—</v>
      </c>
      <c r="W89" s="13" t="str">
        <f>_xll.BDH("GILD US Equity","ARDR_SBC_AFTER_TAX","FQ4 2023","FQ4 2023","Currency=USD","Period=FQ","BEST_FPERIOD_OVERRIDE=FQ","FILING_STATUS=MR","SCALING_FORMAT=MLN","Sort=A","Dates=H","DateFormat=P","Fill=—","Direction=H","UseDPDF=Y")</f>
        <v>—</v>
      </c>
      <c r="X89" s="13" t="str">
        <f>_xll.BDH("GILD US Equity","ARDR_SBC_AFTER_TAX","FQ1 2024","FQ1 2024","Currency=USD","Period=FQ","BEST_FPERIOD_OVERRIDE=FQ","FILING_STATUS=MR","SCALING_FORMAT=MLN","Sort=A","Dates=H","DateFormat=P","Fill=—","Direction=H","UseDPDF=Y")</f>
        <v>—</v>
      </c>
      <c r="Y89" s="13" t="str">
        <f>_xll.BDH("GILD US Equity","ARDR_SBC_AFTER_TAX","FQ2 2024","FQ2 2024","Currency=USD","Period=FQ","BEST_FPERIOD_OVERRIDE=FQ","FILING_STATUS=MR","SCALING_FORMAT=MLN","Sort=A","Dates=H","DateFormat=P","Fill=—","Direction=H","UseDPDF=Y")</f>
        <v>—</v>
      </c>
      <c r="Z89" s="13" t="str">
        <f>_xll.BDH("GILD US Equity","ARDR_SBC_AFTER_TAX","FQ3 2024","FQ3 2024","Currency=USD","Period=FQ","BEST_FPERIOD_OVERRIDE=FQ","FILING_STATUS=MR","SCALING_FORMAT=MLN","Sort=A","Dates=H","DateFormat=P","Fill=—","Direction=H","UseDPDF=Y")</f>
        <v>—</v>
      </c>
      <c r="AA89" s="13" t="str">
        <f>_xll.BDH("GILD US Equity","ARDR_SBC_AFTER_TAX","FQ4 2024","FQ4 2024","Currency=USD","Period=FQ","BEST_FPERIOD_OVERRIDE=FQ","FILING_STATUS=MR","SCALING_FORMAT=MLN","Sort=A","Dates=H","DateFormat=P","Fill=—","Direction=H","UseDPDF=Y")</f>
        <v>—</v>
      </c>
    </row>
    <row r="90" spans="1:27" x14ac:dyDescent="0.25">
      <c r="A90" s="10" t="s">
        <v>558</v>
      </c>
      <c r="B90" s="10" t="s">
        <v>559</v>
      </c>
      <c r="C90" s="13">
        <f>_xll.BDH("GILD US Equity","ARDR_OTHER_ONE_TIME_CHRG_AFT_TAX","FQ4 2018","FQ4 2018","Currency=USD","Period=FQ","BEST_FPERIOD_OVERRIDE=FQ","FILING_STATUS=MR","SCALING_FORMAT=MLN","Sort=A","Dates=H","DateFormat=P","Fill=—","Direction=H","UseDPDF=Y")</f>
        <v>97</v>
      </c>
      <c r="D90" s="13">
        <f>_xll.BDH("GILD US Equity","ARDR_OTHER_ONE_TIME_CHRG_AFT_TAX","FQ1 2019","FQ1 2019","Currency=USD","Period=FQ","BEST_FPERIOD_OVERRIDE=FQ","FILING_STATUS=MR","SCALING_FORMAT=MLN","Sort=A","Dates=H","DateFormat=P","Fill=—","Direction=H","UseDPDF=Y")</f>
        <v>97</v>
      </c>
      <c r="E90" s="13">
        <f>_xll.BDH("GILD US Equity","ARDR_OTHER_ONE_TIME_CHRG_AFT_TAX","FQ2 2019","FQ2 2019","Currency=USD","Period=FQ","BEST_FPERIOD_OVERRIDE=FQ","FILING_STATUS=MR","SCALING_FORMAT=MLN","Sort=A","Dates=H","DateFormat=P","Fill=—","Direction=H","UseDPDF=Y")</f>
        <v>127</v>
      </c>
      <c r="F90" s="13">
        <f>_xll.BDH("GILD US Equity","ARDR_OTHER_ONE_TIME_CHRG_AFT_TAX","FQ3 2019","FQ3 2019","Currency=USD","Period=FQ","BEST_FPERIOD_OVERRIDE=FQ","FILING_STATUS=MR","SCALING_FORMAT=MLN","Sort=A","Dates=H","DateFormat=P","Fill=—","Direction=H","UseDPDF=Y")</f>
        <v>7</v>
      </c>
      <c r="G90" s="13">
        <f>_xll.BDH("GILD US Equity","ARDR_OTHER_ONE_TIME_CHRG_AFT_TAX","FQ4 2019","FQ4 2019","Currency=USD","Period=FQ","BEST_FPERIOD_OVERRIDE=FQ","FILING_STATUS=MR","SCALING_FORMAT=MLN","Sort=A","Dates=H","DateFormat=P","Fill=—","Direction=H","UseDPDF=Y")</f>
        <v>-5</v>
      </c>
      <c r="H90" s="13" t="str">
        <f>_xll.BDH("GILD US Equity","ARDR_OTHER_ONE_TIME_CHRG_AFT_TAX","FQ1 2020","FQ1 2020","Currency=USD","Period=FQ","BEST_FPERIOD_OVERRIDE=FQ","FILING_STATUS=MR","SCALING_FORMAT=MLN","Sort=A","Dates=H","DateFormat=P","Fill=—","Direction=H","UseDPDF=Y")</f>
        <v>—</v>
      </c>
      <c r="I90" s="13">
        <f>_xll.BDH("GILD US Equity","ARDR_OTHER_ONE_TIME_CHRG_AFT_TAX","FQ2 2020","FQ2 2020","Currency=USD","Period=FQ","BEST_FPERIOD_OVERRIDE=FQ","FILING_STATUS=MR","SCALING_FORMAT=MLN","Sort=A","Dates=H","DateFormat=P","Fill=—","Direction=H","UseDPDF=Y")</f>
        <v>-2</v>
      </c>
      <c r="J90" s="13" t="str">
        <f>_xll.BDH("GILD US Equity","ARDR_OTHER_ONE_TIME_CHRG_AFT_TAX","FQ3 2020","FQ3 2020","Currency=USD","Period=FQ","BEST_FPERIOD_OVERRIDE=FQ","FILING_STATUS=MR","SCALING_FORMAT=MLN","Sort=A","Dates=H","DateFormat=P","Fill=—","Direction=H","UseDPDF=Y")</f>
        <v>—</v>
      </c>
      <c r="K90" s="13" t="str">
        <f>_xll.BDH("GILD US Equity","ARDR_OTHER_ONE_TIME_CHRG_AFT_TAX","FQ4 2020","FQ4 2020","Currency=USD","Period=FQ","BEST_FPERIOD_OVERRIDE=FQ","FILING_STATUS=MR","SCALING_FORMAT=MLN","Sort=A","Dates=H","DateFormat=P","Fill=—","Direction=H","UseDPDF=Y")</f>
        <v>—</v>
      </c>
      <c r="L90" s="13" t="str">
        <f>_xll.BDH("GILD US Equity","ARDR_OTHER_ONE_TIME_CHRG_AFT_TAX","FQ1 2021","FQ1 2021","Currency=USD","Period=FQ","BEST_FPERIOD_OVERRIDE=FQ","FILING_STATUS=MR","SCALING_FORMAT=MLN","Sort=A","Dates=H","DateFormat=P","Fill=—","Direction=H","UseDPDF=Y")</f>
        <v>—</v>
      </c>
      <c r="M90" s="13">
        <f>_xll.BDH("GILD US Equity","ARDR_OTHER_ONE_TIME_CHRG_AFT_TAX","FQ2 2021","FQ2 2021","Currency=USD","Period=FQ","BEST_FPERIOD_OVERRIDE=FQ","FILING_STATUS=MR","SCALING_FORMAT=MLN","Sort=A","Dates=H","DateFormat=P","Fill=—","Direction=H","UseDPDF=Y")</f>
        <v>166</v>
      </c>
      <c r="N90" s="13" t="str">
        <f>_xll.BDH("GILD US Equity","ARDR_OTHER_ONE_TIME_CHRG_AFT_TAX","FQ3 2021","FQ3 2021","Currency=USD","Period=FQ","BEST_FPERIOD_OVERRIDE=FQ","FILING_STATUS=MR","SCALING_FORMAT=MLN","Sort=A","Dates=H","DateFormat=P","Fill=—","Direction=H","UseDPDF=Y")</f>
        <v>—</v>
      </c>
      <c r="O90" s="13" t="str">
        <f>_xll.BDH("GILD US Equity","ARDR_OTHER_ONE_TIME_CHRG_AFT_TAX","FQ4 2021","FQ4 2021","Currency=USD","Period=FQ","BEST_FPERIOD_OVERRIDE=FQ","FILING_STATUS=MR","SCALING_FORMAT=MLN","Sort=A","Dates=H","DateFormat=P","Fill=—","Direction=H","UseDPDF=Y")</f>
        <v>—</v>
      </c>
      <c r="P90" s="13" t="str">
        <f>_xll.BDH("GILD US Equity","ARDR_OTHER_ONE_TIME_CHRG_AFT_TAX","FQ1 2022","FQ1 2022","Currency=USD","Period=FQ","BEST_FPERIOD_OVERRIDE=FQ","FILING_STATUS=MR","SCALING_FORMAT=MLN","Sort=A","Dates=H","DateFormat=P","Fill=—","Direction=H","UseDPDF=Y")</f>
        <v>—</v>
      </c>
      <c r="Q90" s="13">
        <f>_xll.BDH("GILD US Equity","ARDR_OTHER_ONE_TIME_CHRG_AFT_TAX","FQ2 2022","FQ2 2022","Currency=USD","Period=FQ","BEST_FPERIOD_OVERRIDE=FQ","FILING_STATUS=MR","SCALING_FORMAT=MLN","Sort=A","Dates=H","DateFormat=P","Fill=—","Direction=H","UseDPDF=Y")</f>
        <v>59</v>
      </c>
      <c r="R90" s="13">
        <f>_xll.BDH("GILD US Equity","ARDR_OTHER_ONE_TIME_CHRG_AFT_TAX","FQ3 2022","FQ3 2022","Currency=USD","Period=FQ","BEST_FPERIOD_OVERRIDE=FQ","FILING_STATUS=MR","SCALING_FORMAT=MLN","Sort=A","Dates=H","DateFormat=P","Fill=—","Direction=H","UseDPDF=Y")</f>
        <v>0</v>
      </c>
      <c r="S90" s="13">
        <f>_xll.BDH("GILD US Equity","ARDR_OTHER_ONE_TIME_CHRG_AFT_TAX","FQ4 2022","FQ4 2022","Currency=USD","Period=FQ","BEST_FPERIOD_OVERRIDE=FQ","FILING_STATUS=MR","SCALING_FORMAT=MLN","Sort=A","Dates=H","DateFormat=P","Fill=—","Direction=H","UseDPDF=Y")</f>
        <v>2</v>
      </c>
      <c r="T90" s="13" t="str">
        <f>_xll.BDH("GILD US Equity","ARDR_OTHER_ONE_TIME_CHRG_AFT_TAX","FQ1 2023","FQ1 2023","Currency=USD","Period=FQ","BEST_FPERIOD_OVERRIDE=FQ","FILING_STATUS=MR","SCALING_FORMAT=MLN","Sort=A","Dates=H","DateFormat=P","Fill=—","Direction=H","UseDPDF=Y")</f>
        <v>—</v>
      </c>
      <c r="U90" s="13" t="str">
        <f>_xll.BDH("GILD US Equity","ARDR_OTHER_ONE_TIME_CHRG_AFT_TAX","FQ2 2023","FQ2 2023","Currency=USD","Period=FQ","BEST_FPERIOD_OVERRIDE=FQ","FILING_STATUS=MR","SCALING_FORMAT=MLN","Sort=A","Dates=H","DateFormat=P","Fill=—","Direction=H","UseDPDF=Y")</f>
        <v>—</v>
      </c>
      <c r="V90" s="13" t="str">
        <f>_xll.BDH("GILD US Equity","ARDR_OTHER_ONE_TIME_CHRG_AFT_TAX","FQ3 2023","FQ3 2023","Currency=USD","Period=FQ","BEST_FPERIOD_OVERRIDE=FQ","FILING_STATUS=MR","SCALING_FORMAT=MLN","Sort=A","Dates=H","DateFormat=P","Fill=—","Direction=H","UseDPDF=Y")</f>
        <v>—</v>
      </c>
      <c r="W90" s="13">
        <f>_xll.BDH("GILD US Equity","ARDR_OTHER_ONE_TIME_CHRG_AFT_TAX","FQ4 2023","FQ4 2023","Currency=USD","Period=FQ","BEST_FPERIOD_OVERRIDE=FQ","FILING_STATUS=MR","SCALING_FORMAT=MLN","Sort=A","Dates=H","DateFormat=P","Fill=—","Direction=H","UseDPDF=Y")</f>
        <v>40</v>
      </c>
      <c r="X90" s="13" t="str">
        <f>_xll.BDH("GILD US Equity","ARDR_OTHER_ONE_TIME_CHRG_AFT_TAX","FQ1 2024","FQ1 2024","Currency=USD","Period=FQ","BEST_FPERIOD_OVERRIDE=FQ","FILING_STATUS=MR","SCALING_FORMAT=MLN","Sort=A","Dates=H","DateFormat=P","Fill=—","Direction=H","UseDPDF=Y")</f>
        <v>—</v>
      </c>
      <c r="Y90" s="13" t="str">
        <f>_xll.BDH("GILD US Equity","ARDR_OTHER_ONE_TIME_CHRG_AFT_TAX","FQ2 2024","FQ2 2024","Currency=USD","Period=FQ","BEST_FPERIOD_OVERRIDE=FQ","FILING_STATUS=MR","SCALING_FORMAT=MLN","Sort=A","Dates=H","DateFormat=P","Fill=—","Direction=H","UseDPDF=Y")</f>
        <v>—</v>
      </c>
      <c r="Z90" s="13" t="str">
        <f>_xll.BDH("GILD US Equity","ARDR_OTHER_ONE_TIME_CHRG_AFT_TAX","FQ3 2024","FQ3 2024","Currency=USD","Period=FQ","BEST_FPERIOD_OVERRIDE=FQ","FILING_STATUS=MR","SCALING_FORMAT=MLN","Sort=A","Dates=H","DateFormat=P","Fill=—","Direction=H","UseDPDF=Y")</f>
        <v>—</v>
      </c>
      <c r="AA90" s="13" t="str">
        <f>_xll.BDH("GILD US Equity","ARDR_OTHER_ONE_TIME_CHRG_AFT_TAX","FQ4 2024","FQ4 2024","Currency=USD","Period=FQ","BEST_FPERIOD_OVERRIDE=FQ","FILING_STATUS=MR","SCALING_FORMAT=MLN","Sort=A","Dates=H","DateFormat=P","Fill=—","Direction=H","UseDPDF=Y")</f>
        <v>—</v>
      </c>
    </row>
    <row r="91" spans="1:27" x14ac:dyDescent="0.25">
      <c r="A91" s="10" t="s">
        <v>560</v>
      </c>
      <c r="B91" s="10" t="s">
        <v>561</v>
      </c>
      <c r="C91" s="13" t="str">
        <f>_xll.BDH("GILD US Equity","ARDR_COMPREHENSIVE_INC_ATTRIB_MI","FQ4 2018","FQ4 2018","Currency=USD","Period=FQ","BEST_FPERIOD_OVERRIDE=FQ","FILING_STATUS=MR","SCALING_FORMAT=MLN","Sort=A","Dates=H","DateFormat=P","Fill=—","Direction=H","UseDPDF=Y")</f>
        <v>—</v>
      </c>
      <c r="D91" s="13">
        <f>_xll.BDH("GILD US Equity","ARDR_COMPREHENSIVE_INC_ATTRIB_MI","FQ1 2019","FQ1 2019","Currency=USD","Period=FQ","BEST_FPERIOD_OVERRIDE=FQ","FILING_STATUS=MR","SCALING_FORMAT=MLN","Sort=A","Dates=H","DateFormat=P","Fill=—","Direction=H","UseDPDF=Y")</f>
        <v>-7</v>
      </c>
      <c r="E91" s="13">
        <f>_xll.BDH("GILD US Equity","ARDR_COMPREHENSIVE_INC_ATTRIB_MI","FQ2 2019","FQ2 2019","Currency=USD","Period=FQ","BEST_FPERIOD_OVERRIDE=FQ","FILING_STATUS=MR","SCALING_FORMAT=MLN","Sort=A","Dates=H","DateFormat=P","Fill=—","Direction=H","UseDPDF=Y")</f>
        <v>0</v>
      </c>
      <c r="F91" s="13">
        <f>_xll.BDH("GILD US Equity","ARDR_COMPREHENSIVE_INC_ATTRIB_MI","FQ3 2019","FQ3 2019","Currency=USD","Period=FQ","BEST_FPERIOD_OVERRIDE=FQ","FILING_STATUS=MR","SCALING_FORMAT=MLN","Sort=A","Dates=H","DateFormat=P","Fill=—","Direction=H","UseDPDF=Y")</f>
        <v>0</v>
      </c>
      <c r="G91" s="13">
        <f>_xll.BDH("GILD US Equity","ARDR_COMPREHENSIVE_INC_ATTRIB_MI","FQ4 2019","FQ4 2019","Currency=USD","Period=FQ","BEST_FPERIOD_OVERRIDE=FQ","FILING_STATUS=MR","SCALING_FORMAT=MLN","Sort=A","Dates=H","DateFormat=P","Fill=—","Direction=H","UseDPDF=Y")</f>
        <v>0</v>
      </c>
      <c r="H91" s="13">
        <f>_xll.BDH("GILD US Equity","ARDR_COMPREHENSIVE_INC_ATTRIB_MI","FQ1 2020","FQ1 2020","Currency=USD","Period=FQ","BEST_FPERIOD_OVERRIDE=FQ","FILING_STATUS=MR","SCALING_FORMAT=MLN","Sort=A","Dates=H","DateFormat=P","Fill=—","Direction=H","UseDPDF=Y")</f>
        <v>0</v>
      </c>
      <c r="I91" s="13">
        <f>_xll.BDH("GILD US Equity","ARDR_COMPREHENSIVE_INC_ATTRIB_MI","FQ2 2020","FQ2 2020","Currency=USD","Period=FQ","BEST_FPERIOD_OVERRIDE=FQ","FILING_STATUS=MR","SCALING_FORMAT=MLN","Sort=A","Dates=H","DateFormat=P","Fill=—","Direction=H","UseDPDF=Y")</f>
        <v>0</v>
      </c>
      <c r="J91" s="13">
        <f>_xll.BDH("GILD US Equity","ARDR_COMPREHENSIVE_INC_ATTRIB_MI","FQ3 2020","FQ3 2020","Currency=USD","Period=FQ","BEST_FPERIOD_OVERRIDE=FQ","FILING_STATUS=MR","SCALING_FORMAT=MLN","Sort=A","Dates=H","DateFormat=P","Fill=—","Direction=H","UseDPDF=Y")</f>
        <v>0</v>
      </c>
      <c r="K91" s="13">
        <f>_xll.BDH("GILD US Equity","ARDR_COMPREHENSIVE_INC_ATTRIB_MI","FQ4 2020","FQ4 2020","Currency=USD","Period=FQ","BEST_FPERIOD_OVERRIDE=FQ","FILING_STATUS=MR","SCALING_FORMAT=MLN","Sort=A","Dates=H","DateFormat=P","Fill=—","Direction=H","UseDPDF=Y")</f>
        <v>0</v>
      </c>
      <c r="L91" s="13">
        <f>_xll.BDH("GILD US Equity","ARDR_COMPREHENSIVE_INC_ATTRIB_MI","FQ1 2021","FQ1 2021","Currency=USD","Period=FQ","BEST_FPERIOD_OVERRIDE=FQ","FILING_STATUS=MR","SCALING_FORMAT=MLN","Sort=A","Dates=H","DateFormat=P","Fill=—","Direction=H","UseDPDF=Y")</f>
        <v>0</v>
      </c>
      <c r="M91" s="13">
        <f>_xll.BDH("GILD US Equity","ARDR_COMPREHENSIVE_INC_ATTRIB_MI","FQ2 2021","FQ2 2021","Currency=USD","Period=FQ","BEST_FPERIOD_OVERRIDE=FQ","FILING_STATUS=MR","SCALING_FORMAT=MLN","Sort=A","Dates=H","DateFormat=P","Fill=—","Direction=H","UseDPDF=Y")</f>
        <v>0</v>
      </c>
      <c r="N91" s="13">
        <f>_xll.BDH("GILD US Equity","ARDR_COMPREHENSIVE_INC_ATTRIB_MI","FQ3 2021","FQ3 2021","Currency=USD","Period=FQ","BEST_FPERIOD_OVERRIDE=FQ","FILING_STATUS=MR","SCALING_FORMAT=MLN","Sort=A","Dates=H","DateFormat=P","Fill=—","Direction=H","UseDPDF=Y")</f>
        <v>0</v>
      </c>
      <c r="O91" s="13">
        <f>_xll.BDH("GILD US Equity","ARDR_COMPREHENSIVE_INC_ATTRIB_MI","FQ4 2021","FQ4 2021","Currency=USD","Period=FQ","BEST_FPERIOD_OVERRIDE=FQ","FILING_STATUS=MR","SCALING_FORMAT=MLN","Sort=A","Dates=H","DateFormat=P","Fill=—","Direction=H","UseDPDF=Y")</f>
        <v>0</v>
      </c>
      <c r="P91" s="13">
        <f>_xll.BDH("GILD US Equity","ARDR_COMPREHENSIVE_INC_ATTRIB_MI","FQ1 2022","FQ1 2022","Currency=USD","Period=FQ","BEST_FPERIOD_OVERRIDE=FQ","FILING_STATUS=MR","SCALING_FORMAT=MLN","Sort=A","Dates=H","DateFormat=P","Fill=—","Direction=H","UseDPDF=Y")</f>
        <v>0</v>
      </c>
      <c r="Q91" s="13">
        <f>_xll.BDH("GILD US Equity","ARDR_COMPREHENSIVE_INC_ATTRIB_MI","FQ2 2022","FQ2 2022","Currency=USD","Period=FQ","BEST_FPERIOD_OVERRIDE=FQ","FILING_STATUS=MR","SCALING_FORMAT=MLN","Sort=A","Dates=H","DateFormat=P","Fill=—","Direction=H","UseDPDF=Y")</f>
        <v>0</v>
      </c>
      <c r="R91" s="13">
        <f>_xll.BDH("GILD US Equity","ARDR_COMPREHENSIVE_INC_ATTRIB_MI","FQ3 2022","FQ3 2022","Currency=USD","Period=FQ","BEST_FPERIOD_OVERRIDE=FQ","FILING_STATUS=MR","SCALING_FORMAT=MLN","Sort=A","Dates=H","DateFormat=P","Fill=—","Direction=H","UseDPDF=Y")</f>
        <v>0</v>
      </c>
      <c r="S91" s="13">
        <f>_xll.BDH("GILD US Equity","ARDR_COMPREHENSIVE_INC_ATTRIB_MI","FQ4 2022","FQ4 2022","Currency=USD","Period=FQ","BEST_FPERIOD_OVERRIDE=FQ","FILING_STATUS=MR","SCALING_FORMAT=MLN","Sort=A","Dates=H","DateFormat=P","Fill=—","Direction=H","UseDPDF=Y")</f>
        <v>0</v>
      </c>
      <c r="T91" s="13">
        <f>_xll.BDH("GILD US Equity","ARDR_COMPREHENSIVE_INC_ATTRIB_MI","FQ1 2023","FQ1 2023","Currency=USD","Period=FQ","BEST_FPERIOD_OVERRIDE=FQ","FILING_STATUS=MR","SCALING_FORMAT=MLN","Sort=A","Dates=H","DateFormat=P","Fill=—","Direction=H","UseDPDF=Y")</f>
        <v>0</v>
      </c>
      <c r="U91" s="13">
        <f>_xll.BDH("GILD US Equity","ARDR_COMPREHENSIVE_INC_ATTRIB_MI","FQ2 2023","FQ2 2023","Currency=USD","Period=FQ","BEST_FPERIOD_OVERRIDE=FQ","FILING_STATUS=MR","SCALING_FORMAT=MLN","Sort=A","Dates=H","DateFormat=P","Fill=—","Direction=H","UseDPDF=Y")</f>
        <v>0</v>
      </c>
      <c r="V91" s="13">
        <f>_xll.BDH("GILD US Equity","ARDR_COMPREHENSIVE_INC_ATTRIB_MI","FQ3 2023","FQ3 2023","Currency=USD","Period=FQ","BEST_FPERIOD_OVERRIDE=FQ","FILING_STATUS=MR","SCALING_FORMAT=MLN","Sort=A","Dates=H","DateFormat=P","Fill=—","Direction=H","UseDPDF=Y")</f>
        <v>0</v>
      </c>
      <c r="W91" s="13">
        <f>_xll.BDH("GILD US Equity","ARDR_COMPREHENSIVE_INC_ATTRIB_MI","FQ4 2023","FQ4 2023","Currency=USD","Period=FQ","BEST_FPERIOD_OVERRIDE=FQ","FILING_STATUS=MR","SCALING_FORMAT=MLN","Sort=A","Dates=H","DateFormat=P","Fill=—","Direction=H","UseDPDF=Y")</f>
        <v>0</v>
      </c>
      <c r="X91" s="13">
        <f>_xll.BDH("GILD US Equity","ARDR_COMPREHENSIVE_INC_ATTRIB_MI","FQ1 2024","FQ1 2024","Currency=USD","Period=FQ","BEST_FPERIOD_OVERRIDE=FQ","FILING_STATUS=MR","SCALING_FORMAT=MLN","Sort=A","Dates=H","DateFormat=P","Fill=—","Direction=H","UseDPDF=Y")</f>
        <v>0</v>
      </c>
      <c r="Y91" s="13">
        <f>_xll.BDH("GILD US Equity","ARDR_COMPREHENSIVE_INC_ATTRIB_MI","FQ2 2024","FQ2 2024","Currency=USD","Period=FQ","BEST_FPERIOD_OVERRIDE=FQ","FILING_STATUS=MR","SCALING_FORMAT=MLN","Sort=A","Dates=H","DateFormat=P","Fill=—","Direction=H","UseDPDF=Y")</f>
        <v>0</v>
      </c>
      <c r="Z91" s="13">
        <f>_xll.BDH("GILD US Equity","ARDR_COMPREHENSIVE_INC_ATTRIB_MI","FQ3 2024","FQ3 2024","Currency=USD","Period=FQ","BEST_FPERIOD_OVERRIDE=FQ","FILING_STATUS=MR","SCALING_FORMAT=MLN","Sort=A","Dates=H","DateFormat=P","Fill=—","Direction=H","UseDPDF=Y")</f>
        <v>0</v>
      </c>
      <c r="AA91" s="13">
        <f>_xll.BDH("GILD US Equity","ARDR_COMPREHENSIVE_INC_ATTRIB_MI","FQ4 2024","FQ4 2024","Currency=USD","Period=FQ","BEST_FPERIOD_OVERRIDE=FQ","FILING_STATUS=MR","SCALING_FORMAT=MLN","Sort=A","Dates=H","DateFormat=P","Fill=—","Direction=H","UseDPDF=Y")</f>
        <v>0</v>
      </c>
    </row>
    <row r="92" spans="1:27" x14ac:dyDescent="0.25">
      <c r="A92" s="10" t="s">
        <v>562</v>
      </c>
      <c r="B92" s="10" t="s">
        <v>563</v>
      </c>
      <c r="C92" s="13" t="str">
        <f>_xll.BDH("GILD US Equity","ARDR_ADJ_EBIT_NON_GAAP_OP_INC","FQ4 2018","FQ4 2018","Currency=USD","Period=FQ","BEST_FPERIOD_OVERRIDE=FQ","FILING_STATUS=MR","SCALING_FORMAT=MLN","Sort=A","Dates=H","DateFormat=P","Fill=—","Direction=H","UseDPDF=Y")</f>
        <v>—</v>
      </c>
      <c r="D92" s="13" t="str">
        <f>_xll.BDH("GILD US Equity","ARDR_ADJ_EBIT_NON_GAAP_OP_INC","FQ1 2019","FQ1 2019","Currency=USD","Period=FQ","BEST_FPERIOD_OVERRIDE=FQ","FILING_STATUS=MR","SCALING_FORMAT=MLN","Sort=A","Dates=H","DateFormat=P","Fill=—","Direction=H","UseDPDF=Y")</f>
        <v>—</v>
      </c>
      <c r="E92" s="13" t="str">
        <f>_xll.BDH("GILD US Equity","ARDR_ADJ_EBIT_NON_GAAP_OP_INC","FQ2 2019","FQ2 2019","Currency=USD","Period=FQ","BEST_FPERIOD_OVERRIDE=FQ","FILING_STATUS=MR","SCALING_FORMAT=MLN","Sort=A","Dates=H","DateFormat=P","Fill=—","Direction=H","UseDPDF=Y")</f>
        <v>—</v>
      </c>
      <c r="F92" s="13" t="str">
        <f>_xll.BDH("GILD US Equity","ARDR_ADJ_EBIT_NON_GAAP_OP_INC","FQ3 2019","FQ3 2019","Currency=USD","Period=FQ","BEST_FPERIOD_OVERRIDE=FQ","FILING_STATUS=MR","SCALING_FORMAT=MLN","Sort=A","Dates=H","DateFormat=P","Fill=—","Direction=H","UseDPDF=Y")</f>
        <v>—</v>
      </c>
      <c r="G92" s="13" t="str">
        <f>_xll.BDH("GILD US Equity","ARDR_ADJ_EBIT_NON_GAAP_OP_INC","FQ4 2019","FQ4 2019","Currency=USD","Period=FQ","BEST_FPERIOD_OVERRIDE=FQ","FILING_STATUS=MR","SCALING_FORMAT=MLN","Sort=A","Dates=H","DateFormat=P","Fill=—","Direction=H","UseDPDF=Y")</f>
        <v>—</v>
      </c>
      <c r="H92" s="13" t="str">
        <f>_xll.BDH("GILD US Equity","ARDR_ADJ_EBIT_NON_GAAP_OP_INC","FQ1 2020","FQ1 2020","Currency=USD","Period=FQ","BEST_FPERIOD_OVERRIDE=FQ","FILING_STATUS=MR","SCALING_FORMAT=MLN","Sort=A","Dates=H","DateFormat=P","Fill=—","Direction=H","UseDPDF=Y")</f>
        <v>—</v>
      </c>
      <c r="I92" s="13" t="str">
        <f>_xll.BDH("GILD US Equity","ARDR_ADJ_EBIT_NON_GAAP_OP_INC","FQ2 2020","FQ2 2020","Currency=USD","Period=FQ","BEST_FPERIOD_OVERRIDE=FQ","FILING_STATUS=MR","SCALING_FORMAT=MLN","Sort=A","Dates=H","DateFormat=P","Fill=—","Direction=H","UseDPDF=Y")</f>
        <v>—</v>
      </c>
      <c r="J92" s="13" t="str">
        <f>_xll.BDH("GILD US Equity","ARDR_ADJ_EBIT_NON_GAAP_OP_INC","FQ3 2020","FQ3 2020","Currency=USD","Period=FQ","BEST_FPERIOD_OVERRIDE=FQ","FILING_STATUS=MR","SCALING_FORMAT=MLN","Sort=A","Dates=H","DateFormat=P","Fill=—","Direction=H","UseDPDF=Y")</f>
        <v>—</v>
      </c>
      <c r="K92" s="13" t="str">
        <f>_xll.BDH("GILD US Equity","ARDR_ADJ_EBIT_NON_GAAP_OP_INC","FQ4 2020","FQ4 2020","Currency=USD","Period=FQ","BEST_FPERIOD_OVERRIDE=FQ","FILING_STATUS=MR","SCALING_FORMAT=MLN","Sort=A","Dates=H","DateFormat=P","Fill=—","Direction=H","UseDPDF=Y")</f>
        <v>—</v>
      </c>
      <c r="L92" s="13" t="str">
        <f>_xll.BDH("GILD US Equity","ARDR_ADJ_EBIT_NON_GAAP_OP_INC","FQ1 2021","FQ1 2021","Currency=USD","Period=FQ","BEST_FPERIOD_OVERRIDE=FQ","FILING_STATUS=MR","SCALING_FORMAT=MLN","Sort=A","Dates=H","DateFormat=P","Fill=—","Direction=H","UseDPDF=Y")</f>
        <v>—</v>
      </c>
      <c r="M92" s="13">
        <f>_xll.BDH("GILD US Equity","ARDR_ADJ_EBIT_NON_GAAP_OP_INC","FQ2 2021","FQ2 2021","Currency=USD","Period=FQ","BEST_FPERIOD_OVERRIDE=FQ","FILING_STATUS=MR","SCALING_FORMAT=MLN","Sort=A","Dates=H","DateFormat=P","Fill=—","Direction=H","UseDPDF=Y")</f>
        <v>3176</v>
      </c>
      <c r="N92" s="13" t="str">
        <f>_xll.BDH("GILD US Equity","ARDR_ADJ_EBIT_NON_GAAP_OP_INC","FQ3 2021","FQ3 2021","Currency=USD","Period=FQ","BEST_FPERIOD_OVERRIDE=FQ","FILING_STATUS=MR","SCALING_FORMAT=MLN","Sort=A","Dates=H","DateFormat=P","Fill=—","Direction=H","UseDPDF=Y")</f>
        <v>—</v>
      </c>
      <c r="O92" s="13" t="str">
        <f>_xll.BDH("GILD US Equity","ARDR_ADJ_EBIT_NON_GAAP_OP_INC","FQ4 2021","FQ4 2021","Currency=USD","Period=FQ","BEST_FPERIOD_OVERRIDE=FQ","FILING_STATUS=MR","SCALING_FORMAT=MLN","Sort=A","Dates=H","DateFormat=P","Fill=—","Direction=H","UseDPDF=Y")</f>
        <v>—</v>
      </c>
      <c r="P92" s="13" t="str">
        <f>_xll.BDH("GILD US Equity","ARDR_ADJ_EBIT_NON_GAAP_OP_INC","FQ1 2022","FQ1 2022","Currency=USD","Period=FQ","BEST_FPERIOD_OVERRIDE=FQ","FILING_STATUS=MR","SCALING_FORMAT=MLN","Sort=A","Dates=H","DateFormat=P","Fill=—","Direction=H","UseDPDF=Y")</f>
        <v>—</v>
      </c>
      <c r="Q92" s="13" t="str">
        <f>_xll.BDH("GILD US Equity","ARDR_ADJ_EBIT_NON_GAAP_OP_INC","FQ2 2022","FQ2 2022","Currency=USD","Period=FQ","BEST_FPERIOD_OVERRIDE=FQ","FILING_STATUS=MR","SCALING_FORMAT=MLN","Sort=A","Dates=H","DateFormat=P","Fill=—","Direction=H","UseDPDF=Y")</f>
        <v>—</v>
      </c>
      <c r="R92" s="13" t="str">
        <f>_xll.BDH("GILD US Equity","ARDR_ADJ_EBIT_NON_GAAP_OP_INC","FQ3 2022","FQ3 2022","Currency=USD","Period=FQ","BEST_FPERIOD_OVERRIDE=FQ","FILING_STATUS=MR","SCALING_FORMAT=MLN","Sort=A","Dates=H","DateFormat=P","Fill=—","Direction=H","UseDPDF=Y")</f>
        <v>—</v>
      </c>
      <c r="S92" s="13" t="str">
        <f>_xll.BDH("GILD US Equity","ARDR_ADJ_EBIT_NON_GAAP_OP_INC","FQ4 2022","FQ4 2022","Currency=USD","Period=FQ","BEST_FPERIOD_OVERRIDE=FQ","FILING_STATUS=MR","SCALING_FORMAT=MLN","Sort=A","Dates=H","DateFormat=P","Fill=—","Direction=H","UseDPDF=Y")</f>
        <v>—</v>
      </c>
      <c r="T92" s="13">
        <f>_xll.BDH("GILD US Equity","ARDR_ADJ_EBIT_NON_GAAP_OP_INC","FQ1 2023","FQ1 2023","Currency=USD","Period=FQ","BEST_FPERIOD_OVERRIDE=FQ","FILING_STATUS=MR","SCALING_FORMAT=MLN","Sort=A","Dates=H","DateFormat=P","Fill=—","Direction=H","UseDPDF=Y")</f>
        <v>2243</v>
      </c>
      <c r="U92" s="13">
        <f>_xll.BDH("GILD US Equity","ARDR_ADJ_EBIT_NON_GAAP_OP_INC","FQ2 2023","FQ2 2023","Currency=USD","Period=FQ","BEST_FPERIOD_OVERRIDE=FQ","FILING_STATUS=MR","SCALING_FORMAT=MLN","Sort=A","Dates=H","DateFormat=P","Fill=—","Direction=H","UseDPDF=Y")</f>
        <v>2277</v>
      </c>
      <c r="V92" s="13">
        <f>_xll.BDH("GILD US Equity","ARDR_ADJ_EBIT_NON_GAAP_OP_INC","FQ3 2023","FQ3 2023","Currency=USD","Period=FQ","BEST_FPERIOD_OVERRIDE=FQ","FILING_STATUS=MR","SCALING_FORMAT=MLN","Sort=A","Dates=H","DateFormat=P","Fill=—","Direction=H","UseDPDF=Y")</f>
        <v>3224</v>
      </c>
      <c r="W92" s="13">
        <f>_xll.BDH("GILD US Equity","ARDR_ADJ_EBIT_NON_GAAP_OP_INC","FQ4 2023","FQ4 2023","Currency=USD","Period=FQ","BEST_FPERIOD_OVERRIDE=FQ","FILING_STATUS=MR","SCALING_FORMAT=MLN","Sort=A","Dates=H","DateFormat=P","Fill=—","Direction=H","UseDPDF=Y")</f>
        <v>2739</v>
      </c>
      <c r="X92" s="13">
        <f>_xll.BDH("GILD US Equity","ARDR_ADJ_EBIT_NON_GAAP_OP_INC","FQ1 2024","FQ1 2024","Currency=USD","Period=FQ","BEST_FPERIOD_OVERRIDE=FQ","FILING_STATUS=MR","SCALING_FORMAT=MLN","Sort=A","Dates=H","DateFormat=P","Fill=—","Direction=H","UseDPDF=Y")</f>
        <v>-1117</v>
      </c>
      <c r="Y92" s="13">
        <f>_xll.BDH("GILD US Equity","ARDR_ADJ_EBIT_NON_GAAP_OP_INC","FQ2 2024","FQ2 2024","Currency=USD","Period=FQ","BEST_FPERIOD_OVERRIDE=FQ","FILING_STATUS=MR","SCALING_FORMAT=MLN","Sort=A","Dates=H","DateFormat=P","Fill=—","Direction=H","UseDPDF=Y")</f>
        <v>3265</v>
      </c>
      <c r="Z92" s="13">
        <f>_xll.BDH("GILD US Equity","ARDR_ADJ_EBIT_NON_GAAP_OP_INC","FQ3 2024","FQ3 2024","Currency=USD","Period=FQ","BEST_FPERIOD_OVERRIDE=FQ","FILING_STATUS=MR","SCALING_FORMAT=MLN","Sort=A","Dates=H","DateFormat=P","Fill=—","Direction=H","UseDPDF=Y")</f>
        <v>3258</v>
      </c>
      <c r="AA92" s="13">
        <f>_xll.BDH("GILD US Equity","ARDR_ADJ_EBIT_NON_GAAP_OP_INC","FQ4 2024","FQ4 2024","Currency=USD","Period=FQ","BEST_FPERIOD_OVERRIDE=FQ","FILING_STATUS=MR","SCALING_FORMAT=MLN","Sort=A","Dates=H","DateFormat=P","Fill=—","Direction=H","UseDPDF=Y")</f>
        <v>3114</v>
      </c>
    </row>
    <row r="93" spans="1:27" x14ac:dyDescent="0.25">
      <c r="A93" s="10" t="s">
        <v>564</v>
      </c>
      <c r="B93" s="10" t="s">
        <v>565</v>
      </c>
      <c r="C93" s="13">
        <f>_xll.BDH("GILD US Equity","ARDR_STOCK_BASED_CMPNSTN_IN_R&amp;D","FQ4 2018","FQ4 2018","Currency=USD","Period=FQ","BEST_FPERIOD_OVERRIDE=FQ","FILING_STATUS=MR","Sort=A","Dates=H","DateFormat=P","Fill=—","Direction=H","UseDPDF=Y")</f>
        <v>75</v>
      </c>
      <c r="D93" s="13">
        <f>_xll.BDH("GILD US Equity","ARDR_STOCK_BASED_CMPNSTN_IN_R&amp;D","FQ1 2019","FQ1 2019","Currency=USD","Period=FQ","BEST_FPERIOD_OVERRIDE=FQ","FILING_STATUS=MR","Sort=A","Dates=H","DateFormat=P","Fill=—","Direction=H","UseDPDF=Y")</f>
        <v>61</v>
      </c>
      <c r="E93" s="13">
        <f>_xll.BDH("GILD US Equity","ARDR_STOCK_BASED_CMPNSTN_IN_R&amp;D","FQ2 2019","FQ2 2019","Currency=USD","Period=FQ","BEST_FPERIOD_OVERRIDE=FQ","FILING_STATUS=MR","Sort=A","Dates=H","DateFormat=P","Fill=—","Direction=H","UseDPDF=Y")</f>
        <v>80</v>
      </c>
      <c r="F93" s="13">
        <f>_xll.BDH("GILD US Equity","ARDR_STOCK_BASED_CMPNSTN_IN_R&amp;D","FQ3 2019","FQ3 2019","Currency=USD","Period=FQ","BEST_FPERIOD_OVERRIDE=FQ","FILING_STATUS=MR","Sort=A","Dates=H","DateFormat=P","Fill=—","Direction=H","UseDPDF=Y")</f>
        <v>74</v>
      </c>
      <c r="G93" s="13">
        <f>_xll.BDH("GILD US Equity","ARDR_STOCK_BASED_CMPNSTN_IN_R&amp;D","FQ4 2019","FQ4 2019","Currency=USD","Period=FQ","BEST_FPERIOD_OVERRIDE=FQ","FILING_STATUS=MR","Sort=A","Dates=H","DateFormat=P","Fill=—","Direction=H","UseDPDF=Y")</f>
        <v>74</v>
      </c>
      <c r="H93" s="13" t="str">
        <f>_xll.BDH("GILD US Equity","ARDR_STOCK_BASED_CMPNSTN_IN_R&amp;D","FQ1 2020","FQ1 2020","Currency=USD","Period=FQ","BEST_FPERIOD_OVERRIDE=FQ","FILING_STATUS=MR","Sort=A","Dates=H","DateFormat=P","Fill=—","Direction=H","UseDPDF=Y")</f>
        <v>—</v>
      </c>
      <c r="I93" s="13" t="str">
        <f>_xll.BDH("GILD US Equity","ARDR_STOCK_BASED_CMPNSTN_IN_R&amp;D","FQ2 2020","FQ2 2020","Currency=USD","Period=FQ","BEST_FPERIOD_OVERRIDE=FQ","FILING_STATUS=MR","Sort=A","Dates=H","DateFormat=P","Fill=—","Direction=H","UseDPDF=Y")</f>
        <v>—</v>
      </c>
      <c r="J93" s="13" t="str">
        <f>_xll.BDH("GILD US Equity","ARDR_STOCK_BASED_CMPNSTN_IN_R&amp;D","FQ3 2020","FQ3 2020","Currency=USD","Period=FQ","BEST_FPERIOD_OVERRIDE=FQ","FILING_STATUS=MR","Sort=A","Dates=H","DateFormat=P","Fill=—","Direction=H","UseDPDF=Y")</f>
        <v>—</v>
      </c>
      <c r="K93" s="13">
        <f>_xll.BDH("GILD US Equity","ARDR_STOCK_BASED_CMPNSTN_IN_R&amp;D","FQ4 2020","FQ4 2020","Currency=USD","Period=FQ","BEST_FPERIOD_OVERRIDE=FQ","FILING_STATUS=MR","Sort=A","Dates=H","DateFormat=P","Fill=—","Direction=H","UseDPDF=Y")</f>
        <v>58</v>
      </c>
      <c r="L93" s="13" t="str">
        <f>_xll.BDH("GILD US Equity","ARDR_STOCK_BASED_CMPNSTN_IN_R&amp;D","FQ1 2021","FQ1 2021","Currency=USD","Period=FQ","BEST_FPERIOD_OVERRIDE=FQ","FILING_STATUS=MR","Sort=A","Dates=H","DateFormat=P","Fill=—","Direction=H","UseDPDF=Y")</f>
        <v>—</v>
      </c>
      <c r="M93" s="13" t="str">
        <f>_xll.BDH("GILD US Equity","ARDR_STOCK_BASED_CMPNSTN_IN_R&amp;D","FQ2 2021","FQ2 2021","Currency=USD","Period=FQ","BEST_FPERIOD_OVERRIDE=FQ","FILING_STATUS=MR","Sort=A","Dates=H","DateFormat=P","Fill=—","Direction=H","UseDPDF=Y")</f>
        <v>—</v>
      </c>
      <c r="N93" s="13" t="str">
        <f>_xll.BDH("GILD US Equity","ARDR_STOCK_BASED_CMPNSTN_IN_R&amp;D","FQ3 2021","FQ3 2021","Currency=USD","Period=FQ","BEST_FPERIOD_OVERRIDE=FQ","FILING_STATUS=MR","Sort=A","Dates=H","DateFormat=P","Fill=—","Direction=H","UseDPDF=Y")</f>
        <v>—</v>
      </c>
      <c r="O93" s="13" t="str">
        <f>_xll.BDH("GILD US Equity","ARDR_STOCK_BASED_CMPNSTN_IN_R&amp;D","FQ4 2021","FQ4 2021","Currency=USD","Period=FQ","BEST_FPERIOD_OVERRIDE=FQ","FILING_STATUS=MR","Sort=A","Dates=H","DateFormat=P","Fill=—","Direction=H","UseDPDF=Y")</f>
        <v>—</v>
      </c>
      <c r="P93" s="13" t="str">
        <f>_xll.BDH("GILD US Equity","ARDR_STOCK_BASED_CMPNSTN_IN_R&amp;D","FQ1 2022","FQ1 2022","Currency=USD","Period=FQ","BEST_FPERIOD_OVERRIDE=FQ","FILING_STATUS=MR","Sort=A","Dates=H","DateFormat=P","Fill=—","Direction=H","UseDPDF=Y")</f>
        <v>—</v>
      </c>
      <c r="Q93" s="13" t="str">
        <f>_xll.BDH("GILD US Equity","ARDR_STOCK_BASED_CMPNSTN_IN_R&amp;D","FQ2 2022","FQ2 2022","Currency=USD","Period=FQ","BEST_FPERIOD_OVERRIDE=FQ","FILING_STATUS=MR","Sort=A","Dates=H","DateFormat=P","Fill=—","Direction=H","UseDPDF=Y")</f>
        <v>—</v>
      </c>
      <c r="R93" s="13" t="str">
        <f>_xll.BDH("GILD US Equity","ARDR_STOCK_BASED_CMPNSTN_IN_R&amp;D","FQ3 2022","FQ3 2022","Currency=USD","Period=FQ","BEST_FPERIOD_OVERRIDE=FQ","FILING_STATUS=MR","Sort=A","Dates=H","DateFormat=P","Fill=—","Direction=H","UseDPDF=Y")</f>
        <v>—</v>
      </c>
      <c r="S93" s="13" t="str">
        <f>_xll.BDH("GILD US Equity","ARDR_STOCK_BASED_CMPNSTN_IN_R&amp;D","FQ4 2022","FQ4 2022","Currency=USD","Period=FQ","BEST_FPERIOD_OVERRIDE=FQ","FILING_STATUS=MR","Sort=A","Dates=H","DateFormat=P","Fill=—","Direction=H","UseDPDF=Y")</f>
        <v>—</v>
      </c>
      <c r="T93" s="13" t="str">
        <f>_xll.BDH("GILD US Equity","ARDR_STOCK_BASED_CMPNSTN_IN_R&amp;D","FQ1 2023","FQ1 2023","Currency=USD","Period=FQ","BEST_FPERIOD_OVERRIDE=FQ","FILING_STATUS=MR","Sort=A","Dates=H","DateFormat=P","Fill=—","Direction=H","UseDPDF=Y")</f>
        <v>—</v>
      </c>
      <c r="U93" s="13" t="str">
        <f>_xll.BDH("GILD US Equity","ARDR_STOCK_BASED_CMPNSTN_IN_R&amp;D","FQ2 2023","FQ2 2023","Currency=USD","Period=FQ","BEST_FPERIOD_OVERRIDE=FQ","FILING_STATUS=MR","Sort=A","Dates=H","DateFormat=P","Fill=—","Direction=H","UseDPDF=Y")</f>
        <v>—</v>
      </c>
      <c r="V93" s="13" t="str">
        <f>_xll.BDH("GILD US Equity","ARDR_STOCK_BASED_CMPNSTN_IN_R&amp;D","FQ3 2023","FQ3 2023","Currency=USD","Period=FQ","BEST_FPERIOD_OVERRIDE=FQ","FILING_STATUS=MR","Sort=A","Dates=H","DateFormat=P","Fill=—","Direction=H","UseDPDF=Y")</f>
        <v>—</v>
      </c>
      <c r="W93" s="13">
        <f>_xll.BDH("GILD US Equity","ARDR_STOCK_BASED_CMPNSTN_IN_R&amp;D","FQ4 2023","FQ4 2023","Currency=USD","Period=FQ","BEST_FPERIOD_OVERRIDE=FQ","FILING_STATUS=MR","Sort=A","Dates=H","DateFormat=P","Fill=—","Direction=H","UseDPDF=Y")</f>
        <v>6095</v>
      </c>
      <c r="X93" s="13" t="str">
        <f>_xll.BDH("GILD US Equity","ARDR_STOCK_BASED_CMPNSTN_IN_R&amp;D","FQ1 2024","FQ1 2024","Currency=USD","Period=FQ","BEST_FPERIOD_OVERRIDE=FQ","FILING_STATUS=MR","Sort=A","Dates=H","DateFormat=P","Fill=—","Direction=H","UseDPDF=Y")</f>
        <v>—</v>
      </c>
      <c r="Y93" s="13" t="str">
        <f>_xll.BDH("GILD US Equity","ARDR_STOCK_BASED_CMPNSTN_IN_R&amp;D","FQ2 2024","FQ2 2024","Currency=USD","Period=FQ","BEST_FPERIOD_OVERRIDE=FQ","FILING_STATUS=MR","Sort=A","Dates=H","DateFormat=P","Fill=—","Direction=H","UseDPDF=Y")</f>
        <v>—</v>
      </c>
      <c r="Z93" s="13" t="str">
        <f>_xll.BDH("GILD US Equity","ARDR_STOCK_BASED_CMPNSTN_IN_R&amp;D","FQ3 2024","FQ3 2024","Currency=USD","Period=FQ","BEST_FPERIOD_OVERRIDE=FQ","FILING_STATUS=MR","Sort=A","Dates=H","DateFormat=P","Fill=—","Direction=H","UseDPDF=Y")</f>
        <v>—</v>
      </c>
      <c r="AA93" s="13" t="str">
        <f>_xll.BDH("GILD US Equity","ARDR_STOCK_BASED_CMPNSTN_IN_R&amp;D","FQ4 2024","FQ4 2024","Currency=USD","Period=FQ","BEST_FPERIOD_OVERRIDE=FQ","FILING_STATUS=MR","Sort=A","Dates=H","DateFormat=P","Fill=—","Direction=H","UseDPDF=Y")</f>
        <v>—</v>
      </c>
    </row>
    <row r="94" spans="1:27" x14ac:dyDescent="0.25">
      <c r="A94" s="10" t="s">
        <v>566</v>
      </c>
      <c r="B94" s="10" t="s">
        <v>567</v>
      </c>
      <c r="C94" s="13">
        <f>_xll.BDH("GILD US Equity","ARDR_STOCK_BASED_CMPNSTN_IN_SG&amp;A","FQ4 2018","FQ4 2018","Currency=USD","Period=FQ","BEST_FPERIOD_OVERRIDE=FQ","FILING_STATUS=MR","Sort=A","Dates=H","DateFormat=P","Fill=—","Direction=H","UseDPDF=Y")</f>
        <v>88</v>
      </c>
      <c r="D94" s="13">
        <f>_xll.BDH("GILD US Equity","ARDR_STOCK_BASED_CMPNSTN_IN_SG&amp;A","FQ1 2019","FQ1 2019","Currency=USD","Period=FQ","BEST_FPERIOD_OVERRIDE=FQ","FILING_STATUS=MR","Sort=A","Dates=H","DateFormat=P","Fill=—","Direction=H","UseDPDF=Y")</f>
        <v>68</v>
      </c>
      <c r="E94" s="13">
        <f>_xll.BDH("GILD US Equity","ARDR_STOCK_BASED_CMPNSTN_IN_SG&amp;A","FQ2 2019","FQ2 2019","Currency=USD","Period=FQ","BEST_FPERIOD_OVERRIDE=FQ","FILING_STATUS=MR","Sort=A","Dates=H","DateFormat=P","Fill=—","Direction=H","UseDPDF=Y")</f>
        <v>81</v>
      </c>
      <c r="F94" s="13">
        <f>_xll.BDH("GILD US Equity","ARDR_STOCK_BASED_CMPNSTN_IN_SG&amp;A","FQ3 2019","FQ3 2019","Currency=USD","Period=FQ","BEST_FPERIOD_OVERRIDE=FQ","FILING_STATUS=MR","Sort=A","Dates=H","DateFormat=P","Fill=—","Direction=H","UseDPDF=Y")</f>
        <v>78</v>
      </c>
      <c r="G94" s="13">
        <f>_xll.BDH("GILD US Equity","ARDR_STOCK_BASED_CMPNSTN_IN_SG&amp;A","FQ4 2019","FQ4 2019","Currency=USD","Period=FQ","BEST_FPERIOD_OVERRIDE=FQ","FILING_STATUS=MR","Sort=A","Dates=H","DateFormat=P","Fill=—","Direction=H","UseDPDF=Y")</f>
        <v>72</v>
      </c>
      <c r="H94" s="13" t="str">
        <f>_xll.BDH("GILD US Equity","ARDR_STOCK_BASED_CMPNSTN_IN_SG&amp;A","FQ1 2020","FQ1 2020","Currency=USD","Period=FQ","BEST_FPERIOD_OVERRIDE=FQ","FILING_STATUS=MR","Sort=A","Dates=H","DateFormat=P","Fill=—","Direction=H","UseDPDF=Y")</f>
        <v>—</v>
      </c>
      <c r="I94" s="13" t="str">
        <f>_xll.BDH("GILD US Equity","ARDR_STOCK_BASED_CMPNSTN_IN_SG&amp;A","FQ2 2020","FQ2 2020","Currency=USD","Period=FQ","BEST_FPERIOD_OVERRIDE=FQ","FILING_STATUS=MR","Sort=A","Dates=H","DateFormat=P","Fill=—","Direction=H","UseDPDF=Y")</f>
        <v>—</v>
      </c>
      <c r="J94" s="13" t="str">
        <f>_xll.BDH("GILD US Equity","ARDR_STOCK_BASED_CMPNSTN_IN_SG&amp;A","FQ3 2020","FQ3 2020","Currency=USD","Period=FQ","BEST_FPERIOD_OVERRIDE=FQ","FILING_STATUS=MR","Sort=A","Dates=H","DateFormat=P","Fill=—","Direction=H","UseDPDF=Y")</f>
        <v>—</v>
      </c>
      <c r="K94" s="13">
        <f>_xll.BDH("GILD US Equity","ARDR_STOCK_BASED_CMPNSTN_IN_SG&amp;A","FQ4 2020","FQ4 2020","Currency=USD","Period=FQ","BEST_FPERIOD_OVERRIDE=FQ","FILING_STATUS=MR","Sort=A","Dates=H","DateFormat=P","Fill=—","Direction=H","UseDPDF=Y")</f>
        <v>168</v>
      </c>
      <c r="L94" s="13" t="str">
        <f>_xll.BDH("GILD US Equity","ARDR_STOCK_BASED_CMPNSTN_IN_SG&amp;A","FQ1 2021","FQ1 2021","Currency=USD","Period=FQ","BEST_FPERIOD_OVERRIDE=FQ","FILING_STATUS=MR","Sort=A","Dates=H","DateFormat=P","Fill=—","Direction=H","UseDPDF=Y")</f>
        <v>—</v>
      </c>
      <c r="M94" s="13" t="str">
        <f>_xll.BDH("GILD US Equity","ARDR_STOCK_BASED_CMPNSTN_IN_SG&amp;A","FQ2 2021","FQ2 2021","Currency=USD","Period=FQ","BEST_FPERIOD_OVERRIDE=FQ","FILING_STATUS=MR","Sort=A","Dates=H","DateFormat=P","Fill=—","Direction=H","UseDPDF=Y")</f>
        <v>—</v>
      </c>
      <c r="N94" s="13" t="str">
        <f>_xll.BDH("GILD US Equity","ARDR_STOCK_BASED_CMPNSTN_IN_SG&amp;A","FQ3 2021","FQ3 2021","Currency=USD","Period=FQ","BEST_FPERIOD_OVERRIDE=FQ","FILING_STATUS=MR","Sort=A","Dates=H","DateFormat=P","Fill=—","Direction=H","UseDPDF=Y")</f>
        <v>—</v>
      </c>
      <c r="O94" s="13" t="str">
        <f>_xll.BDH("GILD US Equity","ARDR_STOCK_BASED_CMPNSTN_IN_SG&amp;A","FQ4 2021","FQ4 2021","Currency=USD","Period=FQ","BEST_FPERIOD_OVERRIDE=FQ","FILING_STATUS=MR","Sort=A","Dates=H","DateFormat=P","Fill=—","Direction=H","UseDPDF=Y")</f>
        <v>—</v>
      </c>
      <c r="P94" s="13" t="str">
        <f>_xll.BDH("GILD US Equity","ARDR_STOCK_BASED_CMPNSTN_IN_SG&amp;A","FQ1 2022","FQ1 2022","Currency=USD","Period=FQ","BEST_FPERIOD_OVERRIDE=FQ","FILING_STATUS=MR","Sort=A","Dates=H","DateFormat=P","Fill=—","Direction=H","UseDPDF=Y")</f>
        <v>—</v>
      </c>
      <c r="Q94" s="13" t="str">
        <f>_xll.BDH("GILD US Equity","ARDR_STOCK_BASED_CMPNSTN_IN_SG&amp;A","FQ2 2022","FQ2 2022","Currency=USD","Period=FQ","BEST_FPERIOD_OVERRIDE=FQ","FILING_STATUS=MR","Sort=A","Dates=H","DateFormat=P","Fill=—","Direction=H","UseDPDF=Y")</f>
        <v>—</v>
      </c>
      <c r="R94" s="13" t="str">
        <f>_xll.BDH("GILD US Equity","ARDR_STOCK_BASED_CMPNSTN_IN_SG&amp;A","FQ3 2022","FQ3 2022","Currency=USD","Period=FQ","BEST_FPERIOD_OVERRIDE=FQ","FILING_STATUS=MR","Sort=A","Dates=H","DateFormat=P","Fill=—","Direction=H","UseDPDF=Y")</f>
        <v>—</v>
      </c>
      <c r="S94" s="13" t="str">
        <f>_xll.BDH("GILD US Equity","ARDR_STOCK_BASED_CMPNSTN_IN_SG&amp;A","FQ4 2022","FQ4 2022","Currency=USD","Period=FQ","BEST_FPERIOD_OVERRIDE=FQ","FILING_STATUS=MR","Sort=A","Dates=H","DateFormat=P","Fill=—","Direction=H","UseDPDF=Y")</f>
        <v>—</v>
      </c>
      <c r="T94" s="13" t="str">
        <f>_xll.BDH("GILD US Equity","ARDR_STOCK_BASED_CMPNSTN_IN_SG&amp;A","FQ1 2023","FQ1 2023","Currency=USD","Period=FQ","BEST_FPERIOD_OVERRIDE=FQ","FILING_STATUS=MR","Sort=A","Dates=H","DateFormat=P","Fill=—","Direction=H","UseDPDF=Y")</f>
        <v>—</v>
      </c>
      <c r="U94" s="13" t="str">
        <f>_xll.BDH("GILD US Equity","ARDR_STOCK_BASED_CMPNSTN_IN_SG&amp;A","FQ2 2023","FQ2 2023","Currency=USD","Period=FQ","BEST_FPERIOD_OVERRIDE=FQ","FILING_STATUS=MR","Sort=A","Dates=H","DateFormat=P","Fill=—","Direction=H","UseDPDF=Y")</f>
        <v>—</v>
      </c>
      <c r="V94" s="13" t="str">
        <f>_xll.BDH("GILD US Equity","ARDR_STOCK_BASED_CMPNSTN_IN_SG&amp;A","FQ3 2023","FQ3 2023","Currency=USD","Period=FQ","BEST_FPERIOD_OVERRIDE=FQ","FILING_STATUS=MR","Sort=A","Dates=H","DateFormat=P","Fill=—","Direction=H","UseDPDF=Y")</f>
        <v>—</v>
      </c>
      <c r="W94" s="13">
        <f>_xll.BDH("GILD US Equity","ARDR_STOCK_BASED_CMPNSTN_IN_SG&amp;A","FQ4 2023","FQ4 2023","Currency=USD","Period=FQ","BEST_FPERIOD_OVERRIDE=FQ","FILING_STATUS=MR","Sort=A","Dates=H","DateFormat=P","Fill=—","Direction=H","UseDPDF=Y")</f>
        <v>6451</v>
      </c>
      <c r="X94" s="13" t="str">
        <f>_xll.BDH("GILD US Equity","ARDR_STOCK_BASED_CMPNSTN_IN_SG&amp;A","FQ1 2024","FQ1 2024","Currency=USD","Period=FQ","BEST_FPERIOD_OVERRIDE=FQ","FILING_STATUS=MR","Sort=A","Dates=H","DateFormat=P","Fill=—","Direction=H","UseDPDF=Y")</f>
        <v>—</v>
      </c>
      <c r="Y94" s="13" t="str">
        <f>_xll.BDH("GILD US Equity","ARDR_STOCK_BASED_CMPNSTN_IN_SG&amp;A","FQ2 2024","FQ2 2024","Currency=USD","Period=FQ","BEST_FPERIOD_OVERRIDE=FQ","FILING_STATUS=MR","Sort=A","Dates=H","DateFormat=P","Fill=—","Direction=H","UseDPDF=Y")</f>
        <v>—</v>
      </c>
      <c r="Z94" s="13" t="str">
        <f>_xll.BDH("GILD US Equity","ARDR_STOCK_BASED_CMPNSTN_IN_SG&amp;A","FQ3 2024","FQ3 2024","Currency=USD","Period=FQ","BEST_FPERIOD_OVERRIDE=FQ","FILING_STATUS=MR","Sort=A","Dates=H","DateFormat=P","Fill=—","Direction=H","UseDPDF=Y")</f>
        <v>—</v>
      </c>
      <c r="AA94" s="13" t="str">
        <f>_xll.BDH("GILD US Equity","ARDR_STOCK_BASED_CMPNSTN_IN_SG&amp;A","FQ4 2024","FQ4 2024","Currency=USD","Period=FQ","BEST_FPERIOD_OVERRIDE=FQ","FILING_STATUS=MR","Sort=A","Dates=H","DateFormat=P","Fill=—","Direction=H","UseDPDF=Y")</f>
        <v>—</v>
      </c>
    </row>
    <row r="95" spans="1:27" x14ac:dyDescent="0.25">
      <c r="A95" s="10" t="s">
        <v>568</v>
      </c>
      <c r="B95" s="10" t="s">
        <v>569</v>
      </c>
      <c r="C95" s="13">
        <f>_xll.BDH("GILD US Equity","ARDR_STOCK_BASED_CMPNSTN_IN_COGS","FQ4 2018","FQ4 2018","Currency=USD","Period=FQ","BEST_FPERIOD_OVERRIDE=FQ","FILING_STATUS=MR","Sort=A","Dates=H","DateFormat=P","Fill=—","Direction=H","UseDPDF=Y")</f>
        <v>12</v>
      </c>
      <c r="D95" s="13">
        <f>_xll.BDH("GILD US Equity","ARDR_STOCK_BASED_CMPNSTN_IN_COGS","FQ1 2019","FQ1 2019","Currency=USD","Period=FQ","BEST_FPERIOD_OVERRIDE=FQ","FILING_STATUS=MR","Sort=A","Dates=H","DateFormat=P","Fill=—","Direction=H","UseDPDF=Y")</f>
        <v>14</v>
      </c>
      <c r="E95" s="13">
        <f>_xll.BDH("GILD US Equity","ARDR_STOCK_BASED_CMPNSTN_IN_COGS","FQ2 2019","FQ2 2019","Currency=USD","Period=FQ","BEST_FPERIOD_OVERRIDE=FQ","FILING_STATUS=MR","Sort=A","Dates=H","DateFormat=P","Fill=—","Direction=H","UseDPDF=Y")</f>
        <v>13</v>
      </c>
      <c r="F95" s="13">
        <f>_xll.BDH("GILD US Equity","ARDR_STOCK_BASED_CMPNSTN_IN_COGS","FQ3 2019","FQ3 2019","Currency=USD","Period=FQ","BEST_FPERIOD_OVERRIDE=FQ","FILING_STATUS=MR","Sort=A","Dates=H","DateFormat=P","Fill=—","Direction=H","UseDPDF=Y")</f>
        <v>10</v>
      </c>
      <c r="G95" s="13">
        <f>_xll.BDH("GILD US Equity","ARDR_STOCK_BASED_CMPNSTN_IN_COGS","FQ4 2019","FQ4 2019","Currency=USD","Period=FQ","BEST_FPERIOD_OVERRIDE=FQ","FILING_STATUS=MR","Sort=A","Dates=H","DateFormat=P","Fill=—","Direction=H","UseDPDF=Y")</f>
        <v>11</v>
      </c>
      <c r="H95" s="13">
        <f>_xll.BDH("GILD US Equity","ARDR_STOCK_BASED_CMPNSTN_IN_COGS","FQ1 2020","FQ1 2020","Currency=USD","Period=FQ","BEST_FPERIOD_OVERRIDE=FQ","FILING_STATUS=MR","Sort=A","Dates=H","DateFormat=P","Fill=—","Direction=H","UseDPDF=Y")</f>
        <v>969</v>
      </c>
      <c r="I95" s="13">
        <f>_xll.BDH("GILD US Equity","ARDR_STOCK_BASED_CMPNSTN_IN_COGS","FQ2 2020","FQ2 2020","Currency=USD","Period=FQ","BEST_FPERIOD_OVERRIDE=FQ","FILING_STATUS=MR","Sort=A","Dates=H","DateFormat=P","Fill=—","Direction=H","UseDPDF=Y")</f>
        <v>1064</v>
      </c>
      <c r="J95" s="13" t="str">
        <f>_xll.BDH("GILD US Equity","ARDR_STOCK_BASED_CMPNSTN_IN_COGS","FQ3 2020","FQ3 2020","Currency=USD","Period=FQ","BEST_FPERIOD_OVERRIDE=FQ","FILING_STATUS=MR","Sort=A","Dates=H","DateFormat=P","Fill=—","Direction=H","UseDPDF=Y")</f>
        <v>—</v>
      </c>
      <c r="K95" s="13" t="str">
        <f>_xll.BDH("GILD US Equity","ARDR_STOCK_BASED_CMPNSTN_IN_COGS","FQ4 2020","FQ4 2020","Currency=USD","Period=FQ","BEST_FPERIOD_OVERRIDE=FQ","FILING_STATUS=MR","Sort=A","Dates=H","DateFormat=P","Fill=—","Direction=H","UseDPDF=Y")</f>
        <v>—</v>
      </c>
      <c r="L95" s="13">
        <f>_xll.BDH("GILD US Equity","ARDR_STOCK_BASED_CMPNSTN_IN_COGS","FQ1 2021","FQ1 2021","Currency=USD","Period=FQ","BEST_FPERIOD_OVERRIDE=FQ","FILING_STATUS=MR","Sort=A","Dates=H","DateFormat=P","Fill=—","Direction=H","UseDPDF=Y")</f>
        <v>1361</v>
      </c>
      <c r="M95" s="13">
        <f>_xll.BDH("GILD US Equity","ARDR_STOCK_BASED_CMPNSTN_IN_COGS","FQ2 2021","FQ2 2021","Currency=USD","Period=FQ","BEST_FPERIOD_OVERRIDE=FQ","FILING_STATUS=MR","Sort=A","Dates=H","DateFormat=P","Fill=—","Direction=H","UseDPDF=Y")</f>
        <v>1390</v>
      </c>
      <c r="N95" s="13">
        <f>_xll.BDH("GILD US Equity","ARDR_STOCK_BASED_CMPNSTN_IN_COGS","FQ3 2021","FQ3 2021","Currency=USD","Period=FQ","BEST_FPERIOD_OVERRIDE=FQ","FILING_STATUS=MR","Sort=A","Dates=H","DateFormat=P","Fill=—","Direction=H","UseDPDF=Y")</f>
        <v>1223</v>
      </c>
      <c r="O95" s="13" t="str">
        <f>_xll.BDH("GILD US Equity","ARDR_STOCK_BASED_CMPNSTN_IN_COGS","FQ4 2021","FQ4 2021","Currency=USD","Period=FQ","BEST_FPERIOD_OVERRIDE=FQ","FILING_STATUS=MR","Sort=A","Dates=H","DateFormat=P","Fill=—","Direction=H","UseDPDF=Y")</f>
        <v>—</v>
      </c>
      <c r="P95" s="13" t="str">
        <f>_xll.BDH("GILD US Equity","ARDR_STOCK_BASED_CMPNSTN_IN_COGS","FQ1 2022","FQ1 2022","Currency=USD","Period=FQ","BEST_FPERIOD_OVERRIDE=FQ","FILING_STATUS=MR","Sort=A","Dates=H","DateFormat=P","Fill=—","Direction=H","UseDPDF=Y")</f>
        <v>—</v>
      </c>
      <c r="Q95" s="13">
        <f>_xll.BDH("GILD US Equity","ARDR_STOCK_BASED_CMPNSTN_IN_COGS","FQ2 2022","FQ2 2022","Currency=USD","Period=FQ","BEST_FPERIOD_OVERRIDE=FQ","FILING_STATUS=MR","Sort=A","Dates=H","DateFormat=P","Fill=—","Direction=H","UseDPDF=Y")</f>
        <v>1442</v>
      </c>
      <c r="R95" s="13" t="str">
        <f>_xll.BDH("GILD US Equity","ARDR_STOCK_BASED_CMPNSTN_IN_COGS","FQ3 2022","FQ3 2022","Currency=USD","Period=FQ","BEST_FPERIOD_OVERRIDE=FQ","FILING_STATUS=MR","Sort=A","Dates=H","DateFormat=P","Fill=—","Direction=H","UseDPDF=Y")</f>
        <v>—</v>
      </c>
      <c r="S95" s="13" t="str">
        <f>_xll.BDH("GILD US Equity","ARDR_STOCK_BASED_CMPNSTN_IN_COGS","FQ4 2022","FQ4 2022","Currency=USD","Period=FQ","BEST_FPERIOD_OVERRIDE=FQ","FILING_STATUS=MR","Sort=A","Dates=H","DateFormat=P","Fill=—","Direction=H","UseDPDF=Y")</f>
        <v>—</v>
      </c>
      <c r="T95" s="13" t="str">
        <f>_xll.BDH("GILD US Equity","ARDR_STOCK_BASED_CMPNSTN_IN_COGS","FQ1 2023","FQ1 2023","Currency=USD","Period=FQ","BEST_FPERIOD_OVERRIDE=FQ","FILING_STATUS=MR","Sort=A","Dates=H","DateFormat=P","Fill=—","Direction=H","UseDPDF=Y")</f>
        <v>—</v>
      </c>
      <c r="U95" s="13" t="str">
        <f>_xll.BDH("GILD US Equity","ARDR_STOCK_BASED_CMPNSTN_IN_COGS","FQ2 2023","FQ2 2023","Currency=USD","Period=FQ","BEST_FPERIOD_OVERRIDE=FQ","FILING_STATUS=MR","Sort=A","Dates=H","DateFormat=P","Fill=—","Direction=H","UseDPDF=Y")</f>
        <v>—</v>
      </c>
      <c r="V95" s="13" t="str">
        <f>_xll.BDH("GILD US Equity","ARDR_STOCK_BASED_CMPNSTN_IN_COGS","FQ3 2023","FQ3 2023","Currency=USD","Period=FQ","BEST_FPERIOD_OVERRIDE=FQ","FILING_STATUS=MR","Sort=A","Dates=H","DateFormat=P","Fill=—","Direction=H","UseDPDF=Y")</f>
        <v>—</v>
      </c>
      <c r="W95" s="13" t="str">
        <f>_xll.BDH("GILD US Equity","ARDR_STOCK_BASED_CMPNSTN_IN_COGS","FQ4 2023","FQ4 2023","Currency=USD","Period=FQ","BEST_FPERIOD_OVERRIDE=FQ","FILING_STATUS=MR","Sort=A","Dates=H","DateFormat=P","Fill=—","Direction=H","UseDPDF=Y")</f>
        <v>—</v>
      </c>
      <c r="X95" s="13" t="str">
        <f>_xll.BDH("GILD US Equity","ARDR_STOCK_BASED_CMPNSTN_IN_COGS","FQ1 2024","FQ1 2024","Currency=USD","Period=FQ","BEST_FPERIOD_OVERRIDE=FQ","FILING_STATUS=MR","Sort=A","Dates=H","DateFormat=P","Fill=—","Direction=H","UseDPDF=Y")</f>
        <v>—</v>
      </c>
      <c r="Y95" s="13">
        <f>_xll.BDH("GILD US Equity","ARDR_STOCK_BASED_CMPNSTN_IN_COGS","FQ2 2024","FQ2 2024","Currency=USD","Period=FQ","BEST_FPERIOD_OVERRIDE=FQ","FILING_STATUS=MR","Sort=A","Dates=H","DateFormat=P","Fill=—","Direction=H","UseDPDF=Y")</f>
        <v>1544</v>
      </c>
      <c r="Z95" s="13" t="str">
        <f>_xll.BDH("GILD US Equity","ARDR_STOCK_BASED_CMPNSTN_IN_COGS","FQ3 2024","FQ3 2024","Currency=USD","Period=FQ","BEST_FPERIOD_OVERRIDE=FQ","FILING_STATUS=MR","Sort=A","Dates=H","DateFormat=P","Fill=—","Direction=H","UseDPDF=Y")</f>
        <v>—</v>
      </c>
      <c r="AA95" s="13" t="str">
        <f>_xll.BDH("GILD US Equity","ARDR_STOCK_BASED_CMPNSTN_IN_COGS","FQ4 2024","FQ4 2024","Currency=USD","Period=FQ","BEST_FPERIOD_OVERRIDE=FQ","FILING_STATUS=MR","Sort=A","Dates=H","DateFormat=P","Fill=—","Direction=H","UseDPDF=Y")</f>
        <v>—</v>
      </c>
    </row>
    <row r="96" spans="1:27" x14ac:dyDescent="0.25">
      <c r="A96" s="10" t="s">
        <v>570</v>
      </c>
      <c r="B96" s="10" t="s">
        <v>571</v>
      </c>
      <c r="C96" s="13" t="str">
        <f>_xll.BDH("GILD US Equity","ARDR_NON_GAAP_REVENUE","FQ4 2018","FQ4 2018","Currency=USD","Period=FQ","BEST_FPERIOD_OVERRIDE=FQ","FILING_STATUS=MR","SCALING_FORMAT=MLN","Sort=A","Dates=H","DateFormat=P","Fill=—","Direction=H","UseDPDF=Y")</f>
        <v>—</v>
      </c>
      <c r="D96" s="13" t="str">
        <f>_xll.BDH("GILD US Equity","ARDR_NON_GAAP_REVENUE","FQ1 2019","FQ1 2019","Currency=USD","Period=FQ","BEST_FPERIOD_OVERRIDE=FQ","FILING_STATUS=MR","SCALING_FORMAT=MLN","Sort=A","Dates=H","DateFormat=P","Fill=—","Direction=H","UseDPDF=Y")</f>
        <v>—</v>
      </c>
      <c r="E96" s="13" t="str">
        <f>_xll.BDH("GILD US Equity","ARDR_NON_GAAP_REVENUE","FQ2 2019","FQ2 2019","Currency=USD","Period=FQ","BEST_FPERIOD_OVERRIDE=FQ","FILING_STATUS=MR","SCALING_FORMAT=MLN","Sort=A","Dates=H","DateFormat=P","Fill=—","Direction=H","UseDPDF=Y")</f>
        <v>—</v>
      </c>
      <c r="F96" s="13" t="str">
        <f>_xll.BDH("GILD US Equity","ARDR_NON_GAAP_REVENUE","FQ3 2019","FQ3 2019","Currency=USD","Period=FQ","BEST_FPERIOD_OVERRIDE=FQ","FILING_STATUS=MR","SCALING_FORMAT=MLN","Sort=A","Dates=H","DateFormat=P","Fill=—","Direction=H","UseDPDF=Y")</f>
        <v>—</v>
      </c>
      <c r="G96" s="13" t="str">
        <f>_xll.BDH("GILD US Equity","ARDR_NON_GAAP_REVENUE","FQ4 2019","FQ4 2019","Currency=USD","Period=FQ","BEST_FPERIOD_OVERRIDE=FQ","FILING_STATUS=MR","SCALING_FORMAT=MLN","Sort=A","Dates=H","DateFormat=P","Fill=—","Direction=H","UseDPDF=Y")</f>
        <v>—</v>
      </c>
      <c r="H96" s="13" t="str">
        <f>_xll.BDH("GILD US Equity","ARDR_NON_GAAP_REVENUE","FQ1 2020","FQ1 2020","Currency=USD","Period=FQ","BEST_FPERIOD_OVERRIDE=FQ","FILING_STATUS=MR","SCALING_FORMAT=MLN","Sort=A","Dates=H","DateFormat=P","Fill=—","Direction=H","UseDPDF=Y")</f>
        <v>—</v>
      </c>
      <c r="I96" s="13" t="str">
        <f>_xll.BDH("GILD US Equity","ARDR_NON_GAAP_REVENUE","FQ2 2020","FQ2 2020","Currency=USD","Period=FQ","BEST_FPERIOD_OVERRIDE=FQ","FILING_STATUS=MR","SCALING_FORMAT=MLN","Sort=A","Dates=H","DateFormat=P","Fill=—","Direction=H","UseDPDF=Y")</f>
        <v>—</v>
      </c>
      <c r="J96" s="13" t="str">
        <f>_xll.BDH("GILD US Equity","ARDR_NON_GAAP_REVENUE","FQ3 2020","FQ3 2020","Currency=USD","Period=FQ","BEST_FPERIOD_OVERRIDE=FQ","FILING_STATUS=MR","SCALING_FORMAT=MLN","Sort=A","Dates=H","DateFormat=P","Fill=—","Direction=H","UseDPDF=Y")</f>
        <v>—</v>
      </c>
      <c r="K96" s="13">
        <f>_xll.BDH("GILD US Equity","ARDR_NON_GAAP_REVENUE","FQ4 2020","FQ4 2020","Currency=USD","Period=FQ","BEST_FPERIOD_OVERRIDE=FQ","FILING_STATUS=MR","SCALING_FORMAT=MLN","Sort=A","Dates=H","DateFormat=P","Fill=—","Direction=H","UseDPDF=Y")</f>
        <v>7421</v>
      </c>
      <c r="L96" s="13">
        <f>_xll.BDH("GILD US Equity","ARDR_NON_GAAP_REVENUE","FQ1 2021","FQ1 2021","Currency=USD","Period=FQ","BEST_FPERIOD_OVERRIDE=FQ","FILING_STATUS=MR","SCALING_FORMAT=MLN","Sort=A","Dates=H","DateFormat=P","Fill=—","Direction=H","UseDPDF=Y")</f>
        <v>6423</v>
      </c>
      <c r="M96" s="13">
        <f>_xll.BDH("GILD US Equity","ARDR_NON_GAAP_REVENUE","FQ2 2021","FQ2 2021","Currency=USD","Period=FQ","BEST_FPERIOD_OVERRIDE=FQ","FILING_STATUS=MR","SCALING_FORMAT=MLN","Sort=A","Dates=H","DateFormat=P","Fill=—","Direction=H","UseDPDF=Y")</f>
        <v>6217</v>
      </c>
      <c r="N96" s="13">
        <f>_xll.BDH("GILD US Equity","ARDR_NON_GAAP_REVENUE","FQ3 2021","FQ3 2021","Currency=USD","Period=FQ","BEST_FPERIOD_OVERRIDE=FQ","FILING_STATUS=MR","SCALING_FORMAT=MLN","Sort=A","Dates=H","DateFormat=P","Fill=—","Direction=H","UseDPDF=Y")</f>
        <v>7421</v>
      </c>
      <c r="O96" s="13">
        <f>_xll.BDH("GILD US Equity","ARDR_NON_GAAP_REVENUE","FQ4 2021","FQ4 2021","Currency=USD","Period=FQ","BEST_FPERIOD_OVERRIDE=FQ","FILING_STATUS=MR","SCALING_FORMAT=MLN","Sort=A","Dates=H","DateFormat=P","Fill=—","Direction=H","UseDPDF=Y")</f>
        <v>7244</v>
      </c>
      <c r="P96" s="13">
        <f>_xll.BDH("GILD US Equity","ARDR_NON_GAAP_REVENUE","FQ1 2022","FQ1 2022","Currency=USD","Period=FQ","BEST_FPERIOD_OVERRIDE=FQ","FILING_STATUS=MR","SCALING_FORMAT=MLN","Sort=A","Dates=H","DateFormat=P","Fill=—","Direction=H","UseDPDF=Y")</f>
        <v>6590</v>
      </c>
      <c r="Q96" s="13">
        <f>_xll.BDH("GILD US Equity","ARDR_NON_GAAP_REVENUE","FQ2 2022","FQ2 2022","Currency=USD","Period=FQ","BEST_FPERIOD_OVERRIDE=FQ","FILING_STATUS=MR","SCALING_FORMAT=MLN","Sort=A","Dates=H","DateFormat=P","Fill=—","Direction=H","UseDPDF=Y")</f>
        <v>6260</v>
      </c>
      <c r="R96" s="13">
        <f>_xll.BDH("GILD US Equity","ARDR_NON_GAAP_REVENUE","FQ3 2022","FQ3 2022","Currency=USD","Period=FQ","BEST_FPERIOD_OVERRIDE=FQ","FILING_STATUS=MR","SCALING_FORMAT=MLN","Sort=A","Dates=H","DateFormat=P","Fill=—","Direction=H","UseDPDF=Y")</f>
        <v>7042</v>
      </c>
      <c r="S96" s="13">
        <f>_xll.BDH("GILD US Equity","ARDR_NON_GAAP_REVENUE","FQ4 2022","FQ4 2022","Currency=USD","Period=FQ","BEST_FPERIOD_OVERRIDE=FQ","FILING_STATUS=MR","SCALING_FORMAT=MLN","Sort=A","Dates=H","DateFormat=P","Fill=—","Direction=H","UseDPDF=Y")</f>
        <v>7389</v>
      </c>
      <c r="T96" s="13">
        <f>_xll.BDH("GILD US Equity","ARDR_NON_GAAP_REVENUE","FQ1 2023","FQ1 2023","Currency=USD","Period=FQ","BEST_FPERIOD_OVERRIDE=FQ","FILING_STATUS=MR","SCALING_FORMAT=MLN","Sort=A","Dates=H","DateFormat=P","Fill=—","Direction=H","UseDPDF=Y")</f>
        <v>6352</v>
      </c>
      <c r="U96" s="13">
        <f>_xll.BDH("GILD US Equity","ARDR_NON_GAAP_REVENUE","FQ2 2023","FQ2 2023","Currency=USD","Period=FQ","BEST_FPERIOD_OVERRIDE=FQ","FILING_STATUS=MR","SCALING_FORMAT=MLN","Sort=A","Dates=H","DateFormat=P","Fill=—","Direction=H","UseDPDF=Y")</f>
        <v>6599</v>
      </c>
      <c r="V96" s="13">
        <f>_xll.BDH("GILD US Equity","ARDR_NON_GAAP_REVENUE","FQ3 2023","FQ3 2023","Currency=USD","Period=FQ","BEST_FPERIOD_OVERRIDE=FQ","FILING_STATUS=MR","SCALING_FORMAT=MLN","Sort=A","Dates=H","DateFormat=P","Fill=—","Direction=H","UseDPDF=Y")</f>
        <v>7051</v>
      </c>
      <c r="W96" s="13">
        <f>_xll.BDH("GILD US Equity","ARDR_NON_GAAP_REVENUE","FQ4 2023","FQ4 2023","Currency=USD","Period=FQ","BEST_FPERIOD_OVERRIDE=FQ","FILING_STATUS=MR","SCALING_FORMAT=MLN","Sort=A","Dates=H","DateFormat=P","Fill=—","Direction=H","UseDPDF=Y")</f>
        <v>7115</v>
      </c>
      <c r="X96" s="13" t="str">
        <f>_xll.BDH("GILD US Equity","ARDR_NON_GAAP_REVENUE","FQ1 2024","FQ1 2024","Currency=USD","Period=FQ","BEST_FPERIOD_OVERRIDE=FQ","FILING_STATUS=MR","SCALING_FORMAT=MLN","Sort=A","Dates=H","DateFormat=P","Fill=—","Direction=H","UseDPDF=Y")</f>
        <v>—</v>
      </c>
      <c r="Y96" s="13">
        <f>_xll.BDH("GILD US Equity","ARDR_NON_GAAP_REVENUE","FQ2 2024","FQ2 2024","Currency=USD","Period=FQ","BEST_FPERIOD_OVERRIDE=FQ","FILING_STATUS=MR","SCALING_FORMAT=MLN","Sort=A","Dates=H","DateFormat=P","Fill=—","Direction=H","UseDPDF=Y")</f>
        <v>6954</v>
      </c>
      <c r="Z96" s="13">
        <f>_xll.BDH("GILD US Equity","ARDR_NON_GAAP_REVENUE","FQ3 2024","FQ3 2024","Currency=USD","Period=FQ","BEST_FPERIOD_OVERRIDE=FQ","FILING_STATUS=MR","SCALING_FORMAT=MLN","Sort=A","Dates=H","DateFormat=P","Fill=—","Direction=H","UseDPDF=Y")</f>
        <v>7545</v>
      </c>
      <c r="AA96" s="13">
        <f>_xll.BDH("GILD US Equity","ARDR_NON_GAAP_REVENUE","FQ4 2024","FQ4 2024","Currency=USD","Period=FQ","BEST_FPERIOD_OVERRIDE=FQ","FILING_STATUS=MR","SCALING_FORMAT=MLN","Sort=A","Dates=H","DateFormat=P","Fill=—","Direction=H","UseDPDF=Y")</f>
        <v>7569</v>
      </c>
    </row>
    <row r="97" spans="1:27" x14ac:dyDescent="0.25">
      <c r="A97" s="10" t="s">
        <v>572</v>
      </c>
      <c r="B97" s="10" t="s">
        <v>573</v>
      </c>
      <c r="C97" s="13">
        <f>_xll.BDH("GILD US Equity","ARDR_NON_GAAP_COST_OF_SALES","FQ4 2018","FQ4 2018","Currency=USD","Period=FQ","BEST_FPERIOD_OVERRIDE=FQ","FILING_STATUS=MR","SCALING_FORMAT=MLN","Sort=A","Dates=H","DateFormat=P","Fill=—","Direction=H","UseDPDF=Y")</f>
        <v>1257</v>
      </c>
      <c r="D97" s="13">
        <f>_xll.BDH("GILD US Equity","ARDR_NON_GAAP_COST_OF_SALES","FQ1 2019","FQ1 2019","Currency=USD","Period=FQ","BEST_FPERIOD_OVERRIDE=FQ","FILING_STATUS=MR","SCALING_FORMAT=MLN","Sort=A","Dates=H","DateFormat=P","Fill=—","Direction=H","UseDPDF=Y")</f>
        <v>660</v>
      </c>
      <c r="E97" s="13">
        <f>_xll.BDH("GILD US Equity","ARDR_NON_GAAP_COST_OF_SALES","FQ2 2019","FQ2 2019","Currency=USD","Period=FQ","BEST_FPERIOD_OVERRIDE=FQ","FILING_STATUS=MR","SCALING_FORMAT=MLN","Sort=A","Dates=H","DateFormat=P","Fill=—","Direction=H","UseDPDF=Y")</f>
        <v>714</v>
      </c>
      <c r="F97" s="13">
        <f>_xll.BDH("GILD US Equity","ARDR_NON_GAAP_COST_OF_SALES","FQ3 2019","FQ3 2019","Currency=USD","Period=FQ","BEST_FPERIOD_OVERRIDE=FQ","FILING_STATUS=MR","SCALING_FORMAT=MLN","Sort=A","Dates=H","DateFormat=P","Fill=—","Direction=H","UseDPDF=Y")</f>
        <v>769</v>
      </c>
      <c r="G97" s="13">
        <f>_xll.BDH("GILD US Equity","ARDR_NON_GAAP_COST_OF_SALES","FQ4 2019","FQ4 2019","Currency=USD","Period=FQ","BEST_FPERIOD_OVERRIDE=FQ","FILING_STATUS=MR","SCALING_FORMAT=MLN","Sort=A","Dates=H","DateFormat=P","Fill=—","Direction=H","UseDPDF=Y")</f>
        <v>1406</v>
      </c>
      <c r="H97" s="13">
        <f>_xll.BDH("GILD US Equity","ARDR_NON_GAAP_COST_OF_SALES","FQ1 2020","FQ1 2020","Currency=USD","Period=FQ","BEST_FPERIOD_OVERRIDE=FQ","FILING_STATUS=MR","SCALING_FORMAT=MLN","Sort=A","Dates=H","DateFormat=P","Fill=—","Direction=H","UseDPDF=Y")</f>
        <v>703</v>
      </c>
      <c r="I97" s="13">
        <f>_xll.BDH("GILD US Equity","ARDR_NON_GAAP_COST_OF_SALES","FQ2 2020","FQ2 2020","Currency=USD","Period=FQ","BEST_FPERIOD_OVERRIDE=FQ","FILING_STATUS=MR","SCALING_FORMAT=MLN","Sort=A","Dates=H","DateFormat=P","Fill=—","Direction=H","UseDPDF=Y")</f>
        <v>798</v>
      </c>
      <c r="J97" s="13">
        <f>_xll.BDH("GILD US Equity","ARDR_NON_GAAP_COST_OF_SALES","FQ3 2020","FQ3 2020","Currency=USD","Period=FQ","BEST_FPERIOD_OVERRIDE=FQ","FILING_STATUS=MR","SCALING_FORMAT=MLN","Sort=A","Dates=H","DateFormat=P","Fill=—","Direction=H","UseDPDF=Y")</f>
        <v>875</v>
      </c>
      <c r="K97" s="13">
        <f>_xll.BDH("GILD US Equity","ARDR_NON_GAAP_COST_OF_SALES","FQ4 2020","FQ4 2020","Currency=USD","Period=FQ","BEST_FPERIOD_OVERRIDE=FQ","FILING_STATUS=MR","SCALING_FORMAT=MLN","Sort=A","Dates=H","DateFormat=P","Fill=—","Direction=H","UseDPDF=Y")</f>
        <v>918</v>
      </c>
      <c r="L97" s="13">
        <f>_xll.BDH("GILD US Equity","ARDR_NON_GAAP_COST_OF_SALES","FQ1 2021","FQ1 2021","Currency=USD","Period=FQ","BEST_FPERIOD_OVERRIDE=FQ","FILING_STATUS=MR","SCALING_FORMAT=MLN","Sort=A","Dates=H","DateFormat=P","Fill=—","Direction=H","UseDPDF=Y")</f>
        <v>855</v>
      </c>
      <c r="M97" s="13">
        <f>_xll.BDH("GILD US Equity","ARDR_NON_GAAP_COST_OF_SALES","FQ2 2021","FQ2 2021","Currency=USD","Period=FQ","BEST_FPERIOD_OVERRIDE=FQ","FILING_STATUS=MR","SCALING_FORMAT=MLN","Sort=A","Dates=H","DateFormat=P","Fill=—","Direction=H","UseDPDF=Y")</f>
        <v>836</v>
      </c>
      <c r="N97" s="13">
        <f>_xll.BDH("GILD US Equity","ARDR_NON_GAAP_COST_OF_SALES","FQ3 2021","FQ3 2021","Currency=USD","Period=FQ","BEST_FPERIOD_OVERRIDE=FQ","FILING_STATUS=MR","SCALING_FORMAT=MLN","Sort=A","Dates=H","DateFormat=P","Fill=—","Direction=H","UseDPDF=Y")</f>
        <v>736</v>
      </c>
      <c r="O97" s="13">
        <f>_xll.BDH("GILD US Equity","ARDR_NON_GAAP_COST_OF_SALES","FQ4 2021","FQ4 2021","Currency=USD","Period=FQ","BEST_FPERIOD_OVERRIDE=FQ","FILING_STATUS=MR","SCALING_FORMAT=MLN","Sort=A","Dates=H","DateFormat=P","Fill=—","Direction=H","UseDPDF=Y")</f>
        <v>2111</v>
      </c>
      <c r="P97" s="13">
        <f>_xll.BDH("GILD US Equity","ARDR_NON_GAAP_COST_OF_SALES","FQ1 2022","FQ1 2022","Currency=USD","Period=FQ","BEST_FPERIOD_OVERRIDE=FQ","FILING_STATUS=MR","SCALING_FORMAT=MLN","Sort=A","Dates=H","DateFormat=P","Fill=—","Direction=H","UseDPDF=Y")</f>
        <v>825</v>
      </c>
      <c r="Q97" s="13">
        <f>_xll.BDH("GILD US Equity","ARDR_NON_GAAP_COST_OF_SALES","FQ2 2022","FQ2 2022","Currency=USD","Period=FQ","BEST_FPERIOD_OVERRIDE=FQ","FILING_STATUS=MR","SCALING_FORMAT=MLN","Sort=A","Dates=H","DateFormat=P","Fill=—","Direction=H","UseDPDF=Y")</f>
        <v>886</v>
      </c>
      <c r="R97" s="13">
        <f>_xll.BDH("GILD US Equity","ARDR_NON_GAAP_COST_OF_SALES","FQ3 2022","FQ3 2022","Currency=USD","Period=FQ","BEST_FPERIOD_OVERRIDE=FQ","FILING_STATUS=MR","SCALING_FORMAT=MLN","Sort=A","Dates=H","DateFormat=P","Fill=—","Direction=H","UseDPDF=Y")</f>
        <v>923</v>
      </c>
      <c r="S97" s="13">
        <f>_xll.BDH("GILD US Equity","ARDR_NON_GAAP_COST_OF_SALES","FQ4 2022","FQ4 2022","Currency=USD","Period=FQ","BEST_FPERIOD_OVERRIDE=FQ","FILING_STATUS=MR","SCALING_FORMAT=MLN","Sort=A","Dates=H","DateFormat=P","Fill=—","Direction=H","UseDPDF=Y")</f>
        <v>968</v>
      </c>
      <c r="T97" s="13">
        <f>_xll.BDH("GILD US Equity","ARDR_NON_GAAP_COST_OF_SALES","FQ1 2023","FQ1 2023","Currency=USD","Period=FQ","BEST_FPERIOD_OVERRIDE=FQ","FILING_STATUS=MR","SCALING_FORMAT=MLN","Sort=A","Dates=H","DateFormat=P","Fill=—","Direction=H","UseDPDF=Y")</f>
        <v>871</v>
      </c>
      <c r="U97" s="13">
        <f>_xll.BDH("GILD US Equity","ARDR_NON_GAAP_COST_OF_SALES","FQ2 2023","FQ2 2023","Currency=USD","Period=FQ","BEST_FPERIOD_OVERRIDE=FQ","FILING_STATUS=MR","SCALING_FORMAT=MLN","Sort=A","Dates=H","DateFormat=P","Fill=—","Direction=H","UseDPDF=Y")</f>
        <v>861</v>
      </c>
      <c r="V97" s="13">
        <f>_xll.BDH("GILD US Equity","ARDR_NON_GAAP_COST_OF_SALES","FQ3 2023","FQ3 2023","Currency=USD","Period=FQ","BEST_FPERIOD_OVERRIDE=FQ","FILING_STATUS=MR","SCALING_FORMAT=MLN","Sort=A","Dates=H","DateFormat=P","Fill=—","Direction=H","UseDPDF=Y")</f>
        <v>985</v>
      </c>
      <c r="W97" s="13">
        <f>_xll.BDH("GILD US Equity","ARDR_NON_GAAP_COST_OF_SALES","FQ4 2023","FQ4 2023","Currency=USD","Period=FQ","BEST_FPERIOD_OVERRIDE=FQ","FILING_STATUS=MR","SCALING_FORMAT=MLN","Sort=A","Dates=H","DateFormat=P","Fill=—","Direction=H","UseDPDF=Y")</f>
        <v>980</v>
      </c>
      <c r="X97" s="13">
        <f>_xll.BDH("GILD US Equity","ARDR_NON_GAAP_COST_OF_SALES","FQ1 2024","FQ1 2024","Currency=USD","Period=FQ","BEST_FPERIOD_OVERRIDE=FQ","FILING_STATUS=MR","SCALING_FORMAT=MLN","Sort=A","Dates=H","DateFormat=P","Fill=—","Direction=H","UseDPDF=Y")</f>
        <v>974</v>
      </c>
      <c r="Y97" s="13">
        <f>_xll.BDH("GILD US Equity","ARDR_NON_GAAP_COST_OF_SALES","FQ2 2024","FQ2 2024","Currency=USD","Period=FQ","BEST_FPERIOD_OVERRIDE=FQ","FILING_STATUS=MR","SCALING_FORMAT=MLN","Sort=A","Dates=H","DateFormat=P","Fill=—","Direction=H","UseDPDF=Y")</f>
        <v>965</v>
      </c>
      <c r="Z97" s="13">
        <f>_xll.BDH("GILD US Equity","ARDR_NON_GAAP_COST_OF_SALES","FQ3 2024","FQ3 2024","Currency=USD","Period=FQ","BEST_FPERIOD_OVERRIDE=FQ","FILING_STATUS=MR","SCALING_FORMAT=MLN","Sort=A","Dates=H","DateFormat=P","Fill=—","Direction=H","UseDPDF=Y")</f>
        <v>995</v>
      </c>
      <c r="AA97" s="13">
        <f>_xll.BDH("GILD US Equity","ARDR_NON_GAAP_COST_OF_SALES","FQ4 2024","FQ4 2024","Currency=USD","Period=FQ","BEST_FPERIOD_OVERRIDE=FQ","FILING_STATUS=MR","SCALING_FORMAT=MLN","Sort=A","Dates=H","DateFormat=P","Fill=—","Direction=H","UseDPDF=Y")</f>
        <v>1002</v>
      </c>
    </row>
    <row r="98" spans="1:27" x14ac:dyDescent="0.25">
      <c r="A98" s="10" t="s">
        <v>574</v>
      </c>
      <c r="B98" s="10" t="s">
        <v>575</v>
      </c>
      <c r="C98" s="14">
        <f>_xll.BDH("GILD US Equity","ARDR_NON_GAAP_GROSS_MARGIN_PCT","FQ4 2018","FQ4 2018","Currency=USD","Period=FQ","BEST_FPERIOD_OVERRIDE=FQ","FILING_STATUS=MR","Sort=A","Dates=H","DateFormat=P","Fill=—","Direction=H","UseDPDF=Y")</f>
        <v>77.900000000000006</v>
      </c>
      <c r="D98" s="14">
        <f>_xll.BDH("GILD US Equity","ARDR_NON_GAAP_GROSS_MARGIN_PCT","FQ1 2019","FQ1 2019","Currency=USD","Period=FQ","BEST_FPERIOD_OVERRIDE=FQ","FILING_STATUS=MR","Sort=A","Dates=H","DateFormat=P","Fill=—","Direction=H","UseDPDF=Y")</f>
        <v>87.3</v>
      </c>
      <c r="E98" s="14">
        <f>_xll.BDH("GILD US Equity","ARDR_NON_GAAP_GROSS_MARGIN_PCT","FQ2 2019","FQ2 2019","Currency=USD","Period=FQ","BEST_FPERIOD_OVERRIDE=FQ","FILING_STATUS=MR","Sort=A","Dates=H","DateFormat=P","Fill=—","Direction=H","UseDPDF=Y")</f>
        <v>87.3</v>
      </c>
      <c r="F98" s="14">
        <f>_xll.BDH("GILD US Equity","ARDR_NON_GAAP_GROSS_MARGIN_PCT","FQ3 2019","FQ3 2019","Currency=USD","Period=FQ","BEST_FPERIOD_OVERRIDE=FQ","FILING_STATUS=MR","Sort=A","Dates=H","DateFormat=P","Fill=—","Direction=H","UseDPDF=Y")</f>
        <v>86.1</v>
      </c>
      <c r="G98" s="14">
        <f>_xll.BDH("GILD US Equity","ARDR_NON_GAAP_GROSS_MARGIN_PCT","FQ4 2019","FQ4 2019","Currency=USD","Period=FQ","BEST_FPERIOD_OVERRIDE=FQ","FILING_STATUS=MR","Sort=A","Dates=H","DateFormat=P","Fill=—","Direction=H","UseDPDF=Y")</f>
        <v>75.7</v>
      </c>
      <c r="H98" s="14">
        <f>_xll.BDH("GILD US Equity","ARDR_NON_GAAP_GROSS_MARGIN_PCT","FQ1 2020","FQ1 2020","Currency=USD","Period=FQ","BEST_FPERIOD_OVERRIDE=FQ","FILING_STATUS=MR","Sort=A","Dates=H","DateFormat=P","Fill=—","Direction=H","UseDPDF=Y")</f>
        <v>87.1</v>
      </c>
      <c r="I98" s="14">
        <f>_xll.BDH("GILD US Equity","ARDR_NON_GAAP_GROSS_MARGIN_PCT","FQ2 2020","FQ2 2020","Currency=USD","Period=FQ","BEST_FPERIOD_OVERRIDE=FQ","FILING_STATUS=MR","Sort=A","Dates=H","DateFormat=P","Fill=—","Direction=H","UseDPDF=Y")</f>
        <v>84.3</v>
      </c>
      <c r="J98" s="14">
        <f>_xll.BDH("GILD US Equity","ARDR_NON_GAAP_GROSS_MARGIN_PCT","FQ3 2020","FQ3 2020","Currency=USD","Period=FQ","BEST_FPERIOD_OVERRIDE=FQ","FILING_STATUS=MR","Sort=A","Dates=H","DateFormat=P","Fill=—","Direction=H","UseDPDF=Y")</f>
        <v>86.5</v>
      </c>
      <c r="K98" s="14">
        <f>_xll.BDH("GILD US Equity","ARDR_NON_GAAP_GROSS_MARGIN_PCT","FQ4 2020","FQ4 2020","Currency=USD","Period=FQ","BEST_FPERIOD_OVERRIDE=FQ","FILING_STATUS=MR","Sort=A","Dates=H","DateFormat=P","Fill=—","Direction=H","UseDPDF=Y")</f>
        <v>87.5</v>
      </c>
      <c r="L98" s="14">
        <f>_xll.BDH("GILD US Equity","ARDR_NON_GAAP_GROSS_MARGIN_PCT","FQ1 2021","FQ1 2021","Currency=USD","Period=FQ","BEST_FPERIOD_OVERRIDE=FQ","FILING_STATUS=MR","Sort=A","Dates=H","DateFormat=P","Fill=—","Direction=H","UseDPDF=Y")</f>
        <v>86.5</v>
      </c>
      <c r="M98" s="14">
        <f>_xll.BDH("GILD US Equity","ARDR_NON_GAAP_GROSS_MARGIN_PCT","FQ2 2021","FQ2 2021","Currency=USD","Period=FQ","BEST_FPERIOD_OVERRIDE=FQ","FILING_STATUS=MR","Sort=A","Dates=H","DateFormat=P","Fill=—","Direction=H","UseDPDF=Y")</f>
        <v>86.4</v>
      </c>
      <c r="N98" s="14">
        <f>_xll.BDH("GILD US Equity","ARDR_NON_GAAP_GROSS_MARGIN_PCT","FQ3 2021","FQ3 2021","Currency=USD","Period=FQ","BEST_FPERIOD_OVERRIDE=FQ","FILING_STATUS=MR","Sort=A","Dates=H","DateFormat=P","Fill=—","Direction=H","UseDPDF=Y")</f>
        <v>90</v>
      </c>
      <c r="O98" s="14">
        <f>_xll.BDH("GILD US Equity","ARDR_NON_GAAP_GROSS_MARGIN_PCT","FQ4 2021","FQ4 2021","Currency=USD","Period=FQ","BEST_FPERIOD_OVERRIDE=FQ","FILING_STATUS=MR","Sort=A","Dates=H","DateFormat=P","Fill=—","Direction=H","UseDPDF=Y")</f>
        <v>70.5</v>
      </c>
      <c r="P98" s="14">
        <f>_xll.BDH("GILD US Equity","ARDR_NON_GAAP_GROSS_MARGIN_PCT","FQ1 2022","FQ1 2022","Currency=USD","Period=FQ","BEST_FPERIOD_OVERRIDE=FQ","FILING_STATUS=MR","Sort=A","Dates=H","DateFormat=P","Fill=—","Direction=H","UseDPDF=Y")</f>
        <v>87.4</v>
      </c>
      <c r="Q98" s="14">
        <f>_xll.BDH("GILD US Equity","ARDR_NON_GAAP_GROSS_MARGIN_PCT","FQ2 2022","FQ2 2022","Currency=USD","Period=FQ","BEST_FPERIOD_OVERRIDE=FQ","FILING_STATUS=MR","Sort=A","Dates=H","DateFormat=P","Fill=—","Direction=H","UseDPDF=Y")</f>
        <v>85.6</v>
      </c>
      <c r="R98" s="14">
        <f>_xll.BDH("GILD US Equity","ARDR_NON_GAAP_GROSS_MARGIN_PCT","FQ3 2022","FQ3 2022","Currency=USD","Period=FQ","BEST_FPERIOD_OVERRIDE=FQ","FILING_STATUS=MR","Sort=A","Dates=H","DateFormat=P","Fill=—","Direction=H","UseDPDF=Y")</f>
        <v>86.8</v>
      </c>
      <c r="S98" s="14">
        <f>_xll.BDH("GILD US Equity","ARDR_NON_GAAP_GROSS_MARGIN_PCT","FQ4 2022","FQ4 2022","Currency=USD","Period=FQ","BEST_FPERIOD_OVERRIDE=FQ","FILING_STATUS=MR","Sort=A","Dates=H","DateFormat=P","Fill=—","Direction=H","UseDPDF=Y")</f>
        <v>86.8</v>
      </c>
      <c r="T98" s="14">
        <f>_xll.BDH("GILD US Equity","ARDR_NON_GAAP_GROSS_MARGIN_PCT","FQ1 2023","FQ1 2023","Currency=USD","Period=FQ","BEST_FPERIOD_OVERRIDE=FQ","FILING_STATUS=MR","Sort=A","Dates=H","DateFormat=P","Fill=—","Direction=H","UseDPDF=Y")</f>
        <v>86.2</v>
      </c>
      <c r="U98" s="14">
        <f>_xll.BDH("GILD US Equity","ARDR_NON_GAAP_GROSS_MARGIN_PCT","FQ2 2023","FQ2 2023","Currency=USD","Period=FQ","BEST_FPERIOD_OVERRIDE=FQ","FILING_STATUS=MR","Sort=A","Dates=H","DateFormat=P","Fill=—","Direction=H","UseDPDF=Y")</f>
        <v>86.9</v>
      </c>
      <c r="V98" s="14">
        <f>_xll.BDH("GILD US Equity","ARDR_NON_GAAP_GROSS_MARGIN_PCT","FQ3 2023","FQ3 2023","Currency=USD","Period=FQ","BEST_FPERIOD_OVERRIDE=FQ","FILING_STATUS=MR","Sort=A","Dates=H","DateFormat=P","Fill=—","Direction=H","UseDPDF=Y")</f>
        <v>85.9</v>
      </c>
      <c r="W98" s="14">
        <f>_xll.BDH("GILD US Equity","ARDR_NON_GAAP_GROSS_MARGIN_PCT","FQ4 2023","FQ4 2023","Currency=USD","Period=FQ","BEST_FPERIOD_OVERRIDE=FQ","FILING_STATUS=MR","Sort=A","Dates=H","DateFormat=P","Fill=—","Direction=H","UseDPDF=Y")</f>
        <v>86.1</v>
      </c>
      <c r="X98" s="14">
        <f>_xll.BDH("GILD US Equity","ARDR_NON_GAAP_GROSS_MARGIN_PCT","FQ1 2024","FQ1 2024","Currency=USD","Period=FQ","BEST_FPERIOD_OVERRIDE=FQ","FILING_STATUS=MR","Sort=A","Dates=H","DateFormat=P","Fill=—","Direction=H","UseDPDF=Y")</f>
        <v>85.4</v>
      </c>
      <c r="Y98" s="14">
        <f>_xll.BDH("GILD US Equity","ARDR_NON_GAAP_GROSS_MARGIN_PCT","FQ2 2024","FQ2 2024","Currency=USD","Period=FQ","BEST_FPERIOD_OVERRIDE=FQ","FILING_STATUS=MR","Sort=A","Dates=H","DateFormat=P","Fill=—","Direction=H","UseDPDF=Y")</f>
        <v>86</v>
      </c>
      <c r="Z98" s="14">
        <f>_xll.BDH("GILD US Equity","ARDR_NON_GAAP_GROSS_MARGIN_PCT","FQ3 2024","FQ3 2024","Currency=USD","Period=FQ","BEST_FPERIOD_OVERRIDE=FQ","FILING_STATUS=MR","Sort=A","Dates=H","DateFormat=P","Fill=—","Direction=H","UseDPDF=Y")</f>
        <v>86.8</v>
      </c>
      <c r="AA98" s="14">
        <f>_xll.BDH("GILD US Equity","ARDR_NON_GAAP_GROSS_MARGIN_PCT","FQ4 2024","FQ4 2024","Currency=USD","Period=FQ","BEST_FPERIOD_OVERRIDE=FQ","FILING_STATUS=MR","Sort=A","Dates=H","DateFormat=P","Fill=—","Direction=H","UseDPDF=Y")</f>
        <v>86.7</v>
      </c>
    </row>
    <row r="99" spans="1:27" x14ac:dyDescent="0.25">
      <c r="A99" s="10" t="s">
        <v>576</v>
      </c>
      <c r="B99" s="10" t="s">
        <v>577</v>
      </c>
      <c r="C99" s="13">
        <f>_xll.BDH("GILD US Equity","ARDR_NON_GAAP_SG&amp;A","FQ4 2018","FQ4 2018","Currency=USD","Period=FQ","BEST_FPERIOD_OVERRIDE=FQ","FILING_STATUS=MR","SCALING_FORMAT=MLN","Sort=A","Dates=H","DateFormat=P","Fill=—","Direction=H","UseDPDF=Y")</f>
        <v>1032</v>
      </c>
      <c r="D99" s="13">
        <f>_xll.BDH("GILD US Equity","ARDR_NON_GAAP_SG&amp;A","FQ1 2019","FQ1 2019","Currency=USD","Period=FQ","BEST_FPERIOD_OVERRIDE=FQ","FILING_STATUS=MR","SCALING_FORMAT=MLN","Sort=A","Dates=H","DateFormat=P","Fill=—","Direction=H","UseDPDF=Y")</f>
        <v>962</v>
      </c>
      <c r="E99" s="13">
        <f>_xll.BDH("GILD US Equity","ARDR_NON_GAAP_SG&amp;A","FQ2 2019","FQ2 2019","Currency=USD","Period=FQ","BEST_FPERIOD_OVERRIDE=FQ","FILING_STATUS=MR","SCALING_FORMAT=MLN","Sort=A","Dates=H","DateFormat=P","Fill=—","Direction=H","UseDPDF=Y")</f>
        <v>1015</v>
      </c>
      <c r="F99" s="13">
        <f>_xll.BDH("GILD US Equity","ARDR_NON_GAAP_SG&amp;A","FQ3 2019","FQ3 2019","Currency=USD","Period=FQ","BEST_FPERIOD_OVERRIDE=FQ","FILING_STATUS=MR","SCALING_FORMAT=MLN","Sort=A","Dates=H","DateFormat=P","Fill=—","Direction=H","UseDPDF=Y")</f>
        <v>1045</v>
      </c>
      <c r="G99" s="13">
        <f>_xll.BDH("GILD US Equity","ARDR_NON_GAAP_SG&amp;A","FQ4 2019","FQ4 2019","Currency=USD","Period=FQ","BEST_FPERIOD_OVERRIDE=FQ","FILING_STATUS=MR","SCALING_FORMAT=MLN","Sort=A","Dates=H","DateFormat=P","Fill=—","Direction=H","UseDPDF=Y")</f>
        <v>1132</v>
      </c>
      <c r="H99" s="13">
        <f>_xll.BDH("GILD US Equity","ARDR_NON_GAAP_SG&amp;A","FQ1 2020","FQ1 2020","Currency=USD","Period=FQ","BEST_FPERIOD_OVERRIDE=FQ","FILING_STATUS=MR","SCALING_FORMAT=MLN","Sort=A","Dates=H","DateFormat=P","Fill=—","Direction=H","UseDPDF=Y")</f>
        <v>1076</v>
      </c>
      <c r="I99" s="13">
        <f>_xll.BDH("GILD US Equity","ARDR_NON_GAAP_SG&amp;A","FQ2 2020","FQ2 2020","Currency=USD","Period=FQ","BEST_FPERIOD_OVERRIDE=FQ","FILING_STATUS=MR","SCALING_FORMAT=MLN","Sort=A","Dates=H","DateFormat=P","Fill=—","Direction=H","UseDPDF=Y")</f>
        <v>1164</v>
      </c>
      <c r="J99" s="13">
        <f>_xll.BDH("GILD US Equity","ARDR_NON_GAAP_SG&amp;A","FQ3 2020","FQ3 2020","Currency=USD","Period=FQ","BEST_FPERIOD_OVERRIDE=FQ","FILING_STATUS=MR","SCALING_FORMAT=MLN","Sort=A","Dates=H","DateFormat=P","Fill=—","Direction=H","UseDPDF=Y")</f>
        <v>1095</v>
      </c>
      <c r="K99" s="13">
        <f>_xll.BDH("GILD US Equity","ARDR_NON_GAAP_SG&amp;A","FQ4 2020","FQ4 2020","Currency=USD","Period=FQ","BEST_FPERIOD_OVERRIDE=FQ","FILING_STATUS=MR","SCALING_FORMAT=MLN","Sort=A","Dates=H","DateFormat=P","Fill=—","Direction=H","UseDPDF=Y")</f>
        <v>1499</v>
      </c>
      <c r="L99" s="13">
        <f>_xll.BDH("GILD US Equity","ARDR_NON_GAAP_SG&amp;A","FQ1 2021","FQ1 2021","Currency=USD","Period=FQ","BEST_FPERIOD_OVERRIDE=FQ","FILING_STATUS=MR","SCALING_FORMAT=MLN","Sort=A","Dates=H","DateFormat=P","Fill=—","Direction=H","UseDPDF=Y")</f>
        <v>1033</v>
      </c>
      <c r="M99" s="13">
        <f>_xll.BDH("GILD US Equity","ARDR_NON_GAAP_SG&amp;A","FQ2 2021","FQ2 2021","Currency=USD","Period=FQ","BEST_FPERIOD_OVERRIDE=FQ","FILING_STATUS=MR","SCALING_FORMAT=MLN","Sort=A","Dates=H","DateFormat=P","Fill=—","Direction=H","UseDPDF=Y")</f>
        <v>1121</v>
      </c>
      <c r="N99" s="13">
        <f>_xll.BDH("GILD US Equity","ARDR_NON_GAAP_SG&amp;A","FQ3 2021","FQ3 2021","Currency=USD","Period=FQ","BEST_FPERIOD_OVERRIDE=FQ","FILING_STATUS=MR","SCALING_FORMAT=MLN","Sort=A","Dates=H","DateFormat=P","Fill=—","Direction=H","UseDPDF=Y")</f>
        <v>1178</v>
      </c>
      <c r="O99" s="13">
        <f>_xll.BDH("GILD US Equity","ARDR_NON_GAAP_SG&amp;A","FQ4 2021","FQ4 2021","Currency=USD","Period=FQ","BEST_FPERIOD_OVERRIDE=FQ","FILING_STATUS=MR","SCALING_FORMAT=MLN","Sort=A","Dates=H","DateFormat=P","Fill=—","Direction=H","UseDPDF=Y")</f>
        <v>1642</v>
      </c>
      <c r="P99" s="13">
        <f>_xll.BDH("GILD US Equity","ARDR_NON_GAAP_SG&amp;A","FQ1 2022","FQ1 2022","Currency=USD","Period=FQ","BEST_FPERIOD_OVERRIDE=FQ","FILING_STATUS=MR","SCALING_FORMAT=MLN","Sort=A","Dates=H","DateFormat=P","Fill=—","Direction=H","UseDPDF=Y")</f>
        <v>1083</v>
      </c>
      <c r="Q99" s="13">
        <f>_xll.BDH("GILD US Equity","ARDR_NON_GAAP_SG&amp;A","FQ2 2022","FQ2 2022","Currency=USD","Period=FQ","BEST_FPERIOD_OVERRIDE=FQ","FILING_STATUS=MR","SCALING_FORMAT=MLN","Sort=A","Dates=H","DateFormat=P","Fill=—","Direction=H","UseDPDF=Y")</f>
        <v>1272</v>
      </c>
      <c r="R99" s="13">
        <f>_xll.BDH("GILD US Equity","ARDR_NON_GAAP_SG&amp;A","FQ3 2022","FQ3 2022","Currency=USD","Period=FQ","BEST_FPERIOD_OVERRIDE=FQ","FILING_STATUS=MR","SCALING_FORMAT=MLN","Sort=A","Dates=H","DateFormat=P","Fill=—","Direction=H","UseDPDF=Y")</f>
        <v>1212</v>
      </c>
      <c r="S99" s="13">
        <f>_xll.BDH("GILD US Equity","ARDR_NON_GAAP_SG&amp;A","FQ4 2022","FQ4 2022","Currency=USD","Period=FQ","BEST_FPERIOD_OVERRIDE=FQ","FILING_STATUS=MR","SCALING_FORMAT=MLN","Sort=A","Dates=H","DateFormat=P","Fill=—","Direction=H","UseDPDF=Y")</f>
        <v>2020</v>
      </c>
      <c r="T99" s="13">
        <f>_xll.BDH("GILD US Equity","ARDR_NON_GAAP_SG&amp;A","FQ1 2023","FQ1 2023","Currency=USD","Period=FQ","BEST_FPERIOD_OVERRIDE=FQ","FILING_STATUS=MR","SCALING_FORMAT=MLN","Sort=A","Dates=H","DateFormat=P","Fill=—","Direction=H","UseDPDF=Y")</f>
        <v>1318</v>
      </c>
      <c r="U99" s="13">
        <f>_xll.BDH("GILD US Equity","ARDR_NON_GAAP_SG&amp;A","FQ2 2023","FQ2 2023","Currency=USD","Period=FQ","BEST_FPERIOD_OVERRIDE=FQ","FILING_STATUS=MR","SCALING_FORMAT=MLN","Sort=A","Dates=H","DateFormat=P","Fill=—","Direction=H","UseDPDF=Y")</f>
        <v>1848</v>
      </c>
      <c r="V99" s="13">
        <f>_xll.BDH("GILD US Equity","ARDR_NON_GAAP_SG&amp;A","FQ3 2023","FQ3 2023","Currency=USD","Period=FQ","BEST_FPERIOD_OVERRIDE=FQ","FILING_STATUS=MR","SCALING_FORMAT=MLN","Sort=A","Dates=H","DateFormat=P","Fill=—","Direction=H","UseDPDF=Y")</f>
        <v>1298</v>
      </c>
      <c r="W99" s="13">
        <f>_xll.BDH("GILD US Equity","ARDR_NON_GAAP_SG&amp;A","FQ4 2023","FQ4 2023","Currency=USD","Period=FQ","BEST_FPERIOD_OVERRIDE=FQ","FILING_STATUS=MR","SCALING_FORMAT=MLN","Sort=A","Dates=H","DateFormat=P","Fill=—","Direction=H","UseDPDF=Y")</f>
        <v>1597</v>
      </c>
      <c r="X99" s="13">
        <f>_xll.BDH("GILD US Equity","ARDR_NON_GAAP_SG&amp;A","FQ1 2024","FQ1 2024","Currency=USD","Period=FQ","BEST_FPERIOD_OVERRIDE=FQ","FILING_STATUS=MR","SCALING_FORMAT=MLN","Sort=A","Dates=H","DateFormat=P","Fill=—","Direction=H","UseDPDF=Y")</f>
        <v>1295</v>
      </c>
      <c r="Y99" s="13">
        <f>_xll.BDH("GILD US Equity","ARDR_NON_GAAP_SG&amp;A","FQ2 2024","FQ2 2024","Currency=USD","Period=FQ","BEST_FPERIOD_OVERRIDE=FQ","FILING_STATUS=MR","SCALING_FORMAT=MLN","Sort=A","Dates=H","DateFormat=P","Fill=—","Direction=H","UseDPDF=Y")</f>
        <v>1351</v>
      </c>
      <c r="Z99" s="13">
        <f>_xll.BDH("GILD US Equity","ARDR_NON_GAAP_SG&amp;A","FQ3 2024","FQ3 2024","Currency=USD","Period=FQ","BEST_FPERIOD_OVERRIDE=FQ","FILING_STATUS=MR","SCALING_FORMAT=MLN","Sort=A","Dates=H","DateFormat=P","Fill=—","Direction=H","UseDPDF=Y")</f>
        <v>1405</v>
      </c>
      <c r="AA99" s="13">
        <f>_xll.BDH("GILD US Equity","ARDR_NON_GAAP_SG&amp;A","FQ4 2024","FQ4 2024","Currency=USD","Period=FQ","BEST_FPERIOD_OVERRIDE=FQ","FILING_STATUS=MR","SCALING_FORMAT=MLN","Sort=A","Dates=H","DateFormat=P","Fill=—","Direction=H","UseDPDF=Y")</f>
        <v>1852</v>
      </c>
    </row>
    <row r="100" spans="1:27" x14ac:dyDescent="0.25">
      <c r="A100" s="10" t="s">
        <v>578</v>
      </c>
      <c r="B100" s="10" t="s">
        <v>579</v>
      </c>
      <c r="C100" s="13">
        <f>_xll.BDH("GILD US Equity","ARDR_NON_GAAP_R&amp;D","FQ4 2018","FQ4 2018","Currency=USD","Period=FQ","BEST_FPERIOD_OVERRIDE=FQ","FILING_STATUS=MR","SCALING_FORMAT=MLN","Sort=A","Dates=H","DateFormat=P","Fill=—","Direction=H","UseDPDF=Y")</f>
        <v>939</v>
      </c>
      <c r="D100" s="13">
        <f>_xll.BDH("GILD US Equity","ARDR_NON_GAAP_R&amp;D","FQ1 2019","FQ1 2019","Currency=USD","Period=FQ","BEST_FPERIOD_OVERRIDE=FQ","FILING_STATUS=MR","SCALING_FORMAT=MLN","Sort=A","Dates=H","DateFormat=P","Fill=—","Direction=H","UseDPDF=Y")</f>
        <v>871</v>
      </c>
      <c r="E100" s="13">
        <f>_xll.BDH("GILD US Equity","ARDR_NON_GAAP_R&amp;D","FQ2 2019","FQ2 2019","Currency=USD","Period=FQ","BEST_FPERIOD_OVERRIDE=FQ","FILING_STATUS=MR","SCALING_FORMAT=MLN","Sort=A","Dates=H","DateFormat=P","Fill=—","Direction=H","UseDPDF=Y")</f>
        <v>916</v>
      </c>
      <c r="F100" s="13">
        <f>_xll.BDH("GILD US Equity","ARDR_NON_GAAP_R&amp;D","FQ3 2019","FQ3 2019","Currency=USD","Period=FQ","BEST_FPERIOD_OVERRIDE=FQ","FILING_STATUS=MR","SCALING_FORMAT=MLN","Sort=A","Dates=H","DateFormat=P","Fill=—","Direction=H","UseDPDF=Y")</f>
        <v>1028</v>
      </c>
      <c r="G100" s="13">
        <f>_xll.BDH("GILD US Equity","ARDR_NON_GAAP_R&amp;D","FQ4 2019","FQ4 2019","Currency=USD","Period=FQ","BEST_FPERIOD_OVERRIDE=FQ","FILING_STATUS=MR","SCALING_FORMAT=MLN","Sort=A","Dates=H","DateFormat=P","Fill=—","Direction=H","UseDPDF=Y")</f>
        <v>1029</v>
      </c>
      <c r="H100" s="13">
        <f>_xll.BDH("GILD US Equity","ARDR_NON_GAAP_R&amp;D","FQ1 2020","FQ1 2020","Currency=USD","Period=FQ","BEST_FPERIOD_OVERRIDE=FQ","FILING_STATUS=MR","SCALING_FORMAT=MLN","Sort=A","Dates=H","DateFormat=P","Fill=—","Direction=H","UseDPDF=Y")</f>
        <v>1004</v>
      </c>
      <c r="I100" s="13">
        <f>_xll.BDH("GILD US Equity","ARDR_NON_GAAP_R&amp;D","FQ2 2020","FQ2 2020","Currency=USD","Period=FQ","BEST_FPERIOD_OVERRIDE=FQ","FILING_STATUS=MR","SCALING_FORMAT=MLN","Sort=A","Dates=H","DateFormat=P","Fill=—","Direction=H","UseDPDF=Y")</f>
        <v>1186</v>
      </c>
      <c r="J100" s="13">
        <f>_xll.BDH("GILD US Equity","ARDR_NON_GAAP_R&amp;D","FQ3 2020","FQ3 2020","Currency=USD","Period=FQ","BEST_FPERIOD_OVERRIDE=FQ","FILING_STATUS=MR","SCALING_FORMAT=MLN","Sort=A","Dates=H","DateFormat=P","Fill=—","Direction=H","UseDPDF=Y")</f>
        <v>1155</v>
      </c>
      <c r="K100" s="13">
        <f>_xll.BDH("GILD US Equity","ARDR_NON_GAAP_R&amp;D","FQ4 2020","FQ4 2020","Currency=USD","Period=FQ","BEST_FPERIOD_OVERRIDE=FQ","FILING_STATUS=MR","SCALING_FORMAT=MLN","Sort=A","Dates=H","DateFormat=P","Fill=—","Direction=H","UseDPDF=Y")</f>
        <v>1512</v>
      </c>
      <c r="L100" s="13">
        <f>_xll.BDH("GILD US Equity","ARDR_NON_GAAP_R&amp;D","FQ1 2021","FQ1 2021","Currency=USD","Period=FQ","BEST_FPERIOD_OVERRIDE=FQ","FILING_STATUS=MR","SCALING_FORMAT=MLN","Sort=A","Dates=H","DateFormat=P","Fill=—","Direction=H","UseDPDF=Y")</f>
        <v>1049</v>
      </c>
      <c r="M100" s="13">
        <f>_xll.BDH("GILD US Equity","ARDR_NON_GAAP_R&amp;D","FQ2 2021","FQ2 2021","Currency=USD","Period=FQ","BEST_FPERIOD_OVERRIDE=FQ","FILING_STATUS=MR","SCALING_FORMAT=MLN","Sort=A","Dates=H","DateFormat=P","Fill=—","Direction=H","UseDPDF=Y")</f>
        <v>1084</v>
      </c>
      <c r="N100" s="13">
        <f>_xll.BDH("GILD US Equity","ARDR_NON_GAAP_R&amp;D","FQ3 2021","FQ3 2021","Currency=USD","Period=FQ","BEST_FPERIOD_OVERRIDE=FQ","FILING_STATUS=MR","SCALING_FORMAT=MLN","Sort=A","Dates=H","DateFormat=P","Fill=—","Direction=H","UseDPDF=Y")</f>
        <v>1109</v>
      </c>
      <c r="O100" s="13">
        <f>_xll.BDH("GILD US Equity","ARDR_NON_GAAP_R&amp;D","FQ4 2021","FQ4 2021","Currency=USD","Period=FQ","BEST_FPERIOD_OVERRIDE=FQ","FILING_STATUS=MR","SCALING_FORMAT=MLN","Sort=A","Dates=H","DateFormat=P","Fill=—","Direction=H","UseDPDF=Y")</f>
        <v>1984</v>
      </c>
      <c r="P100" s="13">
        <f>_xll.BDH("GILD US Equity","ARDR_NON_GAAP_R&amp;D","FQ1 2022","FQ1 2022","Currency=USD","Period=FQ","BEST_FPERIOD_OVERRIDE=FQ","FILING_STATUS=MR","SCALING_FORMAT=MLN","Sort=A","Dates=H","DateFormat=P","Fill=—","Direction=H","UseDPDF=Y")</f>
        <v>1158</v>
      </c>
      <c r="Q100" s="13">
        <f>_xll.BDH("GILD US Equity","ARDR_NON_GAAP_R&amp;D","FQ2 2022","FQ2 2022","Currency=USD","Period=FQ","BEST_FPERIOD_OVERRIDE=FQ","FILING_STATUS=MR","SCALING_FORMAT=MLN","Sort=A","Dates=H","DateFormat=P","Fill=—","Direction=H","UseDPDF=Y")</f>
        <v>1102</v>
      </c>
      <c r="R100" s="13">
        <f>_xll.BDH("GILD US Equity","ARDR_NON_GAAP_R&amp;D","FQ3 2022","FQ3 2022","Currency=USD","Period=FQ","BEST_FPERIOD_OVERRIDE=FQ","FILING_STATUS=MR","SCALING_FORMAT=MLN","Sort=A","Dates=H","DateFormat=P","Fill=—","Direction=H","UseDPDF=Y")</f>
        <v>1173</v>
      </c>
      <c r="S100" s="13">
        <f>_xll.BDH("GILD US Equity","ARDR_NON_GAAP_R&amp;D","FQ4 2022","FQ4 2022","Currency=USD","Period=FQ","BEST_FPERIOD_OVERRIDE=FQ","FILING_STATUS=MR","SCALING_FORMAT=MLN","Sort=A","Dates=H","DateFormat=P","Fill=—","Direction=H","UseDPDF=Y")</f>
        <v>1544</v>
      </c>
      <c r="T100" s="13">
        <f>_xll.BDH("GILD US Equity","ARDR_NON_GAAP_R&amp;D","FQ1 2023","FQ1 2023","Currency=USD","Period=FQ","BEST_FPERIOD_OVERRIDE=FQ","FILING_STATUS=MR","SCALING_FORMAT=MLN","Sort=A","Dates=H","DateFormat=P","Fill=—","Direction=H","UseDPDF=Y")</f>
        <v>1439</v>
      </c>
      <c r="U100" s="13">
        <f>_xll.BDH("GILD US Equity","ARDR_NON_GAAP_R&amp;D","FQ2 2023","FQ2 2023","Currency=USD","Period=FQ","BEST_FPERIOD_OVERRIDE=FQ","FILING_STATUS=MR","SCALING_FORMAT=MLN","Sort=A","Dates=H","DateFormat=P","Fill=—","Direction=H","UseDPDF=Y")</f>
        <v>1377</v>
      </c>
      <c r="V100" s="13">
        <f>_xll.BDH("GILD US Equity","ARDR_NON_GAAP_R&amp;D","FQ3 2023","FQ3 2023","Currency=USD","Period=FQ","BEST_FPERIOD_OVERRIDE=FQ","FILING_STATUS=MR","SCALING_FORMAT=MLN","Sort=A","Dates=H","DateFormat=P","Fill=—","Direction=H","UseDPDF=Y")</f>
        <v>1453</v>
      </c>
      <c r="W100" s="13">
        <f>_xll.BDH("GILD US Equity","ARDR_NON_GAAP_R&amp;D","FQ4 2023","FQ4 2023","Currency=USD","Period=FQ","BEST_FPERIOD_OVERRIDE=FQ","FILING_STATUS=MR","SCALING_FORMAT=MLN","Sort=A","Dates=H","DateFormat=P","Fill=—","Direction=H","UseDPDF=Y")</f>
        <v>1452</v>
      </c>
      <c r="X100" s="13">
        <f>_xll.BDH("GILD US Equity","ARDR_NON_GAAP_R&amp;D","FQ1 2024","FQ1 2024","Currency=USD","Period=FQ","BEST_FPERIOD_OVERRIDE=FQ","FILING_STATUS=MR","SCALING_FORMAT=MLN","Sort=A","Dates=H","DateFormat=P","Fill=—","Direction=H","UseDPDF=Y")</f>
        <v>1403</v>
      </c>
      <c r="Y100" s="13">
        <f>_xll.BDH("GILD US Equity","ARDR_NON_GAAP_R&amp;D","FQ2 2024","FQ2 2024","Currency=USD","Period=FQ","BEST_FPERIOD_OVERRIDE=FQ","FILING_STATUS=MR","SCALING_FORMAT=MLN","Sort=A","Dates=H","DateFormat=P","Fill=—","Direction=H","UseDPDF=Y")</f>
        <v>1335</v>
      </c>
      <c r="Z100" s="13">
        <f>_xll.BDH("GILD US Equity","ARDR_NON_GAAP_R&amp;D","FQ3 2024","FQ3 2024","Currency=USD","Period=FQ","BEST_FPERIOD_OVERRIDE=FQ","FILING_STATUS=MR","SCALING_FORMAT=MLN","Sort=A","Dates=H","DateFormat=P","Fill=—","Direction=H","UseDPDF=Y")</f>
        <v>1382</v>
      </c>
      <c r="AA100" s="13">
        <f>_xll.BDH("GILD US Equity","ARDR_NON_GAAP_R&amp;D","FQ4 2024","FQ4 2024","Currency=USD","Period=FQ","BEST_FPERIOD_OVERRIDE=FQ","FILING_STATUS=MR","SCALING_FORMAT=MLN","Sort=A","Dates=H","DateFormat=P","Fill=—","Direction=H","UseDPDF=Y")</f>
        <v>1612</v>
      </c>
    </row>
    <row r="101" spans="1:27" x14ac:dyDescent="0.25">
      <c r="A101" s="10" t="s">
        <v>580</v>
      </c>
      <c r="B101" s="10" t="s">
        <v>581</v>
      </c>
      <c r="C101" s="13">
        <f>_xll.BDH("GILD US Equity","ARDR_NON_GAAP_INTEREST_EXPENSE","FQ4 2018","FQ4 2018","Currency=USD","Period=FQ","BEST_FPERIOD_OVERRIDE=FQ","FILING_STATUS=MR","SCALING_FORMAT=MLN","Sort=A","Dates=H","DateFormat=P","Fill=—","Direction=H","UseDPDF=Y")</f>
        <v>257</v>
      </c>
      <c r="D101" s="13" t="str">
        <f>_xll.BDH("GILD US Equity","ARDR_NON_GAAP_INTEREST_EXPENSE","FQ1 2019","FQ1 2019","Currency=USD","Period=FQ","BEST_FPERIOD_OVERRIDE=FQ","FILING_STATUS=MR","SCALING_FORMAT=MLN","Sort=A","Dates=H","DateFormat=P","Fill=—","Direction=H","UseDPDF=Y")</f>
        <v>—</v>
      </c>
      <c r="E101" s="13" t="str">
        <f>_xll.BDH("GILD US Equity","ARDR_NON_GAAP_INTEREST_EXPENSE","FQ2 2019","FQ2 2019","Currency=USD","Period=FQ","BEST_FPERIOD_OVERRIDE=FQ","FILING_STATUS=MR","SCALING_FORMAT=MLN","Sort=A","Dates=H","DateFormat=P","Fill=—","Direction=H","UseDPDF=Y")</f>
        <v>—</v>
      </c>
      <c r="F101" s="13" t="str">
        <f>_xll.BDH("GILD US Equity","ARDR_NON_GAAP_INTEREST_EXPENSE","FQ3 2019","FQ3 2019","Currency=USD","Period=FQ","BEST_FPERIOD_OVERRIDE=FQ","FILING_STATUS=MR","SCALING_FORMAT=MLN","Sort=A","Dates=H","DateFormat=P","Fill=—","Direction=H","UseDPDF=Y")</f>
        <v>—</v>
      </c>
      <c r="G101" s="13" t="str">
        <f>_xll.BDH("GILD US Equity","ARDR_NON_GAAP_INTEREST_EXPENSE","FQ4 2019","FQ4 2019","Currency=USD","Period=FQ","BEST_FPERIOD_OVERRIDE=FQ","FILING_STATUS=MR","SCALING_FORMAT=MLN","Sort=A","Dates=H","DateFormat=P","Fill=—","Direction=H","UseDPDF=Y")</f>
        <v>—</v>
      </c>
      <c r="H101" s="13" t="str">
        <f>_xll.BDH("GILD US Equity","ARDR_NON_GAAP_INTEREST_EXPENSE","FQ1 2020","FQ1 2020","Currency=USD","Period=FQ","BEST_FPERIOD_OVERRIDE=FQ","FILING_STATUS=MR","SCALING_FORMAT=MLN","Sort=A","Dates=H","DateFormat=P","Fill=—","Direction=H","UseDPDF=Y")</f>
        <v>—</v>
      </c>
      <c r="I101" s="13" t="str">
        <f>_xll.BDH("GILD US Equity","ARDR_NON_GAAP_INTEREST_EXPENSE","FQ2 2020","FQ2 2020","Currency=USD","Period=FQ","BEST_FPERIOD_OVERRIDE=FQ","FILING_STATUS=MR","SCALING_FORMAT=MLN","Sort=A","Dates=H","DateFormat=P","Fill=—","Direction=H","UseDPDF=Y")</f>
        <v>—</v>
      </c>
      <c r="J101" s="13" t="str">
        <f>_xll.BDH("GILD US Equity","ARDR_NON_GAAP_INTEREST_EXPENSE","FQ3 2020","FQ3 2020","Currency=USD","Period=FQ","BEST_FPERIOD_OVERRIDE=FQ","FILING_STATUS=MR","SCALING_FORMAT=MLN","Sort=A","Dates=H","DateFormat=P","Fill=—","Direction=H","UseDPDF=Y")</f>
        <v>—</v>
      </c>
      <c r="K101" s="13">
        <f>_xll.BDH("GILD US Equity","ARDR_NON_GAAP_INTEREST_EXPENSE","FQ4 2020","FQ4 2020","Currency=USD","Period=FQ","BEST_FPERIOD_OVERRIDE=FQ","FILING_STATUS=MR","SCALING_FORMAT=MLN","Sort=A","Dates=H","DateFormat=P","Fill=—","Direction=H","UseDPDF=Y")</f>
        <v>-267</v>
      </c>
      <c r="L101" s="13" t="str">
        <f>_xll.BDH("GILD US Equity","ARDR_NON_GAAP_INTEREST_EXPENSE","FQ1 2021","FQ1 2021","Currency=USD","Period=FQ","BEST_FPERIOD_OVERRIDE=FQ","FILING_STATUS=MR","SCALING_FORMAT=MLN","Sort=A","Dates=H","DateFormat=P","Fill=—","Direction=H","UseDPDF=Y")</f>
        <v>—</v>
      </c>
      <c r="M101" s="13">
        <f>_xll.BDH("GILD US Equity","ARDR_NON_GAAP_INTEREST_EXPENSE","FQ2 2021","FQ2 2021","Currency=USD","Period=FQ","BEST_FPERIOD_OVERRIDE=FQ","FILING_STATUS=MR","SCALING_FORMAT=MLN","Sort=A","Dates=H","DateFormat=P","Fill=—","Direction=H","UseDPDF=Y")</f>
        <v>256</v>
      </c>
      <c r="N101" s="13" t="str">
        <f>_xll.BDH("GILD US Equity","ARDR_NON_GAAP_INTEREST_EXPENSE","FQ3 2021","FQ3 2021","Currency=USD","Period=FQ","BEST_FPERIOD_OVERRIDE=FQ","FILING_STATUS=MR","SCALING_FORMAT=MLN","Sort=A","Dates=H","DateFormat=P","Fill=—","Direction=H","UseDPDF=Y")</f>
        <v>—</v>
      </c>
      <c r="O101" s="13">
        <f>_xll.BDH("GILD US Equity","ARDR_NON_GAAP_INTEREST_EXPENSE","FQ4 2021","FQ4 2021","Currency=USD","Period=FQ","BEST_FPERIOD_OVERRIDE=FQ","FILING_STATUS=MR","SCALING_FORMAT=MLN","Sort=A","Dates=H","DateFormat=P","Fill=—","Direction=H","UseDPDF=Y")</f>
        <v>238</v>
      </c>
      <c r="P101" s="13" t="str">
        <f>_xll.BDH("GILD US Equity","ARDR_NON_GAAP_INTEREST_EXPENSE","FQ1 2022","FQ1 2022","Currency=USD","Period=FQ","BEST_FPERIOD_OVERRIDE=FQ","FILING_STATUS=MR","SCALING_FORMAT=MLN","Sort=A","Dates=H","DateFormat=P","Fill=—","Direction=H","UseDPDF=Y")</f>
        <v>—</v>
      </c>
      <c r="Q101" s="13" t="str">
        <f>_xll.BDH("GILD US Equity","ARDR_NON_GAAP_INTEREST_EXPENSE","FQ2 2022","FQ2 2022","Currency=USD","Period=FQ","BEST_FPERIOD_OVERRIDE=FQ","FILING_STATUS=MR","SCALING_FORMAT=MLN","Sort=A","Dates=H","DateFormat=P","Fill=—","Direction=H","UseDPDF=Y")</f>
        <v>—</v>
      </c>
      <c r="R101" s="13" t="str">
        <f>_xll.BDH("GILD US Equity","ARDR_NON_GAAP_INTEREST_EXPENSE","FQ3 2022","FQ3 2022","Currency=USD","Period=FQ","BEST_FPERIOD_OVERRIDE=FQ","FILING_STATUS=MR","SCALING_FORMAT=MLN","Sort=A","Dates=H","DateFormat=P","Fill=—","Direction=H","UseDPDF=Y")</f>
        <v>—</v>
      </c>
      <c r="S101" s="13">
        <f>_xll.BDH("GILD US Equity","ARDR_NON_GAAP_INTEREST_EXPENSE","FQ4 2022","FQ4 2022","Currency=USD","Period=FQ","BEST_FPERIOD_OVERRIDE=FQ","FILING_STATUS=MR","SCALING_FORMAT=MLN","Sort=A","Dates=H","DateFormat=P","Fill=—","Direction=H","UseDPDF=Y")</f>
        <v>227</v>
      </c>
      <c r="T101" s="13" t="str">
        <f>_xll.BDH("GILD US Equity","ARDR_NON_GAAP_INTEREST_EXPENSE","FQ1 2023","FQ1 2023","Currency=USD","Period=FQ","BEST_FPERIOD_OVERRIDE=FQ","FILING_STATUS=MR","SCALING_FORMAT=MLN","Sort=A","Dates=H","DateFormat=P","Fill=—","Direction=H","UseDPDF=Y")</f>
        <v>—</v>
      </c>
      <c r="U101" s="13">
        <f>_xll.BDH("GILD US Equity","ARDR_NON_GAAP_INTEREST_EXPENSE","FQ2 2023","FQ2 2023","Currency=USD","Period=FQ","BEST_FPERIOD_OVERRIDE=FQ","FILING_STATUS=MR","SCALING_FORMAT=MLN","Sort=A","Dates=H","DateFormat=P","Fill=—","Direction=H","UseDPDF=Y")</f>
        <v>230</v>
      </c>
      <c r="V101" s="13" t="str">
        <f>_xll.BDH("GILD US Equity","ARDR_NON_GAAP_INTEREST_EXPENSE","FQ3 2023","FQ3 2023","Currency=USD","Period=FQ","BEST_FPERIOD_OVERRIDE=FQ","FILING_STATUS=MR","SCALING_FORMAT=MLN","Sort=A","Dates=H","DateFormat=P","Fill=—","Direction=H","UseDPDF=Y")</f>
        <v>—</v>
      </c>
      <c r="W101" s="13" t="str">
        <f>_xll.BDH("GILD US Equity","ARDR_NON_GAAP_INTEREST_EXPENSE","FQ4 2023","FQ4 2023","Currency=USD","Period=FQ","BEST_FPERIOD_OVERRIDE=FQ","FILING_STATUS=MR","SCALING_FORMAT=MLN","Sort=A","Dates=H","DateFormat=P","Fill=—","Direction=H","UseDPDF=Y")</f>
        <v>—</v>
      </c>
      <c r="X101" s="13" t="str">
        <f>_xll.BDH("GILD US Equity","ARDR_NON_GAAP_INTEREST_EXPENSE","FQ1 2024","FQ1 2024","Currency=USD","Period=FQ","BEST_FPERIOD_OVERRIDE=FQ","FILING_STATUS=MR","SCALING_FORMAT=MLN","Sort=A","Dates=H","DateFormat=P","Fill=—","Direction=H","UseDPDF=Y")</f>
        <v>—</v>
      </c>
      <c r="Y101" s="13">
        <f>_xll.BDH("GILD US Equity","ARDR_NON_GAAP_INTEREST_EXPENSE","FQ2 2024","FQ2 2024","Currency=USD","Period=FQ","BEST_FPERIOD_OVERRIDE=FQ","FILING_STATUS=MR","SCALING_FORMAT=MLN","Sort=A","Dates=H","DateFormat=P","Fill=—","Direction=H","UseDPDF=Y")</f>
        <v>237</v>
      </c>
      <c r="Z101" s="13">
        <f>_xll.BDH("GILD US Equity","ARDR_NON_GAAP_INTEREST_EXPENSE","FQ3 2024","FQ3 2024","Currency=USD","Period=FQ","BEST_FPERIOD_OVERRIDE=FQ","FILING_STATUS=MR","SCALING_FORMAT=MLN","Sort=A","Dates=H","DateFormat=P","Fill=—","Direction=H","UseDPDF=Y")</f>
        <v>238</v>
      </c>
      <c r="AA101" s="13">
        <f>_xll.BDH("GILD US Equity","ARDR_NON_GAAP_INTEREST_EXPENSE","FQ4 2024","FQ4 2024","Currency=USD","Period=FQ","BEST_FPERIOD_OVERRIDE=FQ","FILING_STATUS=MR","SCALING_FORMAT=MLN","Sort=A","Dates=H","DateFormat=P","Fill=—","Direction=H","UseDPDF=Y")</f>
        <v>248</v>
      </c>
    </row>
    <row r="102" spans="1:27" x14ac:dyDescent="0.25">
      <c r="A102" s="10" t="s">
        <v>582</v>
      </c>
      <c r="B102" s="10" t="s">
        <v>583</v>
      </c>
      <c r="C102" s="13">
        <f>_xll.BDH("GILD US Equity","ARDR_NON_GAAP_OTHER_INCOME_NET","FQ4 2018","FQ4 2018","Currency=USD","Period=FQ","BEST_FPERIOD_OVERRIDE=FQ","FILING_STATUS=MR","SCALING_FORMAT=MLN","Sort=A","Dates=H","DateFormat=P","Fill=—","Direction=H","UseDPDF=Y")</f>
        <v>-163</v>
      </c>
      <c r="D102" s="13">
        <f>_xll.BDH("GILD US Equity","ARDR_NON_GAAP_OTHER_INCOME_NET","FQ1 2019","FQ1 2019","Currency=USD","Period=FQ","BEST_FPERIOD_OVERRIDE=FQ","FILING_STATUS=MR","SCALING_FORMAT=MLN","Sort=A","Dates=H","DateFormat=P","Fill=—","Direction=H","UseDPDF=Y")</f>
        <v>-170</v>
      </c>
      <c r="E102" s="13">
        <f>_xll.BDH("GILD US Equity","ARDR_NON_GAAP_OTHER_INCOME_NET","FQ2 2019","FQ2 2019","Currency=USD","Period=FQ","BEST_FPERIOD_OVERRIDE=FQ","FILING_STATUS=MR","SCALING_FORMAT=MLN","Sort=A","Dates=H","DateFormat=P","Fill=—","Direction=H","UseDPDF=Y")</f>
        <v>-171</v>
      </c>
      <c r="F102" s="13">
        <f>_xll.BDH("GILD US Equity","ARDR_NON_GAAP_OTHER_INCOME_NET","FQ3 2019","FQ3 2019","Currency=USD","Period=FQ","BEST_FPERIOD_OVERRIDE=FQ","FILING_STATUS=MR","SCALING_FORMAT=MLN","Sort=A","Dates=H","DateFormat=P","Fill=—","Direction=H","UseDPDF=Y")</f>
        <v>-164</v>
      </c>
      <c r="G102" s="13">
        <f>_xll.BDH("GILD US Equity","ARDR_NON_GAAP_OTHER_INCOME_NET","FQ4 2019","FQ4 2019","Currency=USD","Period=FQ","BEST_FPERIOD_OVERRIDE=FQ","FILING_STATUS=MR","SCALING_FORMAT=MLN","Sort=A","Dates=H","DateFormat=P","Fill=—","Direction=H","UseDPDF=Y")</f>
        <v>-122</v>
      </c>
      <c r="H102" s="13">
        <f>_xll.BDH("GILD US Equity","ARDR_NON_GAAP_OTHER_INCOME_NET","FQ1 2020","FQ1 2020","Currency=USD","Period=FQ","BEST_FPERIOD_OVERRIDE=FQ","FILING_STATUS=MR","SCALING_FORMAT=MLN","Sort=A","Dates=H","DateFormat=P","Fill=—","Direction=H","UseDPDF=Y")</f>
        <v>-125</v>
      </c>
      <c r="I102" s="13">
        <f>_xll.BDH("GILD US Equity","ARDR_NON_GAAP_OTHER_INCOME_NET","FQ2 2020","FQ2 2020","Currency=USD","Period=FQ","BEST_FPERIOD_OVERRIDE=FQ","FILING_STATUS=MR","SCALING_FORMAT=MLN","Sort=A","Dates=H","DateFormat=P","Fill=—","Direction=H","UseDPDF=Y")</f>
        <v>-49</v>
      </c>
      <c r="J102" s="13">
        <f>_xll.BDH("GILD US Equity","ARDR_NON_GAAP_OTHER_INCOME_NET","FQ3 2020","FQ3 2020","Currency=USD","Period=FQ","BEST_FPERIOD_OVERRIDE=FQ","FILING_STATUS=MR","SCALING_FORMAT=MLN","Sort=A","Dates=H","DateFormat=P","Fill=—","Direction=H","UseDPDF=Y")</f>
        <v>-29</v>
      </c>
      <c r="K102" s="13">
        <f>_xll.BDH("GILD US Equity","ARDR_NON_GAAP_OTHER_INCOME_NET","FQ4 2020","FQ4 2020","Currency=USD","Period=FQ","BEST_FPERIOD_OVERRIDE=FQ","FILING_STATUS=MR","SCALING_FORMAT=MLN","Sort=A","Dates=H","DateFormat=P","Fill=—","Direction=H","UseDPDF=Y")</f>
        <v>-46</v>
      </c>
      <c r="L102" s="13">
        <f>_xll.BDH("GILD US Equity","ARDR_NON_GAAP_OTHER_INCOME_NET","FQ1 2021","FQ1 2021","Currency=USD","Period=FQ","BEST_FPERIOD_OVERRIDE=FQ","FILING_STATUS=MR","SCALING_FORMAT=MLN","Sort=A","Dates=H","DateFormat=P","Fill=—","Direction=H","UseDPDF=Y")</f>
        <v>18</v>
      </c>
      <c r="M102" s="13">
        <f>_xll.BDH("GILD US Equity","ARDR_NON_GAAP_OTHER_INCOME_NET","FQ2 2021","FQ2 2021","Currency=USD","Period=FQ","BEST_FPERIOD_OVERRIDE=FQ","FILING_STATUS=MR","SCALING_FORMAT=MLN","Sort=A","Dates=H","DateFormat=P","Fill=—","Direction=H","UseDPDF=Y")</f>
        <v>-1</v>
      </c>
      <c r="N102" s="13">
        <f>_xll.BDH("GILD US Equity","ARDR_NON_GAAP_OTHER_INCOME_NET","FQ3 2021","FQ3 2021","Currency=USD","Period=FQ","BEST_FPERIOD_OVERRIDE=FQ","FILING_STATUS=MR","SCALING_FORMAT=MLN","Sort=A","Dates=H","DateFormat=P","Fill=—","Direction=H","UseDPDF=Y")</f>
        <v>12</v>
      </c>
      <c r="O102" s="13">
        <f>_xll.BDH("GILD US Equity","ARDR_NON_GAAP_OTHER_INCOME_NET","FQ4 2021","FQ4 2021","Currency=USD","Period=FQ","BEST_FPERIOD_OVERRIDE=FQ","FILING_STATUS=MR","SCALING_FORMAT=MLN","Sort=A","Dates=H","DateFormat=P","Fill=—","Direction=H","UseDPDF=Y")</f>
        <v>0</v>
      </c>
      <c r="P102" s="13">
        <f>_xll.BDH("GILD US Equity","ARDR_NON_GAAP_OTHER_INCOME_NET","FQ1 2022","FQ1 2022","Currency=USD","Period=FQ","BEST_FPERIOD_OVERRIDE=FQ","FILING_STATUS=MR","SCALING_FORMAT=MLN","Sort=A","Dates=H","DateFormat=P","Fill=—","Direction=H","UseDPDF=Y")</f>
        <v>15</v>
      </c>
      <c r="Q102" s="13">
        <f>_xll.BDH("GILD US Equity","ARDR_NON_GAAP_OTHER_INCOME_NET","FQ2 2022","FQ2 2022","Currency=USD","Period=FQ","BEST_FPERIOD_OVERRIDE=FQ","FILING_STATUS=MR","SCALING_FORMAT=MLN","Sort=A","Dates=H","DateFormat=P","Fill=—","Direction=H","UseDPDF=Y")</f>
        <v>-20</v>
      </c>
      <c r="R102" s="13">
        <f>_xll.BDH("GILD US Equity","ARDR_NON_GAAP_OTHER_INCOME_NET","FQ3 2022","FQ3 2022","Currency=USD","Period=FQ","BEST_FPERIOD_OVERRIDE=FQ","FILING_STATUS=MR","SCALING_FORMAT=MLN","Sort=A","Dates=H","DateFormat=P","Fill=—","Direction=H","UseDPDF=Y")</f>
        <v>-20</v>
      </c>
      <c r="S102" s="13">
        <f>_xll.BDH("GILD US Equity","ARDR_NON_GAAP_OTHER_INCOME_NET","FQ4 2022","FQ4 2022","Currency=USD","Period=FQ","BEST_FPERIOD_OVERRIDE=FQ","FILING_STATUS=MR","SCALING_FORMAT=MLN","Sort=A","Dates=H","DateFormat=P","Fill=—","Direction=H","UseDPDF=Y")</f>
        <v>-52</v>
      </c>
      <c r="T102" s="13">
        <f>_xll.BDH("GILD US Equity","ARDR_NON_GAAP_OTHER_INCOME_NET","FQ1 2023","FQ1 2023","Currency=USD","Period=FQ","BEST_FPERIOD_OVERRIDE=FQ","FILING_STATUS=MR","SCALING_FORMAT=MLN","Sort=A","Dates=H","DateFormat=P","Fill=—","Direction=H","UseDPDF=Y")</f>
        <v>-82</v>
      </c>
      <c r="U102" s="13">
        <f>_xll.BDH("GILD US Equity","ARDR_NON_GAAP_OTHER_INCOME_NET","FQ2 2023","FQ2 2023","Currency=USD","Period=FQ","BEST_FPERIOD_OVERRIDE=FQ","FILING_STATUS=MR","SCALING_FORMAT=MLN","Sort=A","Dates=H","DateFormat=P","Fill=—","Direction=H","UseDPDF=Y")</f>
        <v>-83</v>
      </c>
      <c r="V102" s="13">
        <f>_xll.BDH("GILD US Equity","ARDR_NON_GAAP_OTHER_INCOME_NET","FQ3 2023","FQ3 2023","Currency=USD","Period=FQ","BEST_FPERIOD_OVERRIDE=FQ","FILING_STATUS=MR","SCALING_FORMAT=MLN","Sort=A","Dates=H","DateFormat=P","Fill=—","Direction=H","UseDPDF=Y")</f>
        <v>-96</v>
      </c>
      <c r="W102" s="13">
        <f>_xll.BDH("GILD US Equity","ARDR_NON_GAAP_OTHER_INCOME_NET","FQ4 2023","FQ4 2023","Currency=USD","Period=FQ","BEST_FPERIOD_OVERRIDE=FQ","FILING_STATUS=MR","SCALING_FORMAT=MLN","Sort=A","Dates=H","DateFormat=P","Fill=—","Direction=H","UseDPDF=Y")</f>
        <v>-104</v>
      </c>
      <c r="X102" s="13">
        <f>_xll.BDH("GILD US Equity","ARDR_NON_GAAP_OTHER_INCOME_NET","FQ1 2024","FQ1 2024","Currency=USD","Period=FQ","BEST_FPERIOD_OVERRIDE=FQ","FILING_STATUS=MR","SCALING_FORMAT=MLN","Sort=A","Dates=H","DateFormat=P","Fill=—","Direction=H","UseDPDF=Y")</f>
        <v>-104</v>
      </c>
      <c r="Y102" s="13">
        <f>_xll.BDH("GILD US Equity","ARDR_NON_GAAP_OTHER_INCOME_NET","FQ2 2024","FQ2 2024","Currency=USD","Period=FQ","BEST_FPERIOD_OVERRIDE=FQ","FILING_STATUS=MR","SCALING_FORMAT=MLN","Sort=A","Dates=H","DateFormat=P","Fill=—","Direction=H","UseDPDF=Y")</f>
        <v>-37</v>
      </c>
      <c r="Z102" s="13">
        <f>_xll.BDH("GILD US Equity","ARDR_NON_GAAP_OTHER_INCOME_NET","FQ3 2024","FQ3 2024","Currency=USD","Period=FQ","BEST_FPERIOD_OVERRIDE=FQ","FILING_STATUS=MR","SCALING_FORMAT=MLN","Sort=A","Dates=H","DateFormat=P","Fill=—","Direction=H","UseDPDF=Y")</f>
        <v>-48</v>
      </c>
      <c r="AA102" s="13">
        <f>_xll.BDH("GILD US Equity","ARDR_NON_GAAP_OTHER_INCOME_NET","FQ4 2024","FQ4 2024","Currency=USD","Period=FQ","BEST_FPERIOD_OVERRIDE=FQ","FILING_STATUS=MR","SCALING_FORMAT=MLN","Sort=A","Dates=H","DateFormat=P","Fill=—","Direction=H","UseDPDF=Y")</f>
        <v>-91</v>
      </c>
    </row>
    <row r="103" spans="1:27" x14ac:dyDescent="0.25">
      <c r="A103" s="10" t="s">
        <v>584</v>
      </c>
      <c r="B103" s="10" t="s">
        <v>585</v>
      </c>
      <c r="C103" s="13" t="str">
        <f>_xll.BDH("GILD US Equity","ARDR_RSTRCT_WF_BAL_NON_GAAP_COGS","FQ4 2018","FQ4 2018","Currency=USD","Period=FQ","BEST_FPERIOD_OVERRIDE=FQ","FILING_STATUS=MR","SCALING_FORMAT=MLN","Sort=A","Dates=H","DateFormat=P","Fill=—","Direction=H","UseDPDF=Y")</f>
        <v>—</v>
      </c>
      <c r="D103" s="13" t="str">
        <f>_xll.BDH("GILD US Equity","ARDR_RSTRCT_WF_BAL_NON_GAAP_COGS","FQ1 2019","FQ1 2019","Currency=USD","Period=FQ","BEST_FPERIOD_OVERRIDE=FQ","FILING_STATUS=MR","SCALING_FORMAT=MLN","Sort=A","Dates=H","DateFormat=P","Fill=—","Direction=H","UseDPDF=Y")</f>
        <v>—</v>
      </c>
      <c r="E103" s="13" t="str">
        <f>_xll.BDH("GILD US Equity","ARDR_RSTRCT_WF_BAL_NON_GAAP_COGS","FQ2 2019","FQ2 2019","Currency=USD","Period=FQ","BEST_FPERIOD_OVERRIDE=FQ","FILING_STATUS=MR","SCALING_FORMAT=MLN","Sort=A","Dates=H","DateFormat=P","Fill=—","Direction=H","UseDPDF=Y")</f>
        <v>—</v>
      </c>
      <c r="F103" s="13" t="str">
        <f>_xll.BDH("GILD US Equity","ARDR_RSTRCT_WF_BAL_NON_GAAP_COGS","FQ3 2019","FQ3 2019","Currency=USD","Period=FQ","BEST_FPERIOD_OVERRIDE=FQ","FILING_STATUS=MR","SCALING_FORMAT=MLN","Sort=A","Dates=H","DateFormat=P","Fill=—","Direction=H","UseDPDF=Y")</f>
        <v>—</v>
      </c>
      <c r="G103" s="13" t="str">
        <f>_xll.BDH("GILD US Equity","ARDR_RSTRCT_WF_BAL_NON_GAAP_COGS","FQ4 2019","FQ4 2019","Currency=USD","Period=FQ","BEST_FPERIOD_OVERRIDE=FQ","FILING_STATUS=MR","SCALING_FORMAT=MLN","Sort=A","Dates=H","DateFormat=P","Fill=—","Direction=H","UseDPDF=Y")</f>
        <v>—</v>
      </c>
      <c r="H103" s="13" t="str">
        <f>_xll.BDH("GILD US Equity","ARDR_RSTRCT_WF_BAL_NON_GAAP_COGS","FQ1 2020","FQ1 2020","Currency=USD","Period=FQ","BEST_FPERIOD_OVERRIDE=FQ","FILING_STATUS=MR","SCALING_FORMAT=MLN","Sort=A","Dates=H","DateFormat=P","Fill=—","Direction=H","UseDPDF=Y")</f>
        <v>—</v>
      </c>
      <c r="I103" s="13" t="str">
        <f>_xll.BDH("GILD US Equity","ARDR_RSTRCT_WF_BAL_NON_GAAP_COGS","FQ2 2020","FQ2 2020","Currency=USD","Period=FQ","BEST_FPERIOD_OVERRIDE=FQ","FILING_STATUS=MR","SCALING_FORMAT=MLN","Sort=A","Dates=H","DateFormat=P","Fill=—","Direction=H","UseDPDF=Y")</f>
        <v>—</v>
      </c>
      <c r="J103" s="13" t="str">
        <f>_xll.BDH("GILD US Equity","ARDR_RSTRCT_WF_BAL_NON_GAAP_COGS","FQ3 2020","FQ3 2020","Currency=USD","Period=FQ","BEST_FPERIOD_OVERRIDE=FQ","FILING_STATUS=MR","SCALING_FORMAT=MLN","Sort=A","Dates=H","DateFormat=P","Fill=—","Direction=H","UseDPDF=Y")</f>
        <v>—</v>
      </c>
      <c r="K103" s="13" t="str">
        <f>_xll.BDH("GILD US Equity","ARDR_RSTRCT_WF_BAL_NON_GAAP_COGS","FQ4 2020","FQ4 2020","Currency=USD","Period=FQ","BEST_FPERIOD_OVERRIDE=FQ","FILING_STATUS=MR","SCALING_FORMAT=MLN","Sort=A","Dates=H","DateFormat=P","Fill=—","Direction=H","UseDPDF=Y")</f>
        <v>—</v>
      </c>
      <c r="L103" s="13" t="str">
        <f>_xll.BDH("GILD US Equity","ARDR_RSTRCT_WF_BAL_NON_GAAP_COGS","FQ1 2021","FQ1 2021","Currency=USD","Period=FQ","BEST_FPERIOD_OVERRIDE=FQ","FILING_STATUS=MR","SCALING_FORMAT=MLN","Sort=A","Dates=H","DateFormat=P","Fill=—","Direction=H","UseDPDF=Y")</f>
        <v>—</v>
      </c>
      <c r="M103" s="13" t="str">
        <f>_xll.BDH("GILD US Equity","ARDR_RSTRCT_WF_BAL_NON_GAAP_COGS","FQ2 2021","FQ2 2021","Currency=USD","Period=FQ","BEST_FPERIOD_OVERRIDE=FQ","FILING_STATUS=MR","SCALING_FORMAT=MLN","Sort=A","Dates=H","DateFormat=P","Fill=—","Direction=H","UseDPDF=Y")</f>
        <v>—</v>
      </c>
      <c r="N103" s="13" t="str">
        <f>_xll.BDH("GILD US Equity","ARDR_RSTRCT_WF_BAL_NON_GAAP_COGS","FQ3 2021","FQ3 2021","Currency=USD","Period=FQ","BEST_FPERIOD_OVERRIDE=FQ","FILING_STATUS=MR","SCALING_FORMAT=MLN","Sort=A","Dates=H","DateFormat=P","Fill=—","Direction=H","UseDPDF=Y")</f>
        <v>—</v>
      </c>
      <c r="O103" s="13" t="str">
        <f>_xll.BDH("GILD US Equity","ARDR_RSTRCT_WF_BAL_NON_GAAP_COGS","FQ4 2021","FQ4 2021","Currency=USD","Period=FQ","BEST_FPERIOD_OVERRIDE=FQ","FILING_STATUS=MR","SCALING_FORMAT=MLN","Sort=A","Dates=H","DateFormat=P","Fill=—","Direction=H","UseDPDF=Y")</f>
        <v>—</v>
      </c>
      <c r="P103" s="13" t="str">
        <f>_xll.BDH("GILD US Equity","ARDR_RSTRCT_WF_BAL_NON_GAAP_COGS","FQ1 2022","FQ1 2022","Currency=USD","Period=FQ","BEST_FPERIOD_OVERRIDE=FQ","FILING_STATUS=MR","SCALING_FORMAT=MLN","Sort=A","Dates=H","DateFormat=P","Fill=—","Direction=H","UseDPDF=Y")</f>
        <v>—</v>
      </c>
      <c r="Q103" s="13" t="str">
        <f>_xll.BDH("GILD US Equity","ARDR_RSTRCT_WF_BAL_NON_GAAP_COGS","FQ2 2022","FQ2 2022","Currency=USD","Period=FQ","BEST_FPERIOD_OVERRIDE=FQ","FILING_STATUS=MR","SCALING_FORMAT=MLN","Sort=A","Dates=H","DateFormat=P","Fill=—","Direction=H","UseDPDF=Y")</f>
        <v>—</v>
      </c>
      <c r="R103" s="13" t="str">
        <f>_xll.BDH("GILD US Equity","ARDR_RSTRCT_WF_BAL_NON_GAAP_COGS","FQ3 2022","FQ3 2022","Currency=USD","Period=FQ","BEST_FPERIOD_OVERRIDE=FQ","FILING_STATUS=MR","SCALING_FORMAT=MLN","Sort=A","Dates=H","DateFormat=P","Fill=—","Direction=H","UseDPDF=Y")</f>
        <v>—</v>
      </c>
      <c r="S103" s="13" t="str">
        <f>_xll.BDH("GILD US Equity","ARDR_RSTRCT_WF_BAL_NON_GAAP_COGS","FQ4 2022","FQ4 2022","Currency=USD","Period=FQ","BEST_FPERIOD_OVERRIDE=FQ","FILING_STATUS=MR","SCALING_FORMAT=MLN","Sort=A","Dates=H","DateFormat=P","Fill=—","Direction=H","UseDPDF=Y")</f>
        <v>—</v>
      </c>
      <c r="T103" s="13" t="str">
        <f>_xll.BDH("GILD US Equity","ARDR_RSTRCT_WF_BAL_NON_GAAP_COGS","FQ1 2023","FQ1 2023","Currency=USD","Period=FQ","BEST_FPERIOD_OVERRIDE=FQ","FILING_STATUS=MR","SCALING_FORMAT=MLN","Sort=A","Dates=H","DateFormat=P","Fill=—","Direction=H","UseDPDF=Y")</f>
        <v>—</v>
      </c>
      <c r="U103" s="13" t="str">
        <f>_xll.BDH("GILD US Equity","ARDR_RSTRCT_WF_BAL_NON_GAAP_COGS","FQ2 2023","FQ2 2023","Currency=USD","Period=FQ","BEST_FPERIOD_OVERRIDE=FQ","FILING_STATUS=MR","SCALING_FORMAT=MLN","Sort=A","Dates=H","DateFormat=P","Fill=—","Direction=H","UseDPDF=Y")</f>
        <v>—</v>
      </c>
      <c r="V103" s="13" t="str">
        <f>_xll.BDH("GILD US Equity","ARDR_RSTRCT_WF_BAL_NON_GAAP_COGS","FQ3 2023","FQ3 2023","Currency=USD","Period=FQ","BEST_FPERIOD_OVERRIDE=FQ","FILING_STATUS=MR","SCALING_FORMAT=MLN","Sort=A","Dates=H","DateFormat=P","Fill=—","Direction=H","UseDPDF=Y")</f>
        <v>—</v>
      </c>
      <c r="W103" s="13">
        <f>_xll.BDH("GILD US Equity","ARDR_RSTRCT_WF_BAL_NON_GAAP_COGS","FQ4 2023","FQ4 2023","Currency=USD","Period=FQ","BEST_FPERIOD_OVERRIDE=FQ","FILING_STATUS=MR","SCALING_FORMAT=MLN","Sort=A","Dates=H","DateFormat=P","Fill=—","Direction=H","UseDPDF=Y")</f>
        <v>479</v>
      </c>
      <c r="X103" s="13" t="str">
        <f>_xll.BDH("GILD US Equity","ARDR_RSTRCT_WF_BAL_NON_GAAP_COGS","FQ1 2024","FQ1 2024","Currency=USD","Period=FQ","BEST_FPERIOD_OVERRIDE=FQ","FILING_STATUS=MR","SCALING_FORMAT=MLN","Sort=A","Dates=H","DateFormat=P","Fill=—","Direction=H","UseDPDF=Y")</f>
        <v>—</v>
      </c>
      <c r="Y103" s="13">
        <f>_xll.BDH("GILD US Equity","ARDR_RSTRCT_WF_BAL_NON_GAAP_COGS","FQ2 2024","FQ2 2024","Currency=USD","Period=FQ","BEST_FPERIOD_OVERRIDE=FQ","FILING_STATUS=MR","SCALING_FORMAT=MLN","Sort=A","Dates=H","DateFormat=P","Fill=—","Direction=H","UseDPDF=Y")</f>
        <v>0</v>
      </c>
      <c r="Z103" s="13" t="str">
        <f>_xll.BDH("GILD US Equity","ARDR_RSTRCT_WF_BAL_NON_GAAP_COGS","FQ3 2024","FQ3 2024","Currency=USD","Period=FQ","BEST_FPERIOD_OVERRIDE=FQ","FILING_STATUS=MR","SCALING_FORMAT=MLN","Sort=A","Dates=H","DateFormat=P","Fill=—","Direction=H","UseDPDF=Y")</f>
        <v>—</v>
      </c>
      <c r="AA103" s="13">
        <f>_xll.BDH("GILD US Equity","ARDR_RSTRCT_WF_BAL_NON_GAAP_COGS","FQ4 2024","FQ4 2024","Currency=USD","Period=FQ","BEST_FPERIOD_OVERRIDE=FQ","FILING_STATUS=MR","SCALING_FORMAT=MLN","Sort=A","Dates=H","DateFormat=P","Fill=—","Direction=H","UseDPDF=Y")</f>
        <v>0</v>
      </c>
    </row>
    <row r="104" spans="1:27" x14ac:dyDescent="0.25">
      <c r="A104" s="10" t="s">
        <v>586</v>
      </c>
      <c r="B104" s="10" t="s">
        <v>587</v>
      </c>
      <c r="C104" s="13" t="str">
        <f>_xll.BDH("GILD US Equity","ARDR_RSTRCT_WF_BAL_NON_GAAP_SG&amp;A","FQ4 2018","FQ4 2018","Currency=USD","Period=FQ","BEST_FPERIOD_OVERRIDE=FQ","FILING_STATUS=MR","SCALING_FORMAT=MLN","Sort=A","Dates=H","DateFormat=P","Fill=—","Direction=H","UseDPDF=Y")</f>
        <v>—</v>
      </c>
      <c r="D104" s="13" t="str">
        <f>_xll.BDH("GILD US Equity","ARDR_RSTRCT_WF_BAL_NON_GAAP_SG&amp;A","FQ1 2019","FQ1 2019","Currency=USD","Period=FQ","BEST_FPERIOD_OVERRIDE=FQ","FILING_STATUS=MR","SCALING_FORMAT=MLN","Sort=A","Dates=H","DateFormat=P","Fill=—","Direction=H","UseDPDF=Y")</f>
        <v>—</v>
      </c>
      <c r="E104" s="13" t="str">
        <f>_xll.BDH("GILD US Equity","ARDR_RSTRCT_WF_BAL_NON_GAAP_SG&amp;A","FQ2 2019","FQ2 2019","Currency=USD","Period=FQ","BEST_FPERIOD_OVERRIDE=FQ","FILING_STATUS=MR","SCALING_FORMAT=MLN","Sort=A","Dates=H","DateFormat=P","Fill=—","Direction=H","UseDPDF=Y")</f>
        <v>—</v>
      </c>
      <c r="F104" s="13" t="str">
        <f>_xll.BDH("GILD US Equity","ARDR_RSTRCT_WF_BAL_NON_GAAP_SG&amp;A","FQ3 2019","FQ3 2019","Currency=USD","Period=FQ","BEST_FPERIOD_OVERRIDE=FQ","FILING_STATUS=MR","SCALING_FORMAT=MLN","Sort=A","Dates=H","DateFormat=P","Fill=—","Direction=H","UseDPDF=Y")</f>
        <v>—</v>
      </c>
      <c r="G104" s="13" t="str">
        <f>_xll.BDH("GILD US Equity","ARDR_RSTRCT_WF_BAL_NON_GAAP_SG&amp;A","FQ4 2019","FQ4 2019","Currency=USD","Period=FQ","BEST_FPERIOD_OVERRIDE=FQ","FILING_STATUS=MR","SCALING_FORMAT=MLN","Sort=A","Dates=H","DateFormat=P","Fill=—","Direction=H","UseDPDF=Y")</f>
        <v>—</v>
      </c>
      <c r="H104" s="13" t="str">
        <f>_xll.BDH("GILD US Equity","ARDR_RSTRCT_WF_BAL_NON_GAAP_SG&amp;A","FQ1 2020","FQ1 2020","Currency=USD","Period=FQ","BEST_FPERIOD_OVERRIDE=FQ","FILING_STATUS=MR","SCALING_FORMAT=MLN","Sort=A","Dates=H","DateFormat=P","Fill=—","Direction=H","UseDPDF=Y")</f>
        <v>—</v>
      </c>
      <c r="I104" s="13" t="str">
        <f>_xll.BDH("GILD US Equity","ARDR_RSTRCT_WF_BAL_NON_GAAP_SG&amp;A","FQ2 2020","FQ2 2020","Currency=USD","Period=FQ","BEST_FPERIOD_OVERRIDE=FQ","FILING_STATUS=MR","SCALING_FORMAT=MLN","Sort=A","Dates=H","DateFormat=P","Fill=—","Direction=H","UseDPDF=Y")</f>
        <v>—</v>
      </c>
      <c r="J104" s="13" t="str">
        <f>_xll.BDH("GILD US Equity","ARDR_RSTRCT_WF_BAL_NON_GAAP_SG&amp;A","FQ3 2020","FQ3 2020","Currency=USD","Period=FQ","BEST_FPERIOD_OVERRIDE=FQ","FILING_STATUS=MR","SCALING_FORMAT=MLN","Sort=A","Dates=H","DateFormat=P","Fill=—","Direction=H","UseDPDF=Y")</f>
        <v>—</v>
      </c>
      <c r="K104" s="13" t="str">
        <f>_xll.BDH("GILD US Equity","ARDR_RSTRCT_WF_BAL_NON_GAAP_SG&amp;A","FQ4 2020","FQ4 2020","Currency=USD","Period=FQ","BEST_FPERIOD_OVERRIDE=FQ","FILING_STATUS=MR","SCALING_FORMAT=MLN","Sort=A","Dates=H","DateFormat=P","Fill=—","Direction=H","UseDPDF=Y")</f>
        <v>—</v>
      </c>
      <c r="L104" s="13" t="str">
        <f>_xll.BDH("GILD US Equity","ARDR_RSTRCT_WF_BAL_NON_GAAP_SG&amp;A","FQ1 2021","FQ1 2021","Currency=USD","Period=FQ","BEST_FPERIOD_OVERRIDE=FQ","FILING_STATUS=MR","SCALING_FORMAT=MLN","Sort=A","Dates=H","DateFormat=P","Fill=—","Direction=H","UseDPDF=Y")</f>
        <v>—</v>
      </c>
      <c r="M104" s="13" t="str">
        <f>_xll.BDH("GILD US Equity","ARDR_RSTRCT_WF_BAL_NON_GAAP_SG&amp;A","FQ2 2021","FQ2 2021","Currency=USD","Period=FQ","BEST_FPERIOD_OVERRIDE=FQ","FILING_STATUS=MR","SCALING_FORMAT=MLN","Sort=A","Dates=H","DateFormat=P","Fill=—","Direction=H","UseDPDF=Y")</f>
        <v>—</v>
      </c>
      <c r="N104" s="13" t="str">
        <f>_xll.BDH("GILD US Equity","ARDR_RSTRCT_WF_BAL_NON_GAAP_SG&amp;A","FQ3 2021","FQ3 2021","Currency=USD","Period=FQ","BEST_FPERIOD_OVERRIDE=FQ","FILING_STATUS=MR","SCALING_FORMAT=MLN","Sort=A","Dates=H","DateFormat=P","Fill=—","Direction=H","UseDPDF=Y")</f>
        <v>—</v>
      </c>
      <c r="O104" s="13" t="str">
        <f>_xll.BDH("GILD US Equity","ARDR_RSTRCT_WF_BAL_NON_GAAP_SG&amp;A","FQ4 2021","FQ4 2021","Currency=USD","Period=FQ","BEST_FPERIOD_OVERRIDE=FQ","FILING_STATUS=MR","SCALING_FORMAT=MLN","Sort=A","Dates=H","DateFormat=P","Fill=—","Direction=H","UseDPDF=Y")</f>
        <v>—</v>
      </c>
      <c r="P104" s="13" t="str">
        <f>_xll.BDH("GILD US Equity","ARDR_RSTRCT_WF_BAL_NON_GAAP_SG&amp;A","FQ1 2022","FQ1 2022","Currency=USD","Period=FQ","BEST_FPERIOD_OVERRIDE=FQ","FILING_STATUS=MR","SCALING_FORMAT=MLN","Sort=A","Dates=H","DateFormat=P","Fill=—","Direction=H","UseDPDF=Y")</f>
        <v>—</v>
      </c>
      <c r="Q104" s="13" t="str">
        <f>_xll.BDH("GILD US Equity","ARDR_RSTRCT_WF_BAL_NON_GAAP_SG&amp;A","FQ2 2022","FQ2 2022","Currency=USD","Period=FQ","BEST_FPERIOD_OVERRIDE=FQ","FILING_STATUS=MR","SCALING_FORMAT=MLN","Sort=A","Dates=H","DateFormat=P","Fill=—","Direction=H","UseDPDF=Y")</f>
        <v>—</v>
      </c>
      <c r="R104" s="13" t="str">
        <f>_xll.BDH("GILD US Equity","ARDR_RSTRCT_WF_BAL_NON_GAAP_SG&amp;A","FQ3 2022","FQ3 2022","Currency=USD","Period=FQ","BEST_FPERIOD_OVERRIDE=FQ","FILING_STATUS=MR","SCALING_FORMAT=MLN","Sort=A","Dates=H","DateFormat=P","Fill=—","Direction=H","UseDPDF=Y")</f>
        <v>—</v>
      </c>
      <c r="S104" s="13" t="str">
        <f>_xll.BDH("GILD US Equity","ARDR_RSTRCT_WF_BAL_NON_GAAP_SG&amp;A","FQ4 2022","FQ4 2022","Currency=USD","Period=FQ","BEST_FPERIOD_OVERRIDE=FQ","FILING_STATUS=MR","SCALING_FORMAT=MLN","Sort=A","Dates=H","DateFormat=P","Fill=—","Direction=H","UseDPDF=Y")</f>
        <v>—</v>
      </c>
      <c r="T104" s="13" t="str">
        <f>_xll.BDH("GILD US Equity","ARDR_RSTRCT_WF_BAL_NON_GAAP_SG&amp;A","FQ1 2023","FQ1 2023","Currency=USD","Period=FQ","BEST_FPERIOD_OVERRIDE=FQ","FILING_STATUS=MR","SCALING_FORMAT=MLN","Sort=A","Dates=H","DateFormat=P","Fill=—","Direction=H","UseDPDF=Y")</f>
        <v>—</v>
      </c>
      <c r="U104" s="13" t="str">
        <f>_xll.BDH("GILD US Equity","ARDR_RSTRCT_WF_BAL_NON_GAAP_SG&amp;A","FQ2 2023","FQ2 2023","Currency=USD","Period=FQ","BEST_FPERIOD_OVERRIDE=FQ","FILING_STATUS=MR","SCALING_FORMAT=MLN","Sort=A","Dates=H","DateFormat=P","Fill=—","Direction=H","UseDPDF=Y")</f>
        <v>—</v>
      </c>
      <c r="V104" s="13">
        <f>_xll.BDH("GILD US Equity","ARDR_RSTRCT_WF_BAL_NON_GAAP_SG&amp;A","FQ3 2023","FQ3 2023","Currency=USD","Period=FQ","BEST_FPERIOD_OVERRIDE=FQ","FILING_STATUS=MR","SCALING_FORMAT=MLN","Sort=A","Dates=H","DateFormat=P","Fill=—","Direction=H","UseDPDF=Y")</f>
        <v>17</v>
      </c>
      <c r="W104" s="13" t="str">
        <f>_xll.BDH("GILD US Equity","ARDR_RSTRCT_WF_BAL_NON_GAAP_SG&amp;A","FQ4 2023","FQ4 2023","Currency=USD","Period=FQ","BEST_FPERIOD_OVERRIDE=FQ","FILING_STATUS=MR","SCALING_FORMAT=MLN","Sort=A","Dates=H","DateFormat=P","Fill=—","Direction=H","UseDPDF=Y")</f>
        <v>—</v>
      </c>
      <c r="X104" s="13">
        <f>_xll.BDH("GILD US Equity","ARDR_RSTRCT_WF_BAL_NON_GAAP_SG&amp;A","FQ1 2024","FQ1 2024","Currency=USD","Period=FQ","BEST_FPERIOD_OVERRIDE=FQ","FILING_STATUS=MR","SCALING_FORMAT=MLN","Sort=A","Dates=H","DateFormat=P","Fill=—","Direction=H","UseDPDF=Y")</f>
        <v>13</v>
      </c>
      <c r="Y104" s="13">
        <f>_xll.BDH("GILD US Equity","ARDR_RSTRCT_WF_BAL_NON_GAAP_SG&amp;A","FQ2 2024","FQ2 2024","Currency=USD","Period=FQ","BEST_FPERIOD_OVERRIDE=FQ","FILING_STATUS=MR","SCALING_FORMAT=MLN","Sort=A","Dates=H","DateFormat=P","Fill=—","Direction=H","UseDPDF=Y")</f>
        <v>8</v>
      </c>
      <c r="Z104" s="13">
        <f>_xll.BDH("GILD US Equity","ARDR_RSTRCT_WF_BAL_NON_GAAP_SG&amp;A","FQ3 2024","FQ3 2024","Currency=USD","Period=FQ","BEST_FPERIOD_OVERRIDE=FQ","FILING_STATUS=MR","SCALING_FORMAT=MLN","Sort=A","Dates=H","DateFormat=P","Fill=—","Direction=H","UseDPDF=Y")</f>
        <v>23</v>
      </c>
      <c r="AA104" s="13">
        <f>_xll.BDH("GILD US Equity","ARDR_RSTRCT_WF_BAL_NON_GAAP_SG&amp;A","FQ4 2024","FQ4 2024","Currency=USD","Period=FQ","BEST_FPERIOD_OVERRIDE=FQ","FILING_STATUS=MR","SCALING_FORMAT=MLN","Sort=A","Dates=H","DateFormat=P","Fill=—","Direction=H","UseDPDF=Y")</f>
        <v>46</v>
      </c>
    </row>
    <row r="105" spans="1:27" x14ac:dyDescent="0.25">
      <c r="A105" s="10" t="s">
        <v>588</v>
      </c>
      <c r="B105" s="10" t="s">
        <v>589</v>
      </c>
      <c r="C105" s="13" t="str">
        <f>_xll.BDH("GILD US Equity","ARDR_RSTRCT_WF_BAL_NON_GAAP_R&amp;D","FQ4 2018","FQ4 2018","Currency=USD","Period=FQ","BEST_FPERIOD_OVERRIDE=FQ","FILING_STATUS=MR","SCALING_FORMAT=MLN","Sort=A","Dates=H","DateFormat=P","Fill=—","Direction=H","UseDPDF=Y")</f>
        <v>—</v>
      </c>
      <c r="D105" s="13" t="str">
        <f>_xll.BDH("GILD US Equity","ARDR_RSTRCT_WF_BAL_NON_GAAP_R&amp;D","FQ1 2019","FQ1 2019","Currency=USD","Period=FQ","BEST_FPERIOD_OVERRIDE=FQ","FILING_STATUS=MR","SCALING_FORMAT=MLN","Sort=A","Dates=H","DateFormat=P","Fill=—","Direction=H","UseDPDF=Y")</f>
        <v>—</v>
      </c>
      <c r="E105" s="13" t="str">
        <f>_xll.BDH("GILD US Equity","ARDR_RSTRCT_WF_BAL_NON_GAAP_R&amp;D","FQ2 2019","FQ2 2019","Currency=USD","Period=FQ","BEST_FPERIOD_OVERRIDE=FQ","FILING_STATUS=MR","SCALING_FORMAT=MLN","Sort=A","Dates=H","DateFormat=P","Fill=—","Direction=H","UseDPDF=Y")</f>
        <v>—</v>
      </c>
      <c r="F105" s="13" t="str">
        <f>_xll.BDH("GILD US Equity","ARDR_RSTRCT_WF_BAL_NON_GAAP_R&amp;D","FQ3 2019","FQ3 2019","Currency=USD","Period=FQ","BEST_FPERIOD_OVERRIDE=FQ","FILING_STATUS=MR","SCALING_FORMAT=MLN","Sort=A","Dates=H","DateFormat=P","Fill=—","Direction=H","UseDPDF=Y")</f>
        <v>—</v>
      </c>
      <c r="G105" s="13" t="str">
        <f>_xll.BDH("GILD US Equity","ARDR_RSTRCT_WF_BAL_NON_GAAP_R&amp;D","FQ4 2019","FQ4 2019","Currency=USD","Period=FQ","BEST_FPERIOD_OVERRIDE=FQ","FILING_STATUS=MR","SCALING_FORMAT=MLN","Sort=A","Dates=H","DateFormat=P","Fill=—","Direction=H","UseDPDF=Y")</f>
        <v>—</v>
      </c>
      <c r="H105" s="13" t="str">
        <f>_xll.BDH("GILD US Equity","ARDR_RSTRCT_WF_BAL_NON_GAAP_R&amp;D","FQ1 2020","FQ1 2020","Currency=USD","Period=FQ","BEST_FPERIOD_OVERRIDE=FQ","FILING_STATUS=MR","SCALING_FORMAT=MLN","Sort=A","Dates=H","DateFormat=P","Fill=—","Direction=H","UseDPDF=Y")</f>
        <v>—</v>
      </c>
      <c r="I105" s="13" t="str">
        <f>_xll.BDH("GILD US Equity","ARDR_RSTRCT_WF_BAL_NON_GAAP_R&amp;D","FQ2 2020","FQ2 2020","Currency=USD","Period=FQ","BEST_FPERIOD_OVERRIDE=FQ","FILING_STATUS=MR","SCALING_FORMAT=MLN","Sort=A","Dates=H","DateFormat=P","Fill=—","Direction=H","UseDPDF=Y")</f>
        <v>—</v>
      </c>
      <c r="J105" s="13" t="str">
        <f>_xll.BDH("GILD US Equity","ARDR_RSTRCT_WF_BAL_NON_GAAP_R&amp;D","FQ3 2020","FQ3 2020","Currency=USD","Period=FQ","BEST_FPERIOD_OVERRIDE=FQ","FILING_STATUS=MR","SCALING_FORMAT=MLN","Sort=A","Dates=H","DateFormat=P","Fill=—","Direction=H","UseDPDF=Y")</f>
        <v>—</v>
      </c>
      <c r="K105" s="13" t="str">
        <f>_xll.BDH("GILD US Equity","ARDR_RSTRCT_WF_BAL_NON_GAAP_R&amp;D","FQ4 2020","FQ4 2020","Currency=USD","Period=FQ","BEST_FPERIOD_OVERRIDE=FQ","FILING_STATUS=MR","SCALING_FORMAT=MLN","Sort=A","Dates=H","DateFormat=P","Fill=—","Direction=H","UseDPDF=Y")</f>
        <v>—</v>
      </c>
      <c r="L105" s="13" t="str">
        <f>_xll.BDH("GILD US Equity","ARDR_RSTRCT_WF_BAL_NON_GAAP_R&amp;D","FQ1 2021","FQ1 2021","Currency=USD","Period=FQ","BEST_FPERIOD_OVERRIDE=FQ","FILING_STATUS=MR","SCALING_FORMAT=MLN","Sort=A","Dates=H","DateFormat=P","Fill=—","Direction=H","UseDPDF=Y")</f>
        <v>—</v>
      </c>
      <c r="M105" s="13" t="str">
        <f>_xll.BDH("GILD US Equity","ARDR_RSTRCT_WF_BAL_NON_GAAP_R&amp;D","FQ2 2021","FQ2 2021","Currency=USD","Period=FQ","BEST_FPERIOD_OVERRIDE=FQ","FILING_STATUS=MR","SCALING_FORMAT=MLN","Sort=A","Dates=H","DateFormat=P","Fill=—","Direction=H","UseDPDF=Y")</f>
        <v>—</v>
      </c>
      <c r="N105" s="13" t="str">
        <f>_xll.BDH("GILD US Equity","ARDR_RSTRCT_WF_BAL_NON_GAAP_R&amp;D","FQ3 2021","FQ3 2021","Currency=USD","Period=FQ","BEST_FPERIOD_OVERRIDE=FQ","FILING_STATUS=MR","SCALING_FORMAT=MLN","Sort=A","Dates=H","DateFormat=P","Fill=—","Direction=H","UseDPDF=Y")</f>
        <v>—</v>
      </c>
      <c r="O105" s="13" t="str">
        <f>_xll.BDH("GILD US Equity","ARDR_RSTRCT_WF_BAL_NON_GAAP_R&amp;D","FQ4 2021","FQ4 2021","Currency=USD","Period=FQ","BEST_FPERIOD_OVERRIDE=FQ","FILING_STATUS=MR","SCALING_FORMAT=MLN","Sort=A","Dates=H","DateFormat=P","Fill=—","Direction=H","UseDPDF=Y")</f>
        <v>—</v>
      </c>
      <c r="P105" s="13" t="str">
        <f>_xll.BDH("GILD US Equity","ARDR_RSTRCT_WF_BAL_NON_GAAP_R&amp;D","FQ1 2022","FQ1 2022","Currency=USD","Period=FQ","BEST_FPERIOD_OVERRIDE=FQ","FILING_STATUS=MR","SCALING_FORMAT=MLN","Sort=A","Dates=H","DateFormat=P","Fill=—","Direction=H","UseDPDF=Y")</f>
        <v>—</v>
      </c>
      <c r="Q105" s="13" t="str">
        <f>_xll.BDH("GILD US Equity","ARDR_RSTRCT_WF_BAL_NON_GAAP_R&amp;D","FQ2 2022","FQ2 2022","Currency=USD","Period=FQ","BEST_FPERIOD_OVERRIDE=FQ","FILING_STATUS=MR","SCALING_FORMAT=MLN","Sort=A","Dates=H","DateFormat=P","Fill=—","Direction=H","UseDPDF=Y")</f>
        <v>—</v>
      </c>
      <c r="R105" s="13" t="str">
        <f>_xll.BDH("GILD US Equity","ARDR_RSTRCT_WF_BAL_NON_GAAP_R&amp;D","FQ3 2022","FQ3 2022","Currency=USD","Period=FQ","BEST_FPERIOD_OVERRIDE=FQ","FILING_STATUS=MR","SCALING_FORMAT=MLN","Sort=A","Dates=H","DateFormat=P","Fill=—","Direction=H","UseDPDF=Y")</f>
        <v>—</v>
      </c>
      <c r="S105" s="13" t="str">
        <f>_xll.BDH("GILD US Equity","ARDR_RSTRCT_WF_BAL_NON_GAAP_R&amp;D","FQ4 2022","FQ4 2022","Currency=USD","Period=FQ","BEST_FPERIOD_OVERRIDE=FQ","FILING_STATUS=MR","SCALING_FORMAT=MLN","Sort=A","Dates=H","DateFormat=P","Fill=—","Direction=H","UseDPDF=Y")</f>
        <v>—</v>
      </c>
      <c r="T105" s="13" t="str">
        <f>_xll.BDH("GILD US Equity","ARDR_RSTRCT_WF_BAL_NON_GAAP_R&amp;D","FQ1 2023","FQ1 2023","Currency=USD","Period=FQ","BEST_FPERIOD_OVERRIDE=FQ","FILING_STATUS=MR","SCALING_FORMAT=MLN","Sort=A","Dates=H","DateFormat=P","Fill=—","Direction=H","UseDPDF=Y")</f>
        <v>—</v>
      </c>
      <c r="U105" s="13" t="str">
        <f>_xll.BDH("GILD US Equity","ARDR_RSTRCT_WF_BAL_NON_GAAP_R&amp;D","FQ2 2023","FQ2 2023","Currency=USD","Period=FQ","BEST_FPERIOD_OVERRIDE=FQ","FILING_STATUS=MR","SCALING_FORMAT=MLN","Sort=A","Dates=H","DateFormat=P","Fill=—","Direction=H","UseDPDF=Y")</f>
        <v>—</v>
      </c>
      <c r="V105" s="13">
        <f>_xll.BDH("GILD US Equity","ARDR_RSTRCT_WF_BAL_NON_GAAP_R&amp;D","FQ3 2023","FQ3 2023","Currency=USD","Period=FQ","BEST_FPERIOD_OVERRIDE=FQ","FILING_STATUS=MR","SCALING_FORMAT=MLN","Sort=A","Dates=H","DateFormat=P","Fill=—","Direction=H","UseDPDF=Y")</f>
        <v>5</v>
      </c>
      <c r="W105" s="13">
        <f>_xll.BDH("GILD US Equity","ARDR_RSTRCT_WF_BAL_NON_GAAP_R&amp;D","FQ4 2023","FQ4 2023","Currency=USD","Period=FQ","BEST_FPERIOD_OVERRIDE=FQ","FILING_STATUS=MR","SCALING_FORMAT=MLN","Sort=A","Dates=H","DateFormat=P","Fill=—","Direction=H","UseDPDF=Y")</f>
        <v>15</v>
      </c>
      <c r="X105" s="13">
        <f>_xll.BDH("GILD US Equity","ARDR_RSTRCT_WF_BAL_NON_GAAP_R&amp;D","FQ1 2024","FQ1 2024","Currency=USD","Period=FQ","BEST_FPERIOD_OVERRIDE=FQ","FILING_STATUS=MR","SCALING_FORMAT=MLN","Sort=A","Dates=H","DateFormat=P","Fill=—","Direction=H","UseDPDF=Y")</f>
        <v>50</v>
      </c>
      <c r="Y105" s="13">
        <f>_xll.BDH("GILD US Equity","ARDR_RSTRCT_WF_BAL_NON_GAAP_R&amp;D","FQ2 2024","FQ2 2024","Currency=USD","Period=FQ","BEST_FPERIOD_OVERRIDE=FQ","FILING_STATUS=MR","SCALING_FORMAT=MLN","Sort=A","Dates=H","DateFormat=P","Fill=—","Direction=H","UseDPDF=Y")</f>
        <v>13</v>
      </c>
      <c r="Z105" s="13">
        <f>_xll.BDH("GILD US Equity","ARDR_RSTRCT_WF_BAL_NON_GAAP_R&amp;D","FQ3 2024","FQ3 2024","Currency=USD","Period=FQ","BEST_FPERIOD_OVERRIDE=FQ","FILING_STATUS=MR","SCALING_FORMAT=MLN","Sort=A","Dates=H","DateFormat=P","Fill=—","Direction=H","UseDPDF=Y")</f>
        <v>5</v>
      </c>
      <c r="AA105" s="13">
        <f>_xll.BDH("GILD US Equity","ARDR_RSTRCT_WF_BAL_NON_GAAP_R&amp;D","FQ4 2024","FQ4 2024","Currency=USD","Period=FQ","BEST_FPERIOD_OVERRIDE=FQ","FILING_STATUS=MR","SCALING_FORMAT=MLN","Sort=A","Dates=H","DateFormat=P","Fill=—","Direction=H","UseDPDF=Y")</f>
        <v>30</v>
      </c>
    </row>
    <row r="106" spans="1:27" x14ac:dyDescent="0.25">
      <c r="A106" s="10" t="s">
        <v>590</v>
      </c>
      <c r="B106" s="10" t="s">
        <v>591</v>
      </c>
      <c r="C106" s="13">
        <f>_xll.BDH("GILD US Equity","ARDR_AMORT_INT_AST_NON_GAAP_COGS","FQ4 2018","FQ4 2018","Currency=USD","Period=FQ","BEST_FPERIOD_OVERRIDE=FQ","FILING_STATUS=MR","SCALING_FORMAT=MLN","Sort=A","Dates=H","DateFormat=P","Fill=—","Direction=H","UseDPDF=Y")</f>
        <v>301</v>
      </c>
      <c r="D106" s="13">
        <f>_xll.BDH("GILD US Equity","ARDR_AMORT_INT_AST_NON_GAAP_COGS","FQ1 2019","FQ1 2019","Currency=USD","Period=FQ","BEST_FPERIOD_OVERRIDE=FQ","FILING_STATUS=MR","SCALING_FORMAT=MLN","Sort=A","Dates=H","DateFormat=P","Fill=—","Direction=H","UseDPDF=Y")</f>
        <v>283</v>
      </c>
      <c r="E106" s="13">
        <f>_xll.BDH("GILD US Equity","ARDR_AMORT_INT_AST_NON_GAAP_COGS","FQ2 2019","FQ2 2019","Currency=USD","Period=FQ","BEST_FPERIOD_OVERRIDE=FQ","FILING_STATUS=MR","SCALING_FORMAT=MLN","Sort=A","Dates=H","DateFormat=P","Fill=—","Direction=H","UseDPDF=Y")</f>
        <v>273</v>
      </c>
      <c r="F106" s="13">
        <f>_xll.BDH("GILD US Equity","ARDR_AMORT_INT_AST_NON_GAAP_COGS","FQ3 2019","FQ3 2019","Currency=USD","Period=FQ","BEST_FPERIOD_OVERRIDE=FQ","FILING_STATUS=MR","SCALING_FORMAT=MLN","Sort=A","Dates=H","DateFormat=P","Fill=—","Direction=H","UseDPDF=Y")</f>
        <v>266</v>
      </c>
      <c r="G106" s="13">
        <f>_xll.BDH("GILD US Equity","ARDR_AMORT_INT_AST_NON_GAAP_COGS","FQ4 2019","FQ4 2019","Currency=USD","Period=FQ","BEST_FPERIOD_OVERRIDE=FQ","FILING_STATUS=MR","SCALING_FORMAT=MLN","Sort=A","Dates=H","DateFormat=P","Fill=—","Direction=H","UseDPDF=Y")</f>
        <v>266</v>
      </c>
      <c r="H106" s="13">
        <f>_xll.BDH("GILD US Equity","ARDR_AMORT_INT_AST_NON_GAAP_COGS","FQ1 2020","FQ1 2020","Currency=USD","Period=FQ","BEST_FPERIOD_OVERRIDE=FQ","FILING_STATUS=MR","SCALING_FORMAT=MLN","Sort=A","Dates=H","DateFormat=P","Fill=—","Direction=H","UseDPDF=Y")</f>
        <v>266</v>
      </c>
      <c r="I106" s="13">
        <f>_xll.BDH("GILD US Equity","ARDR_AMORT_INT_AST_NON_GAAP_COGS","FQ2 2020","FQ2 2020","Currency=USD","Period=FQ","BEST_FPERIOD_OVERRIDE=FQ","FILING_STATUS=MR","SCALING_FORMAT=MLN","Sort=A","Dates=H","DateFormat=P","Fill=—","Direction=H","UseDPDF=Y")</f>
        <v>266</v>
      </c>
      <c r="J106" s="13">
        <f>_xll.BDH("GILD US Equity","ARDR_AMORT_INT_AST_NON_GAAP_COGS","FQ3 2020","FQ3 2020","Currency=USD","Period=FQ","BEST_FPERIOD_OVERRIDE=FQ","FILING_STATUS=MR","SCALING_FORMAT=MLN","Sort=A","Dates=H","DateFormat=P","Fill=—","Direction=H","UseDPDF=Y")</f>
        <v>266</v>
      </c>
      <c r="K106" s="13">
        <f>_xll.BDH("GILD US Equity","ARDR_AMORT_INT_AST_NON_GAAP_COGS","FQ4 2020","FQ4 2020","Currency=USD","Period=FQ","BEST_FPERIOD_OVERRIDE=FQ","FILING_STATUS=MR","SCALING_FORMAT=MLN","Sort=A","Dates=H","DateFormat=P","Fill=—","Direction=H","UseDPDF=Y")</f>
        <v>417</v>
      </c>
      <c r="L106" s="13">
        <f>_xll.BDH("GILD US Equity","ARDR_AMORT_INT_AST_NON_GAAP_COGS","FQ1 2021","FQ1 2021","Currency=USD","Period=FQ","BEST_FPERIOD_OVERRIDE=FQ","FILING_STATUS=MR","SCALING_FORMAT=MLN","Sort=A","Dates=H","DateFormat=P","Fill=—","Direction=H","UseDPDF=Y")</f>
        <v>506</v>
      </c>
      <c r="M106" s="13">
        <f>_xll.BDH("GILD US Equity","ARDR_AMORT_INT_AST_NON_GAAP_COGS","FQ2 2021","FQ2 2021","Currency=USD","Period=FQ","BEST_FPERIOD_OVERRIDE=FQ","FILING_STATUS=MR","SCALING_FORMAT=MLN","Sort=A","Dates=H","DateFormat=P","Fill=—","Direction=H","UseDPDF=Y")</f>
        <v>554</v>
      </c>
      <c r="N106" s="13">
        <f>_xll.BDH("GILD US Equity","ARDR_AMORT_INT_AST_NON_GAAP_COGS","FQ3 2021","FQ3 2021","Currency=USD","Period=FQ","BEST_FPERIOD_OVERRIDE=FQ","FILING_STATUS=MR","SCALING_FORMAT=MLN","Sort=A","Dates=H","DateFormat=P","Fill=—","Direction=H","UseDPDF=Y")</f>
        <v>487</v>
      </c>
      <c r="O106" s="13">
        <f>_xll.BDH("GILD US Equity","ARDR_AMORT_INT_AST_NON_GAAP_COGS","FQ4 2021","FQ4 2021","Currency=USD","Period=FQ","BEST_FPERIOD_OVERRIDE=FQ","FILING_STATUS=MR","SCALING_FORMAT=MLN","Sort=A","Dates=H","DateFormat=P","Fill=—","Direction=H","UseDPDF=Y")</f>
        <v>516</v>
      </c>
      <c r="P106" s="13">
        <f>_xll.BDH("GILD US Equity","ARDR_AMORT_INT_AST_NON_GAAP_COGS","FQ1 2022","FQ1 2022","Currency=USD","Period=FQ","BEST_FPERIOD_OVERRIDE=FQ","FILING_STATUS=MR","SCALING_FORMAT=MLN","Sort=A","Dates=H","DateFormat=P","Fill=—","Direction=H","UseDPDF=Y")</f>
        <v>599</v>
      </c>
      <c r="Q106" s="13">
        <f>_xll.BDH("GILD US Equity","ARDR_AMORT_INT_AST_NON_GAAP_COGS","FQ2 2022","FQ2 2022","Currency=USD","Period=FQ","BEST_FPERIOD_OVERRIDE=FQ","FILING_STATUS=MR","SCALING_FORMAT=MLN","Sort=A","Dates=H","DateFormat=P","Fill=—","Direction=H","UseDPDF=Y")</f>
        <v>556</v>
      </c>
      <c r="R106" s="13">
        <f>_xll.BDH("GILD US Equity","ARDR_AMORT_INT_AST_NON_GAAP_COGS","FQ3 2022","FQ3 2022","Currency=USD","Period=FQ","BEST_FPERIOD_OVERRIDE=FQ","FILING_STATUS=MR","SCALING_FORMAT=MLN","Sort=A","Dates=H","DateFormat=P","Fill=—","Direction=H","UseDPDF=Y")</f>
        <v>472</v>
      </c>
      <c r="S106" s="13">
        <f>_xll.BDH("GILD US Equity","ARDR_AMORT_INT_AST_NON_GAAP_COGS","FQ4 2022","FQ4 2022","Currency=USD","Period=FQ","BEST_FPERIOD_OVERRIDE=FQ","FILING_STATUS=MR","SCALING_FORMAT=MLN","Sort=A","Dates=H","DateFormat=P","Fill=—","Direction=H","UseDPDF=Y")</f>
        <v>428</v>
      </c>
      <c r="T106" s="13">
        <f>_xll.BDH("GILD US Equity","ARDR_AMORT_INT_AST_NON_GAAP_COGS","FQ1 2023","FQ1 2023","Currency=USD","Period=FQ","BEST_FPERIOD_OVERRIDE=FQ","FILING_STATUS=MR","SCALING_FORMAT=MLN","Sort=A","Dates=H","DateFormat=P","Fill=—","Direction=H","UseDPDF=Y")</f>
        <v>530</v>
      </c>
      <c r="U106" s="13">
        <f>_xll.BDH("GILD US Equity","ARDR_AMORT_INT_AST_NON_GAAP_COGS","FQ2 2023","FQ2 2023","Currency=USD","Period=FQ","BEST_FPERIOD_OVERRIDE=FQ","FILING_STATUS=MR","SCALING_FORMAT=MLN","Sort=A","Dates=H","DateFormat=P","Fill=—","Direction=H","UseDPDF=Y")</f>
        <v>581</v>
      </c>
      <c r="V106" s="13">
        <f>_xll.BDH("GILD US Equity","ARDR_AMORT_INT_AST_NON_GAAP_COGS","FQ3 2023","FQ3 2023","Currency=USD","Period=FQ","BEST_FPERIOD_OVERRIDE=FQ","FILING_STATUS=MR","SCALING_FORMAT=MLN","Sort=A","Dates=H","DateFormat=P","Fill=—","Direction=H","UseDPDF=Y")</f>
        <v>581</v>
      </c>
      <c r="W106" s="13">
        <f>_xll.BDH("GILD US Equity","ARDR_AMORT_INT_AST_NON_GAAP_COGS","FQ4 2023","FQ4 2023","Currency=USD","Period=FQ","BEST_FPERIOD_OVERRIDE=FQ","FILING_STATUS=MR","SCALING_FORMAT=MLN","Sort=A","Dates=H","DateFormat=P","Fill=—","Direction=H","UseDPDF=Y")</f>
        <v>580</v>
      </c>
      <c r="X106" s="13">
        <f>_xll.BDH("GILD US Equity","ARDR_AMORT_INT_AST_NON_GAAP_COGS","FQ1 2024","FQ1 2024","Currency=USD","Period=FQ","BEST_FPERIOD_OVERRIDE=FQ","FILING_STATUS=MR","SCALING_FORMAT=MLN","Sort=A","Dates=H","DateFormat=P","Fill=—","Direction=H","UseDPDF=Y")</f>
        <v>579</v>
      </c>
      <c r="Y106" s="13">
        <f>_xll.BDH("GILD US Equity","ARDR_AMORT_INT_AST_NON_GAAP_COGS","FQ2 2024","FQ2 2024","Currency=USD","Period=FQ","BEST_FPERIOD_OVERRIDE=FQ","FILING_STATUS=MR","SCALING_FORMAT=MLN","Sort=A","Dates=H","DateFormat=P","Fill=—","Direction=H","UseDPDF=Y")</f>
        <v>579</v>
      </c>
      <c r="Z106" s="13">
        <f>_xll.BDH("GILD US Equity","ARDR_AMORT_INT_AST_NON_GAAP_COGS","FQ3 2024","FQ3 2024","Currency=USD","Period=FQ","BEST_FPERIOD_OVERRIDE=FQ","FILING_STATUS=MR","SCALING_FORMAT=MLN","Sort=A","Dates=H","DateFormat=P","Fill=—","Direction=H","UseDPDF=Y")</f>
        <v>579</v>
      </c>
      <c r="AA106" s="13">
        <f>_xll.BDH("GILD US Equity","ARDR_AMORT_INT_AST_NON_GAAP_COGS","FQ4 2024","FQ4 2024","Currency=USD","Period=FQ","BEST_FPERIOD_OVERRIDE=FQ","FILING_STATUS=MR","SCALING_FORMAT=MLN","Sort=A","Dates=H","DateFormat=P","Fill=—","Direction=H","UseDPDF=Y")</f>
        <v>579</v>
      </c>
    </row>
    <row r="107" spans="1:27" x14ac:dyDescent="0.25">
      <c r="A107" s="10" t="s">
        <v>592</v>
      </c>
      <c r="B107" s="10" t="s">
        <v>593</v>
      </c>
      <c r="C107" s="13">
        <f>_xll.BDH("GILD US Equity","ARDR_ACQ_REL_CHRGS_NON_GAAP_SG&amp;A","FQ4 2018","FQ4 2018","Currency=USD","Period=FQ","BEST_FPERIOD_OVERRIDE=FQ","FILING_STATUS=MR","SCALING_FORMAT=MLN","Sort=A","Dates=H","DateFormat=P","Fill=—","Direction=H","UseDPDF=Y")</f>
        <v>1</v>
      </c>
      <c r="D107" s="13" t="str">
        <f>_xll.BDH("GILD US Equity","ARDR_ACQ_REL_CHRGS_NON_GAAP_SG&amp;A","FQ1 2019","FQ1 2019","Currency=USD","Period=FQ","BEST_FPERIOD_OVERRIDE=FQ","FILING_STATUS=MR","SCALING_FORMAT=MLN","Sort=A","Dates=H","DateFormat=P","Fill=—","Direction=H","UseDPDF=Y")</f>
        <v>—</v>
      </c>
      <c r="E107" s="13" t="str">
        <f>_xll.BDH("GILD US Equity","ARDR_ACQ_REL_CHRGS_NON_GAAP_SG&amp;A","FQ2 2019","FQ2 2019","Currency=USD","Period=FQ","BEST_FPERIOD_OVERRIDE=FQ","FILING_STATUS=MR","SCALING_FORMAT=MLN","Sort=A","Dates=H","DateFormat=P","Fill=—","Direction=H","UseDPDF=Y")</f>
        <v>—</v>
      </c>
      <c r="F107" s="13" t="str">
        <f>_xll.BDH("GILD US Equity","ARDR_ACQ_REL_CHRGS_NON_GAAP_SG&amp;A","FQ3 2019","FQ3 2019","Currency=USD","Period=FQ","BEST_FPERIOD_OVERRIDE=FQ","FILING_STATUS=MR","SCALING_FORMAT=MLN","Sort=A","Dates=H","DateFormat=P","Fill=—","Direction=H","UseDPDF=Y")</f>
        <v>—</v>
      </c>
      <c r="G107" s="13" t="str">
        <f>_xll.BDH("GILD US Equity","ARDR_ACQ_REL_CHRGS_NON_GAAP_SG&amp;A","FQ4 2019","FQ4 2019","Currency=USD","Period=FQ","BEST_FPERIOD_OVERRIDE=FQ","FILING_STATUS=MR","SCALING_FORMAT=MLN","Sort=A","Dates=H","DateFormat=P","Fill=—","Direction=H","UseDPDF=Y")</f>
        <v>—</v>
      </c>
      <c r="H107" s="13" t="str">
        <f>_xll.BDH("GILD US Equity","ARDR_ACQ_REL_CHRGS_NON_GAAP_SG&amp;A","FQ1 2020","FQ1 2020","Currency=USD","Period=FQ","BEST_FPERIOD_OVERRIDE=FQ","FILING_STATUS=MR","SCALING_FORMAT=MLN","Sort=A","Dates=H","DateFormat=P","Fill=—","Direction=H","UseDPDF=Y")</f>
        <v>—</v>
      </c>
      <c r="I107" s="13">
        <f>_xll.BDH("GILD US Equity","ARDR_ACQ_REL_CHRGS_NON_GAAP_SG&amp;A","FQ2 2020","FQ2 2020","Currency=USD","Period=FQ","BEST_FPERIOD_OVERRIDE=FQ","FILING_STATUS=MR","SCALING_FORMAT=MLN","Sort=A","Dates=H","DateFormat=P","Fill=—","Direction=H","UseDPDF=Y")</f>
        <v>77</v>
      </c>
      <c r="J107" s="13">
        <f>_xll.BDH("GILD US Equity","ARDR_ACQ_REL_CHRGS_NON_GAAP_SG&amp;A","FQ3 2020","FQ3 2020","Currency=USD","Period=FQ","BEST_FPERIOD_OVERRIDE=FQ","FILING_STATUS=MR","SCALING_FORMAT=MLN","Sort=A","Dates=H","DateFormat=P","Fill=—","Direction=H","UseDPDF=Y")</f>
        <v>11</v>
      </c>
      <c r="K107" s="13">
        <f>_xll.BDH("GILD US Equity","ARDR_ACQ_REL_CHRGS_NON_GAAP_SG&amp;A","FQ4 2020","FQ4 2020","Currency=USD","Period=FQ","BEST_FPERIOD_OVERRIDE=FQ","FILING_STATUS=MR","SCALING_FORMAT=MLN","Sort=A","Dates=H","DateFormat=P","Fill=—","Direction=H","UseDPDF=Y")</f>
        <v>231</v>
      </c>
      <c r="L107" s="13">
        <f>_xll.BDH("GILD US Equity","ARDR_ACQ_REL_CHRGS_NON_GAAP_SG&amp;A","FQ1 2021","FQ1 2021","Currency=USD","Period=FQ","BEST_FPERIOD_OVERRIDE=FQ","FILING_STATUS=MR","SCALING_FORMAT=MLN","Sort=A","Dates=H","DateFormat=P","Fill=—","Direction=H","UseDPDF=Y")</f>
        <v>22</v>
      </c>
      <c r="M107" s="13">
        <f>_xll.BDH("GILD US Equity","ARDR_ACQ_REL_CHRGS_NON_GAAP_SG&amp;A","FQ2 2021","FQ2 2021","Currency=USD","Period=FQ","BEST_FPERIOD_OVERRIDE=FQ","FILING_STATUS=MR","SCALING_FORMAT=MLN","Sort=A","Dates=H","DateFormat=P","Fill=—","Direction=H","UseDPDF=Y")</f>
        <v>10</v>
      </c>
      <c r="N107" s="13">
        <f>_xll.BDH("GILD US Equity","ARDR_ACQ_REL_CHRGS_NON_GAAP_SG&amp;A","FQ3 2021","FQ3 2021","Currency=USD","Period=FQ","BEST_FPERIOD_OVERRIDE=FQ","FILING_STATUS=MR","SCALING_FORMAT=MLN","Sort=A","Dates=H","DateFormat=P","Fill=—","Direction=H","UseDPDF=Y")</f>
        <v>12</v>
      </c>
      <c r="O107" s="13" t="str">
        <f>_xll.BDH("GILD US Equity","ARDR_ACQ_REL_CHRGS_NON_GAAP_SG&amp;A","FQ4 2021","FQ4 2021","Currency=USD","Period=FQ","BEST_FPERIOD_OVERRIDE=FQ","FILING_STATUS=MR","SCALING_FORMAT=MLN","Sort=A","Dates=H","DateFormat=P","Fill=—","Direction=H","UseDPDF=Y")</f>
        <v>—</v>
      </c>
      <c r="P107" s="13">
        <f>_xll.BDH("GILD US Equity","ARDR_ACQ_REL_CHRGS_NON_GAAP_SG&amp;A","FQ1 2022","FQ1 2022","Currency=USD","Period=FQ","BEST_FPERIOD_OVERRIDE=FQ","FILING_STATUS=MR","SCALING_FORMAT=MLN","Sort=A","Dates=H","DateFormat=P","Fill=—","Direction=H","UseDPDF=Y")</f>
        <v>10</v>
      </c>
      <c r="Q107" s="13">
        <f>_xll.BDH("GILD US Equity","ARDR_ACQ_REL_CHRGS_NON_GAAP_SG&amp;A","FQ2 2022","FQ2 2022","Currency=USD","Period=FQ","BEST_FPERIOD_OVERRIDE=FQ","FILING_STATUS=MR","SCALING_FORMAT=MLN","Sort=A","Dates=H","DateFormat=P","Fill=—","Direction=H","UseDPDF=Y")</f>
        <v>0</v>
      </c>
      <c r="R107" s="13">
        <f>_xll.BDH("GILD US Equity","ARDR_ACQ_REL_CHRGS_NON_GAAP_SG&amp;A","FQ3 2022","FQ3 2022","Currency=USD","Period=FQ","BEST_FPERIOD_OVERRIDE=FQ","FILING_STATUS=MR","SCALING_FORMAT=MLN","Sort=A","Dates=H","DateFormat=P","Fill=—","Direction=H","UseDPDF=Y")</f>
        <v>1</v>
      </c>
      <c r="S107" s="13">
        <f>_xll.BDH("GILD US Equity","ARDR_ACQ_REL_CHRGS_NON_GAAP_SG&amp;A","FQ4 2022","FQ4 2022","Currency=USD","Period=FQ","BEST_FPERIOD_OVERRIDE=FQ","FILING_STATUS=MR","SCALING_FORMAT=MLN","Sort=A","Dates=H","DateFormat=P","Fill=—","Direction=H","UseDPDF=Y")</f>
        <v>1</v>
      </c>
      <c r="T107" s="13">
        <f>_xll.BDH("GILD US Equity","ARDR_ACQ_REL_CHRGS_NON_GAAP_SG&amp;A","FQ1 2023","FQ1 2023","Currency=USD","Period=FQ","BEST_FPERIOD_OVERRIDE=FQ","FILING_STATUS=MR","SCALING_FORMAT=MLN","Sort=A","Dates=H","DateFormat=P","Fill=—","Direction=H","UseDPDF=Y")</f>
        <v>6</v>
      </c>
      <c r="U107" s="13">
        <f>_xll.BDH("GILD US Equity","ARDR_ACQ_REL_CHRGS_NON_GAAP_SG&amp;A","FQ2 2023","FQ2 2023","Currency=USD","Period=FQ","BEST_FPERIOD_OVERRIDE=FQ","FILING_STATUS=MR","SCALING_FORMAT=MLN","Sort=A","Dates=H","DateFormat=P","Fill=—","Direction=H","UseDPDF=Y")</f>
        <v>27</v>
      </c>
      <c r="V107" s="13" t="str">
        <f>_xll.BDH("GILD US Equity","ARDR_ACQ_REL_CHRGS_NON_GAAP_SG&amp;A","FQ3 2023","FQ3 2023","Currency=USD","Period=FQ","BEST_FPERIOD_OVERRIDE=FQ","FILING_STATUS=MR","SCALING_FORMAT=MLN","Sort=A","Dates=H","DateFormat=P","Fill=—","Direction=H","UseDPDF=Y")</f>
        <v>—</v>
      </c>
      <c r="W107" s="13" t="str">
        <f>_xll.BDH("GILD US Equity","ARDR_ACQ_REL_CHRGS_NON_GAAP_SG&amp;A","FQ4 2023","FQ4 2023","Currency=USD","Period=FQ","BEST_FPERIOD_OVERRIDE=FQ","FILING_STATUS=MR","SCALING_FORMAT=MLN","Sort=A","Dates=H","DateFormat=P","Fill=—","Direction=H","UseDPDF=Y")</f>
        <v>—</v>
      </c>
      <c r="X107" s="13">
        <f>_xll.BDH("GILD US Equity","ARDR_ACQ_REL_CHRGS_NON_GAAP_SG&amp;A","FQ1 2024","FQ1 2024","Currency=USD","Period=FQ","BEST_FPERIOD_OVERRIDE=FQ","FILING_STATUS=MR","SCALING_FORMAT=MLN","Sort=A","Dates=H","DateFormat=P","Fill=—","Direction=H","UseDPDF=Y")</f>
        <v>67</v>
      </c>
      <c r="Y107" s="13">
        <f>_xll.BDH("GILD US Equity","ARDR_ACQ_REL_CHRGS_NON_GAAP_SG&amp;A","FQ2 2024","FQ2 2024","Currency=USD","Period=FQ","BEST_FPERIOD_OVERRIDE=FQ","FILING_STATUS=MR","SCALING_FORMAT=MLN","Sort=A","Dates=H","DateFormat=P","Fill=—","Direction=H","UseDPDF=Y")</f>
        <v>14</v>
      </c>
      <c r="Z107" s="13">
        <f>_xll.BDH("GILD US Equity","ARDR_ACQ_REL_CHRGS_NON_GAAP_SG&amp;A","FQ3 2024","FQ3 2024","Currency=USD","Period=FQ","BEST_FPERIOD_OVERRIDE=FQ","FILING_STATUS=MR","SCALING_FORMAT=MLN","Sort=A","Dates=H","DateFormat=P","Fill=—","Direction=H","UseDPDF=Y")</f>
        <v>5</v>
      </c>
      <c r="AA107" s="13">
        <f>_xll.BDH("GILD US Equity","ARDR_ACQ_REL_CHRGS_NON_GAAP_SG&amp;A","FQ4 2024","FQ4 2024","Currency=USD","Period=FQ","BEST_FPERIOD_OVERRIDE=FQ","FILING_STATUS=MR","SCALING_FORMAT=MLN","Sort=A","Dates=H","DateFormat=P","Fill=—","Direction=H","UseDPDF=Y")</f>
        <v>8</v>
      </c>
    </row>
    <row r="108" spans="1:27" x14ac:dyDescent="0.25">
      <c r="A108" s="10" t="s">
        <v>594</v>
      </c>
      <c r="B108" s="10" t="s">
        <v>595</v>
      </c>
      <c r="C108" s="13">
        <f>_xll.BDH("GILD US Equity","ARDR_ACQ_REL_CHRGS_NON_GAAP_R&amp;D","FQ4 2018","FQ4 2018","Currency=USD","Period=FQ","BEST_FPERIOD_OVERRIDE=FQ","FILING_STATUS=MR","SCALING_FORMAT=MLN","Sort=A","Dates=H","DateFormat=P","Fill=—","Direction=H","UseDPDF=Y")</f>
        <v>819</v>
      </c>
      <c r="D108" s="13" t="str">
        <f>_xll.BDH("GILD US Equity","ARDR_ACQ_REL_CHRGS_NON_GAAP_R&amp;D","FQ1 2019","FQ1 2019","Currency=USD","Period=FQ","BEST_FPERIOD_OVERRIDE=FQ","FILING_STATUS=MR","SCALING_FORMAT=MLN","Sort=A","Dates=H","DateFormat=P","Fill=—","Direction=H","UseDPDF=Y")</f>
        <v>—</v>
      </c>
      <c r="E108" s="13" t="str">
        <f>_xll.BDH("GILD US Equity","ARDR_ACQ_REL_CHRGS_NON_GAAP_R&amp;D","FQ2 2019","FQ2 2019","Currency=USD","Period=FQ","BEST_FPERIOD_OVERRIDE=FQ","FILING_STATUS=MR","SCALING_FORMAT=MLN","Sort=A","Dates=H","DateFormat=P","Fill=—","Direction=H","UseDPDF=Y")</f>
        <v>—</v>
      </c>
      <c r="F108" s="13" t="str">
        <f>_xll.BDH("GILD US Equity","ARDR_ACQ_REL_CHRGS_NON_GAAP_R&amp;D","FQ3 2019","FQ3 2019","Currency=USD","Period=FQ","BEST_FPERIOD_OVERRIDE=FQ","FILING_STATUS=MR","SCALING_FORMAT=MLN","Sort=A","Dates=H","DateFormat=P","Fill=—","Direction=H","UseDPDF=Y")</f>
        <v>—</v>
      </c>
      <c r="G108" s="13" t="str">
        <f>_xll.BDH("GILD US Equity","ARDR_ACQ_REL_CHRGS_NON_GAAP_R&amp;D","FQ4 2019","FQ4 2019","Currency=USD","Period=FQ","BEST_FPERIOD_OVERRIDE=FQ","FILING_STATUS=MR","SCALING_FORMAT=MLN","Sort=A","Dates=H","DateFormat=P","Fill=—","Direction=H","UseDPDF=Y")</f>
        <v>—</v>
      </c>
      <c r="H108" s="13" t="str">
        <f>_xll.BDH("GILD US Equity","ARDR_ACQ_REL_CHRGS_NON_GAAP_R&amp;D","FQ1 2020","FQ1 2020","Currency=USD","Period=FQ","BEST_FPERIOD_OVERRIDE=FQ","FILING_STATUS=MR","SCALING_FORMAT=MLN","Sort=A","Dates=H","DateFormat=P","Fill=—","Direction=H","UseDPDF=Y")</f>
        <v>—</v>
      </c>
      <c r="I108" s="13">
        <f>_xll.BDH("GILD US Equity","ARDR_ACQ_REL_CHRGS_NON_GAAP_R&amp;D","FQ2 2020","FQ2 2020","Currency=USD","Period=FQ","BEST_FPERIOD_OVERRIDE=FQ","FILING_STATUS=MR","SCALING_FORMAT=MLN","Sort=A","Dates=H","DateFormat=P","Fill=—","Direction=H","UseDPDF=Y")</f>
        <v>113</v>
      </c>
      <c r="J108" s="13">
        <f>_xll.BDH("GILD US Equity","ARDR_ACQ_REL_CHRGS_NON_GAAP_R&amp;D","FQ3 2020","FQ3 2020","Currency=USD","Period=FQ","BEST_FPERIOD_OVERRIDE=FQ","FILING_STATUS=MR","SCALING_FORMAT=MLN","Sort=A","Dates=H","DateFormat=P","Fill=—","Direction=H","UseDPDF=Y")</f>
        <v>3</v>
      </c>
      <c r="K108" s="13">
        <f>_xll.BDH("GILD US Equity","ARDR_ACQ_REL_CHRGS_NON_GAAP_R&amp;D","FQ4 2020","FQ4 2020","Currency=USD","Period=FQ","BEST_FPERIOD_OVERRIDE=FQ","FILING_STATUS=MR","SCALING_FORMAT=MLN","Sort=A","Dates=H","DateFormat=P","Fill=—","Direction=H","UseDPDF=Y")</f>
        <v>66</v>
      </c>
      <c r="L108" s="13" t="str">
        <f>_xll.BDH("GILD US Equity","ARDR_ACQ_REL_CHRGS_NON_GAAP_R&amp;D","FQ1 2021","FQ1 2021","Currency=USD","Period=FQ","BEST_FPERIOD_OVERRIDE=FQ","FILING_STATUS=MR","SCALING_FORMAT=MLN","Sort=A","Dates=H","DateFormat=P","Fill=—","Direction=H","UseDPDF=Y")</f>
        <v>—</v>
      </c>
      <c r="M108" s="13">
        <f>_xll.BDH("GILD US Equity","ARDR_ACQ_REL_CHRGS_NON_GAAP_R&amp;D","FQ2 2021","FQ2 2021","Currency=USD","Period=FQ","BEST_FPERIOD_OVERRIDE=FQ","FILING_STATUS=MR","SCALING_FORMAT=MLN","Sort=A","Dates=H","DateFormat=P","Fill=—","Direction=H","UseDPDF=Y")</f>
        <v>6</v>
      </c>
      <c r="N108" s="13">
        <f>_xll.BDH("GILD US Equity","ARDR_ACQ_REL_CHRGS_NON_GAAP_R&amp;D","FQ3 2021","FQ3 2021","Currency=USD","Period=FQ","BEST_FPERIOD_OVERRIDE=FQ","FILING_STATUS=MR","SCALING_FORMAT=MLN","Sort=A","Dates=H","DateFormat=P","Fill=—","Direction=H","UseDPDF=Y")</f>
        <v>-29</v>
      </c>
      <c r="O108" s="13" t="str">
        <f>_xll.BDH("GILD US Equity","ARDR_ACQ_REL_CHRGS_NON_GAAP_R&amp;D","FQ4 2021","FQ4 2021","Currency=USD","Period=FQ","BEST_FPERIOD_OVERRIDE=FQ","FILING_STATUS=MR","SCALING_FORMAT=MLN","Sort=A","Dates=H","DateFormat=P","Fill=—","Direction=H","UseDPDF=Y")</f>
        <v>—</v>
      </c>
      <c r="P108" s="13" t="str">
        <f>_xll.BDH("GILD US Equity","ARDR_ACQ_REL_CHRGS_NON_GAAP_R&amp;D","FQ1 2022","FQ1 2022","Currency=USD","Period=FQ","BEST_FPERIOD_OVERRIDE=FQ","FILING_STATUS=MR","SCALING_FORMAT=MLN","Sort=A","Dates=H","DateFormat=P","Fill=—","Direction=H","UseDPDF=Y")</f>
        <v>—</v>
      </c>
      <c r="Q108" s="13">
        <f>_xll.BDH("GILD US Equity","ARDR_ACQ_REL_CHRGS_NON_GAAP_R&amp;D","FQ2 2022","FQ2 2022","Currency=USD","Period=FQ","BEST_FPERIOD_OVERRIDE=FQ","FILING_STATUS=MR","SCALING_FORMAT=MLN","Sort=A","Dates=H","DateFormat=P","Fill=—","Direction=H","UseDPDF=Y")</f>
        <v>0</v>
      </c>
      <c r="R108" s="13">
        <f>_xll.BDH("GILD US Equity","ARDR_ACQ_REL_CHRGS_NON_GAAP_R&amp;D","FQ3 2022","FQ3 2022","Currency=USD","Period=FQ","BEST_FPERIOD_OVERRIDE=FQ","FILING_STATUS=MR","SCALING_FORMAT=MLN","Sort=A","Dates=H","DateFormat=P","Fill=—","Direction=H","UseDPDF=Y")</f>
        <v>24</v>
      </c>
      <c r="S108" s="13">
        <f>_xll.BDH("GILD US Equity","ARDR_ACQ_REL_CHRGS_NON_GAAP_R&amp;D","FQ4 2022","FQ4 2022","Currency=USD","Period=FQ","BEST_FPERIOD_OVERRIDE=FQ","FILING_STATUS=MR","SCALING_FORMAT=MLN","Sort=A","Dates=H","DateFormat=P","Fill=—","Direction=H","UseDPDF=Y")</f>
        <v>1</v>
      </c>
      <c r="T108" s="13" t="str">
        <f>_xll.BDH("GILD US Equity","ARDR_ACQ_REL_CHRGS_NON_GAAP_R&amp;D","FQ1 2023","FQ1 2023","Currency=USD","Period=FQ","BEST_FPERIOD_OVERRIDE=FQ","FILING_STATUS=MR","SCALING_FORMAT=MLN","Sort=A","Dates=H","DateFormat=P","Fill=—","Direction=H","UseDPDF=Y")</f>
        <v>—</v>
      </c>
      <c r="U108" s="13">
        <f>_xll.BDH("GILD US Equity","ARDR_ACQ_REL_CHRGS_NON_GAAP_R&amp;D","FQ2 2023","FQ2 2023","Currency=USD","Period=FQ","BEST_FPERIOD_OVERRIDE=FQ","FILING_STATUS=MR","SCALING_FORMAT=MLN","Sort=A","Dates=H","DateFormat=P","Fill=—","Direction=H","UseDPDF=Y")</f>
        <v>-30</v>
      </c>
      <c r="V108" s="13">
        <f>_xll.BDH("GILD US Equity","ARDR_ACQ_REL_CHRGS_NON_GAAP_R&amp;D","FQ3 2023","FQ3 2023","Currency=USD","Period=FQ","BEST_FPERIOD_OVERRIDE=FQ","FILING_STATUS=MR","SCALING_FORMAT=MLN","Sort=A","Dates=H","DateFormat=P","Fill=—","Direction=H","UseDPDF=Y")</f>
        <v>-1</v>
      </c>
      <c r="W108" s="13">
        <f>_xll.BDH("GILD US Equity","ARDR_ACQ_REL_CHRGS_NON_GAAP_R&amp;D","FQ4 2023","FQ4 2023","Currency=USD","Period=FQ","BEST_FPERIOD_OVERRIDE=FQ","FILING_STATUS=MR","SCALING_FORMAT=MLN","Sort=A","Dates=H","DateFormat=P","Fill=—","Direction=H","UseDPDF=Y")</f>
        <v>1</v>
      </c>
      <c r="X108" s="13">
        <f>_xll.BDH("GILD US Equity","ARDR_ACQ_REL_CHRGS_NON_GAAP_R&amp;D","FQ1 2024","FQ1 2024","Currency=USD","Period=FQ","BEST_FPERIOD_OVERRIDE=FQ","FILING_STATUS=MR","SCALING_FORMAT=MLN","Sort=A","Dates=H","DateFormat=P","Fill=—","Direction=H","UseDPDF=Y")</f>
        <v>66</v>
      </c>
      <c r="Y108" s="13">
        <f>_xll.BDH("GILD US Equity","ARDR_ACQ_REL_CHRGS_NON_GAAP_R&amp;D","FQ2 2024","FQ2 2024","Currency=USD","Period=FQ","BEST_FPERIOD_OVERRIDE=FQ","FILING_STATUS=MR","SCALING_FORMAT=MLN","Sort=A","Dates=H","DateFormat=P","Fill=—","Direction=H","UseDPDF=Y")</f>
        <v>3</v>
      </c>
      <c r="Z108" s="13">
        <f>_xll.BDH("GILD US Equity","ARDR_ACQ_REL_CHRGS_NON_GAAP_R&amp;D","FQ3 2024","FQ3 2024","Currency=USD","Period=FQ","BEST_FPERIOD_OVERRIDE=FQ","FILING_STATUS=MR","SCALING_FORMAT=MLN","Sort=A","Dates=H","DateFormat=P","Fill=—","Direction=H","UseDPDF=Y")</f>
        <v>9</v>
      </c>
      <c r="AA108" s="13">
        <f>_xll.BDH("GILD US Equity","ARDR_ACQ_REL_CHRGS_NON_GAAP_R&amp;D","FQ4 2024","FQ4 2024","Currency=USD","Period=FQ","BEST_FPERIOD_OVERRIDE=FQ","FILING_STATUS=MR","SCALING_FORMAT=MLN","Sort=A","Dates=H","DateFormat=P","Fill=—","Direction=H","UseDPDF=Y")</f>
        <v>0</v>
      </c>
    </row>
    <row r="109" spans="1:27" x14ac:dyDescent="0.25">
      <c r="A109" s="10" t="s">
        <v>596</v>
      </c>
      <c r="B109" s="10" t="s">
        <v>597</v>
      </c>
      <c r="C109" s="13">
        <f>_xll.BDH("GILD US Equity","ARDR_SBC_NON_GAAP_COGS","FQ4 2018","FQ4 2018","Currency=USD","Period=FQ","BEST_FPERIOD_OVERRIDE=FQ","FILING_STATUS=MR","SCALING_FORMAT=MLN","Sort=A","Dates=H","DateFormat=P","Fill=—","Direction=H","UseDPDF=Y")</f>
        <v>12</v>
      </c>
      <c r="D109" s="13">
        <f>_xll.BDH("GILD US Equity","ARDR_SBC_NON_GAAP_COGS","FQ1 2019","FQ1 2019","Currency=USD","Period=FQ","BEST_FPERIOD_OVERRIDE=FQ","FILING_STATUS=MR","SCALING_FORMAT=MLN","Sort=A","Dates=H","DateFormat=P","Fill=—","Direction=H","UseDPDF=Y")</f>
        <v>14</v>
      </c>
      <c r="E109" s="13">
        <f>_xll.BDH("GILD US Equity","ARDR_SBC_NON_GAAP_COGS","FQ2 2019","FQ2 2019","Currency=USD","Period=FQ","BEST_FPERIOD_OVERRIDE=FQ","FILING_STATUS=MR","SCALING_FORMAT=MLN","Sort=A","Dates=H","DateFormat=P","Fill=—","Direction=H","UseDPDF=Y")</f>
        <v>13</v>
      </c>
      <c r="F109" s="13">
        <f>_xll.BDH("GILD US Equity","ARDR_SBC_NON_GAAP_COGS","FQ3 2019","FQ3 2019","Currency=USD","Period=FQ","BEST_FPERIOD_OVERRIDE=FQ","FILING_STATUS=MR","SCALING_FORMAT=MLN","Sort=A","Dates=H","DateFormat=P","Fill=—","Direction=H","UseDPDF=Y")</f>
        <v>10</v>
      </c>
      <c r="G109" s="13">
        <f>_xll.BDH("GILD US Equity","ARDR_SBC_NON_GAAP_COGS","FQ4 2019","FQ4 2019","Currency=USD","Period=FQ","BEST_FPERIOD_OVERRIDE=FQ","FILING_STATUS=MR","SCALING_FORMAT=MLN","Sort=A","Dates=H","DateFormat=P","Fill=—","Direction=H","UseDPDF=Y")</f>
        <v>11</v>
      </c>
      <c r="H109" s="13">
        <f>_xll.BDH("GILD US Equity","ARDR_SBC_NON_GAAP_COGS","FQ1 2020","FQ1 2020","Currency=USD","Period=FQ","BEST_FPERIOD_OVERRIDE=FQ","FILING_STATUS=MR","SCALING_FORMAT=MLN","Sort=A","Dates=H","DateFormat=P","Fill=—","Direction=H","UseDPDF=Y")</f>
        <v>969</v>
      </c>
      <c r="I109" s="13">
        <f>_xll.BDH("GILD US Equity","ARDR_SBC_NON_GAAP_COGS","FQ2 2020","FQ2 2020","Currency=USD","Period=FQ","BEST_FPERIOD_OVERRIDE=FQ","FILING_STATUS=MR","SCALING_FORMAT=MLN","Sort=A","Dates=H","DateFormat=P","Fill=—","Direction=H","UseDPDF=Y")</f>
        <v>1064</v>
      </c>
      <c r="J109" s="13" t="str">
        <f>_xll.BDH("GILD US Equity","ARDR_SBC_NON_GAAP_COGS","FQ3 2020","FQ3 2020","Currency=USD","Period=FQ","BEST_FPERIOD_OVERRIDE=FQ","FILING_STATUS=MR","SCALING_FORMAT=MLN","Sort=A","Dates=H","DateFormat=P","Fill=—","Direction=H","UseDPDF=Y")</f>
        <v>—</v>
      </c>
      <c r="K109" s="13" t="str">
        <f>_xll.BDH("GILD US Equity","ARDR_SBC_NON_GAAP_COGS","FQ4 2020","FQ4 2020","Currency=USD","Period=FQ","BEST_FPERIOD_OVERRIDE=FQ","FILING_STATUS=MR","SCALING_FORMAT=MLN","Sort=A","Dates=H","DateFormat=P","Fill=—","Direction=H","UseDPDF=Y")</f>
        <v>—</v>
      </c>
      <c r="L109" s="13">
        <f>_xll.BDH("GILD US Equity","ARDR_SBC_NON_GAAP_COGS","FQ1 2021","FQ1 2021","Currency=USD","Period=FQ","BEST_FPERIOD_OVERRIDE=FQ","FILING_STATUS=MR","SCALING_FORMAT=MLN","Sort=A","Dates=H","DateFormat=P","Fill=—","Direction=H","UseDPDF=Y")</f>
        <v>1361</v>
      </c>
      <c r="M109" s="13">
        <f>_xll.BDH("GILD US Equity","ARDR_SBC_NON_GAAP_COGS","FQ2 2021","FQ2 2021","Currency=USD","Period=FQ","BEST_FPERIOD_OVERRIDE=FQ","FILING_STATUS=MR","SCALING_FORMAT=MLN","Sort=A","Dates=H","DateFormat=P","Fill=—","Direction=H","UseDPDF=Y")</f>
        <v>1390</v>
      </c>
      <c r="N109" s="13">
        <f>_xll.BDH("GILD US Equity","ARDR_SBC_NON_GAAP_COGS","FQ3 2021","FQ3 2021","Currency=USD","Period=FQ","BEST_FPERIOD_OVERRIDE=FQ","FILING_STATUS=MR","SCALING_FORMAT=MLN","Sort=A","Dates=H","DateFormat=P","Fill=—","Direction=H","UseDPDF=Y")</f>
        <v>1223</v>
      </c>
      <c r="O109" s="13" t="str">
        <f>_xll.BDH("GILD US Equity","ARDR_SBC_NON_GAAP_COGS","FQ4 2021","FQ4 2021","Currency=USD","Period=FQ","BEST_FPERIOD_OVERRIDE=FQ","FILING_STATUS=MR","SCALING_FORMAT=MLN","Sort=A","Dates=H","DateFormat=P","Fill=—","Direction=H","UseDPDF=Y")</f>
        <v>—</v>
      </c>
      <c r="P109" s="13" t="str">
        <f>_xll.BDH("GILD US Equity","ARDR_SBC_NON_GAAP_COGS","FQ1 2022","FQ1 2022","Currency=USD","Period=FQ","BEST_FPERIOD_OVERRIDE=FQ","FILING_STATUS=MR","SCALING_FORMAT=MLN","Sort=A","Dates=H","DateFormat=P","Fill=—","Direction=H","UseDPDF=Y")</f>
        <v>—</v>
      </c>
      <c r="Q109" s="13">
        <f>_xll.BDH("GILD US Equity","ARDR_SBC_NON_GAAP_COGS","FQ2 2022","FQ2 2022","Currency=USD","Period=FQ","BEST_FPERIOD_OVERRIDE=FQ","FILING_STATUS=MR","SCALING_FORMAT=MLN","Sort=A","Dates=H","DateFormat=P","Fill=—","Direction=H","UseDPDF=Y")</f>
        <v>1442</v>
      </c>
      <c r="R109" s="13" t="str">
        <f>_xll.BDH("GILD US Equity","ARDR_SBC_NON_GAAP_COGS","FQ3 2022","FQ3 2022","Currency=USD","Period=FQ","BEST_FPERIOD_OVERRIDE=FQ","FILING_STATUS=MR","SCALING_FORMAT=MLN","Sort=A","Dates=H","DateFormat=P","Fill=—","Direction=H","UseDPDF=Y")</f>
        <v>—</v>
      </c>
      <c r="S109" s="13" t="str">
        <f>_xll.BDH("GILD US Equity","ARDR_SBC_NON_GAAP_COGS","FQ4 2022","FQ4 2022","Currency=USD","Period=FQ","BEST_FPERIOD_OVERRIDE=FQ","FILING_STATUS=MR","SCALING_FORMAT=MLN","Sort=A","Dates=H","DateFormat=P","Fill=—","Direction=H","UseDPDF=Y")</f>
        <v>—</v>
      </c>
      <c r="T109" s="13" t="str">
        <f>_xll.BDH("GILD US Equity","ARDR_SBC_NON_GAAP_COGS","FQ1 2023","FQ1 2023","Currency=USD","Period=FQ","BEST_FPERIOD_OVERRIDE=FQ","FILING_STATUS=MR","SCALING_FORMAT=MLN","Sort=A","Dates=H","DateFormat=P","Fill=—","Direction=H","UseDPDF=Y")</f>
        <v>—</v>
      </c>
      <c r="U109" s="13">
        <f>_xll.BDH("GILD US Equity","ARDR_SBC_NON_GAAP_COGS","FQ2 2023","FQ2 2023","Currency=USD","Period=FQ","BEST_FPERIOD_OVERRIDE=FQ","FILING_STATUS=MR","SCALING_FORMAT=MLN","Sort=A","Dates=H","DateFormat=P","Fill=—","Direction=H","UseDPDF=Y")</f>
        <v>1442</v>
      </c>
      <c r="V109" s="13" t="str">
        <f>_xll.BDH("GILD US Equity","ARDR_SBC_NON_GAAP_COGS","FQ3 2023","FQ3 2023","Currency=USD","Period=FQ","BEST_FPERIOD_OVERRIDE=FQ","FILING_STATUS=MR","SCALING_FORMAT=MLN","Sort=A","Dates=H","DateFormat=P","Fill=—","Direction=H","UseDPDF=Y")</f>
        <v>—</v>
      </c>
      <c r="W109" s="13" t="str">
        <f>_xll.BDH("GILD US Equity","ARDR_SBC_NON_GAAP_COGS","FQ4 2023","FQ4 2023","Currency=USD","Period=FQ","BEST_FPERIOD_OVERRIDE=FQ","FILING_STATUS=MR","SCALING_FORMAT=MLN","Sort=A","Dates=H","DateFormat=P","Fill=—","Direction=H","UseDPDF=Y")</f>
        <v>—</v>
      </c>
      <c r="X109" s="13" t="str">
        <f>_xll.BDH("GILD US Equity","ARDR_SBC_NON_GAAP_COGS","FQ1 2024","FQ1 2024","Currency=USD","Period=FQ","BEST_FPERIOD_OVERRIDE=FQ","FILING_STATUS=MR","SCALING_FORMAT=MLN","Sort=A","Dates=H","DateFormat=P","Fill=—","Direction=H","UseDPDF=Y")</f>
        <v>—</v>
      </c>
      <c r="Y109" s="13" t="str">
        <f>_xll.BDH("GILD US Equity","ARDR_SBC_NON_GAAP_COGS","FQ2 2024","FQ2 2024","Currency=USD","Period=FQ","BEST_FPERIOD_OVERRIDE=FQ","FILING_STATUS=MR","SCALING_FORMAT=MLN","Sort=A","Dates=H","DateFormat=P","Fill=—","Direction=H","UseDPDF=Y")</f>
        <v>—</v>
      </c>
      <c r="Z109" s="13" t="str">
        <f>_xll.BDH("GILD US Equity","ARDR_SBC_NON_GAAP_COGS","FQ3 2024","FQ3 2024","Currency=USD","Period=FQ","BEST_FPERIOD_OVERRIDE=FQ","FILING_STATUS=MR","SCALING_FORMAT=MLN","Sort=A","Dates=H","DateFormat=P","Fill=—","Direction=H","UseDPDF=Y")</f>
        <v>—</v>
      </c>
      <c r="AA109" s="13" t="str">
        <f>_xll.BDH("GILD US Equity","ARDR_SBC_NON_GAAP_COGS","FQ4 2024","FQ4 2024","Currency=USD","Period=FQ","BEST_FPERIOD_OVERRIDE=FQ","FILING_STATUS=MR","SCALING_FORMAT=MLN","Sort=A","Dates=H","DateFormat=P","Fill=—","Direction=H","UseDPDF=Y")</f>
        <v>—</v>
      </c>
    </row>
    <row r="110" spans="1:27" x14ac:dyDescent="0.25">
      <c r="A110" s="10" t="s">
        <v>598</v>
      </c>
      <c r="B110" s="10" t="s">
        <v>599</v>
      </c>
      <c r="C110" s="13">
        <f>_xll.BDH("GILD US Equity","ARDR_SBC_NON_GAAP_SG&amp;A","FQ4 2018","FQ4 2018","Currency=USD","Period=FQ","BEST_FPERIOD_OVERRIDE=FQ","FILING_STATUS=MR","SCALING_FORMAT=MLN","Sort=A","Dates=H","DateFormat=P","Fill=—","Direction=H","UseDPDF=Y")</f>
        <v>88</v>
      </c>
      <c r="D110" s="13">
        <f>_xll.BDH("GILD US Equity","ARDR_SBC_NON_GAAP_SG&amp;A","FQ1 2019","FQ1 2019","Currency=USD","Period=FQ","BEST_FPERIOD_OVERRIDE=FQ","FILING_STATUS=MR","SCALING_FORMAT=MLN","Sort=A","Dates=H","DateFormat=P","Fill=—","Direction=H","UseDPDF=Y")</f>
        <v>68</v>
      </c>
      <c r="E110" s="13">
        <f>_xll.BDH("GILD US Equity","ARDR_SBC_NON_GAAP_SG&amp;A","FQ2 2019","FQ2 2019","Currency=USD","Period=FQ","BEST_FPERIOD_OVERRIDE=FQ","FILING_STATUS=MR","SCALING_FORMAT=MLN","Sort=A","Dates=H","DateFormat=P","Fill=—","Direction=H","UseDPDF=Y")</f>
        <v>81</v>
      </c>
      <c r="F110" s="13" t="str">
        <f>_xll.BDH("GILD US Equity","ARDR_SBC_NON_GAAP_SG&amp;A","FQ3 2019","FQ3 2019","Currency=USD","Period=FQ","BEST_FPERIOD_OVERRIDE=FQ","FILING_STATUS=MR","SCALING_FORMAT=MLN","Sort=A","Dates=H","DateFormat=P","Fill=—","Direction=H","UseDPDF=Y")</f>
        <v>—</v>
      </c>
      <c r="G110" s="13">
        <f>_xll.BDH("GILD US Equity","ARDR_SBC_NON_GAAP_SG&amp;A","FQ4 2019","FQ4 2019","Currency=USD","Period=FQ","BEST_FPERIOD_OVERRIDE=FQ","FILING_STATUS=MR","SCALING_FORMAT=MLN","Sort=A","Dates=H","DateFormat=P","Fill=—","Direction=H","UseDPDF=Y")</f>
        <v>72</v>
      </c>
      <c r="H110" s="13" t="str">
        <f>_xll.BDH("GILD US Equity","ARDR_SBC_NON_GAAP_SG&amp;A","FQ1 2020","FQ1 2020","Currency=USD","Period=FQ","BEST_FPERIOD_OVERRIDE=FQ","FILING_STATUS=MR","SCALING_FORMAT=MLN","Sort=A","Dates=H","DateFormat=P","Fill=—","Direction=H","UseDPDF=Y")</f>
        <v>—</v>
      </c>
      <c r="I110" s="13" t="str">
        <f>_xll.BDH("GILD US Equity","ARDR_SBC_NON_GAAP_SG&amp;A","FQ2 2020","FQ2 2020","Currency=USD","Period=FQ","BEST_FPERIOD_OVERRIDE=FQ","FILING_STATUS=MR","SCALING_FORMAT=MLN","Sort=A","Dates=H","DateFormat=P","Fill=—","Direction=H","UseDPDF=Y")</f>
        <v>—</v>
      </c>
      <c r="J110" s="13" t="str">
        <f>_xll.BDH("GILD US Equity","ARDR_SBC_NON_GAAP_SG&amp;A","FQ3 2020","FQ3 2020","Currency=USD","Period=FQ","BEST_FPERIOD_OVERRIDE=FQ","FILING_STATUS=MR","SCALING_FORMAT=MLN","Sort=A","Dates=H","DateFormat=P","Fill=—","Direction=H","UseDPDF=Y")</f>
        <v>—</v>
      </c>
      <c r="K110" s="13" t="str">
        <f>_xll.BDH("GILD US Equity","ARDR_SBC_NON_GAAP_SG&amp;A","FQ4 2020","FQ4 2020","Currency=USD","Period=FQ","BEST_FPERIOD_OVERRIDE=FQ","FILING_STATUS=MR","SCALING_FORMAT=MLN","Sort=A","Dates=H","DateFormat=P","Fill=—","Direction=H","UseDPDF=Y")</f>
        <v>—</v>
      </c>
      <c r="L110" s="13" t="str">
        <f>_xll.BDH("GILD US Equity","ARDR_SBC_NON_GAAP_SG&amp;A","FQ1 2021","FQ1 2021","Currency=USD","Period=FQ","BEST_FPERIOD_OVERRIDE=FQ","FILING_STATUS=MR","SCALING_FORMAT=MLN","Sort=A","Dates=H","DateFormat=P","Fill=—","Direction=H","UseDPDF=Y")</f>
        <v>—</v>
      </c>
      <c r="M110" s="13" t="str">
        <f>_xll.BDH("GILD US Equity","ARDR_SBC_NON_GAAP_SG&amp;A","FQ2 2021","FQ2 2021","Currency=USD","Period=FQ","BEST_FPERIOD_OVERRIDE=FQ","FILING_STATUS=MR","SCALING_FORMAT=MLN","Sort=A","Dates=H","DateFormat=P","Fill=—","Direction=H","UseDPDF=Y")</f>
        <v>—</v>
      </c>
      <c r="N110" s="13" t="str">
        <f>_xll.BDH("GILD US Equity","ARDR_SBC_NON_GAAP_SG&amp;A","FQ3 2021","FQ3 2021","Currency=USD","Period=FQ","BEST_FPERIOD_OVERRIDE=FQ","FILING_STATUS=MR","SCALING_FORMAT=MLN","Sort=A","Dates=H","DateFormat=P","Fill=—","Direction=H","UseDPDF=Y")</f>
        <v>—</v>
      </c>
      <c r="O110" s="13" t="str">
        <f>_xll.BDH("GILD US Equity","ARDR_SBC_NON_GAAP_SG&amp;A","FQ4 2021","FQ4 2021","Currency=USD","Period=FQ","BEST_FPERIOD_OVERRIDE=FQ","FILING_STATUS=MR","SCALING_FORMAT=MLN","Sort=A","Dates=H","DateFormat=P","Fill=—","Direction=H","UseDPDF=Y")</f>
        <v>—</v>
      </c>
      <c r="P110" s="13" t="str">
        <f>_xll.BDH("GILD US Equity","ARDR_SBC_NON_GAAP_SG&amp;A","FQ1 2022","FQ1 2022","Currency=USD","Period=FQ","BEST_FPERIOD_OVERRIDE=FQ","FILING_STATUS=MR","SCALING_FORMAT=MLN","Sort=A","Dates=H","DateFormat=P","Fill=—","Direction=H","UseDPDF=Y")</f>
        <v>—</v>
      </c>
      <c r="Q110" s="13" t="str">
        <f>_xll.BDH("GILD US Equity","ARDR_SBC_NON_GAAP_SG&amp;A","FQ2 2022","FQ2 2022","Currency=USD","Period=FQ","BEST_FPERIOD_OVERRIDE=FQ","FILING_STATUS=MR","SCALING_FORMAT=MLN","Sort=A","Dates=H","DateFormat=P","Fill=—","Direction=H","UseDPDF=Y")</f>
        <v>—</v>
      </c>
      <c r="R110" s="13" t="str">
        <f>_xll.BDH("GILD US Equity","ARDR_SBC_NON_GAAP_SG&amp;A","FQ3 2022","FQ3 2022","Currency=USD","Period=FQ","BEST_FPERIOD_OVERRIDE=FQ","FILING_STATUS=MR","SCALING_FORMAT=MLN","Sort=A","Dates=H","DateFormat=P","Fill=—","Direction=H","UseDPDF=Y")</f>
        <v>—</v>
      </c>
      <c r="S110" s="13" t="str">
        <f>_xll.BDH("GILD US Equity","ARDR_SBC_NON_GAAP_SG&amp;A","FQ4 2022","FQ4 2022","Currency=USD","Period=FQ","BEST_FPERIOD_OVERRIDE=FQ","FILING_STATUS=MR","SCALING_FORMAT=MLN","Sort=A","Dates=H","DateFormat=P","Fill=—","Direction=H","UseDPDF=Y")</f>
        <v>—</v>
      </c>
      <c r="T110" s="13" t="str">
        <f>_xll.BDH("GILD US Equity","ARDR_SBC_NON_GAAP_SG&amp;A","FQ1 2023","FQ1 2023","Currency=USD","Period=FQ","BEST_FPERIOD_OVERRIDE=FQ","FILING_STATUS=MR","SCALING_FORMAT=MLN","Sort=A","Dates=H","DateFormat=P","Fill=—","Direction=H","UseDPDF=Y")</f>
        <v>—</v>
      </c>
      <c r="U110" s="13">
        <f>_xll.BDH("GILD US Equity","ARDR_SBC_NON_GAAP_SG&amp;A","FQ2 2023","FQ2 2023","Currency=USD","Period=FQ","BEST_FPERIOD_OVERRIDE=FQ","FILING_STATUS=MR","SCALING_FORMAT=MLN","Sort=A","Dates=H","DateFormat=P","Fill=—","Direction=H","UseDPDF=Y")</f>
        <v>1849</v>
      </c>
      <c r="V110" s="13" t="str">
        <f>_xll.BDH("GILD US Equity","ARDR_SBC_NON_GAAP_SG&amp;A","FQ3 2023","FQ3 2023","Currency=USD","Period=FQ","BEST_FPERIOD_OVERRIDE=FQ","FILING_STATUS=MR","SCALING_FORMAT=MLN","Sort=A","Dates=H","DateFormat=P","Fill=—","Direction=H","UseDPDF=Y")</f>
        <v>—</v>
      </c>
      <c r="W110" s="13" t="str">
        <f>_xll.BDH("GILD US Equity","ARDR_SBC_NON_GAAP_SG&amp;A","FQ4 2023","FQ4 2023","Currency=USD","Period=FQ","BEST_FPERIOD_OVERRIDE=FQ","FILING_STATUS=MR","SCALING_FORMAT=MLN","Sort=A","Dates=H","DateFormat=P","Fill=—","Direction=H","UseDPDF=Y")</f>
        <v>—</v>
      </c>
      <c r="X110" s="13" t="str">
        <f>_xll.BDH("GILD US Equity","ARDR_SBC_NON_GAAP_SG&amp;A","FQ1 2024","FQ1 2024","Currency=USD","Period=FQ","BEST_FPERIOD_OVERRIDE=FQ","FILING_STATUS=MR","SCALING_FORMAT=MLN","Sort=A","Dates=H","DateFormat=P","Fill=—","Direction=H","UseDPDF=Y")</f>
        <v>—</v>
      </c>
      <c r="Y110" s="13" t="str">
        <f>_xll.BDH("GILD US Equity","ARDR_SBC_NON_GAAP_SG&amp;A","FQ2 2024","FQ2 2024","Currency=USD","Period=FQ","BEST_FPERIOD_OVERRIDE=FQ","FILING_STATUS=MR","SCALING_FORMAT=MLN","Sort=A","Dates=H","DateFormat=P","Fill=—","Direction=H","UseDPDF=Y")</f>
        <v>—</v>
      </c>
      <c r="Z110" s="13" t="str">
        <f>_xll.BDH("GILD US Equity","ARDR_SBC_NON_GAAP_SG&amp;A","FQ3 2024","FQ3 2024","Currency=USD","Period=FQ","BEST_FPERIOD_OVERRIDE=FQ","FILING_STATUS=MR","SCALING_FORMAT=MLN","Sort=A","Dates=H","DateFormat=P","Fill=—","Direction=H","UseDPDF=Y")</f>
        <v>—</v>
      </c>
      <c r="AA110" s="13" t="str">
        <f>_xll.BDH("GILD US Equity","ARDR_SBC_NON_GAAP_SG&amp;A","FQ4 2024","FQ4 2024","Currency=USD","Period=FQ","BEST_FPERIOD_OVERRIDE=FQ","FILING_STATUS=MR","SCALING_FORMAT=MLN","Sort=A","Dates=H","DateFormat=P","Fill=—","Direction=H","UseDPDF=Y")</f>
        <v>—</v>
      </c>
    </row>
    <row r="111" spans="1:27" x14ac:dyDescent="0.25">
      <c r="A111" s="10" t="s">
        <v>600</v>
      </c>
      <c r="B111" s="10" t="s">
        <v>601</v>
      </c>
      <c r="C111" s="13">
        <f>_xll.BDH("GILD US Equity","ARDR_SBC_NON_GAAP_R&amp;D","FQ4 2018","FQ4 2018","Currency=USD","Period=FQ","BEST_FPERIOD_OVERRIDE=FQ","FILING_STATUS=MR","SCALING_FORMAT=MLN","Sort=A","Dates=H","DateFormat=P","Fill=—","Direction=H","UseDPDF=Y")</f>
        <v>75</v>
      </c>
      <c r="D111" s="13">
        <f>_xll.BDH("GILD US Equity","ARDR_SBC_NON_GAAP_R&amp;D","FQ1 2019","FQ1 2019","Currency=USD","Period=FQ","BEST_FPERIOD_OVERRIDE=FQ","FILING_STATUS=MR","SCALING_FORMAT=MLN","Sort=A","Dates=H","DateFormat=P","Fill=—","Direction=H","UseDPDF=Y")</f>
        <v>61</v>
      </c>
      <c r="E111" s="13">
        <f>_xll.BDH("GILD US Equity","ARDR_SBC_NON_GAAP_R&amp;D","FQ2 2019","FQ2 2019","Currency=USD","Period=FQ","BEST_FPERIOD_OVERRIDE=FQ","FILING_STATUS=MR","SCALING_FORMAT=MLN","Sort=A","Dates=H","DateFormat=P","Fill=—","Direction=H","UseDPDF=Y")</f>
        <v>80</v>
      </c>
      <c r="F111" s="13">
        <f>_xll.BDH("GILD US Equity","ARDR_SBC_NON_GAAP_R&amp;D","FQ3 2019","FQ3 2019","Currency=USD","Period=FQ","BEST_FPERIOD_OVERRIDE=FQ","FILING_STATUS=MR","SCALING_FORMAT=MLN","Sort=A","Dates=H","DateFormat=P","Fill=—","Direction=H","UseDPDF=Y")</f>
        <v>74</v>
      </c>
      <c r="G111" s="13">
        <f>_xll.BDH("GILD US Equity","ARDR_SBC_NON_GAAP_R&amp;D","FQ4 2019","FQ4 2019","Currency=USD","Period=FQ","BEST_FPERIOD_OVERRIDE=FQ","FILING_STATUS=MR","SCALING_FORMAT=MLN","Sort=A","Dates=H","DateFormat=P","Fill=—","Direction=H","UseDPDF=Y")</f>
        <v>74</v>
      </c>
      <c r="H111" s="13" t="str">
        <f>_xll.BDH("GILD US Equity","ARDR_SBC_NON_GAAP_R&amp;D","FQ1 2020","FQ1 2020","Currency=USD","Period=FQ","BEST_FPERIOD_OVERRIDE=FQ","FILING_STATUS=MR","SCALING_FORMAT=MLN","Sort=A","Dates=H","DateFormat=P","Fill=—","Direction=H","UseDPDF=Y")</f>
        <v>—</v>
      </c>
      <c r="I111" s="13" t="str">
        <f>_xll.BDH("GILD US Equity","ARDR_SBC_NON_GAAP_R&amp;D","FQ2 2020","FQ2 2020","Currency=USD","Period=FQ","BEST_FPERIOD_OVERRIDE=FQ","FILING_STATUS=MR","SCALING_FORMAT=MLN","Sort=A","Dates=H","DateFormat=P","Fill=—","Direction=H","UseDPDF=Y")</f>
        <v>—</v>
      </c>
      <c r="J111" s="13" t="str">
        <f>_xll.BDH("GILD US Equity","ARDR_SBC_NON_GAAP_R&amp;D","FQ3 2020","FQ3 2020","Currency=USD","Period=FQ","BEST_FPERIOD_OVERRIDE=FQ","FILING_STATUS=MR","SCALING_FORMAT=MLN","Sort=A","Dates=H","DateFormat=P","Fill=—","Direction=H","UseDPDF=Y")</f>
        <v>—</v>
      </c>
      <c r="K111" s="13" t="str">
        <f>_xll.BDH("GILD US Equity","ARDR_SBC_NON_GAAP_R&amp;D","FQ4 2020","FQ4 2020","Currency=USD","Period=FQ","BEST_FPERIOD_OVERRIDE=FQ","FILING_STATUS=MR","SCALING_FORMAT=MLN","Sort=A","Dates=H","DateFormat=P","Fill=—","Direction=H","UseDPDF=Y")</f>
        <v>—</v>
      </c>
      <c r="L111" s="13" t="str">
        <f>_xll.BDH("GILD US Equity","ARDR_SBC_NON_GAAP_R&amp;D","FQ1 2021","FQ1 2021","Currency=USD","Period=FQ","BEST_FPERIOD_OVERRIDE=FQ","FILING_STATUS=MR","SCALING_FORMAT=MLN","Sort=A","Dates=H","DateFormat=P","Fill=—","Direction=H","UseDPDF=Y")</f>
        <v>—</v>
      </c>
      <c r="M111" s="13" t="str">
        <f>_xll.BDH("GILD US Equity","ARDR_SBC_NON_GAAP_R&amp;D","FQ2 2021","FQ2 2021","Currency=USD","Period=FQ","BEST_FPERIOD_OVERRIDE=FQ","FILING_STATUS=MR","SCALING_FORMAT=MLN","Sort=A","Dates=H","DateFormat=P","Fill=—","Direction=H","UseDPDF=Y")</f>
        <v>—</v>
      </c>
      <c r="N111" s="13" t="str">
        <f>_xll.BDH("GILD US Equity","ARDR_SBC_NON_GAAP_R&amp;D","FQ3 2021","FQ3 2021","Currency=USD","Period=FQ","BEST_FPERIOD_OVERRIDE=FQ","FILING_STATUS=MR","SCALING_FORMAT=MLN","Sort=A","Dates=H","DateFormat=P","Fill=—","Direction=H","UseDPDF=Y")</f>
        <v>—</v>
      </c>
      <c r="O111" s="13" t="str">
        <f>_xll.BDH("GILD US Equity","ARDR_SBC_NON_GAAP_R&amp;D","FQ4 2021","FQ4 2021","Currency=USD","Period=FQ","BEST_FPERIOD_OVERRIDE=FQ","FILING_STATUS=MR","SCALING_FORMAT=MLN","Sort=A","Dates=H","DateFormat=P","Fill=—","Direction=H","UseDPDF=Y")</f>
        <v>—</v>
      </c>
      <c r="P111" s="13" t="str">
        <f>_xll.BDH("GILD US Equity","ARDR_SBC_NON_GAAP_R&amp;D","FQ1 2022","FQ1 2022","Currency=USD","Period=FQ","BEST_FPERIOD_OVERRIDE=FQ","FILING_STATUS=MR","SCALING_FORMAT=MLN","Sort=A","Dates=H","DateFormat=P","Fill=—","Direction=H","UseDPDF=Y")</f>
        <v>—</v>
      </c>
      <c r="Q111" s="13" t="str">
        <f>_xll.BDH("GILD US Equity","ARDR_SBC_NON_GAAP_R&amp;D","FQ2 2022","FQ2 2022","Currency=USD","Period=FQ","BEST_FPERIOD_OVERRIDE=FQ","FILING_STATUS=MR","SCALING_FORMAT=MLN","Sort=A","Dates=H","DateFormat=P","Fill=—","Direction=H","UseDPDF=Y")</f>
        <v>—</v>
      </c>
      <c r="R111" s="13" t="str">
        <f>_xll.BDH("GILD US Equity","ARDR_SBC_NON_GAAP_R&amp;D","FQ3 2022","FQ3 2022","Currency=USD","Period=FQ","BEST_FPERIOD_OVERRIDE=FQ","FILING_STATUS=MR","SCALING_FORMAT=MLN","Sort=A","Dates=H","DateFormat=P","Fill=—","Direction=H","UseDPDF=Y")</f>
        <v>—</v>
      </c>
      <c r="S111" s="13" t="str">
        <f>_xll.BDH("GILD US Equity","ARDR_SBC_NON_GAAP_R&amp;D","FQ4 2022","FQ4 2022","Currency=USD","Period=FQ","BEST_FPERIOD_OVERRIDE=FQ","FILING_STATUS=MR","SCALING_FORMAT=MLN","Sort=A","Dates=H","DateFormat=P","Fill=—","Direction=H","UseDPDF=Y")</f>
        <v>—</v>
      </c>
      <c r="T111" s="13" t="str">
        <f>_xll.BDH("GILD US Equity","ARDR_SBC_NON_GAAP_R&amp;D","FQ1 2023","FQ1 2023","Currency=USD","Period=FQ","BEST_FPERIOD_OVERRIDE=FQ","FILING_STATUS=MR","SCALING_FORMAT=MLN","Sort=A","Dates=H","DateFormat=P","Fill=—","Direction=H","UseDPDF=Y")</f>
        <v>—</v>
      </c>
      <c r="U111" s="13">
        <f>_xll.BDH("GILD US Equity","ARDR_SBC_NON_GAAP_R&amp;D","FQ2 2023","FQ2 2023","Currency=USD","Period=FQ","BEST_FPERIOD_OVERRIDE=FQ","FILING_STATUS=MR","SCALING_FORMAT=MLN","Sort=A","Dates=H","DateFormat=P","Fill=—","Direction=H","UseDPDF=Y")</f>
        <v>1643</v>
      </c>
      <c r="V111" s="13">
        <f>_xll.BDH("GILD US Equity","ARDR_SBC_NON_GAAP_R&amp;D","FQ3 2023","FQ3 2023","Currency=USD","Period=FQ","BEST_FPERIOD_OVERRIDE=FQ","FILING_STATUS=MR","SCALING_FORMAT=MLN","Sort=A","Dates=H","DateFormat=P","Fill=—","Direction=H","UseDPDF=Y")</f>
        <v>1457</v>
      </c>
      <c r="W111" s="13" t="str">
        <f>_xll.BDH("GILD US Equity","ARDR_SBC_NON_GAAP_R&amp;D","FQ4 2023","FQ4 2023","Currency=USD","Period=FQ","BEST_FPERIOD_OVERRIDE=FQ","FILING_STATUS=MR","SCALING_FORMAT=MLN","Sort=A","Dates=H","DateFormat=P","Fill=—","Direction=H","UseDPDF=Y")</f>
        <v>—</v>
      </c>
      <c r="X111" s="13" t="str">
        <f>_xll.BDH("GILD US Equity","ARDR_SBC_NON_GAAP_R&amp;D","FQ1 2024","FQ1 2024","Currency=USD","Period=FQ","BEST_FPERIOD_OVERRIDE=FQ","FILING_STATUS=MR","SCALING_FORMAT=MLN","Sort=A","Dates=H","DateFormat=P","Fill=—","Direction=H","UseDPDF=Y")</f>
        <v>—</v>
      </c>
      <c r="Y111" s="13" t="str">
        <f>_xll.BDH("GILD US Equity","ARDR_SBC_NON_GAAP_R&amp;D","FQ2 2024","FQ2 2024","Currency=USD","Period=FQ","BEST_FPERIOD_OVERRIDE=FQ","FILING_STATUS=MR","SCALING_FORMAT=MLN","Sort=A","Dates=H","DateFormat=P","Fill=—","Direction=H","UseDPDF=Y")</f>
        <v>—</v>
      </c>
      <c r="Z111" s="13" t="str">
        <f>_xll.BDH("GILD US Equity","ARDR_SBC_NON_GAAP_R&amp;D","FQ3 2024","FQ3 2024","Currency=USD","Period=FQ","BEST_FPERIOD_OVERRIDE=FQ","FILING_STATUS=MR","SCALING_FORMAT=MLN","Sort=A","Dates=H","DateFormat=P","Fill=—","Direction=H","UseDPDF=Y")</f>
        <v>—</v>
      </c>
      <c r="AA111" s="13" t="str">
        <f>_xll.BDH("GILD US Equity","ARDR_SBC_NON_GAAP_R&amp;D","FQ4 2024","FQ4 2024","Currency=USD","Period=FQ","BEST_FPERIOD_OVERRIDE=FQ","FILING_STATUS=MR","SCALING_FORMAT=MLN","Sort=A","Dates=H","DateFormat=P","Fill=—","Direction=H","UseDPDF=Y")</f>
        <v>—</v>
      </c>
    </row>
    <row r="112" spans="1:27" x14ac:dyDescent="0.25">
      <c r="A112" s="10" t="s">
        <v>602</v>
      </c>
      <c r="B112" s="10" t="s">
        <v>603</v>
      </c>
      <c r="C112" s="13" t="str">
        <f>_xll.BDH("GILD US Equity","ARDR_OTH_ADJ_NON_GAAP_COGS","FQ4 2018","FQ4 2018","Currency=USD","Period=FQ","BEST_FPERIOD_OVERRIDE=FQ","FILING_STATUS=MR","SCALING_FORMAT=MLN","Sort=A","Dates=H","DateFormat=P","Fill=—","Direction=H","UseDPDF=Y")</f>
        <v>—</v>
      </c>
      <c r="D112" s="13" t="str">
        <f>_xll.BDH("GILD US Equity","ARDR_OTH_ADJ_NON_GAAP_COGS","FQ1 2019","FQ1 2019","Currency=USD","Period=FQ","BEST_FPERIOD_OVERRIDE=FQ","FILING_STATUS=MR","SCALING_FORMAT=MLN","Sort=A","Dates=H","DateFormat=P","Fill=—","Direction=H","UseDPDF=Y")</f>
        <v>—</v>
      </c>
      <c r="E112" s="13" t="str">
        <f>_xll.BDH("GILD US Equity","ARDR_OTH_ADJ_NON_GAAP_COGS","FQ2 2019","FQ2 2019","Currency=USD","Period=FQ","BEST_FPERIOD_OVERRIDE=FQ","FILING_STATUS=MR","SCALING_FORMAT=MLN","Sort=A","Dates=H","DateFormat=P","Fill=—","Direction=H","UseDPDF=Y")</f>
        <v>—</v>
      </c>
      <c r="F112" s="13" t="str">
        <f>_xll.BDH("GILD US Equity","ARDR_OTH_ADJ_NON_GAAP_COGS","FQ3 2019","FQ3 2019","Currency=USD","Period=FQ","BEST_FPERIOD_OVERRIDE=FQ","FILING_STATUS=MR","SCALING_FORMAT=MLN","Sort=A","Dates=H","DateFormat=P","Fill=—","Direction=H","UseDPDF=Y")</f>
        <v>—</v>
      </c>
      <c r="G112" s="13" t="str">
        <f>_xll.BDH("GILD US Equity","ARDR_OTH_ADJ_NON_GAAP_COGS","FQ4 2019","FQ4 2019","Currency=USD","Period=FQ","BEST_FPERIOD_OVERRIDE=FQ","FILING_STATUS=MR","SCALING_FORMAT=MLN","Sort=A","Dates=H","DateFormat=P","Fill=—","Direction=H","UseDPDF=Y")</f>
        <v>—</v>
      </c>
      <c r="H112" s="13" t="str">
        <f>_xll.BDH("GILD US Equity","ARDR_OTH_ADJ_NON_GAAP_COGS","FQ1 2020","FQ1 2020","Currency=USD","Period=FQ","BEST_FPERIOD_OVERRIDE=FQ","FILING_STATUS=MR","SCALING_FORMAT=MLN","Sort=A","Dates=H","DateFormat=P","Fill=—","Direction=H","UseDPDF=Y")</f>
        <v>—</v>
      </c>
      <c r="I112" s="13" t="str">
        <f>_xll.BDH("GILD US Equity","ARDR_OTH_ADJ_NON_GAAP_COGS","FQ2 2020","FQ2 2020","Currency=USD","Period=FQ","BEST_FPERIOD_OVERRIDE=FQ","FILING_STATUS=MR","SCALING_FORMAT=MLN","Sort=A","Dates=H","DateFormat=P","Fill=—","Direction=H","UseDPDF=Y")</f>
        <v>—</v>
      </c>
      <c r="J112" s="13" t="str">
        <f>_xll.BDH("GILD US Equity","ARDR_OTH_ADJ_NON_GAAP_COGS","FQ3 2020","FQ3 2020","Currency=USD","Period=FQ","BEST_FPERIOD_OVERRIDE=FQ","FILING_STATUS=MR","SCALING_FORMAT=MLN","Sort=A","Dates=H","DateFormat=P","Fill=—","Direction=H","UseDPDF=Y")</f>
        <v>—</v>
      </c>
      <c r="K112" s="13" t="str">
        <f>_xll.BDH("GILD US Equity","ARDR_OTH_ADJ_NON_GAAP_COGS","FQ4 2020","FQ4 2020","Currency=USD","Period=FQ","BEST_FPERIOD_OVERRIDE=FQ","FILING_STATUS=MR","SCALING_FORMAT=MLN","Sort=A","Dates=H","DateFormat=P","Fill=—","Direction=H","UseDPDF=Y")</f>
        <v>—</v>
      </c>
      <c r="L112" s="13" t="str">
        <f>_xll.BDH("GILD US Equity","ARDR_OTH_ADJ_NON_GAAP_COGS","FQ1 2021","FQ1 2021","Currency=USD","Period=FQ","BEST_FPERIOD_OVERRIDE=FQ","FILING_STATUS=MR","SCALING_FORMAT=MLN","Sort=A","Dates=H","DateFormat=P","Fill=—","Direction=H","UseDPDF=Y")</f>
        <v>—</v>
      </c>
      <c r="M112" s="13" t="str">
        <f>_xll.BDH("GILD US Equity","ARDR_OTH_ADJ_NON_GAAP_COGS","FQ2 2021","FQ2 2021","Currency=USD","Period=FQ","BEST_FPERIOD_OVERRIDE=FQ","FILING_STATUS=MR","SCALING_FORMAT=MLN","Sort=A","Dates=H","DateFormat=P","Fill=—","Direction=H","UseDPDF=Y")</f>
        <v>—</v>
      </c>
      <c r="N112" s="13" t="str">
        <f>_xll.BDH("GILD US Equity","ARDR_OTH_ADJ_NON_GAAP_COGS","FQ3 2021","FQ3 2021","Currency=USD","Period=FQ","BEST_FPERIOD_OVERRIDE=FQ","FILING_STATUS=MR","SCALING_FORMAT=MLN","Sort=A","Dates=H","DateFormat=P","Fill=—","Direction=H","UseDPDF=Y")</f>
        <v>—</v>
      </c>
      <c r="O112" s="13" t="str">
        <f>_xll.BDH("GILD US Equity","ARDR_OTH_ADJ_NON_GAAP_COGS","FQ4 2021","FQ4 2021","Currency=USD","Period=FQ","BEST_FPERIOD_OVERRIDE=FQ","FILING_STATUS=MR","SCALING_FORMAT=MLN","Sort=A","Dates=H","DateFormat=P","Fill=—","Direction=H","UseDPDF=Y")</f>
        <v>—</v>
      </c>
      <c r="P112" s="13" t="str">
        <f>_xll.BDH("GILD US Equity","ARDR_OTH_ADJ_NON_GAAP_COGS","FQ1 2022","FQ1 2022","Currency=USD","Period=FQ","BEST_FPERIOD_OVERRIDE=FQ","FILING_STATUS=MR","SCALING_FORMAT=MLN","Sort=A","Dates=H","DateFormat=P","Fill=—","Direction=H","UseDPDF=Y")</f>
        <v>—</v>
      </c>
      <c r="Q112" s="13" t="str">
        <f>_xll.BDH("GILD US Equity","ARDR_OTH_ADJ_NON_GAAP_COGS","FQ2 2022","FQ2 2022","Currency=USD","Period=FQ","BEST_FPERIOD_OVERRIDE=FQ","FILING_STATUS=MR","SCALING_FORMAT=MLN","Sort=A","Dates=H","DateFormat=P","Fill=—","Direction=H","UseDPDF=Y")</f>
        <v>—</v>
      </c>
      <c r="R112" s="13" t="str">
        <f>_xll.BDH("GILD US Equity","ARDR_OTH_ADJ_NON_GAAP_COGS","FQ3 2022","FQ3 2022","Currency=USD","Period=FQ","BEST_FPERIOD_OVERRIDE=FQ","FILING_STATUS=MR","SCALING_FORMAT=MLN","Sort=A","Dates=H","DateFormat=P","Fill=—","Direction=H","UseDPDF=Y")</f>
        <v>—</v>
      </c>
      <c r="S112" s="13" t="str">
        <f>_xll.BDH("GILD US Equity","ARDR_OTH_ADJ_NON_GAAP_COGS","FQ4 2022","FQ4 2022","Currency=USD","Period=FQ","BEST_FPERIOD_OVERRIDE=FQ","FILING_STATUS=MR","SCALING_FORMAT=MLN","Sort=A","Dates=H","DateFormat=P","Fill=—","Direction=H","UseDPDF=Y")</f>
        <v>—</v>
      </c>
      <c r="T112" s="13" t="str">
        <f>_xll.BDH("GILD US Equity","ARDR_OTH_ADJ_NON_GAAP_COGS","FQ1 2023","FQ1 2023","Currency=USD","Period=FQ","BEST_FPERIOD_OVERRIDE=FQ","FILING_STATUS=MR","SCALING_FORMAT=MLN","Sort=A","Dates=H","DateFormat=P","Fill=—","Direction=H","UseDPDF=Y")</f>
        <v>—</v>
      </c>
      <c r="U112" s="13" t="str">
        <f>_xll.BDH("GILD US Equity","ARDR_OTH_ADJ_NON_GAAP_COGS","FQ2 2023","FQ2 2023","Currency=USD","Period=FQ","BEST_FPERIOD_OVERRIDE=FQ","FILING_STATUS=MR","SCALING_FORMAT=MLN","Sort=A","Dates=H","DateFormat=P","Fill=—","Direction=H","UseDPDF=Y")</f>
        <v>—</v>
      </c>
      <c r="V112" s="13" t="str">
        <f>_xll.BDH("GILD US Equity","ARDR_OTH_ADJ_NON_GAAP_COGS","FQ3 2023","FQ3 2023","Currency=USD","Period=FQ","BEST_FPERIOD_OVERRIDE=FQ","FILING_STATUS=MR","SCALING_FORMAT=MLN","Sort=A","Dates=H","DateFormat=P","Fill=—","Direction=H","UseDPDF=Y")</f>
        <v>—</v>
      </c>
      <c r="W112" s="13">
        <f>_xll.BDH("GILD US Equity","ARDR_OTH_ADJ_NON_GAAP_COGS","FQ4 2023","FQ4 2023","Currency=USD","Period=FQ","BEST_FPERIOD_OVERRIDE=FQ","FILING_STATUS=MR","SCALING_FORMAT=MLN","Sort=A","Dates=H","DateFormat=P","Fill=—","Direction=H","UseDPDF=Y")</f>
        <v>-51</v>
      </c>
      <c r="X112" s="13" t="str">
        <f>_xll.BDH("GILD US Equity","ARDR_OTH_ADJ_NON_GAAP_COGS","FQ1 2024","FQ1 2024","Currency=USD","Period=FQ","BEST_FPERIOD_OVERRIDE=FQ","FILING_STATUS=MR","SCALING_FORMAT=MLN","Sort=A","Dates=H","DateFormat=P","Fill=—","Direction=H","UseDPDF=Y")</f>
        <v>—</v>
      </c>
      <c r="Y112" s="13" t="str">
        <f>_xll.BDH("GILD US Equity","ARDR_OTH_ADJ_NON_GAAP_COGS","FQ2 2024","FQ2 2024","Currency=USD","Period=FQ","BEST_FPERIOD_OVERRIDE=FQ","FILING_STATUS=MR","SCALING_FORMAT=MLN","Sort=A","Dates=H","DateFormat=P","Fill=—","Direction=H","UseDPDF=Y")</f>
        <v>—</v>
      </c>
      <c r="Z112" s="13" t="str">
        <f>_xll.BDH("GILD US Equity","ARDR_OTH_ADJ_NON_GAAP_COGS","FQ3 2024","FQ3 2024","Currency=USD","Period=FQ","BEST_FPERIOD_OVERRIDE=FQ","FILING_STATUS=MR","SCALING_FORMAT=MLN","Sort=A","Dates=H","DateFormat=P","Fill=—","Direction=H","UseDPDF=Y")</f>
        <v>—</v>
      </c>
      <c r="AA112" s="13">
        <f>_xll.BDH("GILD US Equity","ARDR_OTH_ADJ_NON_GAAP_COGS","FQ4 2024","FQ4 2024","Currency=USD","Period=FQ","BEST_FPERIOD_OVERRIDE=FQ","FILING_STATUS=MR","SCALING_FORMAT=MLN","Sort=A","Dates=H","DateFormat=P","Fill=—","Direction=H","UseDPDF=Y")</f>
        <v>0</v>
      </c>
    </row>
    <row r="113" spans="1:27" x14ac:dyDescent="0.25">
      <c r="A113" s="10" t="s">
        <v>604</v>
      </c>
      <c r="B113" s="10" t="s">
        <v>605</v>
      </c>
      <c r="C113" s="13">
        <f>_xll.BDH("GILD US Equity","ARDR_OTH_ADJ_NON_GAAP_SG&amp;A","FQ4 2018","FQ4 2018","Currency=USD","Period=FQ","BEST_FPERIOD_OVERRIDE=FQ","FILING_STATUS=MR","SCALING_FORMAT=MLN","Sort=A","Dates=H","DateFormat=P","Fill=—","Direction=H","UseDPDF=Y")</f>
        <v>10</v>
      </c>
      <c r="D113" s="13" t="str">
        <f>_xll.BDH("GILD US Equity","ARDR_OTH_ADJ_NON_GAAP_SG&amp;A","FQ1 2019","FQ1 2019","Currency=USD","Period=FQ","BEST_FPERIOD_OVERRIDE=FQ","FILING_STATUS=MR","SCALING_FORMAT=MLN","Sort=A","Dates=H","DateFormat=P","Fill=—","Direction=H","UseDPDF=Y")</f>
        <v>—</v>
      </c>
      <c r="E113" s="13">
        <f>_xll.BDH("GILD US Equity","ARDR_OTH_ADJ_NON_GAAP_SG&amp;A","FQ2 2019","FQ2 2019","Currency=USD","Period=FQ","BEST_FPERIOD_OVERRIDE=FQ","FILING_STATUS=MR","SCALING_FORMAT=MLN","Sort=A","Dates=H","DateFormat=P","Fill=—","Direction=H","UseDPDF=Y")</f>
        <v>-1</v>
      </c>
      <c r="F113" s="13">
        <f>_xll.BDH("GILD US Equity","ARDR_OTH_ADJ_NON_GAAP_SG&amp;A","FQ3 2019","FQ3 2019","Currency=USD","Period=FQ","BEST_FPERIOD_OVERRIDE=FQ","FILING_STATUS=MR","SCALING_FORMAT=MLN","Sort=A","Dates=H","DateFormat=P","Fill=—","Direction=H","UseDPDF=Y")</f>
        <v>7</v>
      </c>
      <c r="G113" s="13" t="str">
        <f>_xll.BDH("GILD US Equity","ARDR_OTH_ADJ_NON_GAAP_SG&amp;A","FQ4 2019","FQ4 2019","Currency=USD","Period=FQ","BEST_FPERIOD_OVERRIDE=FQ","FILING_STATUS=MR","SCALING_FORMAT=MLN","Sort=A","Dates=H","DateFormat=P","Fill=—","Direction=H","UseDPDF=Y")</f>
        <v>—</v>
      </c>
      <c r="H113" s="13" t="str">
        <f>_xll.BDH("GILD US Equity","ARDR_OTH_ADJ_NON_GAAP_SG&amp;A","FQ1 2020","FQ1 2020","Currency=USD","Period=FQ","BEST_FPERIOD_OVERRIDE=FQ","FILING_STATUS=MR","SCALING_FORMAT=MLN","Sort=A","Dates=H","DateFormat=P","Fill=—","Direction=H","UseDPDF=Y")</f>
        <v>—</v>
      </c>
      <c r="I113" s="13">
        <f>_xll.BDH("GILD US Equity","ARDR_OTH_ADJ_NON_GAAP_SG&amp;A","FQ2 2020","FQ2 2020","Currency=USD","Period=FQ","BEST_FPERIOD_OVERRIDE=FQ","FILING_STATUS=MR","SCALING_FORMAT=MLN","Sort=A","Dates=H","DateFormat=P","Fill=—","Direction=H","UseDPDF=Y")</f>
        <v>-2</v>
      </c>
      <c r="J113" s="13" t="str">
        <f>_xll.BDH("GILD US Equity","ARDR_OTH_ADJ_NON_GAAP_SG&amp;A","FQ3 2020","FQ3 2020","Currency=USD","Period=FQ","BEST_FPERIOD_OVERRIDE=FQ","FILING_STATUS=MR","SCALING_FORMAT=MLN","Sort=A","Dates=H","DateFormat=P","Fill=—","Direction=H","UseDPDF=Y")</f>
        <v>—</v>
      </c>
      <c r="K113" s="13" t="str">
        <f>_xll.BDH("GILD US Equity","ARDR_OTH_ADJ_NON_GAAP_SG&amp;A","FQ4 2020","FQ4 2020","Currency=USD","Period=FQ","BEST_FPERIOD_OVERRIDE=FQ","FILING_STATUS=MR","SCALING_FORMAT=MLN","Sort=A","Dates=H","DateFormat=P","Fill=—","Direction=H","UseDPDF=Y")</f>
        <v>—</v>
      </c>
      <c r="L113" s="13" t="str">
        <f>_xll.BDH("GILD US Equity","ARDR_OTH_ADJ_NON_GAAP_SG&amp;A","FQ1 2021","FQ1 2021","Currency=USD","Period=FQ","BEST_FPERIOD_OVERRIDE=FQ","FILING_STATUS=MR","SCALING_FORMAT=MLN","Sort=A","Dates=H","DateFormat=P","Fill=—","Direction=H","UseDPDF=Y")</f>
        <v>—</v>
      </c>
      <c r="M113" s="13">
        <f>_xll.BDH("GILD US Equity","ARDR_OTH_ADJ_NON_GAAP_SG&amp;A","FQ2 2021","FQ2 2021","Currency=USD","Period=FQ","BEST_FPERIOD_OVERRIDE=FQ","FILING_STATUS=MR","SCALING_FORMAT=MLN","Sort=A","Dates=H","DateFormat=P","Fill=—","Direction=H","UseDPDF=Y")</f>
        <v>220</v>
      </c>
      <c r="N113" s="13" t="str">
        <f>_xll.BDH("GILD US Equity","ARDR_OTH_ADJ_NON_GAAP_SG&amp;A","FQ3 2021","FQ3 2021","Currency=USD","Period=FQ","BEST_FPERIOD_OVERRIDE=FQ","FILING_STATUS=MR","SCALING_FORMAT=MLN","Sort=A","Dates=H","DateFormat=P","Fill=—","Direction=H","UseDPDF=Y")</f>
        <v>—</v>
      </c>
      <c r="O113" s="13" t="str">
        <f>_xll.BDH("GILD US Equity","ARDR_OTH_ADJ_NON_GAAP_SG&amp;A","FQ4 2021","FQ4 2021","Currency=USD","Period=FQ","BEST_FPERIOD_OVERRIDE=FQ","FILING_STATUS=MR","SCALING_FORMAT=MLN","Sort=A","Dates=H","DateFormat=P","Fill=—","Direction=H","UseDPDF=Y")</f>
        <v>—</v>
      </c>
      <c r="P113" s="13" t="str">
        <f>_xll.BDH("GILD US Equity","ARDR_OTH_ADJ_NON_GAAP_SG&amp;A","FQ1 2022","FQ1 2022","Currency=USD","Period=FQ","BEST_FPERIOD_OVERRIDE=FQ","FILING_STATUS=MR","SCALING_FORMAT=MLN","Sort=A","Dates=H","DateFormat=P","Fill=—","Direction=H","UseDPDF=Y")</f>
        <v>—</v>
      </c>
      <c r="Q113" s="13">
        <f>_xll.BDH("GILD US Equity","ARDR_OTH_ADJ_NON_GAAP_SG&amp;A","FQ2 2022","FQ2 2022","Currency=USD","Period=FQ","BEST_FPERIOD_OVERRIDE=FQ","FILING_STATUS=MR","SCALING_FORMAT=MLN","Sort=A","Dates=H","DateFormat=P","Fill=—","Direction=H","UseDPDF=Y")</f>
        <v>85</v>
      </c>
      <c r="R113" s="13" t="str">
        <f>_xll.BDH("GILD US Equity","ARDR_OTH_ADJ_NON_GAAP_SG&amp;A","FQ3 2022","FQ3 2022","Currency=USD","Period=FQ","BEST_FPERIOD_OVERRIDE=FQ","FILING_STATUS=MR","SCALING_FORMAT=MLN","Sort=A","Dates=H","DateFormat=P","Fill=—","Direction=H","UseDPDF=Y")</f>
        <v>—</v>
      </c>
      <c r="S113" s="13">
        <f>_xll.BDH("GILD US Equity","ARDR_OTH_ADJ_NON_GAAP_SG&amp;A","FQ4 2022","FQ4 2022","Currency=USD","Period=FQ","BEST_FPERIOD_OVERRIDE=FQ","FILING_STATUS=MR","SCALING_FORMAT=MLN","Sort=A","Dates=H","DateFormat=P","Fill=—","Direction=H","UseDPDF=Y")</f>
        <v>-1</v>
      </c>
      <c r="T113" s="13" t="str">
        <f>_xll.BDH("GILD US Equity","ARDR_OTH_ADJ_NON_GAAP_SG&amp;A","FQ1 2023","FQ1 2023","Currency=USD","Period=FQ","BEST_FPERIOD_OVERRIDE=FQ","FILING_STATUS=MR","SCALING_FORMAT=MLN","Sort=A","Dates=H","DateFormat=P","Fill=—","Direction=H","UseDPDF=Y")</f>
        <v>—</v>
      </c>
      <c r="U113" s="13" t="str">
        <f>_xll.BDH("GILD US Equity","ARDR_OTH_ADJ_NON_GAAP_SG&amp;A","FQ2 2023","FQ2 2023","Currency=USD","Period=FQ","BEST_FPERIOD_OVERRIDE=FQ","FILING_STATUS=MR","SCALING_FORMAT=MLN","Sort=A","Dates=H","DateFormat=P","Fill=—","Direction=H","UseDPDF=Y")</f>
        <v>—</v>
      </c>
      <c r="V113" s="13" t="str">
        <f>_xll.BDH("GILD US Equity","ARDR_OTH_ADJ_NON_GAAP_SG&amp;A","FQ3 2023","FQ3 2023","Currency=USD","Period=FQ","BEST_FPERIOD_OVERRIDE=FQ","FILING_STATUS=MR","SCALING_FORMAT=MLN","Sort=A","Dates=H","DateFormat=P","Fill=—","Direction=H","UseDPDF=Y")</f>
        <v>—</v>
      </c>
      <c r="W113" s="13" t="str">
        <f>_xll.BDH("GILD US Equity","ARDR_OTH_ADJ_NON_GAAP_SG&amp;A","FQ4 2023","FQ4 2023","Currency=USD","Period=FQ","BEST_FPERIOD_OVERRIDE=FQ","FILING_STATUS=MR","SCALING_FORMAT=MLN","Sort=A","Dates=H","DateFormat=P","Fill=—","Direction=H","UseDPDF=Y")</f>
        <v>—</v>
      </c>
      <c r="X113" s="13" t="str">
        <f>_xll.BDH("GILD US Equity","ARDR_OTH_ADJ_NON_GAAP_SG&amp;A","FQ1 2024","FQ1 2024","Currency=USD","Period=FQ","BEST_FPERIOD_OVERRIDE=FQ","FILING_STATUS=MR","SCALING_FORMAT=MLN","Sort=A","Dates=H","DateFormat=P","Fill=—","Direction=H","UseDPDF=Y")</f>
        <v>—</v>
      </c>
      <c r="Y113" s="13" t="str">
        <f>_xll.BDH("GILD US Equity","ARDR_OTH_ADJ_NON_GAAP_SG&amp;A","FQ2 2024","FQ2 2024","Currency=USD","Period=FQ","BEST_FPERIOD_OVERRIDE=FQ","FILING_STATUS=MR","SCALING_FORMAT=MLN","Sort=A","Dates=H","DateFormat=P","Fill=—","Direction=H","UseDPDF=Y")</f>
        <v>—</v>
      </c>
      <c r="Z113" s="13" t="str">
        <f>_xll.BDH("GILD US Equity","ARDR_OTH_ADJ_NON_GAAP_SG&amp;A","FQ3 2024","FQ3 2024","Currency=USD","Period=FQ","BEST_FPERIOD_OVERRIDE=FQ","FILING_STATUS=MR","SCALING_FORMAT=MLN","Sort=A","Dates=H","DateFormat=P","Fill=—","Direction=H","UseDPDF=Y")</f>
        <v>—</v>
      </c>
      <c r="AA113" s="13" t="str">
        <f>_xll.BDH("GILD US Equity","ARDR_OTH_ADJ_NON_GAAP_SG&amp;A","FQ4 2024","FQ4 2024","Currency=USD","Period=FQ","BEST_FPERIOD_OVERRIDE=FQ","FILING_STATUS=MR","SCALING_FORMAT=MLN","Sort=A","Dates=H","DateFormat=P","Fill=—","Direction=H","UseDPDF=Y")</f>
        <v>—</v>
      </c>
    </row>
    <row r="114" spans="1:27" x14ac:dyDescent="0.25">
      <c r="A114" s="10" t="s">
        <v>606</v>
      </c>
      <c r="B114" s="10" t="s">
        <v>607</v>
      </c>
      <c r="C114" s="13">
        <f>_xll.BDH("GILD US Equity","ARDR_OTH_ADJ_NON_GAAP_R&amp;D","FQ4 2018","FQ4 2018","Currency=USD","Period=FQ","BEST_FPERIOD_OVERRIDE=FQ","FILING_STATUS=MR","SCALING_FORMAT=MLN","Sort=A","Dates=H","DateFormat=P","Fill=—","Direction=H","UseDPDF=Y")</f>
        <v>117</v>
      </c>
      <c r="D114" s="13" t="str">
        <f>_xll.BDH("GILD US Equity","ARDR_OTH_ADJ_NON_GAAP_R&amp;D","FQ1 2019","FQ1 2019","Currency=USD","Period=FQ","BEST_FPERIOD_OVERRIDE=FQ","FILING_STATUS=MR","SCALING_FORMAT=MLN","Sort=A","Dates=H","DateFormat=P","Fill=—","Direction=H","UseDPDF=Y")</f>
        <v>—</v>
      </c>
      <c r="E114" s="13">
        <f>_xll.BDH("GILD US Equity","ARDR_OTH_ADJ_NON_GAAP_R&amp;D","FQ2 2019","FQ2 2019","Currency=USD","Period=FQ","BEST_FPERIOD_OVERRIDE=FQ","FILING_STATUS=MR","SCALING_FORMAT=MLN","Sort=A","Dates=H","DateFormat=P","Fill=—","Direction=H","UseDPDF=Y")</f>
        <v>-1</v>
      </c>
      <c r="F114" s="13">
        <f>_xll.BDH("GILD US Equity","ARDR_OTH_ADJ_NON_GAAP_R&amp;D","FQ3 2019","FQ3 2019","Currency=USD","Period=FQ","BEST_FPERIOD_OVERRIDE=FQ","FILING_STATUS=MR","SCALING_FORMAT=MLN","Sort=A","Dates=H","DateFormat=P","Fill=—","Direction=H","UseDPDF=Y")</f>
        <v>2</v>
      </c>
      <c r="G114" s="13">
        <f>_xll.BDH("GILD US Equity","ARDR_OTH_ADJ_NON_GAAP_R&amp;D","FQ4 2019","FQ4 2019","Currency=USD","Period=FQ","BEST_FPERIOD_OVERRIDE=FQ","FILING_STATUS=MR","SCALING_FORMAT=MLN","Sort=A","Dates=H","DateFormat=P","Fill=—","Direction=H","UseDPDF=Y")</f>
        <v>-4</v>
      </c>
      <c r="H114" s="13" t="str">
        <f>_xll.BDH("GILD US Equity","ARDR_OTH_ADJ_NON_GAAP_R&amp;D","FQ1 2020","FQ1 2020","Currency=USD","Period=FQ","BEST_FPERIOD_OVERRIDE=FQ","FILING_STATUS=MR","SCALING_FORMAT=MLN","Sort=A","Dates=H","DateFormat=P","Fill=—","Direction=H","UseDPDF=Y")</f>
        <v>—</v>
      </c>
      <c r="I114" s="13" t="str">
        <f>_xll.BDH("GILD US Equity","ARDR_OTH_ADJ_NON_GAAP_R&amp;D","FQ2 2020","FQ2 2020","Currency=USD","Period=FQ","BEST_FPERIOD_OVERRIDE=FQ","FILING_STATUS=MR","SCALING_FORMAT=MLN","Sort=A","Dates=H","DateFormat=P","Fill=—","Direction=H","UseDPDF=Y")</f>
        <v>—</v>
      </c>
      <c r="J114" s="13" t="str">
        <f>_xll.BDH("GILD US Equity","ARDR_OTH_ADJ_NON_GAAP_R&amp;D","FQ3 2020","FQ3 2020","Currency=USD","Period=FQ","BEST_FPERIOD_OVERRIDE=FQ","FILING_STATUS=MR","SCALING_FORMAT=MLN","Sort=A","Dates=H","DateFormat=P","Fill=—","Direction=H","UseDPDF=Y")</f>
        <v>—</v>
      </c>
      <c r="K114" s="13" t="str">
        <f>_xll.BDH("GILD US Equity","ARDR_OTH_ADJ_NON_GAAP_R&amp;D","FQ4 2020","FQ4 2020","Currency=USD","Period=FQ","BEST_FPERIOD_OVERRIDE=FQ","FILING_STATUS=MR","SCALING_FORMAT=MLN","Sort=A","Dates=H","DateFormat=P","Fill=—","Direction=H","UseDPDF=Y")</f>
        <v>—</v>
      </c>
      <c r="L114" s="13" t="str">
        <f>_xll.BDH("GILD US Equity","ARDR_OTH_ADJ_NON_GAAP_R&amp;D","FQ1 2021","FQ1 2021","Currency=USD","Period=FQ","BEST_FPERIOD_OVERRIDE=FQ","FILING_STATUS=MR","SCALING_FORMAT=MLN","Sort=A","Dates=H","DateFormat=P","Fill=—","Direction=H","UseDPDF=Y")</f>
        <v>—</v>
      </c>
      <c r="M114" s="13">
        <f>_xll.BDH("GILD US Equity","ARDR_OTH_ADJ_NON_GAAP_R&amp;D","FQ2 2021","FQ2 2021","Currency=USD","Period=FQ","BEST_FPERIOD_OVERRIDE=FQ","FILING_STATUS=MR","SCALING_FORMAT=MLN","Sort=A","Dates=H","DateFormat=P","Fill=—","Direction=H","UseDPDF=Y")</f>
        <v>44</v>
      </c>
      <c r="N114" s="13" t="str">
        <f>_xll.BDH("GILD US Equity","ARDR_OTH_ADJ_NON_GAAP_R&amp;D","FQ3 2021","FQ3 2021","Currency=USD","Period=FQ","BEST_FPERIOD_OVERRIDE=FQ","FILING_STATUS=MR","SCALING_FORMAT=MLN","Sort=A","Dates=H","DateFormat=P","Fill=—","Direction=H","UseDPDF=Y")</f>
        <v>—</v>
      </c>
      <c r="O114" s="13" t="str">
        <f>_xll.BDH("GILD US Equity","ARDR_OTH_ADJ_NON_GAAP_R&amp;D","FQ4 2021","FQ4 2021","Currency=USD","Period=FQ","BEST_FPERIOD_OVERRIDE=FQ","FILING_STATUS=MR","SCALING_FORMAT=MLN","Sort=A","Dates=H","DateFormat=P","Fill=—","Direction=H","UseDPDF=Y")</f>
        <v>—</v>
      </c>
      <c r="P114" s="13" t="str">
        <f>_xll.BDH("GILD US Equity","ARDR_OTH_ADJ_NON_GAAP_R&amp;D","FQ1 2022","FQ1 2022","Currency=USD","Period=FQ","BEST_FPERIOD_OVERRIDE=FQ","FILING_STATUS=MR","SCALING_FORMAT=MLN","Sort=A","Dates=H","DateFormat=P","Fill=—","Direction=H","UseDPDF=Y")</f>
        <v>—</v>
      </c>
      <c r="Q114" s="13">
        <f>_xll.BDH("GILD US Equity","ARDR_OTH_ADJ_NON_GAAP_R&amp;D","FQ2 2022","FQ2 2022","Currency=USD","Period=FQ","BEST_FPERIOD_OVERRIDE=FQ","FILING_STATUS=MR","SCALING_FORMAT=MLN","Sort=A","Dates=H","DateFormat=P","Fill=—","Direction=H","UseDPDF=Y")</f>
        <v>0</v>
      </c>
      <c r="R114" s="13" t="str">
        <f>_xll.BDH("GILD US Equity","ARDR_OTH_ADJ_NON_GAAP_R&amp;D","FQ3 2022","FQ3 2022","Currency=USD","Period=FQ","BEST_FPERIOD_OVERRIDE=FQ","FILING_STATUS=MR","SCALING_FORMAT=MLN","Sort=A","Dates=H","DateFormat=P","Fill=—","Direction=H","UseDPDF=Y")</f>
        <v>—</v>
      </c>
      <c r="S114" s="13">
        <f>_xll.BDH("GILD US Equity","ARDR_OTH_ADJ_NON_GAAP_R&amp;D","FQ4 2022","FQ4 2022","Currency=USD","Period=FQ","BEST_FPERIOD_OVERRIDE=FQ","FILING_STATUS=MR","SCALING_FORMAT=MLN","Sort=A","Dates=H","DateFormat=P","Fill=—","Direction=H","UseDPDF=Y")</f>
        <v>4</v>
      </c>
      <c r="T114" s="13" t="str">
        <f>_xll.BDH("GILD US Equity","ARDR_OTH_ADJ_NON_GAAP_R&amp;D","FQ1 2023","FQ1 2023","Currency=USD","Period=FQ","BEST_FPERIOD_OVERRIDE=FQ","FILING_STATUS=MR","SCALING_FORMAT=MLN","Sort=A","Dates=H","DateFormat=P","Fill=—","Direction=H","UseDPDF=Y")</f>
        <v>—</v>
      </c>
      <c r="U114" s="13" t="str">
        <f>_xll.BDH("GILD US Equity","ARDR_OTH_ADJ_NON_GAAP_R&amp;D","FQ2 2023","FQ2 2023","Currency=USD","Period=FQ","BEST_FPERIOD_OVERRIDE=FQ","FILING_STATUS=MR","SCALING_FORMAT=MLN","Sort=A","Dates=H","DateFormat=P","Fill=—","Direction=H","UseDPDF=Y")</f>
        <v>—</v>
      </c>
      <c r="V114" s="13" t="str">
        <f>_xll.BDH("GILD US Equity","ARDR_OTH_ADJ_NON_GAAP_R&amp;D","FQ3 2023","FQ3 2023","Currency=USD","Period=FQ","BEST_FPERIOD_OVERRIDE=FQ","FILING_STATUS=MR","SCALING_FORMAT=MLN","Sort=A","Dates=H","DateFormat=P","Fill=—","Direction=H","UseDPDF=Y")</f>
        <v>—</v>
      </c>
      <c r="W114" s="13" t="str">
        <f>_xll.BDH("GILD US Equity","ARDR_OTH_ADJ_NON_GAAP_R&amp;D","FQ4 2023","FQ4 2023","Currency=USD","Period=FQ","BEST_FPERIOD_OVERRIDE=FQ","FILING_STATUS=MR","SCALING_FORMAT=MLN","Sort=A","Dates=H","DateFormat=P","Fill=—","Direction=H","UseDPDF=Y")</f>
        <v>—</v>
      </c>
      <c r="X114" s="13" t="str">
        <f>_xll.BDH("GILD US Equity","ARDR_OTH_ADJ_NON_GAAP_R&amp;D","FQ1 2024","FQ1 2024","Currency=USD","Period=FQ","BEST_FPERIOD_OVERRIDE=FQ","FILING_STATUS=MR","SCALING_FORMAT=MLN","Sort=A","Dates=H","DateFormat=P","Fill=—","Direction=H","UseDPDF=Y")</f>
        <v>—</v>
      </c>
      <c r="Y114" s="13" t="str">
        <f>_xll.BDH("GILD US Equity","ARDR_OTH_ADJ_NON_GAAP_R&amp;D","FQ2 2024","FQ2 2024","Currency=USD","Period=FQ","BEST_FPERIOD_OVERRIDE=FQ","FILING_STATUS=MR","SCALING_FORMAT=MLN","Sort=A","Dates=H","DateFormat=P","Fill=—","Direction=H","UseDPDF=Y")</f>
        <v>—</v>
      </c>
      <c r="Z114" s="13" t="str">
        <f>_xll.BDH("GILD US Equity","ARDR_OTH_ADJ_NON_GAAP_R&amp;D","FQ3 2024","FQ3 2024","Currency=USD","Period=FQ","BEST_FPERIOD_OVERRIDE=FQ","FILING_STATUS=MR","SCALING_FORMAT=MLN","Sort=A","Dates=H","DateFormat=P","Fill=—","Direction=H","UseDPDF=Y")</f>
        <v>—</v>
      </c>
      <c r="AA114" s="13" t="str">
        <f>_xll.BDH("GILD US Equity","ARDR_OTH_ADJ_NON_GAAP_R&amp;D","FQ4 2024","FQ4 2024","Currency=USD","Period=FQ","BEST_FPERIOD_OVERRIDE=FQ","FILING_STATUS=MR","SCALING_FORMAT=MLN","Sort=A","Dates=H","DateFormat=P","Fill=—","Direction=H","UseDPDF=Y")</f>
        <v>—</v>
      </c>
    </row>
    <row r="115" spans="1:27" x14ac:dyDescent="0.25">
      <c r="A115" s="10" t="s">
        <v>608</v>
      </c>
      <c r="B115" s="10" t="s">
        <v>609</v>
      </c>
      <c r="C115" s="13" t="str">
        <f>_xll.BDH("GILD US Equity","ARDR_TAX_EFFECT_NON_GAAP_ADJ","FQ4 2018","FQ4 2018","Currency=USD","Period=FQ","BEST_FPERIOD_OVERRIDE=FQ","FILING_STATUS=MR","SCALING_FORMAT=MLN","Sort=A","Dates=H","DateFormat=P","Fill=—","Direction=H","UseDPDF=Y")</f>
        <v>—</v>
      </c>
      <c r="D115" s="13" t="str">
        <f>_xll.BDH("GILD US Equity","ARDR_TAX_EFFECT_NON_GAAP_ADJ","FQ1 2019","FQ1 2019","Currency=USD","Period=FQ","BEST_FPERIOD_OVERRIDE=FQ","FILING_STATUS=MR","SCALING_FORMAT=MLN","Sort=A","Dates=H","DateFormat=P","Fill=—","Direction=H","UseDPDF=Y")</f>
        <v>—</v>
      </c>
      <c r="E115" s="13" t="str">
        <f>_xll.BDH("GILD US Equity","ARDR_TAX_EFFECT_NON_GAAP_ADJ","FQ2 2019","FQ2 2019","Currency=USD","Period=FQ","BEST_FPERIOD_OVERRIDE=FQ","FILING_STATUS=MR","SCALING_FORMAT=MLN","Sort=A","Dates=H","DateFormat=P","Fill=—","Direction=H","UseDPDF=Y")</f>
        <v>—</v>
      </c>
      <c r="F115" s="13" t="str">
        <f>_xll.BDH("GILD US Equity","ARDR_TAX_EFFECT_NON_GAAP_ADJ","FQ3 2019","FQ3 2019","Currency=USD","Period=FQ","BEST_FPERIOD_OVERRIDE=FQ","FILING_STATUS=MR","SCALING_FORMAT=MLN","Sort=A","Dates=H","DateFormat=P","Fill=—","Direction=H","UseDPDF=Y")</f>
        <v>—</v>
      </c>
      <c r="G115" s="13" t="str">
        <f>_xll.BDH("GILD US Equity","ARDR_TAX_EFFECT_NON_GAAP_ADJ","FQ4 2019","FQ4 2019","Currency=USD","Period=FQ","BEST_FPERIOD_OVERRIDE=FQ","FILING_STATUS=MR","SCALING_FORMAT=MLN","Sort=A","Dates=H","DateFormat=P","Fill=—","Direction=H","UseDPDF=Y")</f>
        <v>—</v>
      </c>
      <c r="H115" s="13" t="str">
        <f>_xll.BDH("GILD US Equity","ARDR_TAX_EFFECT_NON_GAAP_ADJ","FQ1 2020","FQ1 2020","Currency=USD","Period=FQ","BEST_FPERIOD_OVERRIDE=FQ","FILING_STATUS=MR","SCALING_FORMAT=MLN","Sort=A","Dates=H","DateFormat=P","Fill=—","Direction=H","UseDPDF=Y")</f>
        <v>—</v>
      </c>
      <c r="I115" s="13" t="str">
        <f>_xll.BDH("GILD US Equity","ARDR_TAX_EFFECT_NON_GAAP_ADJ","FQ2 2020","FQ2 2020","Currency=USD","Period=FQ","BEST_FPERIOD_OVERRIDE=FQ","FILING_STATUS=MR","SCALING_FORMAT=MLN","Sort=A","Dates=H","DateFormat=P","Fill=—","Direction=H","UseDPDF=Y")</f>
        <v>—</v>
      </c>
      <c r="J115" s="13" t="str">
        <f>_xll.BDH("GILD US Equity","ARDR_TAX_EFFECT_NON_GAAP_ADJ","FQ3 2020","FQ3 2020","Currency=USD","Period=FQ","BEST_FPERIOD_OVERRIDE=FQ","FILING_STATUS=MR","SCALING_FORMAT=MLN","Sort=A","Dates=H","DateFormat=P","Fill=—","Direction=H","UseDPDF=Y")</f>
        <v>—</v>
      </c>
      <c r="K115" s="13" t="str">
        <f>_xll.BDH("GILD US Equity","ARDR_TAX_EFFECT_NON_GAAP_ADJ","FQ4 2020","FQ4 2020","Currency=USD","Period=FQ","BEST_FPERIOD_OVERRIDE=FQ","FILING_STATUS=MR","SCALING_FORMAT=MLN","Sort=A","Dates=H","DateFormat=P","Fill=—","Direction=H","UseDPDF=Y")</f>
        <v>—</v>
      </c>
      <c r="L115" s="13" t="str">
        <f>_xll.BDH("GILD US Equity","ARDR_TAX_EFFECT_NON_GAAP_ADJ","FQ1 2021","FQ1 2021","Currency=USD","Period=FQ","BEST_FPERIOD_OVERRIDE=FQ","FILING_STATUS=MR","SCALING_FORMAT=MLN","Sort=A","Dates=H","DateFormat=P","Fill=—","Direction=H","UseDPDF=Y")</f>
        <v>—</v>
      </c>
      <c r="M115" s="13" t="str">
        <f>_xll.BDH("GILD US Equity","ARDR_TAX_EFFECT_NON_GAAP_ADJ","FQ2 2021","FQ2 2021","Currency=USD","Period=FQ","BEST_FPERIOD_OVERRIDE=FQ","FILING_STATUS=MR","SCALING_FORMAT=MLN","Sort=A","Dates=H","DateFormat=P","Fill=—","Direction=H","UseDPDF=Y")</f>
        <v>—</v>
      </c>
      <c r="N115" s="13" t="str">
        <f>_xll.BDH("GILD US Equity","ARDR_TAX_EFFECT_NON_GAAP_ADJ","FQ3 2021","FQ3 2021","Currency=USD","Period=FQ","BEST_FPERIOD_OVERRIDE=FQ","FILING_STATUS=MR","SCALING_FORMAT=MLN","Sort=A","Dates=H","DateFormat=P","Fill=—","Direction=H","UseDPDF=Y")</f>
        <v>—</v>
      </c>
      <c r="O115" s="13" t="str">
        <f>_xll.BDH("GILD US Equity","ARDR_TAX_EFFECT_NON_GAAP_ADJ","FQ4 2021","FQ4 2021","Currency=USD","Period=FQ","BEST_FPERIOD_OVERRIDE=FQ","FILING_STATUS=MR","SCALING_FORMAT=MLN","Sort=A","Dates=H","DateFormat=P","Fill=—","Direction=H","UseDPDF=Y")</f>
        <v>—</v>
      </c>
      <c r="P115" s="13" t="str">
        <f>_xll.BDH("GILD US Equity","ARDR_TAX_EFFECT_NON_GAAP_ADJ","FQ1 2022","FQ1 2022","Currency=USD","Period=FQ","BEST_FPERIOD_OVERRIDE=FQ","FILING_STATUS=MR","SCALING_FORMAT=MLN","Sort=A","Dates=H","DateFormat=P","Fill=—","Direction=H","UseDPDF=Y")</f>
        <v>—</v>
      </c>
      <c r="Q115" s="13" t="str">
        <f>_xll.BDH("GILD US Equity","ARDR_TAX_EFFECT_NON_GAAP_ADJ","FQ2 2022","FQ2 2022","Currency=USD","Period=FQ","BEST_FPERIOD_OVERRIDE=FQ","FILING_STATUS=MR","SCALING_FORMAT=MLN","Sort=A","Dates=H","DateFormat=P","Fill=—","Direction=H","UseDPDF=Y")</f>
        <v>—</v>
      </c>
      <c r="R115" s="13" t="str">
        <f>_xll.BDH("GILD US Equity","ARDR_TAX_EFFECT_NON_GAAP_ADJ","FQ3 2022","FQ3 2022","Currency=USD","Period=FQ","BEST_FPERIOD_OVERRIDE=FQ","FILING_STATUS=MR","SCALING_FORMAT=MLN","Sort=A","Dates=H","DateFormat=P","Fill=—","Direction=H","UseDPDF=Y")</f>
        <v>—</v>
      </c>
      <c r="S115" s="13" t="str">
        <f>_xll.BDH("GILD US Equity","ARDR_TAX_EFFECT_NON_GAAP_ADJ","FQ4 2022","FQ4 2022","Currency=USD","Period=FQ","BEST_FPERIOD_OVERRIDE=FQ","FILING_STATUS=MR","SCALING_FORMAT=MLN","Sort=A","Dates=H","DateFormat=P","Fill=—","Direction=H","UseDPDF=Y")</f>
        <v>—</v>
      </c>
      <c r="T115" s="13" t="str">
        <f>_xll.BDH("GILD US Equity","ARDR_TAX_EFFECT_NON_GAAP_ADJ","FQ1 2023","FQ1 2023","Currency=USD","Period=FQ","BEST_FPERIOD_OVERRIDE=FQ","FILING_STATUS=MR","SCALING_FORMAT=MLN","Sort=A","Dates=H","DateFormat=P","Fill=—","Direction=H","UseDPDF=Y")</f>
        <v>—</v>
      </c>
      <c r="U115" s="13">
        <f>_xll.BDH("GILD US Equity","ARDR_TAX_EFFECT_NON_GAAP_ADJ","FQ2 2023","FQ2 2023","Currency=USD","Period=FQ","BEST_FPERIOD_OVERRIDE=FQ","FILING_STATUS=MR","SCALING_FORMAT=MLN","Sort=A","Dates=H","DateFormat=P","Fill=—","Direction=H","UseDPDF=Y")</f>
        <v>-126</v>
      </c>
      <c r="V115" s="13">
        <f>_xll.BDH("GILD US Equity","ARDR_TAX_EFFECT_NON_GAAP_ADJ","FQ3 2023","FQ3 2023","Currency=USD","Period=FQ","BEST_FPERIOD_OVERRIDE=FQ","FILING_STATUS=MR","SCALING_FORMAT=MLN","Sort=A","Dates=H","DateFormat=P","Fill=—","Direction=H","UseDPDF=Y")</f>
        <v>-129</v>
      </c>
      <c r="W115" s="13" t="str">
        <f>_xll.BDH("GILD US Equity","ARDR_TAX_EFFECT_NON_GAAP_ADJ","FQ4 2023","FQ4 2023","Currency=USD","Period=FQ","BEST_FPERIOD_OVERRIDE=FQ","FILING_STATUS=MR","SCALING_FORMAT=MLN","Sort=A","Dates=H","DateFormat=P","Fill=—","Direction=H","UseDPDF=Y")</f>
        <v>—</v>
      </c>
      <c r="X115" s="13">
        <f>_xll.BDH("GILD US Equity","ARDR_TAX_EFFECT_NON_GAAP_ADJ","FQ1 2024","FQ1 2024","Currency=USD","Period=FQ","BEST_FPERIOD_OVERRIDE=FQ","FILING_STATUS=MR","SCALING_FORMAT=MLN","Sort=A","Dates=H","DateFormat=P","Fill=—","Direction=H","UseDPDF=Y")</f>
        <v>-732</v>
      </c>
      <c r="Y115" s="13">
        <f>_xll.BDH("GILD US Equity","ARDR_TAX_EFFECT_NON_GAAP_ADJ","FQ2 2024","FQ2 2024","Currency=USD","Period=FQ","BEST_FPERIOD_OVERRIDE=FQ","FILING_STATUS=MR","SCALING_FORMAT=MLN","Sort=A","Dates=H","DateFormat=P","Fill=—","Direction=H","UseDPDF=Y")</f>
        <v>-168</v>
      </c>
      <c r="Z115" s="13">
        <f>_xll.BDH("GILD US Equity","ARDR_TAX_EFFECT_NON_GAAP_ADJ","FQ3 2024","FQ3 2024","Currency=USD","Period=FQ","BEST_FPERIOD_OVERRIDE=FQ","FILING_STATUS=MR","SCALING_FORMAT=MLN","Sort=A","Dates=H","DateFormat=P","Fill=—","Direction=H","UseDPDF=Y")</f>
        <v>-521</v>
      </c>
      <c r="AA115" s="13">
        <f>_xll.BDH("GILD US Equity","ARDR_TAX_EFFECT_NON_GAAP_ADJ","FQ4 2024","FQ4 2024","Currency=USD","Period=FQ","BEST_FPERIOD_OVERRIDE=FQ","FILING_STATUS=MR","SCALING_FORMAT=MLN","Sort=A","Dates=H","DateFormat=P","Fill=—","Direction=H","UseDPDF=Y")</f>
        <v>-152</v>
      </c>
    </row>
    <row r="116" spans="1:27" x14ac:dyDescent="0.25">
      <c r="A116" s="10" t="s">
        <v>610</v>
      </c>
      <c r="B116" s="10" t="s">
        <v>611</v>
      </c>
      <c r="C116" s="13">
        <f>_xll.BDH("GILD US Equity","ARDR_NON_GAAP_DIL_WAVG_SHRS","FQ4 2018","FQ4 2018","Currency=USD","Period=FQ","BEST_FPERIOD_OVERRIDE=FQ","FILING_STATUS=MR","Sort=A","Dates=H","DateFormat=P","Fill=—","Direction=H","UseDPDF=Y")</f>
        <v>1299</v>
      </c>
      <c r="D116" s="13">
        <f>_xll.BDH("GILD US Equity","ARDR_NON_GAAP_DIL_WAVG_SHRS","FQ1 2019","FQ1 2019","Currency=USD","Period=FQ","BEST_FPERIOD_OVERRIDE=FQ","FILING_STATUS=MR","Sort=A","Dates=H","DateFormat=P","Fill=—","Direction=H","UseDPDF=Y")</f>
        <v>1283</v>
      </c>
      <c r="E116" s="13">
        <f>_xll.BDH("GILD US Equity","ARDR_NON_GAAP_DIL_WAVG_SHRS","FQ2 2019","FQ2 2019","Currency=USD","Period=FQ","BEST_FPERIOD_OVERRIDE=FQ","FILING_STATUS=MR","Sort=A","Dates=H","DateFormat=P","Fill=—","Direction=H","UseDPDF=Y")</f>
        <v>1277</v>
      </c>
      <c r="F116" s="13">
        <f>_xll.BDH("GILD US Equity","ARDR_NON_GAAP_DIL_WAVG_SHRS","FQ3 2019","FQ3 2019","Currency=USD","Period=FQ","BEST_FPERIOD_OVERRIDE=FQ","FILING_STATUS=MR","Sort=A","Dates=H","DateFormat=P","Fill=—","Direction=H","UseDPDF=Y")</f>
        <v>1267</v>
      </c>
      <c r="G116" s="13">
        <f>_xll.BDH("GILD US Equity","ARDR_NON_GAAP_DIL_WAVG_SHRS","FQ4 2019","FQ4 2019","Currency=USD","Period=FQ","BEST_FPERIOD_OVERRIDE=FQ","FILING_STATUS=MR","Sort=A","Dates=H","DateFormat=P","Fill=—","Direction=H","UseDPDF=Y")</f>
        <v>1273</v>
      </c>
      <c r="H116" s="13">
        <f>_xll.BDH("GILD US Equity","ARDR_NON_GAAP_DIL_WAVG_SHRS","FQ1 2020","FQ1 2020","Currency=USD","Period=FQ","BEST_FPERIOD_OVERRIDE=FQ","FILING_STATUS=MR","Sort=A","Dates=H","DateFormat=P","Fill=—","Direction=H","UseDPDF=Y")</f>
        <v>1270</v>
      </c>
      <c r="I116" s="13">
        <f>_xll.BDH("GILD US Equity","ARDR_NON_GAAP_DIL_WAVG_SHRS","FQ2 2020","FQ2 2020","Currency=USD","Period=FQ","BEST_FPERIOD_OVERRIDE=FQ","FILING_STATUS=MR","Sort=A","Dates=H","DateFormat=P","Fill=—","Direction=H","UseDPDF=Y")</f>
        <v>1255</v>
      </c>
      <c r="J116" s="13">
        <f>_xll.BDH("GILD US Equity","ARDR_NON_GAAP_DIL_WAVG_SHRS","FQ3 2020","FQ3 2020","Currency=USD","Period=FQ","BEST_FPERIOD_OVERRIDE=FQ","FILING_STATUS=MR","Sort=A","Dates=H","DateFormat=P","Fill=—","Direction=H","UseDPDF=Y")</f>
        <v>1261</v>
      </c>
      <c r="K116" s="13">
        <f>_xll.BDH("GILD US Equity","ARDR_NON_GAAP_DIL_WAVG_SHRS","FQ4 2020","FQ4 2020","Currency=USD","Period=FQ","BEST_FPERIOD_OVERRIDE=FQ","FILING_STATUS=MR","Sort=A","Dates=H","DateFormat=P","Fill=—","Direction=H","UseDPDF=Y")</f>
        <v>1259</v>
      </c>
      <c r="L116" s="13">
        <f>_xll.BDH("GILD US Equity","ARDR_NON_GAAP_DIL_WAVG_SHRS","FQ1 2021","FQ1 2021","Currency=USD","Period=FQ","BEST_FPERIOD_OVERRIDE=FQ","FILING_STATUS=MR","Sort=A","Dates=H","DateFormat=P","Fill=—","Direction=H","UseDPDF=Y")</f>
        <v>1262</v>
      </c>
      <c r="M116" s="13">
        <f>_xll.BDH("GILD US Equity","ARDR_NON_GAAP_DIL_WAVG_SHRS","FQ2 2021","FQ2 2021","Currency=USD","Period=FQ","BEST_FPERIOD_OVERRIDE=FQ","FILING_STATUS=MR","Sort=A","Dates=H","DateFormat=P","Fill=—","Direction=H","UseDPDF=Y")</f>
        <v>1260</v>
      </c>
      <c r="N116" s="13">
        <f>_xll.BDH("GILD US Equity","ARDR_NON_GAAP_DIL_WAVG_SHRS","FQ3 2021","FQ3 2021","Currency=USD","Period=FQ","BEST_FPERIOD_OVERRIDE=FQ","FILING_STATUS=MR","Sort=A","Dates=H","DateFormat=P","Fill=—","Direction=H","UseDPDF=Y")</f>
        <v>1262</v>
      </c>
      <c r="O116" s="13">
        <f>_xll.BDH("GILD US Equity","ARDR_NON_GAAP_DIL_WAVG_SHRS","FQ4 2021","FQ4 2021","Currency=USD","Period=FQ","BEST_FPERIOD_OVERRIDE=FQ","FILING_STATUS=MR","Sort=A","Dates=H","DateFormat=P","Fill=—","Direction=H","UseDPDF=Y")</f>
        <v>1262</v>
      </c>
      <c r="P116" s="13">
        <f>_xll.BDH("GILD US Equity","ARDR_NON_GAAP_DIL_WAVG_SHRS","FQ1 2022","FQ1 2022","Currency=USD","Period=FQ","BEST_FPERIOD_OVERRIDE=FQ","FILING_STATUS=MR","Sort=A","Dates=H","DateFormat=P","Fill=—","Direction=H","UseDPDF=Y")</f>
        <v>1262</v>
      </c>
      <c r="Q116" s="13">
        <f>_xll.BDH("GILD US Equity","ARDR_NON_GAAP_DIL_WAVG_SHRS","FQ2 2022","FQ2 2022","Currency=USD","Period=FQ","BEST_FPERIOD_OVERRIDE=FQ","FILING_STATUS=MR","Sort=A","Dates=H","DateFormat=P","Fill=—","Direction=H","UseDPDF=Y")</f>
        <v>1260</v>
      </c>
      <c r="R116" s="13">
        <f>_xll.BDH("GILD US Equity","ARDR_NON_GAAP_DIL_WAVG_SHRS","FQ3 2022","FQ3 2022","Currency=USD","Period=FQ","BEST_FPERIOD_OVERRIDE=FQ","FILING_STATUS=MR","Sort=A","Dates=H","DateFormat=P","Fill=—","Direction=H","UseDPDF=Y")</f>
        <v>1261</v>
      </c>
      <c r="S116" s="13">
        <f>_xll.BDH("GILD US Equity","ARDR_NON_GAAP_DIL_WAVG_SHRS","FQ4 2022","FQ4 2022","Currency=USD","Period=FQ","BEST_FPERIOD_OVERRIDE=FQ","FILING_STATUS=MR","Sort=A","Dates=H","DateFormat=P","Fill=—","Direction=H","UseDPDF=Y")</f>
        <v>1264</v>
      </c>
      <c r="T116" s="13">
        <f>_xll.BDH("GILD US Equity","ARDR_NON_GAAP_DIL_WAVG_SHRS","FQ1 2023","FQ1 2023","Currency=USD","Period=FQ","BEST_FPERIOD_OVERRIDE=FQ","FILING_STATUS=MR","Sort=A","Dates=H","DateFormat=P","Fill=—","Direction=H","UseDPDF=Y")</f>
        <v>1261</v>
      </c>
      <c r="U116" s="13">
        <f>_xll.BDH("GILD US Equity","ARDR_NON_GAAP_DIL_WAVG_SHRS","FQ2 2023","FQ2 2023","Currency=USD","Period=FQ","BEST_FPERIOD_OVERRIDE=FQ","FILING_STATUS=MR","Sort=A","Dates=H","DateFormat=P","Fill=—","Direction=H","UseDPDF=Y")</f>
        <v>1258</v>
      </c>
      <c r="V116" s="13">
        <f>_xll.BDH("GILD US Equity","ARDR_NON_GAAP_DIL_WAVG_SHRS","FQ3 2023","FQ3 2023","Currency=USD","Period=FQ","BEST_FPERIOD_OVERRIDE=FQ","FILING_STATUS=MR","Sort=A","Dates=H","DateFormat=P","Fill=—","Direction=H","UseDPDF=Y")</f>
        <v>1257</v>
      </c>
      <c r="W116" s="13">
        <f>_xll.BDH("GILD US Equity","ARDR_NON_GAAP_DIL_WAVG_SHRS","FQ4 2023","FQ4 2023","Currency=USD","Period=FQ","BEST_FPERIOD_OVERRIDE=FQ","FILING_STATUS=MR","Sort=A","Dates=H","DateFormat=P","Fill=—","Direction=H","UseDPDF=Y")</f>
        <v>1256</v>
      </c>
      <c r="X116" s="13">
        <f>_xll.BDH("GILD US Equity","ARDR_NON_GAAP_DIL_WAVG_SHRS","FQ1 2024","FQ1 2024","Currency=USD","Period=FQ","BEST_FPERIOD_OVERRIDE=FQ","FILING_STATUS=MR","Sort=A","Dates=H","DateFormat=P","Fill=—","Direction=H","UseDPDF=Y")</f>
        <v>1247</v>
      </c>
      <c r="Y116" s="13">
        <f>_xll.BDH("GILD US Equity","ARDR_NON_GAAP_DIL_WAVG_SHRS","FQ2 2024","FQ2 2024","Currency=USD","Period=FQ","BEST_FPERIOD_OVERRIDE=FQ","FILING_STATUS=MR","Sort=A","Dates=H","DateFormat=P","Fill=—","Direction=H","UseDPDF=Y")</f>
        <v>1251</v>
      </c>
      <c r="Z116" s="13">
        <f>_xll.BDH("GILD US Equity","ARDR_NON_GAAP_DIL_WAVG_SHRS","FQ3 2024","FQ3 2024","Currency=USD","Period=FQ","BEST_FPERIOD_OVERRIDE=FQ","FILING_STATUS=MR","Sort=A","Dates=H","DateFormat=P","Fill=—","Direction=H","UseDPDF=Y")</f>
        <v>1254</v>
      </c>
      <c r="AA116" s="13">
        <f>_xll.BDH("GILD US Equity","ARDR_NON_GAAP_DIL_WAVG_SHRS","FQ4 2024","FQ4 2024","Currency=USD","Period=FQ","BEST_FPERIOD_OVERRIDE=FQ","FILING_STATUS=MR","Sort=A","Dates=H","DateFormat=P","Fill=—","Direction=H","UseDPDF=Y")</f>
        <v>1259</v>
      </c>
    </row>
    <row r="117" spans="1:27" x14ac:dyDescent="0.25">
      <c r="A117" s="10" t="s">
        <v>612</v>
      </c>
      <c r="B117" s="10" t="s">
        <v>613</v>
      </c>
      <c r="C117" s="14" t="str">
        <f>_xll.BDH("GILD US Equity","ARDR_REST_WF_BAL_NON-GAAP_EPS","FQ4 2018","FQ4 2018","Currency=USD","Period=FQ","BEST_FPERIOD_OVERRIDE=FQ","FILING_STATUS=MR","Sort=A","Dates=H","DateFormat=P","Fill=—","Direction=H","UseDPDF=Y")</f>
        <v>—</v>
      </c>
      <c r="D117" s="14" t="str">
        <f>_xll.BDH("GILD US Equity","ARDR_REST_WF_BAL_NON-GAAP_EPS","FQ1 2019","FQ1 2019","Currency=USD","Period=FQ","BEST_FPERIOD_OVERRIDE=FQ","FILING_STATUS=MR","Sort=A","Dates=H","DateFormat=P","Fill=—","Direction=H","UseDPDF=Y")</f>
        <v>—</v>
      </c>
      <c r="E117" s="14" t="str">
        <f>_xll.BDH("GILD US Equity","ARDR_REST_WF_BAL_NON-GAAP_EPS","FQ2 2019","FQ2 2019","Currency=USD","Period=FQ","BEST_FPERIOD_OVERRIDE=FQ","FILING_STATUS=MR","Sort=A","Dates=H","DateFormat=P","Fill=—","Direction=H","UseDPDF=Y")</f>
        <v>—</v>
      </c>
      <c r="F117" s="14" t="str">
        <f>_xll.BDH("GILD US Equity","ARDR_REST_WF_BAL_NON-GAAP_EPS","FQ3 2019","FQ3 2019","Currency=USD","Period=FQ","BEST_FPERIOD_OVERRIDE=FQ","FILING_STATUS=MR","Sort=A","Dates=H","DateFormat=P","Fill=—","Direction=H","UseDPDF=Y")</f>
        <v>—</v>
      </c>
      <c r="G117" s="14" t="str">
        <f>_xll.BDH("GILD US Equity","ARDR_REST_WF_BAL_NON-GAAP_EPS","FQ4 2019","FQ4 2019","Currency=USD","Period=FQ","BEST_FPERIOD_OVERRIDE=FQ","FILING_STATUS=MR","Sort=A","Dates=H","DateFormat=P","Fill=—","Direction=H","UseDPDF=Y")</f>
        <v>—</v>
      </c>
      <c r="H117" s="14" t="str">
        <f>_xll.BDH("GILD US Equity","ARDR_REST_WF_BAL_NON-GAAP_EPS","FQ1 2020","FQ1 2020","Currency=USD","Period=FQ","BEST_FPERIOD_OVERRIDE=FQ","FILING_STATUS=MR","Sort=A","Dates=H","DateFormat=P","Fill=—","Direction=H","UseDPDF=Y")</f>
        <v>—</v>
      </c>
      <c r="I117" s="14" t="str">
        <f>_xll.BDH("GILD US Equity","ARDR_REST_WF_BAL_NON-GAAP_EPS","FQ2 2020","FQ2 2020","Currency=USD","Period=FQ","BEST_FPERIOD_OVERRIDE=FQ","FILING_STATUS=MR","Sort=A","Dates=H","DateFormat=P","Fill=—","Direction=H","UseDPDF=Y")</f>
        <v>—</v>
      </c>
      <c r="J117" s="14" t="str">
        <f>_xll.BDH("GILD US Equity","ARDR_REST_WF_BAL_NON-GAAP_EPS","FQ3 2020","FQ3 2020","Currency=USD","Period=FQ","BEST_FPERIOD_OVERRIDE=FQ","FILING_STATUS=MR","Sort=A","Dates=H","DateFormat=P","Fill=—","Direction=H","UseDPDF=Y")</f>
        <v>—</v>
      </c>
      <c r="K117" s="14" t="str">
        <f>_xll.BDH("GILD US Equity","ARDR_REST_WF_BAL_NON-GAAP_EPS","FQ4 2020","FQ4 2020","Currency=USD","Period=FQ","BEST_FPERIOD_OVERRIDE=FQ","FILING_STATUS=MR","Sort=A","Dates=H","DateFormat=P","Fill=—","Direction=H","UseDPDF=Y")</f>
        <v>—</v>
      </c>
      <c r="L117" s="14" t="str">
        <f>_xll.BDH("GILD US Equity","ARDR_REST_WF_BAL_NON-GAAP_EPS","FQ1 2021","FQ1 2021","Currency=USD","Period=FQ","BEST_FPERIOD_OVERRIDE=FQ","FILING_STATUS=MR","Sort=A","Dates=H","DateFormat=P","Fill=—","Direction=H","UseDPDF=Y")</f>
        <v>—</v>
      </c>
      <c r="M117" s="14" t="str">
        <f>_xll.BDH("GILD US Equity","ARDR_REST_WF_BAL_NON-GAAP_EPS","FQ2 2021","FQ2 2021","Currency=USD","Period=FQ","BEST_FPERIOD_OVERRIDE=FQ","FILING_STATUS=MR","Sort=A","Dates=H","DateFormat=P","Fill=—","Direction=H","UseDPDF=Y")</f>
        <v>—</v>
      </c>
      <c r="N117" s="14" t="str">
        <f>_xll.BDH("GILD US Equity","ARDR_REST_WF_BAL_NON-GAAP_EPS","FQ3 2021","FQ3 2021","Currency=USD","Period=FQ","BEST_FPERIOD_OVERRIDE=FQ","FILING_STATUS=MR","Sort=A","Dates=H","DateFormat=P","Fill=—","Direction=H","UseDPDF=Y")</f>
        <v>—</v>
      </c>
      <c r="O117" s="14" t="str">
        <f>_xll.BDH("GILD US Equity","ARDR_REST_WF_BAL_NON-GAAP_EPS","FQ4 2021","FQ4 2021","Currency=USD","Period=FQ","BEST_FPERIOD_OVERRIDE=FQ","FILING_STATUS=MR","Sort=A","Dates=H","DateFormat=P","Fill=—","Direction=H","UseDPDF=Y")</f>
        <v>—</v>
      </c>
      <c r="P117" s="14">
        <f>_xll.BDH("GILD US Equity","ARDR_REST_WF_BAL_NON-GAAP_EPS","FQ1 2022","FQ1 2022","Currency=USD","Period=FQ","BEST_FPERIOD_OVERRIDE=FQ","FILING_STATUS=MR","Sort=A","Dates=H","DateFormat=P","Fill=—","Direction=H","UseDPDF=Y")</f>
        <v>0.04</v>
      </c>
      <c r="Q117" s="14" t="str">
        <f>_xll.BDH("GILD US Equity","ARDR_REST_WF_BAL_NON-GAAP_EPS","FQ2 2022","FQ2 2022","Currency=USD","Period=FQ","BEST_FPERIOD_OVERRIDE=FQ","FILING_STATUS=MR","Sort=A","Dates=H","DateFormat=P","Fill=—","Direction=H","UseDPDF=Y")</f>
        <v>—</v>
      </c>
      <c r="R117" s="14" t="str">
        <f>_xll.BDH("GILD US Equity","ARDR_REST_WF_BAL_NON-GAAP_EPS","FQ3 2022","FQ3 2022","Currency=USD","Period=FQ","BEST_FPERIOD_OVERRIDE=FQ","FILING_STATUS=MR","Sort=A","Dates=H","DateFormat=P","Fill=—","Direction=H","UseDPDF=Y")</f>
        <v>—</v>
      </c>
      <c r="S117" s="14" t="str">
        <f>_xll.BDH("GILD US Equity","ARDR_REST_WF_BAL_NON-GAAP_EPS","FQ4 2022","FQ4 2022","Currency=USD","Period=FQ","BEST_FPERIOD_OVERRIDE=FQ","FILING_STATUS=MR","Sort=A","Dates=H","DateFormat=P","Fill=—","Direction=H","UseDPDF=Y")</f>
        <v>—</v>
      </c>
      <c r="T117" s="14">
        <f>_xll.BDH("GILD US Equity","ARDR_REST_WF_BAL_NON-GAAP_EPS","FQ1 2023","FQ1 2023","Currency=USD","Period=FQ","BEST_FPERIOD_OVERRIDE=FQ","FILING_STATUS=MR","Sort=A","Dates=H","DateFormat=P","Fill=—","Direction=H","UseDPDF=Y")</f>
        <v>0</v>
      </c>
      <c r="U117" s="14" t="str">
        <f>_xll.BDH("GILD US Equity","ARDR_REST_WF_BAL_NON-GAAP_EPS","FQ2 2023","FQ2 2023","Currency=USD","Period=FQ","BEST_FPERIOD_OVERRIDE=FQ","FILING_STATUS=MR","Sort=A","Dates=H","DateFormat=P","Fill=—","Direction=H","UseDPDF=Y")</f>
        <v>—</v>
      </c>
      <c r="V117" s="14">
        <f>_xll.BDH("GILD US Equity","ARDR_REST_WF_BAL_NON-GAAP_EPS","FQ3 2023","FQ3 2023","Currency=USD","Period=FQ","BEST_FPERIOD_OVERRIDE=FQ","FILING_STATUS=MR","Sort=A","Dates=H","DateFormat=P","Fill=—","Direction=H","UseDPDF=Y")</f>
        <v>0.01</v>
      </c>
      <c r="W117" s="14">
        <f>_xll.BDH("GILD US Equity","ARDR_REST_WF_BAL_NON-GAAP_EPS","FQ4 2023","FQ4 2023","Currency=USD","Period=FQ","BEST_FPERIOD_OVERRIDE=FQ","FILING_STATUS=MR","Sort=A","Dates=H","DateFormat=P","Fill=—","Direction=H","UseDPDF=Y")</f>
        <v>0.33</v>
      </c>
      <c r="X117" s="14">
        <f>_xll.BDH("GILD US Equity","ARDR_REST_WF_BAL_NON-GAAP_EPS","FQ1 2024","FQ1 2024","Currency=USD","Period=FQ","BEST_FPERIOD_OVERRIDE=FQ","FILING_STATUS=MR","Sort=A","Dates=H","DateFormat=P","Fill=—","Direction=H","UseDPDF=Y")</f>
        <v>0.04</v>
      </c>
      <c r="Y117" s="14">
        <f>_xll.BDH("GILD US Equity","ARDR_REST_WF_BAL_NON-GAAP_EPS","FQ2 2024","FQ2 2024","Currency=USD","Period=FQ","BEST_FPERIOD_OVERRIDE=FQ","FILING_STATUS=MR","Sort=A","Dates=H","DateFormat=P","Fill=—","Direction=H","UseDPDF=Y")</f>
        <v>0.01</v>
      </c>
      <c r="Z117" s="14">
        <f>_xll.BDH("GILD US Equity","ARDR_REST_WF_BAL_NON-GAAP_EPS","FQ3 2024","FQ3 2024","Currency=USD","Period=FQ","BEST_FPERIOD_OVERRIDE=FQ","FILING_STATUS=MR","Sort=A","Dates=H","DateFormat=P","Fill=—","Direction=H","UseDPDF=Y")</f>
        <v>0.02</v>
      </c>
      <c r="AA117" s="14">
        <f>_xll.BDH("GILD US Equity","ARDR_REST_WF_BAL_NON-GAAP_EPS","FQ4 2024","FQ4 2024","Currency=USD","Period=FQ","BEST_FPERIOD_OVERRIDE=FQ","FILING_STATUS=MR","Sort=A","Dates=H","DateFormat=P","Fill=—","Direction=H","UseDPDF=Y")</f>
        <v>0.05</v>
      </c>
    </row>
    <row r="118" spans="1:27" x14ac:dyDescent="0.25">
      <c r="A118" s="10" t="s">
        <v>614</v>
      </c>
      <c r="B118" s="10" t="s">
        <v>615</v>
      </c>
      <c r="C118" s="14" t="str">
        <f>_xll.BDH("GILD US Equity","ARDR_AMO_INTAN_AST_NON-GAAP_EPS","FQ4 2018","FQ4 2018","Currency=USD","Period=FQ","BEST_FPERIOD_OVERRIDE=FQ","FILING_STATUS=MR","Sort=A","Dates=H","DateFormat=P","Fill=—","Direction=H","UseDPDF=Y")</f>
        <v>—</v>
      </c>
      <c r="D118" s="14" t="str">
        <f>_xll.BDH("GILD US Equity","ARDR_AMO_INTAN_AST_NON-GAAP_EPS","FQ1 2019","FQ1 2019","Currency=USD","Period=FQ","BEST_FPERIOD_OVERRIDE=FQ","FILING_STATUS=MR","Sort=A","Dates=H","DateFormat=P","Fill=—","Direction=H","UseDPDF=Y")</f>
        <v>—</v>
      </c>
      <c r="E118" s="14" t="str">
        <f>_xll.BDH("GILD US Equity","ARDR_AMO_INTAN_AST_NON-GAAP_EPS","FQ2 2019","FQ2 2019","Currency=USD","Period=FQ","BEST_FPERIOD_OVERRIDE=FQ","FILING_STATUS=MR","Sort=A","Dates=H","DateFormat=P","Fill=—","Direction=H","UseDPDF=Y")</f>
        <v>—</v>
      </c>
      <c r="F118" s="14">
        <f>_xll.BDH("GILD US Equity","ARDR_AMO_INTAN_AST_NON-GAAP_EPS","FQ3 2019","FQ3 2019","Currency=USD","Period=FQ","BEST_FPERIOD_OVERRIDE=FQ","FILING_STATUS=MR","Sort=A","Dates=H","DateFormat=P","Fill=—","Direction=H","UseDPDF=Y")</f>
        <v>0.19</v>
      </c>
      <c r="G118" s="14">
        <f>_xll.BDH("GILD US Equity","ARDR_AMO_INTAN_AST_NON-GAAP_EPS","FQ4 2019","FQ4 2019","Currency=USD","Period=FQ","BEST_FPERIOD_OVERRIDE=FQ","FILING_STATUS=MR","Sort=A","Dates=H","DateFormat=P","Fill=—","Direction=H","UseDPDF=Y")</f>
        <v>0.19</v>
      </c>
      <c r="H118" s="14" t="str">
        <f>_xll.BDH("GILD US Equity","ARDR_AMO_INTAN_AST_NON-GAAP_EPS","FQ1 2020","FQ1 2020","Currency=USD","Period=FQ","BEST_FPERIOD_OVERRIDE=FQ","FILING_STATUS=MR","Sort=A","Dates=H","DateFormat=P","Fill=—","Direction=H","UseDPDF=Y")</f>
        <v>—</v>
      </c>
      <c r="I118" s="14">
        <f>_xll.BDH("GILD US Equity","ARDR_AMO_INTAN_AST_NON-GAAP_EPS","FQ2 2020","FQ2 2020","Currency=USD","Period=FQ","BEST_FPERIOD_OVERRIDE=FQ","FILING_STATUS=MR","Sort=A","Dates=H","DateFormat=P","Fill=—","Direction=H","UseDPDF=Y")</f>
        <v>0.18</v>
      </c>
      <c r="J118" s="14">
        <f>_xll.BDH("GILD US Equity","ARDR_AMO_INTAN_AST_NON-GAAP_EPS","FQ3 2020","FQ3 2020","Currency=USD","Period=FQ","BEST_FPERIOD_OVERRIDE=FQ","FILING_STATUS=MR","Sort=A","Dates=H","DateFormat=P","Fill=—","Direction=H","UseDPDF=Y")</f>
        <v>0.18</v>
      </c>
      <c r="K118" s="14">
        <f>_xll.BDH("GILD US Equity","ARDR_AMO_INTAN_AST_NON-GAAP_EPS","FQ4 2020","FQ4 2020","Currency=USD","Period=FQ","BEST_FPERIOD_OVERRIDE=FQ","FILING_STATUS=MR","Sort=A","Dates=H","DateFormat=P","Fill=—","Direction=H","UseDPDF=Y")</f>
        <v>0.26</v>
      </c>
      <c r="L118" s="14" t="str">
        <f>_xll.BDH("GILD US Equity","ARDR_AMO_INTAN_AST_NON-GAAP_EPS","FQ1 2021","FQ1 2021","Currency=USD","Period=FQ","BEST_FPERIOD_OVERRIDE=FQ","FILING_STATUS=MR","Sort=A","Dates=H","DateFormat=P","Fill=—","Direction=H","UseDPDF=Y")</f>
        <v>—</v>
      </c>
      <c r="M118" s="14">
        <f>_xll.BDH("GILD US Equity","ARDR_AMO_INTAN_AST_NON-GAAP_EPS","FQ2 2021","FQ2 2021","Currency=USD","Period=FQ","BEST_FPERIOD_OVERRIDE=FQ","FILING_STATUS=MR","Sort=A","Dates=H","DateFormat=P","Fill=—","Direction=H","UseDPDF=Y")</f>
        <v>0.35</v>
      </c>
      <c r="N118" s="14">
        <f>_xll.BDH("GILD US Equity","ARDR_AMO_INTAN_AST_NON-GAAP_EPS","FQ3 2021","FQ3 2021","Currency=USD","Period=FQ","BEST_FPERIOD_OVERRIDE=FQ","FILING_STATUS=MR","Sort=A","Dates=H","DateFormat=P","Fill=—","Direction=H","UseDPDF=Y")</f>
        <v>0.35</v>
      </c>
      <c r="O118" s="14">
        <f>_xll.BDH("GILD US Equity","ARDR_AMO_INTAN_AST_NON-GAAP_EPS","FQ4 2021","FQ4 2021","Currency=USD","Period=FQ","BEST_FPERIOD_OVERRIDE=FQ","FILING_STATUS=MR","Sort=A","Dates=H","DateFormat=P","Fill=—","Direction=H","UseDPDF=Y")</f>
        <v>0.36</v>
      </c>
      <c r="P118" s="14" t="str">
        <f>_xll.BDH("GILD US Equity","ARDR_AMO_INTAN_AST_NON-GAAP_EPS","FQ1 2022","FQ1 2022","Currency=USD","Period=FQ","BEST_FPERIOD_OVERRIDE=FQ","FILING_STATUS=MR","Sort=A","Dates=H","DateFormat=P","Fill=—","Direction=H","UseDPDF=Y")</f>
        <v>—</v>
      </c>
      <c r="Q118" s="14">
        <f>_xll.BDH("GILD US Equity","ARDR_AMO_INTAN_AST_NON-GAAP_EPS","FQ2 2022","FQ2 2022","Currency=USD","Period=FQ","BEST_FPERIOD_OVERRIDE=FQ","FILING_STATUS=MR","Sort=A","Dates=H","DateFormat=P","Fill=—","Direction=H","UseDPDF=Y")</f>
        <v>0.35</v>
      </c>
      <c r="R118" s="14">
        <f>_xll.BDH("GILD US Equity","ARDR_AMO_INTAN_AST_NON-GAAP_EPS","FQ3 2022","FQ3 2022","Currency=USD","Period=FQ","BEST_FPERIOD_OVERRIDE=FQ","FILING_STATUS=MR","Sort=A","Dates=H","DateFormat=P","Fill=—","Direction=H","UseDPDF=Y")</f>
        <v>0.3</v>
      </c>
      <c r="S118" s="14">
        <f>_xll.BDH("GILD US Equity","ARDR_AMO_INTAN_AST_NON-GAAP_EPS","FQ4 2022","FQ4 2022","Currency=USD","Period=FQ","BEST_FPERIOD_OVERRIDE=FQ","FILING_STATUS=MR","Sort=A","Dates=H","DateFormat=P","Fill=—","Direction=H","UseDPDF=Y")</f>
        <v>0.27</v>
      </c>
      <c r="T118" s="14" t="str">
        <f>_xll.BDH("GILD US Equity","ARDR_AMO_INTAN_AST_NON-GAAP_EPS","FQ1 2023","FQ1 2023","Currency=USD","Period=FQ","BEST_FPERIOD_OVERRIDE=FQ","FILING_STATUS=MR","Sort=A","Dates=H","DateFormat=P","Fill=—","Direction=H","UseDPDF=Y")</f>
        <v>—</v>
      </c>
      <c r="U118" s="14">
        <f>_xll.BDH("GILD US Equity","ARDR_AMO_INTAN_AST_NON-GAAP_EPS","FQ2 2023","FQ2 2023","Currency=USD","Period=FQ","BEST_FPERIOD_OVERRIDE=FQ","FILING_STATUS=MR","Sort=A","Dates=H","DateFormat=P","Fill=—","Direction=H","UseDPDF=Y")</f>
        <v>0.37</v>
      </c>
      <c r="V118" s="14">
        <f>_xll.BDH("GILD US Equity","ARDR_AMO_INTAN_AST_NON-GAAP_EPS","FQ3 2023","FQ3 2023","Currency=USD","Period=FQ","BEST_FPERIOD_OVERRIDE=FQ","FILING_STATUS=MR","Sort=A","Dates=H","DateFormat=P","Fill=—","Direction=H","UseDPDF=Y")</f>
        <v>0.37</v>
      </c>
      <c r="W118" s="14">
        <f>_xll.BDH("GILD US Equity","ARDR_AMO_INTAN_AST_NON-GAAP_EPS","FQ4 2023","FQ4 2023","Currency=USD","Period=FQ","BEST_FPERIOD_OVERRIDE=FQ","FILING_STATUS=MR","Sort=A","Dates=H","DateFormat=P","Fill=—","Direction=H","UseDPDF=Y")</f>
        <v>0.37</v>
      </c>
      <c r="X118" s="14">
        <f>_xll.BDH("GILD US Equity","ARDR_AMO_INTAN_AST_NON-GAAP_EPS","FQ1 2024","FQ1 2024","Currency=USD","Period=FQ","BEST_FPERIOD_OVERRIDE=FQ","FILING_STATUS=MR","Sort=A","Dates=H","DateFormat=P","Fill=—","Direction=H","UseDPDF=Y")</f>
        <v>0.37</v>
      </c>
      <c r="Y118" s="14">
        <f>_xll.BDH("GILD US Equity","ARDR_AMO_INTAN_AST_NON-GAAP_EPS","FQ2 2024","FQ2 2024","Currency=USD","Period=FQ","BEST_FPERIOD_OVERRIDE=FQ","FILING_STATUS=MR","Sort=A","Dates=H","DateFormat=P","Fill=—","Direction=H","UseDPDF=Y")</f>
        <v>0.37</v>
      </c>
      <c r="Z118" s="14">
        <f>_xll.BDH("GILD US Equity","ARDR_AMO_INTAN_AST_NON-GAAP_EPS","FQ3 2024","FQ3 2024","Currency=USD","Period=FQ","BEST_FPERIOD_OVERRIDE=FQ","FILING_STATUS=MR","Sort=A","Dates=H","DateFormat=P","Fill=—","Direction=H","UseDPDF=Y")</f>
        <v>0.37</v>
      </c>
      <c r="AA118" s="14">
        <f>_xll.BDH("GILD US Equity","ARDR_AMO_INTAN_AST_NON-GAAP_EPS","FQ4 2024","FQ4 2024","Currency=USD","Period=FQ","BEST_FPERIOD_OVERRIDE=FQ","FILING_STATUS=MR","Sort=A","Dates=H","DateFormat=P","Fill=—","Direction=H","UseDPDF=Y")</f>
        <v>0.36</v>
      </c>
    </row>
    <row r="119" spans="1:27" x14ac:dyDescent="0.25">
      <c r="A119" s="10" t="s">
        <v>616</v>
      </c>
      <c r="B119" s="10" t="s">
        <v>617</v>
      </c>
      <c r="C119" s="14">
        <f>_xll.BDH("GILD US Equity","ARDR_ACQ_REL_CHRG_NON-GAAP_EPS","FQ4 2018","FQ4 2018","Currency=USD","Period=FQ","BEST_FPERIOD_OVERRIDE=FQ","FILING_STATUS=MR","Sort=A","Dates=H","DateFormat=P","Fill=—","Direction=H","UseDPDF=Y")</f>
        <v>0.54</v>
      </c>
      <c r="D119" s="14" t="str">
        <f>_xll.BDH("GILD US Equity","ARDR_ACQ_REL_CHRG_NON-GAAP_EPS","FQ1 2019","FQ1 2019","Currency=USD","Period=FQ","BEST_FPERIOD_OVERRIDE=FQ","FILING_STATUS=MR","Sort=A","Dates=H","DateFormat=P","Fill=—","Direction=H","UseDPDF=Y")</f>
        <v>—</v>
      </c>
      <c r="E119" s="14" t="str">
        <f>_xll.BDH("GILD US Equity","ARDR_ACQ_REL_CHRG_NON-GAAP_EPS","FQ2 2019","FQ2 2019","Currency=USD","Period=FQ","BEST_FPERIOD_OVERRIDE=FQ","FILING_STATUS=MR","Sort=A","Dates=H","DateFormat=P","Fill=—","Direction=H","UseDPDF=Y")</f>
        <v>—</v>
      </c>
      <c r="F119" s="14" t="str">
        <f>_xll.BDH("GILD US Equity","ARDR_ACQ_REL_CHRG_NON-GAAP_EPS","FQ3 2019","FQ3 2019","Currency=USD","Period=FQ","BEST_FPERIOD_OVERRIDE=FQ","FILING_STATUS=MR","Sort=A","Dates=H","DateFormat=P","Fill=—","Direction=H","UseDPDF=Y")</f>
        <v>—</v>
      </c>
      <c r="G119" s="14" t="str">
        <f>_xll.BDH("GILD US Equity","ARDR_ACQ_REL_CHRG_NON-GAAP_EPS","FQ4 2019","FQ4 2019","Currency=USD","Period=FQ","BEST_FPERIOD_OVERRIDE=FQ","FILING_STATUS=MR","Sort=A","Dates=H","DateFormat=P","Fill=—","Direction=H","UseDPDF=Y")</f>
        <v>—</v>
      </c>
      <c r="H119" s="14">
        <f>_xll.BDH("GILD US Equity","ARDR_ACQ_REL_CHRG_NON-GAAP_EPS","FQ1 2020","FQ1 2020","Currency=USD","Period=FQ","BEST_FPERIOD_OVERRIDE=FQ","FILING_STATUS=MR","Sort=A","Dates=H","DateFormat=P","Fill=—","Direction=H","UseDPDF=Y")</f>
        <v>0.18</v>
      </c>
      <c r="I119" s="14">
        <f>_xll.BDH("GILD US Equity","ARDR_ACQ_REL_CHRG_NON-GAAP_EPS","FQ2 2020","FQ2 2020","Currency=USD","Period=FQ","BEST_FPERIOD_OVERRIDE=FQ","FILING_STATUS=MR","Sort=A","Dates=H","DateFormat=P","Fill=—","Direction=H","UseDPDF=Y")</f>
        <v>0.12</v>
      </c>
      <c r="J119" s="14">
        <f>_xll.BDH("GILD US Equity","ARDR_ACQ_REL_CHRG_NON-GAAP_EPS","FQ3 2020","FQ3 2020","Currency=USD","Period=FQ","BEST_FPERIOD_OVERRIDE=FQ","FILING_STATUS=MR","Sort=A","Dates=H","DateFormat=P","Fill=—","Direction=H","UseDPDF=Y")</f>
        <v>0.01</v>
      </c>
      <c r="K119" s="14">
        <f>_xll.BDH("GILD US Equity","ARDR_ACQ_REL_CHRG_NON-GAAP_EPS","FQ4 2020","FQ4 2020","Currency=USD","Period=FQ","BEST_FPERIOD_OVERRIDE=FQ","FILING_STATUS=MR","Sort=A","Dates=H","DateFormat=P","Fill=—","Direction=H","UseDPDF=Y")</f>
        <v>0.23</v>
      </c>
      <c r="L119" s="14">
        <f>_xll.BDH("GILD US Equity","ARDR_ACQ_REL_CHRG_NON-GAAP_EPS","FQ1 2021","FQ1 2021","Currency=USD","Period=FQ","BEST_FPERIOD_OVERRIDE=FQ","FILING_STATUS=MR","Sort=A","Dates=H","DateFormat=P","Fill=—","Direction=H","UseDPDF=Y")</f>
        <v>0.34</v>
      </c>
      <c r="M119" s="14">
        <f>_xll.BDH("GILD US Equity","ARDR_ACQ_REL_CHRG_NON-GAAP_EPS","FQ2 2021","FQ2 2021","Currency=USD","Period=FQ","BEST_FPERIOD_OVERRIDE=FQ","FILING_STATUS=MR","Sort=A","Dates=H","DateFormat=P","Fill=—","Direction=H","UseDPDF=Y")</f>
        <v>0.01</v>
      </c>
      <c r="N119" s="14" t="str">
        <f>_xll.BDH("GILD US Equity","ARDR_ACQ_REL_CHRG_NON-GAAP_EPS","FQ3 2021","FQ3 2021","Currency=USD","Period=FQ","BEST_FPERIOD_OVERRIDE=FQ","FILING_STATUS=MR","Sort=A","Dates=H","DateFormat=P","Fill=—","Direction=H","UseDPDF=Y")</f>
        <v>—</v>
      </c>
      <c r="O119" s="14" t="str">
        <f>_xll.BDH("GILD US Equity","ARDR_ACQ_REL_CHRG_NON-GAAP_EPS","FQ4 2021","FQ4 2021","Currency=USD","Period=FQ","BEST_FPERIOD_OVERRIDE=FQ","FILING_STATUS=MR","Sort=A","Dates=H","DateFormat=P","Fill=—","Direction=H","UseDPDF=Y")</f>
        <v>—</v>
      </c>
      <c r="P119" s="14">
        <f>_xll.BDH("GILD US Equity","ARDR_ACQ_REL_CHRG_NON-GAAP_EPS","FQ1 2022","FQ1 2022","Currency=USD","Period=FQ","BEST_FPERIOD_OVERRIDE=FQ","FILING_STATUS=MR","Sort=A","Dates=H","DateFormat=P","Fill=—","Direction=H","UseDPDF=Y")</f>
        <v>0.01</v>
      </c>
      <c r="Q119" s="14">
        <f>_xll.BDH("GILD US Equity","ARDR_ACQ_REL_CHRG_NON-GAAP_EPS","FQ2 2022","FQ2 2022","Currency=USD","Period=FQ","BEST_FPERIOD_OVERRIDE=FQ","FILING_STATUS=MR","Sort=A","Dates=H","DateFormat=P","Fill=—","Direction=H","UseDPDF=Y")</f>
        <v>0</v>
      </c>
      <c r="R119" s="14">
        <f>_xll.BDH("GILD US Equity","ARDR_ACQ_REL_CHRG_NON-GAAP_EPS","FQ3 2022","FQ3 2022","Currency=USD","Period=FQ","BEST_FPERIOD_OVERRIDE=FQ","FILING_STATUS=MR","Sort=A","Dates=H","DateFormat=P","Fill=—","Direction=H","UseDPDF=Y")</f>
        <v>0.28000000000000003</v>
      </c>
      <c r="S119" s="14" t="str">
        <f>_xll.BDH("GILD US Equity","ARDR_ACQ_REL_CHRG_NON-GAAP_EPS","FQ4 2022","FQ4 2022","Currency=USD","Period=FQ","BEST_FPERIOD_OVERRIDE=FQ","FILING_STATUS=MR","Sort=A","Dates=H","DateFormat=P","Fill=—","Direction=H","UseDPDF=Y")</f>
        <v>—</v>
      </c>
      <c r="T119" s="14">
        <f>_xll.BDH("GILD US Equity","ARDR_ACQ_REL_CHRG_NON-GAAP_EPS","FQ1 2023","FQ1 2023","Currency=USD","Period=FQ","BEST_FPERIOD_OVERRIDE=FQ","FILING_STATUS=MR","Sort=A","Dates=H","DateFormat=P","Fill=—","Direction=H","UseDPDF=Y")</f>
        <v>0.01</v>
      </c>
      <c r="U119" s="14">
        <f>_xll.BDH("GILD US Equity","ARDR_ACQ_REL_CHRG_NON-GAAP_EPS","FQ2 2023","FQ2 2023","Currency=USD","Period=FQ","BEST_FPERIOD_OVERRIDE=FQ","FILING_STATUS=MR","Sort=A","Dates=H","DateFormat=P","Fill=—","Direction=H","UseDPDF=Y")</f>
        <v>0.02</v>
      </c>
      <c r="V119" s="14" t="str">
        <f>_xll.BDH("GILD US Equity","ARDR_ACQ_REL_CHRG_NON-GAAP_EPS","FQ3 2023","FQ3 2023","Currency=USD","Period=FQ","BEST_FPERIOD_OVERRIDE=FQ","FILING_STATUS=MR","Sort=A","Dates=H","DateFormat=P","Fill=—","Direction=H","UseDPDF=Y")</f>
        <v>—</v>
      </c>
      <c r="W119" s="14">
        <f>_xll.BDH("GILD US Equity","ARDR_ACQ_REL_CHRG_NON-GAAP_EPS","FQ4 2023","FQ4 2023","Currency=USD","Period=FQ","BEST_FPERIOD_OVERRIDE=FQ","FILING_STATUS=MR","Sort=A","Dates=H","DateFormat=P","Fill=—","Direction=H","UseDPDF=Y")</f>
        <v>-0.05</v>
      </c>
      <c r="X119" s="14">
        <f>_xll.BDH("GILD US Equity","ARDR_ACQ_REL_CHRG_NON-GAAP_EPS","FQ1 2024","FQ1 2024","Currency=USD","Period=FQ","BEST_FPERIOD_OVERRIDE=FQ","FILING_STATUS=MR","Sort=A","Dates=H","DateFormat=P","Fill=—","Direction=H","UseDPDF=Y")</f>
        <v>0.08</v>
      </c>
      <c r="Y119" s="14">
        <f>_xll.BDH("GILD US Equity","ARDR_ACQ_REL_CHRG_NON-GAAP_EPS","FQ2 2024","FQ2 2024","Currency=USD","Period=FQ","BEST_FPERIOD_OVERRIDE=FQ","FILING_STATUS=MR","Sort=A","Dates=H","DateFormat=P","Fill=—","Direction=H","UseDPDF=Y")</f>
        <v>0.01</v>
      </c>
      <c r="Z119" s="14">
        <f>_xll.BDH("GILD US Equity","ARDR_ACQ_REL_CHRG_NON-GAAP_EPS","FQ3 2024","FQ3 2024","Currency=USD","Period=FQ","BEST_FPERIOD_OVERRIDE=FQ","FILING_STATUS=MR","Sort=A","Dates=H","DateFormat=P","Fill=—","Direction=H","UseDPDF=Y")</f>
        <v>0.01</v>
      </c>
      <c r="AA119" s="14" t="str">
        <f>_xll.BDH("GILD US Equity","ARDR_ACQ_REL_CHRG_NON-GAAP_EPS","FQ4 2024","FQ4 2024","Currency=USD","Period=FQ","BEST_FPERIOD_OVERRIDE=FQ","FILING_STATUS=MR","Sort=A","Dates=H","DateFormat=P","Fill=—","Direction=H","UseDPDF=Y")</f>
        <v>—</v>
      </c>
    </row>
    <row r="120" spans="1:27" x14ac:dyDescent="0.25">
      <c r="A120" s="10" t="s">
        <v>618</v>
      </c>
      <c r="B120" s="10" t="s">
        <v>619</v>
      </c>
      <c r="C120" s="14">
        <f>_xll.BDH("GILD US Equity","ARDR_SBC_NON-GAAP_EPS","FQ4 2018","FQ4 2018","Currency=USD","Period=FQ","BEST_FPERIOD_OVERRIDE=FQ","FILING_STATUS=MR","Sort=A","Dates=H","DateFormat=P","Fill=—","Direction=H","UseDPDF=Y")</f>
        <v>0.1</v>
      </c>
      <c r="D120" s="14">
        <f>_xll.BDH("GILD US Equity","ARDR_SBC_NON-GAAP_EPS","FQ1 2019","FQ1 2019","Currency=USD","Period=FQ","BEST_FPERIOD_OVERRIDE=FQ","FILING_STATUS=MR","Sort=A","Dates=H","DateFormat=P","Fill=—","Direction=H","UseDPDF=Y")</f>
        <v>0.09</v>
      </c>
      <c r="E120" s="14">
        <f>_xll.BDH("GILD US Equity","ARDR_SBC_NON-GAAP_EPS","FQ2 2019","FQ2 2019","Currency=USD","Period=FQ","BEST_FPERIOD_OVERRIDE=FQ","FILING_STATUS=MR","Sort=A","Dates=H","DateFormat=P","Fill=—","Direction=H","UseDPDF=Y")</f>
        <v>0.11</v>
      </c>
      <c r="F120" s="14" t="str">
        <f>_xll.BDH("GILD US Equity","ARDR_SBC_NON-GAAP_EPS","FQ3 2019","FQ3 2019","Currency=USD","Period=FQ","BEST_FPERIOD_OVERRIDE=FQ","FILING_STATUS=MR","Sort=A","Dates=H","DateFormat=P","Fill=—","Direction=H","UseDPDF=Y")</f>
        <v>—</v>
      </c>
      <c r="G120" s="14">
        <f>_xll.BDH("GILD US Equity","ARDR_SBC_NON-GAAP_EPS","FQ4 2019","FQ4 2019","Currency=USD","Period=FQ","BEST_FPERIOD_OVERRIDE=FQ","FILING_STATUS=MR","Sort=A","Dates=H","DateFormat=P","Fill=—","Direction=H","UseDPDF=Y")</f>
        <v>0.2</v>
      </c>
      <c r="H120" s="14" t="str">
        <f>_xll.BDH("GILD US Equity","ARDR_SBC_NON-GAAP_EPS","FQ1 2020","FQ1 2020","Currency=USD","Period=FQ","BEST_FPERIOD_OVERRIDE=FQ","FILING_STATUS=MR","Sort=A","Dates=H","DateFormat=P","Fill=—","Direction=H","UseDPDF=Y")</f>
        <v>—</v>
      </c>
      <c r="I120" s="14" t="str">
        <f>_xll.BDH("GILD US Equity","ARDR_SBC_NON-GAAP_EPS","FQ2 2020","FQ2 2020","Currency=USD","Period=FQ","BEST_FPERIOD_OVERRIDE=FQ","FILING_STATUS=MR","Sort=A","Dates=H","DateFormat=P","Fill=—","Direction=H","UseDPDF=Y")</f>
        <v>—</v>
      </c>
      <c r="J120" s="14" t="str">
        <f>_xll.BDH("GILD US Equity","ARDR_SBC_NON-GAAP_EPS","FQ3 2020","FQ3 2020","Currency=USD","Period=FQ","BEST_FPERIOD_OVERRIDE=FQ","FILING_STATUS=MR","Sort=A","Dates=H","DateFormat=P","Fill=—","Direction=H","UseDPDF=Y")</f>
        <v>—</v>
      </c>
      <c r="K120" s="14" t="str">
        <f>_xll.BDH("GILD US Equity","ARDR_SBC_NON-GAAP_EPS","FQ4 2020","FQ4 2020","Currency=USD","Period=FQ","BEST_FPERIOD_OVERRIDE=FQ","FILING_STATUS=MR","Sort=A","Dates=H","DateFormat=P","Fill=—","Direction=H","UseDPDF=Y")</f>
        <v>—</v>
      </c>
      <c r="L120" s="14" t="str">
        <f>_xll.BDH("GILD US Equity","ARDR_SBC_NON-GAAP_EPS","FQ1 2021","FQ1 2021","Currency=USD","Period=FQ","BEST_FPERIOD_OVERRIDE=FQ","FILING_STATUS=MR","Sort=A","Dates=H","DateFormat=P","Fill=—","Direction=H","UseDPDF=Y")</f>
        <v>—</v>
      </c>
      <c r="M120" s="14" t="str">
        <f>_xll.BDH("GILD US Equity","ARDR_SBC_NON-GAAP_EPS","FQ2 2021","FQ2 2021","Currency=USD","Period=FQ","BEST_FPERIOD_OVERRIDE=FQ","FILING_STATUS=MR","Sort=A","Dates=H","DateFormat=P","Fill=—","Direction=H","UseDPDF=Y")</f>
        <v>—</v>
      </c>
      <c r="N120" s="14" t="str">
        <f>_xll.BDH("GILD US Equity","ARDR_SBC_NON-GAAP_EPS","FQ3 2021","FQ3 2021","Currency=USD","Period=FQ","BEST_FPERIOD_OVERRIDE=FQ","FILING_STATUS=MR","Sort=A","Dates=H","DateFormat=P","Fill=—","Direction=H","UseDPDF=Y")</f>
        <v>—</v>
      </c>
      <c r="O120" s="14" t="str">
        <f>_xll.BDH("GILD US Equity","ARDR_SBC_NON-GAAP_EPS","FQ4 2021","FQ4 2021","Currency=USD","Period=FQ","BEST_FPERIOD_OVERRIDE=FQ","FILING_STATUS=MR","Sort=A","Dates=H","DateFormat=P","Fill=—","Direction=H","UseDPDF=Y")</f>
        <v>—</v>
      </c>
      <c r="P120" s="14" t="str">
        <f>_xll.BDH("GILD US Equity","ARDR_SBC_NON-GAAP_EPS","FQ1 2022","FQ1 2022","Currency=USD","Period=FQ","BEST_FPERIOD_OVERRIDE=FQ","FILING_STATUS=MR","Sort=A","Dates=H","DateFormat=P","Fill=—","Direction=H","UseDPDF=Y")</f>
        <v>—</v>
      </c>
      <c r="Q120" s="14" t="str">
        <f>_xll.BDH("GILD US Equity","ARDR_SBC_NON-GAAP_EPS","FQ2 2022","FQ2 2022","Currency=USD","Period=FQ","BEST_FPERIOD_OVERRIDE=FQ","FILING_STATUS=MR","Sort=A","Dates=H","DateFormat=P","Fill=—","Direction=H","UseDPDF=Y")</f>
        <v>—</v>
      </c>
      <c r="R120" s="14" t="str">
        <f>_xll.BDH("GILD US Equity","ARDR_SBC_NON-GAAP_EPS","FQ3 2022","FQ3 2022","Currency=USD","Period=FQ","BEST_FPERIOD_OVERRIDE=FQ","FILING_STATUS=MR","Sort=A","Dates=H","DateFormat=P","Fill=—","Direction=H","UseDPDF=Y")</f>
        <v>—</v>
      </c>
      <c r="S120" s="14" t="str">
        <f>_xll.BDH("GILD US Equity","ARDR_SBC_NON-GAAP_EPS","FQ4 2022","FQ4 2022","Currency=USD","Period=FQ","BEST_FPERIOD_OVERRIDE=FQ","FILING_STATUS=MR","Sort=A","Dates=H","DateFormat=P","Fill=—","Direction=H","UseDPDF=Y")</f>
        <v>—</v>
      </c>
      <c r="T120" s="14" t="str">
        <f>_xll.BDH("GILD US Equity","ARDR_SBC_NON-GAAP_EPS","FQ1 2023","FQ1 2023","Currency=USD","Period=FQ","BEST_FPERIOD_OVERRIDE=FQ","FILING_STATUS=MR","Sort=A","Dates=H","DateFormat=P","Fill=—","Direction=H","UseDPDF=Y")</f>
        <v>—</v>
      </c>
      <c r="U120" s="14" t="str">
        <f>_xll.BDH("GILD US Equity","ARDR_SBC_NON-GAAP_EPS","FQ2 2023","FQ2 2023","Currency=USD","Period=FQ","BEST_FPERIOD_OVERRIDE=FQ","FILING_STATUS=MR","Sort=A","Dates=H","DateFormat=P","Fill=—","Direction=H","UseDPDF=Y")</f>
        <v>—</v>
      </c>
      <c r="V120" s="14" t="str">
        <f>_xll.BDH("GILD US Equity","ARDR_SBC_NON-GAAP_EPS","FQ3 2023","FQ3 2023","Currency=USD","Period=FQ","BEST_FPERIOD_OVERRIDE=FQ","FILING_STATUS=MR","Sort=A","Dates=H","DateFormat=P","Fill=—","Direction=H","UseDPDF=Y")</f>
        <v>—</v>
      </c>
      <c r="W120" s="14" t="str">
        <f>_xll.BDH("GILD US Equity","ARDR_SBC_NON-GAAP_EPS","FQ4 2023","FQ4 2023","Currency=USD","Period=FQ","BEST_FPERIOD_OVERRIDE=FQ","FILING_STATUS=MR","Sort=A","Dates=H","DateFormat=P","Fill=—","Direction=H","UseDPDF=Y")</f>
        <v>—</v>
      </c>
      <c r="X120" s="14" t="str">
        <f>_xll.BDH("GILD US Equity","ARDR_SBC_NON-GAAP_EPS","FQ1 2024","FQ1 2024","Currency=USD","Period=FQ","BEST_FPERIOD_OVERRIDE=FQ","FILING_STATUS=MR","Sort=A","Dates=H","DateFormat=P","Fill=—","Direction=H","UseDPDF=Y")</f>
        <v>—</v>
      </c>
      <c r="Y120" s="14" t="str">
        <f>_xll.BDH("GILD US Equity","ARDR_SBC_NON-GAAP_EPS","FQ2 2024","FQ2 2024","Currency=USD","Period=FQ","BEST_FPERIOD_OVERRIDE=FQ","FILING_STATUS=MR","Sort=A","Dates=H","DateFormat=P","Fill=—","Direction=H","UseDPDF=Y")</f>
        <v>—</v>
      </c>
      <c r="Z120" s="14" t="str">
        <f>_xll.BDH("GILD US Equity","ARDR_SBC_NON-GAAP_EPS","FQ3 2024","FQ3 2024","Currency=USD","Period=FQ","BEST_FPERIOD_OVERRIDE=FQ","FILING_STATUS=MR","Sort=A","Dates=H","DateFormat=P","Fill=—","Direction=H","UseDPDF=Y")</f>
        <v>—</v>
      </c>
      <c r="AA120" s="14" t="str">
        <f>_xll.BDH("GILD US Equity","ARDR_SBC_NON-GAAP_EPS","FQ4 2024","FQ4 2024","Currency=USD","Period=FQ","BEST_FPERIOD_OVERRIDE=FQ","FILING_STATUS=MR","Sort=A","Dates=H","DateFormat=P","Fill=—","Direction=H","UseDPDF=Y")</f>
        <v>—</v>
      </c>
    </row>
    <row r="121" spans="1:27" x14ac:dyDescent="0.25">
      <c r="A121" s="10" t="s">
        <v>620</v>
      </c>
      <c r="B121" s="10" t="s">
        <v>621</v>
      </c>
      <c r="C121" s="14">
        <f>_xll.BDH("GILD US Equity","ARDR_OTHER_ADJ_NON-GAAP_EPS","FQ4 2018","FQ4 2018","Currency=USD","Period=FQ","BEST_FPERIOD_OVERRIDE=FQ","FILING_STATUS=MR","Sort=A","Dates=H","DateFormat=P","Fill=—","Direction=H","UseDPDF=Y")</f>
        <v>7.0000000000000007E-2</v>
      </c>
      <c r="D121" s="14" t="str">
        <f>_xll.BDH("GILD US Equity","ARDR_OTHER_ADJ_NON-GAAP_EPS","FQ1 2019","FQ1 2019","Currency=USD","Period=FQ","BEST_FPERIOD_OVERRIDE=FQ","FILING_STATUS=MR","Sort=A","Dates=H","DateFormat=P","Fill=—","Direction=H","UseDPDF=Y")</f>
        <v>—</v>
      </c>
      <c r="E121" s="14">
        <f>_xll.BDH("GILD US Equity","ARDR_OTHER_ADJ_NON-GAAP_EPS","FQ2 2019","FQ2 2019","Currency=USD","Period=FQ","BEST_FPERIOD_OVERRIDE=FQ","FILING_STATUS=MR","Sort=A","Dates=H","DateFormat=P","Fill=—","Direction=H","UseDPDF=Y")</f>
        <v>0.1</v>
      </c>
      <c r="F121" s="14">
        <f>_xll.BDH("GILD US Equity","ARDR_OTHER_ADJ_NON-GAAP_EPS","FQ3 2019","FQ3 2019","Currency=USD","Period=FQ","BEST_FPERIOD_OVERRIDE=FQ","FILING_STATUS=MR","Sort=A","Dates=H","DateFormat=P","Fill=—","Direction=H","UseDPDF=Y")</f>
        <v>0.01</v>
      </c>
      <c r="G121" s="14" t="str">
        <f>_xll.BDH("GILD US Equity","ARDR_OTHER_ADJ_NON-GAAP_EPS","FQ4 2019","FQ4 2019","Currency=USD","Period=FQ","BEST_FPERIOD_OVERRIDE=FQ","FILING_STATUS=MR","Sort=A","Dates=H","DateFormat=P","Fill=—","Direction=H","UseDPDF=Y")</f>
        <v>—</v>
      </c>
      <c r="H121" s="14" t="str">
        <f>_xll.BDH("GILD US Equity","ARDR_OTHER_ADJ_NON-GAAP_EPS","FQ1 2020","FQ1 2020","Currency=USD","Period=FQ","BEST_FPERIOD_OVERRIDE=FQ","FILING_STATUS=MR","Sort=A","Dates=H","DateFormat=P","Fill=—","Direction=H","UseDPDF=Y")</f>
        <v>—</v>
      </c>
      <c r="I121" s="14">
        <f>_xll.BDH("GILD US Equity","ARDR_OTHER_ADJ_NON-GAAP_EPS","FQ2 2020","FQ2 2020","Currency=USD","Period=FQ","BEST_FPERIOD_OVERRIDE=FQ","FILING_STATUS=MR","Sort=A","Dates=H","DateFormat=P","Fill=—","Direction=H","UseDPDF=Y")</f>
        <v>3.58</v>
      </c>
      <c r="J121" s="14" t="str">
        <f>_xll.BDH("GILD US Equity","ARDR_OTHER_ADJ_NON-GAAP_EPS","FQ3 2020","FQ3 2020","Currency=USD","Period=FQ","BEST_FPERIOD_OVERRIDE=FQ","FILING_STATUS=MR","Sort=A","Dates=H","DateFormat=P","Fill=—","Direction=H","UseDPDF=Y")</f>
        <v>—</v>
      </c>
      <c r="K121" s="14" t="str">
        <f>_xll.BDH("GILD US Equity","ARDR_OTHER_ADJ_NON-GAAP_EPS","FQ4 2020","FQ4 2020","Currency=USD","Period=FQ","BEST_FPERIOD_OVERRIDE=FQ","FILING_STATUS=MR","Sort=A","Dates=H","DateFormat=P","Fill=—","Direction=H","UseDPDF=Y")</f>
        <v>—</v>
      </c>
      <c r="L121" s="14" t="str">
        <f>_xll.BDH("GILD US Equity","ARDR_OTHER_ADJ_NON-GAAP_EPS","FQ1 2021","FQ1 2021","Currency=USD","Period=FQ","BEST_FPERIOD_OVERRIDE=FQ","FILING_STATUS=MR","Sort=A","Dates=H","DateFormat=P","Fill=—","Direction=H","UseDPDF=Y")</f>
        <v>—</v>
      </c>
      <c r="M121" s="14">
        <f>_xll.BDH("GILD US Equity","ARDR_OTHER_ADJ_NON-GAAP_EPS","FQ2 2021","FQ2 2021","Currency=USD","Period=FQ","BEST_FPERIOD_OVERRIDE=FQ","FILING_STATUS=MR","Sort=A","Dates=H","DateFormat=P","Fill=—","Direction=H","UseDPDF=Y")</f>
        <v>0.13</v>
      </c>
      <c r="N121" s="14" t="str">
        <f>_xll.BDH("GILD US Equity","ARDR_OTHER_ADJ_NON-GAAP_EPS","FQ3 2021","FQ3 2021","Currency=USD","Period=FQ","BEST_FPERIOD_OVERRIDE=FQ","FILING_STATUS=MR","Sort=A","Dates=H","DateFormat=P","Fill=—","Direction=H","UseDPDF=Y")</f>
        <v>—</v>
      </c>
      <c r="O121" s="14" t="str">
        <f>_xll.BDH("GILD US Equity","ARDR_OTHER_ADJ_NON-GAAP_EPS","FQ4 2021","FQ4 2021","Currency=USD","Period=FQ","BEST_FPERIOD_OVERRIDE=FQ","FILING_STATUS=MR","Sort=A","Dates=H","DateFormat=P","Fill=—","Direction=H","UseDPDF=Y")</f>
        <v>—</v>
      </c>
      <c r="P121" s="14" t="str">
        <f>_xll.BDH("GILD US Equity","ARDR_OTHER_ADJ_NON-GAAP_EPS","FQ1 2022","FQ1 2022","Currency=USD","Period=FQ","BEST_FPERIOD_OVERRIDE=FQ","FILING_STATUS=MR","Sort=A","Dates=H","DateFormat=P","Fill=—","Direction=H","UseDPDF=Y")</f>
        <v>—</v>
      </c>
      <c r="Q121" s="14">
        <f>_xll.BDH("GILD US Equity","ARDR_OTHER_ADJ_NON-GAAP_EPS","FQ2 2022","FQ2 2022","Currency=USD","Period=FQ","BEST_FPERIOD_OVERRIDE=FQ","FILING_STATUS=MR","Sort=A","Dates=H","DateFormat=P","Fill=—","Direction=H","UseDPDF=Y")</f>
        <v>0.05</v>
      </c>
      <c r="R121" s="14">
        <f>_xll.BDH("GILD US Equity","ARDR_OTHER_ADJ_NON-GAAP_EPS","FQ3 2022","FQ3 2022","Currency=USD","Period=FQ","BEST_FPERIOD_OVERRIDE=FQ","FILING_STATUS=MR","Sort=A","Dates=H","DateFormat=P","Fill=—","Direction=H","UseDPDF=Y")</f>
        <v>0</v>
      </c>
      <c r="S121" s="14" t="str">
        <f>_xll.BDH("GILD US Equity","ARDR_OTHER_ADJ_NON-GAAP_EPS","FQ4 2022","FQ4 2022","Currency=USD","Period=FQ","BEST_FPERIOD_OVERRIDE=FQ","FILING_STATUS=MR","Sort=A","Dates=H","DateFormat=P","Fill=—","Direction=H","UseDPDF=Y")</f>
        <v>—</v>
      </c>
      <c r="T121" s="14" t="str">
        <f>_xll.BDH("GILD US Equity","ARDR_OTHER_ADJ_NON-GAAP_EPS","FQ1 2023","FQ1 2023","Currency=USD","Period=FQ","BEST_FPERIOD_OVERRIDE=FQ","FILING_STATUS=MR","Sort=A","Dates=H","DateFormat=P","Fill=—","Direction=H","UseDPDF=Y")</f>
        <v>—</v>
      </c>
      <c r="U121" s="14" t="str">
        <f>_xll.BDH("GILD US Equity","ARDR_OTHER_ADJ_NON-GAAP_EPS","FQ2 2023","FQ2 2023","Currency=USD","Period=FQ","BEST_FPERIOD_OVERRIDE=FQ","FILING_STATUS=MR","Sort=A","Dates=H","DateFormat=P","Fill=—","Direction=H","UseDPDF=Y")</f>
        <v>—</v>
      </c>
      <c r="V121" s="14" t="str">
        <f>_xll.BDH("GILD US Equity","ARDR_OTHER_ADJ_NON-GAAP_EPS","FQ3 2023","FQ3 2023","Currency=USD","Period=FQ","BEST_FPERIOD_OVERRIDE=FQ","FILING_STATUS=MR","Sort=A","Dates=H","DateFormat=P","Fill=—","Direction=H","UseDPDF=Y")</f>
        <v>—</v>
      </c>
      <c r="W121" s="14">
        <f>_xll.BDH("GILD US Equity","ARDR_OTHER_ADJ_NON-GAAP_EPS","FQ4 2023","FQ4 2023","Currency=USD","Period=FQ","BEST_FPERIOD_OVERRIDE=FQ","FILING_STATUS=MR","Sort=A","Dates=H","DateFormat=P","Fill=—","Direction=H","UseDPDF=Y")</f>
        <v>0.03</v>
      </c>
      <c r="X121" s="14" t="str">
        <f>_xll.BDH("GILD US Equity","ARDR_OTHER_ADJ_NON-GAAP_EPS","FQ1 2024","FQ1 2024","Currency=USD","Period=FQ","BEST_FPERIOD_OVERRIDE=FQ","FILING_STATUS=MR","Sort=A","Dates=H","DateFormat=P","Fill=—","Direction=H","UseDPDF=Y")</f>
        <v>—</v>
      </c>
      <c r="Y121" s="14" t="str">
        <f>_xll.BDH("GILD US Equity","ARDR_OTHER_ADJ_NON-GAAP_EPS","FQ2 2024","FQ2 2024","Currency=USD","Period=FQ","BEST_FPERIOD_OVERRIDE=FQ","FILING_STATUS=MR","Sort=A","Dates=H","DateFormat=P","Fill=—","Direction=H","UseDPDF=Y")</f>
        <v>—</v>
      </c>
      <c r="Z121" s="14" t="str">
        <f>_xll.BDH("GILD US Equity","ARDR_OTHER_ADJ_NON-GAAP_EPS","FQ3 2024","FQ3 2024","Currency=USD","Period=FQ","BEST_FPERIOD_OVERRIDE=FQ","FILING_STATUS=MR","Sort=A","Dates=H","DateFormat=P","Fill=—","Direction=H","UseDPDF=Y")</f>
        <v>—</v>
      </c>
      <c r="AA121" s="14" t="str">
        <f>_xll.BDH("GILD US Equity","ARDR_OTHER_ADJ_NON-GAAP_EPS","FQ4 2024","FQ4 2024","Currency=USD","Period=FQ","BEST_FPERIOD_OVERRIDE=FQ","FILING_STATUS=MR","Sort=A","Dates=H","DateFormat=P","Fill=—","Direction=H","UseDPDF=Y")</f>
        <v>—</v>
      </c>
    </row>
    <row r="122" spans="1:27" x14ac:dyDescent="0.25">
      <c r="A122" s="10" t="s">
        <v>622</v>
      </c>
      <c r="B122" s="10" t="s">
        <v>623</v>
      </c>
      <c r="C122" s="14">
        <f>_xll.BDH("GILD US Equity","ARDR_TAX_PROV_BFIT_NON-GAAP_EPS","FQ4 2018","FQ4 2018","Currency=USD","Period=FQ","BEST_FPERIOD_OVERRIDE=FQ","FILING_STATUS=MR","Sort=A","Dates=H","DateFormat=P","Fill=—","Direction=H","UseDPDF=Y")</f>
        <v>0.45</v>
      </c>
      <c r="D122" s="14" t="str">
        <f>_xll.BDH("GILD US Equity","ARDR_TAX_PROV_BFIT_NON-GAAP_EPS","FQ1 2019","FQ1 2019","Currency=USD","Period=FQ","BEST_FPERIOD_OVERRIDE=FQ","FILING_STATUS=MR","Sort=A","Dates=H","DateFormat=P","Fill=—","Direction=H","UseDPDF=Y")</f>
        <v>—</v>
      </c>
      <c r="E122" s="14" t="str">
        <f>_xll.BDH("GILD US Equity","ARDR_TAX_PROV_BFIT_NON-GAAP_EPS","FQ2 2019","FQ2 2019","Currency=USD","Period=FQ","BEST_FPERIOD_OVERRIDE=FQ","FILING_STATUS=MR","Sort=A","Dates=H","DateFormat=P","Fill=—","Direction=H","UseDPDF=Y")</f>
        <v>—</v>
      </c>
      <c r="F122" s="14" t="str">
        <f>_xll.BDH("GILD US Equity","ARDR_TAX_PROV_BFIT_NON-GAAP_EPS","FQ3 2019","FQ3 2019","Currency=USD","Period=FQ","BEST_FPERIOD_OVERRIDE=FQ","FILING_STATUS=MR","Sort=A","Dates=H","DateFormat=P","Fill=—","Direction=H","UseDPDF=Y")</f>
        <v>—</v>
      </c>
      <c r="G122" s="14">
        <f>_xll.BDH("GILD US Equity","ARDR_TAX_PROV_BFIT_NON-GAAP_EPS","FQ4 2019","FQ4 2019","Currency=USD","Period=FQ","BEST_FPERIOD_OVERRIDE=FQ","FILING_STATUS=MR","Sort=A","Dates=H","DateFormat=P","Fill=—","Direction=H","UseDPDF=Y")</f>
        <v>-0.97</v>
      </c>
      <c r="H122" s="14">
        <f>_xll.BDH("GILD US Equity","ARDR_TAX_PROV_BFIT_NON-GAAP_EPS","FQ1 2020","FQ1 2020","Currency=USD","Period=FQ","BEST_FPERIOD_OVERRIDE=FQ","FILING_STATUS=MR","Sort=A","Dates=H","DateFormat=P","Fill=—","Direction=H","UseDPDF=Y")</f>
        <v>0.03</v>
      </c>
      <c r="I122" s="14">
        <f>_xll.BDH("GILD US Equity","ARDR_TAX_PROV_BFIT_NON-GAAP_EPS","FQ2 2020","FQ2 2020","Currency=USD","Period=FQ","BEST_FPERIOD_OVERRIDE=FQ","FILING_STATUS=MR","Sort=A","Dates=H","DateFormat=P","Fill=—","Direction=H","UseDPDF=Y")</f>
        <v>0</v>
      </c>
      <c r="J122" s="14">
        <f>_xll.BDH("GILD US Equity","ARDR_TAX_PROV_BFIT_NON-GAAP_EPS","FQ3 2020","FQ3 2020","Currency=USD","Period=FQ","BEST_FPERIOD_OVERRIDE=FQ","FILING_STATUS=MR","Sort=A","Dates=H","DateFormat=P","Fill=—","Direction=H","UseDPDF=Y")</f>
        <v>0.04</v>
      </c>
      <c r="K122" s="14">
        <f>_xll.BDH("GILD US Equity","ARDR_TAX_PROV_BFIT_NON-GAAP_EPS","FQ4 2020","FQ4 2020","Currency=USD","Period=FQ","BEST_FPERIOD_OVERRIDE=FQ","FILING_STATUS=MR","Sort=A","Dates=H","DateFormat=P","Fill=—","Direction=H","UseDPDF=Y")</f>
        <v>-7.0000000000000007E-2</v>
      </c>
      <c r="L122" s="14">
        <f>_xll.BDH("GILD US Equity","ARDR_TAX_PROV_BFIT_NON-GAAP_EPS","FQ1 2021","FQ1 2021","Currency=USD","Period=FQ","BEST_FPERIOD_OVERRIDE=FQ","FILING_STATUS=MR","Sort=A","Dates=H","DateFormat=P","Fill=—","Direction=H","UseDPDF=Y")</f>
        <v>0.04</v>
      </c>
      <c r="M122" s="14">
        <f>_xll.BDH("GILD US Equity","ARDR_TAX_PROV_BFIT_NON-GAAP_EPS","FQ2 2021","FQ2 2021","Currency=USD","Period=FQ","BEST_FPERIOD_OVERRIDE=FQ","FILING_STATUS=MR","Sort=A","Dates=H","DateFormat=P","Fill=—","Direction=H","UseDPDF=Y")</f>
        <v>-0.03</v>
      </c>
      <c r="N122" s="14">
        <f>_xll.BDH("GILD US Equity","ARDR_TAX_PROV_BFIT_NON-GAAP_EPS","FQ3 2021","FQ3 2021","Currency=USD","Period=FQ","BEST_FPERIOD_OVERRIDE=FQ","FILING_STATUS=MR","Sort=A","Dates=H","DateFormat=P","Fill=—","Direction=H","UseDPDF=Y")</f>
        <v>0.13</v>
      </c>
      <c r="O122" s="14">
        <f>_xll.BDH("GILD US Equity","ARDR_TAX_PROV_BFIT_NON-GAAP_EPS","FQ4 2021","FQ4 2021","Currency=USD","Period=FQ","BEST_FPERIOD_OVERRIDE=FQ","FILING_STATUS=MR","Sort=A","Dates=H","DateFormat=P","Fill=—","Direction=H","UseDPDF=Y")</f>
        <v>7.0000000000000007E-2</v>
      </c>
      <c r="P122" s="14">
        <f>_xll.BDH("GILD US Equity","ARDR_TAX_PROV_BFIT_NON-GAAP_EPS","FQ1 2022","FQ1 2022","Currency=USD","Period=FQ","BEST_FPERIOD_OVERRIDE=FQ","FILING_STATUS=MR","Sort=A","Dates=H","DateFormat=P","Fill=—","Direction=H","UseDPDF=Y")</f>
        <v>0.03</v>
      </c>
      <c r="Q122" s="14">
        <f>_xll.BDH("GILD US Equity","ARDR_TAX_PROV_BFIT_NON-GAAP_EPS","FQ2 2022","FQ2 2022","Currency=USD","Period=FQ","BEST_FPERIOD_OVERRIDE=FQ","FILING_STATUS=MR","Sort=A","Dates=H","DateFormat=P","Fill=—","Direction=H","UseDPDF=Y")</f>
        <v>0.02</v>
      </c>
      <c r="R122" s="14">
        <f>_xll.BDH("GILD US Equity","ARDR_TAX_PROV_BFIT_NON-GAAP_EPS","FQ3 2022","FQ3 2022","Currency=USD","Period=FQ","BEST_FPERIOD_OVERRIDE=FQ","FILING_STATUS=MR","Sort=A","Dates=H","DateFormat=P","Fill=—","Direction=H","UseDPDF=Y")</f>
        <v>0.04</v>
      </c>
      <c r="S122" s="14">
        <f>_xll.BDH("GILD US Equity","ARDR_TAX_PROV_BFIT_NON-GAAP_EPS","FQ4 2022","FQ4 2022","Currency=USD","Period=FQ","BEST_FPERIOD_OVERRIDE=FQ","FILING_STATUS=MR","Sort=A","Dates=H","DateFormat=P","Fill=—","Direction=H","UseDPDF=Y")</f>
        <v>0.05</v>
      </c>
      <c r="T122" s="14">
        <f>_xll.BDH("GILD US Equity","ARDR_TAX_PROV_BFIT_NON-GAAP_EPS","FQ1 2023","FQ1 2023","Currency=USD","Period=FQ","BEST_FPERIOD_OVERRIDE=FQ","FILING_STATUS=MR","Sort=A","Dates=H","DateFormat=P","Fill=—","Direction=H","UseDPDF=Y")</f>
        <v>0.02</v>
      </c>
      <c r="U122" s="14">
        <f>_xll.BDH("GILD US Equity","ARDR_TAX_PROV_BFIT_NON-GAAP_EPS","FQ2 2023","FQ2 2023","Currency=USD","Period=FQ","BEST_FPERIOD_OVERRIDE=FQ","FILING_STATUS=MR","Sort=A","Dates=H","DateFormat=P","Fill=—","Direction=H","UseDPDF=Y")</f>
        <v>0.18</v>
      </c>
      <c r="V122" s="14">
        <f>_xll.BDH("GILD US Equity","ARDR_TAX_PROV_BFIT_NON-GAAP_EPS","FQ3 2023","FQ3 2023","Currency=USD","Period=FQ","BEST_FPERIOD_OVERRIDE=FQ","FILING_STATUS=MR","Sort=A","Dates=H","DateFormat=P","Fill=—","Direction=H","UseDPDF=Y")</f>
        <v>0.05</v>
      </c>
      <c r="W122" s="14">
        <f>_xll.BDH("GILD US Equity","ARDR_TAX_PROV_BFIT_NON-GAAP_EPS","FQ4 2023","FQ4 2023","Currency=USD","Period=FQ","BEST_FPERIOD_OVERRIDE=FQ","FILING_STATUS=MR","Sort=A","Dates=H","DateFormat=P","Fill=—","Direction=H","UseDPDF=Y")</f>
        <v>0.01</v>
      </c>
      <c r="X122" s="14">
        <f>_xll.BDH("GILD US Equity","ARDR_TAX_PROV_BFIT_NON-GAAP_EPS","FQ1 2024","FQ1 2024","Currency=USD","Period=FQ","BEST_FPERIOD_OVERRIDE=FQ","FILING_STATUS=MR","Sort=A","Dates=H","DateFormat=P","Fill=—","Direction=H","UseDPDF=Y")</f>
        <v>0.03</v>
      </c>
      <c r="Y122" s="14">
        <f>_xll.BDH("GILD US Equity","ARDR_TAX_PROV_BFIT_NON-GAAP_EPS","FQ2 2024","FQ2 2024","Currency=USD","Period=FQ","BEST_FPERIOD_OVERRIDE=FQ","FILING_STATUS=MR","Sort=A","Dates=H","DateFormat=P","Fill=—","Direction=H","UseDPDF=Y")</f>
        <v>0.05</v>
      </c>
      <c r="Z122" s="14">
        <f>_xll.BDH("GILD US Equity","ARDR_TAX_PROV_BFIT_NON-GAAP_EPS","FQ3 2024","FQ3 2024","Currency=USD","Period=FQ","BEST_FPERIOD_OVERRIDE=FQ","FILING_STATUS=MR","Sort=A","Dates=H","DateFormat=P","Fill=—","Direction=H","UseDPDF=Y")</f>
        <v>-0.25</v>
      </c>
      <c r="AA122" s="14">
        <f>_xll.BDH("GILD US Equity","ARDR_TAX_PROV_BFIT_NON-GAAP_EPS","FQ4 2024","FQ4 2024","Currency=USD","Period=FQ","BEST_FPERIOD_OVERRIDE=FQ","FILING_STATUS=MR","Sort=A","Dates=H","DateFormat=P","Fill=—","Direction=H","UseDPDF=Y")</f>
        <v>-0.02</v>
      </c>
    </row>
    <row r="123" spans="1:27" x14ac:dyDescent="0.25">
      <c r="A123" s="10" t="s">
        <v>624</v>
      </c>
      <c r="B123" s="10" t="s">
        <v>625</v>
      </c>
      <c r="C123" s="14">
        <f>_xll.BDH("GILD US Equity","ARDR_EBIT_MARGIN","FQ4 2018","FQ4 2018","Currency=USD","Period=FQ","BEST_FPERIOD_OVERRIDE=FQ","FILING_STATUS=MR","Sort=A","Dates=H","DateFormat=P","Fill=—","Direction=H","UseDPDF=Y")</f>
        <v>19.7</v>
      </c>
      <c r="D123" s="14">
        <f>_xll.BDH("GILD US Equity","ARDR_EBIT_MARGIN","FQ1 2019","FQ1 2019","Currency=USD","Period=FQ","BEST_FPERIOD_OVERRIDE=FQ","FILING_STATUS=MR","Sort=A","Dates=H","DateFormat=P","Fill=—","Direction=H","UseDPDF=Y")</f>
        <v>42.4</v>
      </c>
      <c r="E123" s="14">
        <f>_xll.BDH("GILD US Equity","ARDR_EBIT_MARGIN","FQ2 2019","FQ2 2019","Currency=USD","Period=FQ","BEST_FPERIOD_OVERRIDE=FQ","FILING_STATUS=MR","Sort=A","Dates=H","DateFormat=P","Fill=—","Direction=H","UseDPDF=Y")</f>
        <v>42.7</v>
      </c>
      <c r="F123" s="14">
        <f>_xll.BDH("GILD US Equity","ARDR_EBIT_MARGIN","FQ3 2019","FQ3 2019","Currency=USD","Period=FQ","BEST_FPERIOD_OVERRIDE=FQ","FILING_STATUS=MR","Sort=A","Dates=H","DateFormat=P","Fill=—","Direction=H","UseDPDF=Y")</f>
        <v>-26.3</v>
      </c>
      <c r="G123" s="14">
        <f>_xll.BDH("GILD US Equity","ARDR_EBIT_MARGIN","FQ4 2019","FQ4 2019","Currency=USD","Period=FQ","BEST_FPERIOD_OVERRIDE=FQ","FILING_STATUS=MR","Sort=A","Dates=H","DateFormat=P","Fill=—","Direction=H","UseDPDF=Y")</f>
        <v>18.600000000000001</v>
      </c>
      <c r="H123" s="14">
        <f>_xll.BDH("GILD US Equity","ARDR_EBIT_MARGIN","FQ1 2020","FQ1 2020","Currency=USD","Period=FQ","BEST_FPERIOD_OVERRIDE=FQ","FILING_STATUS=MR","Sort=A","Dates=H","DateFormat=P","Fill=—","Direction=H","UseDPDF=Y")</f>
        <v>43.3</v>
      </c>
      <c r="I123" s="14">
        <f>_xll.BDH("GILD US Equity","ARDR_EBIT_MARGIN","FQ2 2020","FQ2 2020","Currency=USD","Period=FQ","BEST_FPERIOD_OVERRIDE=FQ","FILING_STATUS=MR","Sort=A","Dates=H","DateFormat=P","Fill=—","Direction=H","UseDPDF=Y")</f>
        <v>-58</v>
      </c>
      <c r="J123" s="14">
        <f>_xll.BDH("GILD US Equity","ARDR_EBIT_MARGIN","FQ3 2020","FQ3 2020","Currency=USD","Period=FQ","BEST_FPERIOD_OVERRIDE=FQ","FILING_STATUS=MR","Sort=A","Dates=H","DateFormat=P","Fill=—","Direction=H","UseDPDF=Y")</f>
        <v>30.4</v>
      </c>
      <c r="K123" s="14">
        <f>_xll.BDH("GILD US Equity","ARDR_EBIT_MARGIN","FQ4 2020","FQ4 2020","Currency=USD","Period=FQ","BEST_FPERIOD_OVERRIDE=FQ","FILING_STATUS=MR","Sort=A","Dates=H","DateFormat=P","Fill=—","Direction=H","UseDPDF=Y")</f>
        <v>35.700000000000003</v>
      </c>
      <c r="L123" s="14">
        <f>_xll.BDH("GILD US Equity","ARDR_EBIT_MARGIN","FQ1 2021","FQ1 2021","Currency=USD","Period=FQ","BEST_FPERIOD_OVERRIDE=FQ","FILING_STATUS=MR","Sort=A","Dates=H","DateFormat=P","Fill=—","Direction=H","UseDPDF=Y")</f>
        <v>45</v>
      </c>
      <c r="M123" s="14">
        <f>_xll.BDH("GILD US Equity","ARDR_EBIT_MARGIN","FQ2 2021","FQ2 2021","Currency=USD","Period=FQ","BEST_FPERIOD_OVERRIDE=FQ","FILING_STATUS=MR","Sort=A","Dates=H","DateFormat=P","Fill=—","Direction=H","UseDPDF=Y")</f>
        <v>36.1</v>
      </c>
      <c r="N123" s="14">
        <f>_xll.BDH("GILD US Equity","ARDR_EBIT_MARGIN","FQ3 2021","FQ3 2021","Currency=USD","Period=FQ","BEST_FPERIOD_OVERRIDE=FQ","FILING_STATUS=MR","Sort=A","Dates=H","DateFormat=P","Fill=—","Direction=H","UseDPDF=Y")</f>
        <v>51.8</v>
      </c>
      <c r="O123" s="14">
        <f>_xll.BDH("GILD US Equity","ARDR_EBIT_MARGIN","FQ4 2021","FQ4 2021","Currency=USD","Period=FQ","BEST_FPERIOD_OVERRIDE=FQ","FILING_STATUS=MR","Sort=A","Dates=H","DateFormat=P","Fill=—","Direction=H","UseDPDF=Y")</f>
        <v>13</v>
      </c>
      <c r="P123" s="14">
        <f>_xll.BDH("GILD US Equity","ARDR_EBIT_MARGIN","FQ1 2022","FQ1 2022","Currency=USD","Period=FQ","BEST_FPERIOD_OVERRIDE=FQ","FILING_STATUS=MR","Sort=A","Dates=H","DateFormat=P","Fill=—","Direction=H","UseDPDF=Y")</f>
        <v>3</v>
      </c>
      <c r="Q123" s="14">
        <f>_xll.BDH("GILD US Equity","ARDR_EBIT_MARGIN","FQ2 2022","FQ2 2022","Currency=USD","Period=FQ","BEST_FPERIOD_OVERRIDE=FQ","FILING_STATUS=MR","Sort=A","Dates=H","DateFormat=P","Fill=—","Direction=H","UseDPDF=Y")</f>
        <v>32.4</v>
      </c>
      <c r="R123" s="14">
        <f>_xll.BDH("GILD US Equity","ARDR_EBIT_MARGIN","FQ3 2022","FQ3 2022","Currency=USD","Period=FQ","BEST_FPERIOD_OVERRIDE=FQ","FILING_STATUS=MR","Sort=A","Dates=H","DateFormat=P","Fill=—","Direction=H","UseDPDF=Y")</f>
        <v>40.299999999999997</v>
      </c>
      <c r="S123" s="14">
        <f>_xll.BDH("GILD US Equity","ARDR_EBIT_MARGIN","FQ4 2022","FQ4 2022","Currency=USD","Period=FQ","BEST_FPERIOD_OVERRIDE=FQ","FILING_STATUS=MR","Sort=A","Dates=H","DateFormat=P","Fill=—","Direction=H","UseDPDF=Y")</f>
        <v>30.7</v>
      </c>
      <c r="T123" s="14">
        <f>_xll.BDH("GILD US Equity","ARDR_EBIT_MARGIN","FQ1 2023","FQ1 2023","Currency=USD","Period=FQ","BEST_FPERIOD_OVERRIDE=FQ","FILING_STATUS=MR","Sort=A","Dates=H","DateFormat=P","Fill=—","Direction=H","UseDPDF=Y")</f>
        <v>26.8</v>
      </c>
      <c r="U123" s="14">
        <f>_xll.BDH("GILD US Equity","ARDR_EBIT_MARGIN","FQ2 2023","FQ2 2023","Currency=USD","Period=FQ","BEST_FPERIOD_OVERRIDE=FQ","FILING_STATUS=MR","Sort=A","Dates=H","DateFormat=P","Fill=—","Direction=H","UseDPDF=Y")</f>
        <v>25.2</v>
      </c>
      <c r="V123" s="14">
        <f>_xll.BDH("GILD US Equity","ARDR_EBIT_MARGIN","FQ3 2023","FQ3 2023","Currency=USD","Period=FQ","BEST_FPERIOD_OVERRIDE=FQ","FILING_STATUS=MR","Sort=A","Dates=H","DateFormat=P","Fill=—","Direction=H","UseDPDF=Y")</f>
        <v>37.200000000000003</v>
      </c>
      <c r="W123" s="14">
        <f>_xll.BDH("GILD US Equity","ARDR_EBIT_MARGIN","FQ4 2023","FQ4 2023","Currency=USD","Period=FQ","BEST_FPERIOD_OVERRIDE=FQ","FILING_STATUS=MR","Sort=A","Dates=H","DateFormat=P","Fill=—","Direction=H","UseDPDF=Y")</f>
        <v>22.7</v>
      </c>
      <c r="X123" s="14">
        <f>_xll.BDH("GILD US Equity","ARDR_EBIT_MARGIN","FQ1 2024","FQ1 2024","Currency=USD","Period=FQ","BEST_FPERIOD_OVERRIDE=FQ","FILING_STATUS=MR","Sort=A","Dates=H","DateFormat=P","Fill=—","Direction=H","UseDPDF=Y")</f>
        <v>-64.599999999999994</v>
      </c>
      <c r="Y123" s="14">
        <f>_xll.BDH("GILD US Equity","ARDR_EBIT_MARGIN","FQ2 2024","FQ2 2024","Currency=USD","Period=FQ","BEST_FPERIOD_OVERRIDE=FQ","FILING_STATUS=MR","Sort=A","Dates=H","DateFormat=P","Fill=—","Direction=H","UseDPDF=Y")</f>
        <v>38</v>
      </c>
      <c r="Z123" s="14">
        <f>_xll.BDH("GILD US Equity","ARDR_EBIT_MARGIN","FQ3 2024","FQ3 2024","Currency=USD","Period=FQ","BEST_FPERIOD_OVERRIDE=FQ","FILING_STATUS=MR","Sort=A","Dates=H","DateFormat=P","Fill=—","Direction=H","UseDPDF=Y")</f>
        <v>11.8</v>
      </c>
      <c r="AA123" s="14">
        <f>_xll.BDH("GILD US Equity","ARDR_EBIT_MARGIN","FQ4 2024","FQ4 2024","Currency=USD","Period=FQ","BEST_FPERIOD_OVERRIDE=FQ","FILING_STATUS=MR","Sort=A","Dates=H","DateFormat=P","Fill=—","Direction=H","UseDPDF=Y")</f>
        <v>32.4</v>
      </c>
    </row>
    <row r="124" spans="1:27" x14ac:dyDescent="0.25">
      <c r="A124" s="10" t="s">
        <v>626</v>
      </c>
      <c r="B124" s="10" t="s">
        <v>627</v>
      </c>
      <c r="C124" s="14">
        <f>_xll.BDH("GILD US Equity","ARDR_GROSS_MARGIN","FQ4 2018","FQ4 2018","Currency=USD","Period=FQ","BEST_FPERIOD_OVERRIDE=FQ","FILING_STATUS=MR","Sort=A","Dates=H","DateFormat=P","Fill=—","Direction=H","UseDPDF=Y")</f>
        <v>72.400000000000006</v>
      </c>
      <c r="D124" s="14">
        <f>_xll.BDH("GILD US Equity","ARDR_GROSS_MARGIN","FQ1 2019","FQ1 2019","Currency=USD","Period=FQ","BEST_FPERIOD_OVERRIDE=FQ","FILING_STATUS=MR","Sort=A","Dates=H","DateFormat=P","Fill=—","Direction=H","UseDPDF=Y")</f>
        <v>81.599999999999994</v>
      </c>
      <c r="E124" s="14">
        <f>_xll.BDH("GILD US Equity","ARDR_GROSS_MARGIN","FQ2 2019","FQ2 2019","Currency=USD","Period=FQ","BEST_FPERIOD_OVERRIDE=FQ","FILING_STATUS=MR","Sort=A","Dates=H","DateFormat=P","Fill=—","Direction=H","UseDPDF=Y")</f>
        <v>82</v>
      </c>
      <c r="F124" s="14">
        <f>_xll.BDH("GILD US Equity","ARDR_GROSS_MARGIN","FQ3 2019","FQ3 2019","Currency=USD","Period=FQ","BEST_FPERIOD_OVERRIDE=FQ","FILING_STATUS=MR","Sort=A","Dates=H","DateFormat=P","Fill=—","Direction=H","UseDPDF=Y")</f>
        <v>81.2</v>
      </c>
      <c r="G124" s="14">
        <f>_xll.BDH("GILD US Equity","ARDR_GROSS_MARGIN","FQ4 2019","FQ4 2019","Currency=USD","Period=FQ","BEST_FPERIOD_OVERRIDE=FQ","FILING_STATUS=MR","Sort=A","Dates=H","DateFormat=P","Fill=—","Direction=H","UseDPDF=Y")</f>
        <v>71</v>
      </c>
      <c r="H124" s="14">
        <f>_xll.BDH("GILD US Equity","ARDR_GROSS_MARGIN","FQ1 2020","FQ1 2020","Currency=USD","Period=FQ","BEST_FPERIOD_OVERRIDE=FQ","FILING_STATUS=MR","Sort=A","Dates=H","DateFormat=P","Fill=—","Direction=H","UseDPDF=Y")</f>
        <v>82.3</v>
      </c>
      <c r="I124" s="14">
        <f>_xll.BDH("GILD US Equity","ARDR_GROSS_MARGIN","FQ2 2020","FQ2 2020","Currency=USD","Period=FQ","BEST_FPERIOD_OVERRIDE=FQ","FILING_STATUS=MR","Sort=A","Dates=H","DateFormat=P","Fill=—","Direction=H","UseDPDF=Y")</f>
        <v>79</v>
      </c>
      <c r="J124" s="14">
        <f>_xll.BDH("GILD US Equity","ARDR_GROSS_MARGIN","FQ3 2020","FQ3 2020","Currency=USD","Period=FQ","BEST_FPERIOD_OVERRIDE=FQ","FILING_STATUS=MR","Sort=A","Dates=H","DateFormat=P","Fill=—","Direction=H","UseDPDF=Y")</f>
        <v>82.4</v>
      </c>
      <c r="K124" s="14">
        <f>_xll.BDH("GILD US Equity","ARDR_GROSS_MARGIN","FQ4 2020","FQ4 2020","Currency=USD","Period=FQ","BEST_FPERIOD_OVERRIDE=FQ","FILING_STATUS=MR","Sort=A","Dates=H","DateFormat=P","Fill=—","Direction=H","UseDPDF=Y")</f>
        <v>80.900000000000006</v>
      </c>
      <c r="L124" s="14">
        <f>_xll.BDH("GILD US Equity","ARDR_GROSS_MARGIN","FQ1 2021","FQ1 2021","Currency=USD","Period=FQ","BEST_FPERIOD_OVERRIDE=FQ","FILING_STATUS=MR","Sort=A","Dates=H","DateFormat=P","Fill=—","Direction=H","UseDPDF=Y")</f>
        <v>78.5</v>
      </c>
      <c r="M124" s="14">
        <f>_xll.BDH("GILD US Equity","ARDR_GROSS_MARGIN","FQ2 2021","FQ2 2021","Currency=USD","Period=FQ","BEST_FPERIOD_OVERRIDE=FQ","FILING_STATUS=MR","Sort=A","Dates=H","DateFormat=P","Fill=—","Direction=H","UseDPDF=Y")</f>
        <v>77.400000000000006</v>
      </c>
      <c r="N124" s="14">
        <f>_xll.BDH("GILD US Equity","ARDR_GROSS_MARGIN","FQ3 2021","FQ3 2021","Currency=USD","Period=FQ","BEST_FPERIOD_OVERRIDE=FQ","FILING_STATUS=MR","Sort=A","Dates=H","DateFormat=P","Fill=—","Direction=H","UseDPDF=Y")</f>
        <v>83.4</v>
      </c>
      <c r="O124" s="14">
        <f>_xll.BDH("GILD US Equity","ARDR_GROSS_MARGIN","FQ4 2021","FQ4 2021","Currency=USD","Period=FQ","BEST_FPERIOD_OVERRIDE=FQ","FILING_STATUS=MR","Sort=A","Dates=H","DateFormat=P","Fill=—","Direction=H","UseDPDF=Y")</f>
        <v>63.3</v>
      </c>
      <c r="P124" s="14">
        <f>_xll.BDH("GILD US Equity","ARDR_GROSS_MARGIN","FQ1 2022","FQ1 2022","Currency=USD","Period=FQ","BEST_FPERIOD_OVERRIDE=FQ","FILING_STATUS=MR","Sort=A","Dates=H","DateFormat=P","Fill=—","Direction=H","UseDPDF=Y")</f>
        <v>78.2</v>
      </c>
      <c r="Q124" s="14">
        <f>_xll.BDH("GILD US Equity","ARDR_GROSS_MARGIN","FQ2 2022","FQ2 2022","Currency=USD","Period=FQ","BEST_FPERIOD_OVERRIDE=FQ","FILING_STATUS=MR","Sort=A","Dates=H","DateFormat=P","Fill=—","Direction=H","UseDPDF=Y")</f>
        <v>76.5</v>
      </c>
      <c r="R124" s="14">
        <f>_xll.BDH("GILD US Equity","ARDR_GROSS_MARGIN","FQ3 2022","FQ3 2022","Currency=USD","Period=FQ","BEST_FPERIOD_OVERRIDE=FQ","FILING_STATUS=MR","Sort=A","Dates=H","DateFormat=P","Fill=—","Direction=H","UseDPDF=Y")</f>
        <v>80</v>
      </c>
      <c r="S124" s="14">
        <f>_xll.BDH("GILD US Equity","ARDR_GROSS_MARGIN","FQ4 2022","FQ4 2022","Currency=USD","Period=FQ","BEST_FPERIOD_OVERRIDE=FQ","FILING_STATUS=MR","Sort=A","Dates=H","DateFormat=P","Fill=—","Direction=H","UseDPDF=Y")</f>
        <v>81</v>
      </c>
      <c r="T124" s="14">
        <f>_xll.BDH("GILD US Equity","ARDR_GROSS_MARGIN","FQ1 2023","FQ1 2023","Currency=USD","Period=FQ","BEST_FPERIOD_OVERRIDE=FQ","FILING_STATUS=MR","Sort=A","Dates=H","DateFormat=P","Fill=—","Direction=H","UseDPDF=Y")</f>
        <v>77.8</v>
      </c>
      <c r="U124" s="14">
        <f>_xll.BDH("GILD US Equity","ARDR_GROSS_MARGIN","FQ2 2023","FQ2 2023","Currency=USD","Period=FQ","BEST_FPERIOD_OVERRIDE=FQ","FILING_STATUS=MR","Sort=A","Dates=H","DateFormat=P","Fill=—","Direction=H","UseDPDF=Y")</f>
        <v>78</v>
      </c>
      <c r="V124" s="14">
        <f>_xll.BDH("GILD US Equity","ARDR_GROSS_MARGIN","FQ3 2023","FQ3 2023","Currency=USD","Period=FQ","BEST_FPERIOD_OVERRIDE=FQ","FILING_STATUS=MR","Sort=A","Dates=H","DateFormat=P","Fill=—","Direction=H","UseDPDF=Y")</f>
        <v>77.599999999999994</v>
      </c>
      <c r="W124" s="14">
        <f>_xll.BDH("GILD US Equity","ARDR_GROSS_MARGIN","FQ4 2023","FQ4 2023","Currency=USD","Period=FQ","BEST_FPERIOD_OVERRIDE=FQ","FILING_STATUS=MR","Sort=A","Dates=H","DateFormat=P","Fill=—","Direction=H","UseDPDF=Y")</f>
        <v>70.400000000000006</v>
      </c>
      <c r="X124" s="14">
        <f>_xll.BDH("GILD US Equity","ARDR_GROSS_MARGIN","FQ1 2024","FQ1 2024","Currency=USD","Period=FQ","BEST_FPERIOD_OVERRIDE=FQ","FILING_STATUS=MR","Sort=A","Dates=H","DateFormat=P","Fill=—","Direction=H","UseDPDF=Y")</f>
        <v>76.599999999999994</v>
      </c>
      <c r="Y124" s="14">
        <f>_xll.BDH("GILD US Equity","ARDR_GROSS_MARGIN","FQ2 2024","FQ2 2024","Currency=USD","Period=FQ","BEST_FPERIOD_OVERRIDE=FQ","FILING_STATUS=MR","Sort=A","Dates=H","DateFormat=P","Fill=—","Direction=H","UseDPDF=Y")</f>
        <v>77.7</v>
      </c>
      <c r="Z124" s="14">
        <f>_xll.BDH("GILD US Equity","ARDR_GROSS_MARGIN","FQ3 2024","FQ3 2024","Currency=USD","Period=FQ","BEST_FPERIOD_OVERRIDE=FQ","FILING_STATUS=MR","Sort=A","Dates=H","DateFormat=P","Fill=—","Direction=H","UseDPDF=Y")</f>
        <v>79.099999999999994</v>
      </c>
      <c r="AA124" s="14">
        <f>_xll.BDH("GILD US Equity","ARDR_GROSS_MARGIN","FQ4 2024","FQ4 2024","Currency=USD","Period=FQ","BEST_FPERIOD_OVERRIDE=FQ","FILING_STATUS=MR","Sort=A","Dates=H","DateFormat=P","Fill=—","Direction=H","UseDPDF=Y")</f>
        <v>79</v>
      </c>
    </row>
    <row r="125" spans="1:27" x14ac:dyDescent="0.25">
      <c r="A125" s="10" t="s">
        <v>628</v>
      </c>
      <c r="B125" s="10" t="s">
        <v>629</v>
      </c>
      <c r="C125" s="14" t="str">
        <f>_xll.BDH("GILD US Equity","ARDR_REVENUE_GROWTH","FQ4 2018","FQ4 2018","Currency=USD","Period=FQ","BEST_FPERIOD_OVERRIDE=FQ","FILING_STATUS=MR","Sort=A","Dates=H","DateFormat=P","Fill=—","Direction=H","UseDPDF=Y")</f>
        <v>—</v>
      </c>
      <c r="D125" s="14">
        <f>_xll.BDH("GILD US Equity","ARDR_REVENUE_GROWTH","FQ1 2019","FQ1 2019","Currency=USD","Period=FQ","BEST_FPERIOD_OVERRIDE=FQ","FILING_STATUS=MR","Sort=A","Dates=H","DateFormat=P","Fill=—","Direction=H","UseDPDF=Y")</f>
        <v>4</v>
      </c>
      <c r="E125" s="14">
        <f>_xll.BDH("GILD US Equity","ARDR_REVENUE_GROWTH","FQ2 2019","FQ2 2019","Currency=USD","Period=FQ","BEST_FPERIOD_OVERRIDE=FQ","FILING_STATUS=MR","Sort=A","Dates=H","DateFormat=P","Fill=—","Direction=H","UseDPDF=Y")</f>
        <v>1</v>
      </c>
      <c r="F125" s="14">
        <f>_xll.BDH("GILD US Equity","ARDR_REVENUE_GROWTH","FQ3 2019","FQ3 2019","Currency=USD","Period=FQ","BEST_FPERIOD_OVERRIDE=FQ","FILING_STATUS=MR","Sort=A","Dates=H","DateFormat=P","Fill=—","Direction=H","UseDPDF=Y")</f>
        <v>0</v>
      </c>
      <c r="G125" s="14">
        <f>_xll.BDH("GILD US Equity","ARDR_REVENUE_GROWTH","FQ4 2019","FQ4 2019","Currency=USD","Period=FQ","BEST_FPERIOD_OVERRIDE=FQ","FILING_STATUS=MR","Sort=A","Dates=H","DateFormat=P","Fill=—","Direction=H","UseDPDF=Y")</f>
        <v>1</v>
      </c>
      <c r="H125" s="14">
        <f>_xll.BDH("GILD US Equity","ARDR_REVENUE_GROWTH","FQ1 2020","FQ1 2020","Currency=USD","Period=FQ","BEST_FPERIOD_OVERRIDE=FQ","FILING_STATUS=MR","Sort=A","Dates=H","DateFormat=P","Fill=—","Direction=H","UseDPDF=Y")</f>
        <v>5</v>
      </c>
      <c r="I125" s="14">
        <f>_xll.BDH("GILD US Equity","ARDR_REVENUE_GROWTH","FQ2 2020","FQ2 2020","Currency=USD","Period=FQ","BEST_FPERIOD_OVERRIDE=FQ","FILING_STATUS=MR","Sort=A","Dates=H","DateFormat=P","Fill=—","Direction=H","UseDPDF=Y")</f>
        <v>-10</v>
      </c>
      <c r="J125" s="14">
        <f>_xll.BDH("GILD US Equity","ARDR_REVENUE_GROWTH","FQ3 2020","FQ3 2020","Currency=USD","Period=FQ","BEST_FPERIOD_OVERRIDE=FQ","FILING_STATUS=MR","Sort=A","Dates=H","DateFormat=P","Fill=—","Direction=H","UseDPDF=Y")</f>
        <v>17</v>
      </c>
      <c r="K125" s="14" t="str">
        <f>_xll.BDH("GILD US Equity","ARDR_REVENUE_GROWTH","FQ4 2020","FQ4 2020","Currency=USD","Period=FQ","BEST_FPERIOD_OVERRIDE=FQ","FILING_STATUS=MR","Sort=A","Dates=H","DateFormat=P","Fill=—","Direction=H","UseDPDF=Y")</f>
        <v>—</v>
      </c>
      <c r="L125" s="14">
        <f>_xll.BDH("GILD US Equity","ARDR_REVENUE_GROWTH","FQ1 2021","FQ1 2021","Currency=USD","Period=FQ","BEST_FPERIOD_OVERRIDE=FQ","FILING_STATUS=MR","Sort=A","Dates=H","DateFormat=P","Fill=—","Direction=H","UseDPDF=Y")</f>
        <v>16</v>
      </c>
      <c r="M125" s="14">
        <f>_xll.BDH("GILD US Equity","ARDR_REVENUE_GROWTH","FQ2 2021","FQ2 2021","Currency=USD","Period=FQ","BEST_FPERIOD_OVERRIDE=FQ","FILING_STATUS=MR","Sort=A","Dates=H","DateFormat=P","Fill=—","Direction=H","UseDPDF=Y")</f>
        <v>21</v>
      </c>
      <c r="N125" s="14">
        <f>_xll.BDH("GILD US Equity","ARDR_REVENUE_GROWTH","FQ3 2021","FQ3 2021","Currency=USD","Period=FQ","BEST_FPERIOD_OVERRIDE=FQ","FILING_STATUS=MR","Sort=A","Dates=H","DateFormat=P","Fill=—","Direction=H","UseDPDF=Y")</f>
        <v>13</v>
      </c>
      <c r="O125" s="14">
        <f>_xll.BDH("GILD US Equity","ARDR_REVENUE_GROWTH","FQ4 2021","FQ4 2021","Currency=USD","Period=FQ","BEST_FPERIOD_OVERRIDE=FQ","FILING_STATUS=MR","Sort=A","Dates=H","DateFormat=P","Fill=—","Direction=H","UseDPDF=Y")</f>
        <v>-2</v>
      </c>
      <c r="P125" s="14">
        <f>_xll.BDH("GILD US Equity","ARDR_REVENUE_GROWTH","FQ1 2022","FQ1 2022","Currency=USD","Period=FQ","BEST_FPERIOD_OVERRIDE=FQ","FILING_STATUS=MR","Sort=A","Dates=H","DateFormat=P","Fill=—","Direction=H","UseDPDF=Y")</f>
        <v>3</v>
      </c>
      <c r="Q125" s="14">
        <f>_xll.BDH("GILD US Equity","ARDR_REVENUE_GROWTH","FQ2 2022","FQ2 2022","Currency=USD","Period=FQ","BEST_FPERIOD_OVERRIDE=FQ","FILING_STATUS=MR","Sort=A","Dates=H","DateFormat=P","Fill=—","Direction=H","UseDPDF=Y")</f>
        <v>1</v>
      </c>
      <c r="R125" s="14">
        <f>_xll.BDH("GILD US Equity","ARDR_REVENUE_GROWTH","FQ3 2022","FQ3 2022","Currency=USD","Period=FQ","BEST_FPERIOD_OVERRIDE=FQ","FILING_STATUS=MR","Sort=A","Dates=H","DateFormat=P","Fill=—","Direction=H","UseDPDF=Y")</f>
        <v>-5</v>
      </c>
      <c r="S125" s="14">
        <f>_xll.BDH("GILD US Equity","ARDR_REVENUE_GROWTH","FQ4 2022","FQ4 2022","Currency=USD","Period=FQ","BEST_FPERIOD_OVERRIDE=FQ","FILING_STATUS=MR","Sort=A","Dates=H","DateFormat=P","Fill=—","Direction=H","UseDPDF=Y")</f>
        <v>2</v>
      </c>
      <c r="T125" s="14">
        <f>_xll.BDH("GILD US Equity","ARDR_REVENUE_GROWTH","FQ1 2023","FQ1 2023","Currency=USD","Period=FQ","BEST_FPERIOD_OVERRIDE=FQ","FILING_STATUS=MR","Sort=A","Dates=H","DateFormat=P","Fill=—","Direction=H","UseDPDF=Y")</f>
        <v>-4</v>
      </c>
      <c r="U125" s="14">
        <f>_xll.BDH("GILD US Equity","ARDR_REVENUE_GROWTH","FQ2 2023","FQ2 2023","Currency=USD","Period=FQ","BEST_FPERIOD_OVERRIDE=FQ","FILING_STATUS=MR","Sort=A","Dates=H","DateFormat=P","Fill=—","Direction=H","UseDPDF=Y")</f>
        <v>5</v>
      </c>
      <c r="V125" s="14">
        <f>_xll.BDH("GILD US Equity","ARDR_REVENUE_GROWTH","FQ3 2023","FQ3 2023","Currency=USD","Period=FQ","BEST_FPERIOD_OVERRIDE=FQ","FILING_STATUS=MR","Sort=A","Dates=H","DateFormat=P","Fill=—","Direction=H","UseDPDF=Y")</f>
        <v>0</v>
      </c>
      <c r="W125" s="14">
        <f>_xll.BDH("GILD US Equity","ARDR_REVENUE_GROWTH","FQ4 2023","FQ4 2023","Currency=USD","Period=FQ","BEST_FPERIOD_OVERRIDE=FQ","FILING_STATUS=MR","Sort=A","Dates=H","DateFormat=P","Fill=—","Direction=H","UseDPDF=Y")</f>
        <v>-4</v>
      </c>
      <c r="X125" s="14">
        <f>_xll.BDH("GILD US Equity","ARDR_REVENUE_GROWTH","FQ1 2024","FQ1 2024","Currency=USD","Period=FQ","BEST_FPERIOD_OVERRIDE=FQ","FILING_STATUS=MR","Sort=A","Dates=H","DateFormat=P","Fill=—","Direction=H","UseDPDF=Y")</f>
        <v>5</v>
      </c>
      <c r="Y125" s="14">
        <f>_xll.BDH("GILD US Equity","ARDR_REVENUE_GROWTH","FQ2 2024","FQ2 2024","Currency=USD","Period=FQ","BEST_FPERIOD_OVERRIDE=FQ","FILING_STATUS=MR","Sort=A","Dates=H","DateFormat=P","Fill=—","Direction=H","UseDPDF=Y")</f>
        <v>5</v>
      </c>
      <c r="Z125" s="14">
        <f>_xll.BDH("GILD US Equity","ARDR_REVENUE_GROWTH","FQ3 2024","FQ3 2024","Currency=USD","Period=FQ","BEST_FPERIOD_OVERRIDE=FQ","FILING_STATUS=MR","Sort=A","Dates=H","DateFormat=P","Fill=—","Direction=H","UseDPDF=Y")</f>
        <v>7</v>
      </c>
      <c r="AA125" s="14">
        <f>_xll.BDH("GILD US Equity","ARDR_REVENUE_GROWTH","FQ4 2024","FQ4 2024","Currency=USD","Period=FQ","BEST_FPERIOD_OVERRIDE=FQ","FILING_STATUS=MR","Sort=A","Dates=H","DateFormat=P","Fill=—","Direction=H","UseDPDF=Y")</f>
        <v>6</v>
      </c>
    </row>
    <row r="126" spans="1:27" x14ac:dyDescent="0.25">
      <c r="A126" s="10" t="s">
        <v>630</v>
      </c>
      <c r="B126" s="10" t="s">
        <v>631</v>
      </c>
      <c r="C126" s="14">
        <f>_xll.BDH("GILD US Equity","ARDR_ADJUSTED_OPERATING_MARGIN","FQ4 2018","FQ4 2018","Currency=USD","Period=FQ","BEST_FPERIOD_OVERRIDE=FQ","FILING_STATUS=MR","Sort=A","Dates=H","DateFormat=P","Fill=—","Direction=H","UseDPDF=Y")</f>
        <v>44.3</v>
      </c>
      <c r="D126" s="14">
        <f>_xll.BDH("GILD US Equity","ARDR_ADJUSTED_OPERATING_MARGIN","FQ1 2019","FQ1 2019","Currency=USD","Period=FQ","BEST_FPERIOD_OVERRIDE=FQ","FILING_STATUS=MR","Sort=A","Dates=H","DateFormat=P","Fill=—","Direction=H","UseDPDF=Y")</f>
        <v>50.1</v>
      </c>
      <c r="E126" s="14">
        <f>_xll.BDH("GILD US Equity","ARDR_ADJUSTED_OPERATING_MARGIN","FQ2 2019","FQ2 2019","Currency=USD","Period=FQ","BEST_FPERIOD_OVERRIDE=FQ","FILING_STATUS=MR","Sort=A","Dates=H","DateFormat=P","Fill=—","Direction=H","UseDPDF=Y")</f>
        <v>53.5</v>
      </c>
      <c r="F126" s="14">
        <f>_xll.BDH("GILD US Equity","ARDR_ADJUSTED_OPERATING_MARGIN","FQ3 2019","FQ3 2019","Currency=USD","Period=FQ","BEST_FPERIOD_OVERRIDE=FQ","FILING_STATUS=MR","Sort=A","Dates=H","DateFormat=P","Fill=—","Direction=H","UseDPDF=Y")</f>
        <v>49.3</v>
      </c>
      <c r="G126" s="14">
        <f>_xll.BDH("GILD US Equity","ARDR_ADJUSTED_OPERATING_MARGIN","FQ4 2019","FQ4 2019","Currency=USD","Period=FQ","BEST_FPERIOD_OVERRIDE=FQ","FILING_STATUS=MR","Sort=A","Dates=H","DateFormat=P","Fill=—","Direction=H","UseDPDF=Y")</f>
        <v>39.299999999999997</v>
      </c>
      <c r="H126" s="14">
        <f>_xll.BDH("GILD US Equity","ARDR_ADJUSTED_OPERATING_MARGIN","FQ1 2020","FQ1 2020","Currency=USD","Period=FQ","BEST_FPERIOD_OVERRIDE=FQ","FILING_STATUS=MR","Sort=A","Dates=H","DateFormat=P","Fill=—","Direction=H","UseDPDF=Y")</f>
        <v>49.8</v>
      </c>
      <c r="I126" s="14">
        <f>_xll.BDH("GILD US Equity","ARDR_ADJUSTED_OPERATING_MARGIN","FQ2 2020","FQ2 2020","Currency=USD","Period=FQ","BEST_FPERIOD_OVERRIDE=FQ","FILING_STATUS=MR","Sort=A","Dates=H","DateFormat=P","Fill=—","Direction=H","UseDPDF=Y")</f>
        <v>38.799999999999997</v>
      </c>
      <c r="J126" s="14">
        <f>_xll.BDH("GILD US Equity","ARDR_ADJUSTED_OPERATING_MARGIN","FQ3 2020","FQ3 2020","Currency=USD","Period=FQ","BEST_FPERIOD_OVERRIDE=FQ","FILING_STATUS=MR","Sort=A","Dates=H","DateFormat=P","Fill=—","Direction=H","UseDPDF=Y")</f>
        <v>52.5</v>
      </c>
      <c r="K126" s="14">
        <f>_xll.BDH("GILD US Equity","ARDR_ADJUSTED_OPERATING_MARGIN","FQ4 2020","FQ4 2020","Currency=USD","Period=FQ","BEST_FPERIOD_OVERRIDE=FQ","FILING_STATUS=MR","Sort=A","Dates=H","DateFormat=P","Fill=—","Direction=H","UseDPDF=Y")</f>
        <v>47.1</v>
      </c>
      <c r="L126" s="14">
        <f>_xll.BDH("GILD US Equity","ARDR_ADJUSTED_OPERATING_MARGIN","FQ1 2021","FQ1 2021","Currency=USD","Period=FQ","BEST_FPERIOD_OVERRIDE=FQ","FILING_STATUS=MR","Sort=A","Dates=H","DateFormat=P","Fill=—","Direction=H","UseDPDF=Y")</f>
        <v>53.3</v>
      </c>
      <c r="M126" s="14">
        <f>_xll.BDH("GILD US Equity","ARDR_ADJUSTED_OPERATING_MARGIN","FQ2 2021","FQ2 2021","Currency=USD","Period=FQ","BEST_FPERIOD_OVERRIDE=FQ","FILING_STATUS=MR","Sort=A","Dates=H","DateFormat=P","Fill=—","Direction=H","UseDPDF=Y")</f>
        <v>51.1</v>
      </c>
      <c r="N126" s="14">
        <f>_xll.BDH("GILD US Equity","ARDR_ADJUSTED_OPERATING_MARGIN","FQ3 2021","FQ3 2021","Currency=USD","Period=FQ","BEST_FPERIOD_OVERRIDE=FQ","FILING_STATUS=MR","Sort=A","Dates=H","DateFormat=P","Fill=—","Direction=H","UseDPDF=Y")</f>
        <v>59</v>
      </c>
      <c r="O126" s="14">
        <f>_xll.BDH("GILD US Equity","ARDR_ADJUSTED_OPERATING_MARGIN","FQ4 2021","FQ4 2021","Currency=USD","Period=FQ","BEST_FPERIOD_OVERRIDE=FQ","FILING_STATUS=MR","Sort=A","Dates=H","DateFormat=P","Fill=—","Direction=H","UseDPDF=Y")</f>
        <v>20.8</v>
      </c>
      <c r="P126" s="14">
        <f>_xll.BDH("GILD US Equity","ARDR_ADJUSTED_OPERATING_MARGIN","FQ1 2022","FQ1 2022","Currency=USD","Period=FQ","BEST_FPERIOD_OVERRIDE=FQ","FILING_STATUS=MR","Sort=A","Dates=H","DateFormat=P","Fill=—","Direction=H","UseDPDF=Y")</f>
        <v>53.5</v>
      </c>
      <c r="Q126" s="14">
        <f>_xll.BDH("GILD US Equity","ARDR_ADJUSTED_OPERATING_MARGIN","FQ2 2022","FQ2 2022","Currency=USD","Period=FQ","BEST_FPERIOD_OVERRIDE=FQ","FILING_STATUS=MR","Sort=A","Dates=H","DateFormat=P","Fill=—","Direction=H","UseDPDF=Y")</f>
        <v>42.7</v>
      </c>
      <c r="R126" s="14">
        <f>_xll.BDH("GILD US Equity","ARDR_ADJUSTED_OPERATING_MARGIN","FQ3 2022","FQ3 2022","Currency=USD","Period=FQ","BEST_FPERIOD_OVERRIDE=FQ","FILING_STATUS=MR","Sort=A","Dates=H","DateFormat=P","Fill=—","Direction=H","UseDPDF=Y")</f>
        <v>46.7</v>
      </c>
      <c r="S126" s="14">
        <f>_xll.BDH("GILD US Equity","ARDR_ADJUSTED_OPERATING_MARGIN","FQ4 2022","FQ4 2022","Currency=USD","Period=FQ","BEST_FPERIOD_OVERRIDE=FQ","FILING_STATUS=MR","Sort=A","Dates=H","DateFormat=P","Fill=—","Direction=H","UseDPDF=Y")</f>
        <v>36.5</v>
      </c>
      <c r="T126" s="14">
        <f>_xll.BDH("GILD US Equity","ARDR_ADJUSTED_OPERATING_MARGIN","FQ1 2023","FQ1 2023","Currency=USD","Period=FQ","BEST_FPERIOD_OVERRIDE=FQ","FILING_STATUS=MR","Sort=A","Dates=H","DateFormat=P","Fill=—","Direction=H","UseDPDF=Y")</f>
        <v>35.299999999999997</v>
      </c>
      <c r="U126" s="14">
        <f>_xll.BDH("GILD US Equity","ARDR_ADJUSTED_OPERATING_MARGIN","FQ2 2023","FQ2 2023","Currency=USD","Period=FQ","BEST_FPERIOD_OVERRIDE=FQ","FILING_STATUS=MR","Sort=A","Dates=H","DateFormat=P","Fill=—","Direction=H","UseDPDF=Y")</f>
        <v>34.5</v>
      </c>
      <c r="V126" s="14">
        <f>_xll.BDH("GILD US Equity","ARDR_ADJUSTED_OPERATING_MARGIN","FQ3 2023","FQ3 2023","Currency=USD","Period=FQ","BEST_FPERIOD_OVERRIDE=FQ","FILING_STATUS=MR","Sort=A","Dates=H","DateFormat=P","Fill=—","Direction=H","UseDPDF=Y")</f>
        <v>45.7</v>
      </c>
      <c r="W126" s="14">
        <f>_xll.BDH("GILD US Equity","ARDR_ADJUSTED_OPERATING_MARGIN","FQ4 2023","FQ4 2023","Currency=USD","Period=FQ","BEST_FPERIOD_OVERRIDE=FQ","FILING_STATUS=MR","Sort=A","Dates=H","DateFormat=P","Fill=—","Direction=H","UseDPDF=Y")</f>
        <v>38.5</v>
      </c>
      <c r="X126" s="14">
        <f>_xll.BDH("GILD US Equity","ARDR_ADJUSTED_OPERATING_MARGIN","FQ1 2024","FQ1 2024","Currency=USD","Period=FQ","BEST_FPERIOD_OVERRIDE=FQ","FILING_STATUS=MR","Sort=A","Dates=H","DateFormat=P","Fill=—","Direction=H","UseDPDF=Y")</f>
        <v>-16.7</v>
      </c>
      <c r="Y126" s="14">
        <f>_xll.BDH("GILD US Equity","ARDR_ADJUSTED_OPERATING_MARGIN","FQ2 2024","FQ2 2024","Currency=USD","Period=FQ","BEST_FPERIOD_OVERRIDE=FQ","FILING_STATUS=MR","Sort=A","Dates=H","DateFormat=P","Fill=—","Direction=H","UseDPDF=Y")</f>
        <v>47</v>
      </c>
      <c r="Z126" s="14">
        <f>_xll.BDH("GILD US Equity","ARDR_ADJUSTED_OPERATING_MARGIN","FQ3 2024","FQ3 2024","Currency=USD","Period=FQ","BEST_FPERIOD_OVERRIDE=FQ","FILING_STATUS=MR","Sort=A","Dates=H","DateFormat=P","Fill=—","Direction=H","UseDPDF=Y")</f>
        <v>43.2</v>
      </c>
      <c r="AA126" s="14">
        <f>_xll.BDH("GILD US Equity","ARDR_ADJUSTED_OPERATING_MARGIN","FQ4 2024","FQ4 2024","Currency=USD","Period=FQ","BEST_FPERIOD_OVERRIDE=FQ","FILING_STATUS=MR","Sort=A","Dates=H","DateFormat=P","Fill=—","Direction=H","UseDPDF=Y")</f>
        <v>41.1</v>
      </c>
    </row>
    <row r="127" spans="1:27" x14ac:dyDescent="0.25">
      <c r="A127" s="10" t="s">
        <v>632</v>
      </c>
      <c r="B127" s="10" t="s">
        <v>633</v>
      </c>
      <c r="C127" s="13">
        <f>_xll.BDH("GILD US Equity","ARDR_STK_BSD_CMPNSTN_CF_PRE_TAX","FQ4 2018","FQ4 2018","Currency=USD","Period=FQ","BEST_FPERIOD_OVERRIDE=FQ","FILING_STATUS=MR","SCALING_FORMAT=MLN","Sort=A","Dates=H","DateFormat=P","Fill=—","Direction=H","UseDPDF=Y")</f>
        <v>175</v>
      </c>
      <c r="D127" s="13">
        <f>_xll.BDH("GILD US Equity","ARDR_STK_BSD_CMPNSTN_CF_PRE_TAX","FQ1 2019","FQ1 2019","Currency=USD","Period=FQ","BEST_FPERIOD_OVERRIDE=FQ","FILING_STATUS=MR","SCALING_FORMAT=MLN","Sort=A","Dates=H","DateFormat=P","Fill=—","Direction=H","UseDPDF=Y")</f>
        <v>143</v>
      </c>
      <c r="E127" s="13">
        <f>_xll.BDH("GILD US Equity","ARDR_STK_BSD_CMPNSTN_CF_PRE_TAX","FQ2 2019","FQ2 2019","Currency=USD","Period=FQ","BEST_FPERIOD_OVERRIDE=FQ","FILING_STATUS=MR","SCALING_FORMAT=MLN","Sort=A","Dates=H","DateFormat=P","Fill=—","Direction=H","UseDPDF=Y")</f>
        <v>174</v>
      </c>
      <c r="F127" s="13">
        <f>_xll.BDH("GILD US Equity","ARDR_STK_BSD_CMPNSTN_CF_PRE_TAX","FQ3 2019","FQ3 2019","Currency=USD","Period=FQ","BEST_FPERIOD_OVERRIDE=FQ","FILING_STATUS=MR","SCALING_FORMAT=MLN","Sort=A","Dates=H","DateFormat=P","Fill=—","Direction=H","UseDPDF=Y")</f>
        <v>162</v>
      </c>
      <c r="G127" s="13">
        <f>_xll.BDH("GILD US Equity","ARDR_STK_BSD_CMPNSTN_CF_PRE_TAX","FQ4 2019","FQ4 2019","Currency=USD","Period=FQ","BEST_FPERIOD_OVERRIDE=FQ","FILING_STATUS=MR","SCALING_FORMAT=MLN","Sort=A","Dates=H","DateFormat=P","Fill=—","Direction=H","UseDPDF=Y")</f>
        <v>157</v>
      </c>
      <c r="H127" s="13">
        <f>_xll.BDH("GILD US Equity","ARDR_STK_BSD_CMPNSTN_CF_PRE_TAX","FQ1 2020","FQ1 2020","Currency=USD","Period=FQ","BEST_FPERIOD_OVERRIDE=FQ","FILING_STATUS=MR","SCALING_FORMAT=MLN","Sort=A","Dates=H","DateFormat=P","Fill=—","Direction=H","UseDPDF=Y")</f>
        <v>141</v>
      </c>
      <c r="I127" s="13">
        <f>_xll.BDH("GILD US Equity","ARDR_STK_BSD_CMPNSTN_CF_PRE_TAX","FQ2 2020","FQ2 2020","Currency=USD","Period=FQ","BEST_FPERIOD_OVERRIDE=FQ","FILING_STATUS=MR","SCALING_FORMAT=MLN","Sort=A","Dates=H","DateFormat=P","Fill=—","Direction=H","UseDPDF=Y")</f>
        <v>168</v>
      </c>
      <c r="J127" s="13">
        <f>_xll.BDH("GILD US Equity","ARDR_STK_BSD_CMPNSTN_CF_PRE_TAX","FQ3 2020","FQ3 2020","Currency=USD","Period=FQ","BEST_FPERIOD_OVERRIDE=FQ","FILING_STATUS=MR","SCALING_FORMAT=MLN","Sort=A","Dates=H","DateFormat=P","Fill=—","Direction=H","UseDPDF=Y")</f>
        <v>173</v>
      </c>
      <c r="K127" s="13">
        <f>_xll.BDH("GILD US Equity","ARDR_STK_BSD_CMPNSTN_CF_PRE_TAX","FQ4 2020","FQ4 2020","Currency=USD","Period=FQ","BEST_FPERIOD_OVERRIDE=FQ","FILING_STATUS=MR","SCALING_FORMAT=MLN","Sort=A","Dates=H","DateFormat=P","Fill=—","Direction=H","UseDPDF=Y")</f>
        <v>161</v>
      </c>
      <c r="L127" s="13">
        <f>_xll.BDH("GILD US Equity","ARDR_STK_BSD_CMPNSTN_CF_PRE_TAX","FQ1 2021","FQ1 2021","Currency=USD","Period=FQ","BEST_FPERIOD_OVERRIDE=FQ","FILING_STATUS=MR","SCALING_FORMAT=MLN","Sort=A","Dates=H","DateFormat=P","Fill=—","Direction=H","UseDPDF=Y")</f>
        <v>139</v>
      </c>
      <c r="M127" s="13">
        <f>_xll.BDH("GILD US Equity","ARDR_STK_BSD_CMPNSTN_CF_PRE_TAX","FQ2 2021","FQ2 2021","Currency=USD","Period=FQ","BEST_FPERIOD_OVERRIDE=FQ","FILING_STATUS=MR","SCALING_FORMAT=MLN","Sort=A","Dates=H","DateFormat=P","Fill=—","Direction=H","UseDPDF=Y")</f>
        <v>166</v>
      </c>
      <c r="N127" s="13">
        <f>_xll.BDH("GILD US Equity","ARDR_STK_BSD_CMPNSTN_CF_PRE_TAX","FQ3 2021","FQ3 2021","Currency=USD","Period=FQ","BEST_FPERIOD_OVERRIDE=FQ","FILING_STATUS=MR","SCALING_FORMAT=MLN","Sort=A","Dates=H","DateFormat=P","Fill=—","Direction=H","UseDPDF=Y")</f>
        <v>171</v>
      </c>
      <c r="O127" s="13">
        <f>_xll.BDH("GILD US Equity","ARDR_STK_BSD_CMPNSTN_CF_PRE_TAX","FQ4 2021","FQ4 2021","Currency=USD","Period=FQ","BEST_FPERIOD_OVERRIDE=FQ","FILING_STATUS=MR","SCALING_FORMAT=MLN","Sort=A","Dates=H","DateFormat=P","Fill=—","Direction=H","UseDPDF=Y")</f>
        <v>159</v>
      </c>
      <c r="P127" s="13">
        <f>_xll.BDH("GILD US Equity","ARDR_STK_BSD_CMPNSTN_CF_PRE_TAX","FQ1 2022","FQ1 2022","Currency=USD","Period=FQ","BEST_FPERIOD_OVERRIDE=FQ","FILING_STATUS=MR","SCALING_FORMAT=MLN","Sort=A","Dates=H","DateFormat=P","Fill=—","Direction=H","UseDPDF=Y")</f>
        <v>130</v>
      </c>
      <c r="Q127" s="13">
        <f>_xll.BDH("GILD US Equity","ARDR_STK_BSD_CMPNSTN_CF_PRE_TAX","FQ2 2022","FQ2 2022","Currency=USD","Period=FQ","BEST_FPERIOD_OVERRIDE=FQ","FILING_STATUS=MR","SCALING_FORMAT=MLN","Sort=A","Dates=H","DateFormat=P","Fill=—","Direction=H","UseDPDF=Y")</f>
        <v>165</v>
      </c>
      <c r="R127" s="13">
        <f>_xll.BDH("GILD US Equity","ARDR_STK_BSD_CMPNSTN_CF_PRE_TAX","FQ3 2022","FQ3 2022","Currency=USD","Period=FQ","BEST_FPERIOD_OVERRIDE=FQ","FILING_STATUS=MR","SCALING_FORMAT=MLN","Sort=A","Dates=H","DateFormat=P","Fill=—","Direction=H","UseDPDF=Y")</f>
        <v>168</v>
      </c>
      <c r="S127" s="13">
        <f>_xll.BDH("GILD US Equity","ARDR_STK_BSD_CMPNSTN_CF_PRE_TAX","FQ4 2022","FQ4 2022","Currency=USD","Period=FQ","BEST_FPERIOD_OVERRIDE=FQ","FILING_STATUS=MR","SCALING_FORMAT=MLN","Sort=A","Dates=H","DateFormat=P","Fill=—","Direction=H","UseDPDF=Y")</f>
        <v>174</v>
      </c>
      <c r="T127" s="13">
        <f>_xll.BDH("GILD US Equity","ARDR_STK_BSD_CMPNSTN_CF_PRE_TAX","FQ1 2023","FQ1 2023","Currency=USD","Period=FQ","BEST_FPERIOD_OVERRIDE=FQ","FILING_STATUS=MR","SCALING_FORMAT=MLN","Sort=A","Dates=H","DateFormat=P","Fill=—","Direction=H","UseDPDF=Y")</f>
        <v>165</v>
      </c>
      <c r="U127" s="13">
        <f>_xll.BDH("GILD US Equity","ARDR_STK_BSD_CMPNSTN_CF_PRE_TAX","FQ2 2023","FQ2 2023","Currency=USD","Period=FQ","BEST_FPERIOD_OVERRIDE=FQ","FILING_STATUS=MR","SCALING_FORMAT=MLN","Sort=A","Dates=H","DateFormat=P","Fill=—","Direction=H","UseDPDF=Y")</f>
        <v>198</v>
      </c>
      <c r="V127" s="13">
        <f>_xll.BDH("GILD US Equity","ARDR_STK_BSD_CMPNSTN_CF_PRE_TAX","FQ3 2023","FQ3 2023","Currency=USD","Period=FQ","BEST_FPERIOD_OVERRIDE=FQ","FILING_STATUS=MR","SCALING_FORMAT=MLN","Sort=A","Dates=H","DateFormat=P","Fill=—","Direction=H","UseDPDF=Y")</f>
        <v>202</v>
      </c>
      <c r="W127" s="13">
        <f>_xll.BDH("GILD US Equity","ARDR_STK_BSD_CMPNSTN_CF_PRE_TAX","FQ4 2023","FQ4 2023","Currency=USD","Period=FQ","BEST_FPERIOD_OVERRIDE=FQ","FILING_STATUS=MR","SCALING_FORMAT=MLN","Sort=A","Dates=H","DateFormat=P","Fill=—","Direction=H","UseDPDF=Y")</f>
        <v>201</v>
      </c>
      <c r="X127" s="13">
        <f>_xll.BDH("GILD US Equity","ARDR_STK_BSD_CMPNSTN_CF_PRE_TAX","FQ1 2024","FQ1 2024","Currency=USD","Period=FQ","BEST_FPERIOD_OVERRIDE=FQ","FILING_STATUS=MR","SCALING_FORMAT=MLN","Sort=A","Dates=H","DateFormat=P","Fill=—","Direction=H","UseDPDF=Y")</f>
        <v>187</v>
      </c>
      <c r="Y127" s="13">
        <f>_xll.BDH("GILD US Equity","ARDR_STK_BSD_CMPNSTN_CF_PRE_TAX","FQ2 2024","FQ2 2024","Currency=USD","Period=FQ","BEST_FPERIOD_OVERRIDE=FQ","FILING_STATUS=MR","SCALING_FORMAT=MLN","Sort=A","Dates=H","DateFormat=P","Fill=—","Direction=H","UseDPDF=Y")</f>
        <v>209</v>
      </c>
      <c r="Z127" s="13">
        <f>_xll.BDH("GILD US Equity","ARDR_STK_BSD_CMPNSTN_CF_PRE_TAX","FQ3 2024","FQ3 2024","Currency=USD","Period=FQ","BEST_FPERIOD_OVERRIDE=FQ","FILING_STATUS=MR","SCALING_FORMAT=MLN","Sort=A","Dates=H","DateFormat=P","Fill=—","Direction=H","UseDPDF=Y")</f>
        <v>216</v>
      </c>
      <c r="AA127" s="13">
        <f>_xll.BDH("GILD US Equity","ARDR_STK_BSD_CMPNSTN_CF_PRE_TAX","FQ4 2024","FQ4 2024","Currency=USD","Period=FQ","BEST_FPERIOD_OVERRIDE=FQ","FILING_STATUS=MR","SCALING_FORMAT=MLN","Sort=A","Dates=H","DateFormat=P","Fill=—","Direction=H","UseDPDF=Y")</f>
        <v>356</v>
      </c>
    </row>
    <row r="128" spans="1:27" x14ac:dyDescent="0.25">
      <c r="A128" s="7" t="s">
        <v>90</v>
      </c>
      <c r="B128" s="7"/>
      <c r="C128" s="7" t="s">
        <v>5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71"/>
  <sheetViews>
    <sheetView workbookViewId="0">
      <selection activeCell="N21" sqref="N21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634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635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6" t="s">
        <v>636</v>
      </c>
      <c r="B7" s="6" t="s">
        <v>99</v>
      </c>
      <c r="C7" s="19">
        <f>_xll.BDH("GILD US Equity","IS_OPER_INC","FQ4 2018","FQ4 2018","Currency=USD","Period=FQ","BEST_FPERIOD_OVERRIDE=FQ","FILING_STATUS=MR","SCALING_FORMAT=MLN","FA_ADJUSTED=GAAP","Sort=A","Dates=H","DateFormat=P","Fill=—","Direction=H","UseDPDF=Y")</f>
        <v>1144</v>
      </c>
      <c r="D7" s="19">
        <f>_xll.BDH("GILD US Equity","IS_OPER_INC","FQ1 2019","FQ1 2019","Currency=USD","Period=FQ","BEST_FPERIOD_OVERRIDE=FQ","FILING_STATUS=MR","SCALING_FORMAT=MLN","FA_ADJUSTED=GAAP","Sort=A","Dates=H","DateFormat=P","Fill=—","Direction=H","UseDPDF=Y")</f>
        <v>2237</v>
      </c>
      <c r="E7" s="19">
        <f>_xll.BDH("GILD US Equity","IS_OPER_INC","FQ2 2019","FQ2 2019","Currency=USD","Period=FQ","BEST_FPERIOD_OVERRIDE=FQ","FILING_STATUS=MR","SCALING_FORMAT=MLN","FA_ADJUSTED=GAAP","Sort=A","Dates=H","DateFormat=P","Fill=—","Direction=H","UseDPDF=Y")</f>
        <v>2430</v>
      </c>
      <c r="F7" s="19">
        <f>_xll.BDH("GILD US Equity","IS_OPER_INC","FQ3 2019","FQ3 2019","Currency=USD","Period=FQ","BEST_FPERIOD_OVERRIDE=FQ","FILING_STATUS=MR","SCALING_FORMAT=MLN","FA_ADJUSTED=GAAP","Sort=A","Dates=H","DateFormat=P","Fill=—","Direction=H","UseDPDF=Y")</f>
        <v>-1473</v>
      </c>
      <c r="G7" s="19">
        <f>_xll.BDH("GILD US Equity","IS_OPER_INC","FQ4 2019","FQ4 2019","Currency=USD","Period=FQ","BEST_FPERIOD_OVERRIDE=FQ","FILING_STATUS=MR","SCALING_FORMAT=MLN","FA_ADJUSTED=GAAP","Sort=A","Dates=H","DateFormat=P","Fill=—","Direction=H","UseDPDF=Y")</f>
        <v>1093</v>
      </c>
      <c r="H7" s="19">
        <f>_xll.BDH("GILD US Equity","IS_OPER_INC","FQ1 2020","FQ1 2020","Currency=USD","Period=FQ","BEST_FPERIOD_OVERRIDE=FQ","FILING_STATUS=MR","SCALING_FORMAT=MLN","FA_ADJUSTED=GAAP","Sort=A","Dates=H","DateFormat=P","Fill=—","Direction=H","UseDPDF=Y")</f>
        <v>2402</v>
      </c>
      <c r="I7" s="19">
        <f>_xll.BDH("GILD US Equity","IS_OPER_INC","FQ2 2020","FQ2 2020","Currency=USD","Period=FQ","BEST_FPERIOD_OVERRIDE=FQ","FILING_STATUS=MR","SCALING_FORMAT=MLN","FA_ADJUSTED=GAAP","Sort=A","Dates=H","DateFormat=P","Fill=—","Direction=H","UseDPDF=Y")</f>
        <v>-2983</v>
      </c>
      <c r="J7" s="19">
        <f>_xll.BDH("GILD US Equity","IS_OPER_INC","FQ3 2020","FQ3 2020","Currency=USD","Period=FQ","BEST_FPERIOD_OVERRIDE=FQ","FILING_STATUS=MR","SCALING_FORMAT=MLN","FA_ADJUSTED=GAAP","Sort=A","Dates=H","DateFormat=P","Fill=—","Direction=H","UseDPDF=Y")</f>
        <v>2001</v>
      </c>
      <c r="K7" s="19">
        <f>_xll.BDH("GILD US Equity","IS_OPER_INC","FQ4 2020","FQ4 2020","Currency=USD","Period=FQ","BEST_FPERIOD_OVERRIDE=FQ","FILING_STATUS=MR","SCALING_FORMAT=MLN","FA_ADJUSTED=GAAP","Sort=A","Dates=H","DateFormat=P","Fill=—","Direction=H","UseDPDF=Y")</f>
        <v>2651</v>
      </c>
      <c r="L7" s="19">
        <f>_xll.BDH("GILD US Equity","IS_OPER_INC","FQ1 2021","FQ1 2021","Currency=USD","Period=FQ","BEST_FPERIOD_OVERRIDE=FQ","FILING_STATUS=MR","SCALING_FORMAT=MLN","FA_ADJUSTED=GAAP","Sort=A","Dates=H","DateFormat=P","Fill=—","Direction=H","UseDPDF=Y")</f>
        <v>2890</v>
      </c>
      <c r="M7" s="19">
        <f>_xll.BDH("GILD US Equity","IS_OPER_INC","FQ2 2021","FQ2 2021","Currency=USD","Period=FQ","BEST_FPERIOD_OVERRIDE=FQ","FILING_STATUS=MR","SCALING_FORMAT=MLN","FA_ADJUSTED=GAAP","Sort=A","Dates=H","DateFormat=P","Fill=—","Direction=H","UseDPDF=Y")</f>
        <v>2246</v>
      </c>
      <c r="N7" s="19">
        <f>_xll.BDH("GILD US Equity","IS_OPER_INC","FQ3 2021","FQ3 2021","Currency=USD","Period=FQ","BEST_FPERIOD_OVERRIDE=FQ","FILING_STATUS=MR","SCALING_FORMAT=MLN","FA_ADJUSTED=GAAP","Sort=A","Dates=H","DateFormat=P","Fill=—","Direction=H","UseDPDF=Y")</f>
        <v>3842</v>
      </c>
      <c r="O7" s="19">
        <f>_xll.BDH("GILD US Equity","IS_OPER_INC","FQ4 2021","FQ4 2021","Currency=USD","Period=FQ","BEST_FPERIOD_OVERRIDE=FQ","FILING_STATUS=MR","SCALING_FORMAT=MLN","FA_ADJUSTED=GAAP","Sort=A","Dates=H","DateFormat=P","Fill=—","Direction=H","UseDPDF=Y")</f>
        <v>940</v>
      </c>
      <c r="P7" s="19">
        <f>_xll.BDH("GILD US Equity","IS_OPER_INC","FQ1 2022","FQ1 2022","Currency=USD","Period=FQ","BEST_FPERIOD_OVERRIDE=FQ","FILING_STATUS=MR","SCALING_FORMAT=MLN","FA_ADJUSTED=GAAP","Sort=A","Dates=H","DateFormat=P","Fill=—","Direction=H","UseDPDF=Y")</f>
        <v>197</v>
      </c>
      <c r="Q7" s="19">
        <f>_xll.BDH("GILD US Equity","IS_OPER_INC","FQ2 2022","FQ2 2022","Currency=USD","Period=FQ","BEST_FPERIOD_OVERRIDE=FQ","FILING_STATUS=MR","SCALING_FORMAT=MLN","FA_ADJUSTED=GAAP","Sort=A","Dates=H","DateFormat=P","Fill=—","Direction=H","UseDPDF=Y")</f>
        <v>2029</v>
      </c>
      <c r="R7" s="19">
        <f>_xll.BDH("GILD US Equity","IS_OPER_INC","FQ3 2022","FQ3 2022","Currency=USD","Period=FQ","BEST_FPERIOD_OVERRIDE=FQ","FILING_STATUS=MR","SCALING_FORMAT=MLN","FA_ADJUSTED=GAAP","Sort=A","Dates=H","DateFormat=P","Fill=—","Direction=H","UseDPDF=Y")</f>
        <v>2837</v>
      </c>
      <c r="S7" s="19">
        <f>_xll.BDH("GILD US Equity","IS_OPER_INC","FQ4 2022","FQ4 2022","Currency=USD","Period=FQ","BEST_FPERIOD_OVERRIDE=FQ","FILING_STATUS=MR","SCALING_FORMAT=MLN","FA_ADJUSTED=GAAP","Sort=A","Dates=H","DateFormat=P","Fill=—","Direction=H","UseDPDF=Y")</f>
        <v>2267</v>
      </c>
      <c r="T7" s="19">
        <f>_xll.BDH("GILD US Equity","IS_OPER_INC","FQ1 2023","FQ1 2023","Currency=USD","Period=FQ","BEST_FPERIOD_OVERRIDE=FQ","FILING_STATUS=MR","SCALING_FORMAT=MLN","FA_ADJUSTED=GAAP","Sort=A","Dates=H","DateFormat=P","Fill=—","Direction=H","UseDPDF=Y")</f>
        <v>1705</v>
      </c>
      <c r="U7" s="19">
        <f>_xll.BDH("GILD US Equity","IS_OPER_INC","FQ2 2023","FQ2 2023","Currency=USD","Period=FQ","BEST_FPERIOD_OVERRIDE=FQ","FILING_STATUS=MR","SCALING_FORMAT=MLN","FA_ADJUSTED=GAAP","Sort=A","Dates=H","DateFormat=P","Fill=—","Direction=H","UseDPDF=Y")</f>
        <v>1665</v>
      </c>
      <c r="V7" s="19">
        <f>_xll.BDH("GILD US Equity","IS_OPER_INC","FQ3 2023","FQ3 2023","Currency=USD","Period=FQ","BEST_FPERIOD_OVERRIDE=FQ","FILING_STATUS=MR","SCALING_FORMAT=MLN","FA_ADJUSTED=GAAP","Sort=A","Dates=H","DateFormat=P","Fill=—","Direction=H","UseDPDF=Y")</f>
        <v>2623</v>
      </c>
      <c r="W7" s="19">
        <f>_xll.BDH("GILD US Equity","IS_OPER_INC","FQ4 2023","FQ4 2023","Currency=USD","Period=FQ","BEST_FPERIOD_OVERRIDE=FQ","FILING_STATUS=MR","SCALING_FORMAT=MLN","FA_ADJUSTED=GAAP","Sort=A","Dates=H","DateFormat=P","Fill=—","Direction=H","UseDPDF=Y")</f>
        <v>1612</v>
      </c>
      <c r="X7" s="19">
        <f>_xll.BDH("GILD US Equity","IS_OPER_INC","FQ1 2024","FQ1 2024","Currency=USD","Period=FQ","BEST_FPERIOD_OVERRIDE=FQ","FILING_STATUS=MR","SCALING_FORMAT=MLN","FA_ADJUSTED=GAAP","Sort=A","Dates=H","DateFormat=P","Fill=—","Direction=H","UseDPDF=Y")</f>
        <v>-4322</v>
      </c>
      <c r="Y7" s="19">
        <f>_xll.BDH("GILD US Equity","IS_OPER_INC","FQ2 2024","FQ2 2024","Currency=USD","Period=FQ","BEST_FPERIOD_OVERRIDE=FQ","FILING_STATUS=MR","SCALING_FORMAT=MLN","FA_ADJUSTED=GAAP","Sort=A","Dates=H","DateFormat=P","Fill=—","Direction=H","UseDPDF=Y")</f>
        <v>2644</v>
      </c>
      <c r="Z7" s="19">
        <f>_xll.BDH("GILD US Equity","IS_OPER_INC","FQ3 2024","FQ3 2024","Currency=USD","Period=FQ","BEST_FPERIOD_OVERRIDE=FQ","FILING_STATUS=MR","SCALING_FORMAT=MLN","FA_ADJUSTED=GAAP","Sort=A","Dates=H","DateFormat=P","Fill=—","Direction=H","UseDPDF=Y")</f>
        <v>888</v>
      </c>
      <c r="AA7" s="19">
        <f>_xll.BDH("GILD US Equity","IS_OPER_INC","FQ4 2024","FQ4 2024","Currency=USD","Period=FQ","BEST_FPERIOD_OVERRIDE=FQ","FILING_STATUS=MR","SCALING_FORMAT=MLN","FA_ADJUSTED=GAAP","Sort=A","Dates=H","DateFormat=P","Fill=—","Direction=H","UseDPDF=Y")</f>
        <v>2451</v>
      </c>
    </row>
    <row r="8" spans="1:27" x14ac:dyDescent="0.25">
      <c r="A8" s="10" t="s">
        <v>637</v>
      </c>
      <c r="B8" s="10" t="s">
        <v>638</v>
      </c>
      <c r="C8" s="13">
        <f>_xll.BDH("GILD US Equity","IS_REVENUE_ADJUSTMENTS","FQ4 2018","FQ4 2018","Currency=USD","Period=FQ","BEST_FPERIOD_OVERRIDE=FQ","FILING_STATUS=MR","SCALING_FORMAT=MLN","Sort=A","Dates=H","DateFormat=P","Fill=—","Direction=H","UseDPDF=Y")</f>
        <v>0</v>
      </c>
      <c r="D8" s="13">
        <f>_xll.BDH("GILD US Equity","IS_REVENUE_ADJUSTMENTS","FQ1 2019","FQ1 2019","Currency=USD","Period=FQ","BEST_FPERIOD_OVERRIDE=FQ","FILING_STATUS=MR","SCALING_FORMAT=MLN","Sort=A","Dates=H","DateFormat=P","Fill=—","Direction=H","UseDPDF=Y")</f>
        <v>0</v>
      </c>
      <c r="E8" s="13">
        <f>_xll.BDH("GILD US Equity","IS_REVENUE_ADJUSTMENTS","FQ2 2019","FQ2 2019","Currency=USD","Period=FQ","BEST_FPERIOD_OVERRIDE=FQ","FILING_STATUS=MR","SCALING_FORMAT=MLN","Sort=A","Dates=H","DateFormat=P","Fill=—","Direction=H","UseDPDF=Y")</f>
        <v>0</v>
      </c>
      <c r="F8" s="13">
        <f>_xll.BDH("GILD US Equity","IS_REVENUE_ADJUSTMENTS","FQ3 2019","FQ3 2019","Currency=USD","Period=FQ","BEST_FPERIOD_OVERRIDE=FQ","FILING_STATUS=MR","SCALING_FORMAT=MLN","Sort=A","Dates=H","DateFormat=P","Fill=—","Direction=H","UseDPDF=Y")</f>
        <v>0</v>
      </c>
      <c r="G8" s="13">
        <f>_xll.BDH("GILD US Equity","IS_REVENUE_ADJUSTMENTS","FQ4 2019","FQ4 2019","Currency=USD","Period=FQ","BEST_FPERIOD_OVERRIDE=FQ","FILING_STATUS=MR","SCALING_FORMAT=MLN","Sort=A","Dates=H","DateFormat=P","Fill=—","Direction=H","UseDPDF=Y")</f>
        <v>0</v>
      </c>
      <c r="H8" s="13">
        <f>_xll.BDH("GILD US Equity","IS_REVENUE_ADJUSTMENTS","FQ1 2020","FQ1 2020","Currency=USD","Period=FQ","BEST_FPERIOD_OVERRIDE=FQ","FILING_STATUS=MR","SCALING_FORMAT=MLN","Sort=A","Dates=H","DateFormat=P","Fill=—","Direction=H","UseDPDF=Y")</f>
        <v>0</v>
      </c>
      <c r="I8" s="13">
        <f>_xll.BDH("GILD US Equity","IS_REVENUE_ADJUSTMENTS","FQ2 2020","FQ2 2020","Currency=USD","Period=FQ","BEST_FPERIOD_OVERRIDE=FQ","FILING_STATUS=MR","SCALING_FORMAT=MLN","Sort=A","Dates=H","DateFormat=P","Fill=—","Direction=H","UseDPDF=Y")</f>
        <v>0</v>
      </c>
      <c r="J8" s="13">
        <f>_xll.BDH("GILD US Equity","IS_REVENUE_ADJUSTMENTS","FQ3 2020","FQ3 2020","Currency=USD","Period=FQ","BEST_FPERIOD_OVERRIDE=FQ","FILING_STATUS=MR","SCALING_FORMAT=MLN","Sort=A","Dates=H","DateFormat=P","Fill=—","Direction=H","UseDPDF=Y")</f>
        <v>0</v>
      </c>
      <c r="K8" s="13">
        <f>_xll.BDH("GILD US Equity","IS_REVENUE_ADJUSTMENTS","FQ4 2020","FQ4 2020","Currency=USD","Period=FQ","BEST_FPERIOD_OVERRIDE=FQ","FILING_STATUS=MR","SCALING_FORMAT=MLN","Sort=A","Dates=H","DateFormat=P","Fill=—","Direction=H","UseDPDF=Y")</f>
        <v>0</v>
      </c>
      <c r="L8" s="13">
        <f>_xll.BDH("GILD US Equity","IS_REVENUE_ADJUSTMENTS","FQ1 2021","FQ1 2021","Currency=USD","Period=FQ","BEST_FPERIOD_OVERRIDE=FQ","FILING_STATUS=MR","SCALING_FORMAT=MLN","Sort=A","Dates=H","DateFormat=P","Fill=—","Direction=H","UseDPDF=Y")</f>
        <v>0</v>
      </c>
      <c r="M8" s="13">
        <f>_xll.BDH("GILD US Equity","IS_REVENUE_ADJUSTMENTS","FQ2 2021","FQ2 2021","Currency=USD","Period=FQ","BEST_FPERIOD_OVERRIDE=FQ","FILING_STATUS=MR","SCALING_FORMAT=MLN","Sort=A","Dates=H","DateFormat=P","Fill=—","Direction=H","UseDPDF=Y")</f>
        <v>0</v>
      </c>
      <c r="N8" s="13">
        <f>_xll.BDH("GILD US Equity","IS_REVENUE_ADJUSTMENTS","FQ3 2021","FQ3 2021","Currency=USD","Period=FQ","BEST_FPERIOD_OVERRIDE=FQ","FILING_STATUS=MR","SCALING_FORMAT=MLN","Sort=A","Dates=H","DateFormat=P","Fill=—","Direction=H","UseDPDF=Y")</f>
        <v>0</v>
      </c>
      <c r="O8" s="13">
        <f>_xll.BDH("GILD US Equity","IS_REVENUE_ADJUSTMENTS","FQ4 2021","FQ4 2021","Currency=USD","Period=FQ","BEST_FPERIOD_OVERRIDE=FQ","FILING_STATUS=MR","SCALING_FORMAT=MLN","Sort=A","Dates=H","DateFormat=P","Fill=—","Direction=H","UseDPDF=Y")</f>
        <v>0</v>
      </c>
      <c r="P8" s="13">
        <f>_xll.BDH("GILD US Equity","IS_REVENUE_ADJUSTMENTS","FQ1 2022","FQ1 2022","Currency=USD","Period=FQ","BEST_FPERIOD_OVERRIDE=FQ","FILING_STATUS=MR","SCALING_FORMAT=MLN","Sort=A","Dates=H","DateFormat=P","Fill=—","Direction=H","UseDPDF=Y")</f>
        <v>0</v>
      </c>
      <c r="Q8" s="13">
        <f>_xll.BDH("GILD US Equity","IS_REVENUE_ADJUSTMENTS","FQ2 2022","FQ2 2022","Currency=USD","Period=FQ","BEST_FPERIOD_OVERRIDE=FQ","FILING_STATUS=MR","SCALING_FORMAT=MLN","Sort=A","Dates=H","DateFormat=P","Fill=—","Direction=H","UseDPDF=Y")</f>
        <v>0</v>
      </c>
      <c r="R8" s="13">
        <f>_xll.BDH("GILD US Equity","IS_REVENUE_ADJUSTMENTS","FQ3 2022","FQ3 2022","Currency=USD","Period=FQ","BEST_FPERIOD_OVERRIDE=FQ","FILING_STATUS=MR","SCALING_FORMAT=MLN","Sort=A","Dates=H","DateFormat=P","Fill=—","Direction=H","UseDPDF=Y")</f>
        <v>0</v>
      </c>
      <c r="S8" s="13">
        <f>_xll.BDH("GILD US Equity","IS_REVENUE_ADJUSTMENTS","FQ4 2022","FQ4 2022","Currency=USD","Period=FQ","BEST_FPERIOD_OVERRIDE=FQ","FILING_STATUS=MR","SCALING_FORMAT=MLN","Sort=A","Dates=H","DateFormat=P","Fill=—","Direction=H","UseDPDF=Y")</f>
        <v>0</v>
      </c>
      <c r="T8" s="13">
        <f>_xll.BDH("GILD US Equity","IS_REVENUE_ADJUSTMENTS","FQ1 2023","FQ1 2023","Currency=USD","Period=FQ","BEST_FPERIOD_OVERRIDE=FQ","FILING_STATUS=MR","SCALING_FORMAT=MLN","Sort=A","Dates=H","DateFormat=P","Fill=—","Direction=H","UseDPDF=Y")</f>
        <v>0</v>
      </c>
      <c r="U8" s="13">
        <f>_xll.BDH("GILD US Equity","IS_REVENUE_ADJUSTMENTS","FQ2 2023","FQ2 2023","Currency=USD","Period=FQ","BEST_FPERIOD_OVERRIDE=FQ","FILING_STATUS=MR","SCALING_FORMAT=MLN","Sort=A","Dates=H","DateFormat=P","Fill=—","Direction=H","UseDPDF=Y")</f>
        <v>0</v>
      </c>
      <c r="V8" s="13">
        <f>_xll.BDH("GILD US Equity","IS_REVENUE_ADJUSTMENTS","FQ3 2023","FQ3 2023","Currency=USD","Period=FQ","BEST_FPERIOD_OVERRIDE=FQ","FILING_STATUS=MR","SCALING_FORMAT=MLN","Sort=A","Dates=H","DateFormat=P","Fill=—","Direction=H","UseDPDF=Y")</f>
        <v>0</v>
      </c>
      <c r="W8" s="13">
        <f>_xll.BDH("GILD US Equity","IS_REVENUE_ADJUSTMENTS","FQ4 2023","FQ4 2023","Currency=USD","Period=FQ","BEST_FPERIOD_OVERRIDE=FQ","FILING_STATUS=MR","SCALING_FORMAT=MLN","Sort=A","Dates=H","DateFormat=P","Fill=—","Direction=H","UseDPDF=Y")</f>
        <v>0</v>
      </c>
      <c r="X8" s="13">
        <f>_xll.BDH("GILD US Equity","IS_REVENUE_ADJUSTMENTS","FQ1 2024","FQ1 2024","Currency=USD","Period=FQ","BEST_FPERIOD_OVERRIDE=FQ","FILING_STATUS=MR","SCALING_FORMAT=MLN","Sort=A","Dates=H","DateFormat=P","Fill=—","Direction=H","UseDPDF=Y")</f>
        <v>0</v>
      </c>
      <c r="Y8" s="13">
        <f>_xll.BDH("GILD US Equity","IS_REVENUE_ADJUSTMENTS","FQ2 2024","FQ2 2024","Currency=USD","Period=FQ","BEST_FPERIOD_OVERRIDE=FQ","FILING_STATUS=MR","SCALING_FORMAT=MLN","Sort=A","Dates=H","DateFormat=P","Fill=—","Direction=H","UseDPDF=Y")</f>
        <v>0</v>
      </c>
      <c r="Z8" s="13">
        <f>_xll.BDH("GILD US Equity","IS_REVENUE_ADJUSTMENTS","FQ3 2024","FQ3 2024","Currency=USD","Period=FQ","BEST_FPERIOD_OVERRIDE=FQ","FILING_STATUS=MR","SCALING_FORMAT=MLN","Sort=A","Dates=H","DateFormat=P","Fill=—","Direction=H","UseDPDF=Y")</f>
        <v>0</v>
      </c>
      <c r="AA8" s="13">
        <f>_xll.BDH("GILD US Equity","IS_REVENUE_ADJUSTMENTS","FQ4 2024","FQ4 2024","Currency=USD","Period=FQ","BEST_FPERIOD_OVERRIDE=FQ","FILING_STATUS=MR","SCALING_FORMAT=MLN","Sort=A","Dates=H","DateFormat=P","Fill=—","Direction=H","UseDPDF=Y")</f>
        <v>0</v>
      </c>
    </row>
    <row r="9" spans="1:27" x14ac:dyDescent="0.25">
      <c r="A9" s="10" t="s">
        <v>639</v>
      </c>
      <c r="B9" s="10" t="s">
        <v>640</v>
      </c>
      <c r="C9" s="13">
        <f>_xll.BDH("GILD US Equity","IS_COST_OF_REVENUE_ADJUSTMENTS","FQ4 2018","FQ4 2018","Currency=USD","Period=FQ","BEST_FPERIOD_OVERRIDE=FQ","FILING_STATUS=MR","SCALING_FORMAT=MLN","Sort=A","Dates=H","DateFormat=P","Fill=—","Direction=H","UseDPDF=Y")</f>
        <v>0</v>
      </c>
      <c r="D9" s="13">
        <f>_xll.BDH("GILD US Equity","IS_COST_OF_REVENUE_ADJUSTMENTS","FQ1 2019","FQ1 2019","Currency=USD","Period=FQ","BEST_FPERIOD_OVERRIDE=FQ","FILING_STATUS=MR","SCALING_FORMAT=MLN","Sort=A","Dates=H","DateFormat=P","Fill=—","Direction=H","UseDPDF=Y")</f>
        <v>0</v>
      </c>
      <c r="E9" s="13">
        <f>_xll.BDH("GILD US Equity","IS_COST_OF_REVENUE_ADJUSTMENTS","FQ2 2019","FQ2 2019","Currency=USD","Period=FQ","BEST_FPERIOD_OVERRIDE=FQ","FILING_STATUS=MR","SCALING_FORMAT=MLN","Sort=A","Dates=H","DateFormat=P","Fill=—","Direction=H","UseDPDF=Y")</f>
        <v>0</v>
      </c>
      <c r="F9" s="13">
        <f>_xll.BDH("GILD US Equity","IS_COST_OF_REVENUE_ADJUSTMENTS","FQ3 2019","FQ3 2019","Currency=USD","Period=FQ","BEST_FPERIOD_OVERRIDE=FQ","FILING_STATUS=MR","SCALING_FORMAT=MLN","Sort=A","Dates=H","DateFormat=P","Fill=—","Direction=H","UseDPDF=Y")</f>
        <v>0</v>
      </c>
      <c r="G9" s="13">
        <f>_xll.BDH("GILD US Equity","IS_COST_OF_REVENUE_ADJUSTMENTS","FQ4 2019","FQ4 2019","Currency=USD","Period=FQ","BEST_FPERIOD_OVERRIDE=FQ","FILING_STATUS=MR","SCALING_FORMAT=MLN","Sort=A","Dates=H","DateFormat=P","Fill=—","Direction=H","UseDPDF=Y")</f>
        <v>0</v>
      </c>
      <c r="H9" s="13">
        <f>_xll.BDH("GILD US Equity","IS_COST_OF_REVENUE_ADJUSTMENTS","FQ1 2020","FQ1 2020","Currency=USD","Period=FQ","BEST_FPERIOD_OVERRIDE=FQ","FILING_STATUS=MR","SCALING_FORMAT=MLN","Sort=A","Dates=H","DateFormat=P","Fill=—","Direction=H","UseDPDF=Y")</f>
        <v>0</v>
      </c>
      <c r="I9" s="13">
        <f>_xll.BDH("GILD US Equity","IS_COST_OF_REVENUE_ADJUSTMENTS","FQ2 2020","FQ2 2020","Currency=USD","Period=FQ","BEST_FPERIOD_OVERRIDE=FQ","FILING_STATUS=MR","SCALING_FORMAT=MLN","Sort=A","Dates=H","DateFormat=P","Fill=—","Direction=H","UseDPDF=Y")</f>
        <v>0</v>
      </c>
      <c r="J9" s="13">
        <f>_xll.BDH("GILD US Equity","IS_COST_OF_REVENUE_ADJUSTMENTS","FQ3 2020","FQ3 2020","Currency=USD","Period=FQ","BEST_FPERIOD_OVERRIDE=FQ","FILING_STATUS=MR","SCALING_FORMAT=MLN","Sort=A","Dates=H","DateFormat=P","Fill=—","Direction=H","UseDPDF=Y")</f>
        <v>0</v>
      </c>
      <c r="K9" s="13">
        <f>_xll.BDH("GILD US Equity","IS_COST_OF_REVENUE_ADJUSTMENTS","FQ4 2020","FQ4 2020","Currency=USD","Period=FQ","BEST_FPERIOD_OVERRIDE=FQ","FILING_STATUS=MR","SCALING_FORMAT=MLN","Sort=A","Dates=H","DateFormat=P","Fill=—","Direction=H","UseDPDF=Y")</f>
        <v>0</v>
      </c>
      <c r="L9" s="13">
        <f>_xll.BDH("GILD US Equity","IS_COST_OF_REVENUE_ADJUSTMENTS","FQ1 2021","FQ1 2021","Currency=USD","Period=FQ","BEST_FPERIOD_OVERRIDE=FQ","FILING_STATUS=MR","SCALING_FORMAT=MLN","Sort=A","Dates=H","DateFormat=P","Fill=—","Direction=H","UseDPDF=Y")</f>
        <v>0</v>
      </c>
      <c r="M9" s="13">
        <f>_xll.BDH("GILD US Equity","IS_COST_OF_REVENUE_ADJUSTMENTS","FQ2 2021","FQ2 2021","Currency=USD","Period=FQ","BEST_FPERIOD_OVERRIDE=FQ","FILING_STATUS=MR","SCALING_FORMAT=MLN","Sort=A","Dates=H","DateFormat=P","Fill=—","Direction=H","UseDPDF=Y")</f>
        <v>0</v>
      </c>
      <c r="N9" s="13">
        <f>_xll.BDH("GILD US Equity","IS_COST_OF_REVENUE_ADJUSTMENTS","FQ3 2021","FQ3 2021","Currency=USD","Period=FQ","BEST_FPERIOD_OVERRIDE=FQ","FILING_STATUS=MR","SCALING_FORMAT=MLN","Sort=A","Dates=H","DateFormat=P","Fill=—","Direction=H","UseDPDF=Y")</f>
        <v>0</v>
      </c>
      <c r="O9" s="13">
        <f>_xll.BDH("GILD US Equity","IS_COST_OF_REVENUE_ADJUSTMENTS","FQ4 2021","FQ4 2021","Currency=USD","Period=FQ","BEST_FPERIOD_OVERRIDE=FQ","FILING_STATUS=MR","SCALING_FORMAT=MLN","Sort=A","Dates=H","DateFormat=P","Fill=—","Direction=H","UseDPDF=Y")</f>
        <v>0</v>
      </c>
      <c r="P9" s="13">
        <f>_xll.BDH("GILD US Equity","IS_COST_OF_REVENUE_ADJUSTMENTS","FQ1 2022","FQ1 2022","Currency=USD","Period=FQ","BEST_FPERIOD_OVERRIDE=FQ","FILING_STATUS=MR","SCALING_FORMAT=MLN","Sort=A","Dates=H","DateFormat=P","Fill=—","Direction=H","UseDPDF=Y")</f>
        <v>0</v>
      </c>
      <c r="Q9" s="13">
        <f>_xll.BDH("GILD US Equity","IS_COST_OF_REVENUE_ADJUSTMENTS","FQ2 2022","FQ2 2022","Currency=USD","Period=FQ","BEST_FPERIOD_OVERRIDE=FQ","FILING_STATUS=MR","SCALING_FORMAT=MLN","Sort=A","Dates=H","DateFormat=P","Fill=—","Direction=H","UseDPDF=Y")</f>
        <v>0</v>
      </c>
      <c r="R9" s="13">
        <f>_xll.BDH("GILD US Equity","IS_COST_OF_REVENUE_ADJUSTMENTS","FQ3 2022","FQ3 2022","Currency=USD","Period=FQ","BEST_FPERIOD_OVERRIDE=FQ","FILING_STATUS=MR","SCALING_FORMAT=MLN","Sort=A","Dates=H","DateFormat=P","Fill=—","Direction=H","UseDPDF=Y")</f>
        <v>0</v>
      </c>
      <c r="S9" s="13">
        <f>_xll.BDH("GILD US Equity","IS_COST_OF_REVENUE_ADJUSTMENTS","FQ4 2022","FQ4 2022","Currency=USD","Period=FQ","BEST_FPERIOD_OVERRIDE=FQ","FILING_STATUS=MR","SCALING_FORMAT=MLN","Sort=A","Dates=H","DateFormat=P","Fill=—","Direction=H","UseDPDF=Y")</f>
        <v>0</v>
      </c>
      <c r="T9" s="13">
        <f>_xll.BDH("GILD US Equity","IS_COST_OF_REVENUE_ADJUSTMENTS","FQ1 2023","FQ1 2023","Currency=USD","Period=FQ","BEST_FPERIOD_OVERRIDE=FQ","FILING_STATUS=MR","SCALING_FORMAT=MLN","Sort=A","Dates=H","DateFormat=P","Fill=—","Direction=H","UseDPDF=Y")</f>
        <v>0</v>
      </c>
      <c r="U9" s="13">
        <f>_xll.BDH("GILD US Equity","IS_COST_OF_REVENUE_ADJUSTMENTS","FQ2 2023","FQ2 2023","Currency=USD","Period=FQ","BEST_FPERIOD_OVERRIDE=FQ","FILING_STATUS=MR","SCALING_FORMAT=MLN","Sort=A","Dates=H","DateFormat=P","Fill=—","Direction=H","UseDPDF=Y")</f>
        <v>0</v>
      </c>
      <c r="V9" s="13">
        <f>_xll.BDH("GILD US Equity","IS_COST_OF_REVENUE_ADJUSTMENTS","FQ3 2023","FQ3 2023","Currency=USD","Period=FQ","BEST_FPERIOD_OVERRIDE=FQ","FILING_STATUS=MR","SCALING_FORMAT=MLN","Sort=A","Dates=H","DateFormat=P","Fill=—","Direction=H","UseDPDF=Y")</f>
        <v>0</v>
      </c>
      <c r="W9" s="13">
        <f>_xll.BDH("GILD US Equity","IS_COST_OF_REVENUE_ADJUSTMENTS","FQ4 2023","FQ4 2023","Currency=USD","Period=FQ","BEST_FPERIOD_OVERRIDE=FQ","FILING_STATUS=MR","SCALING_FORMAT=MLN","Sort=A","Dates=H","DateFormat=P","Fill=—","Direction=H","UseDPDF=Y")</f>
        <v>428</v>
      </c>
      <c r="X9" s="13">
        <f>_xll.BDH("GILD US Equity","IS_COST_OF_REVENUE_ADJUSTMENTS","FQ1 2024","FQ1 2024","Currency=USD","Period=FQ","BEST_FPERIOD_OVERRIDE=FQ","FILING_STATUS=MR","SCALING_FORMAT=MLN","Sort=A","Dates=H","DateFormat=P","Fill=—","Direction=H","UseDPDF=Y")</f>
        <v>0</v>
      </c>
      <c r="Y9" s="13">
        <f>_xll.BDH("GILD US Equity","IS_COST_OF_REVENUE_ADJUSTMENTS","FQ2 2024","FQ2 2024","Currency=USD","Period=FQ","BEST_FPERIOD_OVERRIDE=FQ","FILING_STATUS=MR","SCALING_FORMAT=MLN","Sort=A","Dates=H","DateFormat=P","Fill=—","Direction=H","UseDPDF=Y")</f>
        <v>0</v>
      </c>
      <c r="Z9" s="13">
        <f>_xll.BDH("GILD US Equity","IS_COST_OF_REVENUE_ADJUSTMENTS","FQ3 2024","FQ3 2024","Currency=USD","Period=FQ","BEST_FPERIOD_OVERRIDE=FQ","FILING_STATUS=MR","SCALING_FORMAT=MLN","Sort=A","Dates=H","DateFormat=P","Fill=—","Direction=H","UseDPDF=Y")</f>
        <v>0</v>
      </c>
      <c r="AA9" s="13">
        <f>_xll.BDH("GILD US Equity","IS_COST_OF_REVENUE_ADJUSTMENTS","FQ4 2024","FQ4 2024","Currency=USD","Period=FQ","BEST_FPERIOD_OVERRIDE=FQ","FILING_STATUS=MR","SCALING_FORMAT=MLN","Sort=A","Dates=H","DateFormat=P","Fill=—","Direction=H","UseDPDF=Y")</f>
        <v>0</v>
      </c>
    </row>
    <row r="10" spans="1:27" x14ac:dyDescent="0.25">
      <c r="A10" s="10" t="s">
        <v>641</v>
      </c>
      <c r="B10" s="10" t="s">
        <v>642</v>
      </c>
      <c r="C10" s="13">
        <f>_xll.BDH("GILD US Equity","IS_OTHER_OPER_INC_NONGAAP_ADJUST","FQ4 2018","FQ4 2018","Currency=USD","Period=FQ","BEST_FPERIOD_OVERRIDE=FQ","FILING_STATUS=MR","SCALING_FORMAT=MLN","Sort=A","Dates=H","DateFormat=P","Fill=—","Direction=H","UseDPDF=Y")</f>
        <v>0</v>
      </c>
      <c r="D10" s="13">
        <f>_xll.BDH("GILD US Equity","IS_OTHER_OPER_INC_NONGAAP_ADJUST","FQ1 2019","FQ1 2019","Currency=USD","Period=FQ","BEST_FPERIOD_OVERRIDE=FQ","FILING_STATUS=MR","SCALING_FORMAT=MLN","Sort=A","Dates=H","DateFormat=P","Fill=—","Direction=H","UseDPDF=Y")</f>
        <v>0</v>
      </c>
      <c r="E10" s="13">
        <f>_xll.BDH("GILD US Equity","IS_OTHER_OPER_INC_NONGAAP_ADJUST","FQ2 2019","FQ2 2019","Currency=USD","Period=FQ","BEST_FPERIOD_OVERRIDE=FQ","FILING_STATUS=MR","SCALING_FORMAT=MLN","Sort=A","Dates=H","DateFormat=P","Fill=—","Direction=H","UseDPDF=Y")</f>
        <v>0</v>
      </c>
      <c r="F10" s="13">
        <f>_xll.BDH("GILD US Equity","IS_OTHER_OPER_INC_NONGAAP_ADJUST","FQ3 2019","FQ3 2019","Currency=USD","Period=FQ","BEST_FPERIOD_OVERRIDE=FQ","FILING_STATUS=MR","SCALING_FORMAT=MLN","Sort=A","Dates=H","DateFormat=P","Fill=—","Direction=H","UseDPDF=Y")</f>
        <v>0</v>
      </c>
      <c r="G10" s="13">
        <f>_xll.BDH("GILD US Equity","IS_OTHER_OPER_INC_NONGAAP_ADJUST","FQ4 2019","FQ4 2019","Currency=USD","Period=FQ","BEST_FPERIOD_OVERRIDE=FQ","FILING_STATUS=MR","SCALING_FORMAT=MLN","Sort=A","Dates=H","DateFormat=P","Fill=—","Direction=H","UseDPDF=Y")</f>
        <v>0</v>
      </c>
      <c r="H10" s="13">
        <f>_xll.BDH("GILD US Equity","IS_OTHER_OPER_INC_NONGAAP_ADJUST","FQ1 2020","FQ1 2020","Currency=USD","Period=FQ","BEST_FPERIOD_OVERRIDE=FQ","FILING_STATUS=MR","SCALING_FORMAT=MLN","Sort=A","Dates=H","DateFormat=P","Fill=—","Direction=H","UseDPDF=Y")</f>
        <v>0</v>
      </c>
      <c r="I10" s="13">
        <f>_xll.BDH("GILD US Equity","IS_OTHER_OPER_INC_NONGAAP_ADJUST","FQ2 2020","FQ2 2020","Currency=USD","Period=FQ","BEST_FPERIOD_OVERRIDE=FQ","FILING_STATUS=MR","SCALING_FORMAT=MLN","Sort=A","Dates=H","DateFormat=P","Fill=—","Direction=H","UseDPDF=Y")</f>
        <v>0</v>
      </c>
      <c r="J10" s="13">
        <f>_xll.BDH("GILD US Equity","IS_OTHER_OPER_INC_NONGAAP_ADJUST","FQ3 2020","FQ3 2020","Currency=USD","Period=FQ","BEST_FPERIOD_OVERRIDE=FQ","FILING_STATUS=MR","SCALING_FORMAT=MLN","Sort=A","Dates=H","DateFormat=P","Fill=—","Direction=H","UseDPDF=Y")</f>
        <v>0</v>
      </c>
      <c r="K10" s="13">
        <f>_xll.BDH("GILD US Equity","IS_OTHER_OPER_INC_NONGAAP_ADJUST","FQ4 2020","FQ4 2020","Currency=USD","Period=FQ","BEST_FPERIOD_OVERRIDE=FQ","FILING_STATUS=MR","SCALING_FORMAT=MLN","Sort=A","Dates=H","DateFormat=P","Fill=—","Direction=H","UseDPDF=Y")</f>
        <v>0</v>
      </c>
      <c r="L10" s="13">
        <f>_xll.BDH("GILD US Equity","IS_OTHER_OPER_INC_NONGAAP_ADJUST","FQ1 2021","FQ1 2021","Currency=USD","Period=FQ","BEST_FPERIOD_OVERRIDE=FQ","FILING_STATUS=MR","SCALING_FORMAT=MLN","Sort=A","Dates=H","DateFormat=P","Fill=—","Direction=H","UseDPDF=Y")</f>
        <v>0</v>
      </c>
      <c r="M10" s="13">
        <f>_xll.BDH("GILD US Equity","IS_OTHER_OPER_INC_NONGAAP_ADJUST","FQ2 2021","FQ2 2021","Currency=USD","Period=FQ","BEST_FPERIOD_OVERRIDE=FQ","FILING_STATUS=MR","SCALING_FORMAT=MLN","Sort=A","Dates=H","DateFormat=P","Fill=—","Direction=H","UseDPDF=Y")</f>
        <v>0</v>
      </c>
      <c r="N10" s="13">
        <f>_xll.BDH("GILD US Equity","IS_OTHER_OPER_INC_NONGAAP_ADJUST","FQ3 2021","FQ3 2021","Currency=USD","Period=FQ","BEST_FPERIOD_OVERRIDE=FQ","FILING_STATUS=MR","SCALING_FORMAT=MLN","Sort=A","Dates=H","DateFormat=P","Fill=—","Direction=H","UseDPDF=Y")</f>
        <v>0</v>
      </c>
      <c r="O10" s="13">
        <f>_xll.BDH("GILD US Equity","IS_OTHER_OPER_INC_NONGAAP_ADJUST","FQ4 2021","FQ4 2021","Currency=USD","Period=FQ","BEST_FPERIOD_OVERRIDE=FQ","FILING_STATUS=MR","SCALING_FORMAT=MLN","Sort=A","Dates=H","DateFormat=P","Fill=—","Direction=H","UseDPDF=Y")</f>
        <v>0</v>
      </c>
      <c r="P10" s="13">
        <f>_xll.BDH("GILD US Equity","IS_OTHER_OPER_INC_NONGAAP_ADJUST","FQ1 2022","FQ1 2022","Currency=USD","Period=FQ","BEST_FPERIOD_OVERRIDE=FQ","FILING_STATUS=MR","SCALING_FORMAT=MLN","Sort=A","Dates=H","DateFormat=P","Fill=—","Direction=H","UseDPDF=Y")</f>
        <v>0</v>
      </c>
      <c r="Q10" s="13">
        <f>_xll.BDH("GILD US Equity","IS_OTHER_OPER_INC_NONGAAP_ADJUST","FQ2 2022","FQ2 2022","Currency=USD","Period=FQ","BEST_FPERIOD_OVERRIDE=FQ","FILING_STATUS=MR","SCALING_FORMAT=MLN","Sort=A","Dates=H","DateFormat=P","Fill=—","Direction=H","UseDPDF=Y")</f>
        <v>0</v>
      </c>
      <c r="R10" s="13">
        <f>_xll.BDH("GILD US Equity","IS_OTHER_OPER_INC_NONGAAP_ADJUST","FQ3 2022","FQ3 2022","Currency=USD","Period=FQ","BEST_FPERIOD_OVERRIDE=FQ","FILING_STATUS=MR","SCALING_FORMAT=MLN","Sort=A","Dates=H","DateFormat=P","Fill=—","Direction=H","UseDPDF=Y")</f>
        <v>0</v>
      </c>
      <c r="S10" s="13">
        <f>_xll.BDH("GILD US Equity","IS_OTHER_OPER_INC_NONGAAP_ADJUST","FQ4 2022","FQ4 2022","Currency=USD","Period=FQ","BEST_FPERIOD_OVERRIDE=FQ","FILING_STATUS=MR","SCALING_FORMAT=MLN","Sort=A","Dates=H","DateFormat=P","Fill=—","Direction=H","UseDPDF=Y")</f>
        <v>0</v>
      </c>
      <c r="T10" s="13">
        <f>_xll.BDH("GILD US Equity","IS_OTHER_OPER_INC_NONGAAP_ADJUST","FQ1 2023","FQ1 2023","Currency=USD","Period=FQ","BEST_FPERIOD_OVERRIDE=FQ","FILING_STATUS=MR","SCALING_FORMAT=MLN","Sort=A","Dates=H","DateFormat=P","Fill=—","Direction=H","UseDPDF=Y")</f>
        <v>0</v>
      </c>
      <c r="U10" s="13">
        <f>_xll.BDH("GILD US Equity","IS_OTHER_OPER_INC_NONGAAP_ADJUST","FQ2 2023","FQ2 2023","Currency=USD","Period=FQ","BEST_FPERIOD_OVERRIDE=FQ","FILING_STATUS=MR","SCALING_FORMAT=MLN","Sort=A","Dates=H","DateFormat=P","Fill=—","Direction=H","UseDPDF=Y")</f>
        <v>0</v>
      </c>
      <c r="V10" s="13">
        <f>_xll.BDH("GILD US Equity","IS_OTHER_OPER_INC_NONGAAP_ADJUST","FQ3 2023","FQ3 2023","Currency=USD","Period=FQ","BEST_FPERIOD_OVERRIDE=FQ","FILING_STATUS=MR","SCALING_FORMAT=MLN","Sort=A","Dates=H","DateFormat=P","Fill=—","Direction=H","UseDPDF=Y")</f>
        <v>0</v>
      </c>
      <c r="W10" s="13">
        <f>_xll.BDH("GILD US Equity","IS_OTHER_OPER_INC_NONGAAP_ADJUST","FQ4 2023","FQ4 2023","Currency=USD","Period=FQ","BEST_FPERIOD_OVERRIDE=FQ","FILING_STATUS=MR","SCALING_FORMAT=MLN","Sort=A","Dates=H","DateFormat=P","Fill=—","Direction=H","UseDPDF=Y")</f>
        <v>0</v>
      </c>
      <c r="X10" s="13">
        <f>_xll.BDH("GILD US Equity","IS_OTHER_OPER_INC_NONGAAP_ADJUST","FQ1 2024","FQ1 2024","Currency=USD","Period=FQ","BEST_FPERIOD_OVERRIDE=FQ","FILING_STATUS=MR","SCALING_FORMAT=MLN","Sort=A","Dates=H","DateFormat=P","Fill=—","Direction=H","UseDPDF=Y")</f>
        <v>0</v>
      </c>
      <c r="Y10" s="13">
        <f>_xll.BDH("GILD US Equity","IS_OTHER_OPER_INC_NONGAAP_ADJUST","FQ2 2024","FQ2 2024","Currency=USD","Period=FQ","BEST_FPERIOD_OVERRIDE=FQ","FILING_STATUS=MR","SCALING_FORMAT=MLN","Sort=A","Dates=H","DateFormat=P","Fill=—","Direction=H","UseDPDF=Y")</f>
        <v>0</v>
      </c>
      <c r="Z10" s="13">
        <f>_xll.BDH("GILD US Equity","IS_OTHER_OPER_INC_NONGAAP_ADJUST","FQ3 2024","FQ3 2024","Currency=USD","Period=FQ","BEST_FPERIOD_OVERRIDE=FQ","FILING_STATUS=MR","SCALING_FORMAT=MLN","Sort=A","Dates=H","DateFormat=P","Fill=—","Direction=H","UseDPDF=Y")</f>
        <v>0</v>
      </c>
      <c r="AA10" s="13">
        <f>_xll.BDH("GILD US Equity","IS_OTHER_OPER_INC_NONGAAP_ADJUST","FQ4 2024","FQ4 2024","Currency=USD","Period=FQ","BEST_FPERIOD_OVERRIDE=FQ","FILING_STATUS=MR","SCALING_FORMAT=MLN","Sort=A","Dates=H","DateFormat=P","Fill=—","Direction=H","UseDPDF=Y")</f>
        <v>0</v>
      </c>
    </row>
    <row r="11" spans="1:27" x14ac:dyDescent="0.25">
      <c r="A11" s="10" t="s">
        <v>643</v>
      </c>
      <c r="B11" s="10" t="s">
        <v>644</v>
      </c>
      <c r="C11" s="13">
        <f>_xll.BDH("GILD US Equity","IS_SGA_ADJ","FQ4 2018","FQ4 2018","Currency=USD","Period=FQ","BEST_FPERIOD_OVERRIDE=FQ","FILING_STATUS=MR","SCALING_FORMAT=MLN","Sort=A","Dates=H","DateFormat=P","Fill=—","Direction=H","UseDPDF=Y")</f>
        <v>11</v>
      </c>
      <c r="D11" s="13">
        <f>_xll.BDH("GILD US Equity","IS_SGA_ADJ","FQ1 2019","FQ1 2019","Currency=USD","Period=FQ","BEST_FPERIOD_OVERRIDE=FQ","FILING_STATUS=MR","SCALING_FORMAT=MLN","Sort=A","Dates=H","DateFormat=P","Fill=—","Direction=H","UseDPDF=Y")</f>
        <v>0</v>
      </c>
      <c r="E11" s="13">
        <f>_xll.BDH("GILD US Equity","IS_SGA_ADJ","FQ2 2019","FQ2 2019","Currency=USD","Period=FQ","BEST_FPERIOD_OVERRIDE=FQ","FILING_STATUS=MR","SCALING_FORMAT=MLN","Sort=A","Dates=H","DateFormat=P","Fill=—","Direction=H","UseDPDF=Y")</f>
        <v>-1</v>
      </c>
      <c r="F11" s="13">
        <f>_xll.BDH("GILD US Equity","IS_SGA_ADJ","FQ3 2019","FQ3 2019","Currency=USD","Period=FQ","BEST_FPERIOD_OVERRIDE=FQ","FILING_STATUS=MR","SCALING_FORMAT=MLN","Sort=A","Dates=H","DateFormat=P","Fill=—","Direction=H","UseDPDF=Y")</f>
        <v>7</v>
      </c>
      <c r="G11" s="13">
        <f>_xll.BDH("GILD US Equity","IS_SGA_ADJ","FQ4 2019","FQ4 2019","Currency=USD","Period=FQ","BEST_FPERIOD_OVERRIDE=FQ","FILING_STATUS=MR","SCALING_FORMAT=MLN","Sort=A","Dates=H","DateFormat=P","Fill=—","Direction=H","UseDPDF=Y")</f>
        <v>0</v>
      </c>
      <c r="H11" s="13">
        <f>_xll.BDH("GILD US Equity","IS_SGA_ADJ","FQ1 2020","FQ1 2020","Currency=USD","Period=FQ","BEST_FPERIOD_OVERRIDE=FQ","FILING_STATUS=MR","SCALING_FORMAT=MLN","Sort=A","Dates=H","DateFormat=P","Fill=—","Direction=H","UseDPDF=Y")</f>
        <v>0</v>
      </c>
      <c r="I11" s="13">
        <f>_xll.BDH("GILD US Equity","IS_SGA_ADJ","FQ2 2020","FQ2 2020","Currency=USD","Period=FQ","BEST_FPERIOD_OVERRIDE=FQ","FILING_STATUS=MR","SCALING_FORMAT=MLN","Sort=A","Dates=H","DateFormat=P","Fill=—","Direction=H","UseDPDF=Y")</f>
        <v>75</v>
      </c>
      <c r="J11" s="13">
        <f>_xll.BDH("GILD US Equity","IS_SGA_ADJ","FQ3 2020","FQ3 2020","Currency=USD","Period=FQ","BEST_FPERIOD_OVERRIDE=FQ","FILING_STATUS=MR","SCALING_FORMAT=MLN","Sort=A","Dates=H","DateFormat=P","Fill=—","Direction=H","UseDPDF=Y")</f>
        <v>11</v>
      </c>
      <c r="K11" s="13">
        <f>_xll.BDH("GILD US Equity","IS_SGA_ADJ","FQ4 2020","FQ4 2020","Currency=USD","Period=FQ","BEST_FPERIOD_OVERRIDE=FQ","FILING_STATUS=MR","SCALING_FORMAT=MLN","Sort=A","Dates=H","DateFormat=P","Fill=—","Direction=H","UseDPDF=Y")</f>
        <v>231</v>
      </c>
      <c r="L11" s="13">
        <f>_xll.BDH("GILD US Equity","IS_SGA_ADJ","FQ1 2021","FQ1 2021","Currency=USD","Period=FQ","BEST_FPERIOD_OVERRIDE=FQ","FILING_STATUS=MR","SCALING_FORMAT=MLN","Sort=A","Dates=H","DateFormat=P","Fill=—","Direction=H","UseDPDF=Y")</f>
        <v>22</v>
      </c>
      <c r="M11" s="13">
        <f>_xll.BDH("GILD US Equity","IS_SGA_ADJ","FQ2 2021","FQ2 2021","Currency=USD","Period=FQ","BEST_FPERIOD_OVERRIDE=FQ","FILING_STATUS=MR","SCALING_FORMAT=MLN","Sort=A","Dates=H","DateFormat=P","Fill=—","Direction=H","UseDPDF=Y")</f>
        <v>230</v>
      </c>
      <c r="N11" s="13">
        <f>_xll.BDH("GILD US Equity","IS_SGA_ADJ","FQ3 2021","FQ3 2021","Currency=USD","Period=FQ","BEST_FPERIOD_OVERRIDE=FQ","FILING_STATUS=MR","SCALING_FORMAT=MLN","Sort=A","Dates=H","DateFormat=P","Fill=—","Direction=H","UseDPDF=Y")</f>
        <v>12</v>
      </c>
      <c r="O11" s="13">
        <f>_xll.BDH("GILD US Equity","IS_SGA_ADJ","FQ4 2021","FQ4 2021","Currency=USD","Period=FQ","BEST_FPERIOD_OVERRIDE=FQ","FILING_STATUS=MR","SCALING_FORMAT=MLN","Sort=A","Dates=H","DateFormat=P","Fill=—","Direction=H","UseDPDF=Y")</f>
        <v>0</v>
      </c>
      <c r="P11" s="13">
        <f>_xll.BDH("GILD US Equity","IS_SGA_ADJ","FQ1 2022","FQ1 2022","Currency=USD","Period=FQ","BEST_FPERIOD_OVERRIDE=FQ","FILING_STATUS=MR","SCALING_FORMAT=MLN","Sort=A","Dates=H","DateFormat=P","Fill=—","Direction=H","UseDPDF=Y")</f>
        <v>10</v>
      </c>
      <c r="Q11" s="13">
        <f>_xll.BDH("GILD US Equity","IS_SGA_ADJ","FQ2 2022","FQ2 2022","Currency=USD","Period=FQ","BEST_FPERIOD_OVERRIDE=FQ","FILING_STATUS=MR","SCALING_FORMAT=MLN","Sort=A","Dates=H","DateFormat=P","Fill=—","Direction=H","UseDPDF=Y")</f>
        <v>85</v>
      </c>
      <c r="R11" s="13">
        <f>_xll.BDH("GILD US Equity","IS_SGA_ADJ","FQ3 2022","FQ3 2022","Currency=USD","Period=FQ","BEST_FPERIOD_OVERRIDE=FQ","FILING_STATUS=MR","SCALING_FORMAT=MLN","Sort=A","Dates=H","DateFormat=P","Fill=—","Direction=H","UseDPDF=Y")</f>
        <v>1</v>
      </c>
      <c r="S11" s="13">
        <f>_xll.BDH("GILD US Equity","IS_SGA_ADJ","FQ4 2022","FQ4 2022","Currency=USD","Period=FQ","BEST_FPERIOD_OVERRIDE=FQ","FILING_STATUS=MR","SCALING_FORMAT=MLN","Sort=A","Dates=H","DateFormat=P","Fill=—","Direction=H","UseDPDF=Y")</f>
        <v>0</v>
      </c>
      <c r="T11" s="13">
        <f>_xll.BDH("GILD US Equity","IS_SGA_ADJ","FQ1 2023","FQ1 2023","Currency=USD","Period=FQ","BEST_FPERIOD_OVERRIDE=FQ","FILING_STATUS=MR","SCALING_FORMAT=MLN","Sort=A","Dates=H","DateFormat=P","Fill=—","Direction=H","UseDPDF=Y")</f>
        <v>6</v>
      </c>
      <c r="U11" s="13">
        <f>_xll.BDH("GILD US Equity","IS_SGA_ADJ","FQ2 2023","FQ2 2023","Currency=USD","Period=FQ","BEST_FPERIOD_OVERRIDE=FQ","FILING_STATUS=MR","SCALING_FORMAT=MLN","Sort=A","Dates=H","DateFormat=P","Fill=—","Direction=H","UseDPDF=Y")</f>
        <v>27</v>
      </c>
      <c r="V11" s="13">
        <f>_xll.BDH("GILD US Equity","IS_SGA_ADJ","FQ3 2023","FQ3 2023","Currency=USD","Period=FQ","BEST_FPERIOD_OVERRIDE=FQ","FILING_STATUS=MR","SCALING_FORMAT=MLN","Sort=A","Dates=H","DateFormat=P","Fill=—","Direction=H","UseDPDF=Y")</f>
        <v>17</v>
      </c>
      <c r="W11" s="13">
        <f>_xll.BDH("GILD US Equity","IS_SGA_ADJ","FQ4 2023","FQ4 2023","Currency=USD","Period=FQ","BEST_FPERIOD_OVERRIDE=FQ","FILING_STATUS=MR","SCALING_FORMAT=MLN","Sort=A","Dates=H","DateFormat=P","Fill=—","Direction=H","UseDPDF=Y")</f>
        <v>0</v>
      </c>
      <c r="X11" s="13">
        <f>_xll.BDH("GILD US Equity","IS_SGA_ADJ","FQ1 2024","FQ1 2024","Currency=USD","Period=FQ","BEST_FPERIOD_OVERRIDE=FQ","FILING_STATUS=MR","SCALING_FORMAT=MLN","Sort=A","Dates=H","DateFormat=P","Fill=—","Direction=H","UseDPDF=Y")</f>
        <v>80</v>
      </c>
      <c r="Y11" s="13">
        <f>_xll.BDH("GILD US Equity","IS_SGA_ADJ","FQ2 2024","FQ2 2024","Currency=USD","Period=FQ","BEST_FPERIOD_OVERRIDE=FQ","FILING_STATUS=MR","SCALING_FORMAT=MLN","Sort=A","Dates=H","DateFormat=P","Fill=—","Direction=H","UseDPDF=Y")</f>
        <v>22</v>
      </c>
      <c r="Z11" s="13">
        <f>_xll.BDH("GILD US Equity","IS_SGA_ADJ","FQ3 2024","FQ3 2024","Currency=USD","Period=FQ","BEST_FPERIOD_OVERRIDE=FQ","FILING_STATUS=MR","SCALING_FORMAT=MLN","Sort=A","Dates=H","DateFormat=P","Fill=—","Direction=H","UseDPDF=Y")</f>
        <v>28</v>
      </c>
      <c r="AA11" s="13">
        <f>_xll.BDH("GILD US Equity","IS_SGA_ADJ","FQ4 2024","FQ4 2024","Currency=USD","Period=FQ","BEST_FPERIOD_OVERRIDE=FQ","FILING_STATUS=MR","SCALING_FORMAT=MLN","Sort=A","Dates=H","DateFormat=P","Fill=—","Direction=H","UseDPDF=Y")</f>
        <v>54</v>
      </c>
    </row>
    <row r="12" spans="1:27" x14ac:dyDescent="0.25">
      <c r="A12" s="10" t="s">
        <v>645</v>
      </c>
      <c r="B12" s="10" t="s">
        <v>646</v>
      </c>
      <c r="C12" s="13">
        <f>_xll.BDH("GILD US Equity","IS_RD_EXPENSE_NON_GAAP_ADJ","FQ4 2018","FQ4 2018","Currency=USD","Period=FQ","BEST_FPERIOD_OVERRIDE=FQ","FILING_STATUS=MR","SCALING_FORMAT=MLN","Sort=A","Dates=H","DateFormat=P","Fill=—","Direction=H","UseDPDF=Y")</f>
        <v>936</v>
      </c>
      <c r="D12" s="13">
        <f>_xll.BDH("GILD US Equity","IS_RD_EXPENSE_NON_GAAP_ADJ","FQ1 2019","FQ1 2019","Currency=USD","Period=FQ","BEST_FPERIOD_OVERRIDE=FQ","FILING_STATUS=MR","SCALING_FORMAT=MLN","Sort=A","Dates=H","DateFormat=P","Fill=—","Direction=H","UseDPDF=Y")</f>
        <v>0</v>
      </c>
      <c r="E12" s="13">
        <f>_xll.BDH("GILD US Equity","IS_RD_EXPENSE_NON_GAAP_ADJ","FQ2 2019","FQ2 2019","Currency=USD","Period=FQ","BEST_FPERIOD_OVERRIDE=FQ","FILING_STATUS=MR","SCALING_FORMAT=MLN","Sort=A","Dates=H","DateFormat=P","Fill=—","Direction=H","UseDPDF=Y")</f>
        <v>-1</v>
      </c>
      <c r="F12" s="13">
        <f>_xll.BDH("GILD US Equity","IS_RD_EXPENSE_NON_GAAP_ADJ","FQ3 2019","FQ3 2019","Currency=USD","Period=FQ","BEST_FPERIOD_OVERRIDE=FQ","FILING_STATUS=MR","SCALING_FORMAT=MLN","Sort=A","Dates=H","DateFormat=P","Fill=—","Direction=H","UseDPDF=Y")</f>
        <v>2</v>
      </c>
      <c r="G12" s="13">
        <f>_xll.BDH("GILD US Equity","IS_RD_EXPENSE_NON_GAAP_ADJ","FQ4 2019","FQ4 2019","Currency=USD","Period=FQ","BEST_FPERIOD_OVERRIDE=FQ","FILING_STATUS=MR","SCALING_FORMAT=MLN","Sort=A","Dates=H","DateFormat=P","Fill=—","Direction=H","UseDPDF=Y")</f>
        <v>796</v>
      </c>
      <c r="H12" s="13">
        <f>_xll.BDH("GILD US Equity","IS_RD_EXPENSE_NON_GAAP_ADJ","FQ1 2020","FQ1 2020","Currency=USD","Period=FQ","BEST_FPERIOD_OVERRIDE=FQ","FILING_STATUS=MR","SCALING_FORMAT=MLN","Sort=A","Dates=H","DateFormat=P","Fill=—","Direction=H","UseDPDF=Y")</f>
        <v>0</v>
      </c>
      <c r="I12" s="13">
        <f>_xll.BDH("GILD US Equity","IS_RD_EXPENSE_NON_GAAP_ADJ","FQ2 2020","FQ2 2020","Currency=USD","Period=FQ","BEST_FPERIOD_OVERRIDE=FQ","FILING_STATUS=MR","SCALING_FORMAT=MLN","Sort=A","Dates=H","DateFormat=P","Fill=—","Direction=H","UseDPDF=Y")</f>
        <v>113</v>
      </c>
      <c r="J12" s="13">
        <f>_xll.BDH("GILD US Equity","IS_RD_EXPENSE_NON_GAAP_ADJ","FQ3 2020","FQ3 2020","Currency=USD","Period=FQ","BEST_FPERIOD_OVERRIDE=FQ","FILING_STATUS=MR","SCALING_FORMAT=MLN","Sort=A","Dates=H","DateFormat=P","Fill=—","Direction=H","UseDPDF=Y")</f>
        <v>3</v>
      </c>
      <c r="K12" s="13">
        <f>_xll.BDH("GILD US Equity","IS_RD_EXPENSE_NON_GAAP_ADJ","FQ4 2020","FQ4 2020","Currency=USD","Period=FQ","BEST_FPERIOD_OVERRIDE=FQ","FILING_STATUS=MR","SCALING_FORMAT=MLN","Sort=A","Dates=H","DateFormat=P","Fill=—","Direction=H","UseDPDF=Y")</f>
        <v>66</v>
      </c>
      <c r="L12" s="13">
        <f>_xll.BDH("GILD US Equity","IS_RD_EXPENSE_NON_GAAP_ADJ","FQ1 2021","FQ1 2021","Currency=USD","Period=FQ","BEST_FPERIOD_OVERRIDE=FQ","FILING_STATUS=MR","SCALING_FORMAT=MLN","Sort=A","Dates=H","DateFormat=P","Fill=—","Direction=H","UseDPDF=Y")</f>
        <v>0</v>
      </c>
      <c r="M12" s="13">
        <f>_xll.BDH("GILD US Equity","IS_RD_EXPENSE_NON_GAAP_ADJ","FQ2 2021","FQ2 2021","Currency=USD","Period=FQ","BEST_FPERIOD_OVERRIDE=FQ","FILING_STATUS=MR","SCALING_FORMAT=MLN","Sort=A","Dates=H","DateFormat=P","Fill=—","Direction=H","UseDPDF=Y")</f>
        <v>50</v>
      </c>
      <c r="N12" s="13">
        <f>_xll.BDH("GILD US Equity","IS_RD_EXPENSE_NON_GAAP_ADJ","FQ3 2021","FQ3 2021","Currency=USD","Period=FQ","BEST_FPERIOD_OVERRIDE=FQ","FILING_STATUS=MR","SCALING_FORMAT=MLN","Sort=A","Dates=H","DateFormat=P","Fill=—","Direction=H","UseDPDF=Y")</f>
        <v>-29</v>
      </c>
      <c r="O12" s="13">
        <f>_xll.BDH("GILD US Equity","IS_RD_EXPENSE_NON_GAAP_ADJ","FQ4 2021","FQ4 2021","Currency=USD","Period=FQ","BEST_FPERIOD_OVERRIDE=FQ","FILING_STATUS=MR","SCALING_FORMAT=MLN","Sort=A","Dates=H","DateFormat=P","Fill=—","Direction=H","UseDPDF=Y")</f>
        <v>0</v>
      </c>
      <c r="P12" s="13">
        <f>_xll.BDH("GILD US Equity","IS_RD_EXPENSE_NON_GAAP_ADJ","FQ1 2022","FQ1 2022","Currency=USD","Period=FQ","BEST_FPERIOD_OVERRIDE=FQ","FILING_STATUS=MR","SCALING_FORMAT=MLN","Sort=A","Dates=H","DateFormat=P","Fill=—","Direction=H","UseDPDF=Y")</f>
        <v>0</v>
      </c>
      <c r="Q12" s="13">
        <f>_xll.BDH("GILD US Equity","IS_RD_EXPENSE_NON_GAAP_ADJ","FQ2 2022","FQ2 2022","Currency=USD","Period=FQ","BEST_FPERIOD_OVERRIDE=FQ","FILING_STATUS=MR","SCALING_FORMAT=MLN","Sort=A","Dates=H","DateFormat=P","Fill=—","Direction=H","UseDPDF=Y")</f>
        <v>0</v>
      </c>
      <c r="R12" s="13">
        <f>_xll.BDH("GILD US Equity","IS_RD_EXPENSE_NON_GAAP_ADJ","FQ3 2022","FQ3 2022","Currency=USD","Period=FQ","BEST_FPERIOD_OVERRIDE=FQ","FILING_STATUS=MR","SCALING_FORMAT=MLN","Sort=A","Dates=H","DateFormat=P","Fill=—","Direction=H","UseDPDF=Y")</f>
        <v>24</v>
      </c>
      <c r="S12" s="13">
        <f>_xll.BDH("GILD US Equity","IS_RD_EXPENSE_NON_GAAP_ADJ","FQ4 2022","FQ4 2022","Currency=USD","Period=FQ","BEST_FPERIOD_OVERRIDE=FQ","FILING_STATUS=MR","SCALING_FORMAT=MLN","Sort=A","Dates=H","DateFormat=P","Fill=—","Direction=H","UseDPDF=Y")</f>
        <v>5</v>
      </c>
      <c r="T12" s="13">
        <f>_xll.BDH("GILD US Equity","IS_RD_EXPENSE_NON_GAAP_ADJ","FQ1 2023","FQ1 2023","Currency=USD","Period=FQ","BEST_FPERIOD_OVERRIDE=FQ","FILING_STATUS=MR","SCALING_FORMAT=MLN","Sort=A","Dates=H","DateFormat=P","Fill=—","Direction=H","UseDPDF=Y")</f>
        <v>0</v>
      </c>
      <c r="U12" s="13">
        <f>_xll.BDH("GILD US Equity","IS_RD_EXPENSE_NON_GAAP_ADJ","FQ2 2023","FQ2 2023","Currency=USD","Period=FQ","BEST_FPERIOD_OVERRIDE=FQ","FILING_STATUS=MR","SCALING_FORMAT=MLN","Sort=A","Dates=H","DateFormat=P","Fill=—","Direction=H","UseDPDF=Y")</f>
        <v>-30</v>
      </c>
      <c r="V12" s="13">
        <f>_xll.BDH("GILD US Equity","IS_RD_EXPENSE_NON_GAAP_ADJ","FQ3 2023","FQ3 2023","Currency=USD","Period=FQ","BEST_FPERIOD_OVERRIDE=FQ","FILING_STATUS=MR","SCALING_FORMAT=MLN","Sort=A","Dates=H","DateFormat=P","Fill=—","Direction=H","UseDPDF=Y")</f>
        <v>4</v>
      </c>
      <c r="W12" s="13">
        <f>_xll.BDH("GILD US Equity","IS_RD_EXPENSE_NON_GAAP_ADJ","FQ4 2023","FQ4 2023","Currency=USD","Period=FQ","BEST_FPERIOD_OVERRIDE=FQ","FILING_STATUS=MR","SCALING_FORMAT=MLN","Sort=A","Dates=H","DateFormat=P","Fill=—","Direction=H","UseDPDF=Y")</f>
        <v>16</v>
      </c>
      <c r="X12" s="13">
        <f>_xll.BDH("GILD US Equity","IS_RD_EXPENSE_NON_GAAP_ADJ","FQ1 2024","FQ1 2024","Currency=USD","Period=FQ","BEST_FPERIOD_OVERRIDE=FQ","FILING_STATUS=MR","SCALING_FORMAT=MLN","Sort=A","Dates=H","DateFormat=P","Fill=—","Direction=H","UseDPDF=Y")</f>
        <v>116</v>
      </c>
      <c r="Y12" s="13">
        <f>_xll.BDH("GILD US Equity","IS_RD_EXPENSE_NON_GAAP_ADJ","FQ2 2024","FQ2 2024","Currency=USD","Period=FQ","BEST_FPERIOD_OVERRIDE=FQ","FILING_STATUS=MR","SCALING_FORMAT=MLN","Sort=A","Dates=H","DateFormat=P","Fill=—","Direction=H","UseDPDF=Y")</f>
        <v>16</v>
      </c>
      <c r="Z12" s="13">
        <f>_xll.BDH("GILD US Equity","IS_RD_EXPENSE_NON_GAAP_ADJ","FQ3 2024","FQ3 2024","Currency=USD","Period=FQ","BEST_FPERIOD_OVERRIDE=FQ","FILING_STATUS=MR","SCALING_FORMAT=MLN","Sort=A","Dates=H","DateFormat=P","Fill=—","Direction=H","UseDPDF=Y")</f>
        <v>14</v>
      </c>
      <c r="AA12" s="13">
        <f>_xll.BDH("GILD US Equity","IS_RD_EXPENSE_NON_GAAP_ADJ","FQ4 2024","FQ4 2024","Currency=USD","Period=FQ","BEST_FPERIOD_OVERRIDE=FQ","FILING_STATUS=MR","SCALING_FORMAT=MLN","Sort=A","Dates=H","DateFormat=P","Fill=—","Direction=H","UseDPDF=Y")</f>
        <v>30</v>
      </c>
    </row>
    <row r="13" spans="1:27" x14ac:dyDescent="0.25">
      <c r="A13" s="10" t="s">
        <v>647</v>
      </c>
      <c r="B13" s="10" t="s">
        <v>648</v>
      </c>
      <c r="C13" s="13">
        <f>_xll.BDH("GILD US Equity","IS_DA_NON_GAAP_ADJ","FQ4 2018","FQ4 2018","Currency=USD","Period=FQ","BEST_FPERIOD_OVERRIDE=FQ","FILING_STATUS=MR","SCALING_FORMAT=MLN","Sort=A","Dates=H","DateFormat=P","Fill=—","Direction=H","UseDPDF=Y")</f>
        <v>0</v>
      </c>
      <c r="D13" s="13">
        <f>_xll.BDH("GILD US Equity","IS_DA_NON_GAAP_ADJ","FQ1 2019","FQ1 2019","Currency=USD","Period=FQ","BEST_FPERIOD_OVERRIDE=FQ","FILING_STATUS=MR","SCALING_FORMAT=MLN","Sort=A","Dates=H","DateFormat=P","Fill=—","Direction=H","UseDPDF=Y")</f>
        <v>0</v>
      </c>
      <c r="E13" s="13">
        <f>_xll.BDH("GILD US Equity","IS_DA_NON_GAAP_ADJ","FQ2 2019","FQ2 2019","Currency=USD","Period=FQ","BEST_FPERIOD_OVERRIDE=FQ","FILING_STATUS=MR","SCALING_FORMAT=MLN","Sort=A","Dates=H","DateFormat=P","Fill=—","Direction=H","UseDPDF=Y")</f>
        <v>0</v>
      </c>
      <c r="F13" s="13">
        <f>_xll.BDH("GILD US Equity","IS_DA_NON_GAAP_ADJ","FQ3 2019","FQ3 2019","Currency=USD","Period=FQ","BEST_FPERIOD_OVERRIDE=FQ","FILING_STATUS=MR","SCALING_FORMAT=MLN","Sort=A","Dates=H","DateFormat=P","Fill=—","Direction=H","UseDPDF=Y")</f>
        <v>0</v>
      </c>
      <c r="G13" s="13">
        <f>_xll.BDH("GILD US Equity","IS_DA_NON_GAAP_ADJ","FQ4 2019","FQ4 2019","Currency=USD","Period=FQ","BEST_FPERIOD_OVERRIDE=FQ","FILING_STATUS=MR","SCALING_FORMAT=MLN","Sort=A","Dates=H","DateFormat=P","Fill=—","Direction=H","UseDPDF=Y")</f>
        <v>0</v>
      </c>
      <c r="H13" s="13">
        <f>_xll.BDH("GILD US Equity","IS_DA_NON_GAAP_ADJ","FQ1 2020","FQ1 2020","Currency=USD","Period=FQ","BEST_FPERIOD_OVERRIDE=FQ","FILING_STATUS=MR","SCALING_FORMAT=MLN","Sort=A","Dates=H","DateFormat=P","Fill=—","Direction=H","UseDPDF=Y")</f>
        <v>0</v>
      </c>
      <c r="I13" s="13">
        <f>_xll.BDH("GILD US Equity","IS_DA_NON_GAAP_ADJ","FQ2 2020","FQ2 2020","Currency=USD","Period=FQ","BEST_FPERIOD_OVERRIDE=FQ","FILING_STATUS=MR","SCALING_FORMAT=MLN","Sort=A","Dates=H","DateFormat=P","Fill=—","Direction=H","UseDPDF=Y")</f>
        <v>0</v>
      </c>
      <c r="J13" s="13">
        <f>_xll.BDH("GILD US Equity","IS_DA_NON_GAAP_ADJ","FQ3 2020","FQ3 2020","Currency=USD","Period=FQ","BEST_FPERIOD_OVERRIDE=FQ","FILING_STATUS=MR","SCALING_FORMAT=MLN","Sort=A","Dates=H","DateFormat=P","Fill=—","Direction=H","UseDPDF=Y")</f>
        <v>0</v>
      </c>
      <c r="K13" s="13">
        <f>_xll.BDH("GILD US Equity","IS_DA_NON_GAAP_ADJ","FQ4 2020","FQ4 2020","Currency=USD","Period=FQ","BEST_FPERIOD_OVERRIDE=FQ","FILING_STATUS=MR","SCALING_FORMAT=MLN","Sort=A","Dates=H","DateFormat=P","Fill=—","Direction=H","UseDPDF=Y")</f>
        <v>0</v>
      </c>
      <c r="L13" s="13">
        <f>_xll.BDH("GILD US Equity","IS_DA_NON_GAAP_ADJ","FQ1 2021","FQ1 2021","Currency=USD","Period=FQ","BEST_FPERIOD_OVERRIDE=FQ","FILING_STATUS=MR","SCALING_FORMAT=MLN","Sort=A","Dates=H","DateFormat=P","Fill=—","Direction=H","UseDPDF=Y")</f>
        <v>0</v>
      </c>
      <c r="M13" s="13">
        <f>_xll.BDH("GILD US Equity","IS_DA_NON_GAAP_ADJ","FQ2 2021","FQ2 2021","Currency=USD","Period=FQ","BEST_FPERIOD_OVERRIDE=FQ","FILING_STATUS=MR","SCALING_FORMAT=MLN","Sort=A","Dates=H","DateFormat=P","Fill=—","Direction=H","UseDPDF=Y")</f>
        <v>0</v>
      </c>
      <c r="N13" s="13">
        <f>_xll.BDH("GILD US Equity","IS_DA_NON_GAAP_ADJ","FQ3 2021","FQ3 2021","Currency=USD","Period=FQ","BEST_FPERIOD_OVERRIDE=FQ","FILING_STATUS=MR","SCALING_FORMAT=MLN","Sort=A","Dates=H","DateFormat=P","Fill=—","Direction=H","UseDPDF=Y")</f>
        <v>0</v>
      </c>
      <c r="O13" s="13">
        <f>_xll.BDH("GILD US Equity","IS_DA_NON_GAAP_ADJ","FQ4 2021","FQ4 2021","Currency=USD","Period=FQ","BEST_FPERIOD_OVERRIDE=FQ","FILING_STATUS=MR","SCALING_FORMAT=MLN","Sort=A","Dates=H","DateFormat=P","Fill=—","Direction=H","UseDPDF=Y")</f>
        <v>0</v>
      </c>
      <c r="P13" s="13">
        <f>_xll.BDH("GILD US Equity","IS_DA_NON_GAAP_ADJ","FQ1 2022","FQ1 2022","Currency=USD","Period=FQ","BEST_FPERIOD_OVERRIDE=FQ","FILING_STATUS=MR","SCALING_FORMAT=MLN","Sort=A","Dates=H","DateFormat=P","Fill=—","Direction=H","UseDPDF=Y")</f>
        <v>0</v>
      </c>
      <c r="Q13" s="13">
        <f>_xll.BDH("GILD US Equity","IS_DA_NON_GAAP_ADJ","FQ2 2022","FQ2 2022","Currency=USD","Period=FQ","BEST_FPERIOD_OVERRIDE=FQ","FILING_STATUS=MR","SCALING_FORMAT=MLN","Sort=A","Dates=H","DateFormat=P","Fill=—","Direction=H","UseDPDF=Y")</f>
        <v>0</v>
      </c>
      <c r="R13" s="13">
        <f>_xll.BDH("GILD US Equity","IS_DA_NON_GAAP_ADJ","FQ3 2022","FQ3 2022","Currency=USD","Period=FQ","BEST_FPERIOD_OVERRIDE=FQ","FILING_STATUS=MR","SCALING_FORMAT=MLN","Sort=A","Dates=H","DateFormat=P","Fill=—","Direction=H","UseDPDF=Y")</f>
        <v>0</v>
      </c>
      <c r="S13" s="13">
        <f>_xll.BDH("GILD US Equity","IS_DA_NON_GAAP_ADJ","FQ4 2022","FQ4 2022","Currency=USD","Period=FQ","BEST_FPERIOD_OVERRIDE=FQ","FILING_STATUS=MR","SCALING_FORMAT=MLN","Sort=A","Dates=H","DateFormat=P","Fill=—","Direction=H","UseDPDF=Y")</f>
        <v>0</v>
      </c>
      <c r="T13" s="13">
        <f>_xll.BDH("GILD US Equity","IS_DA_NON_GAAP_ADJ","FQ1 2023","FQ1 2023","Currency=USD","Period=FQ","BEST_FPERIOD_OVERRIDE=FQ","FILING_STATUS=MR","SCALING_FORMAT=MLN","Sort=A","Dates=H","DateFormat=P","Fill=—","Direction=H","UseDPDF=Y")</f>
        <v>0</v>
      </c>
      <c r="U13" s="13">
        <f>_xll.BDH("GILD US Equity","IS_DA_NON_GAAP_ADJ","FQ2 2023","FQ2 2023","Currency=USD","Period=FQ","BEST_FPERIOD_OVERRIDE=FQ","FILING_STATUS=MR","SCALING_FORMAT=MLN","Sort=A","Dates=H","DateFormat=P","Fill=—","Direction=H","UseDPDF=Y")</f>
        <v>0</v>
      </c>
      <c r="V13" s="13">
        <f>_xll.BDH("GILD US Equity","IS_DA_NON_GAAP_ADJ","FQ3 2023","FQ3 2023","Currency=USD","Period=FQ","BEST_FPERIOD_OVERRIDE=FQ","FILING_STATUS=MR","SCALING_FORMAT=MLN","Sort=A","Dates=H","DateFormat=P","Fill=—","Direction=H","UseDPDF=Y")</f>
        <v>0</v>
      </c>
      <c r="W13" s="13">
        <f>_xll.BDH("GILD US Equity","IS_DA_NON_GAAP_ADJ","FQ4 2023","FQ4 2023","Currency=USD","Period=FQ","BEST_FPERIOD_OVERRIDE=FQ","FILING_STATUS=MR","SCALING_FORMAT=MLN","Sort=A","Dates=H","DateFormat=P","Fill=—","Direction=H","UseDPDF=Y")</f>
        <v>0</v>
      </c>
      <c r="X13" s="13">
        <f>_xll.BDH("GILD US Equity","IS_DA_NON_GAAP_ADJ","FQ1 2024","FQ1 2024","Currency=USD","Period=FQ","BEST_FPERIOD_OVERRIDE=FQ","FILING_STATUS=MR","SCALING_FORMAT=MLN","Sort=A","Dates=H","DateFormat=P","Fill=—","Direction=H","UseDPDF=Y")</f>
        <v>0</v>
      </c>
      <c r="Y13" s="13">
        <f>_xll.BDH("GILD US Equity","IS_DA_NON_GAAP_ADJ","FQ2 2024","FQ2 2024","Currency=USD","Period=FQ","BEST_FPERIOD_OVERRIDE=FQ","FILING_STATUS=MR","SCALING_FORMAT=MLN","Sort=A","Dates=H","DateFormat=P","Fill=—","Direction=H","UseDPDF=Y")</f>
        <v>0</v>
      </c>
      <c r="Z13" s="13">
        <f>_xll.BDH("GILD US Equity","IS_DA_NON_GAAP_ADJ","FQ3 2024","FQ3 2024","Currency=USD","Period=FQ","BEST_FPERIOD_OVERRIDE=FQ","FILING_STATUS=MR","SCALING_FORMAT=MLN","Sort=A","Dates=H","DateFormat=P","Fill=—","Direction=H","UseDPDF=Y")</f>
        <v>0</v>
      </c>
      <c r="AA13" s="13">
        <f>_xll.BDH("GILD US Equity","IS_DA_NON_GAAP_ADJ","FQ4 2024","FQ4 2024","Currency=USD","Period=FQ","BEST_FPERIOD_OVERRIDE=FQ","FILING_STATUS=MR","SCALING_FORMAT=MLN","Sort=A","Dates=H","DateFormat=P","Fill=—","Direction=H","UseDPDF=Y")</f>
        <v>0</v>
      </c>
    </row>
    <row r="14" spans="1:27" x14ac:dyDescent="0.25">
      <c r="A14" s="10" t="s">
        <v>649</v>
      </c>
      <c r="B14" s="10" t="s">
        <v>650</v>
      </c>
      <c r="C14" s="13">
        <f>_xll.BDH("GILD US Equity","IS_PDA_NONGAAP_ADJUSTMENTS","FQ4 2018","FQ4 2018","Currency=USD","Period=FQ","BEST_FPERIOD_OVERRIDE=FQ","FILING_STATUS=MR","SCALING_FORMAT=MLN","Sort=A","Dates=H","DateFormat=P","Fill=—","Direction=H","UseDPDF=Y")</f>
        <v>0</v>
      </c>
      <c r="D14" s="13">
        <f>_xll.BDH("GILD US Equity","IS_PDA_NONGAAP_ADJUSTMENTS","FQ1 2019","FQ1 2019","Currency=USD","Period=FQ","BEST_FPERIOD_OVERRIDE=FQ","FILING_STATUS=MR","SCALING_FORMAT=MLN","Sort=A","Dates=H","DateFormat=P","Fill=—","Direction=H","UseDPDF=Y")</f>
        <v>0</v>
      </c>
      <c r="E14" s="13">
        <f>_xll.BDH("GILD US Equity","IS_PDA_NONGAAP_ADJUSTMENTS","FQ2 2019","FQ2 2019","Currency=USD","Period=FQ","BEST_FPERIOD_OVERRIDE=FQ","FILING_STATUS=MR","SCALING_FORMAT=MLN","Sort=A","Dates=H","DateFormat=P","Fill=—","Direction=H","UseDPDF=Y")</f>
        <v>0</v>
      </c>
      <c r="F14" s="13">
        <f>_xll.BDH("GILD US Equity","IS_PDA_NONGAAP_ADJUSTMENTS","FQ3 2019","FQ3 2019","Currency=USD","Period=FQ","BEST_FPERIOD_OVERRIDE=FQ","FILING_STATUS=MR","SCALING_FORMAT=MLN","Sort=A","Dates=H","DateFormat=P","Fill=—","Direction=H","UseDPDF=Y")</f>
        <v>0</v>
      </c>
      <c r="G14" s="13">
        <f>_xll.BDH("GILD US Equity","IS_PDA_NONGAAP_ADJUSTMENTS","FQ4 2019","FQ4 2019","Currency=USD","Period=FQ","BEST_FPERIOD_OVERRIDE=FQ","FILING_STATUS=MR","SCALING_FORMAT=MLN","Sort=A","Dates=H","DateFormat=P","Fill=—","Direction=H","UseDPDF=Y")</f>
        <v>0</v>
      </c>
      <c r="H14" s="13">
        <f>_xll.BDH("GILD US Equity","IS_PDA_NONGAAP_ADJUSTMENTS","FQ1 2020","FQ1 2020","Currency=USD","Period=FQ","BEST_FPERIOD_OVERRIDE=FQ","FILING_STATUS=MR","SCALING_FORMAT=MLN","Sort=A","Dates=H","DateFormat=P","Fill=—","Direction=H","UseDPDF=Y")</f>
        <v>0</v>
      </c>
      <c r="I14" s="13">
        <f>_xll.BDH("GILD US Equity","IS_PDA_NONGAAP_ADJUSTMENTS","FQ2 2020","FQ2 2020","Currency=USD","Period=FQ","BEST_FPERIOD_OVERRIDE=FQ","FILING_STATUS=MR","SCALING_FORMAT=MLN","Sort=A","Dates=H","DateFormat=P","Fill=—","Direction=H","UseDPDF=Y")</f>
        <v>0</v>
      </c>
      <c r="J14" s="13">
        <f>_xll.BDH("GILD US Equity","IS_PDA_NONGAAP_ADJUSTMENTS","FQ3 2020","FQ3 2020","Currency=USD","Period=FQ","BEST_FPERIOD_OVERRIDE=FQ","FILING_STATUS=MR","SCALING_FORMAT=MLN","Sort=A","Dates=H","DateFormat=P","Fill=—","Direction=H","UseDPDF=Y")</f>
        <v>0</v>
      </c>
      <c r="K14" s="13">
        <f>_xll.BDH("GILD US Equity","IS_PDA_NONGAAP_ADJUSTMENTS","FQ4 2020","FQ4 2020","Currency=USD","Period=FQ","BEST_FPERIOD_OVERRIDE=FQ","FILING_STATUS=MR","SCALING_FORMAT=MLN","Sort=A","Dates=H","DateFormat=P","Fill=—","Direction=H","UseDPDF=Y")</f>
        <v>0</v>
      </c>
      <c r="L14" s="13">
        <f>_xll.BDH("GILD US Equity","IS_PDA_NONGAAP_ADJUSTMENTS","FQ1 2021","FQ1 2021","Currency=USD","Period=FQ","BEST_FPERIOD_OVERRIDE=FQ","FILING_STATUS=MR","SCALING_FORMAT=MLN","Sort=A","Dates=H","DateFormat=P","Fill=—","Direction=H","UseDPDF=Y")</f>
        <v>0</v>
      </c>
      <c r="M14" s="13">
        <f>_xll.BDH("GILD US Equity","IS_PDA_NONGAAP_ADJUSTMENTS","FQ2 2021","FQ2 2021","Currency=USD","Period=FQ","BEST_FPERIOD_OVERRIDE=FQ","FILING_STATUS=MR","SCALING_FORMAT=MLN","Sort=A","Dates=H","DateFormat=P","Fill=—","Direction=H","UseDPDF=Y")</f>
        <v>0</v>
      </c>
      <c r="N14" s="13">
        <f>_xll.BDH("GILD US Equity","IS_PDA_NONGAAP_ADJUSTMENTS","FQ3 2021","FQ3 2021","Currency=USD","Period=FQ","BEST_FPERIOD_OVERRIDE=FQ","FILING_STATUS=MR","SCALING_FORMAT=MLN","Sort=A","Dates=H","DateFormat=P","Fill=—","Direction=H","UseDPDF=Y")</f>
        <v>0</v>
      </c>
      <c r="O14" s="13">
        <f>_xll.BDH("GILD US Equity","IS_PDA_NONGAAP_ADJUSTMENTS","FQ4 2021","FQ4 2021","Currency=USD","Period=FQ","BEST_FPERIOD_OVERRIDE=FQ","FILING_STATUS=MR","SCALING_FORMAT=MLN","Sort=A","Dates=H","DateFormat=P","Fill=—","Direction=H","UseDPDF=Y")</f>
        <v>0</v>
      </c>
      <c r="P14" s="13">
        <f>_xll.BDH("GILD US Equity","IS_PDA_NONGAAP_ADJUSTMENTS","FQ1 2022","FQ1 2022","Currency=USD","Period=FQ","BEST_FPERIOD_OVERRIDE=FQ","FILING_STATUS=MR","SCALING_FORMAT=MLN","Sort=A","Dates=H","DateFormat=P","Fill=—","Direction=H","UseDPDF=Y")</f>
        <v>0</v>
      </c>
      <c r="Q14" s="13">
        <f>_xll.BDH("GILD US Equity","IS_PDA_NONGAAP_ADJUSTMENTS","FQ2 2022","FQ2 2022","Currency=USD","Period=FQ","BEST_FPERIOD_OVERRIDE=FQ","FILING_STATUS=MR","SCALING_FORMAT=MLN","Sort=A","Dates=H","DateFormat=P","Fill=—","Direction=H","UseDPDF=Y")</f>
        <v>0</v>
      </c>
      <c r="R14" s="13">
        <f>_xll.BDH("GILD US Equity","IS_PDA_NONGAAP_ADJUSTMENTS","FQ3 2022","FQ3 2022","Currency=USD","Period=FQ","BEST_FPERIOD_OVERRIDE=FQ","FILING_STATUS=MR","SCALING_FORMAT=MLN","Sort=A","Dates=H","DateFormat=P","Fill=—","Direction=H","UseDPDF=Y")</f>
        <v>0</v>
      </c>
      <c r="S14" s="13">
        <f>_xll.BDH("GILD US Equity","IS_PDA_NONGAAP_ADJUSTMENTS","FQ4 2022","FQ4 2022","Currency=USD","Period=FQ","BEST_FPERIOD_OVERRIDE=FQ","FILING_STATUS=MR","SCALING_FORMAT=MLN","Sort=A","Dates=H","DateFormat=P","Fill=—","Direction=H","UseDPDF=Y")</f>
        <v>0</v>
      </c>
      <c r="T14" s="13">
        <f>_xll.BDH("GILD US Equity","IS_PDA_NONGAAP_ADJUSTMENTS","FQ1 2023","FQ1 2023","Currency=USD","Period=FQ","BEST_FPERIOD_OVERRIDE=FQ","FILING_STATUS=MR","SCALING_FORMAT=MLN","Sort=A","Dates=H","DateFormat=P","Fill=—","Direction=H","UseDPDF=Y")</f>
        <v>0</v>
      </c>
      <c r="U14" s="13">
        <f>_xll.BDH("GILD US Equity","IS_PDA_NONGAAP_ADJUSTMENTS","FQ2 2023","FQ2 2023","Currency=USD","Period=FQ","BEST_FPERIOD_OVERRIDE=FQ","FILING_STATUS=MR","SCALING_FORMAT=MLN","Sort=A","Dates=H","DateFormat=P","Fill=—","Direction=H","UseDPDF=Y")</f>
        <v>0</v>
      </c>
      <c r="V14" s="13">
        <f>_xll.BDH("GILD US Equity","IS_PDA_NONGAAP_ADJUSTMENTS","FQ3 2023","FQ3 2023","Currency=USD","Period=FQ","BEST_FPERIOD_OVERRIDE=FQ","FILING_STATUS=MR","SCALING_FORMAT=MLN","Sort=A","Dates=H","DateFormat=P","Fill=—","Direction=H","UseDPDF=Y")</f>
        <v>0</v>
      </c>
      <c r="W14" s="13">
        <f>_xll.BDH("GILD US Equity","IS_PDA_NONGAAP_ADJUSTMENTS","FQ4 2023","FQ4 2023","Currency=USD","Period=FQ","BEST_FPERIOD_OVERRIDE=FQ","FILING_STATUS=MR","SCALING_FORMAT=MLN","Sort=A","Dates=H","DateFormat=P","Fill=—","Direction=H","UseDPDF=Y")</f>
        <v>0</v>
      </c>
      <c r="X14" s="13">
        <f>_xll.BDH("GILD US Equity","IS_PDA_NONGAAP_ADJUSTMENTS","FQ1 2024","FQ1 2024","Currency=USD","Period=FQ","BEST_FPERIOD_OVERRIDE=FQ","FILING_STATUS=MR","SCALING_FORMAT=MLN","Sort=A","Dates=H","DateFormat=P","Fill=—","Direction=H","UseDPDF=Y")</f>
        <v>0</v>
      </c>
      <c r="Y14" s="13">
        <f>_xll.BDH("GILD US Equity","IS_PDA_NONGAAP_ADJUSTMENTS","FQ2 2024","FQ2 2024","Currency=USD","Period=FQ","BEST_FPERIOD_OVERRIDE=FQ","FILING_STATUS=MR","SCALING_FORMAT=MLN","Sort=A","Dates=H","DateFormat=P","Fill=—","Direction=H","UseDPDF=Y")</f>
        <v>0</v>
      </c>
      <c r="Z14" s="13">
        <f>_xll.BDH("GILD US Equity","IS_PDA_NONGAAP_ADJUSTMENTS","FQ3 2024","FQ3 2024","Currency=USD","Period=FQ","BEST_FPERIOD_OVERRIDE=FQ","FILING_STATUS=MR","SCALING_FORMAT=MLN","Sort=A","Dates=H","DateFormat=P","Fill=—","Direction=H","UseDPDF=Y")</f>
        <v>0</v>
      </c>
      <c r="AA14" s="13">
        <f>_xll.BDH("GILD US Equity","IS_PDA_NONGAAP_ADJUSTMENTS","FQ4 2024","FQ4 2024","Currency=USD","Period=FQ","BEST_FPERIOD_OVERRIDE=FQ","FILING_STATUS=MR","SCALING_FORMAT=MLN","Sort=A","Dates=H","DateFormat=P","Fill=—","Direction=H","UseDPDF=Y")</f>
        <v>0</v>
      </c>
    </row>
    <row r="15" spans="1:27" x14ac:dyDescent="0.25">
      <c r="A15" s="10" t="s">
        <v>651</v>
      </c>
      <c r="B15" s="10" t="s">
        <v>652</v>
      </c>
      <c r="C15" s="13">
        <f>_xll.BDH("GILD US Equity","IS_OTHER_OPERATING_EXPN_ADJUST","FQ4 2018","FQ4 2018","Currency=USD","Period=FQ","BEST_FPERIOD_OVERRIDE=FQ","FILING_STATUS=MR","SCALING_FORMAT=MLN","Sort=A","Dates=H","DateFormat=P","Fill=—","Direction=H","UseDPDF=Y")</f>
        <v>0</v>
      </c>
      <c r="D15" s="13">
        <f>_xll.BDH("GILD US Equity","IS_OTHER_OPERATING_EXPN_ADJUST","FQ1 2019","FQ1 2019","Currency=USD","Period=FQ","BEST_FPERIOD_OVERRIDE=FQ","FILING_STATUS=MR","SCALING_FORMAT=MLN","Sort=A","Dates=H","DateFormat=P","Fill=—","Direction=H","UseDPDF=Y")</f>
        <v>122.7848</v>
      </c>
      <c r="E15" s="13">
        <f>_xll.BDH("GILD US Equity","IS_OTHER_OPERATING_EXPN_ADJUST","FQ2 2019","FQ2 2019","Currency=USD","Period=FQ","BEST_FPERIOD_OVERRIDE=FQ","FILING_STATUS=MR","SCALING_FORMAT=MLN","Sort=A","Dates=H","DateFormat=P","Fill=—","Direction=H","UseDPDF=Y")</f>
        <v>166</v>
      </c>
      <c r="F15" s="13">
        <f>_xll.BDH("GILD US Equity","IS_OTHER_OPERATING_EXPN_ADJUST","FQ3 2019","FQ3 2019","Currency=USD","Period=FQ","BEST_FPERIOD_OVERRIDE=FQ","FILING_STATUS=MR","SCALING_FORMAT=MLN","Sort=A","Dates=H","DateFormat=P","Fill=—","Direction=H","UseDPDF=Y")</f>
        <v>3960</v>
      </c>
      <c r="G15" s="13">
        <f>_xll.BDH("GILD US Equity","IS_OTHER_OPERATING_EXPN_ADJUST","FQ4 2019","FQ4 2019","Currency=USD","Period=FQ","BEST_FPERIOD_OVERRIDE=FQ","FILING_STATUS=MR","SCALING_FORMAT=MLN","Sort=A","Dates=H","DateFormat=P","Fill=—","Direction=H","UseDPDF=Y")</f>
        <v>0</v>
      </c>
      <c r="H15" s="13">
        <f>_xll.BDH("GILD US Equity","IS_OTHER_OPERATING_EXPN_ADJUST","FQ1 2020","FQ1 2020","Currency=USD","Period=FQ","BEST_FPERIOD_OVERRIDE=FQ","FILING_STATUS=MR","SCALING_FORMAT=MLN","Sort=A","Dates=H","DateFormat=P","Fill=—","Direction=H","UseDPDF=Y")</f>
        <v>363</v>
      </c>
      <c r="I15" s="13">
        <f>_xll.BDH("GILD US Equity","IS_OTHER_OPERATING_EXPN_ADJUST","FQ2 2020","FQ2 2020","Currency=USD","Period=FQ","BEST_FPERIOD_OVERRIDE=FQ","FILING_STATUS=MR","SCALING_FORMAT=MLN","Sort=A","Dates=H","DateFormat=P","Fill=—","Direction=H","UseDPDF=Y")</f>
        <v>4524</v>
      </c>
      <c r="J15" s="13">
        <f>_xll.BDH("GILD US Equity","IS_OTHER_OPERATING_EXPN_ADJUST","FQ3 2020","FQ3 2020","Currency=USD","Period=FQ","BEST_FPERIOD_OVERRIDE=FQ","FILING_STATUS=MR","SCALING_FORMAT=MLN","Sort=A","Dates=H","DateFormat=P","Fill=—","Direction=H","UseDPDF=Y")</f>
        <v>1171</v>
      </c>
      <c r="K15" s="13">
        <f>_xll.BDH("GILD US Equity","IS_OTHER_OPERATING_EXPN_ADJUST","FQ4 2020","FQ4 2020","Currency=USD","Period=FQ","BEST_FPERIOD_OVERRIDE=FQ","FILING_STATUS=MR","SCALING_FORMAT=MLN","Sort=A","Dates=H","DateFormat=P","Fill=—","Direction=H","UseDPDF=Y")</f>
        <v>127</v>
      </c>
      <c r="L15" s="13">
        <f>_xll.BDH("GILD US Equity","IS_OTHER_OPERATING_EXPN_ADJUST","FQ1 2021","FQ1 2021","Currency=USD","Period=FQ","BEST_FPERIOD_OVERRIDE=FQ","FILING_STATUS=MR","SCALING_FORMAT=MLN","Sort=A","Dates=H","DateFormat=P","Fill=—","Direction=H","UseDPDF=Y")</f>
        <v>574</v>
      </c>
      <c r="M15" s="13">
        <f>_xll.BDH("GILD US Equity","IS_OTHER_OPERATING_EXPN_ADJUST","FQ2 2021","FQ2 2021","Currency=USD","Period=FQ","BEST_FPERIOD_OVERRIDE=FQ","FILING_STATUS=MR","SCALING_FORMAT=MLN","Sort=A","Dates=H","DateFormat=P","Fill=—","Direction=H","UseDPDF=Y")</f>
        <v>96</v>
      </c>
      <c r="N15" s="13">
        <f>_xll.BDH("GILD US Equity","IS_OTHER_OPERATING_EXPN_ADJUST","FQ3 2021","FQ3 2021","Currency=USD","Period=FQ","BEST_FPERIOD_OVERRIDE=FQ","FILING_STATUS=MR","SCALING_FORMAT=MLN","Sort=A","Dates=H","DateFormat=P","Fill=—","Direction=H","UseDPDF=Y")</f>
        <v>19</v>
      </c>
      <c r="O15" s="13">
        <f>_xll.BDH("GILD US Equity","IS_OTHER_OPERATING_EXPN_ADJUST","FQ4 2021","FQ4 2021","Currency=USD","Period=FQ","BEST_FPERIOD_OVERRIDE=FQ","FILING_STATUS=MR","SCALING_FORMAT=MLN","Sort=A","Dates=H","DateFormat=P","Fill=—","Direction=H","UseDPDF=Y")</f>
        <v>681.79750000000001</v>
      </c>
      <c r="P15" s="13">
        <f>_xll.BDH("GILD US Equity","IS_OTHER_OPERATING_EXPN_ADJUST","FQ1 2022","FQ1 2022","Currency=USD","Period=FQ","BEST_FPERIOD_OVERRIDE=FQ","FILING_STATUS=MR","SCALING_FORMAT=MLN","Sort=A","Dates=H","DateFormat=P","Fill=—","Direction=H","UseDPDF=Y")</f>
        <v>2760</v>
      </c>
      <c r="Q15" s="13">
        <f>_xll.BDH("GILD US Equity","IS_OTHER_OPERATING_EXPN_ADJUST","FQ2 2022","FQ2 2022","Currency=USD","Period=FQ","BEST_FPERIOD_OVERRIDE=FQ","FILING_STATUS=MR","SCALING_FORMAT=MLN","Sort=A","Dates=H","DateFormat=P","Fill=—","Direction=H","UseDPDF=Y")</f>
        <v>638</v>
      </c>
      <c r="R15" s="13">
        <f>_xll.BDH("GILD US Equity","IS_OTHER_OPERATING_EXPN_ADJUST","FQ3 2022","FQ3 2022","Currency=USD","Period=FQ","BEST_FPERIOD_OVERRIDE=FQ","FILING_STATUS=MR","SCALING_FORMAT=MLN","Sort=A","Dates=H","DateFormat=P","Fill=—","Direction=H","UseDPDF=Y")</f>
        <v>849</v>
      </c>
      <c r="S15" s="13">
        <f>_xll.BDH("GILD US Equity","IS_OTHER_OPERATING_EXPN_ADJUST","FQ4 2022","FQ4 2022","Currency=USD","Period=FQ","BEST_FPERIOD_OVERRIDE=FQ","FILING_STATUS=MR","SCALING_FORMAT=MLN","Sort=A","Dates=H","DateFormat=P","Fill=—","Direction=H","UseDPDF=Y")</f>
        <v>157</v>
      </c>
      <c r="T15" s="13">
        <f>_xll.BDH("GILD US Equity","IS_OTHER_OPERATING_EXPN_ADJUST","FQ1 2023","FQ1 2023","Currency=USD","Period=FQ","BEST_FPERIOD_OVERRIDE=FQ","FILING_STATUS=MR","SCALING_FORMAT=MLN","Sort=A","Dates=H","DateFormat=P","Fill=—","Direction=H","UseDPDF=Y")</f>
        <v>484</v>
      </c>
      <c r="U15" s="13">
        <f>_xll.BDH("GILD US Equity","IS_OTHER_OPERATING_EXPN_ADJUST","FQ2 2023","FQ2 2023","Currency=USD","Period=FQ","BEST_FPERIOD_OVERRIDE=FQ","FILING_STATUS=MR","SCALING_FORMAT=MLN","Sort=A","Dates=H","DateFormat=P","Fill=—","Direction=H","UseDPDF=Y")</f>
        <v>201</v>
      </c>
      <c r="V15" s="13">
        <f>_xll.BDH("GILD US Equity","IS_OTHER_OPERATING_EXPN_ADJUST","FQ3 2023","FQ3 2023","Currency=USD","Period=FQ","BEST_FPERIOD_OVERRIDE=FQ","FILING_STATUS=MR","SCALING_FORMAT=MLN","Sort=A","Dates=H","DateFormat=P","Fill=—","Direction=H","UseDPDF=Y")</f>
        <v>259</v>
      </c>
      <c r="W15" s="13">
        <f>_xll.BDH("GILD US Equity","IS_OTHER_OPERATING_EXPN_ADJUST","FQ4 2023","FQ4 2023","Currency=USD","Period=FQ","BEST_FPERIOD_OVERRIDE=FQ","FILING_STATUS=MR","SCALING_FORMAT=MLN","Sort=A","Dates=H","DateFormat=P","Fill=—","Direction=H","UseDPDF=Y")</f>
        <v>450</v>
      </c>
      <c r="X15" s="13">
        <f>_xll.BDH("GILD US Equity","IS_OTHER_OPERATING_EXPN_ADJUST","FQ1 2024","FQ1 2024","Currency=USD","Period=FQ","BEST_FPERIOD_OVERRIDE=FQ","FILING_STATUS=MR","SCALING_FORMAT=MLN","Sort=A","Dates=H","DateFormat=P","Fill=—","Direction=H","UseDPDF=Y")</f>
        <v>6561</v>
      </c>
      <c r="Y15" s="13">
        <f>_xll.BDH("GILD US Equity","IS_OTHER_OPERATING_EXPN_ADJUST","FQ2 2024","FQ2 2024","Currency=USD","Period=FQ","BEST_FPERIOD_OVERRIDE=FQ","FILING_STATUS=MR","SCALING_FORMAT=MLN","Sort=A","Dates=H","DateFormat=P","Fill=—","Direction=H","UseDPDF=Y")</f>
        <v>434</v>
      </c>
      <c r="Z15" s="13">
        <f>_xll.BDH("GILD US Equity","IS_OTHER_OPERATING_EXPN_ADJUST","FQ3 2024","FQ3 2024","Currency=USD","Period=FQ","BEST_FPERIOD_OVERRIDE=FQ","FILING_STATUS=MR","SCALING_FORMAT=MLN","Sort=A","Dates=H","DateFormat=P","Fill=—","Direction=H","UseDPDF=Y")</f>
        <v>2254</v>
      </c>
      <c r="AA15" s="13">
        <f>_xll.BDH("GILD US Equity","IS_OTHER_OPERATING_EXPN_ADJUST","FQ4 2024","FQ4 2024","Currency=USD","Period=FQ","BEST_FPERIOD_OVERRIDE=FQ","FILING_STATUS=MR","SCALING_FORMAT=MLN","Sort=A","Dates=H","DateFormat=P","Fill=—","Direction=H","UseDPDF=Y")</f>
        <v>-11</v>
      </c>
    </row>
    <row r="16" spans="1:27" x14ac:dyDescent="0.25">
      <c r="A16" s="6" t="s">
        <v>653</v>
      </c>
      <c r="B16" s="6" t="s">
        <v>99</v>
      </c>
      <c r="C16" s="19">
        <f>_xll.BDH("GILD US Equity","IS_OPER_INC","FQ4 2018","FQ4 2018","Currency=USD","Period=FQ","BEST_FPERIOD_OVERRIDE=FQ","FILING_STATUS=MR","SCALING_FORMAT=MLN","FA_ADJUSTED=Adjusted","Sort=A","Dates=H","DateFormat=P","Fill=—","Direction=H","UseDPDF=Y")</f>
        <v>2091</v>
      </c>
      <c r="D16" s="19">
        <f>_xll.BDH("GILD US Equity","IS_OPER_INC","FQ1 2019","FQ1 2019","Currency=USD","Period=FQ","BEST_FPERIOD_OVERRIDE=FQ","FILING_STATUS=MR","SCALING_FORMAT=MLN","FA_ADJUSTED=Adjusted","Sort=A","Dates=H","DateFormat=P","Fill=—","Direction=H","UseDPDF=Y")</f>
        <v>2359.7847999999999</v>
      </c>
      <c r="E16" s="19">
        <f>_xll.BDH("GILD US Equity","IS_OPER_INC","FQ2 2019","FQ2 2019","Currency=USD","Period=FQ","BEST_FPERIOD_OVERRIDE=FQ","FILING_STATUS=MR","SCALING_FORMAT=MLN","FA_ADJUSTED=Adjusted","Sort=A","Dates=H","DateFormat=P","Fill=—","Direction=H","UseDPDF=Y")</f>
        <v>2594</v>
      </c>
      <c r="F16" s="19">
        <f>_xll.BDH("GILD US Equity","IS_OPER_INC","FQ3 2019","FQ3 2019","Currency=USD","Period=FQ","BEST_FPERIOD_OVERRIDE=FQ","FILING_STATUS=MR","SCALING_FORMAT=MLN","FA_ADJUSTED=Adjusted","Sort=A","Dates=H","DateFormat=P","Fill=—","Direction=H","UseDPDF=Y")</f>
        <v>2496</v>
      </c>
      <c r="G16" s="19">
        <f>_xll.BDH("GILD US Equity","IS_OPER_INC","FQ4 2019","FQ4 2019","Currency=USD","Period=FQ","BEST_FPERIOD_OVERRIDE=FQ","FILING_STATUS=MR","SCALING_FORMAT=MLN","FA_ADJUSTED=Adjusted","Sort=A","Dates=H","DateFormat=P","Fill=—","Direction=H","UseDPDF=Y")</f>
        <v>1889</v>
      </c>
      <c r="H16" s="19">
        <f>_xll.BDH("GILD US Equity","IS_OPER_INC","FQ1 2020","FQ1 2020","Currency=USD","Period=FQ","BEST_FPERIOD_OVERRIDE=FQ","FILING_STATUS=MR","SCALING_FORMAT=MLN","FA_ADJUSTED=Adjusted","Sort=A","Dates=H","DateFormat=P","Fill=—","Direction=H","UseDPDF=Y")</f>
        <v>2765</v>
      </c>
      <c r="I16" s="19">
        <f>_xll.BDH("GILD US Equity","IS_OPER_INC","FQ2 2020","FQ2 2020","Currency=USD","Period=FQ","BEST_FPERIOD_OVERRIDE=FQ","FILING_STATUS=MR","SCALING_FORMAT=MLN","FA_ADJUSTED=Adjusted","Sort=A","Dates=H","DateFormat=P","Fill=—","Direction=H","UseDPDF=Y")</f>
        <v>1729</v>
      </c>
      <c r="J16" s="19">
        <f>_xll.BDH("GILD US Equity","IS_OPER_INC","FQ3 2020","FQ3 2020","Currency=USD","Period=FQ","BEST_FPERIOD_OVERRIDE=FQ","FILING_STATUS=MR","SCALING_FORMAT=MLN","FA_ADJUSTED=Adjusted","Sort=A","Dates=H","DateFormat=P","Fill=—","Direction=H","UseDPDF=Y")</f>
        <v>3186</v>
      </c>
      <c r="K16" s="19">
        <f>_xll.BDH("GILD US Equity","IS_OPER_INC","FQ4 2020","FQ4 2020","Currency=USD","Period=FQ","BEST_FPERIOD_OVERRIDE=FQ","FILING_STATUS=MR","SCALING_FORMAT=MLN","FA_ADJUSTED=Adjusted","Sort=A","Dates=H","DateFormat=P","Fill=—","Direction=H","UseDPDF=Y")</f>
        <v>3075</v>
      </c>
      <c r="L16" s="19">
        <f>_xll.BDH("GILD US Equity","IS_OPER_INC","FQ1 2021","FQ1 2021","Currency=USD","Period=FQ","BEST_FPERIOD_OVERRIDE=FQ","FILING_STATUS=MR","SCALING_FORMAT=MLN","FA_ADJUSTED=Adjusted","Sort=A","Dates=H","DateFormat=P","Fill=—","Direction=H","UseDPDF=Y")</f>
        <v>3486</v>
      </c>
      <c r="M16" s="19">
        <f>_xll.BDH("GILD US Equity","IS_OPER_INC","FQ2 2021","FQ2 2021","Currency=USD","Period=FQ","BEST_FPERIOD_OVERRIDE=FQ","FILING_STATUS=MR","SCALING_FORMAT=MLN","FA_ADJUSTED=Adjusted","Sort=A","Dates=H","DateFormat=P","Fill=—","Direction=H","UseDPDF=Y")</f>
        <v>2622</v>
      </c>
      <c r="N16" s="19">
        <f>_xll.BDH("GILD US Equity","IS_OPER_INC","FQ3 2021","FQ3 2021","Currency=USD","Period=FQ","BEST_FPERIOD_OVERRIDE=FQ","FILING_STATUS=MR","SCALING_FORMAT=MLN","FA_ADJUSTED=Adjusted","Sort=A","Dates=H","DateFormat=P","Fill=—","Direction=H","UseDPDF=Y")</f>
        <v>3844</v>
      </c>
      <c r="O16" s="19">
        <f>_xll.BDH("GILD US Equity","IS_OPER_INC","FQ4 2021","FQ4 2021","Currency=USD","Period=FQ","BEST_FPERIOD_OVERRIDE=FQ","FILING_STATUS=MR","SCALING_FORMAT=MLN","FA_ADJUSTED=Adjusted","Sort=A","Dates=H","DateFormat=P","Fill=—","Direction=H","UseDPDF=Y")</f>
        <v>1621.7974999999999</v>
      </c>
      <c r="P16" s="19">
        <f>_xll.BDH("GILD US Equity","IS_OPER_INC","FQ1 2022","FQ1 2022","Currency=USD","Period=FQ","BEST_FPERIOD_OVERRIDE=FQ","FILING_STATUS=MR","SCALING_FORMAT=MLN","FA_ADJUSTED=Adjusted","Sort=A","Dates=H","DateFormat=P","Fill=—","Direction=H","UseDPDF=Y")</f>
        <v>2967</v>
      </c>
      <c r="Q16" s="19">
        <f>_xll.BDH("GILD US Equity","IS_OPER_INC","FQ2 2022","FQ2 2022","Currency=USD","Period=FQ","BEST_FPERIOD_OVERRIDE=FQ","FILING_STATUS=MR","SCALING_FORMAT=MLN","FA_ADJUSTED=Adjusted","Sort=A","Dates=H","DateFormat=P","Fill=—","Direction=H","UseDPDF=Y")</f>
        <v>2752</v>
      </c>
      <c r="R16" s="19">
        <f>_xll.BDH("GILD US Equity","IS_OPER_INC","FQ3 2022","FQ3 2022","Currency=USD","Period=FQ","BEST_FPERIOD_OVERRIDE=FQ","FILING_STATUS=MR","SCALING_FORMAT=MLN","FA_ADJUSTED=Adjusted","Sort=A","Dates=H","DateFormat=P","Fill=—","Direction=H","UseDPDF=Y")</f>
        <v>3711</v>
      </c>
      <c r="S16" s="19">
        <f>_xll.BDH("GILD US Equity","IS_OPER_INC","FQ4 2022","FQ4 2022","Currency=USD","Period=FQ","BEST_FPERIOD_OVERRIDE=FQ","FILING_STATUS=MR","SCALING_FORMAT=MLN","FA_ADJUSTED=Adjusted","Sort=A","Dates=H","DateFormat=P","Fill=—","Direction=H","UseDPDF=Y")</f>
        <v>2429</v>
      </c>
      <c r="T16" s="19">
        <f>_xll.BDH("GILD US Equity","IS_OPER_INC","FQ1 2023","FQ1 2023","Currency=USD","Period=FQ","BEST_FPERIOD_OVERRIDE=FQ","FILING_STATUS=MR","SCALING_FORMAT=MLN","FA_ADJUSTED=Adjusted","Sort=A","Dates=H","DateFormat=P","Fill=—","Direction=H","UseDPDF=Y")</f>
        <v>2195</v>
      </c>
      <c r="U16" s="19">
        <f>_xll.BDH("GILD US Equity","IS_OPER_INC","FQ2 2023","FQ2 2023","Currency=USD","Period=FQ","BEST_FPERIOD_OVERRIDE=FQ","FILING_STATUS=MR","SCALING_FORMAT=MLN","FA_ADJUSTED=Adjusted","Sort=A","Dates=H","DateFormat=P","Fill=—","Direction=H","UseDPDF=Y")</f>
        <v>1863</v>
      </c>
      <c r="V16" s="19">
        <f>_xll.BDH("GILD US Equity","IS_OPER_INC","FQ3 2023","FQ3 2023","Currency=USD","Period=FQ","BEST_FPERIOD_OVERRIDE=FQ","FILING_STATUS=MR","SCALING_FORMAT=MLN","FA_ADJUSTED=Adjusted","Sort=A","Dates=H","DateFormat=P","Fill=—","Direction=H","UseDPDF=Y")</f>
        <v>2903</v>
      </c>
      <c r="W16" s="19">
        <f>_xll.BDH("GILD US Equity","IS_OPER_INC","FQ4 2023","FQ4 2023","Currency=USD","Period=FQ","BEST_FPERIOD_OVERRIDE=FQ","FILING_STATUS=MR","SCALING_FORMAT=MLN","FA_ADJUSTED=Adjusted","Sort=A","Dates=H","DateFormat=P","Fill=—","Direction=H","UseDPDF=Y")</f>
        <v>2506</v>
      </c>
      <c r="X16" s="19">
        <f>_xll.BDH("GILD US Equity","IS_OPER_INC","FQ1 2024","FQ1 2024","Currency=USD","Period=FQ","BEST_FPERIOD_OVERRIDE=FQ","FILING_STATUS=MR","SCALING_FORMAT=MLN","FA_ADJUSTED=Adjusted","Sort=A","Dates=H","DateFormat=P","Fill=—","Direction=H","UseDPDF=Y")</f>
        <v>2435</v>
      </c>
      <c r="Y16" s="19">
        <f>_xll.BDH("GILD US Equity","IS_OPER_INC","FQ2 2024","FQ2 2024","Currency=USD","Period=FQ","BEST_FPERIOD_OVERRIDE=FQ","FILING_STATUS=MR","SCALING_FORMAT=MLN","FA_ADJUSTED=Adjusted","Sort=A","Dates=H","DateFormat=P","Fill=—","Direction=H","UseDPDF=Y")</f>
        <v>3116</v>
      </c>
      <c r="Z16" s="19">
        <f>_xll.BDH("GILD US Equity","IS_OPER_INC","FQ3 2024","FQ3 2024","Currency=USD","Period=FQ","BEST_FPERIOD_OVERRIDE=FQ","FILING_STATUS=MR","SCALING_FORMAT=MLN","FA_ADJUSTED=Adjusted","Sort=A","Dates=H","DateFormat=P","Fill=—","Direction=H","UseDPDF=Y")</f>
        <v>3184</v>
      </c>
      <c r="AA16" s="19">
        <f>_xll.BDH("GILD US Equity","IS_OPER_INC","FQ4 2024","FQ4 2024","Currency=USD","Period=FQ","BEST_FPERIOD_OVERRIDE=FQ","FILING_STATUS=MR","SCALING_FORMAT=MLN","FA_ADJUSTED=Adjusted","Sort=A","Dates=H","DateFormat=P","Fill=—","Direction=H","UseDPDF=Y")</f>
        <v>2524</v>
      </c>
    </row>
    <row r="17" spans="1:27" x14ac:dyDescent="0.25">
      <c r="A17" s="10" t="s">
        <v>654</v>
      </c>
      <c r="B17" s="10" t="s">
        <v>655</v>
      </c>
      <c r="C17" s="13">
        <f>_xll.BDH("GILD US Equity","ADJUSTED_DA_EXPENSES","FQ4 2018","FQ4 2018","Currency=USD","Period=FQ","BEST_FPERIOD_OVERRIDE=FQ","FILING_STATUS=MR","SCALING_FORMAT=MLN","Sort=A","Dates=H","DateFormat=P","Fill=—","Direction=H","UseDPDF=Y")</f>
        <v>358</v>
      </c>
      <c r="D17" s="13">
        <f>_xll.BDH("GILD US Equity","ADJUSTED_DA_EXPENSES","FQ1 2019","FQ1 2019","Currency=USD","Period=FQ","BEST_FPERIOD_OVERRIDE=FQ","FILING_STATUS=MR","SCALING_FORMAT=MLN","Sort=A","Dates=H","DateFormat=P","Fill=—","Direction=H","UseDPDF=Y")</f>
        <v>359</v>
      </c>
      <c r="E17" s="13">
        <f>_xll.BDH("GILD US Equity","ADJUSTED_DA_EXPENSES","FQ2 2019","FQ2 2019","Currency=USD","Period=FQ","BEST_FPERIOD_OVERRIDE=FQ","FILING_STATUS=MR","SCALING_FORMAT=MLN","Sort=A","Dates=H","DateFormat=P","Fill=—","Direction=H","UseDPDF=Y")</f>
        <v>348</v>
      </c>
      <c r="F17" s="13">
        <f>_xll.BDH("GILD US Equity","ADJUSTED_DA_EXPENSES","FQ3 2019","FQ3 2019","Currency=USD","Period=FQ","BEST_FPERIOD_OVERRIDE=FQ","FILING_STATUS=MR","SCALING_FORMAT=MLN","Sort=A","Dates=H","DateFormat=P","Fill=—","Direction=H","UseDPDF=Y")</f>
        <v>347</v>
      </c>
      <c r="G17" s="13">
        <f>_xll.BDH("GILD US Equity","ADJUSTED_DA_EXPENSES","FQ4 2019","FQ4 2019","Currency=USD","Period=FQ","BEST_FPERIOD_OVERRIDE=FQ","FILING_STATUS=MR","SCALING_FORMAT=MLN","Sort=A","Dates=H","DateFormat=P","Fill=—","Direction=H","UseDPDF=Y")</f>
        <v>350</v>
      </c>
      <c r="H17" s="13">
        <f>_xll.BDH("GILD US Equity","ADJUSTED_DA_EXPENSES","FQ1 2020","FQ1 2020","Currency=USD","Period=FQ","BEST_FPERIOD_OVERRIDE=FQ","FILING_STATUS=MR","SCALING_FORMAT=MLN","Sort=A","Dates=H","DateFormat=P","Fill=—","Direction=H","UseDPDF=Y")</f>
        <v>349</v>
      </c>
      <c r="I17" s="13">
        <f>_xll.BDH("GILD US Equity","ADJUSTED_DA_EXPENSES","FQ2 2020","FQ2 2020","Currency=USD","Period=FQ","BEST_FPERIOD_OVERRIDE=FQ","FILING_STATUS=MR","SCALING_FORMAT=MLN","Sort=A","Dates=H","DateFormat=P","Fill=—","Direction=H","UseDPDF=Y")</f>
        <v>349</v>
      </c>
      <c r="J17" s="13">
        <f>_xll.BDH("GILD US Equity","ADJUSTED_DA_EXPENSES","FQ3 2020","FQ3 2020","Currency=USD","Period=FQ","BEST_FPERIOD_OVERRIDE=FQ","FILING_STATUS=MR","SCALING_FORMAT=MLN","Sort=A","Dates=H","DateFormat=P","Fill=—","Direction=H","UseDPDF=Y")</f>
        <v>355</v>
      </c>
      <c r="K17" s="13">
        <f>_xll.BDH("GILD US Equity","ADJUSTED_DA_EXPENSES","FQ4 2020","FQ4 2020","Currency=USD","Period=FQ","BEST_FPERIOD_OVERRIDE=FQ","FILING_STATUS=MR","SCALING_FORMAT=MLN","Sort=A","Dates=H","DateFormat=P","Fill=—","Direction=H","UseDPDF=Y")</f>
        <v>427</v>
      </c>
      <c r="L17" s="13">
        <f>_xll.BDH("GILD US Equity","ADJUSTED_DA_EXPENSES","FQ1 2021","FQ1 2021","Currency=USD","Period=FQ","BEST_FPERIOD_OVERRIDE=FQ","FILING_STATUS=MR","SCALING_FORMAT=MLN","Sort=A","Dates=H","DateFormat=P","Fill=—","Direction=H","UseDPDF=Y")</f>
        <v>473</v>
      </c>
      <c r="M17" s="13">
        <f>_xll.BDH("GILD US Equity","ADJUSTED_DA_EXPENSES","FQ2 2021","FQ2 2021","Currency=USD","Period=FQ","BEST_FPERIOD_OVERRIDE=FQ","FILING_STATUS=MR","SCALING_FORMAT=MLN","Sort=A","Dates=H","DateFormat=P","Fill=—","Direction=H","UseDPDF=Y")</f>
        <v>519</v>
      </c>
      <c r="N17" s="13">
        <f>_xll.BDH("GILD US Equity","ADJUSTED_DA_EXPENSES","FQ3 2021","FQ3 2021","Currency=USD","Period=FQ","BEST_FPERIOD_OVERRIDE=FQ","FILING_STATUS=MR","SCALING_FORMAT=MLN","Sort=A","Dates=H","DateFormat=P","Fill=—","Direction=H","UseDPDF=Y")</f>
        <v>523</v>
      </c>
      <c r="O17" s="13">
        <f>_xll.BDH("GILD US Equity","ADJUSTED_DA_EXPENSES","FQ4 2021","FQ4 2021","Currency=USD","Period=FQ","BEST_FPERIOD_OVERRIDE=FQ","FILING_STATUS=MR","SCALING_FORMAT=MLN","Sort=A","Dates=H","DateFormat=P","Fill=—","Direction=H","UseDPDF=Y")</f>
        <v>535</v>
      </c>
      <c r="P17" s="13">
        <f>_xll.BDH("GILD US Equity","ADJUSTED_DA_EXPENSES","FQ1 2022","FQ1 2022","Currency=USD","Period=FQ","BEST_FPERIOD_OVERRIDE=FQ","FILING_STATUS=MR","SCALING_FORMAT=MLN","Sort=A","Dates=H","DateFormat=P","Fill=—","Direction=H","UseDPDF=Y")</f>
        <v>525</v>
      </c>
      <c r="Q17" s="13">
        <f>_xll.BDH("GILD US Equity","ADJUSTED_DA_EXPENSES","FQ2 2022","FQ2 2022","Currency=USD","Period=FQ","BEST_FPERIOD_OVERRIDE=FQ","FILING_STATUS=MR","SCALING_FORMAT=MLN","Sort=A","Dates=H","DateFormat=P","Fill=—","Direction=H","UseDPDF=Y")</f>
        <v>525</v>
      </c>
      <c r="R17" s="13">
        <f>_xll.BDH("GILD US Equity","ADJUSTED_DA_EXPENSES","FQ3 2022","FQ3 2022","Currency=USD","Period=FQ","BEST_FPERIOD_OVERRIDE=FQ","FILING_STATUS=MR","SCALING_FORMAT=MLN","Sort=A","Dates=H","DateFormat=P","Fill=—","Direction=H","UseDPDF=Y")</f>
        <v>525</v>
      </c>
      <c r="S17" s="13">
        <f>_xll.BDH("GILD US Equity","ADJUSTED_DA_EXPENSES","FQ4 2022","FQ4 2022","Currency=USD","Period=FQ","BEST_FPERIOD_OVERRIDE=FQ","FILING_STATUS=MR","SCALING_FORMAT=MLN","Sort=A","Dates=H","DateFormat=P","Fill=—","Direction=H","UseDPDF=Y")</f>
        <v>528</v>
      </c>
      <c r="T17" s="13">
        <f>_xll.BDH("GILD US Equity","ADJUSTED_DA_EXPENSES","FQ1 2023","FQ1 2023","Currency=USD","Period=FQ","BEST_FPERIOD_OVERRIDE=FQ","FILING_STATUS=MR","SCALING_FORMAT=MLN","Sort=A","Dates=H","DateFormat=P","Fill=—","Direction=H","UseDPDF=Y")</f>
        <v>640</v>
      </c>
      <c r="U17" s="13">
        <f>_xll.BDH("GILD US Equity","ADJUSTED_DA_EXPENSES","FQ2 2023","FQ2 2023","Currency=USD","Period=FQ","BEST_FPERIOD_OVERRIDE=FQ","FILING_STATUS=MR","SCALING_FORMAT=MLN","Sort=A","Dates=H","DateFormat=P","Fill=—","Direction=H","UseDPDF=Y")</f>
        <v>681</v>
      </c>
      <c r="V17" s="13">
        <f>_xll.BDH("GILD US Equity","ADJUSTED_DA_EXPENSES","FQ3 2023","FQ3 2023","Currency=USD","Period=FQ","BEST_FPERIOD_OVERRIDE=FQ","FILING_STATUS=MR","SCALING_FORMAT=MLN","Sort=A","Dates=H","DateFormat=P","Fill=—","Direction=H","UseDPDF=Y")</f>
        <v>684</v>
      </c>
      <c r="W17" s="13">
        <f>_xll.BDH("GILD US Equity","ADJUSTED_DA_EXPENSES","FQ4 2023","FQ4 2023","Currency=USD","Period=FQ","BEST_FPERIOD_OVERRIDE=FQ","FILING_STATUS=MR","SCALING_FORMAT=MLN","Sort=A","Dates=H","DateFormat=P","Fill=—","Direction=H","UseDPDF=Y")</f>
        <v>688</v>
      </c>
      <c r="X17" s="13">
        <f>_xll.BDH("GILD US Equity","ADJUSTED_DA_EXPENSES","FQ1 2024","FQ1 2024","Currency=USD","Period=FQ","BEST_FPERIOD_OVERRIDE=FQ","FILING_STATUS=MR","SCALING_FORMAT=MLN","Sort=A","Dates=H","DateFormat=P","Fill=—","Direction=H","UseDPDF=Y")</f>
        <v>690</v>
      </c>
      <c r="Y17" s="13">
        <f>_xll.BDH("GILD US Equity","ADJUSTED_DA_EXPENSES","FQ2 2024","FQ2 2024","Currency=USD","Period=FQ","BEST_FPERIOD_OVERRIDE=FQ","FILING_STATUS=MR","SCALING_FORMAT=MLN","Sort=A","Dates=H","DateFormat=P","Fill=—","Direction=H","UseDPDF=Y")</f>
        <v>694</v>
      </c>
      <c r="Z17" s="13">
        <f>_xll.BDH("GILD US Equity","ADJUSTED_DA_EXPENSES","FQ3 2024","FQ3 2024","Currency=USD","Period=FQ","BEST_FPERIOD_OVERRIDE=FQ","FILING_STATUS=MR","SCALING_FORMAT=MLN","Sort=A","Dates=H","DateFormat=P","Fill=—","Direction=H","UseDPDF=Y")</f>
        <v>690</v>
      </c>
      <c r="AA17" s="13">
        <f>_xll.BDH("GILD US Equity","ADJUSTED_DA_EXPENSES","FQ4 2024","FQ4 2024","Currency=USD","Period=FQ","BEST_FPERIOD_OVERRIDE=FQ","FILING_STATUS=MR","SCALING_FORMAT=MLN","Sort=A","Dates=H","DateFormat=P","Fill=—","Direction=H","UseDPDF=Y")</f>
        <v>693</v>
      </c>
    </row>
    <row r="18" spans="1:27" x14ac:dyDescent="0.25">
      <c r="A18" s="10" t="s">
        <v>656</v>
      </c>
      <c r="B18" s="10" t="s">
        <v>657</v>
      </c>
      <c r="C18" s="13">
        <f>_xll.BDH("GILD US Equity","COST_CAPITALIZED_OPERATING_LEAS","FQ4 2018","FQ4 2018","Currency=USD","Period=FQ","BEST_FPERIOD_OVERRIDE=FQ","FILING_STATUS=MR","SCALING_FORMAT=MLN","Sort=A","Dates=H","DateFormat=P","Fill=—","Direction=H","UseDPDF=Y")</f>
        <v>0</v>
      </c>
      <c r="D18" s="13">
        <f>_xll.BDH("GILD US Equity","COST_CAPITALIZED_OPERATING_LEAS","FQ1 2019","FQ1 2019","Currency=USD","Period=FQ","BEST_FPERIOD_OVERRIDE=FQ","FILING_STATUS=MR","SCALING_FORMAT=MLN","Sort=A","Dates=H","DateFormat=P","Fill=—","Direction=H","UseDPDF=Y")</f>
        <v>36</v>
      </c>
      <c r="E18" s="13">
        <f>_xll.BDH("GILD US Equity","COST_CAPITALIZED_OPERATING_LEAS","FQ2 2019","FQ2 2019","Currency=USD","Period=FQ","BEST_FPERIOD_OVERRIDE=FQ","FILING_STATUS=MR","SCALING_FORMAT=MLN","Sort=A","Dates=H","DateFormat=P","Fill=—","Direction=H","UseDPDF=Y")</f>
        <v>38</v>
      </c>
      <c r="F18" s="13">
        <f>_xll.BDH("GILD US Equity","COST_CAPITALIZED_OPERATING_LEAS","FQ3 2019","FQ3 2019","Currency=USD","Period=FQ","BEST_FPERIOD_OVERRIDE=FQ","FILING_STATUS=MR","SCALING_FORMAT=MLN","Sort=A","Dates=H","DateFormat=P","Fill=—","Direction=H","UseDPDF=Y")</f>
        <v>44</v>
      </c>
      <c r="G18" s="13">
        <f>_xll.BDH("GILD US Equity","COST_CAPITALIZED_OPERATING_LEAS","FQ4 2019","FQ4 2019","Currency=USD","Period=FQ","BEST_FPERIOD_OVERRIDE=FQ","FILING_STATUS=MR","SCALING_FORMAT=MLN","Sort=A","Dates=H","DateFormat=P","Fill=—","Direction=H","UseDPDF=Y")</f>
        <v>44</v>
      </c>
      <c r="H18" s="13">
        <f>_xll.BDH("GILD US Equity","COST_CAPITALIZED_OPERATING_LEAS","FQ1 2020","FQ1 2020","Currency=USD","Period=FQ","BEST_FPERIOD_OVERRIDE=FQ","FILING_STATUS=MR","SCALING_FORMAT=MLN","Sort=A","Dates=H","DateFormat=P","Fill=—","Direction=H","UseDPDF=Y")</f>
        <v>0</v>
      </c>
      <c r="I18" s="13">
        <f>_xll.BDH("GILD US Equity","COST_CAPITALIZED_OPERATING_LEAS","FQ2 2020","FQ2 2020","Currency=USD","Period=FQ","BEST_FPERIOD_OVERRIDE=FQ","FILING_STATUS=MR","SCALING_FORMAT=MLN","Sort=A","Dates=H","DateFormat=P","Fill=—","Direction=H","UseDPDF=Y")</f>
        <v>0</v>
      </c>
      <c r="J18" s="13">
        <f>_xll.BDH("GILD US Equity","COST_CAPITALIZED_OPERATING_LEAS","FQ3 2020","FQ3 2020","Currency=USD","Period=FQ","BEST_FPERIOD_OVERRIDE=FQ","FILING_STATUS=MR","SCALING_FORMAT=MLN","Sort=A","Dates=H","DateFormat=P","Fill=—","Direction=H","UseDPDF=Y")</f>
        <v>0</v>
      </c>
      <c r="K18" s="13">
        <f>_xll.BDH("GILD US Equity","COST_CAPITALIZED_OPERATING_LEAS","FQ4 2020","FQ4 2020","Currency=USD","Period=FQ","BEST_FPERIOD_OVERRIDE=FQ","FILING_STATUS=MR","SCALING_FORMAT=MLN","Sort=A","Dates=H","DateFormat=P","Fill=—","Direction=H","UseDPDF=Y")</f>
        <v>0</v>
      </c>
      <c r="L18" s="13">
        <f>_xll.BDH("GILD US Equity","COST_CAPITALIZED_OPERATING_LEAS","FQ1 2021","FQ1 2021","Currency=USD","Period=FQ","BEST_FPERIOD_OVERRIDE=FQ","FILING_STATUS=MR","SCALING_FORMAT=MLN","Sort=A","Dates=H","DateFormat=P","Fill=—","Direction=H","UseDPDF=Y")</f>
        <v>0</v>
      </c>
      <c r="M18" s="13">
        <f>_xll.BDH("GILD US Equity","COST_CAPITALIZED_OPERATING_LEAS","FQ2 2021","FQ2 2021","Currency=USD","Period=FQ","BEST_FPERIOD_OVERRIDE=FQ","FILING_STATUS=MR","SCALING_FORMAT=MLN","Sort=A","Dates=H","DateFormat=P","Fill=—","Direction=H","UseDPDF=Y")</f>
        <v>0</v>
      </c>
      <c r="N18" s="13">
        <f>_xll.BDH("GILD US Equity","COST_CAPITALIZED_OPERATING_LEAS","FQ3 2021","FQ3 2021","Currency=USD","Period=FQ","BEST_FPERIOD_OVERRIDE=FQ","FILING_STATUS=MR","SCALING_FORMAT=MLN","Sort=A","Dates=H","DateFormat=P","Fill=—","Direction=H","UseDPDF=Y")</f>
        <v>0</v>
      </c>
      <c r="O18" s="13">
        <f>_xll.BDH("GILD US Equity","COST_CAPITALIZED_OPERATING_LEAS","FQ4 2021","FQ4 2021","Currency=USD","Period=FQ","BEST_FPERIOD_OVERRIDE=FQ","FILING_STATUS=MR","SCALING_FORMAT=MLN","Sort=A","Dates=H","DateFormat=P","Fill=—","Direction=H","UseDPDF=Y")</f>
        <v>0</v>
      </c>
      <c r="P18" s="13">
        <f>_xll.BDH("GILD US Equity","COST_CAPITALIZED_OPERATING_LEAS","FQ1 2022","FQ1 2022","Currency=USD","Period=FQ","BEST_FPERIOD_OVERRIDE=FQ","FILING_STATUS=MR","SCALING_FORMAT=MLN","Sort=A","Dates=H","DateFormat=P","Fill=—","Direction=H","UseDPDF=Y")</f>
        <v>0</v>
      </c>
      <c r="Q18" s="13">
        <f>_xll.BDH("GILD US Equity","COST_CAPITALIZED_OPERATING_LEAS","FQ2 2022","FQ2 2022","Currency=USD","Period=FQ","BEST_FPERIOD_OVERRIDE=FQ","FILING_STATUS=MR","SCALING_FORMAT=MLN","Sort=A","Dates=H","DateFormat=P","Fill=—","Direction=H","UseDPDF=Y")</f>
        <v>0</v>
      </c>
      <c r="R18" s="13">
        <f>_xll.BDH("GILD US Equity","COST_CAPITALIZED_OPERATING_LEAS","FQ3 2022","FQ3 2022","Currency=USD","Period=FQ","BEST_FPERIOD_OVERRIDE=FQ","FILING_STATUS=MR","SCALING_FORMAT=MLN","Sort=A","Dates=H","DateFormat=P","Fill=—","Direction=H","UseDPDF=Y")</f>
        <v>0</v>
      </c>
      <c r="S18" s="13">
        <f>_xll.BDH("GILD US Equity","COST_CAPITALIZED_OPERATING_LEAS","FQ4 2022","FQ4 2022","Currency=USD","Period=FQ","BEST_FPERIOD_OVERRIDE=FQ","FILING_STATUS=MR","SCALING_FORMAT=MLN","Sort=A","Dates=H","DateFormat=P","Fill=—","Direction=H","UseDPDF=Y")</f>
        <v>0</v>
      </c>
      <c r="T18" s="13">
        <f>_xll.BDH("GILD US Equity","COST_CAPITALIZED_OPERATING_LEAS","FQ1 2023","FQ1 2023","Currency=USD","Period=FQ","BEST_FPERIOD_OVERRIDE=FQ","FILING_STATUS=MR","SCALING_FORMAT=MLN","Sort=A","Dates=H","DateFormat=P","Fill=—","Direction=H","UseDPDF=Y")</f>
        <v>0</v>
      </c>
      <c r="U18" s="13">
        <f>_xll.BDH("GILD US Equity","COST_CAPITALIZED_OPERATING_LEAS","FQ2 2023","FQ2 2023","Currency=USD","Period=FQ","BEST_FPERIOD_OVERRIDE=FQ","FILING_STATUS=MR","SCALING_FORMAT=MLN","Sort=A","Dates=H","DateFormat=P","Fill=—","Direction=H","UseDPDF=Y")</f>
        <v>0</v>
      </c>
      <c r="V18" s="13">
        <f>_xll.BDH("GILD US Equity","COST_CAPITALIZED_OPERATING_LEAS","FQ3 2023","FQ3 2023","Currency=USD","Period=FQ","BEST_FPERIOD_OVERRIDE=FQ","FILING_STATUS=MR","SCALING_FORMAT=MLN","Sort=A","Dates=H","DateFormat=P","Fill=—","Direction=H","UseDPDF=Y")</f>
        <v>0</v>
      </c>
      <c r="W18" s="13">
        <f>_xll.BDH("GILD US Equity","COST_CAPITALIZED_OPERATING_LEAS","FQ4 2023","FQ4 2023","Currency=USD","Period=FQ","BEST_FPERIOD_OVERRIDE=FQ","FILING_STATUS=MR","SCALING_FORMAT=MLN","Sort=A","Dates=H","DateFormat=P","Fill=—","Direction=H","UseDPDF=Y")</f>
        <v>0</v>
      </c>
      <c r="X18" s="13">
        <f>_xll.BDH("GILD US Equity","COST_CAPITALIZED_OPERATING_LEAS","FQ1 2024","FQ1 2024","Currency=USD","Period=FQ","BEST_FPERIOD_OVERRIDE=FQ","FILING_STATUS=MR","SCALING_FORMAT=MLN","Sort=A","Dates=H","DateFormat=P","Fill=—","Direction=H","UseDPDF=Y")</f>
        <v>0</v>
      </c>
      <c r="Y18" s="13">
        <f>_xll.BDH("GILD US Equity","COST_CAPITALIZED_OPERATING_LEAS","FQ2 2024","FQ2 2024","Currency=USD","Period=FQ","BEST_FPERIOD_OVERRIDE=FQ","FILING_STATUS=MR","SCALING_FORMAT=MLN","Sort=A","Dates=H","DateFormat=P","Fill=—","Direction=H","UseDPDF=Y")</f>
        <v>0</v>
      </c>
      <c r="Z18" s="13">
        <f>_xll.BDH("GILD US Equity","COST_CAPITALIZED_OPERATING_LEAS","FQ3 2024","FQ3 2024","Currency=USD","Period=FQ","BEST_FPERIOD_OVERRIDE=FQ","FILING_STATUS=MR","SCALING_FORMAT=MLN","Sort=A","Dates=H","DateFormat=P","Fill=—","Direction=H","UseDPDF=Y")</f>
        <v>0</v>
      </c>
      <c r="AA18" s="13">
        <f>_xll.BDH("GILD US Equity","COST_CAPITALIZED_OPERATING_LEAS","FQ4 2024","FQ4 2024","Currency=USD","Period=FQ","BEST_FPERIOD_OVERRIDE=FQ","FILING_STATUS=MR","SCALING_FORMAT=MLN","Sort=A","Dates=H","DateFormat=P","Fill=—","Direction=H","UseDPDF=Y")</f>
        <v>0</v>
      </c>
    </row>
    <row r="19" spans="1:27" x14ac:dyDescent="0.25">
      <c r="A19" s="6" t="s">
        <v>658</v>
      </c>
      <c r="B19" s="6" t="s">
        <v>78</v>
      </c>
      <c r="C19" s="19">
        <f>_xll.BDH("GILD US Equity","EBITDA","FQ4 2018","FQ4 2018","Currency=USD","Period=FQ","BEST_FPERIOD_OVERRIDE=FQ","FILING_STATUS=MR","SCALING_FORMAT=MLN","FA_ADJUSTED=Adjusted","Sort=A","Dates=H","DateFormat=P","Fill=—","Direction=H","UseDPDF=Y")</f>
        <v>2449</v>
      </c>
      <c r="D19" s="19">
        <f>_xll.BDH("GILD US Equity","EBITDA","FQ1 2019","FQ1 2019","Currency=USD","Period=FQ","BEST_FPERIOD_OVERRIDE=FQ","FILING_STATUS=MR","SCALING_FORMAT=MLN","FA_ADJUSTED=Adjusted","Sort=A","Dates=H","DateFormat=P","Fill=—","Direction=H","UseDPDF=Y")</f>
        <v>2754.7847999999999</v>
      </c>
      <c r="E19" s="19">
        <f>_xll.BDH("GILD US Equity","EBITDA","FQ2 2019","FQ2 2019","Currency=USD","Period=FQ","BEST_FPERIOD_OVERRIDE=FQ","FILING_STATUS=MR","SCALING_FORMAT=MLN","FA_ADJUSTED=Adjusted","Sort=A","Dates=H","DateFormat=P","Fill=—","Direction=H","UseDPDF=Y")</f>
        <v>2980</v>
      </c>
      <c r="F19" s="19">
        <f>_xll.BDH("GILD US Equity","EBITDA","FQ3 2019","FQ3 2019","Currency=USD","Period=FQ","BEST_FPERIOD_OVERRIDE=FQ","FILING_STATUS=MR","SCALING_FORMAT=MLN","FA_ADJUSTED=Adjusted","Sort=A","Dates=H","DateFormat=P","Fill=—","Direction=H","UseDPDF=Y")</f>
        <v>2887</v>
      </c>
      <c r="G19" s="19">
        <f>_xll.BDH("GILD US Equity","EBITDA","FQ4 2019","FQ4 2019","Currency=USD","Period=FQ","BEST_FPERIOD_OVERRIDE=FQ","FILING_STATUS=MR","SCALING_FORMAT=MLN","FA_ADJUSTED=Adjusted","Sort=A","Dates=H","DateFormat=P","Fill=—","Direction=H","UseDPDF=Y")</f>
        <v>2283</v>
      </c>
      <c r="H19" s="19">
        <f>_xll.BDH("GILD US Equity","EBITDA","FQ1 2020","FQ1 2020","Currency=USD","Period=FQ","BEST_FPERIOD_OVERRIDE=FQ","FILING_STATUS=MR","SCALING_FORMAT=MLN","FA_ADJUSTED=Adjusted","Sort=A","Dates=H","DateFormat=P","Fill=—","Direction=H","UseDPDF=Y")</f>
        <v>3114</v>
      </c>
      <c r="I19" s="19">
        <f>_xll.BDH("GILD US Equity","EBITDA","FQ2 2020","FQ2 2020","Currency=USD","Period=FQ","BEST_FPERIOD_OVERRIDE=FQ","FILING_STATUS=MR","SCALING_FORMAT=MLN","FA_ADJUSTED=Adjusted","Sort=A","Dates=H","DateFormat=P","Fill=—","Direction=H","UseDPDF=Y")</f>
        <v>2078</v>
      </c>
      <c r="J19" s="19">
        <f>_xll.BDH("GILD US Equity","EBITDA","FQ3 2020","FQ3 2020","Currency=USD","Period=FQ","BEST_FPERIOD_OVERRIDE=FQ","FILING_STATUS=MR","SCALING_FORMAT=MLN","FA_ADJUSTED=Adjusted","Sort=A","Dates=H","DateFormat=P","Fill=—","Direction=H","UseDPDF=Y")</f>
        <v>3541</v>
      </c>
      <c r="K19" s="19">
        <f>_xll.BDH("GILD US Equity","EBITDA","FQ4 2020","FQ4 2020","Currency=USD","Period=FQ","BEST_FPERIOD_OVERRIDE=FQ","FILING_STATUS=MR","SCALING_FORMAT=MLN","FA_ADJUSTED=Adjusted","Sort=A","Dates=H","DateFormat=P","Fill=—","Direction=H","UseDPDF=Y")</f>
        <v>3502</v>
      </c>
      <c r="L19" s="19">
        <f>_xll.BDH("GILD US Equity","EBITDA","FQ1 2021","FQ1 2021","Currency=USD","Period=FQ","BEST_FPERIOD_OVERRIDE=FQ","FILING_STATUS=MR","SCALING_FORMAT=MLN","FA_ADJUSTED=Adjusted","Sort=A","Dates=H","DateFormat=P","Fill=—","Direction=H","UseDPDF=Y")</f>
        <v>3959</v>
      </c>
      <c r="M19" s="19">
        <f>_xll.BDH("GILD US Equity","EBITDA","FQ2 2021","FQ2 2021","Currency=USD","Period=FQ","BEST_FPERIOD_OVERRIDE=FQ","FILING_STATUS=MR","SCALING_FORMAT=MLN","FA_ADJUSTED=Adjusted","Sort=A","Dates=H","DateFormat=P","Fill=—","Direction=H","UseDPDF=Y")</f>
        <v>3141</v>
      </c>
      <c r="N19" s="19">
        <f>_xll.BDH("GILD US Equity","EBITDA","FQ3 2021","FQ3 2021","Currency=USD","Period=FQ","BEST_FPERIOD_OVERRIDE=FQ","FILING_STATUS=MR","SCALING_FORMAT=MLN","FA_ADJUSTED=Adjusted","Sort=A","Dates=H","DateFormat=P","Fill=—","Direction=H","UseDPDF=Y")</f>
        <v>4367</v>
      </c>
      <c r="O19" s="19">
        <f>_xll.BDH("GILD US Equity","EBITDA","FQ4 2021","FQ4 2021","Currency=USD","Period=FQ","BEST_FPERIOD_OVERRIDE=FQ","FILING_STATUS=MR","SCALING_FORMAT=MLN","FA_ADJUSTED=Adjusted","Sort=A","Dates=H","DateFormat=P","Fill=—","Direction=H","UseDPDF=Y")</f>
        <v>2156.7975000000001</v>
      </c>
      <c r="P19" s="19">
        <f>_xll.BDH("GILD US Equity","EBITDA","FQ1 2022","FQ1 2022","Currency=USD","Period=FQ","BEST_FPERIOD_OVERRIDE=FQ","FILING_STATUS=MR","SCALING_FORMAT=MLN","FA_ADJUSTED=Adjusted","Sort=A","Dates=H","DateFormat=P","Fill=—","Direction=H","UseDPDF=Y")</f>
        <v>3492</v>
      </c>
      <c r="Q19" s="19">
        <f>_xll.BDH("GILD US Equity","EBITDA","FQ2 2022","FQ2 2022","Currency=USD","Period=FQ","BEST_FPERIOD_OVERRIDE=FQ","FILING_STATUS=MR","SCALING_FORMAT=MLN","FA_ADJUSTED=Adjusted","Sort=A","Dates=H","DateFormat=P","Fill=—","Direction=H","UseDPDF=Y")</f>
        <v>3277</v>
      </c>
      <c r="R19" s="19">
        <f>_xll.BDH("GILD US Equity","EBITDA","FQ3 2022","FQ3 2022","Currency=USD","Period=FQ","BEST_FPERIOD_OVERRIDE=FQ","FILING_STATUS=MR","SCALING_FORMAT=MLN","FA_ADJUSTED=Adjusted","Sort=A","Dates=H","DateFormat=P","Fill=—","Direction=H","UseDPDF=Y")</f>
        <v>4236</v>
      </c>
      <c r="S19" s="19">
        <f>_xll.BDH("GILD US Equity","EBITDA","FQ4 2022","FQ4 2022","Currency=USD","Period=FQ","BEST_FPERIOD_OVERRIDE=FQ","FILING_STATUS=MR","SCALING_FORMAT=MLN","FA_ADJUSTED=Adjusted","Sort=A","Dates=H","DateFormat=P","Fill=—","Direction=H","UseDPDF=Y")</f>
        <v>2957</v>
      </c>
      <c r="T19" s="19">
        <f>_xll.BDH("GILD US Equity","EBITDA","FQ1 2023","FQ1 2023","Currency=USD","Period=FQ","BEST_FPERIOD_OVERRIDE=FQ","FILING_STATUS=MR","SCALING_FORMAT=MLN","FA_ADJUSTED=Adjusted","Sort=A","Dates=H","DateFormat=P","Fill=—","Direction=H","UseDPDF=Y")</f>
        <v>2835</v>
      </c>
      <c r="U19" s="19">
        <f>_xll.BDH("GILD US Equity","EBITDA","FQ2 2023","FQ2 2023","Currency=USD","Period=FQ","BEST_FPERIOD_OVERRIDE=FQ","FILING_STATUS=MR","SCALING_FORMAT=MLN","FA_ADJUSTED=Adjusted","Sort=A","Dates=H","DateFormat=P","Fill=—","Direction=H","UseDPDF=Y")</f>
        <v>2544</v>
      </c>
      <c r="V19" s="19">
        <f>_xll.BDH("GILD US Equity","EBITDA","FQ3 2023","FQ3 2023","Currency=USD","Period=FQ","BEST_FPERIOD_OVERRIDE=FQ","FILING_STATUS=MR","SCALING_FORMAT=MLN","FA_ADJUSTED=Adjusted","Sort=A","Dates=H","DateFormat=P","Fill=—","Direction=H","UseDPDF=Y")</f>
        <v>3587</v>
      </c>
      <c r="W19" s="19">
        <f>_xll.BDH("GILD US Equity","EBITDA","FQ4 2023","FQ4 2023","Currency=USD","Period=FQ","BEST_FPERIOD_OVERRIDE=FQ","FILING_STATUS=MR","SCALING_FORMAT=MLN","FA_ADJUSTED=Adjusted","Sort=A","Dates=H","DateFormat=P","Fill=—","Direction=H","UseDPDF=Y")</f>
        <v>3194</v>
      </c>
      <c r="X19" s="19">
        <f>_xll.BDH("GILD US Equity","EBITDA","FQ1 2024","FQ1 2024","Currency=USD","Period=FQ","BEST_FPERIOD_OVERRIDE=FQ","FILING_STATUS=MR","SCALING_FORMAT=MLN","FA_ADJUSTED=Adjusted","Sort=A","Dates=H","DateFormat=P","Fill=—","Direction=H","UseDPDF=Y")</f>
        <v>3125</v>
      </c>
      <c r="Y19" s="19">
        <f>_xll.BDH("GILD US Equity","EBITDA","FQ2 2024","FQ2 2024","Currency=USD","Period=FQ","BEST_FPERIOD_OVERRIDE=FQ","FILING_STATUS=MR","SCALING_FORMAT=MLN","FA_ADJUSTED=Adjusted","Sort=A","Dates=H","DateFormat=P","Fill=—","Direction=H","UseDPDF=Y")</f>
        <v>3810</v>
      </c>
      <c r="Z19" s="19">
        <f>_xll.BDH("GILD US Equity","EBITDA","FQ3 2024","FQ3 2024","Currency=USD","Period=FQ","BEST_FPERIOD_OVERRIDE=FQ","FILING_STATUS=MR","SCALING_FORMAT=MLN","FA_ADJUSTED=Adjusted","Sort=A","Dates=H","DateFormat=P","Fill=—","Direction=H","UseDPDF=Y")</f>
        <v>3874</v>
      </c>
      <c r="AA19" s="19">
        <f>_xll.BDH("GILD US Equity","EBITDA","FQ4 2024","FQ4 2024","Currency=USD","Period=FQ","BEST_FPERIOD_OVERRIDE=FQ","FILING_STATUS=MR","SCALING_FORMAT=MLN","FA_ADJUSTED=Adjusted","Sort=A","Dates=H","DateFormat=P","Fill=—","Direction=H","UseDPDF=Y")</f>
        <v>3217</v>
      </c>
    </row>
    <row r="20" spans="1:27" x14ac:dyDescent="0.25">
      <c r="A20" s="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6" t="s">
        <v>659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x14ac:dyDescent="0.25">
      <c r="A22" s="6" t="s">
        <v>636</v>
      </c>
      <c r="B22" s="6" t="s">
        <v>99</v>
      </c>
      <c r="C22" s="19">
        <f>_xll.BDH("GILD US Equity","IS_OPER_INC","FQ4 2018","FQ4 2018","Currency=USD","Period=FQ","BEST_FPERIOD_OVERRIDE=FQ","FILING_STATUS=MR","SCALING_FORMAT=MLN","FA_ADJUSTED=GAAP","Sort=A","Dates=H","DateFormat=P","Fill=—","Direction=H","UseDPDF=Y")</f>
        <v>1144</v>
      </c>
      <c r="D22" s="19">
        <f>_xll.BDH("GILD US Equity","IS_OPER_INC","FQ1 2019","FQ1 2019","Currency=USD","Period=FQ","BEST_FPERIOD_OVERRIDE=FQ","FILING_STATUS=MR","SCALING_FORMAT=MLN","FA_ADJUSTED=GAAP","Sort=A","Dates=H","DateFormat=P","Fill=—","Direction=H","UseDPDF=Y")</f>
        <v>2237</v>
      </c>
      <c r="E22" s="19">
        <f>_xll.BDH("GILD US Equity","IS_OPER_INC","FQ2 2019","FQ2 2019","Currency=USD","Period=FQ","BEST_FPERIOD_OVERRIDE=FQ","FILING_STATUS=MR","SCALING_FORMAT=MLN","FA_ADJUSTED=GAAP","Sort=A","Dates=H","DateFormat=P","Fill=—","Direction=H","UseDPDF=Y")</f>
        <v>2430</v>
      </c>
      <c r="F22" s="19">
        <f>_xll.BDH("GILD US Equity","IS_OPER_INC","FQ3 2019","FQ3 2019","Currency=USD","Period=FQ","BEST_FPERIOD_OVERRIDE=FQ","FILING_STATUS=MR","SCALING_FORMAT=MLN","FA_ADJUSTED=GAAP","Sort=A","Dates=H","DateFormat=P","Fill=—","Direction=H","UseDPDF=Y")</f>
        <v>-1473</v>
      </c>
      <c r="G22" s="19">
        <f>_xll.BDH("GILD US Equity","IS_OPER_INC","FQ4 2019","FQ4 2019","Currency=USD","Period=FQ","BEST_FPERIOD_OVERRIDE=FQ","FILING_STATUS=MR","SCALING_FORMAT=MLN","FA_ADJUSTED=GAAP","Sort=A","Dates=H","DateFormat=P","Fill=—","Direction=H","UseDPDF=Y")</f>
        <v>1093</v>
      </c>
      <c r="H22" s="19">
        <f>_xll.BDH("GILD US Equity","IS_OPER_INC","FQ1 2020","FQ1 2020","Currency=USD","Period=FQ","BEST_FPERIOD_OVERRIDE=FQ","FILING_STATUS=MR","SCALING_FORMAT=MLN","FA_ADJUSTED=GAAP","Sort=A","Dates=H","DateFormat=P","Fill=—","Direction=H","UseDPDF=Y")</f>
        <v>2402</v>
      </c>
      <c r="I22" s="19">
        <f>_xll.BDH("GILD US Equity","IS_OPER_INC","FQ2 2020","FQ2 2020","Currency=USD","Period=FQ","BEST_FPERIOD_OVERRIDE=FQ","FILING_STATUS=MR","SCALING_FORMAT=MLN","FA_ADJUSTED=GAAP","Sort=A","Dates=H","DateFormat=P","Fill=—","Direction=H","UseDPDF=Y")</f>
        <v>-2983</v>
      </c>
      <c r="J22" s="19">
        <f>_xll.BDH("GILD US Equity","IS_OPER_INC","FQ3 2020","FQ3 2020","Currency=USD","Period=FQ","BEST_FPERIOD_OVERRIDE=FQ","FILING_STATUS=MR","SCALING_FORMAT=MLN","FA_ADJUSTED=GAAP","Sort=A","Dates=H","DateFormat=P","Fill=—","Direction=H","UseDPDF=Y")</f>
        <v>2001</v>
      </c>
      <c r="K22" s="19">
        <f>_xll.BDH("GILD US Equity","IS_OPER_INC","FQ4 2020","FQ4 2020","Currency=USD","Period=FQ","BEST_FPERIOD_OVERRIDE=FQ","FILING_STATUS=MR","SCALING_FORMAT=MLN","FA_ADJUSTED=GAAP","Sort=A","Dates=H","DateFormat=P","Fill=—","Direction=H","UseDPDF=Y")</f>
        <v>2651</v>
      </c>
      <c r="L22" s="19">
        <f>_xll.BDH("GILD US Equity","IS_OPER_INC","FQ1 2021","FQ1 2021","Currency=USD","Period=FQ","BEST_FPERIOD_OVERRIDE=FQ","FILING_STATUS=MR","SCALING_FORMAT=MLN","FA_ADJUSTED=GAAP","Sort=A","Dates=H","DateFormat=P","Fill=—","Direction=H","UseDPDF=Y")</f>
        <v>2890</v>
      </c>
      <c r="M22" s="19">
        <f>_xll.BDH("GILD US Equity","IS_OPER_INC","FQ2 2021","FQ2 2021","Currency=USD","Period=FQ","BEST_FPERIOD_OVERRIDE=FQ","FILING_STATUS=MR","SCALING_FORMAT=MLN","FA_ADJUSTED=GAAP","Sort=A","Dates=H","DateFormat=P","Fill=—","Direction=H","UseDPDF=Y")</f>
        <v>2246</v>
      </c>
      <c r="N22" s="19">
        <f>_xll.BDH("GILD US Equity","IS_OPER_INC","FQ3 2021","FQ3 2021","Currency=USD","Period=FQ","BEST_FPERIOD_OVERRIDE=FQ","FILING_STATUS=MR","SCALING_FORMAT=MLN","FA_ADJUSTED=GAAP","Sort=A","Dates=H","DateFormat=P","Fill=—","Direction=H","UseDPDF=Y")</f>
        <v>3842</v>
      </c>
      <c r="O22" s="19">
        <f>_xll.BDH("GILD US Equity","IS_OPER_INC","FQ4 2021","FQ4 2021","Currency=USD","Period=FQ","BEST_FPERIOD_OVERRIDE=FQ","FILING_STATUS=MR","SCALING_FORMAT=MLN","FA_ADJUSTED=GAAP","Sort=A","Dates=H","DateFormat=P","Fill=—","Direction=H","UseDPDF=Y")</f>
        <v>940</v>
      </c>
      <c r="P22" s="19">
        <f>_xll.BDH("GILD US Equity","IS_OPER_INC","FQ1 2022","FQ1 2022","Currency=USD","Period=FQ","BEST_FPERIOD_OVERRIDE=FQ","FILING_STATUS=MR","SCALING_FORMAT=MLN","FA_ADJUSTED=GAAP","Sort=A","Dates=H","DateFormat=P","Fill=—","Direction=H","UseDPDF=Y")</f>
        <v>197</v>
      </c>
      <c r="Q22" s="19">
        <f>_xll.BDH("GILD US Equity","IS_OPER_INC","FQ2 2022","FQ2 2022","Currency=USD","Period=FQ","BEST_FPERIOD_OVERRIDE=FQ","FILING_STATUS=MR","SCALING_FORMAT=MLN","FA_ADJUSTED=GAAP","Sort=A","Dates=H","DateFormat=P","Fill=—","Direction=H","UseDPDF=Y")</f>
        <v>2029</v>
      </c>
      <c r="R22" s="19">
        <f>_xll.BDH("GILD US Equity","IS_OPER_INC","FQ3 2022","FQ3 2022","Currency=USD","Period=FQ","BEST_FPERIOD_OVERRIDE=FQ","FILING_STATUS=MR","SCALING_FORMAT=MLN","FA_ADJUSTED=GAAP","Sort=A","Dates=H","DateFormat=P","Fill=—","Direction=H","UseDPDF=Y")</f>
        <v>2837</v>
      </c>
      <c r="S22" s="19">
        <f>_xll.BDH("GILD US Equity","IS_OPER_INC","FQ4 2022","FQ4 2022","Currency=USD","Period=FQ","BEST_FPERIOD_OVERRIDE=FQ","FILING_STATUS=MR","SCALING_FORMAT=MLN","FA_ADJUSTED=GAAP","Sort=A","Dates=H","DateFormat=P","Fill=—","Direction=H","UseDPDF=Y")</f>
        <v>2267</v>
      </c>
      <c r="T22" s="19">
        <f>_xll.BDH("GILD US Equity","IS_OPER_INC","FQ1 2023","FQ1 2023","Currency=USD","Period=FQ","BEST_FPERIOD_OVERRIDE=FQ","FILING_STATUS=MR","SCALING_FORMAT=MLN","FA_ADJUSTED=GAAP","Sort=A","Dates=H","DateFormat=P","Fill=—","Direction=H","UseDPDF=Y")</f>
        <v>1705</v>
      </c>
      <c r="U22" s="19">
        <f>_xll.BDH("GILD US Equity","IS_OPER_INC","FQ2 2023","FQ2 2023","Currency=USD","Period=FQ","BEST_FPERIOD_OVERRIDE=FQ","FILING_STATUS=MR","SCALING_FORMAT=MLN","FA_ADJUSTED=GAAP","Sort=A","Dates=H","DateFormat=P","Fill=—","Direction=H","UseDPDF=Y")</f>
        <v>1665</v>
      </c>
      <c r="V22" s="19">
        <f>_xll.BDH("GILD US Equity","IS_OPER_INC","FQ3 2023","FQ3 2023","Currency=USD","Period=FQ","BEST_FPERIOD_OVERRIDE=FQ","FILING_STATUS=MR","SCALING_FORMAT=MLN","FA_ADJUSTED=GAAP","Sort=A","Dates=H","DateFormat=P","Fill=—","Direction=H","UseDPDF=Y")</f>
        <v>2623</v>
      </c>
      <c r="W22" s="19">
        <f>_xll.BDH("GILD US Equity","IS_OPER_INC","FQ4 2023","FQ4 2023","Currency=USD","Period=FQ","BEST_FPERIOD_OVERRIDE=FQ","FILING_STATUS=MR","SCALING_FORMAT=MLN","FA_ADJUSTED=GAAP","Sort=A","Dates=H","DateFormat=P","Fill=—","Direction=H","UseDPDF=Y")</f>
        <v>1612</v>
      </c>
      <c r="X22" s="19">
        <f>_xll.BDH("GILD US Equity","IS_OPER_INC","FQ1 2024","FQ1 2024","Currency=USD","Period=FQ","BEST_FPERIOD_OVERRIDE=FQ","FILING_STATUS=MR","SCALING_FORMAT=MLN","FA_ADJUSTED=GAAP","Sort=A","Dates=H","DateFormat=P","Fill=—","Direction=H","UseDPDF=Y")</f>
        <v>-4322</v>
      </c>
      <c r="Y22" s="19">
        <f>_xll.BDH("GILD US Equity","IS_OPER_INC","FQ2 2024","FQ2 2024","Currency=USD","Period=FQ","BEST_FPERIOD_OVERRIDE=FQ","FILING_STATUS=MR","SCALING_FORMAT=MLN","FA_ADJUSTED=GAAP","Sort=A","Dates=H","DateFormat=P","Fill=—","Direction=H","UseDPDF=Y")</f>
        <v>2644</v>
      </c>
      <c r="Z22" s="19">
        <f>_xll.BDH("GILD US Equity","IS_OPER_INC","FQ3 2024","FQ3 2024","Currency=USD","Period=FQ","BEST_FPERIOD_OVERRIDE=FQ","FILING_STATUS=MR","SCALING_FORMAT=MLN","FA_ADJUSTED=GAAP","Sort=A","Dates=H","DateFormat=P","Fill=—","Direction=H","UseDPDF=Y")</f>
        <v>888</v>
      </c>
      <c r="AA22" s="19">
        <f>_xll.BDH("GILD US Equity","IS_OPER_INC","FQ4 2024","FQ4 2024","Currency=USD","Period=FQ","BEST_FPERIOD_OVERRIDE=FQ","FILING_STATUS=MR","SCALING_FORMAT=MLN","FA_ADJUSTED=GAAP","Sort=A","Dates=H","DateFormat=P","Fill=—","Direction=H","UseDPDF=Y")</f>
        <v>2451</v>
      </c>
    </row>
    <row r="23" spans="1:27" x14ac:dyDescent="0.25">
      <c r="A23" s="10" t="s">
        <v>660</v>
      </c>
      <c r="B23" s="10" t="s">
        <v>661</v>
      </c>
      <c r="C23" s="13" t="str">
        <f>_xll.BDH("GILD US Equity","IS_AIP_RD_EXPENSE_OPERATING","FQ4 2018","FQ4 2018","Currency=USD","Period=FQ","BEST_FPERIOD_OVERRIDE=FQ","FILING_STATUS=MR","SCALING_FORMAT=MLN","Sort=A","Dates=H","DateFormat=P","Fill=—","Direction=H","UseDPDF=Y")</f>
        <v>—</v>
      </c>
      <c r="D23" s="13" t="str">
        <f>_xll.BDH("GILD US Equity","IS_AIP_RD_EXPENSE_OPERATING","FQ1 2019","FQ1 2019","Currency=USD","Period=FQ","BEST_FPERIOD_OVERRIDE=FQ","FILING_STATUS=MR","SCALING_FORMAT=MLN","Sort=A","Dates=H","DateFormat=P","Fill=—","Direction=H","UseDPDF=Y")</f>
        <v>—</v>
      </c>
      <c r="E23" s="13" t="str">
        <f>_xll.BDH("GILD US Equity","IS_AIP_RD_EXPENSE_OPERATING","FQ2 2019","FQ2 2019","Currency=USD","Period=FQ","BEST_FPERIOD_OVERRIDE=FQ","FILING_STATUS=MR","SCALING_FORMAT=MLN","Sort=A","Dates=H","DateFormat=P","Fill=—","Direction=H","UseDPDF=Y")</f>
        <v>—</v>
      </c>
      <c r="F23" s="13">
        <f>_xll.BDH("GILD US Equity","IS_AIP_RD_EXPENSE_OPERATING","FQ3 2019","FQ3 2019","Currency=USD","Period=FQ","BEST_FPERIOD_OVERRIDE=FQ","FILING_STATUS=MR","SCALING_FORMAT=MLN","Sort=A","Dates=H","DateFormat=P","Fill=—","Direction=H","UseDPDF=Y")</f>
        <v>3960</v>
      </c>
      <c r="G23" s="13">
        <f>_xll.BDH("GILD US Equity","IS_AIP_RD_EXPENSE_OPERATING","FQ4 2019","FQ4 2019","Currency=USD","Period=FQ","BEST_FPERIOD_OVERRIDE=FQ","FILING_STATUS=MR","SCALING_FORMAT=MLN","Sort=A","Dates=H","DateFormat=P","Fill=—","Direction=H","UseDPDF=Y")</f>
        <v>800</v>
      </c>
      <c r="H23" s="13">
        <f>_xll.BDH("GILD US Equity","IS_AIP_RD_EXPENSE_OPERATING","FQ1 2020","FQ1 2020","Currency=USD","Period=FQ","BEST_FPERIOD_OVERRIDE=FQ","FILING_STATUS=MR","SCALING_FORMAT=MLN","Sort=A","Dates=H","DateFormat=P","Fill=—","Direction=H","UseDPDF=Y")</f>
        <v>97</v>
      </c>
      <c r="I23" s="13">
        <f>_xll.BDH("GILD US Equity","IS_AIP_RD_EXPENSE_OPERATING","FQ2 2020","FQ2 2020","Currency=USD","Period=FQ","BEST_FPERIOD_OVERRIDE=FQ","FILING_STATUS=MR","SCALING_FORMAT=MLN","Sort=A","Dates=H","DateFormat=P","Fill=—","Direction=H","UseDPDF=Y")</f>
        <v>4524</v>
      </c>
      <c r="J23" s="13">
        <f>_xll.BDH("GILD US Equity","IS_AIP_RD_EXPENSE_OPERATING","FQ3 2020","FQ3 2020","Currency=USD","Period=FQ","BEST_FPERIOD_OVERRIDE=FQ","FILING_STATUS=MR","SCALING_FORMAT=MLN","Sort=A","Dates=H","DateFormat=P","Fill=—","Direction=H","UseDPDF=Y")</f>
        <v>1171</v>
      </c>
      <c r="K23" s="13">
        <f>_xll.BDH("GILD US Equity","IS_AIP_RD_EXPENSE_OPERATING","FQ4 2020","FQ4 2020","Currency=USD","Period=FQ","BEST_FPERIOD_OVERRIDE=FQ","FILING_STATUS=MR","SCALING_FORMAT=MLN","Sort=A","Dates=H","DateFormat=P","Fill=—","Direction=H","UseDPDF=Y")</f>
        <v>64</v>
      </c>
      <c r="L23" s="13">
        <f>_xll.BDH("GILD US Equity","IS_AIP_RD_EXPENSE_OPERATING","FQ1 2021","FQ1 2021","Currency=USD","Period=FQ","BEST_FPERIOD_OVERRIDE=FQ","FILING_STATUS=MR","SCALING_FORMAT=MLN","Sort=A","Dates=H","DateFormat=P","Fill=—","Direction=H","UseDPDF=Y")</f>
        <v>62</v>
      </c>
      <c r="M23" s="13">
        <f>_xll.BDH("GILD US Equity","IS_AIP_RD_EXPENSE_OPERATING","FQ2 2021","FQ2 2021","Currency=USD","Period=FQ","BEST_FPERIOD_OVERRIDE=FQ","FILING_STATUS=MR","SCALING_FORMAT=MLN","Sort=A","Dates=H","DateFormat=P","Fill=—","Direction=H","UseDPDF=Y")</f>
        <v>96</v>
      </c>
      <c r="N23" s="13">
        <f>_xll.BDH("GILD US Equity","IS_AIP_RD_EXPENSE_OPERATING","FQ3 2021","FQ3 2021","Currency=USD","Period=FQ","BEST_FPERIOD_OVERRIDE=FQ","FILING_STATUS=MR","SCALING_FORMAT=MLN","Sort=A","Dates=H","DateFormat=P","Fill=—","Direction=H","UseDPDF=Y")</f>
        <v>19</v>
      </c>
      <c r="O23" s="13">
        <f>_xll.BDH("GILD US Equity","IS_AIP_RD_EXPENSE_OPERATING","FQ4 2021","FQ4 2021","Currency=USD","Period=FQ","BEST_FPERIOD_OVERRIDE=FQ","FILING_STATUS=MR","SCALING_FORMAT=MLN","Sort=A","Dates=H","DateFormat=P","Fill=—","Direction=H","UseDPDF=Y")</f>
        <v>669</v>
      </c>
      <c r="P23" s="13" t="str">
        <f>_xll.BDH("GILD US Equity","IS_AIP_RD_EXPENSE_OPERATING","FQ1 2022","FQ1 2022","Currency=USD","Period=FQ","BEST_FPERIOD_OVERRIDE=FQ","FILING_STATUS=MR","SCALING_FORMAT=MLN","Sort=A","Dates=H","DateFormat=P","Fill=—","Direction=H","UseDPDF=Y")</f>
        <v>—</v>
      </c>
      <c r="Q23" s="13">
        <f>_xll.BDH("GILD US Equity","IS_AIP_RD_EXPENSE_OPERATING","FQ2 2022","FQ2 2022","Currency=USD","Period=FQ","BEST_FPERIOD_OVERRIDE=FQ","FILING_STATUS=MR","SCALING_FORMAT=MLN","Sort=A","Dates=H","DateFormat=P","Fill=—","Direction=H","UseDPDF=Y")</f>
        <v>330</v>
      </c>
      <c r="R23" s="13">
        <f>_xll.BDH("GILD US Equity","IS_AIP_RD_EXPENSE_OPERATING","FQ3 2022","FQ3 2022","Currency=USD","Period=FQ","BEST_FPERIOD_OVERRIDE=FQ","FILING_STATUS=MR","SCALING_FORMAT=MLN","Sort=A","Dates=H","DateFormat=P","Fill=—","Direction=H","UseDPDF=Y")</f>
        <v>448</v>
      </c>
      <c r="S23" s="13">
        <f>_xll.BDH("GILD US Equity","IS_AIP_RD_EXPENSE_OPERATING","FQ4 2022","FQ4 2022","Currency=USD","Period=FQ","BEST_FPERIOD_OVERRIDE=FQ","FILING_STATUS=MR","SCALING_FORMAT=MLN","Sort=A","Dates=H","DateFormat=P","Fill=—","Direction=H","UseDPDF=Y")</f>
        <v>158</v>
      </c>
      <c r="T23" s="13">
        <f>_xll.BDH("GILD US Equity","IS_AIP_RD_EXPENSE_OPERATING","FQ1 2023","FQ1 2023","Currency=USD","Period=FQ","BEST_FPERIOD_OVERRIDE=FQ","FILING_STATUS=MR","SCALING_FORMAT=MLN","Sort=A","Dates=H","DateFormat=P","Fill=—","Direction=H","UseDPDF=Y")</f>
        <v>481</v>
      </c>
      <c r="U23" s="13">
        <f>_xll.BDH("GILD US Equity","IS_AIP_RD_EXPENSE_OPERATING","FQ2 2023","FQ2 2023","Currency=USD","Period=FQ","BEST_FPERIOD_OVERRIDE=FQ","FILING_STATUS=MR","SCALING_FORMAT=MLN","Sort=A","Dates=H","DateFormat=P","Fill=—","Direction=H","UseDPDF=Y")</f>
        <v>236</v>
      </c>
      <c r="V23" s="13">
        <f>_xll.BDH("GILD US Equity","IS_AIP_RD_EXPENSE_OPERATING","FQ3 2023","FQ3 2023","Currency=USD","Period=FQ","BEST_FPERIOD_OVERRIDE=FQ","FILING_STATUS=MR","SCALING_FORMAT=MLN","Sort=A","Dates=H","DateFormat=P","Fill=—","Direction=H","UseDPDF=Y")</f>
        <v>91</v>
      </c>
      <c r="W23" s="13">
        <f>_xll.BDH("GILD US Equity","IS_AIP_RD_EXPENSE_OPERATING","FQ4 2023","FQ4 2023","Currency=USD","Period=FQ","BEST_FPERIOD_OVERRIDE=FQ","FILING_STATUS=MR","SCALING_FORMAT=MLN","Sort=A","Dates=H","DateFormat=P","Fill=—","Direction=H","UseDPDF=Y")</f>
        <v>347</v>
      </c>
      <c r="X23" s="13">
        <f>_xll.BDH("GILD US Equity","IS_AIP_RD_EXPENSE_OPERATING","FQ1 2024","FQ1 2024","Currency=USD","Period=FQ","BEST_FPERIOD_OVERRIDE=FQ","FILING_STATUS=MR","SCALING_FORMAT=MLN","Sort=A","Dates=H","DateFormat=P","Fill=—","Direction=H","UseDPDF=Y")</f>
        <v>4131</v>
      </c>
      <c r="Y23" s="13">
        <f>_xll.BDH("GILD US Equity","IS_AIP_RD_EXPENSE_OPERATING","FQ2 2024","FQ2 2024","Currency=USD","Period=FQ","BEST_FPERIOD_OVERRIDE=FQ","FILING_STATUS=MR","SCALING_FORMAT=MLN","Sort=A","Dates=H","DateFormat=P","Fill=—","Direction=H","UseDPDF=Y")</f>
        <v>38</v>
      </c>
      <c r="Z23" s="13">
        <f>_xll.BDH("GILD US Equity","IS_AIP_RD_EXPENSE_OPERATING","FQ3 2024","FQ3 2024","Currency=USD","Period=FQ","BEST_FPERIOD_OVERRIDE=FQ","FILING_STATUS=MR","SCALING_FORMAT=MLN","Sort=A","Dates=H","DateFormat=P","Fill=—","Direction=H","UseDPDF=Y")</f>
        <v>505</v>
      </c>
      <c r="AA23" s="13">
        <f>_xll.BDH("GILD US Equity","IS_AIP_RD_EXPENSE_OPERATING","FQ4 2024","FQ4 2024","Currency=USD","Period=FQ","BEST_FPERIOD_OVERRIDE=FQ","FILING_STATUS=MR","SCALING_FORMAT=MLN","Sort=A","Dates=H","DateFormat=P","Fill=—","Direction=H","UseDPDF=Y")</f>
        <v>-11</v>
      </c>
    </row>
    <row r="24" spans="1:27" x14ac:dyDescent="0.25">
      <c r="A24" s="10" t="s">
        <v>662</v>
      </c>
      <c r="B24" s="10" t="s">
        <v>663</v>
      </c>
      <c r="C24" s="13">
        <f>_xll.BDH("GILD US Equity","IS_MERGER_ACQ_EXPENSE_OPERATING","FQ4 2018","FQ4 2018","Currency=USD","Period=FQ","BEST_FPERIOD_OVERRIDE=FQ","FILING_STATUS=MR","SCALING_FORMAT=MLN","Sort=A","Dates=H","DateFormat=P","Fill=—","Direction=H","UseDPDF=Y")</f>
        <v>820</v>
      </c>
      <c r="D24" s="13" t="str">
        <f>_xll.BDH("GILD US Equity","IS_MERGER_ACQ_EXPENSE_OPERATING","FQ1 2019","FQ1 2019","Currency=USD","Period=FQ","BEST_FPERIOD_OVERRIDE=FQ","FILING_STATUS=MR","SCALING_FORMAT=MLN","Sort=A","Dates=H","DateFormat=P","Fill=—","Direction=H","UseDPDF=Y")</f>
        <v>—</v>
      </c>
      <c r="E24" s="13" t="str">
        <f>_xll.BDH("GILD US Equity","IS_MERGER_ACQ_EXPENSE_OPERATING","FQ2 2019","FQ2 2019","Currency=USD","Period=FQ","BEST_FPERIOD_OVERRIDE=FQ","FILING_STATUS=MR","SCALING_FORMAT=MLN","Sort=A","Dates=H","DateFormat=P","Fill=—","Direction=H","UseDPDF=Y")</f>
        <v>—</v>
      </c>
      <c r="F24" s="13" t="str">
        <f>_xll.BDH("GILD US Equity","IS_MERGER_ACQ_EXPENSE_OPERATING","FQ3 2019","FQ3 2019","Currency=USD","Period=FQ","BEST_FPERIOD_OVERRIDE=FQ","FILING_STATUS=MR","SCALING_FORMAT=MLN","Sort=A","Dates=H","DateFormat=P","Fill=—","Direction=H","UseDPDF=Y")</f>
        <v>—</v>
      </c>
      <c r="G24" s="13" t="str">
        <f>_xll.BDH("GILD US Equity","IS_MERGER_ACQ_EXPENSE_OPERATING","FQ4 2019","FQ4 2019","Currency=USD","Period=FQ","BEST_FPERIOD_OVERRIDE=FQ","FILING_STATUS=MR","SCALING_FORMAT=MLN","Sort=A","Dates=H","DateFormat=P","Fill=—","Direction=H","UseDPDF=Y")</f>
        <v>—</v>
      </c>
      <c r="H24" s="13">
        <f>_xll.BDH("GILD US Equity","IS_MERGER_ACQ_EXPENSE_OPERATING","FQ1 2020","FQ1 2020","Currency=USD","Period=FQ","BEST_FPERIOD_OVERRIDE=FQ","FILING_STATUS=MR","SCALING_FORMAT=MLN","Sort=A","Dates=H","DateFormat=P","Fill=—","Direction=H","UseDPDF=Y")</f>
        <v>266</v>
      </c>
      <c r="I24" s="13">
        <f>_xll.BDH("GILD US Equity","IS_MERGER_ACQ_EXPENSE_OPERATING","FQ2 2020","FQ2 2020","Currency=USD","Period=FQ","BEST_FPERIOD_OVERRIDE=FQ","FILING_STATUS=MR","SCALING_FORMAT=MLN","Sort=A","Dates=H","DateFormat=P","Fill=—","Direction=H","UseDPDF=Y")</f>
        <v>190</v>
      </c>
      <c r="J24" s="13">
        <f>_xll.BDH("GILD US Equity","IS_MERGER_ACQ_EXPENSE_OPERATING","FQ3 2020","FQ3 2020","Currency=USD","Period=FQ","BEST_FPERIOD_OVERRIDE=FQ","FILING_STATUS=MR","SCALING_FORMAT=MLN","Sort=A","Dates=H","DateFormat=P","Fill=—","Direction=H","UseDPDF=Y")</f>
        <v>15</v>
      </c>
      <c r="K24" s="13">
        <f>_xll.BDH("GILD US Equity","IS_MERGER_ACQ_EXPENSE_OPERATING","FQ4 2020","FQ4 2020","Currency=USD","Period=FQ","BEST_FPERIOD_OVERRIDE=FQ","FILING_STATUS=MR","SCALING_FORMAT=MLN","Sort=A","Dates=H","DateFormat=P","Fill=—","Direction=H","UseDPDF=Y")</f>
        <v>360</v>
      </c>
      <c r="L24" s="13">
        <f>_xll.BDH("GILD US Equity","IS_MERGER_ACQ_EXPENSE_OPERATING","FQ1 2021","FQ1 2021","Currency=USD","Period=FQ","BEST_FPERIOD_OVERRIDE=FQ","FILING_STATUS=MR","SCALING_FORMAT=MLN","Sort=A","Dates=H","DateFormat=P","Fill=—","Direction=H","UseDPDF=Y")</f>
        <v>534</v>
      </c>
      <c r="M24" s="13">
        <f>_xll.BDH("GILD US Equity","IS_MERGER_ACQ_EXPENSE_OPERATING","FQ2 2021","FQ2 2021","Currency=USD","Period=FQ","BEST_FPERIOD_OVERRIDE=FQ","FILING_STATUS=MR","SCALING_FORMAT=MLN","Sort=A","Dates=H","DateFormat=P","Fill=—","Direction=H","UseDPDF=Y")</f>
        <v>16</v>
      </c>
      <c r="N24" s="13">
        <f>_xll.BDH("GILD US Equity","IS_MERGER_ACQ_EXPENSE_OPERATING","FQ3 2021","FQ3 2021","Currency=USD","Period=FQ","BEST_FPERIOD_OVERRIDE=FQ","FILING_STATUS=MR","SCALING_FORMAT=MLN","Sort=A","Dates=H","DateFormat=P","Fill=—","Direction=H","UseDPDF=Y")</f>
        <v>-17</v>
      </c>
      <c r="O24" s="13">
        <f>_xll.BDH("GILD US Equity","IS_MERGER_ACQ_EXPENSE_OPERATING","FQ4 2021","FQ4 2021","Currency=USD","Period=FQ","BEST_FPERIOD_OVERRIDE=FQ","FILING_STATUS=MR","SCALING_FORMAT=MLN","Sort=A","Dates=H","DateFormat=P","Fill=—","Direction=H","UseDPDF=Y")</f>
        <v>3</v>
      </c>
      <c r="P24" s="13">
        <f>_xll.BDH("GILD US Equity","IS_MERGER_ACQ_EXPENSE_OPERATING","FQ1 2022","FQ1 2022","Currency=USD","Period=FQ","BEST_FPERIOD_OVERRIDE=FQ","FILING_STATUS=MR","SCALING_FORMAT=MLN","Sort=A","Dates=H","DateFormat=P","Fill=—","Direction=H","UseDPDF=Y")</f>
        <v>10</v>
      </c>
      <c r="Q24" s="13" t="str">
        <f>_xll.BDH("GILD US Equity","IS_MERGER_ACQ_EXPENSE_OPERATING","FQ2 2022","FQ2 2022","Currency=USD","Period=FQ","BEST_FPERIOD_OVERRIDE=FQ","FILING_STATUS=MR","SCALING_FORMAT=MLN","Sort=A","Dates=H","DateFormat=P","Fill=—","Direction=H","UseDPDF=Y")</f>
        <v>—</v>
      </c>
      <c r="R24" s="13">
        <f>_xll.BDH("GILD US Equity","IS_MERGER_ACQ_EXPENSE_OPERATING","FQ3 2022","FQ3 2022","Currency=USD","Period=FQ","BEST_FPERIOD_OVERRIDE=FQ","FILING_STATUS=MR","SCALING_FORMAT=MLN","Sort=A","Dates=H","DateFormat=P","Fill=—","Direction=H","UseDPDF=Y")</f>
        <v>427</v>
      </c>
      <c r="S24" s="13">
        <f>_xll.BDH("GILD US Equity","IS_MERGER_ACQ_EXPENSE_OPERATING","FQ4 2022","FQ4 2022","Currency=USD","Period=FQ","BEST_FPERIOD_OVERRIDE=FQ","FILING_STATUS=MR","SCALING_FORMAT=MLN","Sort=A","Dates=H","DateFormat=P","Fill=—","Direction=H","UseDPDF=Y")</f>
        <v>2</v>
      </c>
      <c r="T24" s="13">
        <f>_xll.BDH("GILD US Equity","IS_MERGER_ACQ_EXPENSE_OPERATING","FQ1 2023","FQ1 2023","Currency=USD","Period=FQ","BEST_FPERIOD_OVERRIDE=FQ","FILING_STATUS=MR","SCALING_FORMAT=MLN","Sort=A","Dates=H","DateFormat=P","Fill=—","Direction=H","UseDPDF=Y")</f>
        <v>9</v>
      </c>
      <c r="U24" s="13">
        <f>_xll.BDH("GILD US Equity","IS_MERGER_ACQ_EXPENSE_OPERATING","FQ2 2023","FQ2 2023","Currency=USD","Period=FQ","BEST_FPERIOD_OVERRIDE=FQ","FILING_STATUS=MR","SCALING_FORMAT=MLN","Sort=A","Dates=H","DateFormat=P","Fill=—","Direction=H","UseDPDF=Y")</f>
        <v>31</v>
      </c>
      <c r="V24" s="13">
        <f>_xll.BDH("GILD US Equity","IS_MERGER_ACQ_EXPENSE_OPERATING","FQ3 2023","FQ3 2023","Currency=USD","Period=FQ","BEST_FPERIOD_OVERRIDE=FQ","FILING_STATUS=MR","SCALING_FORMAT=MLN","Sort=A","Dates=H","DateFormat=P","Fill=—","Direction=H","UseDPDF=Y")</f>
        <v>-1</v>
      </c>
      <c r="W24" s="13">
        <f>_xll.BDH("GILD US Equity","IS_MERGER_ACQ_EXPENSE_OPERATING","FQ4 2023","FQ4 2023","Currency=USD","Period=FQ","BEST_FPERIOD_OVERRIDE=FQ","FILING_STATUS=MR","SCALING_FORMAT=MLN","Sort=A","Dates=H","DateFormat=P","Fill=—","Direction=H","UseDPDF=Y")</f>
        <v>-59</v>
      </c>
      <c r="X24" s="13">
        <f>_xll.BDH("GILD US Equity","IS_MERGER_ACQ_EXPENSE_OPERATING","FQ1 2024","FQ1 2024","Currency=USD","Period=FQ","BEST_FPERIOD_OVERRIDE=FQ","FILING_STATUS=MR","SCALING_FORMAT=MLN","Sort=A","Dates=H","DateFormat=P","Fill=—","Direction=H","UseDPDF=Y")</f>
        <v>133</v>
      </c>
      <c r="Y24" s="13">
        <f>_xll.BDH("GILD US Equity","IS_MERGER_ACQ_EXPENSE_OPERATING","FQ2 2024","FQ2 2024","Currency=USD","Period=FQ","BEST_FPERIOD_OVERRIDE=FQ","FILING_STATUS=MR","SCALING_FORMAT=MLN","Sort=A","Dates=H","DateFormat=P","Fill=—","Direction=H","UseDPDF=Y")</f>
        <v>21</v>
      </c>
      <c r="Z24" s="13">
        <f>_xll.BDH("GILD US Equity","IS_MERGER_ACQ_EXPENSE_OPERATING","FQ3 2024","FQ3 2024","Currency=USD","Period=FQ","BEST_FPERIOD_OVERRIDE=FQ","FILING_STATUS=MR","SCALING_FORMAT=MLN","Sort=A","Dates=H","DateFormat=P","Fill=—","Direction=H","UseDPDF=Y")</f>
        <v>13</v>
      </c>
      <c r="AA24" s="13">
        <f>_xll.BDH("GILD US Equity","IS_MERGER_ACQ_EXPENSE_OPERATING","FQ4 2024","FQ4 2024","Currency=USD","Period=FQ","BEST_FPERIOD_OVERRIDE=FQ","FILING_STATUS=MR","SCALING_FORMAT=MLN","Sort=A","Dates=H","DateFormat=P","Fill=—","Direction=H","UseDPDF=Y")</f>
        <v>8</v>
      </c>
    </row>
    <row r="25" spans="1:27" x14ac:dyDescent="0.25">
      <c r="A25" s="10" t="s">
        <v>664</v>
      </c>
      <c r="B25" s="10" t="s">
        <v>665</v>
      </c>
      <c r="C25" s="13" t="str">
        <f>_xll.BDH("GILD US Equity","IS_IIA_OP","FQ4 2018","FQ4 2018","Currency=USD","Period=FQ","BEST_FPERIOD_OVERRIDE=FQ","FILING_STATUS=MR","SCALING_FORMAT=MLN","Sort=A","Dates=H","DateFormat=P","Fill=—","Direction=H","UseDPDF=Y")</f>
        <v>—</v>
      </c>
      <c r="D25" s="13" t="str">
        <f>_xll.BDH("GILD US Equity","IS_IIA_OP","FQ1 2019","FQ1 2019","Currency=USD","Period=FQ","BEST_FPERIOD_OVERRIDE=FQ","FILING_STATUS=MR","SCALING_FORMAT=MLN","Sort=A","Dates=H","DateFormat=P","Fill=—","Direction=H","UseDPDF=Y")</f>
        <v>—</v>
      </c>
      <c r="E25" s="13" t="str">
        <f>_xll.BDH("GILD US Equity","IS_IIA_OP","FQ2 2019","FQ2 2019","Currency=USD","Period=FQ","BEST_FPERIOD_OVERRIDE=FQ","FILING_STATUS=MR","SCALING_FORMAT=MLN","Sort=A","Dates=H","DateFormat=P","Fill=—","Direction=H","UseDPDF=Y")</f>
        <v>—</v>
      </c>
      <c r="F25" s="13" t="str">
        <f>_xll.BDH("GILD US Equity","IS_IIA_OP","FQ3 2019","FQ3 2019","Currency=USD","Period=FQ","BEST_FPERIOD_OVERRIDE=FQ","FILING_STATUS=MR","SCALING_FORMAT=MLN","Sort=A","Dates=H","DateFormat=P","Fill=—","Direction=H","UseDPDF=Y")</f>
        <v>—</v>
      </c>
      <c r="G25" s="13" t="str">
        <f>_xll.BDH("GILD US Equity","IS_IIA_OP","FQ4 2019","FQ4 2019","Currency=USD","Period=FQ","BEST_FPERIOD_OVERRIDE=FQ","FILING_STATUS=MR","SCALING_FORMAT=MLN","Sort=A","Dates=H","DateFormat=P","Fill=—","Direction=H","UseDPDF=Y")</f>
        <v>—</v>
      </c>
      <c r="H25" s="13" t="str">
        <f>_xll.BDH("GILD US Equity","IS_IIA_OP","FQ1 2020","FQ1 2020","Currency=USD","Period=FQ","BEST_FPERIOD_OVERRIDE=FQ","FILING_STATUS=MR","SCALING_FORMAT=MLN","Sort=A","Dates=H","DateFormat=P","Fill=—","Direction=H","UseDPDF=Y")</f>
        <v>—</v>
      </c>
      <c r="I25" s="13" t="str">
        <f>_xll.BDH("GILD US Equity","IS_IIA_OP","FQ2 2020","FQ2 2020","Currency=USD","Period=FQ","BEST_FPERIOD_OVERRIDE=FQ","FILING_STATUS=MR","SCALING_FORMAT=MLN","Sort=A","Dates=H","DateFormat=P","Fill=—","Direction=H","UseDPDF=Y")</f>
        <v>—</v>
      </c>
      <c r="J25" s="13" t="str">
        <f>_xll.BDH("GILD US Equity","IS_IIA_OP","FQ3 2020","FQ3 2020","Currency=USD","Period=FQ","BEST_FPERIOD_OVERRIDE=FQ","FILING_STATUS=MR","SCALING_FORMAT=MLN","Sort=A","Dates=H","DateFormat=P","Fill=—","Direction=H","UseDPDF=Y")</f>
        <v>—</v>
      </c>
      <c r="K25" s="13" t="str">
        <f>_xll.BDH("GILD US Equity","IS_IIA_OP","FQ4 2020","FQ4 2020","Currency=USD","Period=FQ","BEST_FPERIOD_OVERRIDE=FQ","FILING_STATUS=MR","SCALING_FORMAT=MLN","Sort=A","Dates=H","DateFormat=P","Fill=—","Direction=H","UseDPDF=Y")</f>
        <v>—</v>
      </c>
      <c r="L25" s="13" t="str">
        <f>_xll.BDH("GILD US Equity","IS_IIA_OP","FQ1 2021","FQ1 2021","Currency=USD","Period=FQ","BEST_FPERIOD_OVERRIDE=FQ","FILING_STATUS=MR","SCALING_FORMAT=MLN","Sort=A","Dates=H","DateFormat=P","Fill=—","Direction=H","UseDPDF=Y")</f>
        <v>—</v>
      </c>
      <c r="M25" s="13" t="str">
        <f>_xll.BDH("GILD US Equity","IS_IIA_OP","FQ2 2021","FQ2 2021","Currency=USD","Period=FQ","BEST_FPERIOD_OVERRIDE=FQ","FILING_STATUS=MR","SCALING_FORMAT=MLN","Sort=A","Dates=H","DateFormat=P","Fill=—","Direction=H","UseDPDF=Y")</f>
        <v>—</v>
      </c>
      <c r="N25" s="13" t="str">
        <f>_xll.BDH("GILD US Equity","IS_IIA_OP","FQ3 2021","FQ3 2021","Currency=USD","Period=FQ","BEST_FPERIOD_OVERRIDE=FQ","FILING_STATUS=MR","SCALING_FORMAT=MLN","Sort=A","Dates=H","DateFormat=P","Fill=—","Direction=H","UseDPDF=Y")</f>
        <v>—</v>
      </c>
      <c r="O25" s="13" t="str">
        <f>_xll.BDH("GILD US Equity","IS_IIA_OP","FQ4 2021","FQ4 2021","Currency=USD","Period=FQ","BEST_FPERIOD_OVERRIDE=FQ","FILING_STATUS=MR","SCALING_FORMAT=MLN","Sort=A","Dates=H","DateFormat=P","Fill=—","Direction=H","UseDPDF=Y")</f>
        <v>—</v>
      </c>
      <c r="P25" s="13">
        <f>_xll.BDH("GILD US Equity","IS_IIA_OP","FQ1 2022","FQ1 2022","Currency=USD","Period=FQ","BEST_FPERIOD_OVERRIDE=FQ","FILING_STATUS=MR","SCALING_FORMAT=MLN","Sort=A","Dates=H","DateFormat=P","Fill=—","Direction=H","UseDPDF=Y")</f>
        <v>2700</v>
      </c>
      <c r="Q25" s="13" t="str">
        <f>_xll.BDH("GILD US Equity","IS_IIA_OP","FQ2 2022","FQ2 2022","Currency=USD","Period=FQ","BEST_FPERIOD_OVERRIDE=FQ","FILING_STATUS=MR","SCALING_FORMAT=MLN","Sort=A","Dates=H","DateFormat=P","Fill=—","Direction=H","UseDPDF=Y")</f>
        <v>—</v>
      </c>
      <c r="R25" s="13" t="str">
        <f>_xll.BDH("GILD US Equity","IS_IIA_OP","FQ3 2022","FQ3 2022","Currency=USD","Period=FQ","BEST_FPERIOD_OVERRIDE=FQ","FILING_STATUS=MR","SCALING_FORMAT=MLN","Sort=A","Dates=H","DateFormat=P","Fill=—","Direction=H","UseDPDF=Y")</f>
        <v>—</v>
      </c>
      <c r="S25" s="13" t="str">
        <f>_xll.BDH("GILD US Equity","IS_IIA_OP","FQ4 2022","FQ4 2022","Currency=USD","Period=FQ","BEST_FPERIOD_OVERRIDE=FQ","FILING_STATUS=MR","SCALING_FORMAT=MLN","Sort=A","Dates=H","DateFormat=P","Fill=—","Direction=H","UseDPDF=Y")</f>
        <v>—</v>
      </c>
      <c r="T25" s="13" t="str">
        <f>_xll.BDH("GILD US Equity","IS_IIA_OP","FQ1 2023","FQ1 2023","Currency=USD","Period=FQ","BEST_FPERIOD_OVERRIDE=FQ","FILING_STATUS=MR","SCALING_FORMAT=MLN","Sort=A","Dates=H","DateFormat=P","Fill=—","Direction=H","UseDPDF=Y")</f>
        <v>—</v>
      </c>
      <c r="U25" s="13" t="str">
        <f>_xll.BDH("GILD US Equity","IS_IIA_OP","FQ2 2023","FQ2 2023","Currency=USD","Period=FQ","BEST_FPERIOD_OVERRIDE=FQ","FILING_STATUS=MR","SCALING_FORMAT=MLN","Sort=A","Dates=H","DateFormat=P","Fill=—","Direction=H","UseDPDF=Y")</f>
        <v>—</v>
      </c>
      <c r="V25" s="13" t="str">
        <f>_xll.BDH("GILD US Equity","IS_IIA_OP","FQ3 2023","FQ3 2023","Currency=USD","Period=FQ","BEST_FPERIOD_OVERRIDE=FQ","FILING_STATUS=MR","SCALING_FORMAT=MLN","Sort=A","Dates=H","DateFormat=P","Fill=—","Direction=H","UseDPDF=Y")</f>
        <v>—</v>
      </c>
      <c r="W25" s="13">
        <f>_xll.BDH("GILD US Equity","IS_IIA_OP","FQ4 2023","FQ4 2023","Currency=USD","Period=FQ","BEST_FPERIOD_OVERRIDE=FQ","FILING_STATUS=MR","SCALING_FORMAT=MLN","Sort=A","Dates=H","DateFormat=P","Fill=—","Direction=H","UseDPDF=Y")</f>
        <v>50</v>
      </c>
      <c r="X25" s="13">
        <f>_xll.BDH("GILD US Equity","IS_IIA_OP","FQ1 2024","FQ1 2024","Currency=USD","Period=FQ","BEST_FPERIOD_OVERRIDE=FQ","FILING_STATUS=MR","SCALING_FORMAT=MLN","Sort=A","Dates=H","DateFormat=P","Fill=—","Direction=H","UseDPDF=Y")</f>
        <v>2430</v>
      </c>
      <c r="Y25" s="13" t="str">
        <f>_xll.BDH("GILD US Equity","IS_IIA_OP","FQ2 2024","FQ2 2024","Currency=USD","Period=FQ","BEST_FPERIOD_OVERRIDE=FQ","FILING_STATUS=MR","SCALING_FORMAT=MLN","Sort=A","Dates=H","DateFormat=P","Fill=—","Direction=H","UseDPDF=Y")</f>
        <v>—</v>
      </c>
      <c r="Z25" s="13">
        <f>_xll.BDH("GILD US Equity","IS_IIA_OP","FQ3 2024","FQ3 2024","Currency=USD","Period=FQ","BEST_FPERIOD_OVERRIDE=FQ","FILING_STATUS=MR","SCALING_FORMAT=MLN","Sort=A","Dates=H","DateFormat=P","Fill=—","Direction=H","UseDPDF=Y")</f>
        <v>1750</v>
      </c>
      <c r="AA25" s="13" t="str">
        <f>_xll.BDH("GILD US Equity","IS_IIA_OP","FQ4 2024","FQ4 2024","Currency=USD","Period=FQ","BEST_FPERIOD_OVERRIDE=FQ","FILING_STATUS=MR","SCALING_FORMAT=MLN","Sort=A","Dates=H","DateFormat=P","Fill=—","Direction=H","UseDPDF=Y")</f>
        <v>—</v>
      </c>
    </row>
    <row r="26" spans="1:27" x14ac:dyDescent="0.25">
      <c r="A26" s="10" t="s">
        <v>666</v>
      </c>
      <c r="B26" s="10" t="s">
        <v>667</v>
      </c>
      <c r="C26" s="13" t="str">
        <f>_xll.BDH("GILD US Equity","IS_RESTRUCTURING_OP","FQ4 2018","FQ4 2018","Currency=USD","Period=FQ","BEST_FPERIOD_OVERRIDE=FQ","FILING_STATUS=MR","SCALING_FORMAT=MLN","Sort=A","Dates=H","DateFormat=P","Fill=—","Direction=H","UseDPDF=Y")</f>
        <v>—</v>
      </c>
      <c r="D26" s="13" t="str">
        <f>_xll.BDH("GILD US Equity","IS_RESTRUCTURING_OP","FQ1 2019","FQ1 2019","Currency=USD","Period=FQ","BEST_FPERIOD_OVERRIDE=FQ","FILING_STATUS=MR","SCALING_FORMAT=MLN","Sort=A","Dates=H","DateFormat=P","Fill=—","Direction=H","UseDPDF=Y")</f>
        <v>—</v>
      </c>
      <c r="E26" s="13" t="str">
        <f>_xll.BDH("GILD US Equity","IS_RESTRUCTURING_OP","FQ2 2019","FQ2 2019","Currency=USD","Period=FQ","BEST_FPERIOD_OVERRIDE=FQ","FILING_STATUS=MR","SCALING_FORMAT=MLN","Sort=A","Dates=H","DateFormat=P","Fill=—","Direction=H","UseDPDF=Y")</f>
        <v>—</v>
      </c>
      <c r="F26" s="13" t="str">
        <f>_xll.BDH("GILD US Equity","IS_RESTRUCTURING_OP","FQ3 2019","FQ3 2019","Currency=USD","Period=FQ","BEST_FPERIOD_OVERRIDE=FQ","FILING_STATUS=MR","SCALING_FORMAT=MLN","Sort=A","Dates=H","DateFormat=P","Fill=—","Direction=H","UseDPDF=Y")</f>
        <v>—</v>
      </c>
      <c r="G26" s="13" t="str">
        <f>_xll.BDH("GILD US Equity","IS_RESTRUCTURING_OP","FQ4 2019","FQ4 2019","Currency=USD","Period=FQ","BEST_FPERIOD_OVERRIDE=FQ","FILING_STATUS=MR","SCALING_FORMAT=MLN","Sort=A","Dates=H","DateFormat=P","Fill=—","Direction=H","UseDPDF=Y")</f>
        <v>—</v>
      </c>
      <c r="H26" s="13" t="str">
        <f>_xll.BDH("GILD US Equity","IS_RESTRUCTURING_OP","FQ1 2020","FQ1 2020","Currency=USD","Period=FQ","BEST_FPERIOD_OVERRIDE=FQ","FILING_STATUS=MR","SCALING_FORMAT=MLN","Sort=A","Dates=H","DateFormat=P","Fill=—","Direction=H","UseDPDF=Y")</f>
        <v>—</v>
      </c>
      <c r="I26" s="13" t="str">
        <f>_xll.BDH("GILD US Equity","IS_RESTRUCTURING_OP","FQ2 2020","FQ2 2020","Currency=USD","Period=FQ","BEST_FPERIOD_OVERRIDE=FQ","FILING_STATUS=MR","SCALING_FORMAT=MLN","Sort=A","Dates=H","DateFormat=P","Fill=—","Direction=H","UseDPDF=Y")</f>
        <v>—</v>
      </c>
      <c r="J26" s="13" t="str">
        <f>_xll.BDH("GILD US Equity","IS_RESTRUCTURING_OP","FQ3 2020","FQ3 2020","Currency=USD","Period=FQ","BEST_FPERIOD_OVERRIDE=FQ","FILING_STATUS=MR","SCALING_FORMAT=MLN","Sort=A","Dates=H","DateFormat=P","Fill=—","Direction=H","UseDPDF=Y")</f>
        <v>—</v>
      </c>
      <c r="K26" s="13" t="str">
        <f>_xll.BDH("GILD US Equity","IS_RESTRUCTURING_OP","FQ4 2020","FQ4 2020","Currency=USD","Period=FQ","BEST_FPERIOD_OVERRIDE=FQ","FILING_STATUS=MR","SCALING_FORMAT=MLN","Sort=A","Dates=H","DateFormat=P","Fill=—","Direction=H","UseDPDF=Y")</f>
        <v>—</v>
      </c>
      <c r="L26" s="13" t="str">
        <f>_xll.BDH("GILD US Equity","IS_RESTRUCTURING_OP","FQ1 2021","FQ1 2021","Currency=USD","Period=FQ","BEST_FPERIOD_OVERRIDE=FQ","FILING_STATUS=MR","SCALING_FORMAT=MLN","Sort=A","Dates=H","DateFormat=P","Fill=—","Direction=H","UseDPDF=Y")</f>
        <v>—</v>
      </c>
      <c r="M26" s="13" t="str">
        <f>_xll.BDH("GILD US Equity","IS_RESTRUCTURING_OP","FQ2 2021","FQ2 2021","Currency=USD","Period=FQ","BEST_FPERIOD_OVERRIDE=FQ","FILING_STATUS=MR","SCALING_FORMAT=MLN","Sort=A","Dates=H","DateFormat=P","Fill=—","Direction=H","UseDPDF=Y")</f>
        <v>—</v>
      </c>
      <c r="N26" s="13" t="str">
        <f>_xll.BDH("GILD US Equity","IS_RESTRUCTURING_OP","FQ3 2021","FQ3 2021","Currency=USD","Period=FQ","BEST_FPERIOD_OVERRIDE=FQ","FILING_STATUS=MR","SCALING_FORMAT=MLN","Sort=A","Dates=H","DateFormat=P","Fill=—","Direction=H","UseDPDF=Y")</f>
        <v>—</v>
      </c>
      <c r="O26" s="13">
        <f>_xll.BDH("GILD US Equity","IS_RESTRUCTURING_OP","FQ4 2021","FQ4 2021","Currency=USD","Period=FQ","BEST_FPERIOD_OVERRIDE=FQ","FILING_STATUS=MR","SCALING_FORMAT=MLN","Sort=A","Dates=H","DateFormat=P","Fill=—","Direction=H","UseDPDF=Y")</f>
        <v>3.7974999999999999</v>
      </c>
      <c r="P26" s="13">
        <f>_xll.BDH("GILD US Equity","IS_RESTRUCTURING_OP","FQ1 2022","FQ1 2022","Currency=USD","Period=FQ","BEST_FPERIOD_OVERRIDE=FQ","FILING_STATUS=MR","SCALING_FORMAT=MLN","Sort=A","Dates=H","DateFormat=P","Fill=—","Direction=H","UseDPDF=Y")</f>
        <v>60</v>
      </c>
      <c r="Q26" s="13" t="str">
        <f>_xll.BDH("GILD US Equity","IS_RESTRUCTURING_OP","FQ2 2022","FQ2 2022","Currency=USD","Period=FQ","BEST_FPERIOD_OVERRIDE=FQ","FILING_STATUS=MR","SCALING_FORMAT=MLN","Sort=A","Dates=H","DateFormat=P","Fill=—","Direction=H","UseDPDF=Y")</f>
        <v>—</v>
      </c>
      <c r="R26" s="13" t="str">
        <f>_xll.BDH("GILD US Equity","IS_RESTRUCTURING_OP","FQ3 2022","FQ3 2022","Currency=USD","Period=FQ","BEST_FPERIOD_OVERRIDE=FQ","FILING_STATUS=MR","SCALING_FORMAT=MLN","Sort=A","Dates=H","DateFormat=P","Fill=—","Direction=H","UseDPDF=Y")</f>
        <v>—</v>
      </c>
      <c r="S26" s="13" t="str">
        <f>_xll.BDH("GILD US Equity","IS_RESTRUCTURING_OP","FQ4 2022","FQ4 2022","Currency=USD","Period=FQ","BEST_FPERIOD_OVERRIDE=FQ","FILING_STATUS=MR","SCALING_FORMAT=MLN","Sort=A","Dates=H","DateFormat=P","Fill=—","Direction=H","UseDPDF=Y")</f>
        <v>—</v>
      </c>
      <c r="T26" s="13" t="str">
        <f>_xll.BDH("GILD US Equity","IS_RESTRUCTURING_OP","FQ1 2023","FQ1 2023","Currency=USD","Period=FQ","BEST_FPERIOD_OVERRIDE=FQ","FILING_STATUS=MR","SCALING_FORMAT=MLN","Sort=A","Dates=H","DateFormat=P","Fill=—","Direction=H","UseDPDF=Y")</f>
        <v>—</v>
      </c>
      <c r="U26" s="13" t="str">
        <f>_xll.BDH("GILD US Equity","IS_RESTRUCTURING_OP","FQ2 2023","FQ2 2023","Currency=USD","Period=FQ","BEST_FPERIOD_OVERRIDE=FQ","FILING_STATUS=MR","SCALING_FORMAT=MLN","Sort=A","Dates=H","DateFormat=P","Fill=—","Direction=H","UseDPDF=Y")</f>
        <v>—</v>
      </c>
      <c r="V26" s="13">
        <f>_xll.BDH("GILD US Equity","IS_RESTRUCTURING_OP","FQ3 2023","FQ3 2023","Currency=USD","Period=FQ","BEST_FPERIOD_OVERRIDE=FQ","FILING_STATUS=MR","SCALING_FORMAT=MLN","Sort=A","Dates=H","DateFormat=P","Fill=—","Direction=H","UseDPDF=Y")</f>
        <v>22</v>
      </c>
      <c r="W26" s="13">
        <f>_xll.BDH("GILD US Equity","IS_RESTRUCTURING_OP","FQ4 2023","FQ4 2023","Currency=USD","Period=FQ","BEST_FPERIOD_OVERRIDE=FQ","FILING_STATUS=MR","SCALING_FORMAT=MLN","Sort=A","Dates=H","DateFormat=P","Fill=—","Direction=H","UseDPDF=Y")</f>
        <v>505</v>
      </c>
      <c r="X26" s="13">
        <f>_xll.BDH("GILD US Equity","IS_RESTRUCTURING_OP","FQ1 2024","FQ1 2024","Currency=USD","Period=FQ","BEST_FPERIOD_OVERRIDE=FQ","FILING_STATUS=MR","SCALING_FORMAT=MLN","Sort=A","Dates=H","DateFormat=P","Fill=—","Direction=H","UseDPDF=Y")</f>
        <v>63</v>
      </c>
      <c r="Y26" s="13">
        <f>_xll.BDH("GILD US Equity","IS_RESTRUCTURING_OP","FQ2 2024","FQ2 2024","Currency=USD","Period=FQ","BEST_FPERIOD_OVERRIDE=FQ","FILING_STATUS=MR","SCALING_FORMAT=MLN","Sort=A","Dates=H","DateFormat=P","Fill=—","Direction=H","UseDPDF=Y")</f>
        <v>21</v>
      </c>
      <c r="Z26" s="13">
        <f>_xll.BDH("GILD US Equity","IS_RESTRUCTURING_OP","FQ3 2024","FQ3 2024","Currency=USD","Period=FQ","BEST_FPERIOD_OVERRIDE=FQ","FILING_STATUS=MR","SCALING_FORMAT=MLN","Sort=A","Dates=H","DateFormat=P","Fill=—","Direction=H","UseDPDF=Y")</f>
        <v>28</v>
      </c>
      <c r="AA26" s="13">
        <f>_xll.BDH("GILD US Equity","IS_RESTRUCTURING_OP","FQ4 2024","FQ4 2024","Currency=USD","Period=FQ","BEST_FPERIOD_OVERRIDE=FQ","FILING_STATUS=MR","SCALING_FORMAT=MLN","Sort=A","Dates=H","DateFormat=P","Fill=—","Direction=H","UseDPDF=Y")</f>
        <v>76</v>
      </c>
    </row>
    <row r="27" spans="1:27" x14ac:dyDescent="0.25">
      <c r="A27" s="10" t="s">
        <v>668</v>
      </c>
      <c r="B27" s="10" t="s">
        <v>669</v>
      </c>
      <c r="C27" s="13" t="str">
        <f>_xll.BDH("GILD US Equity","IS_GAIN_LOSS_SALE_OF_INVEST_OP","FQ4 2018","FQ4 2018","Currency=USD","Period=FQ","BEST_FPERIOD_OVERRIDE=FQ","FILING_STATUS=MR","SCALING_FORMAT=MLN","Sort=A","Dates=H","DateFormat=P","Fill=—","Direction=H","UseDPDF=Y")</f>
        <v>—</v>
      </c>
      <c r="D27" s="13" t="str">
        <f>_xll.BDH("GILD US Equity","IS_GAIN_LOSS_SALE_OF_INVEST_OP","FQ1 2019","FQ1 2019","Currency=USD","Period=FQ","BEST_FPERIOD_OVERRIDE=FQ","FILING_STATUS=MR","SCALING_FORMAT=MLN","Sort=A","Dates=H","DateFormat=P","Fill=—","Direction=H","UseDPDF=Y")</f>
        <v>—</v>
      </c>
      <c r="E27" s="13" t="str">
        <f>_xll.BDH("GILD US Equity","IS_GAIN_LOSS_SALE_OF_INVEST_OP","FQ2 2019","FQ2 2019","Currency=USD","Period=FQ","BEST_FPERIOD_OVERRIDE=FQ","FILING_STATUS=MR","SCALING_FORMAT=MLN","Sort=A","Dates=H","DateFormat=P","Fill=—","Direction=H","UseDPDF=Y")</f>
        <v>—</v>
      </c>
      <c r="F27" s="13" t="str">
        <f>_xll.BDH("GILD US Equity","IS_GAIN_LOSS_SALE_OF_INVEST_OP","FQ3 2019","FQ3 2019","Currency=USD","Period=FQ","BEST_FPERIOD_OVERRIDE=FQ","FILING_STATUS=MR","SCALING_FORMAT=MLN","Sort=A","Dates=H","DateFormat=P","Fill=—","Direction=H","UseDPDF=Y")</f>
        <v>—</v>
      </c>
      <c r="G27" s="13" t="str">
        <f>_xll.BDH("GILD US Equity","IS_GAIN_LOSS_SALE_OF_INVEST_OP","FQ4 2019","FQ4 2019","Currency=USD","Period=FQ","BEST_FPERIOD_OVERRIDE=FQ","FILING_STATUS=MR","SCALING_FORMAT=MLN","Sort=A","Dates=H","DateFormat=P","Fill=—","Direction=H","UseDPDF=Y")</f>
        <v>—</v>
      </c>
      <c r="H27" s="13" t="str">
        <f>_xll.BDH("GILD US Equity","IS_GAIN_LOSS_SALE_OF_INVEST_OP","FQ1 2020","FQ1 2020","Currency=USD","Period=FQ","BEST_FPERIOD_OVERRIDE=FQ","FILING_STATUS=MR","SCALING_FORMAT=MLN","Sort=A","Dates=H","DateFormat=P","Fill=—","Direction=H","UseDPDF=Y")</f>
        <v>—</v>
      </c>
      <c r="I27" s="13" t="str">
        <f>_xll.BDH("GILD US Equity","IS_GAIN_LOSS_SALE_OF_INVEST_OP","FQ2 2020","FQ2 2020","Currency=USD","Period=FQ","BEST_FPERIOD_OVERRIDE=FQ","FILING_STATUS=MR","SCALING_FORMAT=MLN","Sort=A","Dates=H","DateFormat=P","Fill=—","Direction=H","UseDPDF=Y")</f>
        <v>—</v>
      </c>
      <c r="J27" s="13" t="str">
        <f>_xll.BDH("GILD US Equity","IS_GAIN_LOSS_SALE_OF_INVEST_OP","FQ3 2020","FQ3 2020","Currency=USD","Period=FQ","BEST_FPERIOD_OVERRIDE=FQ","FILING_STATUS=MR","SCALING_FORMAT=MLN","Sort=A","Dates=H","DateFormat=P","Fill=—","Direction=H","UseDPDF=Y")</f>
        <v>—</v>
      </c>
      <c r="K27" s="13" t="str">
        <f>_xll.BDH("GILD US Equity","IS_GAIN_LOSS_SALE_OF_INVEST_OP","FQ4 2020","FQ4 2020","Currency=USD","Period=FQ","BEST_FPERIOD_OVERRIDE=FQ","FILING_STATUS=MR","SCALING_FORMAT=MLN","Sort=A","Dates=H","DateFormat=P","Fill=—","Direction=H","UseDPDF=Y")</f>
        <v>—</v>
      </c>
      <c r="L27" s="13" t="str">
        <f>_xll.BDH("GILD US Equity","IS_GAIN_LOSS_SALE_OF_INVEST_OP","FQ1 2021","FQ1 2021","Currency=USD","Period=FQ","BEST_FPERIOD_OVERRIDE=FQ","FILING_STATUS=MR","SCALING_FORMAT=MLN","Sort=A","Dates=H","DateFormat=P","Fill=—","Direction=H","UseDPDF=Y")</f>
        <v>—</v>
      </c>
      <c r="M27" s="13" t="str">
        <f>_xll.BDH("GILD US Equity","IS_GAIN_LOSS_SALE_OF_INVEST_OP","FQ2 2021","FQ2 2021","Currency=USD","Period=FQ","BEST_FPERIOD_OVERRIDE=FQ","FILING_STATUS=MR","SCALING_FORMAT=MLN","Sort=A","Dates=H","DateFormat=P","Fill=—","Direction=H","UseDPDF=Y")</f>
        <v>—</v>
      </c>
      <c r="N27" s="13" t="str">
        <f>_xll.BDH("GILD US Equity","IS_GAIN_LOSS_SALE_OF_INVEST_OP","FQ3 2021","FQ3 2021","Currency=USD","Period=FQ","BEST_FPERIOD_OVERRIDE=FQ","FILING_STATUS=MR","SCALING_FORMAT=MLN","Sort=A","Dates=H","DateFormat=P","Fill=—","Direction=H","UseDPDF=Y")</f>
        <v>—</v>
      </c>
      <c r="O27" s="13" t="str">
        <f>_xll.BDH("GILD US Equity","IS_GAIN_LOSS_SALE_OF_INVEST_OP","FQ4 2021","FQ4 2021","Currency=USD","Period=FQ","BEST_FPERIOD_OVERRIDE=FQ","FILING_STATUS=MR","SCALING_FORMAT=MLN","Sort=A","Dates=H","DateFormat=P","Fill=—","Direction=H","UseDPDF=Y")</f>
        <v>—</v>
      </c>
      <c r="P27" s="13" t="str">
        <f>_xll.BDH("GILD US Equity","IS_GAIN_LOSS_SALE_OF_INVEST_OP","FQ1 2022","FQ1 2022","Currency=USD","Period=FQ","BEST_FPERIOD_OVERRIDE=FQ","FILING_STATUS=MR","SCALING_FORMAT=MLN","Sort=A","Dates=H","DateFormat=P","Fill=—","Direction=H","UseDPDF=Y")</f>
        <v>—</v>
      </c>
      <c r="Q27" s="13">
        <f>_xll.BDH("GILD US Equity","IS_GAIN_LOSS_SALE_OF_INVEST_OP","FQ2 2022","FQ2 2022","Currency=USD","Period=FQ","BEST_FPERIOD_OVERRIDE=FQ","FILING_STATUS=MR","SCALING_FORMAT=MLN","Sort=A","Dates=H","DateFormat=P","Fill=—","Direction=H","UseDPDF=Y")</f>
        <v>308</v>
      </c>
      <c r="R27" s="13" t="str">
        <f>_xll.BDH("GILD US Equity","IS_GAIN_LOSS_SALE_OF_INVEST_OP","FQ3 2022","FQ3 2022","Currency=USD","Period=FQ","BEST_FPERIOD_OVERRIDE=FQ","FILING_STATUS=MR","SCALING_FORMAT=MLN","Sort=A","Dates=H","DateFormat=P","Fill=—","Direction=H","UseDPDF=Y")</f>
        <v>—</v>
      </c>
      <c r="S27" s="13" t="str">
        <f>_xll.BDH("GILD US Equity","IS_GAIN_LOSS_SALE_OF_INVEST_OP","FQ4 2022","FQ4 2022","Currency=USD","Period=FQ","BEST_FPERIOD_OVERRIDE=FQ","FILING_STATUS=MR","SCALING_FORMAT=MLN","Sort=A","Dates=H","DateFormat=P","Fill=—","Direction=H","UseDPDF=Y")</f>
        <v>—</v>
      </c>
      <c r="T27" s="13" t="str">
        <f>_xll.BDH("GILD US Equity","IS_GAIN_LOSS_SALE_OF_INVEST_OP","FQ1 2023","FQ1 2023","Currency=USD","Period=FQ","BEST_FPERIOD_OVERRIDE=FQ","FILING_STATUS=MR","SCALING_FORMAT=MLN","Sort=A","Dates=H","DateFormat=P","Fill=—","Direction=H","UseDPDF=Y")</f>
        <v>—</v>
      </c>
      <c r="U27" s="13">
        <f>_xll.BDH("GILD US Equity","IS_GAIN_LOSS_SALE_OF_INVEST_OP","FQ2 2023","FQ2 2023","Currency=USD","Period=FQ","BEST_FPERIOD_OVERRIDE=FQ","FILING_STATUS=MR","SCALING_FORMAT=MLN","Sort=A","Dates=H","DateFormat=P","Fill=—","Direction=H","UseDPDF=Y")</f>
        <v>-69</v>
      </c>
      <c r="V27" s="13">
        <f>_xll.BDH("GILD US Equity","IS_GAIN_LOSS_SALE_OF_INVEST_OP","FQ3 2023","FQ3 2023","Currency=USD","Period=FQ","BEST_FPERIOD_OVERRIDE=FQ","FILING_STATUS=MR","SCALING_FORMAT=MLN","Sort=A","Dates=H","DateFormat=P","Fill=—","Direction=H","UseDPDF=Y")</f>
        <v>168</v>
      </c>
      <c r="W27" s="13" t="str">
        <f>_xll.BDH("GILD US Equity","IS_GAIN_LOSS_SALE_OF_INVEST_OP","FQ4 2023","FQ4 2023","Currency=USD","Period=FQ","BEST_FPERIOD_OVERRIDE=FQ","FILING_STATUS=MR","SCALING_FORMAT=MLN","Sort=A","Dates=H","DateFormat=P","Fill=—","Direction=H","UseDPDF=Y")</f>
        <v>—</v>
      </c>
      <c r="X27" s="13" t="str">
        <f>_xll.BDH("GILD US Equity","IS_GAIN_LOSS_SALE_OF_INVEST_OP","FQ1 2024","FQ1 2024","Currency=USD","Period=FQ","BEST_FPERIOD_OVERRIDE=FQ","FILING_STATUS=MR","SCALING_FORMAT=MLN","Sort=A","Dates=H","DateFormat=P","Fill=—","Direction=H","UseDPDF=Y")</f>
        <v>—</v>
      </c>
      <c r="Y27" s="13">
        <f>_xll.BDH("GILD US Equity","IS_GAIN_LOSS_SALE_OF_INVEST_OP","FQ2 2024","FQ2 2024","Currency=USD","Period=FQ","BEST_FPERIOD_OVERRIDE=FQ","FILING_STATUS=MR","SCALING_FORMAT=MLN","Sort=A","Dates=H","DateFormat=P","Fill=—","Direction=H","UseDPDF=Y")</f>
        <v>392</v>
      </c>
      <c r="Z27" s="13" t="str">
        <f>_xll.BDH("GILD US Equity","IS_GAIN_LOSS_SALE_OF_INVEST_OP","FQ3 2024","FQ3 2024","Currency=USD","Period=FQ","BEST_FPERIOD_OVERRIDE=FQ","FILING_STATUS=MR","SCALING_FORMAT=MLN","Sort=A","Dates=H","DateFormat=P","Fill=—","Direction=H","UseDPDF=Y")</f>
        <v>—</v>
      </c>
      <c r="AA27" s="13" t="str">
        <f>_xll.BDH("GILD US Equity","IS_GAIN_LOSS_SALE_OF_INVEST_OP","FQ4 2024","FQ4 2024","Currency=USD","Period=FQ","BEST_FPERIOD_OVERRIDE=FQ","FILING_STATUS=MR","SCALING_FORMAT=MLN","Sort=A","Dates=H","DateFormat=P","Fill=—","Direction=H","UseDPDF=Y")</f>
        <v>—</v>
      </c>
    </row>
    <row r="28" spans="1:27" x14ac:dyDescent="0.25">
      <c r="A28" s="10" t="s">
        <v>670</v>
      </c>
      <c r="B28" s="10" t="s">
        <v>671</v>
      </c>
      <c r="C28" s="13">
        <f>_xll.BDH("GILD US Equity","IS_OTHER_ONE_TIME_ITEMS_OP","FQ4 2018","FQ4 2018","Currency=USD","Period=FQ","BEST_FPERIOD_OVERRIDE=FQ","FILING_STATUS=MR","SCALING_FORMAT=MLN","Sort=A","Dates=H","DateFormat=P","Fill=—","Direction=H","UseDPDF=Y")</f>
        <v>127</v>
      </c>
      <c r="D28" s="13">
        <f>_xll.BDH("GILD US Equity","IS_OTHER_ONE_TIME_ITEMS_OP","FQ1 2019","FQ1 2019","Currency=USD","Period=FQ","BEST_FPERIOD_OVERRIDE=FQ","FILING_STATUS=MR","SCALING_FORMAT=MLN","Sort=A","Dates=H","DateFormat=P","Fill=—","Direction=H","UseDPDF=Y")</f>
        <v>122.7848</v>
      </c>
      <c r="E28" s="13">
        <f>_xll.BDH("GILD US Equity","IS_OTHER_ONE_TIME_ITEMS_OP","FQ2 2019","FQ2 2019","Currency=USD","Period=FQ","BEST_FPERIOD_OVERRIDE=FQ","FILING_STATUS=MR","SCALING_FORMAT=MLN","Sort=A","Dates=H","DateFormat=P","Fill=—","Direction=H","UseDPDF=Y")</f>
        <v>164</v>
      </c>
      <c r="F28" s="13">
        <f>_xll.BDH("GILD US Equity","IS_OTHER_ONE_TIME_ITEMS_OP","FQ3 2019","FQ3 2019","Currency=USD","Period=FQ","BEST_FPERIOD_OVERRIDE=FQ","FILING_STATUS=MR","SCALING_FORMAT=MLN","Sort=A","Dates=H","DateFormat=P","Fill=—","Direction=H","UseDPDF=Y")</f>
        <v>9</v>
      </c>
      <c r="G28" s="13">
        <f>_xll.BDH("GILD US Equity","IS_OTHER_ONE_TIME_ITEMS_OP","FQ4 2019","FQ4 2019","Currency=USD","Period=FQ","BEST_FPERIOD_OVERRIDE=FQ","FILING_STATUS=MR","SCALING_FORMAT=MLN","Sort=A","Dates=H","DateFormat=P","Fill=—","Direction=H","UseDPDF=Y")</f>
        <v>-4</v>
      </c>
      <c r="H28" s="13" t="str">
        <f>_xll.BDH("GILD US Equity","IS_OTHER_ONE_TIME_ITEMS_OP","FQ1 2020","FQ1 2020","Currency=USD","Period=FQ","BEST_FPERIOD_OVERRIDE=FQ","FILING_STATUS=MR","SCALING_FORMAT=MLN","Sort=A","Dates=H","DateFormat=P","Fill=—","Direction=H","UseDPDF=Y")</f>
        <v>—</v>
      </c>
      <c r="I28" s="13">
        <f>_xll.BDH("GILD US Equity","IS_OTHER_ONE_TIME_ITEMS_OP","FQ2 2020","FQ2 2020","Currency=USD","Period=FQ","BEST_FPERIOD_OVERRIDE=FQ","FILING_STATUS=MR","SCALING_FORMAT=MLN","Sort=A","Dates=H","DateFormat=P","Fill=—","Direction=H","UseDPDF=Y")</f>
        <v>-2</v>
      </c>
      <c r="J28" s="13">
        <f>_xll.BDH("GILD US Equity","IS_OTHER_ONE_TIME_ITEMS_OP","FQ3 2020","FQ3 2020","Currency=USD","Period=FQ","BEST_FPERIOD_OVERRIDE=FQ","FILING_STATUS=MR","SCALING_FORMAT=MLN","Sort=A","Dates=H","DateFormat=P","Fill=—","Direction=H","UseDPDF=Y")</f>
        <v>-1</v>
      </c>
      <c r="K28" s="13" t="str">
        <f>_xll.BDH("GILD US Equity","IS_OTHER_ONE_TIME_ITEMS_OP","FQ4 2020","FQ4 2020","Currency=USD","Period=FQ","BEST_FPERIOD_OVERRIDE=FQ","FILING_STATUS=MR","SCALING_FORMAT=MLN","Sort=A","Dates=H","DateFormat=P","Fill=—","Direction=H","UseDPDF=Y")</f>
        <v>—</v>
      </c>
      <c r="L28" s="13" t="str">
        <f>_xll.BDH("GILD US Equity","IS_OTHER_ONE_TIME_ITEMS_OP","FQ1 2021","FQ1 2021","Currency=USD","Period=FQ","BEST_FPERIOD_OVERRIDE=FQ","FILING_STATUS=MR","SCALING_FORMAT=MLN","Sort=A","Dates=H","DateFormat=P","Fill=—","Direction=H","UseDPDF=Y")</f>
        <v>—</v>
      </c>
      <c r="M28" s="13">
        <f>_xll.BDH("GILD US Equity","IS_OTHER_ONE_TIME_ITEMS_OP","FQ2 2021","FQ2 2021","Currency=USD","Period=FQ","BEST_FPERIOD_OVERRIDE=FQ","FILING_STATUS=MR","SCALING_FORMAT=MLN","Sort=A","Dates=H","DateFormat=P","Fill=—","Direction=H","UseDPDF=Y")</f>
        <v>264</v>
      </c>
      <c r="N28" s="13" t="str">
        <f>_xll.BDH("GILD US Equity","IS_OTHER_ONE_TIME_ITEMS_OP","FQ3 2021","FQ3 2021","Currency=USD","Period=FQ","BEST_FPERIOD_OVERRIDE=FQ","FILING_STATUS=MR","SCALING_FORMAT=MLN","Sort=A","Dates=H","DateFormat=P","Fill=—","Direction=H","UseDPDF=Y")</f>
        <v>—</v>
      </c>
      <c r="O28" s="13">
        <f>_xll.BDH("GILD US Equity","IS_OTHER_ONE_TIME_ITEMS_OP","FQ4 2021","FQ4 2021","Currency=USD","Period=FQ","BEST_FPERIOD_OVERRIDE=FQ","FILING_STATUS=MR","SCALING_FORMAT=MLN","Sort=A","Dates=H","DateFormat=P","Fill=—","Direction=H","UseDPDF=Y")</f>
        <v>6</v>
      </c>
      <c r="P28" s="13" t="str">
        <f>_xll.BDH("GILD US Equity","IS_OTHER_ONE_TIME_ITEMS_OP","FQ1 2022","FQ1 2022","Currency=USD","Period=FQ","BEST_FPERIOD_OVERRIDE=FQ","FILING_STATUS=MR","SCALING_FORMAT=MLN","Sort=A","Dates=H","DateFormat=P","Fill=—","Direction=H","UseDPDF=Y")</f>
        <v>—</v>
      </c>
      <c r="Q28" s="13">
        <f>_xll.BDH("GILD US Equity","IS_OTHER_ONE_TIME_ITEMS_OP","FQ2 2022","FQ2 2022","Currency=USD","Period=FQ","BEST_FPERIOD_OVERRIDE=FQ","FILING_STATUS=MR","SCALING_FORMAT=MLN","Sort=A","Dates=H","DateFormat=P","Fill=—","Direction=H","UseDPDF=Y")</f>
        <v>85</v>
      </c>
      <c r="R28" s="13">
        <f>_xll.BDH("GILD US Equity","IS_OTHER_ONE_TIME_ITEMS_OP","FQ3 2022","FQ3 2022","Currency=USD","Period=FQ","BEST_FPERIOD_OVERRIDE=FQ","FILING_STATUS=MR","SCALING_FORMAT=MLN","Sort=A","Dates=H","DateFormat=P","Fill=—","Direction=H","UseDPDF=Y")</f>
        <v>-1</v>
      </c>
      <c r="S28" s="13">
        <f>_xll.BDH("GILD US Equity","IS_OTHER_ONE_TIME_ITEMS_OP","FQ4 2022","FQ4 2022","Currency=USD","Period=FQ","BEST_FPERIOD_OVERRIDE=FQ","FILING_STATUS=MR","SCALING_FORMAT=MLN","Sort=A","Dates=H","DateFormat=P","Fill=—","Direction=H","UseDPDF=Y")</f>
        <v>2</v>
      </c>
      <c r="T28" s="13" t="str">
        <f>_xll.BDH("GILD US Equity","IS_OTHER_ONE_TIME_ITEMS_OP","FQ1 2023","FQ1 2023","Currency=USD","Period=FQ","BEST_FPERIOD_OVERRIDE=FQ","FILING_STATUS=MR","SCALING_FORMAT=MLN","Sort=A","Dates=H","DateFormat=P","Fill=—","Direction=H","UseDPDF=Y")</f>
        <v>—</v>
      </c>
      <c r="U28" s="13" t="str">
        <f>_xll.BDH("GILD US Equity","IS_OTHER_ONE_TIME_ITEMS_OP","FQ2 2023","FQ2 2023","Currency=USD","Period=FQ","BEST_FPERIOD_OVERRIDE=FQ","FILING_STATUS=MR","SCALING_FORMAT=MLN","Sort=A","Dates=H","DateFormat=P","Fill=—","Direction=H","UseDPDF=Y")</f>
        <v>—</v>
      </c>
      <c r="V28" s="13" t="str">
        <f>_xll.BDH("GILD US Equity","IS_OTHER_ONE_TIME_ITEMS_OP","FQ3 2023","FQ3 2023","Currency=USD","Period=FQ","BEST_FPERIOD_OVERRIDE=FQ","FILING_STATUS=MR","SCALING_FORMAT=MLN","Sort=A","Dates=H","DateFormat=P","Fill=—","Direction=H","UseDPDF=Y")</f>
        <v>—</v>
      </c>
      <c r="W28" s="13">
        <f>_xll.BDH("GILD US Equity","IS_OTHER_ONE_TIME_ITEMS_OP","FQ4 2023","FQ4 2023","Currency=USD","Period=FQ","BEST_FPERIOD_OVERRIDE=FQ","FILING_STATUS=MR","SCALING_FORMAT=MLN","Sort=A","Dates=H","DateFormat=P","Fill=—","Direction=H","UseDPDF=Y")</f>
        <v>51</v>
      </c>
      <c r="X28" s="13" t="str">
        <f>_xll.BDH("GILD US Equity","IS_OTHER_ONE_TIME_ITEMS_OP","FQ1 2024","FQ1 2024","Currency=USD","Period=FQ","BEST_FPERIOD_OVERRIDE=FQ","FILING_STATUS=MR","SCALING_FORMAT=MLN","Sort=A","Dates=H","DateFormat=P","Fill=—","Direction=H","UseDPDF=Y")</f>
        <v>—</v>
      </c>
      <c r="Y28" s="13" t="str">
        <f>_xll.BDH("GILD US Equity","IS_OTHER_ONE_TIME_ITEMS_OP","FQ2 2024","FQ2 2024","Currency=USD","Period=FQ","BEST_FPERIOD_OVERRIDE=FQ","FILING_STATUS=MR","SCALING_FORMAT=MLN","Sort=A","Dates=H","DateFormat=P","Fill=—","Direction=H","UseDPDF=Y")</f>
        <v>—</v>
      </c>
      <c r="Z28" s="13" t="str">
        <f>_xll.BDH("GILD US Equity","IS_OTHER_ONE_TIME_ITEMS_OP","FQ3 2024","FQ3 2024","Currency=USD","Period=FQ","BEST_FPERIOD_OVERRIDE=FQ","FILING_STATUS=MR","SCALING_FORMAT=MLN","Sort=A","Dates=H","DateFormat=P","Fill=—","Direction=H","UseDPDF=Y")</f>
        <v>—</v>
      </c>
      <c r="AA28" s="13" t="str">
        <f>_xll.BDH("GILD US Equity","IS_OTHER_ONE_TIME_ITEMS_OP","FQ4 2024","FQ4 2024","Currency=USD","Period=FQ","BEST_FPERIOD_OVERRIDE=FQ","FILING_STATUS=MR","SCALING_FORMAT=MLN","Sort=A","Dates=H","DateFormat=P","Fill=—","Direction=H","UseDPDF=Y")</f>
        <v>—</v>
      </c>
    </row>
    <row r="29" spans="1:27" x14ac:dyDescent="0.25">
      <c r="A29" s="6" t="s">
        <v>653</v>
      </c>
      <c r="B29" s="6" t="s">
        <v>99</v>
      </c>
      <c r="C29" s="19">
        <f>_xll.BDH("GILD US Equity","IS_OPER_INC","FQ4 2018","FQ4 2018","Currency=USD","Period=FQ","BEST_FPERIOD_OVERRIDE=FQ","FILING_STATUS=MR","SCALING_FORMAT=MLN","FA_ADJUSTED=Adjusted","Sort=A","Dates=H","DateFormat=P","Fill=—","Direction=H","UseDPDF=Y")</f>
        <v>2091</v>
      </c>
      <c r="D29" s="19">
        <f>_xll.BDH("GILD US Equity","IS_OPER_INC","FQ1 2019","FQ1 2019","Currency=USD","Period=FQ","BEST_FPERIOD_OVERRIDE=FQ","FILING_STATUS=MR","SCALING_FORMAT=MLN","FA_ADJUSTED=Adjusted","Sort=A","Dates=H","DateFormat=P","Fill=—","Direction=H","UseDPDF=Y")</f>
        <v>2359.7847999999999</v>
      </c>
      <c r="E29" s="19">
        <f>_xll.BDH("GILD US Equity","IS_OPER_INC","FQ2 2019","FQ2 2019","Currency=USD","Period=FQ","BEST_FPERIOD_OVERRIDE=FQ","FILING_STATUS=MR","SCALING_FORMAT=MLN","FA_ADJUSTED=Adjusted","Sort=A","Dates=H","DateFormat=P","Fill=—","Direction=H","UseDPDF=Y")</f>
        <v>2594</v>
      </c>
      <c r="F29" s="19">
        <f>_xll.BDH("GILD US Equity","IS_OPER_INC","FQ3 2019","FQ3 2019","Currency=USD","Period=FQ","BEST_FPERIOD_OVERRIDE=FQ","FILING_STATUS=MR","SCALING_FORMAT=MLN","FA_ADJUSTED=Adjusted","Sort=A","Dates=H","DateFormat=P","Fill=—","Direction=H","UseDPDF=Y")</f>
        <v>2496</v>
      </c>
      <c r="G29" s="19">
        <f>_xll.BDH("GILD US Equity","IS_OPER_INC","FQ4 2019","FQ4 2019","Currency=USD","Period=FQ","BEST_FPERIOD_OVERRIDE=FQ","FILING_STATUS=MR","SCALING_FORMAT=MLN","FA_ADJUSTED=Adjusted","Sort=A","Dates=H","DateFormat=P","Fill=—","Direction=H","UseDPDF=Y")</f>
        <v>1889</v>
      </c>
      <c r="H29" s="19">
        <f>_xll.BDH("GILD US Equity","IS_OPER_INC","FQ1 2020","FQ1 2020","Currency=USD","Period=FQ","BEST_FPERIOD_OVERRIDE=FQ","FILING_STATUS=MR","SCALING_FORMAT=MLN","FA_ADJUSTED=Adjusted","Sort=A","Dates=H","DateFormat=P","Fill=—","Direction=H","UseDPDF=Y")</f>
        <v>2765</v>
      </c>
      <c r="I29" s="19">
        <f>_xll.BDH("GILD US Equity","IS_OPER_INC","FQ2 2020","FQ2 2020","Currency=USD","Period=FQ","BEST_FPERIOD_OVERRIDE=FQ","FILING_STATUS=MR","SCALING_FORMAT=MLN","FA_ADJUSTED=Adjusted","Sort=A","Dates=H","DateFormat=P","Fill=—","Direction=H","UseDPDF=Y")</f>
        <v>1729</v>
      </c>
      <c r="J29" s="19">
        <f>_xll.BDH("GILD US Equity","IS_OPER_INC","FQ3 2020","FQ3 2020","Currency=USD","Period=FQ","BEST_FPERIOD_OVERRIDE=FQ","FILING_STATUS=MR","SCALING_FORMAT=MLN","FA_ADJUSTED=Adjusted","Sort=A","Dates=H","DateFormat=P","Fill=—","Direction=H","UseDPDF=Y")</f>
        <v>3186</v>
      </c>
      <c r="K29" s="19">
        <f>_xll.BDH("GILD US Equity","IS_OPER_INC","FQ4 2020","FQ4 2020","Currency=USD","Period=FQ","BEST_FPERIOD_OVERRIDE=FQ","FILING_STATUS=MR","SCALING_FORMAT=MLN","FA_ADJUSTED=Adjusted","Sort=A","Dates=H","DateFormat=P","Fill=—","Direction=H","UseDPDF=Y")</f>
        <v>3075</v>
      </c>
      <c r="L29" s="19">
        <f>_xll.BDH("GILD US Equity","IS_OPER_INC","FQ1 2021","FQ1 2021","Currency=USD","Period=FQ","BEST_FPERIOD_OVERRIDE=FQ","FILING_STATUS=MR","SCALING_FORMAT=MLN","FA_ADJUSTED=Adjusted","Sort=A","Dates=H","DateFormat=P","Fill=—","Direction=H","UseDPDF=Y")</f>
        <v>3486</v>
      </c>
      <c r="M29" s="19">
        <f>_xll.BDH("GILD US Equity","IS_OPER_INC","FQ2 2021","FQ2 2021","Currency=USD","Period=FQ","BEST_FPERIOD_OVERRIDE=FQ","FILING_STATUS=MR","SCALING_FORMAT=MLN","FA_ADJUSTED=Adjusted","Sort=A","Dates=H","DateFormat=P","Fill=—","Direction=H","UseDPDF=Y")</f>
        <v>2622</v>
      </c>
      <c r="N29" s="19">
        <f>_xll.BDH("GILD US Equity","IS_OPER_INC","FQ3 2021","FQ3 2021","Currency=USD","Period=FQ","BEST_FPERIOD_OVERRIDE=FQ","FILING_STATUS=MR","SCALING_FORMAT=MLN","FA_ADJUSTED=Adjusted","Sort=A","Dates=H","DateFormat=P","Fill=—","Direction=H","UseDPDF=Y")</f>
        <v>3844</v>
      </c>
      <c r="O29" s="19">
        <f>_xll.BDH("GILD US Equity","IS_OPER_INC","FQ4 2021","FQ4 2021","Currency=USD","Period=FQ","BEST_FPERIOD_OVERRIDE=FQ","FILING_STATUS=MR","SCALING_FORMAT=MLN","FA_ADJUSTED=Adjusted","Sort=A","Dates=H","DateFormat=P","Fill=—","Direction=H","UseDPDF=Y")</f>
        <v>1621.7974999999999</v>
      </c>
      <c r="P29" s="19">
        <f>_xll.BDH("GILD US Equity","IS_OPER_INC","FQ1 2022","FQ1 2022","Currency=USD","Period=FQ","BEST_FPERIOD_OVERRIDE=FQ","FILING_STATUS=MR","SCALING_FORMAT=MLN","FA_ADJUSTED=Adjusted","Sort=A","Dates=H","DateFormat=P","Fill=—","Direction=H","UseDPDF=Y")</f>
        <v>2967</v>
      </c>
      <c r="Q29" s="19">
        <f>_xll.BDH("GILD US Equity","IS_OPER_INC","FQ2 2022","FQ2 2022","Currency=USD","Period=FQ","BEST_FPERIOD_OVERRIDE=FQ","FILING_STATUS=MR","SCALING_FORMAT=MLN","FA_ADJUSTED=Adjusted","Sort=A","Dates=H","DateFormat=P","Fill=—","Direction=H","UseDPDF=Y")</f>
        <v>2752</v>
      </c>
      <c r="R29" s="19">
        <f>_xll.BDH("GILD US Equity","IS_OPER_INC","FQ3 2022","FQ3 2022","Currency=USD","Period=FQ","BEST_FPERIOD_OVERRIDE=FQ","FILING_STATUS=MR","SCALING_FORMAT=MLN","FA_ADJUSTED=Adjusted","Sort=A","Dates=H","DateFormat=P","Fill=—","Direction=H","UseDPDF=Y")</f>
        <v>3711</v>
      </c>
      <c r="S29" s="19">
        <f>_xll.BDH("GILD US Equity","IS_OPER_INC","FQ4 2022","FQ4 2022","Currency=USD","Period=FQ","BEST_FPERIOD_OVERRIDE=FQ","FILING_STATUS=MR","SCALING_FORMAT=MLN","FA_ADJUSTED=Adjusted","Sort=A","Dates=H","DateFormat=P","Fill=—","Direction=H","UseDPDF=Y")</f>
        <v>2429</v>
      </c>
      <c r="T29" s="19">
        <f>_xll.BDH("GILD US Equity","IS_OPER_INC","FQ1 2023","FQ1 2023","Currency=USD","Period=FQ","BEST_FPERIOD_OVERRIDE=FQ","FILING_STATUS=MR","SCALING_FORMAT=MLN","FA_ADJUSTED=Adjusted","Sort=A","Dates=H","DateFormat=P","Fill=—","Direction=H","UseDPDF=Y")</f>
        <v>2195</v>
      </c>
      <c r="U29" s="19">
        <f>_xll.BDH("GILD US Equity","IS_OPER_INC","FQ2 2023","FQ2 2023","Currency=USD","Period=FQ","BEST_FPERIOD_OVERRIDE=FQ","FILING_STATUS=MR","SCALING_FORMAT=MLN","FA_ADJUSTED=Adjusted","Sort=A","Dates=H","DateFormat=P","Fill=—","Direction=H","UseDPDF=Y")</f>
        <v>1863</v>
      </c>
      <c r="V29" s="19">
        <f>_xll.BDH("GILD US Equity","IS_OPER_INC","FQ3 2023","FQ3 2023","Currency=USD","Period=FQ","BEST_FPERIOD_OVERRIDE=FQ","FILING_STATUS=MR","SCALING_FORMAT=MLN","FA_ADJUSTED=Adjusted","Sort=A","Dates=H","DateFormat=P","Fill=—","Direction=H","UseDPDF=Y")</f>
        <v>2903</v>
      </c>
      <c r="W29" s="19">
        <f>_xll.BDH("GILD US Equity","IS_OPER_INC","FQ4 2023","FQ4 2023","Currency=USD","Period=FQ","BEST_FPERIOD_OVERRIDE=FQ","FILING_STATUS=MR","SCALING_FORMAT=MLN","FA_ADJUSTED=Adjusted","Sort=A","Dates=H","DateFormat=P","Fill=—","Direction=H","UseDPDF=Y")</f>
        <v>2506</v>
      </c>
      <c r="X29" s="19">
        <f>_xll.BDH("GILD US Equity","IS_OPER_INC","FQ1 2024","FQ1 2024","Currency=USD","Period=FQ","BEST_FPERIOD_OVERRIDE=FQ","FILING_STATUS=MR","SCALING_FORMAT=MLN","FA_ADJUSTED=Adjusted","Sort=A","Dates=H","DateFormat=P","Fill=—","Direction=H","UseDPDF=Y")</f>
        <v>2435</v>
      </c>
      <c r="Y29" s="19">
        <f>_xll.BDH("GILD US Equity","IS_OPER_INC","FQ2 2024","FQ2 2024","Currency=USD","Period=FQ","BEST_FPERIOD_OVERRIDE=FQ","FILING_STATUS=MR","SCALING_FORMAT=MLN","FA_ADJUSTED=Adjusted","Sort=A","Dates=H","DateFormat=P","Fill=—","Direction=H","UseDPDF=Y")</f>
        <v>3116</v>
      </c>
      <c r="Z29" s="19">
        <f>_xll.BDH("GILD US Equity","IS_OPER_INC","FQ3 2024","FQ3 2024","Currency=USD","Period=FQ","BEST_FPERIOD_OVERRIDE=FQ","FILING_STATUS=MR","SCALING_FORMAT=MLN","FA_ADJUSTED=Adjusted","Sort=A","Dates=H","DateFormat=P","Fill=—","Direction=H","UseDPDF=Y")</f>
        <v>3184</v>
      </c>
      <c r="AA29" s="19">
        <f>_xll.BDH("GILD US Equity","IS_OPER_INC","FQ4 2024","FQ4 2024","Currency=USD","Period=FQ","BEST_FPERIOD_OVERRIDE=FQ","FILING_STATUS=MR","SCALING_FORMAT=MLN","FA_ADJUSTED=Adjusted","Sort=A","Dates=H","DateFormat=P","Fill=—","Direction=H","UseDPDF=Y")</f>
        <v>2524</v>
      </c>
    </row>
    <row r="30" spans="1:27" x14ac:dyDescent="0.25">
      <c r="A30" s="6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x14ac:dyDescent="0.25">
      <c r="A31" s="6" t="s">
        <v>672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x14ac:dyDescent="0.25">
      <c r="A32" s="6" t="s">
        <v>361</v>
      </c>
      <c r="B32" s="6" t="s">
        <v>158</v>
      </c>
      <c r="C32" s="19">
        <f>_xll.BDH("GILD US Equity","PRETAX_INC","FQ4 2018","FQ4 2018","Currency=USD","Period=FQ","BEST_FPERIOD_OVERRIDE=FQ","FILING_STATUS=MR","SCALING_FORMAT=MLN","FA_ADJUSTED=GAAP","Sort=A","Dates=H","DateFormat=P","Fill=—","Direction=H","UseDPDF=Y")</f>
        <v>1016</v>
      </c>
      <c r="D32" s="19">
        <f>_xll.BDH("GILD US Equity","PRETAX_INC","FQ1 2019","FQ1 2019","Currency=USD","Period=FQ","BEST_FPERIOD_OVERRIDE=FQ","FILING_STATUS=MR","SCALING_FORMAT=MLN","FA_ADJUSTED=GAAP","Sort=A","Dates=H","DateFormat=P","Fill=—","Direction=H","UseDPDF=Y")</f>
        <v>2350</v>
      </c>
      <c r="E32" s="19">
        <f>_xll.BDH("GILD US Equity","PRETAX_INC","FQ2 2019","FQ2 2019","Currency=USD","Period=FQ","BEST_FPERIOD_OVERRIDE=FQ","FILING_STATUS=MR","SCALING_FORMAT=MLN","FA_ADJUSTED=GAAP","Sort=A","Dates=H","DateFormat=P","Fill=—","Direction=H","UseDPDF=Y")</f>
        <v>2410</v>
      </c>
      <c r="F32" s="19">
        <f>_xll.BDH("GILD US Equity","PRETAX_INC","FQ3 2019","FQ3 2019","Currency=USD","Period=FQ","BEST_FPERIOD_OVERRIDE=FQ","FILING_STATUS=MR","SCALING_FORMAT=MLN","FA_ADJUSTED=GAAP","Sort=A","Dates=H","DateFormat=P","Fill=—","Direction=H","UseDPDF=Y")</f>
        <v>-1501</v>
      </c>
      <c r="G32" s="19">
        <f>_xll.BDH("GILD US Equity","PRETAX_INC","FQ4 2019","FQ4 2019","Currency=USD","Period=FQ","BEST_FPERIOD_OVERRIDE=FQ","FILING_STATUS=MR","SCALING_FORMAT=MLN","FA_ADJUSTED=GAAP","Sort=A","Dates=H","DateFormat=P","Fill=—","Direction=H","UseDPDF=Y")</f>
        <v>1901</v>
      </c>
      <c r="H32" s="19">
        <f>_xll.BDH("GILD US Equity","PRETAX_INC","FQ1 2020","FQ1 2020","Currency=USD","Period=FQ","BEST_FPERIOD_OVERRIDE=FQ","FILING_STATUS=MR","SCALING_FORMAT=MLN","FA_ADJUSTED=GAAP","Sort=A","Dates=H","DateFormat=P","Fill=—","Direction=H","UseDPDF=Y")</f>
        <v>2003</v>
      </c>
      <c r="I32" s="19">
        <f>_xll.BDH("GILD US Equity","PRETAX_INC","FQ2 2020","FQ2 2020","Currency=USD","Period=FQ","BEST_FPERIOD_OVERRIDE=FQ","FILING_STATUS=MR","SCALING_FORMAT=MLN","FA_ADJUSTED=GAAP","Sort=A","Dates=H","DateFormat=P","Fill=—","Direction=H","UseDPDF=Y")</f>
        <v>-2973</v>
      </c>
      <c r="J32" s="19">
        <f>_xll.BDH("GILD US Equity","PRETAX_INC","FQ3 2020","FQ3 2020","Currency=USD","Period=FQ","BEST_FPERIOD_OVERRIDE=FQ","FILING_STATUS=MR","SCALING_FORMAT=MLN","FA_ADJUSTED=GAAP","Sort=A","Dates=H","DateFormat=P","Fill=—","Direction=H","UseDPDF=Y")</f>
        <v>825</v>
      </c>
      <c r="K32" s="19">
        <f>_xll.BDH("GILD US Equity","PRETAX_INC","FQ4 2020","FQ4 2020","Currency=USD","Period=FQ","BEST_FPERIOD_OVERRIDE=FQ","FILING_STATUS=MR","SCALING_FORMAT=MLN","FA_ADJUSTED=GAAP","Sort=A","Dates=H","DateFormat=P","Fill=—","Direction=H","UseDPDF=Y")</f>
        <v>1814</v>
      </c>
      <c r="L32" s="19">
        <f>_xll.BDH("GILD US Equity","PRETAX_INC","FQ1 2021","FQ1 2021","Currency=USD","Period=FQ","BEST_FPERIOD_OVERRIDE=FQ","FILING_STATUS=MR","SCALING_FORMAT=MLN","FA_ADJUSTED=GAAP","Sort=A","Dates=H","DateFormat=P","Fill=—","Direction=H","UseDPDF=Y")</f>
        <v>2264</v>
      </c>
      <c r="M32" s="19">
        <f>_xll.BDH("GILD US Equity","PRETAX_INC","FQ2 2021","FQ2 2021","Currency=USD","Period=FQ","BEST_FPERIOD_OVERRIDE=FQ","FILING_STATUS=MR","SCALING_FORMAT=MLN","FA_ADJUSTED=GAAP","Sort=A","Dates=H","DateFormat=P","Fill=—","Direction=H","UseDPDF=Y")</f>
        <v>1817</v>
      </c>
      <c r="N32" s="19">
        <f>_xll.BDH("GILD US Equity","PRETAX_INC","FQ3 2021","FQ3 2021","Currency=USD","Period=FQ","BEST_FPERIOD_OVERRIDE=FQ","FILING_STATUS=MR","SCALING_FORMAT=MLN","FA_ADJUSTED=GAAP","Sort=A","Dates=H","DateFormat=P","Fill=—","Direction=H","UseDPDF=Y")</f>
        <v>3438</v>
      </c>
      <c r="O32" s="19">
        <f>_xll.BDH("GILD US Equity","PRETAX_INC","FQ4 2021","FQ4 2021","Currency=USD","Period=FQ","BEST_FPERIOD_OVERRIDE=FQ","FILING_STATUS=MR","SCALING_FORMAT=MLN","FA_ADJUSTED=GAAP","Sort=A","Dates=H","DateFormat=P","Fill=—","Direction=H","UseDPDF=Y")</f>
        <v>759</v>
      </c>
      <c r="P32" s="19">
        <f>_xll.BDH("GILD US Equity","PRETAX_INC","FQ1 2022","FQ1 2022","Currency=USD","Period=FQ","BEST_FPERIOD_OVERRIDE=FQ","FILING_STATUS=MR","SCALING_FORMAT=MLN","FA_ADJUSTED=GAAP","Sort=A","Dates=H","DateFormat=P","Fill=—","Direction=H","UseDPDF=Y")</f>
        <v>-152</v>
      </c>
      <c r="Q32" s="19">
        <f>_xll.BDH("GILD US Equity","PRETAX_INC","FQ2 2022","FQ2 2022","Currency=USD","Period=FQ","BEST_FPERIOD_OVERRIDE=FQ","FILING_STATUS=MR","SCALING_FORMAT=MLN","FA_ADJUSTED=GAAP","Sort=A","Dates=H","DateFormat=P","Fill=—","Direction=H","UseDPDF=Y")</f>
        <v>1503</v>
      </c>
      <c r="R32" s="19">
        <f>_xll.BDH("GILD US Equity","PRETAX_INC","FQ3 2022","FQ3 2022","Currency=USD","Period=FQ","BEST_FPERIOD_OVERRIDE=FQ","FILING_STATUS=MR","SCALING_FORMAT=MLN","FA_ADJUSTED=GAAP","Sort=A","Dates=H","DateFormat=P","Fill=—","Direction=H","UseDPDF=Y")</f>
        <v>2432</v>
      </c>
      <c r="S32" s="19">
        <f>_xll.BDH("GILD US Equity","PRETAX_INC","FQ4 2022","FQ4 2022","Currency=USD","Period=FQ","BEST_FPERIOD_OVERRIDE=FQ","FILING_STATUS=MR","SCALING_FORMAT=MLN","FA_ADJUSTED=GAAP","Sort=A","Dates=H","DateFormat=P","Fill=—","Direction=H","UseDPDF=Y")</f>
        <v>2031</v>
      </c>
      <c r="T32" s="19">
        <f>_xll.BDH("GILD US Equity","PRETAX_INC","FQ1 2023","FQ1 2023","Currency=USD","Period=FQ","BEST_FPERIOD_OVERRIDE=FQ","FILING_STATUS=MR","SCALING_FORMAT=MLN","FA_ADJUSTED=GAAP","Sort=A","Dates=H","DateFormat=P","Fill=—","Direction=H","UseDPDF=Y")</f>
        <v>1300</v>
      </c>
      <c r="U32" s="19">
        <f>_xll.BDH("GILD US Equity","PRETAX_INC","FQ2 2023","FQ2 2023","Currency=USD","Period=FQ","BEST_FPERIOD_OVERRIDE=FQ","FILING_STATUS=MR","SCALING_FORMAT=MLN","FA_ADJUSTED=GAAP","Sort=A","Dates=H","DateFormat=P","Fill=—","Direction=H","UseDPDF=Y")</f>
        <v>1588</v>
      </c>
      <c r="V32" s="19">
        <f>_xll.BDH("GILD US Equity","PRETAX_INC","FQ3 2023","FQ3 2023","Currency=USD","Period=FQ","BEST_FPERIOD_OVERRIDE=FQ","FILING_STATUS=MR","SCALING_FORMAT=MLN","FA_ADJUSTED=GAAP","Sort=A","Dates=H","DateFormat=P","Fill=—","Direction=H","UseDPDF=Y")</f>
        <v>2319</v>
      </c>
      <c r="W32" s="19">
        <f>_xll.BDH("GILD US Equity","PRETAX_INC","FQ4 2023","FQ4 2023","Currency=USD","Period=FQ","BEST_FPERIOD_OVERRIDE=FQ","FILING_STATUS=MR","SCALING_FORMAT=MLN","FA_ADJUSTED=GAAP","Sort=A","Dates=H","DateFormat=P","Fill=—","Direction=H","UseDPDF=Y")</f>
        <v>1653</v>
      </c>
      <c r="X32" s="19">
        <f>_xll.BDH("GILD US Equity","PRETAX_INC","FQ1 2024","FQ1 2024","Currency=USD","Period=FQ","BEST_FPERIOD_OVERRIDE=FQ","FILING_STATUS=MR","SCALING_FORMAT=MLN","FA_ADJUSTED=GAAP","Sort=A","Dates=H","DateFormat=P","Fill=—","Direction=H","UseDPDF=Y")</f>
        <v>-4486</v>
      </c>
      <c r="Y32" s="19">
        <f>_xll.BDH("GILD US Equity","PRETAX_INC","FQ2 2024","FQ2 2024","Currency=USD","Period=FQ","BEST_FPERIOD_OVERRIDE=FQ","FILING_STATUS=MR","SCALING_FORMAT=MLN","FA_ADJUSTED=GAAP","Sort=A","Dates=H","DateFormat=P","Fill=—","Direction=H","UseDPDF=Y")</f>
        <v>2053</v>
      </c>
      <c r="Z32" s="19">
        <f>_xll.BDH("GILD US Equity","PRETAX_INC","FQ3 2024","FQ3 2024","Currency=USD","Period=FQ","BEST_FPERIOD_OVERRIDE=FQ","FILING_STATUS=MR","SCALING_FORMAT=MLN","FA_ADJUSTED=GAAP","Sort=A","Dates=H","DateFormat=P","Fill=—","Direction=H","UseDPDF=Y")</f>
        <v>956</v>
      </c>
      <c r="AA32" s="19">
        <f>_xll.BDH("GILD US Equity","PRETAX_INC","FQ4 2024","FQ4 2024","Currency=USD","Period=FQ","BEST_FPERIOD_OVERRIDE=FQ","FILING_STATUS=MR","SCALING_FORMAT=MLN","FA_ADJUSTED=GAAP","Sort=A","Dates=H","DateFormat=P","Fill=—","Direction=H","UseDPDF=Y")</f>
        <v>2168</v>
      </c>
    </row>
    <row r="33" spans="1:27" x14ac:dyDescent="0.25">
      <c r="A33" s="10" t="s">
        <v>660</v>
      </c>
      <c r="B33" s="10" t="s">
        <v>348</v>
      </c>
      <c r="C33" s="13" t="str">
        <f>_xll.BDH("GILD US Equity","IS_ACQUIRED_PROCESS_RD","FQ4 2018","FQ4 2018","Currency=USD","Period=FQ","BEST_FPERIOD_OVERRIDE=FQ","FILING_STATUS=MR","SCALING_FORMAT=MLN","Sort=A","Dates=H","DateFormat=P","Fill=—","Direction=H","UseDPDF=Y")</f>
        <v>—</v>
      </c>
      <c r="D33" s="13" t="str">
        <f>_xll.BDH("GILD US Equity","IS_ACQUIRED_PROCESS_RD","FQ1 2019","FQ1 2019","Currency=USD","Period=FQ","BEST_FPERIOD_OVERRIDE=FQ","FILING_STATUS=MR","SCALING_FORMAT=MLN","Sort=A","Dates=H","DateFormat=P","Fill=—","Direction=H","UseDPDF=Y")</f>
        <v>—</v>
      </c>
      <c r="E33" s="13" t="str">
        <f>_xll.BDH("GILD US Equity","IS_ACQUIRED_PROCESS_RD","FQ2 2019","FQ2 2019","Currency=USD","Period=FQ","BEST_FPERIOD_OVERRIDE=FQ","FILING_STATUS=MR","SCALING_FORMAT=MLN","Sort=A","Dates=H","DateFormat=P","Fill=—","Direction=H","UseDPDF=Y")</f>
        <v>—</v>
      </c>
      <c r="F33" s="13">
        <f>_xll.BDH("GILD US Equity","IS_ACQUIRED_PROCESS_RD","FQ3 2019","FQ3 2019","Currency=USD","Period=FQ","BEST_FPERIOD_OVERRIDE=FQ","FILING_STATUS=MR","SCALING_FORMAT=MLN","Sort=A","Dates=H","DateFormat=P","Fill=—","Direction=H","UseDPDF=Y")</f>
        <v>3960</v>
      </c>
      <c r="G33" s="13">
        <f>_xll.BDH("GILD US Equity","IS_ACQUIRED_PROCESS_RD","FQ4 2019","FQ4 2019","Currency=USD","Period=FQ","BEST_FPERIOD_OVERRIDE=FQ","FILING_STATUS=MR","SCALING_FORMAT=MLN","Sort=A","Dates=H","DateFormat=P","Fill=—","Direction=H","UseDPDF=Y")</f>
        <v>800</v>
      </c>
      <c r="H33" s="13">
        <f>_xll.BDH("GILD US Equity","IS_ACQUIRED_PROCESS_RD","FQ1 2020","FQ1 2020","Currency=USD","Period=FQ","BEST_FPERIOD_OVERRIDE=FQ","FILING_STATUS=MR","SCALING_FORMAT=MLN","Sort=A","Dates=H","DateFormat=P","Fill=—","Direction=H","UseDPDF=Y")</f>
        <v>97</v>
      </c>
      <c r="I33" s="13">
        <f>_xll.BDH("GILD US Equity","IS_ACQUIRED_PROCESS_RD","FQ2 2020","FQ2 2020","Currency=USD","Period=FQ","BEST_FPERIOD_OVERRIDE=FQ","FILING_STATUS=MR","SCALING_FORMAT=MLN","Sort=A","Dates=H","DateFormat=P","Fill=—","Direction=H","UseDPDF=Y")</f>
        <v>4524</v>
      </c>
      <c r="J33" s="13">
        <f>_xll.BDH("GILD US Equity","IS_ACQUIRED_PROCESS_RD","FQ3 2020","FQ3 2020","Currency=USD","Period=FQ","BEST_FPERIOD_OVERRIDE=FQ","FILING_STATUS=MR","SCALING_FORMAT=MLN","Sort=A","Dates=H","DateFormat=P","Fill=—","Direction=H","UseDPDF=Y")</f>
        <v>1171</v>
      </c>
      <c r="K33" s="13">
        <f>_xll.BDH("GILD US Equity","IS_ACQUIRED_PROCESS_RD","FQ4 2020","FQ4 2020","Currency=USD","Period=FQ","BEST_FPERIOD_OVERRIDE=FQ","FILING_STATUS=MR","SCALING_FORMAT=MLN","Sort=A","Dates=H","DateFormat=P","Fill=—","Direction=H","UseDPDF=Y")</f>
        <v>64</v>
      </c>
      <c r="L33" s="13">
        <f>_xll.BDH("GILD US Equity","IS_ACQUIRED_PROCESS_RD","FQ1 2021","FQ1 2021","Currency=USD","Period=FQ","BEST_FPERIOD_OVERRIDE=FQ","FILING_STATUS=MR","SCALING_FORMAT=MLN","Sort=A","Dates=H","DateFormat=P","Fill=—","Direction=H","UseDPDF=Y")</f>
        <v>62</v>
      </c>
      <c r="M33" s="13">
        <f>_xll.BDH("GILD US Equity","IS_ACQUIRED_PROCESS_RD","FQ2 2021","FQ2 2021","Currency=USD","Period=FQ","BEST_FPERIOD_OVERRIDE=FQ","FILING_STATUS=MR","SCALING_FORMAT=MLN","Sort=A","Dates=H","DateFormat=P","Fill=—","Direction=H","UseDPDF=Y")</f>
        <v>96</v>
      </c>
      <c r="N33" s="13">
        <f>_xll.BDH("GILD US Equity","IS_ACQUIRED_PROCESS_RD","FQ3 2021","FQ3 2021","Currency=USD","Period=FQ","BEST_FPERIOD_OVERRIDE=FQ","FILING_STATUS=MR","SCALING_FORMAT=MLN","Sort=A","Dates=H","DateFormat=P","Fill=—","Direction=H","UseDPDF=Y")</f>
        <v>19</v>
      </c>
      <c r="O33" s="13">
        <f>_xll.BDH("GILD US Equity","IS_ACQUIRED_PROCESS_RD","FQ4 2021","FQ4 2021","Currency=USD","Period=FQ","BEST_FPERIOD_OVERRIDE=FQ","FILING_STATUS=MR","SCALING_FORMAT=MLN","Sort=A","Dates=H","DateFormat=P","Fill=—","Direction=H","UseDPDF=Y")</f>
        <v>669</v>
      </c>
      <c r="P33" s="13" t="str">
        <f>_xll.BDH("GILD US Equity","IS_ACQUIRED_PROCESS_RD","FQ1 2022","FQ1 2022","Currency=USD","Period=FQ","BEST_FPERIOD_OVERRIDE=FQ","FILING_STATUS=MR","SCALING_FORMAT=MLN","Sort=A","Dates=H","DateFormat=P","Fill=—","Direction=H","UseDPDF=Y")</f>
        <v>—</v>
      </c>
      <c r="Q33" s="13">
        <f>_xll.BDH("GILD US Equity","IS_ACQUIRED_PROCESS_RD","FQ2 2022","FQ2 2022","Currency=USD","Period=FQ","BEST_FPERIOD_OVERRIDE=FQ","FILING_STATUS=MR","SCALING_FORMAT=MLN","Sort=A","Dates=H","DateFormat=P","Fill=—","Direction=H","UseDPDF=Y")</f>
        <v>330</v>
      </c>
      <c r="R33" s="13">
        <f>_xll.BDH("GILD US Equity","IS_ACQUIRED_PROCESS_RD","FQ3 2022","FQ3 2022","Currency=USD","Period=FQ","BEST_FPERIOD_OVERRIDE=FQ","FILING_STATUS=MR","SCALING_FORMAT=MLN","Sort=A","Dates=H","DateFormat=P","Fill=—","Direction=H","UseDPDF=Y")</f>
        <v>448</v>
      </c>
      <c r="S33" s="13">
        <f>_xll.BDH("GILD US Equity","IS_ACQUIRED_PROCESS_RD","FQ4 2022","FQ4 2022","Currency=USD","Period=FQ","BEST_FPERIOD_OVERRIDE=FQ","FILING_STATUS=MR","SCALING_FORMAT=MLN","Sort=A","Dates=H","DateFormat=P","Fill=—","Direction=H","UseDPDF=Y")</f>
        <v>158</v>
      </c>
      <c r="T33" s="13">
        <f>_xll.BDH("GILD US Equity","IS_ACQUIRED_PROCESS_RD","FQ1 2023","FQ1 2023","Currency=USD","Period=FQ","BEST_FPERIOD_OVERRIDE=FQ","FILING_STATUS=MR","SCALING_FORMAT=MLN","Sort=A","Dates=H","DateFormat=P","Fill=—","Direction=H","UseDPDF=Y")</f>
        <v>481</v>
      </c>
      <c r="U33" s="13">
        <f>_xll.BDH("GILD US Equity","IS_ACQUIRED_PROCESS_RD","FQ2 2023","FQ2 2023","Currency=USD","Period=FQ","BEST_FPERIOD_OVERRIDE=FQ","FILING_STATUS=MR","SCALING_FORMAT=MLN","Sort=A","Dates=H","DateFormat=P","Fill=—","Direction=H","UseDPDF=Y")</f>
        <v>236</v>
      </c>
      <c r="V33" s="13">
        <f>_xll.BDH("GILD US Equity","IS_ACQUIRED_PROCESS_RD","FQ3 2023","FQ3 2023","Currency=USD","Period=FQ","BEST_FPERIOD_OVERRIDE=FQ","FILING_STATUS=MR","SCALING_FORMAT=MLN","Sort=A","Dates=H","DateFormat=P","Fill=—","Direction=H","UseDPDF=Y")</f>
        <v>91</v>
      </c>
      <c r="W33" s="13">
        <f>_xll.BDH("GILD US Equity","IS_ACQUIRED_PROCESS_RD","FQ4 2023","FQ4 2023","Currency=USD","Period=FQ","BEST_FPERIOD_OVERRIDE=FQ","FILING_STATUS=MR","SCALING_FORMAT=MLN","Sort=A","Dates=H","DateFormat=P","Fill=—","Direction=H","UseDPDF=Y")</f>
        <v>347</v>
      </c>
      <c r="X33" s="13">
        <f>_xll.BDH("GILD US Equity","IS_ACQUIRED_PROCESS_RD","FQ1 2024","FQ1 2024","Currency=USD","Period=FQ","BEST_FPERIOD_OVERRIDE=FQ","FILING_STATUS=MR","SCALING_FORMAT=MLN","Sort=A","Dates=H","DateFormat=P","Fill=—","Direction=H","UseDPDF=Y")</f>
        <v>4131</v>
      </c>
      <c r="Y33" s="13">
        <f>_xll.BDH("GILD US Equity","IS_ACQUIRED_PROCESS_RD","FQ2 2024","FQ2 2024","Currency=USD","Period=FQ","BEST_FPERIOD_OVERRIDE=FQ","FILING_STATUS=MR","SCALING_FORMAT=MLN","Sort=A","Dates=H","DateFormat=P","Fill=—","Direction=H","UseDPDF=Y")</f>
        <v>38</v>
      </c>
      <c r="Z33" s="13">
        <f>_xll.BDH("GILD US Equity","IS_ACQUIRED_PROCESS_RD","FQ3 2024","FQ3 2024","Currency=USD","Period=FQ","BEST_FPERIOD_OVERRIDE=FQ","FILING_STATUS=MR","SCALING_FORMAT=MLN","Sort=A","Dates=H","DateFormat=P","Fill=—","Direction=H","UseDPDF=Y")</f>
        <v>505</v>
      </c>
      <c r="AA33" s="13">
        <f>_xll.BDH("GILD US Equity","IS_ACQUIRED_PROCESS_RD","FQ4 2024","FQ4 2024","Currency=USD","Period=FQ","BEST_FPERIOD_OVERRIDE=FQ","FILING_STATUS=MR","SCALING_FORMAT=MLN","Sort=A","Dates=H","DateFormat=P","Fill=—","Direction=H","UseDPDF=Y")</f>
        <v>-11</v>
      </c>
    </row>
    <row r="34" spans="1:27" x14ac:dyDescent="0.25">
      <c r="A34" s="10" t="s">
        <v>662</v>
      </c>
      <c r="B34" s="10" t="s">
        <v>350</v>
      </c>
      <c r="C34" s="13">
        <f>_xll.BDH("GILD US Equity","IS_MERGER_ACQUISITION_EXPENSE","FQ4 2018","FQ4 2018","Currency=USD","Period=FQ","BEST_FPERIOD_OVERRIDE=FQ","FILING_STATUS=MR","SCALING_FORMAT=MLN","Sort=A","Dates=H","DateFormat=P","Fill=—","Direction=H","UseDPDF=Y")</f>
        <v>820</v>
      </c>
      <c r="D34" s="13" t="str">
        <f>_xll.BDH("GILD US Equity","IS_MERGER_ACQUISITION_EXPENSE","FQ1 2019","FQ1 2019","Currency=USD","Period=FQ","BEST_FPERIOD_OVERRIDE=FQ","FILING_STATUS=MR","SCALING_FORMAT=MLN","Sort=A","Dates=H","DateFormat=P","Fill=—","Direction=H","UseDPDF=Y")</f>
        <v>—</v>
      </c>
      <c r="E34" s="13" t="str">
        <f>_xll.BDH("GILD US Equity","IS_MERGER_ACQUISITION_EXPENSE","FQ2 2019","FQ2 2019","Currency=USD","Period=FQ","BEST_FPERIOD_OVERRIDE=FQ","FILING_STATUS=MR","SCALING_FORMAT=MLN","Sort=A","Dates=H","DateFormat=P","Fill=—","Direction=H","UseDPDF=Y")</f>
        <v>—</v>
      </c>
      <c r="F34" s="13" t="str">
        <f>_xll.BDH("GILD US Equity","IS_MERGER_ACQUISITION_EXPENSE","FQ3 2019","FQ3 2019","Currency=USD","Period=FQ","BEST_FPERIOD_OVERRIDE=FQ","FILING_STATUS=MR","SCALING_FORMAT=MLN","Sort=A","Dates=H","DateFormat=P","Fill=—","Direction=H","UseDPDF=Y")</f>
        <v>—</v>
      </c>
      <c r="G34" s="13" t="str">
        <f>_xll.BDH("GILD US Equity","IS_MERGER_ACQUISITION_EXPENSE","FQ4 2019","FQ4 2019","Currency=USD","Period=FQ","BEST_FPERIOD_OVERRIDE=FQ","FILING_STATUS=MR","SCALING_FORMAT=MLN","Sort=A","Dates=H","DateFormat=P","Fill=—","Direction=H","UseDPDF=Y")</f>
        <v>—</v>
      </c>
      <c r="H34" s="13">
        <f>_xll.BDH("GILD US Equity","IS_MERGER_ACQUISITION_EXPENSE","FQ1 2020","FQ1 2020","Currency=USD","Period=FQ","BEST_FPERIOD_OVERRIDE=FQ","FILING_STATUS=MR","SCALING_FORMAT=MLN","Sort=A","Dates=H","DateFormat=P","Fill=—","Direction=H","UseDPDF=Y")</f>
        <v>266</v>
      </c>
      <c r="I34" s="13">
        <f>_xll.BDH("GILD US Equity","IS_MERGER_ACQUISITION_EXPENSE","FQ2 2020","FQ2 2020","Currency=USD","Period=FQ","BEST_FPERIOD_OVERRIDE=FQ","FILING_STATUS=MR","SCALING_FORMAT=MLN","Sort=A","Dates=H","DateFormat=P","Fill=—","Direction=H","UseDPDF=Y")</f>
        <v>190</v>
      </c>
      <c r="J34" s="13">
        <f>_xll.BDH("GILD US Equity","IS_MERGER_ACQUISITION_EXPENSE","FQ3 2020","FQ3 2020","Currency=USD","Period=FQ","BEST_FPERIOD_OVERRIDE=FQ","FILING_STATUS=MR","SCALING_FORMAT=MLN","Sort=A","Dates=H","DateFormat=P","Fill=—","Direction=H","UseDPDF=Y")</f>
        <v>15</v>
      </c>
      <c r="K34" s="13">
        <f>_xll.BDH("GILD US Equity","IS_MERGER_ACQUISITION_EXPENSE","FQ4 2020","FQ4 2020","Currency=USD","Period=FQ","BEST_FPERIOD_OVERRIDE=FQ","FILING_STATUS=MR","SCALING_FORMAT=MLN","Sort=A","Dates=H","DateFormat=P","Fill=—","Direction=H","UseDPDF=Y")</f>
        <v>360</v>
      </c>
      <c r="L34" s="13">
        <f>_xll.BDH("GILD US Equity","IS_MERGER_ACQUISITION_EXPENSE","FQ1 2021","FQ1 2021","Currency=USD","Period=FQ","BEST_FPERIOD_OVERRIDE=FQ","FILING_STATUS=MR","SCALING_FORMAT=MLN","Sort=A","Dates=H","DateFormat=P","Fill=—","Direction=H","UseDPDF=Y")</f>
        <v>534</v>
      </c>
      <c r="M34" s="13">
        <f>_xll.BDH("GILD US Equity","IS_MERGER_ACQUISITION_EXPENSE","FQ2 2021","FQ2 2021","Currency=USD","Period=FQ","BEST_FPERIOD_OVERRIDE=FQ","FILING_STATUS=MR","SCALING_FORMAT=MLN","Sort=A","Dates=H","DateFormat=P","Fill=—","Direction=H","UseDPDF=Y")</f>
        <v>16</v>
      </c>
      <c r="N34" s="13">
        <f>_xll.BDH("GILD US Equity","IS_MERGER_ACQUISITION_EXPENSE","FQ3 2021","FQ3 2021","Currency=USD","Period=FQ","BEST_FPERIOD_OVERRIDE=FQ","FILING_STATUS=MR","SCALING_FORMAT=MLN","Sort=A","Dates=H","DateFormat=P","Fill=—","Direction=H","UseDPDF=Y")</f>
        <v>-17</v>
      </c>
      <c r="O34" s="13">
        <f>_xll.BDH("GILD US Equity","IS_MERGER_ACQUISITION_EXPENSE","FQ4 2021","FQ4 2021","Currency=USD","Period=FQ","BEST_FPERIOD_OVERRIDE=FQ","FILING_STATUS=MR","SCALING_FORMAT=MLN","Sort=A","Dates=H","DateFormat=P","Fill=—","Direction=H","UseDPDF=Y")</f>
        <v>3</v>
      </c>
      <c r="P34" s="13">
        <f>_xll.BDH("GILD US Equity","IS_MERGER_ACQUISITION_EXPENSE","FQ1 2022","FQ1 2022","Currency=USD","Period=FQ","BEST_FPERIOD_OVERRIDE=FQ","FILING_STATUS=MR","SCALING_FORMAT=MLN","Sort=A","Dates=H","DateFormat=P","Fill=—","Direction=H","UseDPDF=Y")</f>
        <v>10</v>
      </c>
      <c r="Q34" s="13" t="str">
        <f>_xll.BDH("GILD US Equity","IS_MERGER_ACQUISITION_EXPENSE","FQ2 2022","FQ2 2022","Currency=USD","Period=FQ","BEST_FPERIOD_OVERRIDE=FQ","FILING_STATUS=MR","SCALING_FORMAT=MLN","Sort=A","Dates=H","DateFormat=P","Fill=—","Direction=H","UseDPDF=Y")</f>
        <v>—</v>
      </c>
      <c r="R34" s="13">
        <f>_xll.BDH("GILD US Equity","IS_MERGER_ACQUISITION_EXPENSE","FQ3 2022","FQ3 2022","Currency=USD","Period=FQ","BEST_FPERIOD_OVERRIDE=FQ","FILING_STATUS=MR","SCALING_FORMAT=MLN","Sort=A","Dates=H","DateFormat=P","Fill=—","Direction=H","UseDPDF=Y")</f>
        <v>427</v>
      </c>
      <c r="S34" s="13">
        <f>_xll.BDH("GILD US Equity","IS_MERGER_ACQUISITION_EXPENSE","FQ4 2022","FQ4 2022","Currency=USD","Period=FQ","BEST_FPERIOD_OVERRIDE=FQ","FILING_STATUS=MR","SCALING_FORMAT=MLN","Sort=A","Dates=H","DateFormat=P","Fill=—","Direction=H","UseDPDF=Y")</f>
        <v>2</v>
      </c>
      <c r="T34" s="13">
        <f>_xll.BDH("GILD US Equity","IS_MERGER_ACQUISITION_EXPENSE","FQ1 2023","FQ1 2023","Currency=USD","Period=FQ","BEST_FPERIOD_OVERRIDE=FQ","FILING_STATUS=MR","SCALING_FORMAT=MLN","Sort=A","Dates=H","DateFormat=P","Fill=—","Direction=H","UseDPDF=Y")</f>
        <v>9</v>
      </c>
      <c r="U34" s="13">
        <f>_xll.BDH("GILD US Equity","IS_MERGER_ACQUISITION_EXPENSE","FQ2 2023","FQ2 2023","Currency=USD","Period=FQ","BEST_FPERIOD_OVERRIDE=FQ","FILING_STATUS=MR","SCALING_FORMAT=MLN","Sort=A","Dates=H","DateFormat=P","Fill=—","Direction=H","UseDPDF=Y")</f>
        <v>31</v>
      </c>
      <c r="V34" s="13">
        <f>_xll.BDH("GILD US Equity","IS_MERGER_ACQUISITION_EXPENSE","FQ3 2023","FQ3 2023","Currency=USD","Period=FQ","BEST_FPERIOD_OVERRIDE=FQ","FILING_STATUS=MR","SCALING_FORMAT=MLN","Sort=A","Dates=H","DateFormat=P","Fill=—","Direction=H","UseDPDF=Y")</f>
        <v>-1</v>
      </c>
      <c r="W34" s="13">
        <f>_xll.BDH("GILD US Equity","IS_MERGER_ACQUISITION_EXPENSE","FQ4 2023","FQ4 2023","Currency=USD","Period=FQ","BEST_FPERIOD_OVERRIDE=FQ","FILING_STATUS=MR","SCALING_FORMAT=MLN","Sort=A","Dates=H","DateFormat=P","Fill=—","Direction=H","UseDPDF=Y")</f>
        <v>-59</v>
      </c>
      <c r="X34" s="13">
        <f>_xll.BDH("GILD US Equity","IS_MERGER_ACQUISITION_EXPENSE","FQ1 2024","FQ1 2024","Currency=USD","Period=FQ","BEST_FPERIOD_OVERRIDE=FQ","FILING_STATUS=MR","SCALING_FORMAT=MLN","Sort=A","Dates=H","DateFormat=P","Fill=—","Direction=H","UseDPDF=Y")</f>
        <v>133</v>
      </c>
      <c r="Y34" s="13">
        <f>_xll.BDH("GILD US Equity","IS_MERGER_ACQUISITION_EXPENSE","FQ2 2024","FQ2 2024","Currency=USD","Period=FQ","BEST_FPERIOD_OVERRIDE=FQ","FILING_STATUS=MR","SCALING_FORMAT=MLN","Sort=A","Dates=H","DateFormat=P","Fill=—","Direction=H","UseDPDF=Y")</f>
        <v>21</v>
      </c>
      <c r="Z34" s="13">
        <f>_xll.BDH("GILD US Equity","IS_MERGER_ACQUISITION_EXPENSE","FQ3 2024","FQ3 2024","Currency=USD","Period=FQ","BEST_FPERIOD_OVERRIDE=FQ","FILING_STATUS=MR","SCALING_FORMAT=MLN","Sort=A","Dates=H","DateFormat=P","Fill=—","Direction=H","UseDPDF=Y")</f>
        <v>13</v>
      </c>
      <c r="AA34" s="13">
        <f>_xll.BDH("GILD US Equity","IS_MERGER_ACQUISITION_EXPENSE","FQ4 2024","FQ4 2024","Currency=USD","Period=FQ","BEST_FPERIOD_OVERRIDE=FQ","FILING_STATUS=MR","SCALING_FORMAT=MLN","Sort=A","Dates=H","DateFormat=P","Fill=—","Direction=H","UseDPDF=Y")</f>
        <v>8</v>
      </c>
    </row>
    <row r="35" spans="1:27" x14ac:dyDescent="0.25">
      <c r="A35" s="10" t="s">
        <v>664</v>
      </c>
      <c r="B35" s="10" t="s">
        <v>352</v>
      </c>
      <c r="C35" s="13" t="str">
        <f>_xll.BDH("GILD US Equity","IS_IMPAIR_OF_INTANG_ASSETS","FQ4 2018","FQ4 2018","Currency=USD","Period=FQ","BEST_FPERIOD_OVERRIDE=FQ","FILING_STATUS=MR","SCALING_FORMAT=MLN","Sort=A","Dates=H","DateFormat=P","Fill=—","Direction=H","UseDPDF=Y")</f>
        <v>—</v>
      </c>
      <c r="D35" s="13" t="str">
        <f>_xll.BDH("GILD US Equity","IS_IMPAIR_OF_INTANG_ASSETS","FQ1 2019","FQ1 2019","Currency=USD","Period=FQ","BEST_FPERIOD_OVERRIDE=FQ","FILING_STATUS=MR","SCALING_FORMAT=MLN","Sort=A","Dates=H","DateFormat=P","Fill=—","Direction=H","UseDPDF=Y")</f>
        <v>—</v>
      </c>
      <c r="E35" s="13" t="str">
        <f>_xll.BDH("GILD US Equity","IS_IMPAIR_OF_INTANG_ASSETS","FQ2 2019","FQ2 2019","Currency=USD","Period=FQ","BEST_FPERIOD_OVERRIDE=FQ","FILING_STATUS=MR","SCALING_FORMAT=MLN","Sort=A","Dates=H","DateFormat=P","Fill=—","Direction=H","UseDPDF=Y")</f>
        <v>—</v>
      </c>
      <c r="F35" s="13" t="str">
        <f>_xll.BDH("GILD US Equity","IS_IMPAIR_OF_INTANG_ASSETS","FQ3 2019","FQ3 2019","Currency=USD","Period=FQ","BEST_FPERIOD_OVERRIDE=FQ","FILING_STATUS=MR","SCALING_FORMAT=MLN","Sort=A","Dates=H","DateFormat=P","Fill=—","Direction=H","UseDPDF=Y")</f>
        <v>—</v>
      </c>
      <c r="G35" s="13" t="str">
        <f>_xll.BDH("GILD US Equity","IS_IMPAIR_OF_INTANG_ASSETS","FQ4 2019","FQ4 2019","Currency=USD","Period=FQ","BEST_FPERIOD_OVERRIDE=FQ","FILING_STATUS=MR","SCALING_FORMAT=MLN","Sort=A","Dates=H","DateFormat=P","Fill=—","Direction=H","UseDPDF=Y")</f>
        <v>—</v>
      </c>
      <c r="H35" s="13" t="str">
        <f>_xll.BDH("GILD US Equity","IS_IMPAIR_OF_INTANG_ASSETS","FQ1 2020","FQ1 2020","Currency=USD","Period=FQ","BEST_FPERIOD_OVERRIDE=FQ","FILING_STATUS=MR","SCALING_FORMAT=MLN","Sort=A","Dates=H","DateFormat=P","Fill=—","Direction=H","UseDPDF=Y")</f>
        <v>—</v>
      </c>
      <c r="I35" s="13" t="str">
        <f>_xll.BDH("GILD US Equity","IS_IMPAIR_OF_INTANG_ASSETS","FQ2 2020","FQ2 2020","Currency=USD","Period=FQ","BEST_FPERIOD_OVERRIDE=FQ","FILING_STATUS=MR","SCALING_FORMAT=MLN","Sort=A","Dates=H","DateFormat=P","Fill=—","Direction=H","UseDPDF=Y")</f>
        <v>—</v>
      </c>
      <c r="J35" s="13" t="str">
        <f>_xll.BDH("GILD US Equity","IS_IMPAIR_OF_INTANG_ASSETS","FQ3 2020","FQ3 2020","Currency=USD","Period=FQ","BEST_FPERIOD_OVERRIDE=FQ","FILING_STATUS=MR","SCALING_FORMAT=MLN","Sort=A","Dates=H","DateFormat=P","Fill=—","Direction=H","UseDPDF=Y")</f>
        <v>—</v>
      </c>
      <c r="K35" s="13" t="str">
        <f>_xll.BDH("GILD US Equity","IS_IMPAIR_OF_INTANG_ASSETS","FQ4 2020","FQ4 2020","Currency=USD","Period=FQ","BEST_FPERIOD_OVERRIDE=FQ","FILING_STATUS=MR","SCALING_FORMAT=MLN","Sort=A","Dates=H","DateFormat=P","Fill=—","Direction=H","UseDPDF=Y")</f>
        <v>—</v>
      </c>
      <c r="L35" s="13" t="str">
        <f>_xll.BDH("GILD US Equity","IS_IMPAIR_OF_INTANG_ASSETS","FQ1 2021","FQ1 2021","Currency=USD","Period=FQ","BEST_FPERIOD_OVERRIDE=FQ","FILING_STATUS=MR","SCALING_FORMAT=MLN","Sort=A","Dates=H","DateFormat=P","Fill=—","Direction=H","UseDPDF=Y")</f>
        <v>—</v>
      </c>
      <c r="M35" s="13" t="str">
        <f>_xll.BDH("GILD US Equity","IS_IMPAIR_OF_INTANG_ASSETS","FQ2 2021","FQ2 2021","Currency=USD","Period=FQ","BEST_FPERIOD_OVERRIDE=FQ","FILING_STATUS=MR","SCALING_FORMAT=MLN","Sort=A","Dates=H","DateFormat=P","Fill=—","Direction=H","UseDPDF=Y")</f>
        <v>—</v>
      </c>
      <c r="N35" s="13" t="str">
        <f>_xll.BDH("GILD US Equity","IS_IMPAIR_OF_INTANG_ASSETS","FQ3 2021","FQ3 2021","Currency=USD","Period=FQ","BEST_FPERIOD_OVERRIDE=FQ","FILING_STATUS=MR","SCALING_FORMAT=MLN","Sort=A","Dates=H","DateFormat=P","Fill=—","Direction=H","UseDPDF=Y")</f>
        <v>—</v>
      </c>
      <c r="O35" s="13" t="str">
        <f>_xll.BDH("GILD US Equity","IS_IMPAIR_OF_INTANG_ASSETS","FQ4 2021","FQ4 2021","Currency=USD","Period=FQ","BEST_FPERIOD_OVERRIDE=FQ","FILING_STATUS=MR","SCALING_FORMAT=MLN","Sort=A","Dates=H","DateFormat=P","Fill=—","Direction=H","UseDPDF=Y")</f>
        <v>—</v>
      </c>
      <c r="P35" s="13">
        <f>_xll.BDH("GILD US Equity","IS_IMPAIR_OF_INTANG_ASSETS","FQ1 2022","FQ1 2022","Currency=USD","Period=FQ","BEST_FPERIOD_OVERRIDE=FQ","FILING_STATUS=MR","SCALING_FORMAT=MLN","Sort=A","Dates=H","DateFormat=P","Fill=—","Direction=H","UseDPDF=Y")</f>
        <v>2700</v>
      </c>
      <c r="Q35" s="13" t="str">
        <f>_xll.BDH("GILD US Equity","IS_IMPAIR_OF_INTANG_ASSETS","FQ2 2022","FQ2 2022","Currency=USD","Period=FQ","BEST_FPERIOD_OVERRIDE=FQ","FILING_STATUS=MR","SCALING_FORMAT=MLN","Sort=A","Dates=H","DateFormat=P","Fill=—","Direction=H","UseDPDF=Y")</f>
        <v>—</v>
      </c>
      <c r="R35" s="13" t="str">
        <f>_xll.BDH("GILD US Equity","IS_IMPAIR_OF_INTANG_ASSETS","FQ3 2022","FQ3 2022","Currency=USD","Period=FQ","BEST_FPERIOD_OVERRIDE=FQ","FILING_STATUS=MR","SCALING_FORMAT=MLN","Sort=A","Dates=H","DateFormat=P","Fill=—","Direction=H","UseDPDF=Y")</f>
        <v>—</v>
      </c>
      <c r="S35" s="13" t="str">
        <f>_xll.BDH("GILD US Equity","IS_IMPAIR_OF_INTANG_ASSETS","FQ4 2022","FQ4 2022","Currency=USD","Period=FQ","BEST_FPERIOD_OVERRIDE=FQ","FILING_STATUS=MR","SCALING_FORMAT=MLN","Sort=A","Dates=H","DateFormat=P","Fill=—","Direction=H","UseDPDF=Y")</f>
        <v>—</v>
      </c>
      <c r="T35" s="13" t="str">
        <f>_xll.BDH("GILD US Equity","IS_IMPAIR_OF_INTANG_ASSETS","FQ1 2023","FQ1 2023","Currency=USD","Period=FQ","BEST_FPERIOD_OVERRIDE=FQ","FILING_STATUS=MR","SCALING_FORMAT=MLN","Sort=A","Dates=H","DateFormat=P","Fill=—","Direction=H","UseDPDF=Y")</f>
        <v>—</v>
      </c>
      <c r="U35" s="13" t="str">
        <f>_xll.BDH("GILD US Equity","IS_IMPAIR_OF_INTANG_ASSETS","FQ2 2023","FQ2 2023","Currency=USD","Period=FQ","BEST_FPERIOD_OVERRIDE=FQ","FILING_STATUS=MR","SCALING_FORMAT=MLN","Sort=A","Dates=H","DateFormat=P","Fill=—","Direction=H","UseDPDF=Y")</f>
        <v>—</v>
      </c>
      <c r="V35" s="13" t="str">
        <f>_xll.BDH("GILD US Equity","IS_IMPAIR_OF_INTANG_ASSETS","FQ3 2023","FQ3 2023","Currency=USD","Period=FQ","BEST_FPERIOD_OVERRIDE=FQ","FILING_STATUS=MR","SCALING_FORMAT=MLN","Sort=A","Dates=H","DateFormat=P","Fill=—","Direction=H","UseDPDF=Y")</f>
        <v>—</v>
      </c>
      <c r="W35" s="13">
        <f>_xll.BDH("GILD US Equity","IS_IMPAIR_OF_INTANG_ASSETS","FQ4 2023","FQ4 2023","Currency=USD","Period=FQ","BEST_FPERIOD_OVERRIDE=FQ","FILING_STATUS=MR","SCALING_FORMAT=MLN","Sort=A","Dates=H","DateFormat=P","Fill=—","Direction=H","UseDPDF=Y")</f>
        <v>50</v>
      </c>
      <c r="X35" s="13">
        <f>_xll.BDH("GILD US Equity","IS_IMPAIR_OF_INTANG_ASSETS","FQ1 2024","FQ1 2024","Currency=USD","Period=FQ","BEST_FPERIOD_OVERRIDE=FQ","FILING_STATUS=MR","SCALING_FORMAT=MLN","Sort=A","Dates=H","DateFormat=P","Fill=—","Direction=H","UseDPDF=Y")</f>
        <v>2430</v>
      </c>
      <c r="Y35" s="13" t="str">
        <f>_xll.BDH("GILD US Equity","IS_IMPAIR_OF_INTANG_ASSETS","FQ2 2024","FQ2 2024","Currency=USD","Period=FQ","BEST_FPERIOD_OVERRIDE=FQ","FILING_STATUS=MR","SCALING_FORMAT=MLN","Sort=A","Dates=H","DateFormat=P","Fill=—","Direction=H","UseDPDF=Y")</f>
        <v>—</v>
      </c>
      <c r="Z35" s="13">
        <f>_xll.BDH("GILD US Equity","IS_IMPAIR_OF_INTANG_ASSETS","FQ3 2024","FQ3 2024","Currency=USD","Period=FQ","BEST_FPERIOD_OVERRIDE=FQ","FILING_STATUS=MR","SCALING_FORMAT=MLN","Sort=A","Dates=H","DateFormat=P","Fill=—","Direction=H","UseDPDF=Y")</f>
        <v>1750</v>
      </c>
      <c r="AA35" s="13" t="str">
        <f>_xll.BDH("GILD US Equity","IS_IMPAIR_OF_INTANG_ASSETS","FQ4 2024","FQ4 2024","Currency=USD","Period=FQ","BEST_FPERIOD_OVERRIDE=FQ","FILING_STATUS=MR","SCALING_FORMAT=MLN","Sort=A","Dates=H","DateFormat=P","Fill=—","Direction=H","UseDPDF=Y")</f>
        <v>—</v>
      </c>
    </row>
    <row r="36" spans="1:27" x14ac:dyDescent="0.25">
      <c r="A36" s="10" t="s">
        <v>666</v>
      </c>
      <c r="B36" s="10" t="s">
        <v>354</v>
      </c>
      <c r="C36" s="13" t="str">
        <f>_xll.BDH("GILD US Equity","IS_RESTRUCTURING_EXPENSES","FQ4 2018","FQ4 2018","Currency=USD","Period=FQ","BEST_FPERIOD_OVERRIDE=FQ","FILING_STATUS=MR","SCALING_FORMAT=MLN","Sort=A","Dates=H","DateFormat=P","Fill=—","Direction=H","UseDPDF=Y")</f>
        <v>—</v>
      </c>
      <c r="D36" s="13" t="str">
        <f>_xll.BDH("GILD US Equity","IS_RESTRUCTURING_EXPENSES","FQ1 2019","FQ1 2019","Currency=USD","Period=FQ","BEST_FPERIOD_OVERRIDE=FQ","FILING_STATUS=MR","SCALING_FORMAT=MLN","Sort=A","Dates=H","DateFormat=P","Fill=—","Direction=H","UseDPDF=Y")</f>
        <v>—</v>
      </c>
      <c r="E36" s="13" t="str">
        <f>_xll.BDH("GILD US Equity","IS_RESTRUCTURING_EXPENSES","FQ2 2019","FQ2 2019","Currency=USD","Period=FQ","BEST_FPERIOD_OVERRIDE=FQ","FILING_STATUS=MR","SCALING_FORMAT=MLN","Sort=A","Dates=H","DateFormat=P","Fill=—","Direction=H","UseDPDF=Y")</f>
        <v>—</v>
      </c>
      <c r="F36" s="13" t="str">
        <f>_xll.BDH("GILD US Equity","IS_RESTRUCTURING_EXPENSES","FQ3 2019","FQ3 2019","Currency=USD","Period=FQ","BEST_FPERIOD_OVERRIDE=FQ","FILING_STATUS=MR","SCALING_FORMAT=MLN","Sort=A","Dates=H","DateFormat=P","Fill=—","Direction=H","UseDPDF=Y")</f>
        <v>—</v>
      </c>
      <c r="G36" s="13" t="str">
        <f>_xll.BDH("GILD US Equity","IS_RESTRUCTURING_EXPENSES","FQ4 2019","FQ4 2019","Currency=USD","Period=FQ","BEST_FPERIOD_OVERRIDE=FQ","FILING_STATUS=MR","SCALING_FORMAT=MLN","Sort=A","Dates=H","DateFormat=P","Fill=—","Direction=H","UseDPDF=Y")</f>
        <v>—</v>
      </c>
      <c r="H36" s="13" t="str">
        <f>_xll.BDH("GILD US Equity","IS_RESTRUCTURING_EXPENSES","FQ1 2020","FQ1 2020","Currency=USD","Period=FQ","BEST_FPERIOD_OVERRIDE=FQ","FILING_STATUS=MR","SCALING_FORMAT=MLN","Sort=A","Dates=H","DateFormat=P","Fill=—","Direction=H","UseDPDF=Y")</f>
        <v>—</v>
      </c>
      <c r="I36" s="13" t="str">
        <f>_xll.BDH("GILD US Equity","IS_RESTRUCTURING_EXPENSES","FQ2 2020","FQ2 2020","Currency=USD","Period=FQ","BEST_FPERIOD_OVERRIDE=FQ","FILING_STATUS=MR","SCALING_FORMAT=MLN","Sort=A","Dates=H","DateFormat=P","Fill=—","Direction=H","UseDPDF=Y")</f>
        <v>—</v>
      </c>
      <c r="J36" s="13" t="str">
        <f>_xll.BDH("GILD US Equity","IS_RESTRUCTURING_EXPENSES","FQ3 2020","FQ3 2020","Currency=USD","Period=FQ","BEST_FPERIOD_OVERRIDE=FQ","FILING_STATUS=MR","SCALING_FORMAT=MLN","Sort=A","Dates=H","DateFormat=P","Fill=—","Direction=H","UseDPDF=Y")</f>
        <v>—</v>
      </c>
      <c r="K36" s="13" t="str">
        <f>_xll.BDH("GILD US Equity","IS_RESTRUCTURING_EXPENSES","FQ4 2020","FQ4 2020","Currency=USD","Period=FQ","BEST_FPERIOD_OVERRIDE=FQ","FILING_STATUS=MR","SCALING_FORMAT=MLN","Sort=A","Dates=H","DateFormat=P","Fill=—","Direction=H","UseDPDF=Y")</f>
        <v>—</v>
      </c>
      <c r="L36" s="13" t="str">
        <f>_xll.BDH("GILD US Equity","IS_RESTRUCTURING_EXPENSES","FQ1 2021","FQ1 2021","Currency=USD","Period=FQ","BEST_FPERIOD_OVERRIDE=FQ","FILING_STATUS=MR","SCALING_FORMAT=MLN","Sort=A","Dates=H","DateFormat=P","Fill=—","Direction=H","UseDPDF=Y")</f>
        <v>—</v>
      </c>
      <c r="M36" s="13" t="str">
        <f>_xll.BDH("GILD US Equity","IS_RESTRUCTURING_EXPENSES","FQ2 2021","FQ2 2021","Currency=USD","Period=FQ","BEST_FPERIOD_OVERRIDE=FQ","FILING_STATUS=MR","SCALING_FORMAT=MLN","Sort=A","Dates=H","DateFormat=P","Fill=—","Direction=H","UseDPDF=Y")</f>
        <v>—</v>
      </c>
      <c r="N36" s="13" t="str">
        <f>_xll.BDH("GILD US Equity","IS_RESTRUCTURING_EXPENSES","FQ3 2021","FQ3 2021","Currency=USD","Period=FQ","BEST_FPERIOD_OVERRIDE=FQ","FILING_STATUS=MR","SCALING_FORMAT=MLN","Sort=A","Dates=H","DateFormat=P","Fill=—","Direction=H","UseDPDF=Y")</f>
        <v>—</v>
      </c>
      <c r="O36" s="13">
        <f>_xll.BDH("GILD US Equity","IS_RESTRUCTURING_EXPENSES","FQ4 2021","FQ4 2021","Currency=USD","Period=FQ","BEST_FPERIOD_OVERRIDE=FQ","FILING_STATUS=MR","SCALING_FORMAT=MLN","Sort=A","Dates=H","DateFormat=P","Fill=—","Direction=H","UseDPDF=Y")</f>
        <v>3.7974999999999999</v>
      </c>
      <c r="P36" s="13">
        <f>_xll.BDH("GILD US Equity","IS_RESTRUCTURING_EXPENSES","FQ1 2022","FQ1 2022","Currency=USD","Period=FQ","BEST_FPERIOD_OVERRIDE=FQ","FILING_STATUS=MR","SCALING_FORMAT=MLN","Sort=A","Dates=H","DateFormat=P","Fill=—","Direction=H","UseDPDF=Y")</f>
        <v>60</v>
      </c>
      <c r="Q36" s="13" t="str">
        <f>_xll.BDH("GILD US Equity","IS_RESTRUCTURING_EXPENSES","FQ2 2022","FQ2 2022","Currency=USD","Period=FQ","BEST_FPERIOD_OVERRIDE=FQ","FILING_STATUS=MR","SCALING_FORMAT=MLN","Sort=A","Dates=H","DateFormat=P","Fill=—","Direction=H","UseDPDF=Y")</f>
        <v>—</v>
      </c>
      <c r="R36" s="13" t="str">
        <f>_xll.BDH("GILD US Equity","IS_RESTRUCTURING_EXPENSES","FQ3 2022","FQ3 2022","Currency=USD","Period=FQ","BEST_FPERIOD_OVERRIDE=FQ","FILING_STATUS=MR","SCALING_FORMAT=MLN","Sort=A","Dates=H","DateFormat=P","Fill=—","Direction=H","UseDPDF=Y")</f>
        <v>—</v>
      </c>
      <c r="S36" s="13" t="str">
        <f>_xll.BDH("GILD US Equity","IS_RESTRUCTURING_EXPENSES","FQ4 2022","FQ4 2022","Currency=USD","Period=FQ","BEST_FPERIOD_OVERRIDE=FQ","FILING_STATUS=MR","SCALING_FORMAT=MLN","Sort=A","Dates=H","DateFormat=P","Fill=—","Direction=H","UseDPDF=Y")</f>
        <v>—</v>
      </c>
      <c r="T36" s="13" t="str">
        <f>_xll.BDH("GILD US Equity","IS_RESTRUCTURING_EXPENSES","FQ1 2023","FQ1 2023","Currency=USD","Period=FQ","BEST_FPERIOD_OVERRIDE=FQ","FILING_STATUS=MR","SCALING_FORMAT=MLN","Sort=A","Dates=H","DateFormat=P","Fill=—","Direction=H","UseDPDF=Y")</f>
        <v>—</v>
      </c>
      <c r="U36" s="13" t="str">
        <f>_xll.BDH("GILD US Equity","IS_RESTRUCTURING_EXPENSES","FQ2 2023","FQ2 2023","Currency=USD","Period=FQ","BEST_FPERIOD_OVERRIDE=FQ","FILING_STATUS=MR","SCALING_FORMAT=MLN","Sort=A","Dates=H","DateFormat=P","Fill=—","Direction=H","UseDPDF=Y")</f>
        <v>—</v>
      </c>
      <c r="V36" s="13">
        <f>_xll.BDH("GILD US Equity","IS_RESTRUCTURING_EXPENSES","FQ3 2023","FQ3 2023","Currency=USD","Period=FQ","BEST_FPERIOD_OVERRIDE=FQ","FILING_STATUS=MR","SCALING_FORMAT=MLN","Sort=A","Dates=H","DateFormat=P","Fill=—","Direction=H","UseDPDF=Y")</f>
        <v>22</v>
      </c>
      <c r="W36" s="13">
        <f>_xll.BDH("GILD US Equity","IS_RESTRUCTURING_EXPENSES","FQ4 2023","FQ4 2023","Currency=USD","Period=FQ","BEST_FPERIOD_OVERRIDE=FQ","FILING_STATUS=MR","SCALING_FORMAT=MLN","Sort=A","Dates=H","DateFormat=P","Fill=—","Direction=H","UseDPDF=Y")</f>
        <v>505</v>
      </c>
      <c r="X36" s="13">
        <f>_xll.BDH("GILD US Equity","IS_RESTRUCTURING_EXPENSES","FQ1 2024","FQ1 2024","Currency=USD","Period=FQ","BEST_FPERIOD_OVERRIDE=FQ","FILING_STATUS=MR","SCALING_FORMAT=MLN","Sort=A","Dates=H","DateFormat=P","Fill=—","Direction=H","UseDPDF=Y")</f>
        <v>63</v>
      </c>
      <c r="Y36" s="13">
        <f>_xll.BDH("GILD US Equity","IS_RESTRUCTURING_EXPENSES","FQ2 2024","FQ2 2024","Currency=USD","Period=FQ","BEST_FPERIOD_OVERRIDE=FQ","FILING_STATUS=MR","SCALING_FORMAT=MLN","Sort=A","Dates=H","DateFormat=P","Fill=—","Direction=H","UseDPDF=Y")</f>
        <v>21</v>
      </c>
      <c r="Z36" s="13">
        <f>_xll.BDH("GILD US Equity","IS_RESTRUCTURING_EXPENSES","FQ3 2024","FQ3 2024","Currency=USD","Period=FQ","BEST_FPERIOD_OVERRIDE=FQ","FILING_STATUS=MR","SCALING_FORMAT=MLN","Sort=A","Dates=H","DateFormat=P","Fill=—","Direction=H","UseDPDF=Y")</f>
        <v>28</v>
      </c>
      <c r="AA36" s="13">
        <f>_xll.BDH("GILD US Equity","IS_RESTRUCTURING_EXPENSES","FQ4 2024","FQ4 2024","Currency=USD","Period=FQ","BEST_FPERIOD_OVERRIDE=FQ","FILING_STATUS=MR","SCALING_FORMAT=MLN","Sort=A","Dates=H","DateFormat=P","Fill=—","Direction=H","UseDPDF=Y")</f>
        <v>76</v>
      </c>
    </row>
    <row r="37" spans="1:27" x14ac:dyDescent="0.25">
      <c r="A37" s="10" t="s">
        <v>668</v>
      </c>
      <c r="B37" s="10" t="s">
        <v>356</v>
      </c>
      <c r="C37" s="13" t="str">
        <f>_xll.BDH("GILD US Equity","IS_GAIN_LOSS_ON_INVESTMENTS","FQ4 2018","FQ4 2018","Currency=USD","Period=FQ","BEST_FPERIOD_OVERRIDE=FQ","FILING_STATUS=MR","SCALING_FORMAT=MLN","Sort=A","Dates=H","DateFormat=P","Fill=—","Direction=H","UseDPDF=Y")</f>
        <v>—</v>
      </c>
      <c r="D37" s="13" t="str">
        <f>_xll.BDH("GILD US Equity","IS_GAIN_LOSS_ON_INVESTMENTS","FQ1 2019","FQ1 2019","Currency=USD","Period=FQ","BEST_FPERIOD_OVERRIDE=FQ","FILING_STATUS=MR","SCALING_FORMAT=MLN","Sort=A","Dates=H","DateFormat=P","Fill=—","Direction=H","UseDPDF=Y")</f>
        <v>—</v>
      </c>
      <c r="E37" s="13" t="str">
        <f>_xll.BDH("GILD US Equity","IS_GAIN_LOSS_ON_INVESTMENTS","FQ2 2019","FQ2 2019","Currency=USD","Period=FQ","BEST_FPERIOD_OVERRIDE=FQ","FILING_STATUS=MR","SCALING_FORMAT=MLN","Sort=A","Dates=H","DateFormat=P","Fill=—","Direction=H","UseDPDF=Y")</f>
        <v>—</v>
      </c>
      <c r="F37" s="13">
        <f>_xll.BDH("GILD US Equity","IS_GAIN_LOSS_ON_INVESTMENTS","FQ3 2019","FQ3 2019","Currency=USD","Period=FQ","BEST_FPERIOD_OVERRIDE=FQ","FILING_STATUS=MR","SCALING_FORMAT=MLN","Sort=A","Dates=H","DateFormat=P","Fill=—","Direction=H","UseDPDF=Y")</f>
        <v>-58</v>
      </c>
      <c r="G37" s="13">
        <f>_xll.BDH("GILD US Equity","IS_GAIN_LOSS_ON_INVESTMENTS","FQ4 2019","FQ4 2019","Currency=USD","Period=FQ","BEST_FPERIOD_OVERRIDE=FQ","FILING_STATUS=MR","SCALING_FORMAT=MLN","Sort=A","Dates=H","DateFormat=P","Fill=—","Direction=H","UseDPDF=Y")</f>
        <v>-929</v>
      </c>
      <c r="H37" s="13">
        <f>_xll.BDH("GILD US Equity","IS_GAIN_LOSS_ON_INVESTMENTS","FQ1 2020","FQ1 2020","Currency=USD","Period=FQ","BEST_FPERIOD_OVERRIDE=FQ","FILING_STATUS=MR","SCALING_FORMAT=MLN","Sort=A","Dates=H","DateFormat=P","Fill=—","Direction=H","UseDPDF=Y")</f>
        <v>283</v>
      </c>
      <c r="I37" s="13">
        <f>_xll.BDH("GILD US Equity","IS_GAIN_LOSS_ON_INVESTMENTS","FQ2 2020","FQ2 2020","Currency=USD","Period=FQ","BEST_FPERIOD_OVERRIDE=FQ","FILING_STATUS=MR","SCALING_FORMAT=MLN","Sort=A","Dates=H","DateFormat=P","Fill=—","Direction=H","UseDPDF=Y")</f>
        <v>-201</v>
      </c>
      <c r="J37" s="13">
        <f>_xll.BDH("GILD US Equity","IS_GAIN_LOSS_ON_INVESTMENTS","FQ3 2020","FQ3 2020","Currency=USD","Period=FQ","BEST_FPERIOD_OVERRIDE=FQ","FILING_STATUS=MR","SCALING_FORMAT=MLN","Sort=A","Dates=H","DateFormat=P","Fill=—","Direction=H","UseDPDF=Y")</f>
        <v>969</v>
      </c>
      <c r="K37" s="13">
        <f>_xll.BDH("GILD US Equity","IS_GAIN_LOSS_ON_INVESTMENTS","FQ4 2020","FQ4 2020","Currency=USD","Period=FQ","BEST_FPERIOD_OVERRIDE=FQ","FILING_STATUS=MR","SCALING_FORMAT=MLN","Sort=A","Dates=H","DateFormat=P","Fill=—","Direction=H","UseDPDF=Y")</f>
        <v>616</v>
      </c>
      <c r="L37" s="13">
        <f>_xll.BDH("GILD US Equity","IS_GAIN_LOSS_ON_INVESTMENTS","FQ1 2021","FQ1 2021","Currency=USD","Period=FQ","BEST_FPERIOD_OVERRIDE=FQ","FILING_STATUS=MR","SCALING_FORMAT=MLN","Sort=A","Dates=H","DateFormat=P","Fill=—","Direction=H","UseDPDF=Y")</f>
        <v>351</v>
      </c>
      <c r="M37" s="13">
        <f>_xll.BDH("GILD US Equity","IS_GAIN_LOSS_ON_INVESTMENTS","FQ2 2021","FQ2 2021","Currency=USD","Period=FQ","BEST_FPERIOD_OVERRIDE=FQ","FILING_STATUS=MR","SCALING_FORMAT=MLN","Sort=A","Dates=H","DateFormat=P","Fill=—","Direction=H","UseDPDF=Y")</f>
        <v>174</v>
      </c>
      <c r="N37" s="13">
        <f>_xll.BDH("GILD US Equity","IS_GAIN_LOSS_ON_INVESTMENTS","FQ3 2021","FQ3 2021","Currency=USD","Period=FQ","BEST_FPERIOD_OVERRIDE=FQ","FILING_STATUS=MR","SCALING_FORMAT=MLN","Sort=A","Dates=H","DateFormat=P","Fill=—","Direction=H","UseDPDF=Y")</f>
        <v>142</v>
      </c>
      <c r="O37" s="13">
        <f>_xll.BDH("GILD US Equity","IS_GAIN_LOSS_ON_INVESTMENTS","FQ4 2021","FQ4 2021","Currency=USD","Period=FQ","BEST_FPERIOD_OVERRIDE=FQ","FILING_STATUS=MR","SCALING_FORMAT=MLN","Sort=A","Dates=H","DateFormat=P","Fill=—","Direction=H","UseDPDF=Y")</f>
        <v>-56</v>
      </c>
      <c r="P37" s="13" t="str">
        <f>_xll.BDH("GILD US Equity","IS_GAIN_LOSS_ON_INVESTMENTS","FQ1 2022","FQ1 2022","Currency=USD","Period=FQ","BEST_FPERIOD_OVERRIDE=FQ","FILING_STATUS=MR","SCALING_FORMAT=MLN","Sort=A","Dates=H","DateFormat=P","Fill=—","Direction=H","UseDPDF=Y")</f>
        <v>—</v>
      </c>
      <c r="Q37" s="13">
        <f>_xll.BDH("GILD US Equity","IS_GAIN_LOSS_ON_INVESTMENTS","FQ2 2022","FQ2 2022","Currency=USD","Period=FQ","BEST_FPERIOD_OVERRIDE=FQ","FILING_STATUS=MR","SCALING_FORMAT=MLN","Sort=A","Dates=H","DateFormat=P","Fill=—","Direction=H","UseDPDF=Y")</f>
        <v>611</v>
      </c>
      <c r="R37" s="13">
        <f>_xll.BDH("GILD US Equity","IS_GAIN_LOSS_ON_INVESTMENTS","FQ3 2022","FQ3 2022","Currency=USD","Period=FQ","BEST_FPERIOD_OVERRIDE=FQ","FILING_STATUS=MR","SCALING_FORMAT=MLN","Sort=A","Dates=H","DateFormat=P","Fill=—","Direction=H","UseDPDF=Y")</f>
        <v>198</v>
      </c>
      <c r="S37" s="13">
        <f>_xll.BDH("GILD US Equity","IS_GAIN_LOSS_ON_INVESTMENTS","FQ4 2022","FQ4 2022","Currency=USD","Period=FQ","BEST_FPERIOD_OVERRIDE=FQ","FILING_STATUS=MR","SCALING_FORMAT=MLN","Sort=A","Dates=H","DateFormat=P","Fill=—","Direction=H","UseDPDF=Y")</f>
        <v>61</v>
      </c>
      <c r="T37" s="13">
        <f>_xll.BDH("GILD US Equity","IS_GAIN_LOSS_ON_INVESTMENTS","FQ1 2023","FQ1 2023","Currency=USD","Period=FQ","BEST_FPERIOD_OVERRIDE=FQ","FILING_STATUS=MR","SCALING_FORMAT=MLN","Sort=A","Dates=H","DateFormat=P","Fill=—","Direction=H","UseDPDF=Y")</f>
        <v>257</v>
      </c>
      <c r="U37" s="13">
        <f>_xll.BDH("GILD US Equity","IS_GAIN_LOSS_ON_INVESTMENTS","FQ2 2023","FQ2 2023","Currency=USD","Period=FQ","BEST_FPERIOD_OVERRIDE=FQ","FILING_STATUS=MR","SCALING_FORMAT=MLN","Sort=A","Dates=H","DateFormat=P","Fill=—","Direction=H","UseDPDF=Y")</f>
        <v>-139</v>
      </c>
      <c r="V37" s="13">
        <f>_xll.BDH("GILD US Equity","IS_GAIN_LOSS_ON_INVESTMENTS","FQ3 2023","FQ3 2023","Currency=USD","Period=FQ","BEST_FPERIOD_OVERRIDE=FQ","FILING_STATUS=MR","SCALING_FORMAT=MLN","Sort=A","Dates=H","DateFormat=P","Fill=—","Direction=H","UseDPDF=Y")</f>
        <v>168</v>
      </c>
      <c r="W37" s="13">
        <f>_xll.BDH("GILD US Equity","IS_GAIN_LOSS_ON_INVESTMENTS","FQ4 2023","FQ4 2023","Currency=USD","Period=FQ","BEST_FPERIOD_OVERRIDE=FQ","FILING_STATUS=MR","SCALING_FORMAT=MLN","Sort=A","Dates=H","DateFormat=P","Fill=—","Direction=H","UseDPDF=Y")</f>
        <v>-189</v>
      </c>
      <c r="X37" s="13">
        <f>_xll.BDH("GILD US Equity","IS_GAIN_LOSS_ON_INVESTMENTS","FQ1 2024","FQ1 2024","Currency=USD","Period=FQ","BEST_FPERIOD_OVERRIDE=FQ","FILING_STATUS=MR","SCALING_FORMAT=MLN","Sort=A","Dates=H","DateFormat=P","Fill=—","Direction=H","UseDPDF=Y")</f>
        <v>14</v>
      </c>
      <c r="Y37" s="13">
        <f>_xll.BDH("GILD US Equity","IS_GAIN_LOSS_ON_INVESTMENTS","FQ2 2024","FQ2 2024","Currency=USD","Period=FQ","BEST_FPERIOD_OVERRIDE=FQ","FILING_STATUS=MR","SCALING_FORMAT=MLN","Sort=A","Dates=H","DateFormat=P","Fill=—","Direction=H","UseDPDF=Y")</f>
        <v>751</v>
      </c>
      <c r="Z37" s="13">
        <f>_xll.BDH("GILD US Equity","IS_GAIN_LOSS_ON_INVESTMENTS","FQ3 2024","FQ3 2024","Currency=USD","Period=FQ","BEST_FPERIOD_OVERRIDE=FQ","FILING_STATUS=MR","SCALING_FORMAT=MLN","Sort=A","Dates=H","DateFormat=P","Fill=—","Direction=H","UseDPDF=Y")</f>
        <v>-258</v>
      </c>
      <c r="AA37" s="13">
        <f>_xll.BDH("GILD US Equity","IS_GAIN_LOSS_ON_INVESTMENTS","FQ4 2024","FQ4 2024","Currency=USD","Period=FQ","BEST_FPERIOD_OVERRIDE=FQ","FILING_STATUS=MR","SCALING_FORMAT=MLN","Sort=A","Dates=H","DateFormat=P","Fill=—","Direction=H","UseDPDF=Y")</f>
        <v>126</v>
      </c>
    </row>
    <row r="38" spans="1:27" x14ac:dyDescent="0.25">
      <c r="A38" s="10" t="s">
        <v>673</v>
      </c>
      <c r="B38" s="10" t="s">
        <v>358</v>
      </c>
      <c r="C38" s="13">
        <f>_xll.BDH("GILD US Equity","IS_UNREALIZED_INVESTMENTS","FQ4 2018","FQ4 2018","Currency=USD","Period=FQ","BEST_FPERIOD_OVERRIDE=FQ","FILING_STATUS=MR","SCALING_FORMAT=MLN","Sort=A","Dates=H","DateFormat=P","Fill=—","Direction=H","UseDPDF=Y")</f>
        <v>74.683499999999995</v>
      </c>
      <c r="D38" s="13">
        <f>_xll.BDH("GILD US Equity","IS_UNREALIZED_INVESTMENTS","FQ1 2019","FQ1 2019","Currency=USD","Period=FQ","BEST_FPERIOD_OVERRIDE=FQ","FILING_STATUS=MR","SCALING_FORMAT=MLN","Sort=A","Dates=H","DateFormat=P","Fill=—","Direction=H","UseDPDF=Y")</f>
        <v>-241.7722</v>
      </c>
      <c r="E38" s="13">
        <f>_xll.BDH("GILD US Equity","IS_UNREALIZED_INVESTMENTS","FQ2 2019","FQ2 2019","Currency=USD","Period=FQ","BEST_FPERIOD_OVERRIDE=FQ","FILING_STATUS=MR","SCALING_FORMAT=MLN","Sort=A","Dates=H","DateFormat=P","Fill=—","Direction=H","UseDPDF=Y")</f>
        <v>-57</v>
      </c>
      <c r="F38" s="13" t="str">
        <f>_xll.BDH("GILD US Equity","IS_UNREALIZED_INVESTMENTS","FQ3 2019","FQ3 2019","Currency=USD","Period=FQ","BEST_FPERIOD_OVERRIDE=FQ","FILING_STATUS=MR","SCALING_FORMAT=MLN","Sort=A","Dates=H","DateFormat=P","Fill=—","Direction=H","UseDPDF=Y")</f>
        <v>—</v>
      </c>
      <c r="G38" s="13" t="str">
        <f>_xll.BDH("GILD US Equity","IS_UNREALIZED_INVESTMENTS","FQ4 2019","FQ4 2019","Currency=USD","Period=FQ","BEST_FPERIOD_OVERRIDE=FQ","FILING_STATUS=MR","SCALING_FORMAT=MLN","Sort=A","Dates=H","DateFormat=P","Fill=—","Direction=H","UseDPDF=Y")</f>
        <v>—</v>
      </c>
      <c r="H38" s="13" t="str">
        <f>_xll.BDH("GILD US Equity","IS_UNREALIZED_INVESTMENTS","FQ1 2020","FQ1 2020","Currency=USD","Period=FQ","BEST_FPERIOD_OVERRIDE=FQ","FILING_STATUS=MR","SCALING_FORMAT=MLN","Sort=A","Dates=H","DateFormat=P","Fill=—","Direction=H","UseDPDF=Y")</f>
        <v>—</v>
      </c>
      <c r="I38" s="13" t="str">
        <f>_xll.BDH("GILD US Equity","IS_UNREALIZED_INVESTMENTS","FQ2 2020","FQ2 2020","Currency=USD","Period=FQ","BEST_FPERIOD_OVERRIDE=FQ","FILING_STATUS=MR","SCALING_FORMAT=MLN","Sort=A","Dates=H","DateFormat=P","Fill=—","Direction=H","UseDPDF=Y")</f>
        <v>—</v>
      </c>
      <c r="J38" s="13" t="str">
        <f>_xll.BDH("GILD US Equity","IS_UNREALIZED_INVESTMENTS","FQ3 2020","FQ3 2020","Currency=USD","Period=FQ","BEST_FPERIOD_OVERRIDE=FQ","FILING_STATUS=MR","SCALING_FORMAT=MLN","Sort=A","Dates=H","DateFormat=P","Fill=—","Direction=H","UseDPDF=Y")</f>
        <v>—</v>
      </c>
      <c r="K38" s="13" t="str">
        <f>_xll.BDH("GILD US Equity","IS_UNREALIZED_INVESTMENTS","FQ4 2020","FQ4 2020","Currency=USD","Period=FQ","BEST_FPERIOD_OVERRIDE=FQ","FILING_STATUS=MR","SCALING_FORMAT=MLN","Sort=A","Dates=H","DateFormat=P","Fill=—","Direction=H","UseDPDF=Y")</f>
        <v>—</v>
      </c>
      <c r="L38" s="13" t="str">
        <f>_xll.BDH("GILD US Equity","IS_UNREALIZED_INVESTMENTS","FQ1 2021","FQ1 2021","Currency=USD","Period=FQ","BEST_FPERIOD_OVERRIDE=FQ","FILING_STATUS=MR","SCALING_FORMAT=MLN","Sort=A","Dates=H","DateFormat=P","Fill=—","Direction=H","UseDPDF=Y")</f>
        <v>—</v>
      </c>
      <c r="M38" s="13" t="str">
        <f>_xll.BDH("GILD US Equity","IS_UNREALIZED_INVESTMENTS","FQ2 2021","FQ2 2021","Currency=USD","Period=FQ","BEST_FPERIOD_OVERRIDE=FQ","FILING_STATUS=MR","SCALING_FORMAT=MLN","Sort=A","Dates=H","DateFormat=P","Fill=—","Direction=H","UseDPDF=Y")</f>
        <v>—</v>
      </c>
      <c r="N38" s="13" t="str">
        <f>_xll.BDH("GILD US Equity","IS_UNREALIZED_INVESTMENTS","FQ3 2021","FQ3 2021","Currency=USD","Period=FQ","BEST_FPERIOD_OVERRIDE=FQ","FILING_STATUS=MR","SCALING_FORMAT=MLN","Sort=A","Dates=H","DateFormat=P","Fill=—","Direction=H","UseDPDF=Y")</f>
        <v>—</v>
      </c>
      <c r="O38" s="13" t="str">
        <f>_xll.BDH("GILD US Equity","IS_UNREALIZED_INVESTMENTS","FQ4 2021","FQ4 2021","Currency=USD","Period=FQ","BEST_FPERIOD_OVERRIDE=FQ","FILING_STATUS=MR","SCALING_FORMAT=MLN","Sort=A","Dates=H","DateFormat=P","Fill=—","Direction=H","UseDPDF=Y")</f>
        <v>—</v>
      </c>
      <c r="P38" s="13" t="str">
        <f>_xll.BDH("GILD US Equity","IS_UNREALIZED_INVESTMENTS","FQ1 2022","FQ1 2022","Currency=USD","Period=FQ","BEST_FPERIOD_OVERRIDE=FQ","FILING_STATUS=MR","SCALING_FORMAT=MLN","Sort=A","Dates=H","DateFormat=P","Fill=—","Direction=H","UseDPDF=Y")</f>
        <v>—</v>
      </c>
      <c r="Q38" s="13" t="str">
        <f>_xll.BDH("GILD US Equity","IS_UNREALIZED_INVESTMENTS","FQ2 2022","FQ2 2022","Currency=USD","Period=FQ","BEST_FPERIOD_OVERRIDE=FQ","FILING_STATUS=MR","SCALING_FORMAT=MLN","Sort=A","Dates=H","DateFormat=P","Fill=—","Direction=H","UseDPDF=Y")</f>
        <v>—</v>
      </c>
      <c r="R38" s="13" t="str">
        <f>_xll.BDH("GILD US Equity","IS_UNREALIZED_INVESTMENTS","FQ3 2022","FQ3 2022","Currency=USD","Period=FQ","BEST_FPERIOD_OVERRIDE=FQ","FILING_STATUS=MR","SCALING_FORMAT=MLN","Sort=A","Dates=H","DateFormat=P","Fill=—","Direction=H","UseDPDF=Y")</f>
        <v>—</v>
      </c>
      <c r="S38" s="13" t="str">
        <f>_xll.BDH("GILD US Equity","IS_UNREALIZED_INVESTMENTS","FQ4 2022","FQ4 2022","Currency=USD","Period=FQ","BEST_FPERIOD_OVERRIDE=FQ","FILING_STATUS=MR","SCALING_FORMAT=MLN","Sort=A","Dates=H","DateFormat=P","Fill=—","Direction=H","UseDPDF=Y")</f>
        <v>—</v>
      </c>
      <c r="T38" s="13" t="str">
        <f>_xll.BDH("GILD US Equity","IS_UNREALIZED_INVESTMENTS","FQ1 2023","FQ1 2023","Currency=USD","Period=FQ","BEST_FPERIOD_OVERRIDE=FQ","FILING_STATUS=MR","SCALING_FORMAT=MLN","Sort=A","Dates=H","DateFormat=P","Fill=—","Direction=H","UseDPDF=Y")</f>
        <v>—</v>
      </c>
      <c r="U38" s="13" t="str">
        <f>_xll.BDH("GILD US Equity","IS_UNREALIZED_INVESTMENTS","FQ2 2023","FQ2 2023","Currency=USD","Period=FQ","BEST_FPERIOD_OVERRIDE=FQ","FILING_STATUS=MR","SCALING_FORMAT=MLN","Sort=A","Dates=H","DateFormat=P","Fill=—","Direction=H","UseDPDF=Y")</f>
        <v>—</v>
      </c>
      <c r="V38" s="13" t="str">
        <f>_xll.BDH("GILD US Equity","IS_UNREALIZED_INVESTMENTS","FQ3 2023","FQ3 2023","Currency=USD","Period=FQ","BEST_FPERIOD_OVERRIDE=FQ","FILING_STATUS=MR","SCALING_FORMAT=MLN","Sort=A","Dates=H","DateFormat=P","Fill=—","Direction=H","UseDPDF=Y")</f>
        <v>—</v>
      </c>
      <c r="W38" s="13" t="str">
        <f>_xll.BDH("GILD US Equity","IS_UNREALIZED_INVESTMENTS","FQ4 2023","FQ4 2023","Currency=USD","Period=FQ","BEST_FPERIOD_OVERRIDE=FQ","FILING_STATUS=MR","SCALING_FORMAT=MLN","Sort=A","Dates=H","DateFormat=P","Fill=—","Direction=H","UseDPDF=Y")</f>
        <v>—</v>
      </c>
      <c r="X38" s="13" t="str">
        <f>_xll.BDH("GILD US Equity","IS_UNREALIZED_INVESTMENTS","FQ1 2024","FQ1 2024","Currency=USD","Period=FQ","BEST_FPERIOD_OVERRIDE=FQ","FILING_STATUS=MR","SCALING_FORMAT=MLN","Sort=A","Dates=H","DateFormat=P","Fill=—","Direction=H","UseDPDF=Y")</f>
        <v>—</v>
      </c>
      <c r="Y38" s="13" t="str">
        <f>_xll.BDH("GILD US Equity","IS_UNREALIZED_INVESTMENTS","FQ2 2024","FQ2 2024","Currency=USD","Period=FQ","BEST_FPERIOD_OVERRIDE=FQ","FILING_STATUS=MR","SCALING_FORMAT=MLN","Sort=A","Dates=H","DateFormat=P","Fill=—","Direction=H","UseDPDF=Y")</f>
        <v>—</v>
      </c>
      <c r="Z38" s="13" t="str">
        <f>_xll.BDH("GILD US Equity","IS_UNREALIZED_INVESTMENTS","FQ3 2024","FQ3 2024","Currency=USD","Period=FQ","BEST_FPERIOD_OVERRIDE=FQ","FILING_STATUS=MR","SCALING_FORMAT=MLN","Sort=A","Dates=H","DateFormat=P","Fill=—","Direction=H","UseDPDF=Y")</f>
        <v>—</v>
      </c>
      <c r="AA38" s="13" t="str">
        <f>_xll.BDH("GILD US Equity","IS_UNREALIZED_INVESTMENTS","FQ4 2024","FQ4 2024","Currency=USD","Period=FQ","BEST_FPERIOD_OVERRIDE=FQ","FILING_STATUS=MR","SCALING_FORMAT=MLN","Sort=A","Dates=H","DateFormat=P","Fill=—","Direction=H","UseDPDF=Y")</f>
        <v>—</v>
      </c>
    </row>
    <row r="39" spans="1:27" x14ac:dyDescent="0.25">
      <c r="A39" s="10" t="s">
        <v>670</v>
      </c>
      <c r="B39" s="10" t="s">
        <v>360</v>
      </c>
      <c r="C39" s="13">
        <f>_xll.BDH("GILD US Equity","IS_OTHER_ONE_TIME_ITEMS","FQ4 2018","FQ4 2018","Currency=USD","Period=FQ","BEST_FPERIOD_OVERRIDE=FQ","FILING_STATUS=MR","SCALING_FORMAT=MLN","Sort=A","Dates=H","DateFormat=P","Fill=—","Direction=H","UseDPDF=Y")</f>
        <v>127</v>
      </c>
      <c r="D39" s="13">
        <f>_xll.BDH("GILD US Equity","IS_OTHER_ONE_TIME_ITEMS","FQ1 2019","FQ1 2019","Currency=USD","Period=FQ","BEST_FPERIOD_OVERRIDE=FQ","FILING_STATUS=MR","SCALING_FORMAT=MLN","Sort=A","Dates=H","DateFormat=P","Fill=—","Direction=H","UseDPDF=Y")</f>
        <v>122.7848</v>
      </c>
      <c r="E39" s="13">
        <f>_xll.BDH("GILD US Equity","IS_OTHER_ONE_TIME_ITEMS","FQ2 2019","FQ2 2019","Currency=USD","Period=FQ","BEST_FPERIOD_OVERRIDE=FQ","FILING_STATUS=MR","SCALING_FORMAT=MLN","Sort=A","Dates=H","DateFormat=P","Fill=—","Direction=H","UseDPDF=Y")</f>
        <v>164</v>
      </c>
      <c r="F39" s="13">
        <f>_xll.BDH("GILD US Equity","IS_OTHER_ONE_TIME_ITEMS","FQ3 2019","FQ3 2019","Currency=USD","Period=FQ","BEST_FPERIOD_OVERRIDE=FQ","FILING_STATUS=MR","SCALING_FORMAT=MLN","Sort=A","Dates=H","DateFormat=P","Fill=—","Direction=H","UseDPDF=Y")</f>
        <v>9</v>
      </c>
      <c r="G39" s="13">
        <f>_xll.BDH("GILD US Equity","IS_OTHER_ONE_TIME_ITEMS","FQ4 2019","FQ4 2019","Currency=USD","Period=FQ","BEST_FPERIOD_OVERRIDE=FQ","FILING_STATUS=MR","SCALING_FORMAT=MLN","Sort=A","Dates=H","DateFormat=P","Fill=—","Direction=H","UseDPDF=Y")</f>
        <v>-4</v>
      </c>
      <c r="H39" s="13" t="str">
        <f>_xll.BDH("GILD US Equity","IS_OTHER_ONE_TIME_ITEMS","FQ1 2020","FQ1 2020","Currency=USD","Period=FQ","BEST_FPERIOD_OVERRIDE=FQ","FILING_STATUS=MR","SCALING_FORMAT=MLN","Sort=A","Dates=H","DateFormat=P","Fill=—","Direction=H","UseDPDF=Y")</f>
        <v>—</v>
      </c>
      <c r="I39" s="13">
        <f>_xll.BDH("GILD US Equity","IS_OTHER_ONE_TIME_ITEMS","FQ2 2020","FQ2 2020","Currency=USD","Period=FQ","BEST_FPERIOD_OVERRIDE=FQ","FILING_STATUS=MR","SCALING_FORMAT=MLN","Sort=A","Dates=H","DateFormat=P","Fill=—","Direction=H","UseDPDF=Y")</f>
        <v>-2</v>
      </c>
      <c r="J39" s="13">
        <f>_xll.BDH("GILD US Equity","IS_OTHER_ONE_TIME_ITEMS","FQ3 2020","FQ3 2020","Currency=USD","Period=FQ","BEST_FPERIOD_OVERRIDE=FQ","FILING_STATUS=MR","SCALING_FORMAT=MLN","Sort=A","Dates=H","DateFormat=P","Fill=—","Direction=H","UseDPDF=Y")</f>
        <v>-1</v>
      </c>
      <c r="K39" s="13" t="str">
        <f>_xll.BDH("GILD US Equity","IS_OTHER_ONE_TIME_ITEMS","FQ4 2020","FQ4 2020","Currency=USD","Period=FQ","BEST_FPERIOD_OVERRIDE=FQ","FILING_STATUS=MR","SCALING_FORMAT=MLN","Sort=A","Dates=H","DateFormat=P","Fill=—","Direction=H","UseDPDF=Y")</f>
        <v>—</v>
      </c>
      <c r="L39" s="13" t="str">
        <f>_xll.BDH("GILD US Equity","IS_OTHER_ONE_TIME_ITEMS","FQ1 2021","FQ1 2021","Currency=USD","Period=FQ","BEST_FPERIOD_OVERRIDE=FQ","FILING_STATUS=MR","SCALING_FORMAT=MLN","Sort=A","Dates=H","DateFormat=P","Fill=—","Direction=H","UseDPDF=Y")</f>
        <v>—</v>
      </c>
      <c r="M39" s="13">
        <f>_xll.BDH("GILD US Equity","IS_OTHER_ONE_TIME_ITEMS","FQ2 2021","FQ2 2021","Currency=USD","Period=FQ","BEST_FPERIOD_OVERRIDE=FQ","FILING_STATUS=MR","SCALING_FORMAT=MLN","Sort=A","Dates=H","DateFormat=P","Fill=—","Direction=H","UseDPDF=Y")</f>
        <v>264</v>
      </c>
      <c r="N39" s="13" t="str">
        <f>_xll.BDH("GILD US Equity","IS_OTHER_ONE_TIME_ITEMS","FQ3 2021","FQ3 2021","Currency=USD","Period=FQ","BEST_FPERIOD_OVERRIDE=FQ","FILING_STATUS=MR","SCALING_FORMAT=MLN","Sort=A","Dates=H","DateFormat=P","Fill=—","Direction=H","UseDPDF=Y")</f>
        <v>—</v>
      </c>
      <c r="O39" s="13">
        <f>_xll.BDH("GILD US Equity","IS_OTHER_ONE_TIME_ITEMS","FQ4 2021","FQ4 2021","Currency=USD","Period=FQ","BEST_FPERIOD_OVERRIDE=FQ","FILING_STATUS=MR","SCALING_FORMAT=MLN","Sort=A","Dates=H","DateFormat=P","Fill=—","Direction=H","UseDPDF=Y")</f>
        <v>6</v>
      </c>
      <c r="P39" s="13" t="str">
        <f>_xll.BDH("GILD US Equity","IS_OTHER_ONE_TIME_ITEMS","FQ1 2022","FQ1 2022","Currency=USD","Period=FQ","BEST_FPERIOD_OVERRIDE=FQ","FILING_STATUS=MR","SCALING_FORMAT=MLN","Sort=A","Dates=H","DateFormat=P","Fill=—","Direction=H","UseDPDF=Y")</f>
        <v>—</v>
      </c>
      <c r="Q39" s="13">
        <f>_xll.BDH("GILD US Equity","IS_OTHER_ONE_TIME_ITEMS","FQ2 2022","FQ2 2022","Currency=USD","Period=FQ","BEST_FPERIOD_OVERRIDE=FQ","FILING_STATUS=MR","SCALING_FORMAT=MLN","Sort=A","Dates=H","DateFormat=P","Fill=—","Direction=H","UseDPDF=Y")</f>
        <v>85</v>
      </c>
      <c r="R39" s="13">
        <f>_xll.BDH("GILD US Equity","IS_OTHER_ONE_TIME_ITEMS","FQ3 2022","FQ3 2022","Currency=USD","Period=FQ","BEST_FPERIOD_OVERRIDE=FQ","FILING_STATUS=MR","SCALING_FORMAT=MLN","Sort=A","Dates=H","DateFormat=P","Fill=—","Direction=H","UseDPDF=Y")</f>
        <v>-1</v>
      </c>
      <c r="S39" s="13">
        <f>_xll.BDH("GILD US Equity","IS_OTHER_ONE_TIME_ITEMS","FQ4 2022","FQ4 2022","Currency=USD","Period=FQ","BEST_FPERIOD_OVERRIDE=FQ","FILING_STATUS=MR","SCALING_FORMAT=MLN","Sort=A","Dates=H","DateFormat=P","Fill=—","Direction=H","UseDPDF=Y")</f>
        <v>2</v>
      </c>
      <c r="T39" s="13" t="str">
        <f>_xll.BDH("GILD US Equity","IS_OTHER_ONE_TIME_ITEMS","FQ1 2023","FQ1 2023","Currency=USD","Period=FQ","BEST_FPERIOD_OVERRIDE=FQ","FILING_STATUS=MR","SCALING_FORMAT=MLN","Sort=A","Dates=H","DateFormat=P","Fill=—","Direction=H","UseDPDF=Y")</f>
        <v>—</v>
      </c>
      <c r="U39" s="13" t="str">
        <f>_xll.BDH("GILD US Equity","IS_OTHER_ONE_TIME_ITEMS","FQ2 2023","FQ2 2023","Currency=USD","Period=FQ","BEST_FPERIOD_OVERRIDE=FQ","FILING_STATUS=MR","SCALING_FORMAT=MLN","Sort=A","Dates=H","DateFormat=P","Fill=—","Direction=H","UseDPDF=Y")</f>
        <v>—</v>
      </c>
      <c r="V39" s="13" t="str">
        <f>_xll.BDH("GILD US Equity","IS_OTHER_ONE_TIME_ITEMS","FQ3 2023","FQ3 2023","Currency=USD","Period=FQ","BEST_FPERIOD_OVERRIDE=FQ","FILING_STATUS=MR","SCALING_FORMAT=MLN","Sort=A","Dates=H","DateFormat=P","Fill=—","Direction=H","UseDPDF=Y")</f>
        <v>—</v>
      </c>
      <c r="W39" s="13">
        <f>_xll.BDH("GILD US Equity","IS_OTHER_ONE_TIME_ITEMS","FQ4 2023","FQ4 2023","Currency=USD","Period=FQ","BEST_FPERIOD_OVERRIDE=FQ","FILING_STATUS=MR","SCALING_FORMAT=MLN","Sort=A","Dates=H","DateFormat=P","Fill=—","Direction=H","UseDPDF=Y")</f>
        <v>51</v>
      </c>
      <c r="X39" s="13" t="str">
        <f>_xll.BDH("GILD US Equity","IS_OTHER_ONE_TIME_ITEMS","FQ1 2024","FQ1 2024","Currency=USD","Period=FQ","BEST_FPERIOD_OVERRIDE=FQ","FILING_STATUS=MR","SCALING_FORMAT=MLN","Sort=A","Dates=H","DateFormat=P","Fill=—","Direction=H","UseDPDF=Y")</f>
        <v>—</v>
      </c>
      <c r="Y39" s="13" t="str">
        <f>_xll.BDH("GILD US Equity","IS_OTHER_ONE_TIME_ITEMS","FQ2 2024","FQ2 2024","Currency=USD","Period=FQ","BEST_FPERIOD_OVERRIDE=FQ","FILING_STATUS=MR","SCALING_FORMAT=MLN","Sort=A","Dates=H","DateFormat=P","Fill=—","Direction=H","UseDPDF=Y")</f>
        <v>—</v>
      </c>
      <c r="Z39" s="13" t="str">
        <f>_xll.BDH("GILD US Equity","IS_OTHER_ONE_TIME_ITEMS","FQ3 2024","FQ3 2024","Currency=USD","Period=FQ","BEST_FPERIOD_OVERRIDE=FQ","FILING_STATUS=MR","SCALING_FORMAT=MLN","Sort=A","Dates=H","DateFormat=P","Fill=—","Direction=H","UseDPDF=Y")</f>
        <v>—</v>
      </c>
      <c r="AA39" s="13" t="str">
        <f>_xll.BDH("GILD US Equity","IS_OTHER_ONE_TIME_ITEMS","FQ4 2024","FQ4 2024","Currency=USD","Period=FQ","BEST_FPERIOD_OVERRIDE=FQ","FILING_STATUS=MR","SCALING_FORMAT=MLN","Sort=A","Dates=H","DateFormat=P","Fill=—","Direction=H","UseDPDF=Y")</f>
        <v>—</v>
      </c>
    </row>
    <row r="40" spans="1:27" x14ac:dyDescent="0.25">
      <c r="A40" s="6" t="s">
        <v>344</v>
      </c>
      <c r="B40" s="6" t="s">
        <v>158</v>
      </c>
      <c r="C40" s="19">
        <f>_xll.BDH("GILD US Equity","PRETAX_INC","FQ4 2018","FQ4 2018","Currency=USD","Period=FQ","BEST_FPERIOD_OVERRIDE=FQ","FILING_STATUS=MR","SCALING_FORMAT=MLN","FA_ADJUSTED=Adjusted","Sort=A","Dates=H","DateFormat=P","Fill=—","Direction=H","UseDPDF=Y")</f>
        <v>2037.6835000000001</v>
      </c>
      <c r="D40" s="19">
        <f>_xll.BDH("GILD US Equity","PRETAX_INC","FQ1 2019","FQ1 2019","Currency=USD","Period=FQ","BEST_FPERIOD_OVERRIDE=FQ","FILING_STATUS=MR","SCALING_FORMAT=MLN","FA_ADJUSTED=Adjusted","Sort=A","Dates=H","DateFormat=P","Fill=—","Direction=H","UseDPDF=Y")</f>
        <v>2231.0127000000002</v>
      </c>
      <c r="E40" s="19">
        <f>_xll.BDH("GILD US Equity","PRETAX_INC","FQ2 2019","FQ2 2019","Currency=USD","Period=FQ","BEST_FPERIOD_OVERRIDE=FQ","FILING_STATUS=MR","SCALING_FORMAT=MLN","FA_ADJUSTED=Adjusted","Sort=A","Dates=H","DateFormat=P","Fill=—","Direction=H","UseDPDF=Y")</f>
        <v>2517</v>
      </c>
      <c r="F40" s="19">
        <f>_xll.BDH("GILD US Equity","PRETAX_INC","FQ3 2019","FQ3 2019","Currency=USD","Period=FQ","BEST_FPERIOD_OVERRIDE=FQ","FILING_STATUS=MR","SCALING_FORMAT=MLN","FA_ADJUSTED=Adjusted","Sort=A","Dates=H","DateFormat=P","Fill=—","Direction=H","UseDPDF=Y")</f>
        <v>2410</v>
      </c>
      <c r="G40" s="19">
        <f>_xll.BDH("GILD US Equity","PRETAX_INC","FQ4 2019","FQ4 2019","Currency=USD","Period=FQ","BEST_FPERIOD_OVERRIDE=FQ","FILING_STATUS=MR","SCALING_FORMAT=MLN","FA_ADJUSTED=Adjusted","Sort=A","Dates=H","DateFormat=P","Fill=—","Direction=H","UseDPDF=Y")</f>
        <v>1768</v>
      </c>
      <c r="H40" s="19">
        <f>_xll.BDH("GILD US Equity","PRETAX_INC","FQ1 2020","FQ1 2020","Currency=USD","Period=FQ","BEST_FPERIOD_OVERRIDE=FQ","FILING_STATUS=MR","SCALING_FORMAT=MLN","FA_ADJUSTED=Adjusted","Sort=A","Dates=H","DateFormat=P","Fill=—","Direction=H","UseDPDF=Y")</f>
        <v>2649</v>
      </c>
      <c r="I40" s="19">
        <f>_xll.BDH("GILD US Equity","PRETAX_INC","FQ2 2020","FQ2 2020","Currency=USD","Period=FQ","BEST_FPERIOD_OVERRIDE=FQ","FILING_STATUS=MR","SCALING_FORMAT=MLN","FA_ADJUSTED=Adjusted","Sort=A","Dates=H","DateFormat=P","Fill=—","Direction=H","UseDPDF=Y")</f>
        <v>1538</v>
      </c>
      <c r="J40" s="19">
        <f>_xll.BDH("GILD US Equity","PRETAX_INC","FQ3 2020","FQ3 2020","Currency=USD","Period=FQ","BEST_FPERIOD_OVERRIDE=FQ","FILING_STATUS=MR","SCALING_FORMAT=MLN","FA_ADJUSTED=Adjusted","Sort=A","Dates=H","DateFormat=P","Fill=—","Direction=H","UseDPDF=Y")</f>
        <v>2979</v>
      </c>
      <c r="K40" s="19">
        <f>_xll.BDH("GILD US Equity","PRETAX_INC","FQ4 2020","FQ4 2020","Currency=USD","Period=FQ","BEST_FPERIOD_OVERRIDE=FQ","FILING_STATUS=MR","SCALING_FORMAT=MLN","FA_ADJUSTED=Adjusted","Sort=A","Dates=H","DateFormat=P","Fill=—","Direction=H","UseDPDF=Y")</f>
        <v>2854</v>
      </c>
      <c r="L40" s="19">
        <f>_xll.BDH("GILD US Equity","PRETAX_INC","FQ1 2021","FQ1 2021","Currency=USD","Period=FQ","BEST_FPERIOD_OVERRIDE=FQ","FILING_STATUS=MR","SCALING_FORMAT=MLN","FA_ADJUSTED=Adjusted","Sort=A","Dates=H","DateFormat=P","Fill=—","Direction=H","UseDPDF=Y")</f>
        <v>3211</v>
      </c>
      <c r="M40" s="19">
        <f>_xll.BDH("GILD US Equity","PRETAX_INC","FQ2 2021","FQ2 2021","Currency=USD","Period=FQ","BEST_FPERIOD_OVERRIDE=FQ","FILING_STATUS=MR","SCALING_FORMAT=MLN","FA_ADJUSTED=Adjusted","Sort=A","Dates=H","DateFormat=P","Fill=—","Direction=H","UseDPDF=Y")</f>
        <v>2367</v>
      </c>
      <c r="N40" s="19">
        <f>_xll.BDH("GILD US Equity","PRETAX_INC","FQ3 2021","FQ3 2021","Currency=USD","Period=FQ","BEST_FPERIOD_OVERRIDE=FQ","FILING_STATUS=MR","SCALING_FORMAT=MLN","FA_ADJUSTED=Adjusted","Sort=A","Dates=H","DateFormat=P","Fill=—","Direction=H","UseDPDF=Y")</f>
        <v>3582</v>
      </c>
      <c r="O40" s="19">
        <f>_xll.BDH("GILD US Equity","PRETAX_INC","FQ4 2021","FQ4 2021","Currency=USD","Period=FQ","BEST_FPERIOD_OVERRIDE=FQ","FILING_STATUS=MR","SCALING_FORMAT=MLN","FA_ADJUSTED=Adjusted","Sort=A","Dates=H","DateFormat=P","Fill=—","Direction=H","UseDPDF=Y")</f>
        <v>1384.7974999999999</v>
      </c>
      <c r="P40" s="19">
        <f>_xll.BDH("GILD US Equity","PRETAX_INC","FQ1 2022","FQ1 2022","Currency=USD","Period=FQ","BEST_FPERIOD_OVERRIDE=FQ","FILING_STATUS=MR","SCALING_FORMAT=MLN","FA_ADJUSTED=Adjusted","Sort=A","Dates=H","DateFormat=P","Fill=—","Direction=H","UseDPDF=Y")</f>
        <v>2618</v>
      </c>
      <c r="Q40" s="19">
        <f>_xll.BDH("GILD US Equity","PRETAX_INC","FQ2 2022","FQ2 2022","Currency=USD","Period=FQ","BEST_FPERIOD_OVERRIDE=FQ","FILING_STATUS=MR","SCALING_FORMAT=MLN","FA_ADJUSTED=Adjusted","Sort=A","Dates=H","DateFormat=P","Fill=—","Direction=H","UseDPDF=Y")</f>
        <v>2529</v>
      </c>
      <c r="R40" s="19">
        <f>_xll.BDH("GILD US Equity","PRETAX_INC","FQ3 2022","FQ3 2022","Currency=USD","Period=FQ","BEST_FPERIOD_OVERRIDE=FQ","FILING_STATUS=MR","SCALING_FORMAT=MLN","FA_ADJUSTED=Adjusted","Sort=A","Dates=H","DateFormat=P","Fill=—","Direction=H","UseDPDF=Y")</f>
        <v>3504</v>
      </c>
      <c r="S40" s="19">
        <f>_xll.BDH("GILD US Equity","PRETAX_INC","FQ4 2022","FQ4 2022","Currency=USD","Period=FQ","BEST_FPERIOD_OVERRIDE=FQ","FILING_STATUS=MR","SCALING_FORMAT=MLN","FA_ADJUSTED=Adjusted","Sort=A","Dates=H","DateFormat=P","Fill=—","Direction=H","UseDPDF=Y")</f>
        <v>2254</v>
      </c>
      <c r="T40" s="19">
        <f>_xll.BDH("GILD US Equity","PRETAX_INC","FQ1 2023","FQ1 2023","Currency=USD","Period=FQ","BEST_FPERIOD_OVERRIDE=FQ","FILING_STATUS=MR","SCALING_FORMAT=MLN","FA_ADJUSTED=Adjusted","Sort=A","Dates=H","DateFormat=P","Fill=—","Direction=H","UseDPDF=Y")</f>
        <v>2047</v>
      </c>
      <c r="U40" s="19">
        <f>_xll.BDH("GILD US Equity","PRETAX_INC","FQ2 2023","FQ2 2023","Currency=USD","Period=FQ","BEST_FPERIOD_OVERRIDE=FQ","FILING_STATUS=MR","SCALING_FORMAT=MLN","FA_ADJUSTED=Adjusted","Sort=A","Dates=H","DateFormat=P","Fill=—","Direction=H","UseDPDF=Y")</f>
        <v>1716</v>
      </c>
      <c r="V40" s="19">
        <f>_xll.BDH("GILD US Equity","PRETAX_INC","FQ3 2023","FQ3 2023","Currency=USD","Period=FQ","BEST_FPERIOD_OVERRIDE=FQ","FILING_STATUS=MR","SCALING_FORMAT=MLN","FA_ADJUSTED=Adjusted","Sort=A","Dates=H","DateFormat=P","Fill=—","Direction=H","UseDPDF=Y")</f>
        <v>2599</v>
      </c>
      <c r="W40" s="19">
        <f>_xll.BDH("GILD US Equity","PRETAX_INC","FQ4 2023","FQ4 2023","Currency=USD","Period=FQ","BEST_FPERIOD_OVERRIDE=FQ","FILING_STATUS=MR","SCALING_FORMAT=MLN","FA_ADJUSTED=Adjusted","Sort=A","Dates=H","DateFormat=P","Fill=—","Direction=H","UseDPDF=Y")</f>
        <v>2358</v>
      </c>
      <c r="X40" s="19">
        <f>_xll.BDH("GILD US Equity","PRETAX_INC","FQ1 2024","FQ1 2024","Currency=USD","Period=FQ","BEST_FPERIOD_OVERRIDE=FQ","FILING_STATUS=MR","SCALING_FORMAT=MLN","FA_ADJUSTED=Adjusted","Sort=A","Dates=H","DateFormat=P","Fill=—","Direction=H","UseDPDF=Y")</f>
        <v>2285</v>
      </c>
      <c r="Y40" s="19">
        <f>_xll.BDH("GILD US Equity","PRETAX_INC","FQ2 2024","FQ2 2024","Currency=USD","Period=FQ","BEST_FPERIOD_OVERRIDE=FQ","FILING_STATUS=MR","SCALING_FORMAT=MLN","FA_ADJUSTED=Adjusted","Sort=A","Dates=H","DateFormat=P","Fill=—","Direction=H","UseDPDF=Y")</f>
        <v>2884</v>
      </c>
      <c r="Z40" s="19">
        <f>_xll.BDH("GILD US Equity","PRETAX_INC","FQ3 2024","FQ3 2024","Currency=USD","Period=FQ","BEST_FPERIOD_OVERRIDE=FQ","FILING_STATUS=MR","SCALING_FORMAT=MLN","FA_ADJUSTED=Adjusted","Sort=A","Dates=H","DateFormat=P","Fill=—","Direction=H","UseDPDF=Y")</f>
        <v>2994</v>
      </c>
      <c r="AA40" s="19">
        <f>_xll.BDH("GILD US Equity","PRETAX_INC","FQ4 2024","FQ4 2024","Currency=USD","Period=FQ","BEST_FPERIOD_OVERRIDE=FQ","FILING_STATUS=MR","SCALING_FORMAT=MLN","FA_ADJUSTED=Adjusted","Sort=A","Dates=H","DateFormat=P","Fill=—","Direction=H","UseDPDF=Y")</f>
        <v>2367</v>
      </c>
    </row>
    <row r="41" spans="1:27" x14ac:dyDescent="0.25">
      <c r="A41" s="6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x14ac:dyDescent="0.25">
      <c r="A42" s="6" t="s">
        <v>674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 x14ac:dyDescent="0.25">
      <c r="A43" s="6" t="s">
        <v>675</v>
      </c>
      <c r="B43" s="6" t="s">
        <v>80</v>
      </c>
      <c r="C43" s="19">
        <f>_xll.BDH("GILD US Equity","EARN_FOR_COMMON","FQ4 2018","FQ4 2018","Currency=USD","Period=FQ","BEST_FPERIOD_OVERRIDE=FQ","FILING_STATUS=MR","SCALING_FORMAT=MLN","FA_ADJUSTED=GAAP","Sort=A","Dates=H","DateFormat=P","Fill=—","Direction=H","UseDPDF=Y")</f>
        <v>3</v>
      </c>
      <c r="D43" s="19">
        <f>_xll.BDH("GILD US Equity","EARN_FOR_COMMON","FQ1 2019","FQ1 2019","Currency=USD","Period=FQ","BEST_FPERIOD_OVERRIDE=FQ","FILING_STATUS=MR","SCALING_FORMAT=MLN","FA_ADJUSTED=GAAP","Sort=A","Dates=H","DateFormat=P","Fill=—","Direction=H","UseDPDF=Y")</f>
        <v>1975</v>
      </c>
      <c r="E43" s="19">
        <f>_xll.BDH("GILD US Equity","EARN_FOR_COMMON","FQ2 2019","FQ2 2019","Currency=USD","Period=FQ","BEST_FPERIOD_OVERRIDE=FQ","FILING_STATUS=MR","SCALING_FORMAT=MLN","FA_ADJUSTED=GAAP","Sort=A","Dates=H","DateFormat=P","Fill=—","Direction=H","UseDPDF=Y")</f>
        <v>1880</v>
      </c>
      <c r="F43" s="19">
        <f>_xll.BDH("GILD US Equity","EARN_FOR_COMMON","FQ3 2019","FQ3 2019","Currency=USD","Period=FQ","BEST_FPERIOD_OVERRIDE=FQ","FILING_STATUS=MR","SCALING_FORMAT=MLN","FA_ADJUSTED=GAAP","Sort=A","Dates=H","DateFormat=P","Fill=—","Direction=H","UseDPDF=Y")</f>
        <v>-1165</v>
      </c>
      <c r="G43" s="19">
        <f>_xll.BDH("GILD US Equity","EARN_FOR_COMMON","FQ4 2019","FQ4 2019","Currency=USD","Period=FQ","BEST_FPERIOD_OVERRIDE=FQ","FILING_STATUS=MR","SCALING_FORMAT=MLN","FA_ADJUSTED=GAAP","Sort=A","Dates=H","DateFormat=P","Fill=—","Direction=H","UseDPDF=Y")</f>
        <v>2696</v>
      </c>
      <c r="H43" s="19">
        <f>_xll.BDH("GILD US Equity","EARN_FOR_COMMON","FQ1 2020","FQ1 2020","Currency=USD","Period=FQ","BEST_FPERIOD_OVERRIDE=FQ","FILING_STATUS=MR","SCALING_FORMAT=MLN","FA_ADJUSTED=GAAP","Sort=A","Dates=H","DateFormat=P","Fill=—","Direction=H","UseDPDF=Y")</f>
        <v>1551</v>
      </c>
      <c r="I43" s="19">
        <f>_xll.BDH("GILD US Equity","EARN_FOR_COMMON","FQ2 2020","FQ2 2020","Currency=USD","Period=FQ","BEST_FPERIOD_OVERRIDE=FQ","FILING_STATUS=MR","SCALING_FORMAT=MLN","FA_ADJUSTED=GAAP","Sort=A","Dates=H","DateFormat=P","Fill=—","Direction=H","UseDPDF=Y")</f>
        <v>-3339</v>
      </c>
      <c r="J43" s="19">
        <f>_xll.BDH("GILD US Equity","EARN_FOR_COMMON","FQ3 2020","FQ3 2020","Currency=USD","Period=FQ","BEST_FPERIOD_OVERRIDE=FQ","FILING_STATUS=MR","SCALING_FORMAT=MLN","FA_ADJUSTED=GAAP","Sort=A","Dates=H","DateFormat=P","Fill=—","Direction=H","UseDPDF=Y")</f>
        <v>360</v>
      </c>
      <c r="K43" s="19">
        <f>_xll.BDH("GILD US Equity","EARN_FOR_COMMON","FQ4 2020","FQ4 2020","Currency=USD","Period=FQ","BEST_FPERIOD_OVERRIDE=FQ","FILING_STATUS=MR","SCALING_FORMAT=MLN","FA_ADJUSTED=GAAP","Sort=A","Dates=H","DateFormat=P","Fill=—","Direction=H","UseDPDF=Y")</f>
        <v>1551</v>
      </c>
      <c r="L43" s="19">
        <f>_xll.BDH("GILD US Equity","EARN_FOR_COMMON","FQ1 2021","FQ1 2021","Currency=USD","Period=FQ","BEST_FPERIOD_OVERRIDE=FQ","FILING_STATUS=MR","SCALING_FORMAT=MLN","FA_ADJUSTED=GAAP","Sort=A","Dates=H","DateFormat=P","Fill=—","Direction=H","UseDPDF=Y")</f>
        <v>1729</v>
      </c>
      <c r="M43" s="19">
        <f>_xll.BDH("GILD US Equity","EARN_FOR_COMMON","FQ2 2021","FQ2 2021","Currency=USD","Period=FQ","BEST_FPERIOD_OVERRIDE=FQ","FILING_STATUS=MR","SCALING_FORMAT=MLN","FA_ADJUSTED=GAAP","Sort=A","Dates=H","DateFormat=P","Fill=—","Direction=H","UseDPDF=Y")</f>
        <v>1522</v>
      </c>
      <c r="N43" s="19">
        <f>_xll.BDH("GILD US Equity","EARN_FOR_COMMON","FQ3 2021","FQ3 2021","Currency=USD","Period=FQ","BEST_FPERIOD_OVERRIDE=FQ","FILING_STATUS=MR","SCALING_FORMAT=MLN","FA_ADJUSTED=GAAP","Sort=A","Dates=H","DateFormat=P","Fill=—","Direction=H","UseDPDF=Y")</f>
        <v>2592</v>
      </c>
      <c r="O43" s="19">
        <f>_xll.BDH("GILD US Equity","EARN_FOR_COMMON","FQ4 2021","FQ4 2021","Currency=USD","Period=FQ","BEST_FPERIOD_OVERRIDE=FQ","FILING_STATUS=MR","SCALING_FORMAT=MLN","FA_ADJUSTED=GAAP","Sort=A","Dates=H","DateFormat=P","Fill=—","Direction=H","UseDPDF=Y")</f>
        <v>382</v>
      </c>
      <c r="P43" s="19">
        <f>_xll.BDH("GILD US Equity","EARN_FOR_COMMON","FQ1 2022","FQ1 2022","Currency=USD","Period=FQ","BEST_FPERIOD_OVERRIDE=FQ","FILING_STATUS=MR","SCALING_FORMAT=MLN","FA_ADJUSTED=GAAP","Sort=A","Dates=H","DateFormat=P","Fill=—","Direction=H","UseDPDF=Y")</f>
        <v>19</v>
      </c>
      <c r="Q43" s="19">
        <f>_xll.BDH("GILD US Equity","EARN_FOR_COMMON","FQ2 2022","FQ2 2022","Currency=USD","Period=FQ","BEST_FPERIOD_OVERRIDE=FQ","FILING_STATUS=MR","SCALING_FORMAT=MLN","FA_ADJUSTED=GAAP","Sort=A","Dates=H","DateFormat=P","Fill=—","Direction=H","UseDPDF=Y")</f>
        <v>1144</v>
      </c>
      <c r="R43" s="19">
        <f>_xll.BDH("GILD US Equity","EARN_FOR_COMMON","FQ3 2022","FQ3 2022","Currency=USD","Period=FQ","BEST_FPERIOD_OVERRIDE=FQ","FILING_STATUS=MR","SCALING_FORMAT=MLN","FA_ADJUSTED=GAAP","Sort=A","Dates=H","DateFormat=P","Fill=—","Direction=H","UseDPDF=Y")</f>
        <v>1789</v>
      </c>
      <c r="S43" s="19">
        <f>_xll.BDH("GILD US Equity","EARN_FOR_COMMON","FQ4 2022","FQ4 2022","Currency=USD","Period=FQ","BEST_FPERIOD_OVERRIDE=FQ","FILING_STATUS=MR","SCALING_FORMAT=MLN","FA_ADJUSTED=GAAP","Sort=A","Dates=H","DateFormat=P","Fill=—","Direction=H","UseDPDF=Y")</f>
        <v>1640</v>
      </c>
      <c r="T43" s="19">
        <f>_xll.BDH("GILD US Equity","EARN_FOR_COMMON","FQ1 2023","FQ1 2023","Currency=USD","Period=FQ","BEST_FPERIOD_OVERRIDE=FQ","FILING_STATUS=MR","SCALING_FORMAT=MLN","FA_ADJUSTED=GAAP","Sort=A","Dates=H","DateFormat=P","Fill=—","Direction=H","UseDPDF=Y")</f>
        <v>1010</v>
      </c>
      <c r="U43" s="19">
        <f>_xll.BDH("GILD US Equity","EARN_FOR_COMMON","FQ2 2023","FQ2 2023","Currency=USD","Period=FQ","BEST_FPERIOD_OVERRIDE=FQ","FILING_STATUS=MR","SCALING_FORMAT=MLN","FA_ADJUSTED=GAAP","Sort=A","Dates=H","DateFormat=P","Fill=—","Direction=H","UseDPDF=Y")</f>
        <v>1045</v>
      </c>
      <c r="V43" s="19">
        <f>_xll.BDH("GILD US Equity","EARN_FOR_COMMON","FQ3 2023","FQ3 2023","Currency=USD","Period=FQ","BEST_FPERIOD_OVERRIDE=FQ","FILING_STATUS=MR","SCALING_FORMAT=MLN","FA_ADJUSTED=GAAP","Sort=A","Dates=H","DateFormat=P","Fill=—","Direction=H","UseDPDF=Y")</f>
        <v>2180</v>
      </c>
      <c r="W43" s="19">
        <f>_xll.BDH("GILD US Equity","EARN_FOR_COMMON","FQ4 2023","FQ4 2023","Currency=USD","Period=FQ","BEST_FPERIOD_OVERRIDE=FQ","FILING_STATUS=MR","SCALING_FORMAT=MLN","FA_ADJUSTED=GAAP","Sort=A","Dates=H","DateFormat=P","Fill=—","Direction=H","UseDPDF=Y")</f>
        <v>1429</v>
      </c>
      <c r="X43" s="19">
        <f>_xll.BDH("GILD US Equity","EARN_FOR_COMMON","FQ1 2024","FQ1 2024","Currency=USD","Period=FQ","BEST_FPERIOD_OVERRIDE=FQ","FILING_STATUS=MR","SCALING_FORMAT=MLN","FA_ADJUSTED=GAAP","Sort=A","Dates=H","DateFormat=P","Fill=—","Direction=H","UseDPDF=Y")</f>
        <v>-4170</v>
      </c>
      <c r="Y43" s="19">
        <f>_xll.BDH("GILD US Equity","EARN_FOR_COMMON","FQ2 2024","FQ2 2024","Currency=USD","Period=FQ","BEST_FPERIOD_OVERRIDE=FQ","FILING_STATUS=MR","SCALING_FORMAT=MLN","FA_ADJUSTED=GAAP","Sort=A","Dates=H","DateFormat=P","Fill=—","Direction=H","UseDPDF=Y")</f>
        <v>1614</v>
      </c>
      <c r="Z43" s="19">
        <f>_xll.BDH("GILD US Equity","EARN_FOR_COMMON","FQ3 2024","FQ3 2024","Currency=USD","Period=FQ","BEST_FPERIOD_OVERRIDE=FQ","FILING_STATUS=MR","SCALING_FORMAT=MLN","FA_ADJUSTED=GAAP","Sort=A","Dates=H","DateFormat=P","Fill=—","Direction=H","UseDPDF=Y")</f>
        <v>1253</v>
      </c>
      <c r="AA43" s="19">
        <f>_xll.BDH("GILD US Equity","EARN_FOR_COMMON","FQ4 2024","FQ4 2024","Currency=USD","Period=FQ","BEST_FPERIOD_OVERRIDE=FQ","FILING_STATUS=MR","SCALING_FORMAT=MLN","FA_ADJUSTED=GAAP","Sort=A","Dates=H","DateFormat=P","Fill=—","Direction=H","UseDPDF=Y")</f>
        <v>1783</v>
      </c>
    </row>
    <row r="44" spans="1:27" x14ac:dyDescent="0.25">
      <c r="A44" s="10" t="s">
        <v>676</v>
      </c>
      <c r="B44" s="10" t="s">
        <v>369</v>
      </c>
      <c r="C44" s="13">
        <f>_xll.BDH("GILD US Equity","IS_DISCONTINUED_OPERATIONS","FQ4 2018","FQ4 2018","Currency=USD","Period=FQ","BEST_FPERIOD_OVERRIDE=FQ","FILING_STATUS=MR","SCALING_FORMAT=MLN","Sort=A","Dates=H","DateFormat=P","Fill=—","Direction=H","UseDPDF=Y")</f>
        <v>0</v>
      </c>
      <c r="D44" s="13">
        <f>_xll.BDH("GILD US Equity","IS_DISCONTINUED_OPERATIONS","FQ1 2019","FQ1 2019","Currency=USD","Period=FQ","BEST_FPERIOD_OVERRIDE=FQ","FILING_STATUS=MR","SCALING_FORMAT=MLN","Sort=A","Dates=H","DateFormat=P","Fill=—","Direction=H","UseDPDF=Y")</f>
        <v>0</v>
      </c>
      <c r="E44" s="13">
        <f>_xll.BDH("GILD US Equity","IS_DISCONTINUED_OPERATIONS","FQ2 2019","FQ2 2019","Currency=USD","Period=FQ","BEST_FPERIOD_OVERRIDE=FQ","FILING_STATUS=MR","SCALING_FORMAT=MLN","Sort=A","Dates=H","DateFormat=P","Fill=—","Direction=H","UseDPDF=Y")</f>
        <v>0</v>
      </c>
      <c r="F44" s="13">
        <f>_xll.BDH("GILD US Equity","IS_DISCONTINUED_OPERATIONS","FQ3 2019","FQ3 2019","Currency=USD","Period=FQ","BEST_FPERIOD_OVERRIDE=FQ","FILING_STATUS=MR","SCALING_FORMAT=MLN","Sort=A","Dates=H","DateFormat=P","Fill=—","Direction=H","UseDPDF=Y")</f>
        <v>0</v>
      </c>
      <c r="G44" s="13">
        <f>_xll.BDH("GILD US Equity","IS_DISCONTINUED_OPERATIONS","FQ4 2019","FQ4 2019","Currency=USD","Period=FQ","BEST_FPERIOD_OVERRIDE=FQ","FILING_STATUS=MR","SCALING_FORMAT=MLN","Sort=A","Dates=H","DateFormat=P","Fill=—","Direction=H","UseDPDF=Y")</f>
        <v>0</v>
      </c>
      <c r="H44" s="13">
        <f>_xll.BDH("GILD US Equity","IS_DISCONTINUED_OPERATIONS","FQ1 2020","FQ1 2020","Currency=USD","Period=FQ","BEST_FPERIOD_OVERRIDE=FQ","FILING_STATUS=MR","SCALING_FORMAT=MLN","Sort=A","Dates=H","DateFormat=P","Fill=—","Direction=H","UseDPDF=Y")</f>
        <v>0</v>
      </c>
      <c r="I44" s="13">
        <f>_xll.BDH("GILD US Equity","IS_DISCONTINUED_OPERATIONS","FQ2 2020","FQ2 2020","Currency=USD","Period=FQ","BEST_FPERIOD_OVERRIDE=FQ","FILING_STATUS=MR","SCALING_FORMAT=MLN","Sort=A","Dates=H","DateFormat=P","Fill=—","Direction=H","UseDPDF=Y")</f>
        <v>0</v>
      </c>
      <c r="J44" s="13">
        <f>_xll.BDH("GILD US Equity","IS_DISCONTINUED_OPERATIONS","FQ3 2020","FQ3 2020","Currency=USD","Period=FQ","BEST_FPERIOD_OVERRIDE=FQ","FILING_STATUS=MR","SCALING_FORMAT=MLN","Sort=A","Dates=H","DateFormat=P","Fill=—","Direction=H","UseDPDF=Y")</f>
        <v>0</v>
      </c>
      <c r="K44" s="13">
        <f>_xll.BDH("GILD US Equity","IS_DISCONTINUED_OPERATIONS","FQ4 2020","FQ4 2020","Currency=USD","Period=FQ","BEST_FPERIOD_OVERRIDE=FQ","FILING_STATUS=MR","SCALING_FORMAT=MLN","Sort=A","Dates=H","DateFormat=P","Fill=—","Direction=H","UseDPDF=Y")</f>
        <v>0</v>
      </c>
      <c r="L44" s="13">
        <f>_xll.BDH("GILD US Equity","IS_DISCONTINUED_OPERATIONS","FQ1 2021","FQ1 2021","Currency=USD","Period=FQ","BEST_FPERIOD_OVERRIDE=FQ","FILING_STATUS=MR","SCALING_FORMAT=MLN","Sort=A","Dates=H","DateFormat=P","Fill=—","Direction=H","UseDPDF=Y")</f>
        <v>0</v>
      </c>
      <c r="M44" s="13">
        <f>_xll.BDH("GILD US Equity","IS_DISCONTINUED_OPERATIONS","FQ2 2021","FQ2 2021","Currency=USD","Period=FQ","BEST_FPERIOD_OVERRIDE=FQ","FILING_STATUS=MR","SCALING_FORMAT=MLN","Sort=A","Dates=H","DateFormat=P","Fill=—","Direction=H","UseDPDF=Y")</f>
        <v>0</v>
      </c>
      <c r="N44" s="13">
        <f>_xll.BDH("GILD US Equity","IS_DISCONTINUED_OPERATIONS","FQ3 2021","FQ3 2021","Currency=USD","Period=FQ","BEST_FPERIOD_OVERRIDE=FQ","FILING_STATUS=MR","SCALING_FORMAT=MLN","Sort=A","Dates=H","DateFormat=P","Fill=—","Direction=H","UseDPDF=Y")</f>
        <v>0</v>
      </c>
      <c r="O44" s="13">
        <f>_xll.BDH("GILD US Equity","IS_DISCONTINUED_OPERATIONS","FQ4 2021","FQ4 2021","Currency=USD","Period=FQ","BEST_FPERIOD_OVERRIDE=FQ","FILING_STATUS=MR","SCALING_FORMAT=MLN","Sort=A","Dates=H","DateFormat=P","Fill=—","Direction=H","UseDPDF=Y")</f>
        <v>0</v>
      </c>
      <c r="P44" s="13">
        <f>_xll.BDH("GILD US Equity","IS_DISCONTINUED_OPERATIONS","FQ1 2022","FQ1 2022","Currency=USD","Period=FQ","BEST_FPERIOD_OVERRIDE=FQ","FILING_STATUS=MR","SCALING_FORMAT=MLN","Sort=A","Dates=H","DateFormat=P","Fill=—","Direction=H","UseDPDF=Y")</f>
        <v>0</v>
      </c>
      <c r="Q44" s="13">
        <f>_xll.BDH("GILD US Equity","IS_DISCONTINUED_OPERATIONS","FQ2 2022","FQ2 2022","Currency=USD","Period=FQ","BEST_FPERIOD_OVERRIDE=FQ","FILING_STATUS=MR","SCALING_FORMAT=MLN","Sort=A","Dates=H","DateFormat=P","Fill=—","Direction=H","UseDPDF=Y")</f>
        <v>0</v>
      </c>
      <c r="R44" s="13">
        <f>_xll.BDH("GILD US Equity","IS_DISCONTINUED_OPERATIONS","FQ3 2022","FQ3 2022","Currency=USD","Period=FQ","BEST_FPERIOD_OVERRIDE=FQ","FILING_STATUS=MR","SCALING_FORMAT=MLN","Sort=A","Dates=H","DateFormat=P","Fill=—","Direction=H","UseDPDF=Y")</f>
        <v>0</v>
      </c>
      <c r="S44" s="13">
        <f>_xll.BDH("GILD US Equity","IS_DISCONTINUED_OPERATIONS","FQ4 2022","FQ4 2022","Currency=USD","Period=FQ","BEST_FPERIOD_OVERRIDE=FQ","FILING_STATUS=MR","SCALING_FORMAT=MLN","Sort=A","Dates=H","DateFormat=P","Fill=—","Direction=H","UseDPDF=Y")</f>
        <v>0</v>
      </c>
      <c r="T44" s="13">
        <f>_xll.BDH("GILD US Equity","IS_DISCONTINUED_OPERATIONS","FQ1 2023","FQ1 2023","Currency=USD","Period=FQ","BEST_FPERIOD_OVERRIDE=FQ","FILING_STATUS=MR","SCALING_FORMAT=MLN","Sort=A","Dates=H","DateFormat=P","Fill=—","Direction=H","UseDPDF=Y")</f>
        <v>0</v>
      </c>
      <c r="U44" s="13">
        <f>_xll.BDH("GILD US Equity","IS_DISCONTINUED_OPERATIONS","FQ2 2023","FQ2 2023","Currency=USD","Period=FQ","BEST_FPERIOD_OVERRIDE=FQ","FILING_STATUS=MR","SCALING_FORMAT=MLN","Sort=A","Dates=H","DateFormat=P","Fill=—","Direction=H","UseDPDF=Y")</f>
        <v>0</v>
      </c>
      <c r="V44" s="13">
        <f>_xll.BDH("GILD US Equity","IS_DISCONTINUED_OPERATIONS","FQ3 2023","FQ3 2023","Currency=USD","Period=FQ","BEST_FPERIOD_OVERRIDE=FQ","FILING_STATUS=MR","SCALING_FORMAT=MLN","Sort=A","Dates=H","DateFormat=P","Fill=—","Direction=H","UseDPDF=Y")</f>
        <v>0</v>
      </c>
      <c r="W44" s="13">
        <f>_xll.BDH("GILD US Equity","IS_DISCONTINUED_OPERATIONS","FQ4 2023","FQ4 2023","Currency=USD","Period=FQ","BEST_FPERIOD_OVERRIDE=FQ","FILING_STATUS=MR","SCALING_FORMAT=MLN","Sort=A","Dates=H","DateFormat=P","Fill=—","Direction=H","UseDPDF=Y")</f>
        <v>0</v>
      </c>
      <c r="X44" s="13">
        <f>_xll.BDH("GILD US Equity","IS_DISCONTINUED_OPERATIONS","FQ1 2024","FQ1 2024","Currency=USD","Period=FQ","BEST_FPERIOD_OVERRIDE=FQ","FILING_STATUS=MR","SCALING_FORMAT=MLN","Sort=A","Dates=H","DateFormat=P","Fill=—","Direction=H","UseDPDF=Y")</f>
        <v>0</v>
      </c>
      <c r="Y44" s="13">
        <f>_xll.BDH("GILD US Equity","IS_DISCONTINUED_OPERATIONS","FQ2 2024","FQ2 2024","Currency=USD","Period=FQ","BEST_FPERIOD_OVERRIDE=FQ","FILING_STATUS=MR","SCALING_FORMAT=MLN","Sort=A","Dates=H","DateFormat=P","Fill=—","Direction=H","UseDPDF=Y")</f>
        <v>0</v>
      </c>
      <c r="Z44" s="13">
        <f>_xll.BDH("GILD US Equity","IS_DISCONTINUED_OPERATIONS","FQ3 2024","FQ3 2024","Currency=USD","Period=FQ","BEST_FPERIOD_OVERRIDE=FQ","FILING_STATUS=MR","SCALING_FORMAT=MLN","Sort=A","Dates=H","DateFormat=P","Fill=—","Direction=H","UseDPDF=Y")</f>
        <v>0</v>
      </c>
      <c r="AA44" s="13">
        <f>_xll.BDH("GILD US Equity","IS_DISCONTINUED_OPERATIONS","FQ4 2024","FQ4 2024","Currency=USD","Period=FQ","BEST_FPERIOD_OVERRIDE=FQ","FILING_STATUS=MR","SCALING_FORMAT=MLN","Sort=A","Dates=H","DateFormat=P","Fill=—","Direction=H","UseDPDF=Y")</f>
        <v>0</v>
      </c>
    </row>
    <row r="45" spans="1:27" x14ac:dyDescent="0.25">
      <c r="A45" s="10" t="s">
        <v>677</v>
      </c>
      <c r="B45" s="10" t="s">
        <v>371</v>
      </c>
      <c r="C45" s="13">
        <f>_xll.BDH("GILD US Equity","EXTRAORD_ITEMS_ACCOUNTING_CHANGS","FQ4 2018","FQ4 2018","Currency=USD","Period=FQ","BEST_FPERIOD_OVERRIDE=FQ","FILING_STATUS=MR","SCALING_FORMAT=MLN","Sort=A","Dates=H","DateFormat=P","Fill=—","Direction=H","UseDPDF=Y")</f>
        <v>0</v>
      </c>
      <c r="D45" s="13">
        <f>_xll.BDH("GILD US Equity","EXTRAORD_ITEMS_ACCOUNTING_CHANGS","FQ1 2019","FQ1 2019","Currency=USD","Period=FQ","BEST_FPERIOD_OVERRIDE=FQ","FILING_STATUS=MR","SCALING_FORMAT=MLN","Sort=A","Dates=H","DateFormat=P","Fill=—","Direction=H","UseDPDF=Y")</f>
        <v>0</v>
      </c>
      <c r="E45" s="13">
        <f>_xll.BDH("GILD US Equity","EXTRAORD_ITEMS_ACCOUNTING_CHANGS","FQ2 2019","FQ2 2019","Currency=USD","Period=FQ","BEST_FPERIOD_OVERRIDE=FQ","FILING_STATUS=MR","SCALING_FORMAT=MLN","Sort=A","Dates=H","DateFormat=P","Fill=—","Direction=H","UseDPDF=Y")</f>
        <v>0</v>
      </c>
      <c r="F45" s="13">
        <f>_xll.BDH("GILD US Equity","EXTRAORD_ITEMS_ACCOUNTING_CHANGS","FQ3 2019","FQ3 2019","Currency=USD","Period=FQ","BEST_FPERIOD_OVERRIDE=FQ","FILING_STATUS=MR","SCALING_FORMAT=MLN","Sort=A","Dates=H","DateFormat=P","Fill=—","Direction=H","UseDPDF=Y")</f>
        <v>0</v>
      </c>
      <c r="G45" s="13">
        <f>_xll.BDH("GILD US Equity","EXTRAORD_ITEMS_ACCOUNTING_CHANGS","FQ4 2019","FQ4 2019","Currency=USD","Period=FQ","BEST_FPERIOD_OVERRIDE=FQ","FILING_STATUS=MR","SCALING_FORMAT=MLN","Sort=A","Dates=H","DateFormat=P","Fill=—","Direction=H","UseDPDF=Y")</f>
        <v>0</v>
      </c>
      <c r="H45" s="13">
        <f>_xll.BDH("GILD US Equity","EXTRAORD_ITEMS_ACCOUNTING_CHANGS","FQ1 2020","FQ1 2020","Currency=USD","Period=FQ","BEST_FPERIOD_OVERRIDE=FQ","FILING_STATUS=MR","SCALING_FORMAT=MLN","Sort=A","Dates=H","DateFormat=P","Fill=—","Direction=H","UseDPDF=Y")</f>
        <v>0</v>
      </c>
      <c r="I45" s="13">
        <f>_xll.BDH("GILD US Equity","EXTRAORD_ITEMS_ACCOUNTING_CHANGS","FQ2 2020","FQ2 2020","Currency=USD","Period=FQ","BEST_FPERIOD_OVERRIDE=FQ","FILING_STATUS=MR","SCALING_FORMAT=MLN","Sort=A","Dates=H","DateFormat=P","Fill=—","Direction=H","UseDPDF=Y")</f>
        <v>0</v>
      </c>
      <c r="J45" s="13">
        <f>_xll.BDH("GILD US Equity","EXTRAORD_ITEMS_ACCOUNTING_CHANGS","FQ3 2020","FQ3 2020","Currency=USD","Period=FQ","BEST_FPERIOD_OVERRIDE=FQ","FILING_STATUS=MR","SCALING_FORMAT=MLN","Sort=A","Dates=H","DateFormat=P","Fill=—","Direction=H","UseDPDF=Y")</f>
        <v>0</v>
      </c>
      <c r="K45" s="13">
        <f>_xll.BDH("GILD US Equity","EXTRAORD_ITEMS_ACCOUNTING_CHANGS","FQ4 2020","FQ4 2020","Currency=USD","Period=FQ","BEST_FPERIOD_OVERRIDE=FQ","FILING_STATUS=MR","SCALING_FORMAT=MLN","Sort=A","Dates=H","DateFormat=P","Fill=—","Direction=H","UseDPDF=Y")</f>
        <v>0</v>
      </c>
      <c r="L45" s="13">
        <f>_xll.BDH("GILD US Equity","EXTRAORD_ITEMS_ACCOUNTING_CHANGS","FQ1 2021","FQ1 2021","Currency=USD","Period=FQ","BEST_FPERIOD_OVERRIDE=FQ","FILING_STATUS=MR","SCALING_FORMAT=MLN","Sort=A","Dates=H","DateFormat=P","Fill=—","Direction=H","UseDPDF=Y")</f>
        <v>0</v>
      </c>
      <c r="M45" s="13">
        <f>_xll.BDH("GILD US Equity","EXTRAORD_ITEMS_ACCOUNTING_CHANGS","FQ2 2021","FQ2 2021","Currency=USD","Period=FQ","BEST_FPERIOD_OVERRIDE=FQ","FILING_STATUS=MR","SCALING_FORMAT=MLN","Sort=A","Dates=H","DateFormat=P","Fill=—","Direction=H","UseDPDF=Y")</f>
        <v>0</v>
      </c>
      <c r="N45" s="13">
        <f>_xll.BDH("GILD US Equity","EXTRAORD_ITEMS_ACCOUNTING_CHANGS","FQ3 2021","FQ3 2021","Currency=USD","Period=FQ","BEST_FPERIOD_OVERRIDE=FQ","FILING_STATUS=MR","SCALING_FORMAT=MLN","Sort=A","Dates=H","DateFormat=P","Fill=—","Direction=H","UseDPDF=Y")</f>
        <v>0</v>
      </c>
      <c r="O45" s="13">
        <f>_xll.BDH("GILD US Equity","EXTRAORD_ITEMS_ACCOUNTING_CHANGS","FQ4 2021","FQ4 2021","Currency=USD","Period=FQ","BEST_FPERIOD_OVERRIDE=FQ","FILING_STATUS=MR","SCALING_FORMAT=MLN","Sort=A","Dates=H","DateFormat=P","Fill=—","Direction=H","UseDPDF=Y")</f>
        <v>0</v>
      </c>
      <c r="P45" s="13">
        <f>_xll.BDH("GILD US Equity","EXTRAORD_ITEMS_ACCOUNTING_CHANGS","FQ1 2022","FQ1 2022","Currency=USD","Period=FQ","BEST_FPERIOD_OVERRIDE=FQ","FILING_STATUS=MR","SCALING_FORMAT=MLN","Sort=A","Dates=H","DateFormat=P","Fill=—","Direction=H","UseDPDF=Y")</f>
        <v>0</v>
      </c>
      <c r="Q45" s="13">
        <f>_xll.BDH("GILD US Equity","EXTRAORD_ITEMS_ACCOUNTING_CHANGS","FQ2 2022","FQ2 2022","Currency=USD","Period=FQ","BEST_FPERIOD_OVERRIDE=FQ","FILING_STATUS=MR","SCALING_FORMAT=MLN","Sort=A","Dates=H","DateFormat=P","Fill=—","Direction=H","UseDPDF=Y")</f>
        <v>0</v>
      </c>
      <c r="R45" s="13">
        <f>_xll.BDH("GILD US Equity","EXTRAORD_ITEMS_ACCOUNTING_CHANGS","FQ3 2022","FQ3 2022","Currency=USD","Period=FQ","BEST_FPERIOD_OVERRIDE=FQ","FILING_STATUS=MR","SCALING_FORMAT=MLN","Sort=A","Dates=H","DateFormat=P","Fill=—","Direction=H","UseDPDF=Y")</f>
        <v>0</v>
      </c>
      <c r="S45" s="13">
        <f>_xll.BDH("GILD US Equity","EXTRAORD_ITEMS_ACCOUNTING_CHANGS","FQ4 2022","FQ4 2022","Currency=USD","Period=FQ","BEST_FPERIOD_OVERRIDE=FQ","FILING_STATUS=MR","SCALING_FORMAT=MLN","Sort=A","Dates=H","DateFormat=P","Fill=—","Direction=H","UseDPDF=Y")</f>
        <v>0</v>
      </c>
      <c r="T45" s="13">
        <f>_xll.BDH("GILD US Equity","EXTRAORD_ITEMS_ACCOUNTING_CHANGS","FQ1 2023","FQ1 2023","Currency=USD","Period=FQ","BEST_FPERIOD_OVERRIDE=FQ","FILING_STATUS=MR","SCALING_FORMAT=MLN","Sort=A","Dates=H","DateFormat=P","Fill=—","Direction=H","UseDPDF=Y")</f>
        <v>0</v>
      </c>
      <c r="U45" s="13">
        <f>_xll.BDH("GILD US Equity","EXTRAORD_ITEMS_ACCOUNTING_CHANGS","FQ2 2023","FQ2 2023","Currency=USD","Period=FQ","BEST_FPERIOD_OVERRIDE=FQ","FILING_STATUS=MR","SCALING_FORMAT=MLN","Sort=A","Dates=H","DateFormat=P","Fill=—","Direction=H","UseDPDF=Y")</f>
        <v>0</v>
      </c>
      <c r="V45" s="13">
        <f>_xll.BDH("GILD US Equity","EXTRAORD_ITEMS_ACCOUNTING_CHANGS","FQ3 2023","FQ3 2023","Currency=USD","Period=FQ","BEST_FPERIOD_OVERRIDE=FQ","FILING_STATUS=MR","SCALING_FORMAT=MLN","Sort=A","Dates=H","DateFormat=P","Fill=—","Direction=H","UseDPDF=Y")</f>
        <v>0</v>
      </c>
      <c r="W45" s="13">
        <f>_xll.BDH("GILD US Equity","EXTRAORD_ITEMS_ACCOUNTING_CHANGS","FQ4 2023","FQ4 2023","Currency=USD","Period=FQ","BEST_FPERIOD_OVERRIDE=FQ","FILING_STATUS=MR","SCALING_FORMAT=MLN","Sort=A","Dates=H","DateFormat=P","Fill=—","Direction=H","UseDPDF=Y")</f>
        <v>0</v>
      </c>
      <c r="X45" s="13">
        <f>_xll.BDH("GILD US Equity","EXTRAORD_ITEMS_ACCOUNTING_CHANGS","FQ1 2024","FQ1 2024","Currency=USD","Period=FQ","BEST_FPERIOD_OVERRIDE=FQ","FILING_STATUS=MR","SCALING_FORMAT=MLN","Sort=A","Dates=H","DateFormat=P","Fill=—","Direction=H","UseDPDF=Y")</f>
        <v>0</v>
      </c>
      <c r="Y45" s="13">
        <f>_xll.BDH("GILD US Equity","EXTRAORD_ITEMS_ACCOUNTING_CHANGS","FQ2 2024","FQ2 2024","Currency=USD","Period=FQ","BEST_FPERIOD_OVERRIDE=FQ","FILING_STATUS=MR","SCALING_FORMAT=MLN","Sort=A","Dates=H","DateFormat=P","Fill=—","Direction=H","UseDPDF=Y")</f>
        <v>0</v>
      </c>
      <c r="Z45" s="13">
        <f>_xll.BDH("GILD US Equity","EXTRAORD_ITEMS_ACCOUNTING_CHANGS","FQ3 2024","FQ3 2024","Currency=USD","Period=FQ","BEST_FPERIOD_OVERRIDE=FQ","FILING_STATUS=MR","SCALING_FORMAT=MLN","Sort=A","Dates=H","DateFormat=P","Fill=—","Direction=H","UseDPDF=Y")</f>
        <v>0</v>
      </c>
      <c r="AA45" s="13">
        <f>_xll.BDH("GILD US Equity","EXTRAORD_ITEMS_ACCOUNTING_CHANGS","FQ4 2024","FQ4 2024","Currency=USD","Period=FQ","BEST_FPERIOD_OVERRIDE=FQ","FILING_STATUS=MR","SCALING_FORMAT=MLN","Sort=A","Dates=H","DateFormat=P","Fill=—","Direction=H","UseDPDF=Y")</f>
        <v>0</v>
      </c>
    </row>
    <row r="46" spans="1:27" x14ac:dyDescent="0.25">
      <c r="A46" s="6" t="s">
        <v>678</v>
      </c>
      <c r="B46" s="6" t="s">
        <v>679</v>
      </c>
      <c r="C46" s="19">
        <f>_xll.BDH("GILD US Equity","INC_BEF_XO_LESS_MIN_INT_PREF_DVD","FQ4 2018","FQ4 2018","Currency=USD","Period=FQ","BEST_FPERIOD_OVERRIDE=FQ","FILING_STATUS=MR","SCALING_FORMAT=MLN","FA_ADJUSTED=GAAP","Sort=A","Dates=H","DateFormat=P","Fill=—","Direction=H","UseDPDF=Y")</f>
        <v>3</v>
      </c>
      <c r="D46" s="19">
        <f>_xll.BDH("GILD US Equity","INC_BEF_XO_LESS_MIN_INT_PREF_DVD","FQ1 2019","FQ1 2019","Currency=USD","Period=FQ","BEST_FPERIOD_OVERRIDE=FQ","FILING_STATUS=MR","SCALING_FORMAT=MLN","FA_ADJUSTED=GAAP","Sort=A","Dates=H","DateFormat=P","Fill=—","Direction=H","UseDPDF=Y")</f>
        <v>1975</v>
      </c>
      <c r="E46" s="19">
        <f>_xll.BDH("GILD US Equity","INC_BEF_XO_LESS_MIN_INT_PREF_DVD","FQ2 2019","FQ2 2019","Currency=USD","Period=FQ","BEST_FPERIOD_OVERRIDE=FQ","FILING_STATUS=MR","SCALING_FORMAT=MLN","FA_ADJUSTED=GAAP","Sort=A","Dates=H","DateFormat=P","Fill=—","Direction=H","UseDPDF=Y")</f>
        <v>1880</v>
      </c>
      <c r="F46" s="19">
        <f>_xll.BDH("GILD US Equity","INC_BEF_XO_LESS_MIN_INT_PREF_DVD","FQ3 2019","FQ3 2019","Currency=USD","Period=FQ","BEST_FPERIOD_OVERRIDE=FQ","FILING_STATUS=MR","SCALING_FORMAT=MLN","FA_ADJUSTED=GAAP","Sort=A","Dates=H","DateFormat=P","Fill=—","Direction=H","UseDPDF=Y")</f>
        <v>-1165</v>
      </c>
      <c r="G46" s="19">
        <f>_xll.BDH("GILD US Equity","INC_BEF_XO_LESS_MIN_INT_PREF_DVD","FQ4 2019","FQ4 2019","Currency=USD","Period=FQ","BEST_FPERIOD_OVERRIDE=FQ","FILING_STATUS=MR","SCALING_FORMAT=MLN","FA_ADJUSTED=GAAP","Sort=A","Dates=H","DateFormat=P","Fill=—","Direction=H","UseDPDF=Y")</f>
        <v>2696</v>
      </c>
      <c r="H46" s="19">
        <f>_xll.BDH("GILD US Equity","INC_BEF_XO_LESS_MIN_INT_PREF_DVD","FQ1 2020","FQ1 2020","Currency=USD","Period=FQ","BEST_FPERIOD_OVERRIDE=FQ","FILING_STATUS=MR","SCALING_FORMAT=MLN","FA_ADJUSTED=GAAP","Sort=A","Dates=H","DateFormat=P","Fill=—","Direction=H","UseDPDF=Y")</f>
        <v>1551</v>
      </c>
      <c r="I46" s="19">
        <f>_xll.BDH("GILD US Equity","INC_BEF_XO_LESS_MIN_INT_PREF_DVD","FQ2 2020","FQ2 2020","Currency=USD","Period=FQ","BEST_FPERIOD_OVERRIDE=FQ","FILING_STATUS=MR","SCALING_FORMAT=MLN","FA_ADJUSTED=GAAP","Sort=A","Dates=H","DateFormat=P","Fill=—","Direction=H","UseDPDF=Y")</f>
        <v>-3339</v>
      </c>
      <c r="J46" s="19">
        <f>_xll.BDH("GILD US Equity","INC_BEF_XO_LESS_MIN_INT_PREF_DVD","FQ3 2020","FQ3 2020","Currency=USD","Period=FQ","BEST_FPERIOD_OVERRIDE=FQ","FILING_STATUS=MR","SCALING_FORMAT=MLN","FA_ADJUSTED=GAAP","Sort=A","Dates=H","DateFormat=P","Fill=—","Direction=H","UseDPDF=Y")</f>
        <v>360</v>
      </c>
      <c r="K46" s="19">
        <f>_xll.BDH("GILD US Equity","INC_BEF_XO_LESS_MIN_INT_PREF_DVD","FQ4 2020","FQ4 2020","Currency=USD","Period=FQ","BEST_FPERIOD_OVERRIDE=FQ","FILING_STATUS=MR","SCALING_FORMAT=MLN","FA_ADJUSTED=GAAP","Sort=A","Dates=H","DateFormat=P","Fill=—","Direction=H","UseDPDF=Y")</f>
        <v>1551</v>
      </c>
      <c r="L46" s="19">
        <f>_xll.BDH("GILD US Equity","INC_BEF_XO_LESS_MIN_INT_PREF_DVD","FQ1 2021","FQ1 2021","Currency=USD","Period=FQ","BEST_FPERIOD_OVERRIDE=FQ","FILING_STATUS=MR","SCALING_FORMAT=MLN","FA_ADJUSTED=GAAP","Sort=A","Dates=H","DateFormat=P","Fill=—","Direction=H","UseDPDF=Y")</f>
        <v>1729</v>
      </c>
      <c r="M46" s="19">
        <f>_xll.BDH("GILD US Equity","INC_BEF_XO_LESS_MIN_INT_PREF_DVD","FQ2 2021","FQ2 2021","Currency=USD","Period=FQ","BEST_FPERIOD_OVERRIDE=FQ","FILING_STATUS=MR","SCALING_FORMAT=MLN","FA_ADJUSTED=GAAP","Sort=A","Dates=H","DateFormat=P","Fill=—","Direction=H","UseDPDF=Y")</f>
        <v>1522</v>
      </c>
      <c r="N46" s="19">
        <f>_xll.BDH("GILD US Equity","INC_BEF_XO_LESS_MIN_INT_PREF_DVD","FQ3 2021","FQ3 2021","Currency=USD","Period=FQ","BEST_FPERIOD_OVERRIDE=FQ","FILING_STATUS=MR","SCALING_FORMAT=MLN","FA_ADJUSTED=GAAP","Sort=A","Dates=H","DateFormat=P","Fill=—","Direction=H","UseDPDF=Y")</f>
        <v>2592</v>
      </c>
      <c r="O46" s="19">
        <f>_xll.BDH("GILD US Equity","INC_BEF_XO_LESS_MIN_INT_PREF_DVD","FQ4 2021","FQ4 2021","Currency=USD","Period=FQ","BEST_FPERIOD_OVERRIDE=FQ","FILING_STATUS=MR","SCALING_FORMAT=MLN","FA_ADJUSTED=GAAP","Sort=A","Dates=H","DateFormat=P","Fill=—","Direction=H","UseDPDF=Y")</f>
        <v>382</v>
      </c>
      <c r="P46" s="19">
        <f>_xll.BDH("GILD US Equity","INC_BEF_XO_LESS_MIN_INT_PREF_DVD","FQ1 2022","FQ1 2022","Currency=USD","Period=FQ","BEST_FPERIOD_OVERRIDE=FQ","FILING_STATUS=MR","SCALING_FORMAT=MLN","FA_ADJUSTED=GAAP","Sort=A","Dates=H","DateFormat=P","Fill=—","Direction=H","UseDPDF=Y")</f>
        <v>19</v>
      </c>
      <c r="Q46" s="19">
        <f>_xll.BDH("GILD US Equity","INC_BEF_XO_LESS_MIN_INT_PREF_DVD","FQ2 2022","FQ2 2022","Currency=USD","Period=FQ","BEST_FPERIOD_OVERRIDE=FQ","FILING_STATUS=MR","SCALING_FORMAT=MLN","FA_ADJUSTED=GAAP","Sort=A","Dates=H","DateFormat=P","Fill=—","Direction=H","UseDPDF=Y")</f>
        <v>1144</v>
      </c>
      <c r="R46" s="19">
        <f>_xll.BDH("GILD US Equity","INC_BEF_XO_LESS_MIN_INT_PREF_DVD","FQ3 2022","FQ3 2022","Currency=USD","Period=FQ","BEST_FPERIOD_OVERRIDE=FQ","FILING_STATUS=MR","SCALING_FORMAT=MLN","FA_ADJUSTED=GAAP","Sort=A","Dates=H","DateFormat=P","Fill=—","Direction=H","UseDPDF=Y")</f>
        <v>1789</v>
      </c>
      <c r="S46" s="19">
        <f>_xll.BDH("GILD US Equity","INC_BEF_XO_LESS_MIN_INT_PREF_DVD","FQ4 2022","FQ4 2022","Currency=USD","Period=FQ","BEST_FPERIOD_OVERRIDE=FQ","FILING_STATUS=MR","SCALING_FORMAT=MLN","FA_ADJUSTED=GAAP","Sort=A","Dates=H","DateFormat=P","Fill=—","Direction=H","UseDPDF=Y")</f>
        <v>1640</v>
      </c>
      <c r="T46" s="19">
        <f>_xll.BDH("GILD US Equity","INC_BEF_XO_LESS_MIN_INT_PREF_DVD","FQ1 2023","FQ1 2023","Currency=USD","Period=FQ","BEST_FPERIOD_OVERRIDE=FQ","FILING_STATUS=MR","SCALING_FORMAT=MLN","FA_ADJUSTED=GAAP","Sort=A","Dates=H","DateFormat=P","Fill=—","Direction=H","UseDPDF=Y")</f>
        <v>1010</v>
      </c>
      <c r="U46" s="19">
        <f>_xll.BDH("GILD US Equity","INC_BEF_XO_LESS_MIN_INT_PREF_DVD","FQ2 2023","FQ2 2023","Currency=USD","Period=FQ","BEST_FPERIOD_OVERRIDE=FQ","FILING_STATUS=MR","SCALING_FORMAT=MLN","FA_ADJUSTED=GAAP","Sort=A","Dates=H","DateFormat=P","Fill=—","Direction=H","UseDPDF=Y")</f>
        <v>1045</v>
      </c>
      <c r="V46" s="19">
        <f>_xll.BDH("GILD US Equity","INC_BEF_XO_LESS_MIN_INT_PREF_DVD","FQ3 2023","FQ3 2023","Currency=USD","Period=FQ","BEST_FPERIOD_OVERRIDE=FQ","FILING_STATUS=MR","SCALING_FORMAT=MLN","FA_ADJUSTED=GAAP","Sort=A","Dates=H","DateFormat=P","Fill=—","Direction=H","UseDPDF=Y")</f>
        <v>2181</v>
      </c>
      <c r="W46" s="19">
        <f>_xll.BDH("GILD US Equity","INC_BEF_XO_LESS_MIN_INT_PREF_DVD","FQ4 2023","FQ4 2023","Currency=USD","Period=FQ","BEST_FPERIOD_OVERRIDE=FQ","FILING_STATUS=MR","SCALING_FORMAT=MLN","FA_ADJUSTED=GAAP","Sort=A","Dates=H","DateFormat=P","Fill=—","Direction=H","UseDPDF=Y")</f>
        <v>1429</v>
      </c>
      <c r="X46" s="19">
        <f>_xll.BDH("GILD US Equity","INC_BEF_XO_LESS_MIN_INT_PREF_DVD","FQ1 2024","FQ1 2024","Currency=USD","Period=FQ","BEST_FPERIOD_OVERRIDE=FQ","FILING_STATUS=MR","SCALING_FORMAT=MLN","FA_ADJUSTED=GAAP","Sort=A","Dates=H","DateFormat=P","Fill=—","Direction=H","UseDPDF=Y")</f>
        <v>-4170</v>
      </c>
      <c r="Y46" s="19">
        <f>_xll.BDH("GILD US Equity","INC_BEF_XO_LESS_MIN_INT_PREF_DVD","FQ2 2024","FQ2 2024","Currency=USD","Period=FQ","BEST_FPERIOD_OVERRIDE=FQ","FILING_STATUS=MR","SCALING_FORMAT=MLN","FA_ADJUSTED=GAAP","Sort=A","Dates=H","DateFormat=P","Fill=—","Direction=H","UseDPDF=Y")</f>
        <v>1614</v>
      </c>
      <c r="Z46" s="19">
        <f>_xll.BDH("GILD US Equity","INC_BEF_XO_LESS_MIN_INT_PREF_DVD","FQ3 2024","FQ3 2024","Currency=USD","Period=FQ","BEST_FPERIOD_OVERRIDE=FQ","FILING_STATUS=MR","SCALING_FORMAT=MLN","FA_ADJUSTED=GAAP","Sort=A","Dates=H","DateFormat=P","Fill=—","Direction=H","UseDPDF=Y")</f>
        <v>1253</v>
      </c>
      <c r="AA46" s="19">
        <f>_xll.BDH("GILD US Equity","INC_BEF_XO_LESS_MIN_INT_PREF_DVD","FQ4 2024","FQ4 2024","Currency=USD","Period=FQ","BEST_FPERIOD_OVERRIDE=FQ","FILING_STATUS=MR","SCALING_FORMAT=MLN","FA_ADJUSTED=GAAP","Sort=A","Dates=H","DateFormat=P","Fill=—","Direction=H","UseDPDF=Y")</f>
        <v>1783</v>
      </c>
    </row>
    <row r="47" spans="1:27" x14ac:dyDescent="0.25">
      <c r="A47" s="10" t="s">
        <v>660</v>
      </c>
      <c r="B47" s="10" t="s">
        <v>680</v>
      </c>
      <c r="C47" s="13" t="str">
        <f>_xll.BDH("GILD US Equity","IS_AIP_RD_AFTER_TAX","FQ4 2018","FQ4 2018","Currency=USD","Period=FQ","BEST_FPERIOD_OVERRIDE=FQ","FILING_STATUS=MR","SCALING_FORMAT=MLN","Sort=A","Dates=H","DateFormat=P","Fill=—","Direction=H","UseDPDF=Y")</f>
        <v>—</v>
      </c>
      <c r="D47" s="13" t="str">
        <f>_xll.BDH("GILD US Equity","IS_AIP_RD_AFTER_TAX","FQ1 2019","FQ1 2019","Currency=USD","Period=FQ","BEST_FPERIOD_OVERRIDE=FQ","FILING_STATUS=MR","SCALING_FORMAT=MLN","Sort=A","Dates=H","DateFormat=P","Fill=—","Direction=H","UseDPDF=Y")</f>
        <v>—</v>
      </c>
      <c r="E47" s="13" t="str">
        <f>_xll.BDH("GILD US Equity","IS_AIP_RD_AFTER_TAX","FQ2 2019","FQ2 2019","Currency=USD","Period=FQ","BEST_FPERIOD_OVERRIDE=FQ","FILING_STATUS=MR","SCALING_FORMAT=MLN","Sort=A","Dates=H","DateFormat=P","Fill=—","Direction=H","UseDPDF=Y")</f>
        <v>—</v>
      </c>
      <c r="F47" s="13">
        <f>_xll.BDH("GILD US Equity","IS_AIP_RD_AFTER_TAX","FQ3 2019","FQ3 2019","Currency=USD","Period=FQ","BEST_FPERIOD_OVERRIDE=FQ","FILING_STATUS=MR","SCALING_FORMAT=MLN","Sort=A","Dates=H","DateFormat=P","Fill=—","Direction=H","UseDPDF=Y")</f>
        <v>3068</v>
      </c>
      <c r="G47" s="13">
        <f>_xll.BDH("GILD US Equity","IS_AIP_RD_AFTER_TAX","FQ4 2019","FQ4 2019","Currency=USD","Period=FQ","BEST_FPERIOD_OVERRIDE=FQ","FILING_STATUS=MR","SCALING_FORMAT=MLN","Sort=A","Dates=H","DateFormat=P","Fill=—","Direction=H","UseDPDF=Y")</f>
        <v>623</v>
      </c>
      <c r="H47" s="13">
        <f>_xll.BDH("GILD US Equity","IS_AIP_RD_AFTER_TAX","FQ1 2020","FQ1 2020","Currency=USD","Period=FQ","BEST_FPERIOD_OVERRIDE=FQ","FILING_STATUS=MR","SCALING_FORMAT=MLN","Sort=A","Dates=H","DateFormat=P","Fill=—","Direction=H","UseDPDF=Y")</f>
        <v>75</v>
      </c>
      <c r="I47" s="13">
        <f>_xll.BDH("GILD US Equity","IS_AIP_RD_AFTER_TAX","FQ2 2020","FQ2 2020","Currency=USD","Period=FQ","BEST_FPERIOD_OVERRIDE=FQ","FILING_STATUS=MR","SCALING_FORMAT=MLN","Sort=A","Dates=H","DateFormat=P","Fill=—","Direction=H","UseDPDF=Y")</f>
        <v>4514</v>
      </c>
      <c r="J47" s="13">
        <f>_xll.BDH("GILD US Equity","IS_AIP_RD_AFTER_TAX","FQ3 2020","FQ3 2020","Currency=USD","Period=FQ","BEST_FPERIOD_OVERRIDE=FQ","FILING_STATUS=MR","SCALING_FORMAT=MLN","Sort=A","Dates=H","DateFormat=P","Fill=—","Direction=H","UseDPDF=Y")</f>
        <v>1033</v>
      </c>
      <c r="K47" s="13">
        <f>_xll.BDH("GILD US Equity","IS_AIP_RD_AFTER_TAX","FQ4 2020","FQ4 2020","Currency=USD","Period=FQ","BEST_FPERIOD_OVERRIDE=FQ","FILING_STATUS=MR","SCALING_FORMAT=MLN","Sort=A","Dates=H","DateFormat=P","Fill=—","Direction=H","UseDPDF=Y")</f>
        <v>50</v>
      </c>
      <c r="L47" s="13">
        <f>_xll.BDH("GILD US Equity","IS_AIP_RD_AFTER_TAX","FQ1 2021","FQ1 2021","Currency=USD","Period=FQ","BEST_FPERIOD_OVERRIDE=FQ","FILING_STATUS=MR","SCALING_FORMAT=MLN","Sort=A","Dates=H","DateFormat=P","Fill=—","Direction=H","UseDPDF=Y")</f>
        <v>50</v>
      </c>
      <c r="M47" s="13">
        <f>_xll.BDH("GILD US Equity","IS_AIP_RD_AFTER_TAX","FQ2 2021","FQ2 2021","Currency=USD","Period=FQ","BEST_FPERIOD_OVERRIDE=FQ","FILING_STATUS=MR","SCALING_FORMAT=MLN","Sort=A","Dates=H","DateFormat=P","Fill=—","Direction=H","UseDPDF=Y")</f>
        <v>75</v>
      </c>
      <c r="N47" s="13">
        <f>_xll.BDH("GILD US Equity","IS_AIP_RD_AFTER_TAX","FQ3 2021","FQ3 2021","Currency=USD","Period=FQ","BEST_FPERIOD_OVERRIDE=FQ","FILING_STATUS=MR","SCALING_FORMAT=MLN","Sort=A","Dates=H","DateFormat=P","Fill=—","Direction=H","UseDPDF=Y")</f>
        <v>15.01</v>
      </c>
      <c r="O47" s="13">
        <f>_xll.BDH("GILD US Equity","IS_AIP_RD_AFTER_TAX","FQ4 2021","FQ4 2021","Currency=USD","Period=FQ","BEST_FPERIOD_OVERRIDE=FQ","FILING_STATUS=MR","SCALING_FORMAT=MLN","Sort=A","Dates=H","DateFormat=P","Fill=—","Direction=H","UseDPDF=Y")</f>
        <v>528.51</v>
      </c>
      <c r="P47" s="13" t="str">
        <f>_xll.BDH("GILD US Equity","IS_AIP_RD_AFTER_TAX","FQ1 2022","FQ1 2022","Currency=USD","Period=FQ","BEST_FPERIOD_OVERRIDE=FQ","FILING_STATUS=MR","SCALING_FORMAT=MLN","Sort=A","Dates=H","DateFormat=P","Fill=—","Direction=H","UseDPDF=Y")</f>
        <v>—</v>
      </c>
      <c r="Q47" s="13">
        <f>_xll.BDH("GILD US Equity","IS_AIP_RD_AFTER_TAX","FQ2 2022","FQ2 2022","Currency=USD","Period=FQ","BEST_FPERIOD_OVERRIDE=FQ","FILING_STATUS=MR","SCALING_FORMAT=MLN","Sort=A","Dates=H","DateFormat=P","Fill=—","Direction=H","UseDPDF=Y")</f>
        <v>260.7</v>
      </c>
      <c r="R47" s="13">
        <f>_xll.BDH("GILD US Equity","IS_AIP_RD_AFTER_TAX","FQ3 2022","FQ3 2022","Currency=USD","Period=FQ","BEST_FPERIOD_OVERRIDE=FQ","FILING_STATUS=MR","SCALING_FORMAT=MLN","Sort=A","Dates=H","DateFormat=P","Fill=—","Direction=H","UseDPDF=Y")</f>
        <v>353.92</v>
      </c>
      <c r="S47" s="13">
        <f>_xll.BDH("GILD US Equity","IS_AIP_RD_AFTER_TAX","FQ4 2022","FQ4 2022","Currency=USD","Period=FQ","BEST_FPERIOD_OVERRIDE=FQ","FILING_STATUS=MR","SCALING_FORMAT=MLN","Sort=A","Dates=H","DateFormat=P","Fill=—","Direction=H","UseDPDF=Y")</f>
        <v>124.82</v>
      </c>
      <c r="T47" s="13">
        <f>_xll.BDH("GILD US Equity","IS_AIP_RD_AFTER_TAX","FQ1 2023","FQ1 2023","Currency=USD","Period=FQ","BEST_FPERIOD_OVERRIDE=FQ","FILING_STATUS=MR","SCALING_FORMAT=MLN","Sort=A","Dates=H","DateFormat=P","Fill=—","Direction=H","UseDPDF=Y")</f>
        <v>379.99</v>
      </c>
      <c r="U47" s="13">
        <f>_xll.BDH("GILD US Equity","IS_AIP_RD_AFTER_TAX","FQ2 2023","FQ2 2023","Currency=USD","Period=FQ","BEST_FPERIOD_OVERRIDE=FQ","FILING_STATUS=MR","SCALING_FORMAT=MLN","Sort=A","Dates=H","DateFormat=P","Fill=—","Direction=H","UseDPDF=Y")</f>
        <v>228.8066</v>
      </c>
      <c r="V47" s="13">
        <f>_xll.BDH("GILD US Equity","IS_AIP_RD_AFTER_TAX","FQ3 2023","FQ3 2023","Currency=USD","Period=FQ","BEST_FPERIOD_OVERRIDE=FQ","FILING_STATUS=MR","SCALING_FORMAT=MLN","Sort=A","Dates=H","DateFormat=P","Fill=—","Direction=H","UseDPDF=Y")</f>
        <v>71.89</v>
      </c>
      <c r="W47" s="13">
        <f>_xll.BDH("GILD US Equity","IS_AIP_RD_AFTER_TAX","FQ4 2023","FQ4 2023","Currency=USD","Period=FQ","BEST_FPERIOD_OVERRIDE=FQ","FILING_STATUS=MR","SCALING_FORMAT=MLN","Sort=A","Dates=H","DateFormat=P","Fill=—","Direction=H","UseDPDF=Y")</f>
        <v>274.13</v>
      </c>
      <c r="X47" s="13">
        <f>_xll.BDH("GILD US Equity","IS_AIP_RD_AFTER_TAX","FQ1 2024","FQ1 2024","Currency=USD","Period=FQ","BEST_FPERIOD_OVERRIDE=FQ","FILING_STATUS=MR","SCALING_FORMAT=MLN","Sort=A","Dates=H","DateFormat=P","Fill=—","Direction=H","UseDPDF=Y")</f>
        <v>3263.49</v>
      </c>
      <c r="Y47" s="13">
        <f>_xll.BDH("GILD US Equity","IS_AIP_RD_AFTER_TAX","FQ2 2024","FQ2 2024","Currency=USD","Period=FQ","BEST_FPERIOD_OVERRIDE=FQ","FILING_STATUS=MR","SCALING_FORMAT=MLN","Sort=A","Dates=H","DateFormat=P","Fill=—","Direction=H","UseDPDF=Y")</f>
        <v>30.02</v>
      </c>
      <c r="Z47" s="13">
        <f>_xll.BDH("GILD US Equity","IS_AIP_RD_AFTER_TAX","FQ3 2024","FQ3 2024","Currency=USD","Period=FQ","BEST_FPERIOD_OVERRIDE=FQ","FILING_STATUS=MR","SCALING_FORMAT=MLN","Sort=A","Dates=H","DateFormat=P","Fill=—","Direction=H","UseDPDF=Y")</f>
        <v>398.95</v>
      </c>
      <c r="AA47" s="13">
        <f>_xll.BDH("GILD US Equity","IS_AIP_RD_AFTER_TAX","FQ4 2024","FQ4 2024","Currency=USD","Period=FQ","BEST_FPERIOD_OVERRIDE=FQ","FILING_STATUS=MR","SCALING_FORMAT=MLN","Sort=A","Dates=H","DateFormat=P","Fill=—","Direction=H","UseDPDF=Y")</f>
        <v>-8.69</v>
      </c>
    </row>
    <row r="48" spans="1:27" x14ac:dyDescent="0.25">
      <c r="A48" s="10" t="s">
        <v>662</v>
      </c>
      <c r="B48" s="10" t="s">
        <v>681</v>
      </c>
      <c r="C48" s="13">
        <f>_xll.BDH("GILD US Equity","IS_MA_EXPENSE_AFTER_TAX","FQ4 2018","FQ4 2018","Currency=USD","Period=FQ","BEST_FPERIOD_OVERRIDE=FQ","FILING_STATUS=MR","SCALING_FORMAT=MLN","Sort=A","Dates=H","DateFormat=P","Fill=—","Direction=H","UseDPDF=Y")</f>
        <v>696</v>
      </c>
      <c r="D48" s="13" t="str">
        <f>_xll.BDH("GILD US Equity","IS_MA_EXPENSE_AFTER_TAX","FQ1 2019","FQ1 2019","Currency=USD","Period=FQ","BEST_FPERIOD_OVERRIDE=FQ","FILING_STATUS=MR","SCALING_FORMAT=MLN","Sort=A","Dates=H","DateFormat=P","Fill=—","Direction=H","UseDPDF=Y")</f>
        <v>—</v>
      </c>
      <c r="E48" s="13" t="str">
        <f>_xll.BDH("GILD US Equity","IS_MA_EXPENSE_AFTER_TAX","FQ2 2019","FQ2 2019","Currency=USD","Period=FQ","BEST_FPERIOD_OVERRIDE=FQ","FILING_STATUS=MR","SCALING_FORMAT=MLN","Sort=A","Dates=H","DateFormat=P","Fill=—","Direction=H","UseDPDF=Y")</f>
        <v>—</v>
      </c>
      <c r="F48" s="13" t="str">
        <f>_xll.BDH("GILD US Equity","IS_MA_EXPENSE_AFTER_TAX","FQ3 2019","FQ3 2019","Currency=USD","Period=FQ","BEST_FPERIOD_OVERRIDE=FQ","FILING_STATUS=MR","SCALING_FORMAT=MLN","Sort=A","Dates=H","DateFormat=P","Fill=—","Direction=H","UseDPDF=Y")</f>
        <v>—</v>
      </c>
      <c r="G48" s="13" t="str">
        <f>_xll.BDH("GILD US Equity","IS_MA_EXPENSE_AFTER_TAX","FQ4 2019","FQ4 2019","Currency=USD","Period=FQ","BEST_FPERIOD_OVERRIDE=FQ","FILING_STATUS=MR","SCALING_FORMAT=MLN","Sort=A","Dates=H","DateFormat=P","Fill=—","Direction=H","UseDPDF=Y")</f>
        <v>—</v>
      </c>
      <c r="H48" s="13">
        <f>_xll.BDH("GILD US Equity","IS_MA_EXPENSE_AFTER_TAX","FQ1 2020","FQ1 2020","Currency=USD","Period=FQ","BEST_FPERIOD_OVERRIDE=FQ","FILING_STATUS=MR","SCALING_FORMAT=MLN","Sort=A","Dates=H","DateFormat=P","Fill=—","Direction=H","UseDPDF=Y")</f>
        <v>224</v>
      </c>
      <c r="I48" s="13">
        <f>_xll.BDH("GILD US Equity","IS_MA_EXPENSE_AFTER_TAX","FQ2 2020","FQ2 2020","Currency=USD","Period=FQ","BEST_FPERIOD_OVERRIDE=FQ","FILING_STATUS=MR","SCALING_FORMAT=MLN","Sort=A","Dates=H","DateFormat=P","Fill=—","Direction=H","UseDPDF=Y")</f>
        <v>148</v>
      </c>
      <c r="J48" s="13">
        <f>_xll.BDH("GILD US Equity","IS_MA_EXPENSE_AFTER_TAX","FQ3 2020","FQ3 2020","Currency=USD","Period=FQ","BEST_FPERIOD_OVERRIDE=FQ","FILING_STATUS=MR","SCALING_FORMAT=MLN","Sort=A","Dates=H","DateFormat=P","Fill=—","Direction=H","UseDPDF=Y")</f>
        <v>11</v>
      </c>
      <c r="K48" s="13">
        <f>_xll.BDH("GILD US Equity","IS_MA_EXPENSE_AFTER_TAX","FQ4 2020","FQ4 2020","Currency=USD","Period=FQ","BEST_FPERIOD_OVERRIDE=FQ","FILING_STATUS=MR","SCALING_FORMAT=MLN","Sort=A","Dates=H","DateFormat=P","Fill=—","Direction=H","UseDPDF=Y")</f>
        <v>286</v>
      </c>
      <c r="L48" s="13">
        <f>_xll.BDH("GILD US Equity","IS_MA_EXPENSE_AFTER_TAX","FQ1 2021","FQ1 2021","Currency=USD","Period=FQ","BEST_FPERIOD_OVERRIDE=FQ","FILING_STATUS=MR","SCALING_FORMAT=MLN","Sort=A","Dates=H","DateFormat=P","Fill=—","Direction=H","UseDPDF=Y")</f>
        <v>431</v>
      </c>
      <c r="M48" s="13">
        <f>_xll.BDH("GILD US Equity","IS_MA_EXPENSE_AFTER_TAX","FQ2 2021","FQ2 2021","Currency=USD","Period=FQ","BEST_FPERIOD_OVERRIDE=FQ","FILING_STATUS=MR","SCALING_FORMAT=MLN","Sort=A","Dates=H","DateFormat=P","Fill=—","Direction=H","UseDPDF=Y")</f>
        <v>15</v>
      </c>
      <c r="N48" s="13">
        <f>_xll.BDH("GILD US Equity","IS_MA_EXPENSE_AFTER_TAX","FQ3 2021","FQ3 2021","Currency=USD","Period=FQ","BEST_FPERIOD_OVERRIDE=FQ","FILING_STATUS=MR","SCALING_FORMAT=MLN","Sort=A","Dates=H","DateFormat=P","Fill=—","Direction=H","UseDPDF=Y")</f>
        <v>-14</v>
      </c>
      <c r="O48" s="13">
        <f>_xll.BDH("GILD US Equity","IS_MA_EXPENSE_AFTER_TAX","FQ4 2021","FQ4 2021","Currency=USD","Period=FQ","BEST_FPERIOD_OVERRIDE=FQ","FILING_STATUS=MR","SCALING_FORMAT=MLN","Sort=A","Dates=H","DateFormat=P","Fill=—","Direction=H","UseDPDF=Y")</f>
        <v>2.37</v>
      </c>
      <c r="P48" s="13">
        <f>_xll.BDH("GILD US Equity","IS_MA_EXPENSE_AFTER_TAX","FQ1 2022","FQ1 2022","Currency=USD","Period=FQ","BEST_FPERIOD_OVERRIDE=FQ","FILING_STATUS=MR","SCALING_FORMAT=MLN","Sort=A","Dates=H","DateFormat=P","Fill=—","Direction=H","UseDPDF=Y")</f>
        <v>10</v>
      </c>
      <c r="Q48" s="13" t="str">
        <f>_xll.BDH("GILD US Equity","IS_MA_EXPENSE_AFTER_TAX","FQ2 2022","FQ2 2022","Currency=USD","Period=FQ","BEST_FPERIOD_OVERRIDE=FQ","FILING_STATUS=MR","SCALING_FORMAT=MLN","Sort=A","Dates=H","DateFormat=P","Fill=—","Direction=H","UseDPDF=Y")</f>
        <v>—</v>
      </c>
      <c r="R48" s="13">
        <f>_xll.BDH("GILD US Equity","IS_MA_EXPENSE_AFTER_TAX","FQ3 2022","FQ3 2022","Currency=USD","Period=FQ","BEST_FPERIOD_OVERRIDE=FQ","FILING_STATUS=MR","SCALING_FORMAT=MLN","Sort=A","Dates=H","DateFormat=P","Fill=—","Direction=H","UseDPDF=Y")</f>
        <v>356</v>
      </c>
      <c r="S48" s="13">
        <f>_xll.BDH("GILD US Equity","IS_MA_EXPENSE_AFTER_TAX","FQ4 2022","FQ4 2022","Currency=USD","Period=FQ","BEST_FPERIOD_OVERRIDE=FQ","FILING_STATUS=MR","SCALING_FORMAT=MLN","Sort=A","Dates=H","DateFormat=P","Fill=—","Direction=H","UseDPDF=Y")</f>
        <v>1</v>
      </c>
      <c r="T48" s="13">
        <f>_xll.BDH("GILD US Equity","IS_MA_EXPENSE_AFTER_TAX","FQ1 2023","FQ1 2023","Currency=USD","Period=FQ","BEST_FPERIOD_OVERRIDE=FQ","FILING_STATUS=MR","SCALING_FORMAT=MLN","Sort=A","Dates=H","DateFormat=P","Fill=—","Direction=H","UseDPDF=Y")</f>
        <v>6</v>
      </c>
      <c r="U48" s="13">
        <f>_xll.BDH("GILD US Equity","IS_MA_EXPENSE_AFTER_TAX","FQ2 2023","FQ2 2023","Currency=USD","Period=FQ","BEST_FPERIOD_OVERRIDE=FQ","FILING_STATUS=MR","SCALING_FORMAT=MLN","Sort=A","Dates=H","DateFormat=P","Fill=—","Direction=H","UseDPDF=Y")</f>
        <v>26</v>
      </c>
      <c r="V48" s="13">
        <f>_xll.BDH("GILD US Equity","IS_MA_EXPENSE_AFTER_TAX","FQ3 2023","FQ3 2023","Currency=USD","Period=FQ","BEST_FPERIOD_OVERRIDE=FQ","FILING_STATUS=MR","SCALING_FORMAT=MLN","Sort=A","Dates=H","DateFormat=P","Fill=—","Direction=H","UseDPDF=Y")</f>
        <v>-1</v>
      </c>
      <c r="W48" s="13">
        <f>_xll.BDH("GILD US Equity","IS_MA_EXPENSE_AFTER_TAX","FQ4 2023","FQ4 2023","Currency=USD","Period=FQ","BEST_FPERIOD_OVERRIDE=FQ","FILING_STATUS=MR","SCALING_FORMAT=MLN","Sort=A","Dates=H","DateFormat=P","Fill=—","Direction=H","UseDPDF=Y")</f>
        <v>-59</v>
      </c>
      <c r="X48" s="13">
        <f>_xll.BDH("GILD US Equity","IS_MA_EXPENSE_AFTER_TAX","FQ1 2024","FQ1 2024","Currency=USD","Period=FQ","BEST_FPERIOD_OVERRIDE=FQ","FILING_STATUS=MR","SCALING_FORMAT=MLN","Sort=A","Dates=H","DateFormat=P","Fill=—","Direction=H","UseDPDF=Y")</f>
        <v>103</v>
      </c>
      <c r="Y48" s="13">
        <f>_xll.BDH("GILD US Equity","IS_MA_EXPENSE_AFTER_TAX","FQ2 2024","FQ2 2024","Currency=USD","Period=FQ","BEST_FPERIOD_OVERRIDE=FQ","FILING_STATUS=MR","SCALING_FORMAT=MLN","Sort=A","Dates=H","DateFormat=P","Fill=—","Direction=H","UseDPDF=Y")</f>
        <v>14</v>
      </c>
      <c r="Z48" s="13">
        <f>_xll.BDH("GILD US Equity","IS_MA_EXPENSE_AFTER_TAX","FQ3 2024","FQ3 2024","Currency=USD","Period=FQ","BEST_FPERIOD_OVERRIDE=FQ","FILING_STATUS=MR","SCALING_FORMAT=MLN","Sort=A","Dates=H","DateFormat=P","Fill=—","Direction=H","UseDPDF=Y")</f>
        <v>11</v>
      </c>
      <c r="AA48" s="13">
        <f>_xll.BDH("GILD US Equity","IS_MA_EXPENSE_AFTER_TAX","FQ4 2024","FQ4 2024","Currency=USD","Period=FQ","BEST_FPERIOD_OVERRIDE=FQ","FILING_STATUS=MR","SCALING_FORMAT=MLN","Sort=A","Dates=H","DateFormat=P","Fill=—","Direction=H","UseDPDF=Y")</f>
        <v>6</v>
      </c>
    </row>
    <row r="49" spans="1:27" x14ac:dyDescent="0.25">
      <c r="A49" s="10" t="s">
        <v>664</v>
      </c>
      <c r="B49" s="10" t="s">
        <v>682</v>
      </c>
      <c r="C49" s="13" t="str">
        <f>_xll.BDH("GILD US Equity","IS_IIA_AFTER_TAX","FQ4 2018","FQ4 2018","Currency=USD","Period=FQ","BEST_FPERIOD_OVERRIDE=FQ","FILING_STATUS=MR","SCALING_FORMAT=MLN","Sort=A","Dates=H","DateFormat=P","Fill=—","Direction=H","UseDPDF=Y")</f>
        <v>—</v>
      </c>
      <c r="D49" s="13" t="str">
        <f>_xll.BDH("GILD US Equity","IS_IIA_AFTER_TAX","FQ1 2019","FQ1 2019","Currency=USD","Period=FQ","BEST_FPERIOD_OVERRIDE=FQ","FILING_STATUS=MR","SCALING_FORMAT=MLN","Sort=A","Dates=H","DateFormat=P","Fill=—","Direction=H","UseDPDF=Y")</f>
        <v>—</v>
      </c>
      <c r="E49" s="13" t="str">
        <f>_xll.BDH("GILD US Equity","IS_IIA_AFTER_TAX","FQ2 2019","FQ2 2019","Currency=USD","Period=FQ","BEST_FPERIOD_OVERRIDE=FQ","FILING_STATUS=MR","SCALING_FORMAT=MLN","Sort=A","Dates=H","DateFormat=P","Fill=—","Direction=H","UseDPDF=Y")</f>
        <v>—</v>
      </c>
      <c r="F49" s="13" t="str">
        <f>_xll.BDH("GILD US Equity","IS_IIA_AFTER_TAX","FQ3 2019","FQ3 2019","Currency=USD","Period=FQ","BEST_FPERIOD_OVERRIDE=FQ","FILING_STATUS=MR","SCALING_FORMAT=MLN","Sort=A","Dates=H","DateFormat=P","Fill=—","Direction=H","UseDPDF=Y")</f>
        <v>—</v>
      </c>
      <c r="G49" s="13" t="str">
        <f>_xll.BDH("GILD US Equity","IS_IIA_AFTER_TAX","FQ4 2019","FQ4 2019","Currency=USD","Period=FQ","BEST_FPERIOD_OVERRIDE=FQ","FILING_STATUS=MR","SCALING_FORMAT=MLN","Sort=A","Dates=H","DateFormat=P","Fill=—","Direction=H","UseDPDF=Y")</f>
        <v>—</v>
      </c>
      <c r="H49" s="13" t="str">
        <f>_xll.BDH("GILD US Equity","IS_IIA_AFTER_TAX","FQ1 2020","FQ1 2020","Currency=USD","Period=FQ","BEST_FPERIOD_OVERRIDE=FQ","FILING_STATUS=MR","SCALING_FORMAT=MLN","Sort=A","Dates=H","DateFormat=P","Fill=—","Direction=H","UseDPDF=Y")</f>
        <v>—</v>
      </c>
      <c r="I49" s="13" t="str">
        <f>_xll.BDH("GILD US Equity","IS_IIA_AFTER_TAX","FQ2 2020","FQ2 2020","Currency=USD","Period=FQ","BEST_FPERIOD_OVERRIDE=FQ","FILING_STATUS=MR","SCALING_FORMAT=MLN","Sort=A","Dates=H","DateFormat=P","Fill=—","Direction=H","UseDPDF=Y")</f>
        <v>—</v>
      </c>
      <c r="J49" s="13" t="str">
        <f>_xll.BDH("GILD US Equity","IS_IIA_AFTER_TAX","FQ3 2020","FQ3 2020","Currency=USD","Period=FQ","BEST_FPERIOD_OVERRIDE=FQ","FILING_STATUS=MR","SCALING_FORMAT=MLN","Sort=A","Dates=H","DateFormat=P","Fill=—","Direction=H","UseDPDF=Y")</f>
        <v>—</v>
      </c>
      <c r="K49" s="13" t="str">
        <f>_xll.BDH("GILD US Equity","IS_IIA_AFTER_TAX","FQ4 2020","FQ4 2020","Currency=USD","Period=FQ","BEST_FPERIOD_OVERRIDE=FQ","FILING_STATUS=MR","SCALING_FORMAT=MLN","Sort=A","Dates=H","DateFormat=P","Fill=—","Direction=H","UseDPDF=Y")</f>
        <v>—</v>
      </c>
      <c r="L49" s="13" t="str">
        <f>_xll.BDH("GILD US Equity","IS_IIA_AFTER_TAX","FQ1 2021","FQ1 2021","Currency=USD","Period=FQ","BEST_FPERIOD_OVERRIDE=FQ","FILING_STATUS=MR","SCALING_FORMAT=MLN","Sort=A","Dates=H","DateFormat=P","Fill=—","Direction=H","UseDPDF=Y")</f>
        <v>—</v>
      </c>
      <c r="M49" s="13" t="str">
        <f>_xll.BDH("GILD US Equity","IS_IIA_AFTER_TAX","FQ2 2021","FQ2 2021","Currency=USD","Period=FQ","BEST_FPERIOD_OVERRIDE=FQ","FILING_STATUS=MR","SCALING_FORMAT=MLN","Sort=A","Dates=H","DateFormat=P","Fill=—","Direction=H","UseDPDF=Y")</f>
        <v>—</v>
      </c>
      <c r="N49" s="13" t="str">
        <f>_xll.BDH("GILD US Equity","IS_IIA_AFTER_TAX","FQ3 2021","FQ3 2021","Currency=USD","Period=FQ","BEST_FPERIOD_OVERRIDE=FQ","FILING_STATUS=MR","SCALING_FORMAT=MLN","Sort=A","Dates=H","DateFormat=P","Fill=—","Direction=H","UseDPDF=Y")</f>
        <v>—</v>
      </c>
      <c r="O49" s="13" t="str">
        <f>_xll.BDH("GILD US Equity","IS_IIA_AFTER_TAX","FQ4 2021","FQ4 2021","Currency=USD","Period=FQ","BEST_FPERIOD_OVERRIDE=FQ","FILING_STATUS=MR","SCALING_FORMAT=MLN","Sort=A","Dates=H","DateFormat=P","Fill=—","Direction=H","UseDPDF=Y")</f>
        <v>—</v>
      </c>
      <c r="P49" s="13">
        <f>_xll.BDH("GILD US Equity","IS_IIA_AFTER_TAX","FQ1 2022","FQ1 2022","Currency=USD","Period=FQ","BEST_FPERIOD_OVERRIDE=FQ","FILING_STATUS=MR","SCALING_FORMAT=MLN","Sort=A","Dates=H","DateFormat=P","Fill=—","Direction=H","UseDPDF=Y")</f>
        <v>2057</v>
      </c>
      <c r="Q49" s="13" t="str">
        <f>_xll.BDH("GILD US Equity","IS_IIA_AFTER_TAX","FQ2 2022","FQ2 2022","Currency=USD","Period=FQ","BEST_FPERIOD_OVERRIDE=FQ","FILING_STATUS=MR","SCALING_FORMAT=MLN","Sort=A","Dates=H","DateFormat=P","Fill=—","Direction=H","UseDPDF=Y")</f>
        <v>—</v>
      </c>
      <c r="R49" s="13" t="str">
        <f>_xll.BDH("GILD US Equity","IS_IIA_AFTER_TAX","FQ3 2022","FQ3 2022","Currency=USD","Period=FQ","BEST_FPERIOD_OVERRIDE=FQ","FILING_STATUS=MR","SCALING_FORMAT=MLN","Sort=A","Dates=H","DateFormat=P","Fill=—","Direction=H","UseDPDF=Y")</f>
        <v>—</v>
      </c>
      <c r="S49" s="13" t="str">
        <f>_xll.BDH("GILD US Equity","IS_IIA_AFTER_TAX","FQ4 2022","FQ4 2022","Currency=USD","Period=FQ","BEST_FPERIOD_OVERRIDE=FQ","FILING_STATUS=MR","SCALING_FORMAT=MLN","Sort=A","Dates=H","DateFormat=P","Fill=—","Direction=H","UseDPDF=Y")</f>
        <v>—</v>
      </c>
      <c r="T49" s="13" t="str">
        <f>_xll.BDH("GILD US Equity","IS_IIA_AFTER_TAX","FQ1 2023","FQ1 2023","Currency=USD","Period=FQ","BEST_FPERIOD_OVERRIDE=FQ","FILING_STATUS=MR","SCALING_FORMAT=MLN","Sort=A","Dates=H","DateFormat=P","Fill=—","Direction=H","UseDPDF=Y")</f>
        <v>—</v>
      </c>
      <c r="U49" s="13" t="str">
        <f>_xll.BDH("GILD US Equity","IS_IIA_AFTER_TAX","FQ2 2023","FQ2 2023","Currency=USD","Period=FQ","BEST_FPERIOD_OVERRIDE=FQ","FILING_STATUS=MR","SCALING_FORMAT=MLN","Sort=A","Dates=H","DateFormat=P","Fill=—","Direction=H","UseDPDF=Y")</f>
        <v>—</v>
      </c>
      <c r="V49" s="13" t="str">
        <f>_xll.BDH("GILD US Equity","IS_IIA_AFTER_TAX","FQ3 2023","FQ3 2023","Currency=USD","Period=FQ","BEST_FPERIOD_OVERRIDE=FQ","FILING_STATUS=MR","SCALING_FORMAT=MLN","Sort=A","Dates=H","DateFormat=P","Fill=—","Direction=H","UseDPDF=Y")</f>
        <v>—</v>
      </c>
      <c r="W49" s="13">
        <f>_xll.BDH("GILD US Equity","IS_IIA_AFTER_TAX","FQ4 2023","FQ4 2023","Currency=USD","Period=FQ","BEST_FPERIOD_OVERRIDE=FQ","FILING_STATUS=MR","SCALING_FORMAT=MLN","Sort=A","Dates=H","DateFormat=P","Fill=—","Direction=H","UseDPDF=Y")</f>
        <v>35</v>
      </c>
      <c r="X49" s="13">
        <f>_xll.BDH("GILD US Equity","IS_IIA_AFTER_TAX","FQ1 2024","FQ1 2024","Currency=USD","Period=FQ","BEST_FPERIOD_OVERRIDE=FQ","FILING_STATUS=MR","SCALING_FORMAT=MLN","Sort=A","Dates=H","DateFormat=P","Fill=—","Direction=H","UseDPDF=Y")</f>
        <v>1819</v>
      </c>
      <c r="Y49" s="13" t="str">
        <f>_xll.BDH("GILD US Equity","IS_IIA_AFTER_TAX","FQ2 2024","FQ2 2024","Currency=USD","Period=FQ","BEST_FPERIOD_OVERRIDE=FQ","FILING_STATUS=MR","SCALING_FORMAT=MLN","Sort=A","Dates=H","DateFormat=P","Fill=—","Direction=H","UseDPDF=Y")</f>
        <v>—</v>
      </c>
      <c r="Z49" s="13">
        <f>_xll.BDH("GILD US Equity","IS_IIA_AFTER_TAX","FQ3 2024","FQ3 2024","Currency=USD","Period=FQ","BEST_FPERIOD_OVERRIDE=FQ","FILING_STATUS=MR","SCALING_FORMAT=MLN","Sort=A","Dates=H","DateFormat=P","Fill=—","Direction=H","UseDPDF=Y")</f>
        <v>1310</v>
      </c>
      <c r="AA49" s="13" t="str">
        <f>_xll.BDH("GILD US Equity","IS_IIA_AFTER_TAX","FQ4 2024","FQ4 2024","Currency=USD","Period=FQ","BEST_FPERIOD_OVERRIDE=FQ","FILING_STATUS=MR","SCALING_FORMAT=MLN","Sort=A","Dates=H","DateFormat=P","Fill=—","Direction=H","UseDPDF=Y")</f>
        <v>—</v>
      </c>
    </row>
    <row r="50" spans="1:27" x14ac:dyDescent="0.25">
      <c r="A50" s="10" t="s">
        <v>666</v>
      </c>
      <c r="B50" s="10" t="s">
        <v>683</v>
      </c>
      <c r="C50" s="13" t="str">
        <f>_xll.BDH("GILD US Equity","IS_RESTRUCTURING_CHRG_AFTER_TAX","FQ4 2018","FQ4 2018","Currency=USD","Period=FQ","BEST_FPERIOD_OVERRIDE=FQ","FILING_STATUS=MR","SCALING_FORMAT=MLN","Sort=A","Dates=H","DateFormat=P","Fill=—","Direction=H","UseDPDF=Y")</f>
        <v>—</v>
      </c>
      <c r="D50" s="13" t="str">
        <f>_xll.BDH("GILD US Equity","IS_RESTRUCTURING_CHRG_AFTER_TAX","FQ1 2019","FQ1 2019","Currency=USD","Period=FQ","BEST_FPERIOD_OVERRIDE=FQ","FILING_STATUS=MR","SCALING_FORMAT=MLN","Sort=A","Dates=H","DateFormat=P","Fill=—","Direction=H","UseDPDF=Y")</f>
        <v>—</v>
      </c>
      <c r="E50" s="13" t="str">
        <f>_xll.BDH("GILD US Equity","IS_RESTRUCTURING_CHRG_AFTER_TAX","FQ2 2019","FQ2 2019","Currency=USD","Period=FQ","BEST_FPERIOD_OVERRIDE=FQ","FILING_STATUS=MR","SCALING_FORMAT=MLN","Sort=A","Dates=H","DateFormat=P","Fill=—","Direction=H","UseDPDF=Y")</f>
        <v>—</v>
      </c>
      <c r="F50" s="13" t="str">
        <f>_xll.BDH("GILD US Equity","IS_RESTRUCTURING_CHRG_AFTER_TAX","FQ3 2019","FQ3 2019","Currency=USD","Period=FQ","BEST_FPERIOD_OVERRIDE=FQ","FILING_STATUS=MR","SCALING_FORMAT=MLN","Sort=A","Dates=H","DateFormat=P","Fill=—","Direction=H","UseDPDF=Y")</f>
        <v>—</v>
      </c>
      <c r="G50" s="13" t="str">
        <f>_xll.BDH("GILD US Equity","IS_RESTRUCTURING_CHRG_AFTER_TAX","FQ4 2019","FQ4 2019","Currency=USD","Period=FQ","BEST_FPERIOD_OVERRIDE=FQ","FILING_STATUS=MR","SCALING_FORMAT=MLN","Sort=A","Dates=H","DateFormat=P","Fill=—","Direction=H","UseDPDF=Y")</f>
        <v>—</v>
      </c>
      <c r="H50" s="13" t="str">
        <f>_xll.BDH("GILD US Equity","IS_RESTRUCTURING_CHRG_AFTER_TAX","FQ1 2020","FQ1 2020","Currency=USD","Period=FQ","BEST_FPERIOD_OVERRIDE=FQ","FILING_STATUS=MR","SCALING_FORMAT=MLN","Sort=A","Dates=H","DateFormat=P","Fill=—","Direction=H","UseDPDF=Y")</f>
        <v>—</v>
      </c>
      <c r="I50" s="13" t="str">
        <f>_xll.BDH("GILD US Equity","IS_RESTRUCTURING_CHRG_AFTER_TAX","FQ2 2020","FQ2 2020","Currency=USD","Period=FQ","BEST_FPERIOD_OVERRIDE=FQ","FILING_STATUS=MR","SCALING_FORMAT=MLN","Sort=A","Dates=H","DateFormat=P","Fill=—","Direction=H","UseDPDF=Y")</f>
        <v>—</v>
      </c>
      <c r="J50" s="13" t="str">
        <f>_xll.BDH("GILD US Equity","IS_RESTRUCTURING_CHRG_AFTER_TAX","FQ3 2020","FQ3 2020","Currency=USD","Period=FQ","BEST_FPERIOD_OVERRIDE=FQ","FILING_STATUS=MR","SCALING_FORMAT=MLN","Sort=A","Dates=H","DateFormat=P","Fill=—","Direction=H","UseDPDF=Y")</f>
        <v>—</v>
      </c>
      <c r="K50" s="13" t="str">
        <f>_xll.BDH("GILD US Equity","IS_RESTRUCTURING_CHRG_AFTER_TAX","FQ4 2020","FQ4 2020","Currency=USD","Period=FQ","BEST_FPERIOD_OVERRIDE=FQ","FILING_STATUS=MR","SCALING_FORMAT=MLN","Sort=A","Dates=H","DateFormat=P","Fill=—","Direction=H","UseDPDF=Y")</f>
        <v>—</v>
      </c>
      <c r="L50" s="13" t="str">
        <f>_xll.BDH("GILD US Equity","IS_RESTRUCTURING_CHRG_AFTER_TAX","FQ1 2021","FQ1 2021","Currency=USD","Period=FQ","BEST_FPERIOD_OVERRIDE=FQ","FILING_STATUS=MR","SCALING_FORMAT=MLN","Sort=A","Dates=H","DateFormat=P","Fill=—","Direction=H","UseDPDF=Y")</f>
        <v>—</v>
      </c>
      <c r="M50" s="13" t="str">
        <f>_xll.BDH("GILD US Equity","IS_RESTRUCTURING_CHRG_AFTER_TAX","FQ2 2021","FQ2 2021","Currency=USD","Period=FQ","BEST_FPERIOD_OVERRIDE=FQ","FILING_STATUS=MR","SCALING_FORMAT=MLN","Sort=A","Dates=H","DateFormat=P","Fill=—","Direction=H","UseDPDF=Y")</f>
        <v>—</v>
      </c>
      <c r="N50" s="13" t="str">
        <f>_xll.BDH("GILD US Equity","IS_RESTRUCTURING_CHRG_AFTER_TAX","FQ3 2021","FQ3 2021","Currency=USD","Period=FQ","BEST_FPERIOD_OVERRIDE=FQ","FILING_STATUS=MR","SCALING_FORMAT=MLN","Sort=A","Dates=H","DateFormat=P","Fill=—","Direction=H","UseDPDF=Y")</f>
        <v>—</v>
      </c>
      <c r="O50" s="13">
        <f>_xll.BDH("GILD US Equity","IS_RESTRUCTURING_CHRG_AFTER_TAX","FQ4 2021","FQ4 2021","Currency=USD","Period=FQ","BEST_FPERIOD_OVERRIDE=FQ","FILING_STATUS=MR","SCALING_FORMAT=MLN","Sort=A","Dates=H","DateFormat=P","Fill=—","Direction=H","UseDPDF=Y")</f>
        <v>3</v>
      </c>
      <c r="P50" s="13">
        <f>_xll.BDH("GILD US Equity","IS_RESTRUCTURING_CHRG_AFTER_TAX","FQ1 2022","FQ1 2022","Currency=USD","Period=FQ","BEST_FPERIOD_OVERRIDE=FQ","FILING_STATUS=MR","SCALING_FORMAT=MLN","Sort=A","Dates=H","DateFormat=P","Fill=—","Direction=H","UseDPDF=Y")</f>
        <v>45</v>
      </c>
      <c r="Q50" s="13" t="str">
        <f>_xll.BDH("GILD US Equity","IS_RESTRUCTURING_CHRG_AFTER_TAX","FQ2 2022","FQ2 2022","Currency=USD","Period=FQ","BEST_FPERIOD_OVERRIDE=FQ","FILING_STATUS=MR","SCALING_FORMAT=MLN","Sort=A","Dates=H","DateFormat=P","Fill=—","Direction=H","UseDPDF=Y")</f>
        <v>—</v>
      </c>
      <c r="R50" s="13" t="str">
        <f>_xll.BDH("GILD US Equity","IS_RESTRUCTURING_CHRG_AFTER_TAX","FQ3 2022","FQ3 2022","Currency=USD","Period=FQ","BEST_FPERIOD_OVERRIDE=FQ","FILING_STATUS=MR","SCALING_FORMAT=MLN","Sort=A","Dates=H","DateFormat=P","Fill=—","Direction=H","UseDPDF=Y")</f>
        <v>—</v>
      </c>
      <c r="S50" s="13" t="str">
        <f>_xll.BDH("GILD US Equity","IS_RESTRUCTURING_CHRG_AFTER_TAX","FQ4 2022","FQ4 2022","Currency=USD","Period=FQ","BEST_FPERIOD_OVERRIDE=FQ","FILING_STATUS=MR","SCALING_FORMAT=MLN","Sort=A","Dates=H","DateFormat=P","Fill=—","Direction=H","UseDPDF=Y")</f>
        <v>—</v>
      </c>
      <c r="T50" s="13" t="str">
        <f>_xll.BDH("GILD US Equity","IS_RESTRUCTURING_CHRG_AFTER_TAX","FQ1 2023","FQ1 2023","Currency=USD","Period=FQ","BEST_FPERIOD_OVERRIDE=FQ","FILING_STATUS=MR","SCALING_FORMAT=MLN","Sort=A","Dates=H","DateFormat=P","Fill=—","Direction=H","UseDPDF=Y")</f>
        <v>—</v>
      </c>
      <c r="U50" s="13" t="str">
        <f>_xll.BDH("GILD US Equity","IS_RESTRUCTURING_CHRG_AFTER_TAX","FQ2 2023","FQ2 2023","Currency=USD","Period=FQ","BEST_FPERIOD_OVERRIDE=FQ","FILING_STATUS=MR","SCALING_FORMAT=MLN","Sort=A","Dates=H","DateFormat=P","Fill=—","Direction=H","UseDPDF=Y")</f>
        <v>—</v>
      </c>
      <c r="V50" s="13">
        <f>_xll.BDH("GILD US Equity","IS_RESTRUCTURING_CHRG_AFTER_TAX","FQ3 2023","FQ3 2023","Currency=USD","Period=FQ","BEST_FPERIOD_OVERRIDE=FQ","FILING_STATUS=MR","SCALING_FORMAT=MLN","Sort=A","Dates=H","DateFormat=P","Fill=—","Direction=H","UseDPDF=Y")</f>
        <v>17</v>
      </c>
      <c r="W50" s="13">
        <f>_xll.BDH("GILD US Equity","IS_RESTRUCTURING_CHRG_AFTER_TAX","FQ4 2023","FQ4 2023","Currency=USD","Period=FQ","BEST_FPERIOD_OVERRIDE=FQ","FILING_STATUS=MR","SCALING_FORMAT=MLN","Sort=A","Dates=H","DateFormat=P","Fill=—","Direction=H","UseDPDF=Y")</f>
        <v>414</v>
      </c>
      <c r="X50" s="13">
        <f>_xll.BDH("GILD US Equity","IS_RESTRUCTURING_CHRG_AFTER_TAX","FQ1 2024","FQ1 2024","Currency=USD","Period=FQ","BEST_FPERIOD_OVERRIDE=FQ","FILING_STATUS=MR","SCALING_FORMAT=MLN","Sort=A","Dates=H","DateFormat=P","Fill=—","Direction=H","UseDPDF=Y")</f>
        <v>54</v>
      </c>
      <c r="Y50" s="13">
        <f>_xll.BDH("GILD US Equity","IS_RESTRUCTURING_CHRG_AFTER_TAX","FQ2 2024","FQ2 2024","Currency=USD","Period=FQ","BEST_FPERIOD_OVERRIDE=FQ","FILING_STATUS=MR","SCALING_FORMAT=MLN","Sort=A","Dates=H","DateFormat=P","Fill=—","Direction=H","UseDPDF=Y")</f>
        <v>14</v>
      </c>
      <c r="Z50" s="13">
        <f>_xll.BDH("GILD US Equity","IS_RESTRUCTURING_CHRG_AFTER_TAX","FQ3 2024","FQ3 2024","Currency=USD","Period=FQ","BEST_FPERIOD_OVERRIDE=FQ","FILING_STATUS=MR","SCALING_FORMAT=MLN","Sort=A","Dates=H","DateFormat=P","Fill=—","Direction=H","UseDPDF=Y")</f>
        <v>24</v>
      </c>
      <c r="AA50" s="13">
        <f>_xll.BDH("GILD US Equity","IS_RESTRUCTURING_CHRG_AFTER_TAX","FQ4 2024","FQ4 2024","Currency=USD","Period=FQ","BEST_FPERIOD_OVERRIDE=FQ","FILING_STATUS=MR","SCALING_FORMAT=MLN","Sort=A","Dates=H","DateFormat=P","Fill=—","Direction=H","UseDPDF=Y")</f>
        <v>59</v>
      </c>
    </row>
    <row r="51" spans="1:27" x14ac:dyDescent="0.25">
      <c r="A51" s="10" t="s">
        <v>668</v>
      </c>
      <c r="B51" s="10" t="s">
        <v>684</v>
      </c>
      <c r="C51" s="13" t="str">
        <f>_xll.BDH("GILD US Equity","IS_SALE_OF_INVESTMENTS_AFTER_TAX","FQ4 2018","FQ4 2018","Currency=USD","Period=FQ","BEST_FPERIOD_OVERRIDE=FQ","FILING_STATUS=MR","SCALING_FORMAT=MLN","Sort=A","Dates=H","DateFormat=P","Fill=—","Direction=H","UseDPDF=Y")</f>
        <v>—</v>
      </c>
      <c r="D51" s="13" t="str">
        <f>_xll.BDH("GILD US Equity","IS_SALE_OF_INVESTMENTS_AFTER_TAX","FQ1 2019","FQ1 2019","Currency=USD","Period=FQ","BEST_FPERIOD_OVERRIDE=FQ","FILING_STATUS=MR","SCALING_FORMAT=MLN","Sort=A","Dates=H","DateFormat=P","Fill=—","Direction=H","UseDPDF=Y")</f>
        <v>—</v>
      </c>
      <c r="E51" s="13" t="str">
        <f>_xll.BDH("GILD US Equity","IS_SALE_OF_INVESTMENTS_AFTER_TAX","FQ2 2019","FQ2 2019","Currency=USD","Period=FQ","BEST_FPERIOD_OVERRIDE=FQ","FILING_STATUS=MR","SCALING_FORMAT=MLN","Sort=A","Dates=H","DateFormat=P","Fill=—","Direction=H","UseDPDF=Y")</f>
        <v>—</v>
      </c>
      <c r="F51" s="13">
        <f>_xll.BDH("GILD US Equity","IS_SALE_OF_INVESTMENTS_AFTER_TAX","FQ3 2019","FQ3 2019","Currency=USD","Period=FQ","BEST_FPERIOD_OVERRIDE=FQ","FILING_STATUS=MR","SCALING_FORMAT=MLN","Sort=A","Dates=H","DateFormat=P","Fill=—","Direction=H","UseDPDF=Y")</f>
        <v>-66</v>
      </c>
      <c r="G51" s="13">
        <f>_xll.BDH("GILD US Equity","IS_SALE_OF_INVESTMENTS_AFTER_TAX","FQ4 2019","FQ4 2019","Currency=USD","Period=FQ","BEST_FPERIOD_OVERRIDE=FQ","FILING_STATUS=MR","SCALING_FORMAT=MLN","Sort=A","Dates=H","DateFormat=P","Fill=—","Direction=H","UseDPDF=Y")</f>
        <v>-921</v>
      </c>
      <c r="H51" s="13">
        <f>_xll.BDH("GILD US Equity","IS_SALE_OF_INVESTMENTS_AFTER_TAX","FQ1 2020","FQ1 2020","Currency=USD","Period=FQ","BEST_FPERIOD_OVERRIDE=FQ","FILING_STATUS=MR","SCALING_FORMAT=MLN","Sort=A","Dates=H","DateFormat=P","Fill=—","Direction=H","UseDPDF=Y")</f>
        <v>256</v>
      </c>
      <c r="I51" s="13">
        <f>_xll.BDH("GILD US Equity","IS_SALE_OF_INVESTMENTS_AFTER_TAX","FQ2 2020","FQ2 2020","Currency=USD","Period=FQ","BEST_FPERIOD_OVERRIDE=FQ","FILING_STATUS=MR","SCALING_FORMAT=MLN","Sort=A","Dates=H","DateFormat=P","Fill=—","Direction=H","UseDPDF=Y")</f>
        <v>-149</v>
      </c>
      <c r="J51" s="13">
        <f>_xll.BDH("GILD US Equity","IS_SALE_OF_INVESTMENTS_AFTER_TAX","FQ3 2020","FQ3 2020","Currency=USD","Period=FQ","BEST_FPERIOD_OVERRIDE=FQ","FILING_STATUS=MR","SCALING_FORMAT=MLN","Sort=A","Dates=H","DateFormat=P","Fill=—","Direction=H","UseDPDF=Y")</f>
        <v>983</v>
      </c>
      <c r="K51" s="13">
        <f>_xll.BDH("GILD US Equity","IS_SALE_OF_INVESTMENTS_AFTER_TAX","FQ4 2020","FQ4 2020","Currency=USD","Period=FQ","BEST_FPERIOD_OVERRIDE=FQ","FILING_STATUS=MR","SCALING_FORMAT=MLN","Sort=A","Dates=H","DateFormat=P","Fill=—","Direction=H","UseDPDF=Y")</f>
        <v>628</v>
      </c>
      <c r="L51" s="13">
        <f>_xll.BDH("GILD US Equity","IS_SALE_OF_INVESTMENTS_AFTER_TAX","FQ1 2021","FQ1 2021","Currency=USD","Period=FQ","BEST_FPERIOD_OVERRIDE=FQ","FILING_STATUS=MR","SCALING_FORMAT=MLN","Sort=A","Dates=H","DateFormat=P","Fill=—","Direction=H","UseDPDF=Y")</f>
        <v>364</v>
      </c>
      <c r="M51" s="13">
        <f>_xll.BDH("GILD US Equity","IS_SALE_OF_INVESTMENTS_AFTER_TAX","FQ2 2021","FQ2 2021","Currency=USD","Period=FQ","BEST_FPERIOD_OVERRIDE=FQ","FILING_STATUS=MR","SCALING_FORMAT=MLN","Sort=A","Dates=H","DateFormat=P","Fill=—","Direction=H","UseDPDF=Y")</f>
        <v>169</v>
      </c>
      <c r="N51" s="13">
        <f>_xll.BDH("GILD US Equity","IS_SALE_OF_INVESTMENTS_AFTER_TAX","FQ3 2021","FQ3 2021","Currency=USD","Period=FQ","BEST_FPERIOD_OVERRIDE=FQ","FILING_STATUS=MR","SCALING_FORMAT=MLN","Sort=A","Dates=H","DateFormat=P","Fill=—","Direction=H","UseDPDF=Y")</f>
        <v>154</v>
      </c>
      <c r="O51" s="13">
        <f>_xll.BDH("GILD US Equity","IS_SALE_OF_INVESTMENTS_AFTER_TAX","FQ4 2021","FQ4 2021","Currency=USD","Period=FQ","BEST_FPERIOD_OVERRIDE=FQ","FILING_STATUS=MR","SCALING_FORMAT=MLN","Sort=A","Dates=H","DateFormat=P","Fill=—","Direction=H","UseDPDF=Y")</f>
        <v>-56</v>
      </c>
      <c r="P51" s="13" t="str">
        <f>_xll.BDH("GILD US Equity","IS_SALE_OF_INVESTMENTS_AFTER_TAX","FQ1 2022","FQ1 2022","Currency=USD","Period=FQ","BEST_FPERIOD_OVERRIDE=FQ","FILING_STATUS=MR","SCALING_FORMAT=MLN","Sort=A","Dates=H","DateFormat=P","Fill=—","Direction=H","UseDPDF=Y")</f>
        <v>—</v>
      </c>
      <c r="Q51" s="13">
        <f>_xll.BDH("GILD US Equity","IS_SALE_OF_INVESTMENTS_AFTER_TAX","FQ2 2022","FQ2 2022","Currency=USD","Period=FQ","BEST_FPERIOD_OVERRIDE=FQ","FILING_STATUS=MR","SCALING_FORMAT=MLN","Sort=A","Dates=H","DateFormat=P","Fill=—","Direction=H","UseDPDF=Y")</f>
        <v>308</v>
      </c>
      <c r="R51" s="13">
        <f>_xll.BDH("GILD US Equity","IS_SALE_OF_INVESTMENTS_AFTER_TAX","FQ3 2022","FQ3 2022","Currency=USD","Period=FQ","BEST_FPERIOD_OVERRIDE=FQ","FILING_STATUS=MR","SCALING_FORMAT=MLN","Sort=A","Dates=H","DateFormat=P","Fill=—","Direction=H","UseDPDF=Y")</f>
        <v>197</v>
      </c>
      <c r="S51" s="13">
        <f>_xll.BDH("GILD US Equity","IS_SALE_OF_INVESTMENTS_AFTER_TAX","FQ4 2022","FQ4 2022","Currency=USD","Period=FQ","BEST_FPERIOD_OVERRIDE=FQ","FILING_STATUS=MR","SCALING_FORMAT=MLN","Sort=A","Dates=H","DateFormat=P","Fill=—","Direction=H","UseDPDF=Y")</f>
        <v>60</v>
      </c>
      <c r="T51" s="13">
        <f>_xll.BDH("GILD US Equity","IS_SALE_OF_INVESTMENTS_AFTER_TAX","FQ1 2023","FQ1 2023","Currency=USD","Period=FQ","BEST_FPERIOD_OVERRIDE=FQ","FILING_STATUS=MR","SCALING_FORMAT=MLN","Sort=A","Dates=H","DateFormat=P","Fill=—","Direction=H","UseDPDF=Y")</f>
        <v>257</v>
      </c>
      <c r="U51" s="13">
        <f>_xll.BDH("GILD US Equity","IS_SALE_OF_INVESTMENTS_AFTER_TAX","FQ2 2023","FQ2 2023","Currency=USD","Period=FQ","BEST_FPERIOD_OVERRIDE=FQ","FILING_STATUS=MR","SCALING_FORMAT=MLN","Sort=A","Dates=H","DateFormat=P","Fill=—","Direction=H","UseDPDF=Y")</f>
        <v>-70</v>
      </c>
      <c r="V51" s="13">
        <f>_xll.BDH("GILD US Equity","IS_SALE_OF_INVESTMENTS_AFTER_TAX","FQ3 2023","FQ3 2023","Currency=USD","Period=FQ","BEST_FPERIOD_OVERRIDE=FQ","FILING_STATUS=MR","SCALING_FORMAT=MLN","Sort=A","Dates=H","DateFormat=P","Fill=—","Direction=H","UseDPDF=Y")</f>
        <v>164</v>
      </c>
      <c r="W51" s="13">
        <f>_xll.BDH("GILD US Equity","IS_SALE_OF_INVESTMENTS_AFTER_TAX","FQ4 2023","FQ4 2023","Currency=USD","Period=FQ","BEST_FPERIOD_OVERRIDE=FQ","FILING_STATUS=MR","SCALING_FORMAT=MLN","Sort=A","Dates=H","DateFormat=P","Fill=—","Direction=H","UseDPDF=Y")</f>
        <v>-171</v>
      </c>
      <c r="X51" s="13">
        <f>_xll.BDH("GILD US Equity","IS_SALE_OF_INVESTMENTS_AFTER_TAX","FQ1 2024","FQ1 2024","Currency=USD","Period=FQ","BEST_FPERIOD_OVERRIDE=FQ","FILING_STATUS=MR","SCALING_FORMAT=MLN","Sort=A","Dates=H","DateFormat=P","Fill=—","Direction=H","UseDPDF=Y")</f>
        <v>53</v>
      </c>
      <c r="Y51" s="13">
        <f>_xll.BDH("GILD US Equity","IS_SALE_OF_INVESTMENTS_AFTER_TAX","FQ2 2024","FQ2 2024","Currency=USD","Period=FQ","BEST_FPERIOD_OVERRIDE=FQ","FILING_STATUS=MR","SCALING_FORMAT=MLN","Sort=A","Dates=H","DateFormat=P","Fill=—","Direction=H","UseDPDF=Y")</f>
        <v>359</v>
      </c>
      <c r="Z51" s="13">
        <f>_xll.BDH("GILD US Equity","IS_SALE_OF_INVESTMENTS_AFTER_TAX","FQ3 2024","FQ3 2024","Currency=USD","Period=FQ","BEST_FPERIOD_OVERRIDE=FQ","FILING_STATUS=MR","SCALING_FORMAT=MLN","Sort=A","Dates=H","DateFormat=P","Fill=—","Direction=H","UseDPDF=Y")</f>
        <v>-212</v>
      </c>
      <c r="AA51" s="13">
        <f>_xll.BDH("GILD US Equity","IS_SALE_OF_INVESTMENTS_AFTER_TAX","FQ4 2024","FQ4 2024","Currency=USD","Period=FQ","BEST_FPERIOD_OVERRIDE=FQ","FILING_STATUS=MR","SCALING_FORMAT=MLN","Sort=A","Dates=H","DateFormat=P","Fill=—","Direction=H","UseDPDF=Y")</f>
        <v>113</v>
      </c>
    </row>
    <row r="52" spans="1:27" x14ac:dyDescent="0.25">
      <c r="A52" s="10" t="s">
        <v>673</v>
      </c>
      <c r="B52" s="10" t="s">
        <v>685</v>
      </c>
      <c r="C52" s="13">
        <f>_xll.BDH("GILD US Equity","IS_UNREALIZED_INVEST_AFT_TAX","FQ4 2018","FQ4 2018","Currency=USD","Period=FQ","BEST_FPERIOD_OVERRIDE=FQ","FILING_STATUS=MR","SCALING_FORMAT=MLN","Sort=A","Dates=H","DateFormat=P","Fill=—","Direction=H","UseDPDF=Y")</f>
        <v>59</v>
      </c>
      <c r="D52" s="13">
        <f>_xll.BDH("GILD US Equity","IS_UNREALIZED_INVEST_AFT_TAX","FQ1 2019","FQ1 2019","Currency=USD","Period=FQ","BEST_FPERIOD_OVERRIDE=FQ","FILING_STATUS=MR","SCALING_FORMAT=MLN","Sort=A","Dates=H","DateFormat=P","Fill=—","Direction=H","UseDPDF=Y")</f>
        <v>-191</v>
      </c>
      <c r="E52" s="13">
        <f>_xll.BDH("GILD US Equity","IS_UNREALIZED_INVEST_AFT_TAX","FQ2 2019","FQ2 2019","Currency=USD","Period=FQ","BEST_FPERIOD_OVERRIDE=FQ","FILING_STATUS=MR","SCALING_FORMAT=MLN","Sort=A","Dates=H","DateFormat=P","Fill=—","Direction=H","UseDPDF=Y")</f>
        <v>-63</v>
      </c>
      <c r="F52" s="13" t="str">
        <f>_xll.BDH("GILD US Equity","IS_UNREALIZED_INVEST_AFT_TAX","FQ3 2019","FQ3 2019","Currency=USD","Period=FQ","BEST_FPERIOD_OVERRIDE=FQ","FILING_STATUS=MR","SCALING_FORMAT=MLN","Sort=A","Dates=H","DateFormat=P","Fill=—","Direction=H","UseDPDF=Y")</f>
        <v>—</v>
      </c>
      <c r="G52" s="13" t="str">
        <f>_xll.BDH("GILD US Equity","IS_UNREALIZED_INVEST_AFT_TAX","FQ4 2019","FQ4 2019","Currency=USD","Period=FQ","BEST_FPERIOD_OVERRIDE=FQ","FILING_STATUS=MR","SCALING_FORMAT=MLN","Sort=A","Dates=H","DateFormat=P","Fill=—","Direction=H","UseDPDF=Y")</f>
        <v>—</v>
      </c>
      <c r="H52" s="13" t="str">
        <f>_xll.BDH("GILD US Equity","IS_UNREALIZED_INVEST_AFT_TAX","FQ1 2020","FQ1 2020","Currency=USD","Period=FQ","BEST_FPERIOD_OVERRIDE=FQ","FILING_STATUS=MR","SCALING_FORMAT=MLN","Sort=A","Dates=H","DateFormat=P","Fill=—","Direction=H","UseDPDF=Y")</f>
        <v>—</v>
      </c>
      <c r="I52" s="13" t="str">
        <f>_xll.BDH("GILD US Equity","IS_UNREALIZED_INVEST_AFT_TAX","FQ2 2020","FQ2 2020","Currency=USD","Period=FQ","BEST_FPERIOD_OVERRIDE=FQ","FILING_STATUS=MR","SCALING_FORMAT=MLN","Sort=A","Dates=H","DateFormat=P","Fill=—","Direction=H","UseDPDF=Y")</f>
        <v>—</v>
      </c>
      <c r="J52" s="13" t="str">
        <f>_xll.BDH("GILD US Equity","IS_UNREALIZED_INVEST_AFT_TAX","FQ3 2020","FQ3 2020","Currency=USD","Period=FQ","BEST_FPERIOD_OVERRIDE=FQ","FILING_STATUS=MR","SCALING_FORMAT=MLN","Sort=A","Dates=H","DateFormat=P","Fill=—","Direction=H","UseDPDF=Y")</f>
        <v>—</v>
      </c>
      <c r="K52" s="13" t="str">
        <f>_xll.BDH("GILD US Equity","IS_UNREALIZED_INVEST_AFT_TAX","FQ4 2020","FQ4 2020","Currency=USD","Period=FQ","BEST_FPERIOD_OVERRIDE=FQ","FILING_STATUS=MR","SCALING_FORMAT=MLN","Sort=A","Dates=H","DateFormat=P","Fill=—","Direction=H","UseDPDF=Y")</f>
        <v>—</v>
      </c>
      <c r="L52" s="13" t="str">
        <f>_xll.BDH("GILD US Equity","IS_UNREALIZED_INVEST_AFT_TAX","FQ1 2021","FQ1 2021","Currency=USD","Period=FQ","BEST_FPERIOD_OVERRIDE=FQ","FILING_STATUS=MR","SCALING_FORMAT=MLN","Sort=A","Dates=H","DateFormat=P","Fill=—","Direction=H","UseDPDF=Y")</f>
        <v>—</v>
      </c>
      <c r="M52" s="13" t="str">
        <f>_xll.BDH("GILD US Equity","IS_UNREALIZED_INVEST_AFT_TAX","FQ2 2021","FQ2 2021","Currency=USD","Period=FQ","BEST_FPERIOD_OVERRIDE=FQ","FILING_STATUS=MR","SCALING_FORMAT=MLN","Sort=A","Dates=H","DateFormat=P","Fill=—","Direction=H","UseDPDF=Y")</f>
        <v>—</v>
      </c>
      <c r="N52" s="13" t="str">
        <f>_xll.BDH("GILD US Equity","IS_UNREALIZED_INVEST_AFT_TAX","FQ3 2021","FQ3 2021","Currency=USD","Period=FQ","BEST_FPERIOD_OVERRIDE=FQ","FILING_STATUS=MR","SCALING_FORMAT=MLN","Sort=A","Dates=H","DateFormat=P","Fill=—","Direction=H","UseDPDF=Y")</f>
        <v>—</v>
      </c>
      <c r="O52" s="13" t="str">
        <f>_xll.BDH("GILD US Equity","IS_UNREALIZED_INVEST_AFT_TAX","FQ4 2021","FQ4 2021","Currency=USD","Period=FQ","BEST_FPERIOD_OVERRIDE=FQ","FILING_STATUS=MR","SCALING_FORMAT=MLN","Sort=A","Dates=H","DateFormat=P","Fill=—","Direction=H","UseDPDF=Y")</f>
        <v>—</v>
      </c>
      <c r="P52" s="13" t="str">
        <f>_xll.BDH("GILD US Equity","IS_UNREALIZED_INVEST_AFT_TAX","FQ1 2022","FQ1 2022","Currency=USD","Period=FQ","BEST_FPERIOD_OVERRIDE=FQ","FILING_STATUS=MR","SCALING_FORMAT=MLN","Sort=A","Dates=H","DateFormat=P","Fill=—","Direction=H","UseDPDF=Y")</f>
        <v>—</v>
      </c>
      <c r="Q52" s="13" t="str">
        <f>_xll.BDH("GILD US Equity","IS_UNREALIZED_INVEST_AFT_TAX","FQ2 2022","FQ2 2022","Currency=USD","Period=FQ","BEST_FPERIOD_OVERRIDE=FQ","FILING_STATUS=MR","SCALING_FORMAT=MLN","Sort=A","Dates=H","DateFormat=P","Fill=—","Direction=H","UseDPDF=Y")</f>
        <v>—</v>
      </c>
      <c r="R52" s="13" t="str">
        <f>_xll.BDH("GILD US Equity","IS_UNREALIZED_INVEST_AFT_TAX","FQ3 2022","FQ3 2022","Currency=USD","Period=FQ","BEST_FPERIOD_OVERRIDE=FQ","FILING_STATUS=MR","SCALING_FORMAT=MLN","Sort=A","Dates=H","DateFormat=P","Fill=—","Direction=H","UseDPDF=Y")</f>
        <v>—</v>
      </c>
      <c r="S52" s="13" t="str">
        <f>_xll.BDH("GILD US Equity","IS_UNREALIZED_INVEST_AFT_TAX","FQ4 2022","FQ4 2022","Currency=USD","Period=FQ","BEST_FPERIOD_OVERRIDE=FQ","FILING_STATUS=MR","SCALING_FORMAT=MLN","Sort=A","Dates=H","DateFormat=P","Fill=—","Direction=H","UseDPDF=Y")</f>
        <v>—</v>
      </c>
      <c r="T52" s="13" t="str">
        <f>_xll.BDH("GILD US Equity","IS_UNREALIZED_INVEST_AFT_TAX","FQ1 2023","FQ1 2023","Currency=USD","Period=FQ","BEST_FPERIOD_OVERRIDE=FQ","FILING_STATUS=MR","SCALING_FORMAT=MLN","Sort=A","Dates=H","DateFormat=P","Fill=—","Direction=H","UseDPDF=Y")</f>
        <v>—</v>
      </c>
      <c r="U52" s="13" t="str">
        <f>_xll.BDH("GILD US Equity","IS_UNREALIZED_INVEST_AFT_TAX","FQ2 2023","FQ2 2023","Currency=USD","Period=FQ","BEST_FPERIOD_OVERRIDE=FQ","FILING_STATUS=MR","SCALING_FORMAT=MLN","Sort=A","Dates=H","DateFormat=P","Fill=—","Direction=H","UseDPDF=Y")</f>
        <v>—</v>
      </c>
      <c r="V52" s="13" t="str">
        <f>_xll.BDH("GILD US Equity","IS_UNREALIZED_INVEST_AFT_TAX","FQ3 2023","FQ3 2023","Currency=USD","Period=FQ","BEST_FPERIOD_OVERRIDE=FQ","FILING_STATUS=MR","SCALING_FORMAT=MLN","Sort=A","Dates=H","DateFormat=P","Fill=—","Direction=H","UseDPDF=Y")</f>
        <v>—</v>
      </c>
      <c r="W52" s="13" t="str">
        <f>_xll.BDH("GILD US Equity","IS_UNREALIZED_INVEST_AFT_TAX","FQ4 2023","FQ4 2023","Currency=USD","Period=FQ","BEST_FPERIOD_OVERRIDE=FQ","FILING_STATUS=MR","SCALING_FORMAT=MLN","Sort=A","Dates=H","DateFormat=P","Fill=—","Direction=H","UseDPDF=Y")</f>
        <v>—</v>
      </c>
      <c r="X52" s="13" t="str">
        <f>_xll.BDH("GILD US Equity","IS_UNREALIZED_INVEST_AFT_TAX","FQ1 2024","FQ1 2024","Currency=USD","Period=FQ","BEST_FPERIOD_OVERRIDE=FQ","FILING_STATUS=MR","SCALING_FORMAT=MLN","Sort=A","Dates=H","DateFormat=P","Fill=—","Direction=H","UseDPDF=Y")</f>
        <v>—</v>
      </c>
      <c r="Y52" s="13" t="str">
        <f>_xll.BDH("GILD US Equity","IS_UNREALIZED_INVEST_AFT_TAX","FQ2 2024","FQ2 2024","Currency=USD","Period=FQ","BEST_FPERIOD_OVERRIDE=FQ","FILING_STATUS=MR","SCALING_FORMAT=MLN","Sort=A","Dates=H","DateFormat=P","Fill=—","Direction=H","UseDPDF=Y")</f>
        <v>—</v>
      </c>
      <c r="Z52" s="13" t="str">
        <f>_xll.BDH("GILD US Equity","IS_UNREALIZED_INVEST_AFT_TAX","FQ3 2024","FQ3 2024","Currency=USD","Period=FQ","BEST_FPERIOD_OVERRIDE=FQ","FILING_STATUS=MR","SCALING_FORMAT=MLN","Sort=A","Dates=H","DateFormat=P","Fill=—","Direction=H","UseDPDF=Y")</f>
        <v>—</v>
      </c>
      <c r="AA52" s="13" t="str">
        <f>_xll.BDH("GILD US Equity","IS_UNREALIZED_INVEST_AFT_TAX","FQ4 2024","FQ4 2024","Currency=USD","Period=FQ","BEST_FPERIOD_OVERRIDE=FQ","FILING_STATUS=MR","SCALING_FORMAT=MLN","Sort=A","Dates=H","DateFormat=P","Fill=—","Direction=H","UseDPDF=Y")</f>
        <v>—</v>
      </c>
    </row>
    <row r="53" spans="1:27" x14ac:dyDescent="0.25">
      <c r="A53" s="10" t="s">
        <v>670</v>
      </c>
      <c r="B53" s="10" t="s">
        <v>686</v>
      </c>
      <c r="C53" s="13">
        <f>_xll.BDH("GILD US Equity","IS_OTH_ONE_TIME_ITEMS_AFTER_TAX","FQ4 2018","FQ4 2018","Currency=USD","Period=FQ","BEST_FPERIOD_OVERRIDE=FQ","FILING_STATUS=MR","SCALING_FORMAT=MLN","Sort=A","Dates=H","DateFormat=P","Fill=—","Direction=H","UseDPDF=Y")</f>
        <v>97</v>
      </c>
      <c r="D53" s="13">
        <f>_xll.BDH("GILD US Equity","IS_OTH_ONE_TIME_ITEMS_AFTER_TAX","FQ1 2019","FQ1 2019","Currency=USD","Period=FQ","BEST_FPERIOD_OVERRIDE=FQ","FILING_STATUS=MR","SCALING_FORMAT=MLN","Sort=A","Dates=H","DateFormat=P","Fill=—","Direction=H","UseDPDF=Y")</f>
        <v>97</v>
      </c>
      <c r="E53" s="13">
        <f>_xll.BDH("GILD US Equity","IS_OTH_ONE_TIME_ITEMS_AFTER_TAX","FQ2 2019","FQ2 2019","Currency=USD","Period=FQ","BEST_FPERIOD_OVERRIDE=FQ","FILING_STATUS=MR","SCALING_FORMAT=MLN","Sort=A","Dates=H","DateFormat=P","Fill=—","Direction=H","UseDPDF=Y")</f>
        <v>127</v>
      </c>
      <c r="F53" s="13">
        <f>_xll.BDH("GILD US Equity","IS_OTH_ONE_TIME_ITEMS_AFTER_TAX","FQ3 2019","FQ3 2019","Currency=USD","Period=FQ","BEST_FPERIOD_OVERRIDE=FQ","FILING_STATUS=MR","SCALING_FORMAT=MLN","Sort=A","Dates=H","DateFormat=P","Fill=—","Direction=H","UseDPDF=Y")</f>
        <v>7</v>
      </c>
      <c r="G53" s="13">
        <f>_xll.BDH("GILD US Equity","IS_OTH_ONE_TIME_ITEMS_AFTER_TAX","FQ4 2019","FQ4 2019","Currency=USD","Period=FQ","BEST_FPERIOD_OVERRIDE=FQ","FILING_STATUS=MR","SCALING_FORMAT=MLN","Sort=A","Dates=H","DateFormat=P","Fill=—","Direction=H","UseDPDF=Y")</f>
        <v>-5</v>
      </c>
      <c r="H53" s="13" t="str">
        <f>_xll.BDH("GILD US Equity","IS_OTH_ONE_TIME_ITEMS_AFTER_TAX","FQ1 2020","FQ1 2020","Currency=USD","Period=FQ","BEST_FPERIOD_OVERRIDE=FQ","FILING_STATUS=MR","SCALING_FORMAT=MLN","Sort=A","Dates=H","DateFormat=P","Fill=—","Direction=H","UseDPDF=Y")</f>
        <v>—</v>
      </c>
      <c r="I53" s="13">
        <f>_xll.BDH("GILD US Equity","IS_OTH_ONE_TIME_ITEMS_AFTER_TAX","FQ2 2020","FQ2 2020","Currency=USD","Period=FQ","BEST_FPERIOD_OVERRIDE=FQ","FILING_STATUS=MR","SCALING_FORMAT=MLN","Sort=A","Dates=H","DateFormat=P","Fill=—","Direction=H","UseDPDF=Y")</f>
        <v>-2</v>
      </c>
      <c r="J53" s="13">
        <f>_xll.BDH("GILD US Equity","IS_OTH_ONE_TIME_ITEMS_AFTER_TAX","FQ3 2020","FQ3 2020","Currency=USD","Period=FQ","BEST_FPERIOD_OVERRIDE=FQ","FILING_STATUS=MR","SCALING_FORMAT=MLN","Sort=A","Dates=H","DateFormat=P","Fill=—","Direction=H","UseDPDF=Y")</f>
        <v>-0.79</v>
      </c>
      <c r="K53" s="13" t="str">
        <f>_xll.BDH("GILD US Equity","IS_OTH_ONE_TIME_ITEMS_AFTER_TAX","FQ4 2020","FQ4 2020","Currency=USD","Period=FQ","BEST_FPERIOD_OVERRIDE=FQ","FILING_STATUS=MR","SCALING_FORMAT=MLN","Sort=A","Dates=H","DateFormat=P","Fill=—","Direction=H","UseDPDF=Y")</f>
        <v>—</v>
      </c>
      <c r="L53" s="13" t="str">
        <f>_xll.BDH("GILD US Equity","IS_OTH_ONE_TIME_ITEMS_AFTER_TAX","FQ1 2021","FQ1 2021","Currency=USD","Period=FQ","BEST_FPERIOD_OVERRIDE=FQ","FILING_STATUS=MR","SCALING_FORMAT=MLN","Sort=A","Dates=H","DateFormat=P","Fill=—","Direction=H","UseDPDF=Y")</f>
        <v>—</v>
      </c>
      <c r="M53" s="13">
        <f>_xll.BDH("GILD US Equity","IS_OTH_ONE_TIME_ITEMS_AFTER_TAX","FQ2 2021","FQ2 2021","Currency=USD","Period=FQ","BEST_FPERIOD_OVERRIDE=FQ","FILING_STATUS=MR","SCALING_FORMAT=MLN","Sort=A","Dates=H","DateFormat=P","Fill=—","Direction=H","UseDPDF=Y")</f>
        <v>166</v>
      </c>
      <c r="N53" s="13" t="str">
        <f>_xll.BDH("GILD US Equity","IS_OTH_ONE_TIME_ITEMS_AFTER_TAX","FQ3 2021","FQ3 2021","Currency=USD","Period=FQ","BEST_FPERIOD_OVERRIDE=FQ","FILING_STATUS=MR","SCALING_FORMAT=MLN","Sort=A","Dates=H","DateFormat=P","Fill=—","Direction=H","UseDPDF=Y")</f>
        <v>—</v>
      </c>
      <c r="O53" s="13">
        <f>_xll.BDH("GILD US Equity","IS_OTH_ONE_TIME_ITEMS_AFTER_TAX","FQ4 2021","FQ4 2021","Currency=USD","Period=FQ","BEST_FPERIOD_OVERRIDE=FQ","FILING_STATUS=MR","SCALING_FORMAT=MLN","Sort=A","Dates=H","DateFormat=P","Fill=—","Direction=H","UseDPDF=Y")</f>
        <v>4.74</v>
      </c>
      <c r="P53" s="13" t="str">
        <f>_xll.BDH("GILD US Equity","IS_OTH_ONE_TIME_ITEMS_AFTER_TAX","FQ1 2022","FQ1 2022","Currency=USD","Period=FQ","BEST_FPERIOD_OVERRIDE=FQ","FILING_STATUS=MR","SCALING_FORMAT=MLN","Sort=A","Dates=H","DateFormat=P","Fill=—","Direction=H","UseDPDF=Y")</f>
        <v>—</v>
      </c>
      <c r="Q53" s="13">
        <f>_xll.BDH("GILD US Equity","IS_OTH_ONE_TIME_ITEMS_AFTER_TAX","FQ2 2022","FQ2 2022","Currency=USD","Period=FQ","BEST_FPERIOD_OVERRIDE=FQ","FILING_STATUS=MR","SCALING_FORMAT=MLN","Sort=A","Dates=H","DateFormat=P","Fill=—","Direction=H","UseDPDF=Y")</f>
        <v>59</v>
      </c>
      <c r="R53" s="13">
        <f>_xll.BDH("GILD US Equity","IS_OTH_ONE_TIME_ITEMS_AFTER_TAX","FQ3 2022","FQ3 2022","Currency=USD","Period=FQ","BEST_FPERIOD_OVERRIDE=FQ","FILING_STATUS=MR","SCALING_FORMAT=MLN","Sort=A","Dates=H","DateFormat=P","Fill=—","Direction=H","UseDPDF=Y")</f>
        <v>-0.79</v>
      </c>
      <c r="S53" s="13">
        <f>_xll.BDH("GILD US Equity","IS_OTH_ONE_TIME_ITEMS_AFTER_TAX","FQ4 2022","FQ4 2022","Currency=USD","Period=FQ","BEST_FPERIOD_OVERRIDE=FQ","FILING_STATUS=MR","SCALING_FORMAT=MLN","Sort=A","Dates=H","DateFormat=P","Fill=—","Direction=H","UseDPDF=Y")</f>
        <v>2</v>
      </c>
      <c r="T53" s="13" t="str">
        <f>_xll.BDH("GILD US Equity","IS_OTH_ONE_TIME_ITEMS_AFTER_TAX","FQ1 2023","FQ1 2023","Currency=USD","Period=FQ","BEST_FPERIOD_OVERRIDE=FQ","FILING_STATUS=MR","SCALING_FORMAT=MLN","Sort=A","Dates=H","DateFormat=P","Fill=—","Direction=H","UseDPDF=Y")</f>
        <v>—</v>
      </c>
      <c r="U53" s="13" t="str">
        <f>_xll.BDH("GILD US Equity","IS_OTH_ONE_TIME_ITEMS_AFTER_TAX","FQ2 2023","FQ2 2023","Currency=USD","Period=FQ","BEST_FPERIOD_OVERRIDE=FQ","FILING_STATUS=MR","SCALING_FORMAT=MLN","Sort=A","Dates=H","DateFormat=P","Fill=—","Direction=H","UseDPDF=Y")</f>
        <v>—</v>
      </c>
      <c r="V53" s="13" t="str">
        <f>_xll.BDH("GILD US Equity","IS_OTH_ONE_TIME_ITEMS_AFTER_TAX","FQ3 2023","FQ3 2023","Currency=USD","Period=FQ","BEST_FPERIOD_OVERRIDE=FQ","FILING_STATUS=MR","SCALING_FORMAT=MLN","Sort=A","Dates=H","DateFormat=P","Fill=—","Direction=H","UseDPDF=Y")</f>
        <v>—</v>
      </c>
      <c r="W53" s="13">
        <f>_xll.BDH("GILD US Equity","IS_OTH_ONE_TIME_ITEMS_AFTER_TAX","FQ4 2023","FQ4 2023","Currency=USD","Period=FQ","BEST_FPERIOD_OVERRIDE=FQ","FILING_STATUS=MR","SCALING_FORMAT=MLN","Sort=A","Dates=H","DateFormat=P","Fill=—","Direction=H","UseDPDF=Y")</f>
        <v>40</v>
      </c>
      <c r="X53" s="13" t="str">
        <f>_xll.BDH("GILD US Equity","IS_OTH_ONE_TIME_ITEMS_AFTER_TAX","FQ1 2024","FQ1 2024","Currency=USD","Period=FQ","BEST_FPERIOD_OVERRIDE=FQ","FILING_STATUS=MR","SCALING_FORMAT=MLN","Sort=A","Dates=H","DateFormat=P","Fill=—","Direction=H","UseDPDF=Y")</f>
        <v>—</v>
      </c>
      <c r="Y53" s="13" t="str">
        <f>_xll.BDH("GILD US Equity","IS_OTH_ONE_TIME_ITEMS_AFTER_TAX","FQ2 2024","FQ2 2024","Currency=USD","Period=FQ","BEST_FPERIOD_OVERRIDE=FQ","FILING_STATUS=MR","SCALING_FORMAT=MLN","Sort=A","Dates=H","DateFormat=P","Fill=—","Direction=H","UseDPDF=Y")</f>
        <v>—</v>
      </c>
      <c r="Z53" s="13" t="str">
        <f>_xll.BDH("GILD US Equity","IS_OTH_ONE_TIME_ITEMS_AFTER_TAX","FQ3 2024","FQ3 2024","Currency=USD","Period=FQ","BEST_FPERIOD_OVERRIDE=FQ","FILING_STATUS=MR","SCALING_FORMAT=MLN","Sort=A","Dates=H","DateFormat=P","Fill=—","Direction=H","UseDPDF=Y")</f>
        <v>—</v>
      </c>
      <c r="AA53" s="13" t="str">
        <f>_xll.BDH("GILD US Equity","IS_OTH_ONE_TIME_ITEMS_AFTER_TAX","FQ4 2024","FQ4 2024","Currency=USD","Period=FQ","BEST_FPERIOD_OVERRIDE=FQ","FILING_STATUS=MR","SCALING_FORMAT=MLN","Sort=A","Dates=H","DateFormat=P","Fill=—","Direction=H","UseDPDF=Y")</f>
        <v>—</v>
      </c>
    </row>
    <row r="54" spans="1:27" x14ac:dyDescent="0.25">
      <c r="A54" s="10" t="s">
        <v>687</v>
      </c>
      <c r="B54" s="10" t="s">
        <v>688</v>
      </c>
      <c r="C54" s="13">
        <f>_xll.BDH("GILD US Equity","IS_ABNORMAL_TAX_PROV_BENEFIT","FQ4 2018","FQ4 2018","Currency=USD","Period=FQ","BEST_FPERIOD_OVERRIDE=FQ","FILING_STATUS=MR","SCALING_FORMAT=MLN","Sort=A","Dates=H","DateFormat=P","Fill=—","Direction=H","UseDPDF=Y")</f>
        <v>602</v>
      </c>
      <c r="D54" s="13" t="str">
        <f>_xll.BDH("GILD US Equity","IS_ABNORMAL_TAX_PROV_BENEFIT","FQ1 2019","FQ1 2019","Currency=USD","Period=FQ","BEST_FPERIOD_OVERRIDE=FQ","FILING_STATUS=MR","SCALING_FORMAT=MLN","Sort=A","Dates=H","DateFormat=P","Fill=—","Direction=H","UseDPDF=Y")</f>
        <v>—</v>
      </c>
      <c r="E54" s="13" t="str">
        <f>_xll.BDH("GILD US Equity","IS_ABNORMAL_TAX_PROV_BENEFIT","FQ2 2019","FQ2 2019","Currency=USD","Period=FQ","BEST_FPERIOD_OVERRIDE=FQ","FILING_STATUS=MR","SCALING_FORMAT=MLN","Sort=A","Dates=H","DateFormat=P","Fill=—","Direction=H","UseDPDF=Y")</f>
        <v>—</v>
      </c>
      <c r="F54" s="13" t="str">
        <f>_xll.BDH("GILD US Equity","IS_ABNORMAL_TAX_PROV_BENEFIT","FQ3 2019","FQ3 2019","Currency=USD","Period=FQ","BEST_FPERIOD_OVERRIDE=FQ","FILING_STATUS=MR","SCALING_FORMAT=MLN","Sort=A","Dates=H","DateFormat=P","Fill=—","Direction=H","UseDPDF=Y")</f>
        <v>—</v>
      </c>
      <c r="G54" s="13">
        <f>_xll.BDH("GILD US Equity","IS_ABNORMAL_TAX_PROV_BENEFIT","FQ4 2019","FQ4 2019","Currency=USD","Period=FQ","BEST_FPERIOD_OVERRIDE=FQ","FILING_STATUS=MR","SCALING_FORMAT=MLN","Sort=A","Dates=H","DateFormat=P","Fill=—","Direction=H","UseDPDF=Y")</f>
        <v>-1240</v>
      </c>
      <c r="H54" s="13">
        <f>_xll.BDH("GILD US Equity","IS_ABNORMAL_TAX_PROV_BENEFIT","FQ1 2020","FQ1 2020","Currency=USD","Period=FQ","BEST_FPERIOD_OVERRIDE=FQ","FILING_STATUS=MR","SCALING_FORMAT=MLN","Sort=A","Dates=H","DateFormat=P","Fill=—","Direction=H","UseDPDF=Y")</f>
        <v>33</v>
      </c>
      <c r="I54" s="13">
        <f>_xll.BDH("GILD US Equity","IS_ABNORMAL_TAX_PROV_BENEFIT","FQ2 2020","FQ2 2020","Currency=USD","Period=FQ","BEST_FPERIOD_OVERRIDE=FQ","FILING_STATUS=MR","SCALING_FORMAT=MLN","Sort=A","Dates=H","DateFormat=P","Fill=—","Direction=H","UseDPDF=Y")</f>
        <v>4</v>
      </c>
      <c r="J54" s="13">
        <f>_xll.BDH("GILD US Equity","IS_ABNORMAL_TAX_PROV_BENEFIT","FQ3 2020","FQ3 2020","Currency=USD","Period=FQ","BEST_FPERIOD_OVERRIDE=FQ","FILING_STATUS=MR","SCALING_FORMAT=MLN","Sort=A","Dates=H","DateFormat=P","Fill=—","Direction=H","UseDPDF=Y")</f>
        <v>45</v>
      </c>
      <c r="K54" s="13">
        <f>_xll.BDH("GILD US Equity","IS_ABNORMAL_TAX_PROV_BENEFIT","FQ4 2020","FQ4 2020","Currency=USD","Period=FQ","BEST_FPERIOD_OVERRIDE=FQ","FILING_STATUS=MR","SCALING_FORMAT=MLN","Sort=A","Dates=H","DateFormat=P","Fill=—","Direction=H","UseDPDF=Y")</f>
        <v>-82</v>
      </c>
      <c r="L54" s="13">
        <f>_xll.BDH("GILD US Equity","IS_ABNORMAL_TAX_PROV_BENEFIT","FQ1 2021","FQ1 2021","Currency=USD","Period=FQ","BEST_FPERIOD_OVERRIDE=FQ","FILING_STATUS=MR","SCALING_FORMAT=MLN","Sort=A","Dates=H","DateFormat=P","Fill=—","Direction=H","UseDPDF=Y")</f>
        <v>54</v>
      </c>
      <c r="M54" s="13">
        <f>_xll.BDH("GILD US Equity","IS_ABNORMAL_TAX_PROV_BENEFIT","FQ2 2021","FQ2 2021","Currency=USD","Period=FQ","BEST_FPERIOD_OVERRIDE=FQ","FILING_STATUS=MR","SCALING_FORMAT=MLN","Sort=A","Dates=H","DateFormat=P","Fill=—","Direction=H","UseDPDF=Y")</f>
        <v>-40</v>
      </c>
      <c r="N54" s="13">
        <f>_xll.BDH("GILD US Equity","IS_ABNORMAL_TAX_PROV_BENEFIT","FQ3 2021","FQ3 2021","Currency=USD","Period=FQ","BEST_FPERIOD_OVERRIDE=FQ","FILING_STATUS=MR","SCALING_FORMAT=MLN","Sort=A","Dates=H","DateFormat=P","Fill=—","Direction=H","UseDPDF=Y")</f>
        <v>165</v>
      </c>
      <c r="O54" s="13">
        <f>_xll.BDH("GILD US Equity","IS_ABNORMAL_TAX_PROV_BENEFIT","FQ4 2021","FQ4 2021","Currency=USD","Period=FQ","BEST_FPERIOD_OVERRIDE=FQ","FILING_STATUS=MR","SCALING_FORMAT=MLN","Sort=A","Dates=H","DateFormat=P","Fill=—","Direction=H","UseDPDF=Y")</f>
        <v>88</v>
      </c>
      <c r="P54" s="13">
        <f>_xll.BDH("GILD US Equity","IS_ABNORMAL_TAX_PROV_BENEFIT","FQ1 2022","FQ1 2022","Currency=USD","Period=FQ","BEST_FPERIOD_OVERRIDE=FQ","FILING_STATUS=MR","SCALING_FORMAT=MLN","Sort=A","Dates=H","DateFormat=P","Fill=—","Direction=H","UseDPDF=Y")</f>
        <v>38</v>
      </c>
      <c r="Q54" s="13">
        <f>_xll.BDH("GILD US Equity","IS_ABNORMAL_TAX_PROV_BENEFIT","FQ2 2022","FQ2 2022","Currency=USD","Period=FQ","BEST_FPERIOD_OVERRIDE=FQ","FILING_STATUS=MR","SCALING_FORMAT=MLN","Sort=A","Dates=H","DateFormat=P","Fill=—","Direction=H","UseDPDF=Y")</f>
        <v>31</v>
      </c>
      <c r="R54" s="13">
        <f>_xll.BDH("GILD US Equity","IS_ABNORMAL_TAX_PROV_BENEFIT","FQ3 2022","FQ3 2022","Currency=USD","Period=FQ","BEST_FPERIOD_OVERRIDE=FQ","FILING_STATUS=MR","SCALING_FORMAT=MLN","Sort=A","Dates=H","DateFormat=P","Fill=—","Direction=H","UseDPDF=Y")</f>
        <v>49</v>
      </c>
      <c r="S54" s="13">
        <f>_xll.BDH("GILD US Equity","IS_ABNORMAL_TAX_PROV_BENEFIT","FQ4 2022","FQ4 2022","Currency=USD","Period=FQ","BEST_FPERIOD_OVERRIDE=FQ","FILING_STATUS=MR","SCALING_FORMAT=MLN","Sort=A","Dates=H","DateFormat=P","Fill=—","Direction=H","UseDPDF=Y")</f>
        <v>57</v>
      </c>
      <c r="T54" s="13">
        <f>_xll.BDH("GILD US Equity","IS_ABNORMAL_TAX_PROV_BENEFIT","FQ1 2023","FQ1 2023","Currency=USD","Period=FQ","BEST_FPERIOD_OVERRIDE=FQ","FILING_STATUS=MR","SCALING_FORMAT=MLN","Sort=A","Dates=H","DateFormat=P","Fill=—","Direction=H","UseDPDF=Y")</f>
        <v>29</v>
      </c>
      <c r="U54" s="13">
        <f>_xll.BDH("GILD US Equity","IS_ABNORMAL_TAX_PROV_BENEFIT","FQ2 2023","FQ2 2023","Currency=USD","Period=FQ","BEST_FPERIOD_OVERRIDE=FQ","FILING_STATUS=MR","SCALING_FORMAT=MLN","Sort=A","Dates=H","DateFormat=P","Fill=—","Direction=H","UseDPDF=Y")</f>
        <v>227</v>
      </c>
      <c r="V54" s="13">
        <f>_xll.BDH("GILD US Equity","IS_ABNORMAL_TAX_PROV_BENEFIT","FQ3 2023","FQ3 2023","Currency=USD","Period=FQ","BEST_FPERIOD_OVERRIDE=FQ","FILING_STATUS=MR","SCALING_FORMAT=MLN","Sort=A","Dates=H","DateFormat=P","Fill=—","Direction=H","UseDPDF=Y")</f>
        <v>58</v>
      </c>
      <c r="W54" s="13">
        <f>_xll.BDH("GILD US Equity","IS_ABNORMAL_TAX_PROV_BENEFIT","FQ4 2023","FQ4 2023","Currency=USD","Period=FQ","BEST_FPERIOD_OVERRIDE=FQ","FILING_STATUS=MR","SCALING_FORMAT=MLN","Sort=A","Dates=H","DateFormat=P","Fill=—","Direction=H","UseDPDF=Y")</f>
        <v>12</v>
      </c>
      <c r="X54" s="13">
        <f>_xll.BDH("GILD US Equity","IS_ABNORMAL_TAX_PROV_BENEFIT","FQ1 2024","FQ1 2024","Currency=USD","Period=FQ","BEST_FPERIOD_OVERRIDE=FQ","FILING_STATUS=MR","SCALING_FORMAT=MLN","Sort=A","Dates=H","DateFormat=P","Fill=—","Direction=H","UseDPDF=Y")</f>
        <v>39</v>
      </c>
      <c r="Y54" s="13">
        <f>_xll.BDH("GILD US Equity","IS_ABNORMAL_TAX_PROV_BENEFIT","FQ2 2024","FQ2 2024","Currency=USD","Period=FQ","BEST_FPERIOD_OVERRIDE=FQ","FILING_STATUS=MR","SCALING_FORMAT=MLN","Sort=A","Dates=H","DateFormat=P","Fill=—","Direction=H","UseDPDF=Y")</f>
        <v>60</v>
      </c>
      <c r="Z54" s="13">
        <f>_xll.BDH("GILD US Equity","IS_ABNORMAL_TAX_PROV_BENEFIT","FQ3 2024","FQ3 2024","Currency=USD","Period=FQ","BEST_FPERIOD_OVERRIDE=FQ","FILING_STATUS=MR","SCALING_FORMAT=MLN","Sort=A","Dates=H","DateFormat=P","Fill=—","Direction=H","UseDPDF=Y")</f>
        <v>-314</v>
      </c>
      <c r="AA54" s="13">
        <f>_xll.BDH("GILD US Equity","IS_ABNORMAL_TAX_PROV_BENEFIT","FQ4 2024","FQ4 2024","Currency=USD","Period=FQ","BEST_FPERIOD_OVERRIDE=FQ","FILING_STATUS=MR","SCALING_FORMAT=MLN","Sort=A","Dates=H","DateFormat=P","Fill=—","Direction=H","UseDPDF=Y")</f>
        <v>-29</v>
      </c>
    </row>
    <row r="55" spans="1:27" x14ac:dyDescent="0.25">
      <c r="A55" s="6" t="s">
        <v>383</v>
      </c>
      <c r="B55" s="6" t="s">
        <v>80</v>
      </c>
      <c r="C55" s="19">
        <f>_xll.BDH("GILD US Equity","EARN_FOR_COMMON","FQ4 2018","FQ4 2018","Currency=USD","Period=FQ","BEST_FPERIOD_OVERRIDE=FQ","FILING_STATUS=MR","SCALING_FORMAT=MLN","FA_ADJUSTED=Adjusted","Sort=A","Dates=H","DateFormat=P","Fill=—","Direction=H","UseDPDF=Y")</f>
        <v>1457</v>
      </c>
      <c r="D55" s="19">
        <f>_xll.BDH("GILD US Equity","EARN_FOR_COMMON","FQ1 2019","FQ1 2019","Currency=USD","Period=FQ","BEST_FPERIOD_OVERRIDE=FQ","FILING_STATUS=MR","SCALING_FORMAT=MLN","FA_ADJUSTED=Adjusted","Sort=A","Dates=H","DateFormat=P","Fill=—","Direction=H","UseDPDF=Y")</f>
        <v>1881</v>
      </c>
      <c r="E55" s="19">
        <f>_xll.BDH("GILD US Equity","EARN_FOR_COMMON","FQ2 2019","FQ2 2019","Currency=USD","Period=FQ","BEST_FPERIOD_OVERRIDE=FQ","FILING_STATUS=MR","SCALING_FORMAT=MLN","FA_ADJUSTED=Adjusted","Sort=A","Dates=H","DateFormat=P","Fill=—","Direction=H","UseDPDF=Y")</f>
        <v>1944</v>
      </c>
      <c r="F55" s="19">
        <f>_xll.BDH("GILD US Equity","EARN_FOR_COMMON","FQ3 2019","FQ3 2019","Currency=USD","Period=FQ","BEST_FPERIOD_OVERRIDE=FQ","FILING_STATUS=MR","SCALING_FORMAT=MLN","FA_ADJUSTED=Adjusted","Sort=A","Dates=H","DateFormat=P","Fill=—","Direction=H","UseDPDF=Y")</f>
        <v>1844</v>
      </c>
      <c r="G55" s="19">
        <f>_xll.BDH("GILD US Equity","EARN_FOR_COMMON","FQ4 2019","FQ4 2019","Currency=USD","Period=FQ","BEST_FPERIOD_OVERRIDE=FQ","FILING_STATUS=MR","SCALING_FORMAT=MLN","FA_ADJUSTED=Adjusted","Sort=A","Dates=H","DateFormat=P","Fill=—","Direction=H","UseDPDF=Y")</f>
        <v>1153</v>
      </c>
      <c r="H55" s="19">
        <f>_xll.BDH("GILD US Equity","EARN_FOR_COMMON","FQ1 2020","FQ1 2020","Currency=USD","Period=FQ","BEST_FPERIOD_OVERRIDE=FQ","FILING_STATUS=MR","SCALING_FORMAT=MLN","FA_ADJUSTED=Adjusted","Sort=A","Dates=H","DateFormat=P","Fill=—","Direction=H","UseDPDF=Y")</f>
        <v>2139</v>
      </c>
      <c r="I55" s="19">
        <f>_xll.BDH("GILD US Equity","EARN_FOR_COMMON","FQ2 2020","FQ2 2020","Currency=USD","Period=FQ","BEST_FPERIOD_OVERRIDE=FQ","FILING_STATUS=MR","SCALING_FORMAT=MLN","FA_ADJUSTED=Adjusted","Sort=A","Dates=H","DateFormat=P","Fill=—","Direction=H","UseDPDF=Y")</f>
        <v>1176</v>
      </c>
      <c r="J55" s="19">
        <f>_xll.BDH("GILD US Equity","EARN_FOR_COMMON","FQ3 2020","FQ3 2020","Currency=USD","Period=FQ","BEST_FPERIOD_OVERRIDE=FQ","FILING_STATUS=MR","SCALING_FORMAT=MLN","FA_ADJUSTED=Adjusted","Sort=A","Dates=H","DateFormat=P","Fill=—","Direction=H","UseDPDF=Y")</f>
        <v>2431.21</v>
      </c>
      <c r="K55" s="19">
        <f>_xll.BDH("GILD US Equity","EARN_FOR_COMMON","FQ4 2020","FQ4 2020","Currency=USD","Period=FQ","BEST_FPERIOD_OVERRIDE=FQ","FILING_STATUS=MR","SCALING_FORMAT=MLN","FA_ADJUSTED=Adjusted","Sort=A","Dates=H","DateFormat=P","Fill=—","Direction=H","UseDPDF=Y")</f>
        <v>2433</v>
      </c>
      <c r="L55" s="19">
        <f>_xll.BDH("GILD US Equity","EARN_FOR_COMMON","FQ1 2021","FQ1 2021","Currency=USD","Period=FQ","BEST_FPERIOD_OVERRIDE=FQ","FILING_STATUS=MR","SCALING_FORMAT=MLN","FA_ADJUSTED=Adjusted","Sort=A","Dates=H","DateFormat=P","Fill=—","Direction=H","UseDPDF=Y")</f>
        <v>2628</v>
      </c>
      <c r="M55" s="19">
        <f>_xll.BDH("GILD US Equity","EARN_FOR_COMMON","FQ2 2021","FQ2 2021","Currency=USD","Period=FQ","BEST_FPERIOD_OVERRIDE=FQ","FILING_STATUS=MR","SCALING_FORMAT=MLN","FA_ADJUSTED=Adjusted","Sort=A","Dates=H","DateFormat=P","Fill=—","Direction=H","UseDPDF=Y")</f>
        <v>1907</v>
      </c>
      <c r="N55" s="19">
        <f>_xll.BDH("GILD US Equity","EARN_FOR_COMMON","FQ3 2021","FQ3 2021","Currency=USD","Period=FQ","BEST_FPERIOD_OVERRIDE=FQ","FILING_STATUS=MR","SCALING_FORMAT=MLN","FA_ADJUSTED=Adjusted","Sort=A","Dates=H","DateFormat=P","Fill=—","Direction=H","UseDPDF=Y")</f>
        <v>2912.01</v>
      </c>
      <c r="O55" s="19">
        <f>_xll.BDH("GILD US Equity","EARN_FOR_COMMON","FQ4 2021","FQ4 2021","Currency=USD","Period=FQ","BEST_FPERIOD_OVERRIDE=FQ","FILING_STATUS=MR","SCALING_FORMAT=MLN","FA_ADJUSTED=Adjusted","Sort=A","Dates=H","DateFormat=P","Fill=—","Direction=H","UseDPDF=Y")</f>
        <v>952.62</v>
      </c>
      <c r="P55" s="19">
        <f>_xll.BDH("GILD US Equity","EARN_FOR_COMMON","FQ1 2022","FQ1 2022","Currency=USD","Period=FQ","BEST_FPERIOD_OVERRIDE=FQ","FILING_STATUS=MR","SCALING_FORMAT=MLN","FA_ADJUSTED=Adjusted","Sort=A","Dates=H","DateFormat=P","Fill=—","Direction=H","UseDPDF=Y")</f>
        <v>2169</v>
      </c>
      <c r="Q55" s="19">
        <f>_xll.BDH("GILD US Equity","EARN_FOR_COMMON","FQ2 2022","FQ2 2022","Currency=USD","Period=FQ","BEST_FPERIOD_OVERRIDE=FQ","FILING_STATUS=MR","SCALING_FORMAT=MLN","FA_ADJUSTED=Adjusted","Sort=A","Dates=H","DateFormat=P","Fill=—","Direction=H","UseDPDF=Y")</f>
        <v>1802.7</v>
      </c>
      <c r="R55" s="19">
        <f>_xll.BDH("GILD US Equity","EARN_FOR_COMMON","FQ3 2022","FQ3 2022","Currency=USD","Period=FQ","BEST_FPERIOD_OVERRIDE=FQ","FILING_STATUS=MR","SCALING_FORMAT=MLN","FA_ADJUSTED=Adjusted","Sort=A","Dates=H","DateFormat=P","Fill=—","Direction=H","UseDPDF=Y")</f>
        <v>2744.13</v>
      </c>
      <c r="S55" s="19">
        <f>_xll.BDH("GILD US Equity","EARN_FOR_COMMON","FQ4 2022","FQ4 2022","Currency=USD","Period=FQ","BEST_FPERIOD_OVERRIDE=FQ","FILING_STATUS=MR","SCALING_FORMAT=MLN","FA_ADJUSTED=Adjusted","Sort=A","Dates=H","DateFormat=P","Fill=—","Direction=H","UseDPDF=Y")</f>
        <v>1884.82</v>
      </c>
      <c r="T55" s="19">
        <f>_xll.BDH("GILD US Equity","EARN_FOR_COMMON","FQ1 2023","FQ1 2023","Currency=USD","Period=FQ","BEST_FPERIOD_OVERRIDE=FQ","FILING_STATUS=MR","SCALING_FORMAT=MLN","FA_ADJUSTED=Adjusted","Sort=A","Dates=H","DateFormat=P","Fill=—","Direction=H","UseDPDF=Y")</f>
        <v>1681.99</v>
      </c>
      <c r="U55" s="19">
        <f>_xll.BDH("GILD US Equity","EARN_FOR_COMMON","FQ2 2023","FQ2 2023","Currency=USD","Period=FQ","BEST_FPERIOD_OVERRIDE=FQ","FILING_STATUS=MR","SCALING_FORMAT=MLN","FA_ADJUSTED=Adjusted","Sort=A","Dates=H","DateFormat=P","Fill=—","Direction=H","UseDPDF=Y")</f>
        <v>1456.8065999999999</v>
      </c>
      <c r="V55" s="19">
        <f>_xll.BDH("GILD US Equity","EARN_FOR_COMMON","FQ3 2023","FQ3 2023","Currency=USD","Period=FQ","BEST_FPERIOD_OVERRIDE=FQ","FILING_STATUS=MR","SCALING_FORMAT=MLN","FA_ADJUSTED=Adjusted","Sort=A","Dates=H","DateFormat=P","Fill=—","Direction=H","UseDPDF=Y")</f>
        <v>2490.89</v>
      </c>
      <c r="W55" s="19">
        <f>_xll.BDH("GILD US Equity","EARN_FOR_COMMON","FQ4 2023","FQ4 2023","Currency=USD","Period=FQ","BEST_FPERIOD_OVERRIDE=FQ","FILING_STATUS=MR","SCALING_FORMAT=MLN","FA_ADJUSTED=Adjusted","Sort=A","Dates=H","DateFormat=P","Fill=—","Direction=H","UseDPDF=Y")</f>
        <v>1974.13</v>
      </c>
      <c r="X55" s="19">
        <f>_xll.BDH("GILD US Equity","EARN_FOR_COMMON","FQ1 2024","FQ1 2024","Currency=USD","Period=FQ","BEST_FPERIOD_OVERRIDE=FQ","FILING_STATUS=MR","SCALING_FORMAT=MLN","FA_ADJUSTED=Adjusted","Sort=A","Dates=H","DateFormat=P","Fill=—","Direction=H","UseDPDF=Y")</f>
        <v>1161.49</v>
      </c>
      <c r="Y55" s="19">
        <f>_xll.BDH("GILD US Equity","EARN_FOR_COMMON","FQ2 2024","FQ2 2024","Currency=USD","Period=FQ","BEST_FPERIOD_OVERRIDE=FQ","FILING_STATUS=MR","SCALING_FORMAT=MLN","FA_ADJUSTED=Adjusted","Sort=A","Dates=H","DateFormat=P","Fill=—","Direction=H","UseDPDF=Y")</f>
        <v>2091.02</v>
      </c>
      <c r="Z55" s="19">
        <f>_xll.BDH("GILD US Equity","EARN_FOR_COMMON","FQ3 2024","FQ3 2024","Currency=USD","Period=FQ","BEST_FPERIOD_OVERRIDE=FQ","FILING_STATUS=MR","SCALING_FORMAT=MLN","FA_ADJUSTED=Adjusted","Sort=A","Dates=H","DateFormat=P","Fill=—","Direction=H","UseDPDF=Y")</f>
        <v>2470.9499999999998</v>
      </c>
      <c r="AA55" s="19">
        <f>_xll.BDH("GILD US Equity","EARN_FOR_COMMON","FQ4 2024","FQ4 2024","Currency=USD","Period=FQ","BEST_FPERIOD_OVERRIDE=FQ","FILING_STATUS=MR","SCALING_FORMAT=MLN","FA_ADJUSTED=Adjusted","Sort=A","Dates=H","DateFormat=P","Fill=—","Direction=H","UseDPDF=Y")</f>
        <v>1923.31</v>
      </c>
    </row>
    <row r="56" spans="1:27" x14ac:dyDescent="0.25">
      <c r="A56" s="6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x14ac:dyDescent="0.25">
      <c r="A57" s="6" t="s">
        <v>689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x14ac:dyDescent="0.25">
      <c r="A58" s="6" t="s">
        <v>103</v>
      </c>
      <c r="B58" s="6" t="s">
        <v>104</v>
      </c>
      <c r="C58" s="20">
        <f>_xll.BDH("GILD US Equity","IS_DILUTED_EPS","FQ4 2018","FQ4 2018","Currency=USD","Period=FQ","BEST_FPERIOD_OVERRIDE=FQ","FILING_STATUS=MR","FA_ADJUSTED=GAAP","Sort=A","Dates=H","DateFormat=P","Fill=—","Direction=H","UseDPDF=Y")</f>
        <v>0</v>
      </c>
      <c r="D58" s="20">
        <f>_xll.BDH("GILD US Equity","IS_DILUTED_EPS","FQ1 2019","FQ1 2019","Currency=USD","Period=FQ","BEST_FPERIOD_OVERRIDE=FQ","FILING_STATUS=MR","FA_ADJUSTED=GAAP","Sort=A","Dates=H","DateFormat=P","Fill=—","Direction=H","UseDPDF=Y")</f>
        <v>1.54</v>
      </c>
      <c r="E58" s="20">
        <f>_xll.BDH("GILD US Equity","IS_DILUTED_EPS","FQ2 2019","FQ2 2019","Currency=USD","Period=FQ","BEST_FPERIOD_OVERRIDE=FQ","FILING_STATUS=MR","FA_ADJUSTED=GAAP","Sort=A","Dates=H","DateFormat=P","Fill=—","Direction=H","UseDPDF=Y")</f>
        <v>1.47</v>
      </c>
      <c r="F58" s="20">
        <f>_xll.BDH("GILD US Equity","IS_DILUTED_EPS","FQ3 2019","FQ3 2019","Currency=USD","Period=FQ","BEST_FPERIOD_OVERRIDE=FQ","FILING_STATUS=MR","FA_ADJUSTED=GAAP","Sort=A","Dates=H","DateFormat=P","Fill=—","Direction=H","UseDPDF=Y")</f>
        <v>-0.92</v>
      </c>
      <c r="G58" s="20">
        <f>_xll.BDH("GILD US Equity","IS_DILUTED_EPS","FQ4 2019","FQ4 2019","Currency=USD","Period=FQ","BEST_FPERIOD_OVERRIDE=FQ","FILING_STATUS=MR","FA_ADJUSTED=GAAP","Sort=A","Dates=H","DateFormat=P","Fill=—","Direction=H","UseDPDF=Y")</f>
        <v>2.12</v>
      </c>
      <c r="H58" s="20">
        <f>_xll.BDH("GILD US Equity","IS_DILUTED_EPS","FQ1 2020","FQ1 2020","Currency=USD","Period=FQ","BEST_FPERIOD_OVERRIDE=FQ","FILING_STATUS=MR","FA_ADJUSTED=GAAP","Sort=A","Dates=H","DateFormat=P","Fill=—","Direction=H","UseDPDF=Y")</f>
        <v>1.22</v>
      </c>
      <c r="I58" s="20">
        <f>_xll.BDH("GILD US Equity","IS_DILUTED_EPS","FQ2 2020","FQ2 2020","Currency=USD","Period=FQ","BEST_FPERIOD_OVERRIDE=FQ","FILING_STATUS=MR","FA_ADJUSTED=GAAP","Sort=A","Dates=H","DateFormat=P","Fill=—","Direction=H","UseDPDF=Y")</f>
        <v>-2.66</v>
      </c>
      <c r="J58" s="20">
        <f>_xll.BDH("GILD US Equity","IS_DILUTED_EPS","FQ3 2020","FQ3 2020","Currency=USD","Period=FQ","BEST_FPERIOD_OVERRIDE=FQ","FILING_STATUS=MR","FA_ADJUSTED=GAAP","Sort=A","Dates=H","DateFormat=P","Fill=—","Direction=H","UseDPDF=Y")</f>
        <v>0.28999999999999998</v>
      </c>
      <c r="K58" s="20">
        <f>_xll.BDH("GILD US Equity","IS_DILUTED_EPS","FQ4 2020","FQ4 2020","Currency=USD","Period=FQ","BEST_FPERIOD_OVERRIDE=FQ","FILING_STATUS=MR","FA_ADJUSTED=GAAP","Sort=A","Dates=H","DateFormat=P","Fill=—","Direction=H","UseDPDF=Y")</f>
        <v>1.23</v>
      </c>
      <c r="L58" s="20">
        <f>_xll.BDH("GILD US Equity","IS_DILUTED_EPS","FQ1 2021","FQ1 2021","Currency=USD","Period=FQ","BEST_FPERIOD_OVERRIDE=FQ","FILING_STATUS=MR","FA_ADJUSTED=GAAP","Sort=A","Dates=H","DateFormat=P","Fill=—","Direction=H","UseDPDF=Y")</f>
        <v>1.37</v>
      </c>
      <c r="M58" s="20">
        <f>_xll.BDH("GILD US Equity","IS_DILUTED_EPS","FQ2 2021","FQ2 2021","Currency=USD","Period=FQ","BEST_FPERIOD_OVERRIDE=FQ","FILING_STATUS=MR","FA_ADJUSTED=GAAP","Sort=A","Dates=H","DateFormat=P","Fill=—","Direction=H","UseDPDF=Y")</f>
        <v>1.21</v>
      </c>
      <c r="N58" s="20">
        <f>_xll.BDH("GILD US Equity","IS_DILUTED_EPS","FQ3 2021","FQ3 2021","Currency=USD","Period=FQ","BEST_FPERIOD_OVERRIDE=FQ","FILING_STATUS=MR","FA_ADJUSTED=GAAP","Sort=A","Dates=H","DateFormat=P","Fill=—","Direction=H","UseDPDF=Y")</f>
        <v>2.0499999999999998</v>
      </c>
      <c r="O58" s="20">
        <f>_xll.BDH("GILD US Equity","IS_DILUTED_EPS","FQ4 2021","FQ4 2021","Currency=USD","Period=FQ","BEST_FPERIOD_OVERRIDE=FQ","FILING_STATUS=MR","FA_ADJUSTED=GAAP","Sort=A","Dates=H","DateFormat=P","Fill=—","Direction=H","UseDPDF=Y")</f>
        <v>0.3</v>
      </c>
      <c r="P58" s="20">
        <f>_xll.BDH("GILD US Equity","IS_DILUTED_EPS","FQ1 2022","FQ1 2022","Currency=USD","Period=FQ","BEST_FPERIOD_OVERRIDE=FQ","FILING_STATUS=MR","FA_ADJUSTED=GAAP","Sort=A","Dates=H","DateFormat=P","Fill=—","Direction=H","UseDPDF=Y")</f>
        <v>0.02</v>
      </c>
      <c r="Q58" s="20">
        <f>_xll.BDH("GILD US Equity","IS_DILUTED_EPS","FQ2 2022","FQ2 2022","Currency=USD","Period=FQ","BEST_FPERIOD_OVERRIDE=FQ","FILING_STATUS=MR","FA_ADJUSTED=GAAP","Sort=A","Dates=H","DateFormat=P","Fill=—","Direction=H","UseDPDF=Y")</f>
        <v>0.91</v>
      </c>
      <c r="R58" s="20">
        <f>_xll.BDH("GILD US Equity","IS_DILUTED_EPS","FQ3 2022","FQ3 2022","Currency=USD","Period=FQ","BEST_FPERIOD_OVERRIDE=FQ","FILING_STATUS=MR","FA_ADJUSTED=GAAP","Sort=A","Dates=H","DateFormat=P","Fill=—","Direction=H","UseDPDF=Y")</f>
        <v>1.42</v>
      </c>
      <c r="S58" s="20">
        <f>_xll.BDH("GILD US Equity","IS_DILUTED_EPS","FQ4 2022","FQ4 2022","Currency=USD","Period=FQ","BEST_FPERIOD_OVERRIDE=FQ","FILING_STATUS=MR","FA_ADJUSTED=GAAP","Sort=A","Dates=H","DateFormat=P","Fill=—","Direction=H","UseDPDF=Y")</f>
        <v>1.3</v>
      </c>
      <c r="T58" s="20">
        <f>_xll.BDH("GILD US Equity","IS_DILUTED_EPS","FQ1 2023","FQ1 2023","Currency=USD","Period=FQ","BEST_FPERIOD_OVERRIDE=FQ","FILING_STATUS=MR","FA_ADJUSTED=GAAP","Sort=A","Dates=H","DateFormat=P","Fill=—","Direction=H","UseDPDF=Y")</f>
        <v>0.8</v>
      </c>
      <c r="U58" s="20">
        <f>_xll.BDH("GILD US Equity","IS_DILUTED_EPS","FQ2 2023","FQ2 2023","Currency=USD","Period=FQ","BEST_FPERIOD_OVERRIDE=FQ","FILING_STATUS=MR","FA_ADJUSTED=GAAP","Sort=A","Dates=H","DateFormat=P","Fill=—","Direction=H","UseDPDF=Y")</f>
        <v>0.83</v>
      </c>
      <c r="V58" s="20">
        <f>_xll.BDH("GILD US Equity","IS_DILUTED_EPS","FQ3 2023","FQ3 2023","Currency=USD","Period=FQ","BEST_FPERIOD_OVERRIDE=FQ","FILING_STATUS=MR","FA_ADJUSTED=GAAP","Sort=A","Dates=H","DateFormat=P","Fill=—","Direction=H","UseDPDF=Y")</f>
        <v>1.73</v>
      </c>
      <c r="W58" s="20">
        <f>_xll.BDH("GILD US Equity","IS_DILUTED_EPS","FQ4 2023","FQ4 2023","Currency=USD","Period=FQ","BEST_FPERIOD_OVERRIDE=FQ","FILING_STATUS=MR","FA_ADJUSTED=GAAP","Sort=A","Dates=H","DateFormat=P","Fill=—","Direction=H","UseDPDF=Y")</f>
        <v>1.1399999999999999</v>
      </c>
      <c r="X58" s="20">
        <f>_xll.BDH("GILD US Equity","IS_DILUTED_EPS","FQ1 2024","FQ1 2024","Currency=USD","Period=FQ","BEST_FPERIOD_OVERRIDE=FQ","FILING_STATUS=MR","FA_ADJUSTED=GAAP","Sort=A","Dates=H","DateFormat=P","Fill=—","Direction=H","UseDPDF=Y")</f>
        <v>-3.34</v>
      </c>
      <c r="Y58" s="20">
        <f>_xll.BDH("GILD US Equity","IS_DILUTED_EPS","FQ2 2024","FQ2 2024","Currency=USD","Period=FQ","BEST_FPERIOD_OVERRIDE=FQ","FILING_STATUS=MR","FA_ADJUSTED=GAAP","Sort=A","Dates=H","DateFormat=P","Fill=—","Direction=H","UseDPDF=Y")</f>
        <v>1.29</v>
      </c>
      <c r="Z58" s="20">
        <f>_xll.BDH("GILD US Equity","IS_DILUTED_EPS","FQ3 2024","FQ3 2024","Currency=USD","Period=FQ","BEST_FPERIOD_OVERRIDE=FQ","FILING_STATUS=MR","FA_ADJUSTED=GAAP","Sort=A","Dates=H","DateFormat=P","Fill=—","Direction=H","UseDPDF=Y")</f>
        <v>1</v>
      </c>
      <c r="AA58" s="20">
        <f>_xll.BDH("GILD US Equity","IS_DILUTED_EPS","FQ4 2024","FQ4 2024","Currency=USD","Period=FQ","BEST_FPERIOD_OVERRIDE=FQ","FILING_STATUS=MR","FA_ADJUSTED=GAAP","Sort=A","Dates=H","DateFormat=P","Fill=—","Direction=H","UseDPDF=Y")</f>
        <v>1.42</v>
      </c>
    </row>
    <row r="59" spans="1:27" x14ac:dyDescent="0.25">
      <c r="A59" s="10" t="s">
        <v>676</v>
      </c>
      <c r="B59" s="10" t="s">
        <v>690</v>
      </c>
      <c r="C59" s="14">
        <f>_xll.BDH("GILD US Equity","IS_DISC_OPS_DILUTED_SH","FQ4 2018","FQ4 2018","Currency=USD","Period=FQ","BEST_FPERIOD_OVERRIDE=FQ","FILING_STATUS=MR","Sort=A","Dates=H","DateFormat=P","Fill=—","Direction=H","UseDPDF=Y")</f>
        <v>0</v>
      </c>
      <c r="D59" s="14" t="str">
        <f>_xll.BDH("GILD US Equity","IS_DISC_OPS_DILUTED_SH","FQ1 2019","FQ1 2019","Currency=USD","Period=FQ","BEST_FPERIOD_OVERRIDE=FQ","FILING_STATUS=MR","Sort=A","Dates=H","DateFormat=P","Fill=—","Direction=H","UseDPDF=Y")</f>
        <v>—</v>
      </c>
      <c r="E59" s="14" t="str">
        <f>_xll.BDH("GILD US Equity","IS_DISC_OPS_DILUTED_SH","FQ2 2019","FQ2 2019","Currency=USD","Period=FQ","BEST_FPERIOD_OVERRIDE=FQ","FILING_STATUS=MR","Sort=A","Dates=H","DateFormat=P","Fill=—","Direction=H","UseDPDF=Y")</f>
        <v>—</v>
      </c>
      <c r="F59" s="14" t="str">
        <f>_xll.BDH("GILD US Equity","IS_DISC_OPS_DILUTED_SH","FQ3 2019","FQ3 2019","Currency=USD","Period=FQ","BEST_FPERIOD_OVERRIDE=FQ","FILING_STATUS=MR","Sort=A","Dates=H","DateFormat=P","Fill=—","Direction=H","UseDPDF=Y")</f>
        <v>—</v>
      </c>
      <c r="G59" s="14">
        <f>_xll.BDH("GILD US Equity","IS_DISC_OPS_DILUTED_SH","FQ4 2019","FQ4 2019","Currency=USD","Period=FQ","BEST_FPERIOD_OVERRIDE=FQ","FILING_STATUS=MR","Sort=A","Dates=H","DateFormat=P","Fill=—","Direction=H","UseDPDF=Y")</f>
        <v>0</v>
      </c>
      <c r="H59" s="14" t="str">
        <f>_xll.BDH("GILD US Equity","IS_DISC_OPS_DILUTED_SH","FQ1 2020","FQ1 2020","Currency=USD","Period=FQ","BEST_FPERIOD_OVERRIDE=FQ","FILING_STATUS=MR","Sort=A","Dates=H","DateFormat=P","Fill=—","Direction=H","UseDPDF=Y")</f>
        <v>—</v>
      </c>
      <c r="I59" s="14">
        <f>_xll.BDH("GILD US Equity","IS_DISC_OPS_DILUTED_SH","FQ2 2020","FQ2 2020","Currency=USD","Period=FQ","BEST_FPERIOD_OVERRIDE=FQ","FILING_STATUS=MR","Sort=A","Dates=H","DateFormat=P","Fill=—","Direction=H","UseDPDF=Y")</f>
        <v>0</v>
      </c>
      <c r="J59" s="14" t="str">
        <f>_xll.BDH("GILD US Equity","IS_DISC_OPS_DILUTED_SH","FQ3 2020","FQ3 2020","Currency=USD","Period=FQ","BEST_FPERIOD_OVERRIDE=FQ","FILING_STATUS=MR","Sort=A","Dates=H","DateFormat=P","Fill=—","Direction=H","UseDPDF=Y")</f>
        <v>—</v>
      </c>
      <c r="K59" s="14">
        <f>_xll.BDH("GILD US Equity","IS_DISC_OPS_DILUTED_SH","FQ4 2020","FQ4 2020","Currency=USD","Period=FQ","BEST_FPERIOD_OVERRIDE=FQ","FILING_STATUS=MR","Sort=A","Dates=H","DateFormat=P","Fill=—","Direction=H","UseDPDF=Y")</f>
        <v>0</v>
      </c>
      <c r="L59" s="14">
        <f>_xll.BDH("GILD US Equity","IS_DISC_OPS_DILUTED_SH","FQ1 2021","FQ1 2021","Currency=USD","Period=FQ","BEST_FPERIOD_OVERRIDE=FQ","FILING_STATUS=MR","Sort=A","Dates=H","DateFormat=P","Fill=—","Direction=H","UseDPDF=Y")</f>
        <v>0</v>
      </c>
      <c r="M59" s="14">
        <f>_xll.BDH("GILD US Equity","IS_DISC_OPS_DILUTED_SH","FQ2 2021","FQ2 2021","Currency=USD","Period=FQ","BEST_FPERIOD_OVERRIDE=FQ","FILING_STATUS=MR","Sort=A","Dates=H","DateFormat=P","Fill=—","Direction=H","UseDPDF=Y")</f>
        <v>0</v>
      </c>
      <c r="N59" s="14">
        <f>_xll.BDH("GILD US Equity","IS_DISC_OPS_DILUTED_SH","FQ3 2021","FQ3 2021","Currency=USD","Period=FQ","BEST_FPERIOD_OVERRIDE=FQ","FILING_STATUS=MR","Sort=A","Dates=H","DateFormat=P","Fill=—","Direction=H","UseDPDF=Y")</f>
        <v>0</v>
      </c>
      <c r="O59" s="14">
        <f>_xll.BDH("GILD US Equity","IS_DISC_OPS_DILUTED_SH","FQ4 2021","FQ4 2021","Currency=USD","Period=FQ","BEST_FPERIOD_OVERRIDE=FQ","FILING_STATUS=MR","Sort=A","Dates=H","DateFormat=P","Fill=—","Direction=H","UseDPDF=Y")</f>
        <v>0</v>
      </c>
      <c r="P59" s="14">
        <f>_xll.BDH("GILD US Equity","IS_DISC_OPS_DILUTED_SH","FQ1 2022","FQ1 2022","Currency=USD","Period=FQ","BEST_FPERIOD_OVERRIDE=FQ","FILING_STATUS=MR","Sort=A","Dates=H","DateFormat=P","Fill=—","Direction=H","UseDPDF=Y")</f>
        <v>0</v>
      </c>
      <c r="Q59" s="14" t="str">
        <f>_xll.BDH("GILD US Equity","IS_DISC_OPS_DILUTED_SH","FQ2 2022","FQ2 2022","Currency=USD","Period=FQ","BEST_FPERIOD_OVERRIDE=FQ","FILING_STATUS=MR","Sort=A","Dates=H","DateFormat=P","Fill=—","Direction=H","UseDPDF=Y")</f>
        <v>—</v>
      </c>
      <c r="R59" s="14">
        <f>_xll.BDH("GILD US Equity","IS_DISC_OPS_DILUTED_SH","FQ3 2022","FQ3 2022","Currency=USD","Period=FQ","BEST_FPERIOD_OVERRIDE=FQ","FILING_STATUS=MR","Sort=A","Dates=H","DateFormat=P","Fill=—","Direction=H","UseDPDF=Y")</f>
        <v>0</v>
      </c>
      <c r="S59" s="14">
        <f>_xll.BDH("GILD US Equity","IS_DISC_OPS_DILUTED_SH","FQ4 2022","FQ4 2022","Currency=USD","Period=FQ","BEST_FPERIOD_OVERRIDE=FQ","FILING_STATUS=MR","Sort=A","Dates=H","DateFormat=P","Fill=—","Direction=H","UseDPDF=Y")</f>
        <v>0</v>
      </c>
      <c r="T59" s="14">
        <f>_xll.BDH("GILD US Equity","IS_DISC_OPS_DILUTED_SH","FQ1 2023","FQ1 2023","Currency=USD","Period=FQ","BEST_FPERIOD_OVERRIDE=FQ","FILING_STATUS=MR","Sort=A","Dates=H","DateFormat=P","Fill=—","Direction=H","UseDPDF=Y")</f>
        <v>0</v>
      </c>
      <c r="U59" s="14">
        <f>_xll.BDH("GILD US Equity","IS_DISC_OPS_DILUTED_SH","FQ2 2023","FQ2 2023","Currency=USD","Period=FQ","BEST_FPERIOD_OVERRIDE=FQ","FILING_STATUS=MR","Sort=A","Dates=H","DateFormat=P","Fill=—","Direction=H","UseDPDF=Y")</f>
        <v>0</v>
      </c>
      <c r="V59" s="14">
        <f>_xll.BDH("GILD US Equity","IS_DISC_OPS_DILUTED_SH","FQ3 2023","FQ3 2023","Currency=USD","Period=FQ","BEST_FPERIOD_OVERRIDE=FQ","FILING_STATUS=MR","Sort=A","Dates=H","DateFormat=P","Fill=—","Direction=H","UseDPDF=Y")</f>
        <v>0</v>
      </c>
      <c r="W59" s="14" t="str">
        <f>_xll.BDH("GILD US Equity","IS_DISC_OPS_DILUTED_SH","FQ4 2023","FQ4 2023","Currency=USD","Period=FQ","BEST_FPERIOD_OVERRIDE=FQ","FILING_STATUS=MR","Sort=A","Dates=H","DateFormat=P","Fill=—","Direction=H","UseDPDF=Y")</f>
        <v>—</v>
      </c>
      <c r="X59" s="14">
        <f>_xll.BDH("GILD US Equity","IS_DISC_OPS_DILUTED_SH","FQ1 2024","FQ1 2024","Currency=USD","Period=FQ","BEST_FPERIOD_OVERRIDE=FQ","FILING_STATUS=MR","Sort=A","Dates=H","DateFormat=P","Fill=—","Direction=H","UseDPDF=Y")</f>
        <v>0</v>
      </c>
      <c r="Y59" s="14">
        <f>_xll.BDH("GILD US Equity","IS_DISC_OPS_DILUTED_SH","FQ2 2024","FQ2 2024","Currency=USD","Period=FQ","BEST_FPERIOD_OVERRIDE=FQ","FILING_STATUS=MR","Sort=A","Dates=H","DateFormat=P","Fill=—","Direction=H","UseDPDF=Y")</f>
        <v>0</v>
      </c>
      <c r="Z59" s="14">
        <f>_xll.BDH("GILD US Equity","IS_DISC_OPS_DILUTED_SH","FQ3 2024","FQ3 2024","Currency=USD","Period=FQ","BEST_FPERIOD_OVERRIDE=FQ","FILING_STATUS=MR","Sort=A","Dates=H","DateFormat=P","Fill=—","Direction=H","UseDPDF=Y")</f>
        <v>0</v>
      </c>
      <c r="AA59" s="14">
        <f>_xll.BDH("GILD US Equity","IS_DISC_OPS_DILUTED_SH","FQ4 2024","FQ4 2024","Currency=USD","Period=FQ","BEST_FPERIOD_OVERRIDE=FQ","FILING_STATUS=MR","Sort=A","Dates=H","DateFormat=P","Fill=—","Direction=H","UseDPDF=Y")</f>
        <v>0</v>
      </c>
    </row>
    <row r="60" spans="1:27" x14ac:dyDescent="0.25">
      <c r="A60" s="10" t="s">
        <v>677</v>
      </c>
      <c r="B60" s="10" t="s">
        <v>691</v>
      </c>
      <c r="C60" s="14">
        <f>_xll.BDH("GILD US Equity","IS_XO_ITEMS_ACCT_CHG_DIL_SH","FQ4 2018","FQ4 2018","Currency=USD","Period=FQ","BEST_FPERIOD_OVERRIDE=FQ","FILING_STATUS=MR","Sort=A","Dates=H","DateFormat=P","Fill=—","Direction=H","UseDPDF=Y")</f>
        <v>0</v>
      </c>
      <c r="D60" s="14">
        <f>_xll.BDH("GILD US Equity","IS_XO_ITEMS_ACCT_CHG_DIL_SH","FQ1 2019","FQ1 2019","Currency=USD","Period=FQ","BEST_FPERIOD_OVERRIDE=FQ","FILING_STATUS=MR","Sort=A","Dates=H","DateFormat=P","Fill=—","Direction=H","UseDPDF=Y")</f>
        <v>0</v>
      </c>
      <c r="E60" s="14">
        <f>_xll.BDH("GILD US Equity","IS_XO_ITEMS_ACCT_CHG_DIL_SH","FQ2 2019","FQ2 2019","Currency=USD","Period=FQ","BEST_FPERIOD_OVERRIDE=FQ","FILING_STATUS=MR","Sort=A","Dates=H","DateFormat=P","Fill=—","Direction=H","UseDPDF=Y")</f>
        <v>0</v>
      </c>
      <c r="F60" s="14">
        <f>_xll.BDH("GILD US Equity","IS_XO_ITEMS_ACCT_CHG_DIL_SH","FQ3 2019","FQ3 2019","Currency=USD","Period=FQ","BEST_FPERIOD_OVERRIDE=FQ","FILING_STATUS=MR","Sort=A","Dates=H","DateFormat=P","Fill=—","Direction=H","UseDPDF=Y")</f>
        <v>0</v>
      </c>
      <c r="G60" s="14">
        <f>_xll.BDH("GILD US Equity","IS_XO_ITEMS_ACCT_CHG_DIL_SH","FQ4 2019","FQ4 2019","Currency=USD","Period=FQ","BEST_FPERIOD_OVERRIDE=FQ","FILING_STATUS=MR","Sort=A","Dates=H","DateFormat=P","Fill=—","Direction=H","UseDPDF=Y")</f>
        <v>0</v>
      </c>
      <c r="H60" s="14">
        <f>_xll.BDH("GILD US Equity","IS_XO_ITEMS_ACCT_CHG_DIL_SH","FQ1 2020","FQ1 2020","Currency=USD","Period=FQ","BEST_FPERIOD_OVERRIDE=FQ","FILING_STATUS=MR","Sort=A","Dates=H","DateFormat=P","Fill=—","Direction=H","UseDPDF=Y")</f>
        <v>0</v>
      </c>
      <c r="I60" s="14">
        <f>_xll.BDH("GILD US Equity","IS_XO_ITEMS_ACCT_CHG_DIL_SH","FQ2 2020","FQ2 2020","Currency=USD","Period=FQ","BEST_FPERIOD_OVERRIDE=FQ","FILING_STATUS=MR","Sort=A","Dates=H","DateFormat=P","Fill=—","Direction=H","UseDPDF=Y")</f>
        <v>0</v>
      </c>
      <c r="J60" s="14">
        <f>_xll.BDH("GILD US Equity","IS_XO_ITEMS_ACCT_CHG_DIL_SH","FQ3 2020","FQ3 2020","Currency=USD","Period=FQ","BEST_FPERIOD_OVERRIDE=FQ","FILING_STATUS=MR","Sort=A","Dates=H","DateFormat=P","Fill=—","Direction=H","UseDPDF=Y")</f>
        <v>0</v>
      </c>
      <c r="K60" s="14">
        <f>_xll.BDH("GILD US Equity","IS_XO_ITEMS_ACCT_CHG_DIL_SH","FQ4 2020","FQ4 2020","Currency=USD","Period=FQ","BEST_FPERIOD_OVERRIDE=FQ","FILING_STATUS=MR","Sort=A","Dates=H","DateFormat=P","Fill=—","Direction=H","UseDPDF=Y")</f>
        <v>0</v>
      </c>
      <c r="L60" s="14">
        <f>_xll.BDH("GILD US Equity","IS_XO_ITEMS_ACCT_CHG_DIL_SH","FQ1 2021","FQ1 2021","Currency=USD","Period=FQ","BEST_FPERIOD_OVERRIDE=FQ","FILING_STATUS=MR","Sort=A","Dates=H","DateFormat=P","Fill=—","Direction=H","UseDPDF=Y")</f>
        <v>0</v>
      </c>
      <c r="M60" s="14">
        <f>_xll.BDH("GILD US Equity","IS_XO_ITEMS_ACCT_CHG_DIL_SH","FQ2 2021","FQ2 2021","Currency=USD","Period=FQ","BEST_FPERIOD_OVERRIDE=FQ","FILING_STATUS=MR","Sort=A","Dates=H","DateFormat=P","Fill=—","Direction=H","UseDPDF=Y")</f>
        <v>0</v>
      </c>
      <c r="N60" s="14">
        <f>_xll.BDH("GILD US Equity","IS_XO_ITEMS_ACCT_CHG_DIL_SH","FQ3 2021","FQ3 2021","Currency=USD","Period=FQ","BEST_FPERIOD_OVERRIDE=FQ","FILING_STATUS=MR","Sort=A","Dates=H","DateFormat=P","Fill=—","Direction=H","UseDPDF=Y")</f>
        <v>0</v>
      </c>
      <c r="O60" s="14">
        <f>_xll.BDH("GILD US Equity","IS_XO_ITEMS_ACCT_CHG_DIL_SH","FQ4 2021","FQ4 2021","Currency=USD","Period=FQ","BEST_FPERIOD_OVERRIDE=FQ","FILING_STATUS=MR","Sort=A","Dates=H","DateFormat=P","Fill=—","Direction=H","UseDPDF=Y")</f>
        <v>0</v>
      </c>
      <c r="P60" s="14">
        <f>_xll.BDH("GILD US Equity","IS_XO_ITEMS_ACCT_CHG_DIL_SH","FQ1 2022","FQ1 2022","Currency=USD","Period=FQ","BEST_FPERIOD_OVERRIDE=FQ","FILING_STATUS=MR","Sort=A","Dates=H","DateFormat=P","Fill=—","Direction=H","UseDPDF=Y")</f>
        <v>0</v>
      </c>
      <c r="Q60" s="14">
        <f>_xll.BDH("GILD US Equity","IS_XO_ITEMS_ACCT_CHG_DIL_SH","FQ2 2022","FQ2 2022","Currency=USD","Period=FQ","BEST_FPERIOD_OVERRIDE=FQ","FILING_STATUS=MR","Sort=A","Dates=H","DateFormat=P","Fill=—","Direction=H","UseDPDF=Y")</f>
        <v>0</v>
      </c>
      <c r="R60" s="14">
        <f>_xll.BDH("GILD US Equity","IS_XO_ITEMS_ACCT_CHG_DIL_SH","FQ3 2022","FQ3 2022","Currency=USD","Period=FQ","BEST_FPERIOD_OVERRIDE=FQ","FILING_STATUS=MR","Sort=A","Dates=H","DateFormat=P","Fill=—","Direction=H","UseDPDF=Y")</f>
        <v>0</v>
      </c>
      <c r="S60" s="14">
        <f>_xll.BDH("GILD US Equity","IS_XO_ITEMS_ACCT_CHG_DIL_SH","FQ4 2022","FQ4 2022","Currency=USD","Period=FQ","BEST_FPERIOD_OVERRIDE=FQ","FILING_STATUS=MR","Sort=A","Dates=H","DateFormat=P","Fill=—","Direction=H","UseDPDF=Y")</f>
        <v>0</v>
      </c>
      <c r="T60" s="14">
        <f>_xll.BDH("GILD US Equity","IS_XO_ITEMS_ACCT_CHG_DIL_SH","FQ1 2023","FQ1 2023","Currency=USD","Period=FQ","BEST_FPERIOD_OVERRIDE=FQ","FILING_STATUS=MR","Sort=A","Dates=H","DateFormat=P","Fill=—","Direction=H","UseDPDF=Y")</f>
        <v>0</v>
      </c>
      <c r="U60" s="14">
        <f>_xll.BDH("GILD US Equity","IS_XO_ITEMS_ACCT_CHG_DIL_SH","FQ2 2023","FQ2 2023","Currency=USD","Period=FQ","BEST_FPERIOD_OVERRIDE=FQ","FILING_STATUS=MR","Sort=A","Dates=H","DateFormat=P","Fill=—","Direction=H","UseDPDF=Y")</f>
        <v>0</v>
      </c>
      <c r="V60" s="14">
        <f>_xll.BDH("GILD US Equity","IS_XO_ITEMS_ACCT_CHG_DIL_SH","FQ3 2023","FQ3 2023","Currency=USD","Period=FQ","BEST_FPERIOD_OVERRIDE=FQ","FILING_STATUS=MR","Sort=A","Dates=H","DateFormat=P","Fill=—","Direction=H","UseDPDF=Y")</f>
        <v>0</v>
      </c>
      <c r="W60" s="14">
        <f>_xll.BDH("GILD US Equity","IS_XO_ITEMS_ACCT_CHG_DIL_SH","FQ4 2023","FQ4 2023","Currency=USD","Period=FQ","BEST_FPERIOD_OVERRIDE=FQ","FILING_STATUS=MR","Sort=A","Dates=H","DateFormat=P","Fill=—","Direction=H","UseDPDF=Y")</f>
        <v>0</v>
      </c>
      <c r="X60" s="14">
        <f>_xll.BDH("GILD US Equity","IS_XO_ITEMS_ACCT_CHG_DIL_SH","FQ1 2024","FQ1 2024","Currency=USD","Period=FQ","BEST_FPERIOD_OVERRIDE=FQ","FILING_STATUS=MR","Sort=A","Dates=H","DateFormat=P","Fill=—","Direction=H","UseDPDF=Y")</f>
        <v>0</v>
      </c>
      <c r="Y60" s="14">
        <f>_xll.BDH("GILD US Equity","IS_XO_ITEMS_ACCT_CHG_DIL_SH","FQ2 2024","FQ2 2024","Currency=USD","Period=FQ","BEST_FPERIOD_OVERRIDE=FQ","FILING_STATUS=MR","Sort=A","Dates=H","DateFormat=P","Fill=—","Direction=H","UseDPDF=Y")</f>
        <v>0</v>
      </c>
      <c r="Z60" s="14">
        <f>_xll.BDH("GILD US Equity","IS_XO_ITEMS_ACCT_CHG_DIL_SH","FQ3 2024","FQ3 2024","Currency=USD","Period=FQ","BEST_FPERIOD_OVERRIDE=FQ","FILING_STATUS=MR","Sort=A","Dates=H","DateFormat=P","Fill=—","Direction=H","UseDPDF=Y")</f>
        <v>0</v>
      </c>
      <c r="AA60" s="14">
        <f>_xll.BDH("GILD US Equity","IS_XO_ITEMS_ACCT_CHG_DIL_SH","FQ4 2024","FQ4 2024","Currency=USD","Period=FQ","BEST_FPERIOD_OVERRIDE=FQ","FILING_STATUS=MR","Sort=A","Dates=H","DateFormat=P","Fill=—","Direction=H","UseDPDF=Y")</f>
        <v>0</v>
      </c>
    </row>
    <row r="61" spans="1:27" x14ac:dyDescent="0.25">
      <c r="A61" s="6" t="s">
        <v>389</v>
      </c>
      <c r="B61" s="6" t="s">
        <v>271</v>
      </c>
      <c r="C61" s="20">
        <f>_xll.BDH("GILD US Equity","IS_DIL_EPS_BEF_XO","FQ4 2018","FQ4 2018","Currency=USD","Period=FQ","BEST_FPERIOD_OVERRIDE=FQ","FILING_STATUS=MR","Sort=A","Dates=H","DateFormat=P","Fill=—","Direction=H","UseDPDF=Y")</f>
        <v>0</v>
      </c>
      <c r="D61" s="20">
        <f>_xll.BDH("GILD US Equity","IS_DIL_EPS_BEF_XO","FQ1 2019","FQ1 2019","Currency=USD","Period=FQ","BEST_FPERIOD_OVERRIDE=FQ","FILING_STATUS=MR","Sort=A","Dates=H","DateFormat=P","Fill=—","Direction=H","UseDPDF=Y")</f>
        <v>1.54</v>
      </c>
      <c r="E61" s="20">
        <f>_xll.BDH("GILD US Equity","IS_DIL_EPS_BEF_XO","FQ2 2019","FQ2 2019","Currency=USD","Period=FQ","BEST_FPERIOD_OVERRIDE=FQ","FILING_STATUS=MR","Sort=A","Dates=H","DateFormat=P","Fill=—","Direction=H","UseDPDF=Y")</f>
        <v>1.47</v>
      </c>
      <c r="F61" s="20">
        <f>_xll.BDH("GILD US Equity","IS_DIL_EPS_BEF_XO","FQ3 2019","FQ3 2019","Currency=USD","Period=FQ","BEST_FPERIOD_OVERRIDE=FQ","FILING_STATUS=MR","Sort=A","Dates=H","DateFormat=P","Fill=—","Direction=H","UseDPDF=Y")</f>
        <v>-0.92</v>
      </c>
      <c r="G61" s="20">
        <f>_xll.BDH("GILD US Equity","IS_DIL_EPS_BEF_XO","FQ4 2019","FQ4 2019","Currency=USD","Period=FQ","BEST_FPERIOD_OVERRIDE=FQ","FILING_STATUS=MR","Sort=A","Dates=H","DateFormat=P","Fill=—","Direction=H","UseDPDF=Y")</f>
        <v>2.12</v>
      </c>
      <c r="H61" s="20">
        <f>_xll.BDH("GILD US Equity","IS_DIL_EPS_BEF_XO","FQ1 2020","FQ1 2020","Currency=USD","Period=FQ","BEST_FPERIOD_OVERRIDE=FQ","FILING_STATUS=MR","Sort=A","Dates=H","DateFormat=P","Fill=—","Direction=H","UseDPDF=Y")</f>
        <v>1.22</v>
      </c>
      <c r="I61" s="20">
        <f>_xll.BDH("GILD US Equity","IS_DIL_EPS_BEF_XO","FQ2 2020","FQ2 2020","Currency=USD","Period=FQ","BEST_FPERIOD_OVERRIDE=FQ","FILING_STATUS=MR","Sort=A","Dates=H","DateFormat=P","Fill=—","Direction=H","UseDPDF=Y")</f>
        <v>-2.66</v>
      </c>
      <c r="J61" s="20">
        <f>_xll.BDH("GILD US Equity","IS_DIL_EPS_BEF_XO","FQ3 2020","FQ3 2020","Currency=USD","Period=FQ","BEST_FPERIOD_OVERRIDE=FQ","FILING_STATUS=MR","Sort=A","Dates=H","DateFormat=P","Fill=—","Direction=H","UseDPDF=Y")</f>
        <v>0.28999999999999998</v>
      </c>
      <c r="K61" s="20">
        <f>_xll.BDH("GILD US Equity","IS_DIL_EPS_BEF_XO","FQ4 2020","FQ4 2020","Currency=USD","Period=FQ","BEST_FPERIOD_OVERRIDE=FQ","FILING_STATUS=MR","Sort=A","Dates=H","DateFormat=P","Fill=—","Direction=H","UseDPDF=Y")</f>
        <v>1.23</v>
      </c>
      <c r="L61" s="20">
        <f>_xll.BDH("GILD US Equity","IS_DIL_EPS_BEF_XO","FQ1 2021","FQ1 2021","Currency=USD","Period=FQ","BEST_FPERIOD_OVERRIDE=FQ","FILING_STATUS=MR","Sort=A","Dates=H","DateFormat=P","Fill=—","Direction=H","UseDPDF=Y")</f>
        <v>1.37</v>
      </c>
      <c r="M61" s="20">
        <f>_xll.BDH("GILD US Equity","IS_DIL_EPS_BEF_XO","FQ2 2021","FQ2 2021","Currency=USD","Period=FQ","BEST_FPERIOD_OVERRIDE=FQ","FILING_STATUS=MR","Sort=A","Dates=H","DateFormat=P","Fill=—","Direction=H","UseDPDF=Y")</f>
        <v>1.21</v>
      </c>
      <c r="N61" s="20">
        <f>_xll.BDH("GILD US Equity","IS_DIL_EPS_BEF_XO","FQ3 2021","FQ3 2021","Currency=USD","Period=FQ","BEST_FPERIOD_OVERRIDE=FQ","FILING_STATUS=MR","Sort=A","Dates=H","DateFormat=P","Fill=—","Direction=H","UseDPDF=Y")</f>
        <v>2.0499999999999998</v>
      </c>
      <c r="O61" s="20">
        <f>_xll.BDH("GILD US Equity","IS_DIL_EPS_BEF_XO","FQ4 2021","FQ4 2021","Currency=USD","Period=FQ","BEST_FPERIOD_OVERRIDE=FQ","FILING_STATUS=MR","Sort=A","Dates=H","DateFormat=P","Fill=—","Direction=H","UseDPDF=Y")</f>
        <v>0.3</v>
      </c>
      <c r="P61" s="20">
        <f>_xll.BDH("GILD US Equity","IS_DIL_EPS_BEF_XO","FQ1 2022","FQ1 2022","Currency=USD","Period=FQ","BEST_FPERIOD_OVERRIDE=FQ","FILING_STATUS=MR","Sort=A","Dates=H","DateFormat=P","Fill=—","Direction=H","UseDPDF=Y")</f>
        <v>0.02</v>
      </c>
      <c r="Q61" s="20">
        <f>_xll.BDH("GILD US Equity","IS_DIL_EPS_BEF_XO","FQ2 2022","FQ2 2022","Currency=USD","Period=FQ","BEST_FPERIOD_OVERRIDE=FQ","FILING_STATUS=MR","Sort=A","Dates=H","DateFormat=P","Fill=—","Direction=H","UseDPDF=Y")</f>
        <v>0.91</v>
      </c>
      <c r="R61" s="20">
        <f>_xll.BDH("GILD US Equity","IS_DIL_EPS_BEF_XO","FQ3 2022","FQ3 2022","Currency=USD","Period=FQ","BEST_FPERIOD_OVERRIDE=FQ","FILING_STATUS=MR","Sort=A","Dates=H","DateFormat=P","Fill=—","Direction=H","UseDPDF=Y")</f>
        <v>1.42</v>
      </c>
      <c r="S61" s="20">
        <f>_xll.BDH("GILD US Equity","IS_DIL_EPS_BEF_XO","FQ4 2022","FQ4 2022","Currency=USD","Period=FQ","BEST_FPERIOD_OVERRIDE=FQ","FILING_STATUS=MR","Sort=A","Dates=H","DateFormat=P","Fill=—","Direction=H","UseDPDF=Y")</f>
        <v>1.3</v>
      </c>
      <c r="T61" s="20">
        <f>_xll.BDH("GILD US Equity","IS_DIL_EPS_BEF_XO","FQ1 2023","FQ1 2023","Currency=USD","Period=FQ","BEST_FPERIOD_OVERRIDE=FQ","FILING_STATUS=MR","Sort=A","Dates=H","DateFormat=P","Fill=—","Direction=H","UseDPDF=Y")</f>
        <v>0.8</v>
      </c>
      <c r="U61" s="20">
        <f>_xll.BDH("GILD US Equity","IS_DIL_EPS_BEF_XO","FQ2 2023","FQ2 2023","Currency=USD","Period=FQ","BEST_FPERIOD_OVERRIDE=FQ","FILING_STATUS=MR","Sort=A","Dates=H","DateFormat=P","Fill=—","Direction=H","UseDPDF=Y")</f>
        <v>0.83</v>
      </c>
      <c r="V61" s="20">
        <f>_xll.BDH("GILD US Equity","IS_DIL_EPS_BEF_XO","FQ3 2023","FQ3 2023","Currency=USD","Period=FQ","BEST_FPERIOD_OVERRIDE=FQ","FILING_STATUS=MR","Sort=A","Dates=H","DateFormat=P","Fill=—","Direction=H","UseDPDF=Y")</f>
        <v>1.73</v>
      </c>
      <c r="W61" s="20">
        <f>_xll.BDH("GILD US Equity","IS_DIL_EPS_BEF_XO","FQ4 2023","FQ4 2023","Currency=USD","Period=FQ","BEST_FPERIOD_OVERRIDE=FQ","FILING_STATUS=MR","Sort=A","Dates=H","DateFormat=P","Fill=—","Direction=H","UseDPDF=Y")</f>
        <v>1.1399999999999999</v>
      </c>
      <c r="X61" s="20">
        <f>_xll.BDH("GILD US Equity","IS_DIL_EPS_BEF_XO","FQ1 2024","FQ1 2024","Currency=USD","Period=FQ","BEST_FPERIOD_OVERRIDE=FQ","FILING_STATUS=MR","Sort=A","Dates=H","DateFormat=P","Fill=—","Direction=H","UseDPDF=Y")</f>
        <v>-3.34</v>
      </c>
      <c r="Y61" s="20">
        <f>_xll.BDH("GILD US Equity","IS_DIL_EPS_BEF_XO","FQ2 2024","FQ2 2024","Currency=USD","Period=FQ","BEST_FPERIOD_OVERRIDE=FQ","FILING_STATUS=MR","Sort=A","Dates=H","DateFormat=P","Fill=—","Direction=H","UseDPDF=Y")</f>
        <v>1.29</v>
      </c>
      <c r="Z61" s="20">
        <f>_xll.BDH("GILD US Equity","IS_DIL_EPS_BEF_XO","FQ3 2024","FQ3 2024","Currency=USD","Period=FQ","BEST_FPERIOD_OVERRIDE=FQ","FILING_STATUS=MR","Sort=A","Dates=H","DateFormat=P","Fill=—","Direction=H","UseDPDF=Y")</f>
        <v>1</v>
      </c>
      <c r="AA61" s="20">
        <f>_xll.BDH("GILD US Equity","IS_DIL_EPS_BEF_XO","FQ4 2024","FQ4 2024","Currency=USD","Period=FQ","BEST_FPERIOD_OVERRIDE=FQ","FILING_STATUS=MR","Sort=A","Dates=H","DateFormat=P","Fill=—","Direction=H","UseDPDF=Y")</f>
        <v>1.42</v>
      </c>
    </row>
    <row r="62" spans="1:27" x14ac:dyDescent="0.25">
      <c r="A62" s="10" t="s">
        <v>660</v>
      </c>
      <c r="B62" s="10" t="s">
        <v>692</v>
      </c>
      <c r="C62" s="14" t="str">
        <f>_xll.BDH("GILD US Equity","IS_AIP_RD_PER_DILUTED_SHARE","FQ4 2018","FQ4 2018","Currency=USD","Period=FQ","BEST_FPERIOD_OVERRIDE=FQ","FILING_STATUS=MR","Sort=A","Dates=H","DateFormat=P","Fill=—","Direction=H","UseDPDF=Y")</f>
        <v>—</v>
      </c>
      <c r="D62" s="14" t="str">
        <f>_xll.BDH("GILD US Equity","IS_AIP_RD_PER_DILUTED_SHARE","FQ1 2019","FQ1 2019","Currency=USD","Period=FQ","BEST_FPERIOD_OVERRIDE=FQ","FILING_STATUS=MR","Sort=A","Dates=H","DateFormat=P","Fill=—","Direction=H","UseDPDF=Y")</f>
        <v>—</v>
      </c>
      <c r="E62" s="14" t="str">
        <f>_xll.BDH("GILD US Equity","IS_AIP_RD_PER_DILUTED_SHARE","FQ2 2019","FQ2 2019","Currency=USD","Period=FQ","BEST_FPERIOD_OVERRIDE=FQ","FILING_STATUS=MR","Sort=A","Dates=H","DateFormat=P","Fill=—","Direction=H","UseDPDF=Y")</f>
        <v>—</v>
      </c>
      <c r="F62" s="14">
        <f>_xll.BDH("GILD US Equity","IS_AIP_RD_PER_DILUTED_SHARE","FQ3 2019","FQ3 2019","Currency=USD","Period=FQ","BEST_FPERIOD_OVERRIDE=FQ","FILING_STATUS=MR","Sort=A","Dates=H","DateFormat=P","Fill=—","Direction=H","UseDPDF=Y")</f>
        <v>2.4215</v>
      </c>
      <c r="G62" s="14">
        <f>_xll.BDH("GILD US Equity","IS_AIP_RD_PER_DILUTED_SHARE","FQ4 2019","FQ4 2019","Currency=USD","Period=FQ","BEST_FPERIOD_OVERRIDE=FQ","FILING_STATUS=MR","Sort=A","Dates=H","DateFormat=P","Fill=—","Direction=H","UseDPDF=Y")</f>
        <v>0.4894</v>
      </c>
      <c r="H62" s="14">
        <f>_xll.BDH("GILD US Equity","IS_AIP_RD_PER_DILUTED_SHARE","FQ1 2020","FQ1 2020","Currency=USD","Period=FQ","BEST_FPERIOD_OVERRIDE=FQ","FILING_STATUS=MR","Sort=A","Dates=H","DateFormat=P","Fill=—","Direction=H","UseDPDF=Y")</f>
        <v>5.91E-2</v>
      </c>
      <c r="I62" s="14">
        <f>_xll.BDH("GILD US Equity","IS_AIP_RD_PER_DILUTED_SHARE","FQ2 2020","FQ2 2020","Currency=USD","Period=FQ","BEST_FPERIOD_OVERRIDE=FQ","FILING_STATUS=MR","Sort=A","Dates=H","DateFormat=P","Fill=—","Direction=H","UseDPDF=Y")</f>
        <v>3.5968</v>
      </c>
      <c r="J62" s="14">
        <f>_xll.BDH("GILD US Equity","IS_AIP_RD_PER_DILUTED_SHARE","FQ3 2020","FQ3 2020","Currency=USD","Period=FQ","BEST_FPERIOD_OVERRIDE=FQ","FILING_STATUS=MR","Sort=A","Dates=H","DateFormat=P","Fill=—","Direction=H","UseDPDF=Y")</f>
        <v>0.81920000000000004</v>
      </c>
      <c r="K62" s="14">
        <f>_xll.BDH("GILD US Equity","IS_AIP_RD_PER_DILUTED_SHARE","FQ4 2020","FQ4 2020","Currency=USD","Period=FQ","BEST_FPERIOD_OVERRIDE=FQ","FILING_STATUS=MR","Sort=A","Dates=H","DateFormat=P","Fill=—","Direction=H","UseDPDF=Y")</f>
        <v>3.9699999999999999E-2</v>
      </c>
      <c r="L62" s="14">
        <f>_xll.BDH("GILD US Equity","IS_AIP_RD_PER_DILUTED_SHARE","FQ1 2021","FQ1 2021","Currency=USD","Period=FQ","BEST_FPERIOD_OVERRIDE=FQ","FILING_STATUS=MR","Sort=A","Dates=H","DateFormat=P","Fill=—","Direction=H","UseDPDF=Y")</f>
        <v>3.9600000000000003E-2</v>
      </c>
      <c r="M62" s="14">
        <f>_xll.BDH("GILD US Equity","IS_AIP_RD_PER_DILUTED_SHARE","FQ2 2021","FQ2 2021","Currency=USD","Period=FQ","BEST_FPERIOD_OVERRIDE=FQ","FILING_STATUS=MR","Sort=A","Dates=H","DateFormat=P","Fill=—","Direction=H","UseDPDF=Y")</f>
        <v>5.9499999999999997E-2</v>
      </c>
      <c r="N62" s="14">
        <f>_xll.BDH("GILD US Equity","IS_AIP_RD_PER_DILUTED_SHARE","FQ3 2021","FQ3 2021","Currency=USD","Period=FQ","BEST_FPERIOD_OVERRIDE=FQ","FILING_STATUS=MR","Sort=A","Dates=H","DateFormat=P","Fill=—","Direction=H","UseDPDF=Y")</f>
        <v>1.1900000000000001E-2</v>
      </c>
      <c r="O62" s="14">
        <f>_xll.BDH("GILD US Equity","IS_AIP_RD_PER_DILUTED_SHARE","FQ4 2021","FQ4 2021","Currency=USD","Period=FQ","BEST_FPERIOD_OVERRIDE=FQ","FILING_STATUS=MR","Sort=A","Dates=H","DateFormat=P","Fill=—","Direction=H","UseDPDF=Y")</f>
        <v>0.41880000000000001</v>
      </c>
      <c r="P62" s="14" t="str">
        <f>_xll.BDH("GILD US Equity","IS_AIP_RD_PER_DILUTED_SHARE","FQ1 2022","FQ1 2022","Currency=USD","Period=FQ","BEST_FPERIOD_OVERRIDE=FQ","FILING_STATUS=MR","Sort=A","Dates=H","DateFormat=P","Fill=—","Direction=H","UseDPDF=Y")</f>
        <v>—</v>
      </c>
      <c r="Q62" s="14">
        <f>_xll.BDH("GILD US Equity","IS_AIP_RD_PER_DILUTED_SHARE","FQ2 2022","FQ2 2022","Currency=USD","Period=FQ","BEST_FPERIOD_OVERRIDE=FQ","FILING_STATUS=MR","Sort=A","Dates=H","DateFormat=P","Fill=—","Direction=H","UseDPDF=Y")</f>
        <v>0.2069</v>
      </c>
      <c r="R62" s="14">
        <f>_xll.BDH("GILD US Equity","IS_AIP_RD_PER_DILUTED_SHARE","FQ3 2022","FQ3 2022","Currency=USD","Period=FQ","BEST_FPERIOD_OVERRIDE=FQ","FILING_STATUS=MR","Sort=A","Dates=H","DateFormat=P","Fill=—","Direction=H","UseDPDF=Y")</f>
        <v>0.28070000000000001</v>
      </c>
      <c r="S62" s="14">
        <f>_xll.BDH("GILD US Equity","IS_AIP_RD_PER_DILUTED_SHARE","FQ4 2022","FQ4 2022","Currency=USD","Period=FQ","BEST_FPERIOD_OVERRIDE=FQ","FILING_STATUS=MR","Sort=A","Dates=H","DateFormat=P","Fill=—","Direction=H","UseDPDF=Y")</f>
        <v>9.8799999999999999E-2</v>
      </c>
      <c r="T62" s="14">
        <f>_xll.BDH("GILD US Equity","IS_AIP_RD_PER_DILUTED_SHARE","FQ1 2023","FQ1 2023","Currency=USD","Period=FQ","BEST_FPERIOD_OVERRIDE=FQ","FILING_STATUS=MR","Sort=A","Dates=H","DateFormat=P","Fill=—","Direction=H","UseDPDF=Y")</f>
        <v>0.30449999999999999</v>
      </c>
      <c r="U62" s="14">
        <f>_xll.BDH("GILD US Equity","IS_AIP_RD_PER_DILUTED_SHARE","FQ2 2023","FQ2 2023","Currency=USD","Period=FQ","BEST_FPERIOD_OVERRIDE=FQ","FILING_STATUS=MR","Sort=A","Dates=H","DateFormat=P","Fill=—","Direction=H","UseDPDF=Y")</f>
        <v>0.18190000000000001</v>
      </c>
      <c r="V62" s="14">
        <f>_xll.BDH("GILD US Equity","IS_AIP_RD_PER_DILUTED_SHARE","FQ3 2023","FQ3 2023","Currency=USD","Period=FQ","BEST_FPERIOD_OVERRIDE=FQ","FILING_STATUS=MR","Sort=A","Dates=H","DateFormat=P","Fill=—","Direction=H","UseDPDF=Y")</f>
        <v>5.7200000000000001E-2</v>
      </c>
      <c r="W62" s="14">
        <f>_xll.BDH("GILD US Equity","IS_AIP_RD_PER_DILUTED_SHARE","FQ4 2023","FQ4 2023","Currency=USD","Period=FQ","BEST_FPERIOD_OVERRIDE=FQ","FILING_STATUS=MR","Sort=A","Dates=H","DateFormat=P","Fill=—","Direction=H","UseDPDF=Y")</f>
        <v>0.21829999999999999</v>
      </c>
      <c r="X62" s="14">
        <f>_xll.BDH("GILD US Equity","IS_AIP_RD_PER_DILUTED_SHARE","FQ1 2024","FQ1 2024","Currency=USD","Period=FQ","BEST_FPERIOD_OVERRIDE=FQ","FILING_STATUS=MR","Sort=A","Dates=H","DateFormat=P","Fill=—","Direction=H","UseDPDF=Y")</f>
        <v>2.6171000000000002</v>
      </c>
      <c r="Y62" s="14">
        <f>_xll.BDH("GILD US Equity","IS_AIP_RD_PER_DILUTED_SHARE","FQ2 2024","FQ2 2024","Currency=USD","Period=FQ","BEST_FPERIOD_OVERRIDE=FQ","FILING_STATUS=MR","Sort=A","Dates=H","DateFormat=P","Fill=—","Direction=H","UseDPDF=Y")</f>
        <v>2.4E-2</v>
      </c>
      <c r="Z62" s="14">
        <f>_xll.BDH("GILD US Equity","IS_AIP_RD_PER_DILUTED_SHARE","FQ3 2024","FQ3 2024","Currency=USD","Period=FQ","BEST_FPERIOD_OVERRIDE=FQ","FILING_STATUS=MR","Sort=A","Dates=H","DateFormat=P","Fill=—","Direction=H","UseDPDF=Y")</f>
        <v>0.31809999999999999</v>
      </c>
      <c r="AA62" s="14">
        <f>_xll.BDH("GILD US Equity","IS_AIP_RD_PER_DILUTED_SHARE","FQ4 2024","FQ4 2024","Currency=USD","Period=FQ","BEST_FPERIOD_OVERRIDE=FQ","FILING_STATUS=MR","Sort=A","Dates=H","DateFormat=P","Fill=—","Direction=H","UseDPDF=Y")</f>
        <v>-6.8999999999999999E-3</v>
      </c>
    </row>
    <row r="63" spans="1:27" x14ac:dyDescent="0.25">
      <c r="A63" s="10" t="s">
        <v>662</v>
      </c>
      <c r="B63" s="10" t="s">
        <v>693</v>
      </c>
      <c r="C63" s="14">
        <f>_xll.BDH("GILD US Equity","IS_MERGER_ACQUIS_EXPN_DILUTED_SH","FQ4 2018","FQ4 2018","Currency=USD","Period=FQ","BEST_FPERIOD_OVERRIDE=FQ","FILING_STATUS=MR","Sort=A","Dates=H","DateFormat=P","Fill=—","Direction=H","UseDPDF=Y")</f>
        <v>0.53580000000000005</v>
      </c>
      <c r="D63" s="14" t="str">
        <f>_xll.BDH("GILD US Equity","IS_MERGER_ACQUIS_EXPN_DILUTED_SH","FQ1 2019","FQ1 2019","Currency=USD","Period=FQ","BEST_FPERIOD_OVERRIDE=FQ","FILING_STATUS=MR","Sort=A","Dates=H","DateFormat=P","Fill=—","Direction=H","UseDPDF=Y")</f>
        <v>—</v>
      </c>
      <c r="E63" s="14" t="str">
        <f>_xll.BDH("GILD US Equity","IS_MERGER_ACQUIS_EXPN_DILUTED_SH","FQ2 2019","FQ2 2019","Currency=USD","Period=FQ","BEST_FPERIOD_OVERRIDE=FQ","FILING_STATUS=MR","Sort=A","Dates=H","DateFormat=P","Fill=—","Direction=H","UseDPDF=Y")</f>
        <v>—</v>
      </c>
      <c r="F63" s="14" t="str">
        <f>_xll.BDH("GILD US Equity","IS_MERGER_ACQUIS_EXPN_DILUTED_SH","FQ3 2019","FQ3 2019","Currency=USD","Period=FQ","BEST_FPERIOD_OVERRIDE=FQ","FILING_STATUS=MR","Sort=A","Dates=H","DateFormat=P","Fill=—","Direction=H","UseDPDF=Y")</f>
        <v>—</v>
      </c>
      <c r="G63" s="14" t="str">
        <f>_xll.BDH("GILD US Equity","IS_MERGER_ACQUIS_EXPN_DILUTED_SH","FQ4 2019","FQ4 2019","Currency=USD","Period=FQ","BEST_FPERIOD_OVERRIDE=FQ","FILING_STATUS=MR","Sort=A","Dates=H","DateFormat=P","Fill=—","Direction=H","UseDPDF=Y")</f>
        <v>—</v>
      </c>
      <c r="H63" s="14">
        <f>_xll.BDH("GILD US Equity","IS_MERGER_ACQUIS_EXPN_DILUTED_SH","FQ1 2020","FQ1 2020","Currency=USD","Period=FQ","BEST_FPERIOD_OVERRIDE=FQ","FILING_STATUS=MR","Sort=A","Dates=H","DateFormat=P","Fill=—","Direction=H","UseDPDF=Y")</f>
        <v>0.1764</v>
      </c>
      <c r="I63" s="14">
        <f>_xll.BDH("GILD US Equity","IS_MERGER_ACQUIS_EXPN_DILUTED_SH","FQ2 2020","FQ2 2020","Currency=USD","Period=FQ","BEST_FPERIOD_OVERRIDE=FQ","FILING_STATUS=MR","Sort=A","Dates=H","DateFormat=P","Fill=—","Direction=H","UseDPDF=Y")</f>
        <v>0.1179</v>
      </c>
      <c r="J63" s="14">
        <f>_xll.BDH("GILD US Equity","IS_MERGER_ACQUIS_EXPN_DILUTED_SH","FQ3 2020","FQ3 2020","Currency=USD","Period=FQ","BEST_FPERIOD_OVERRIDE=FQ","FILING_STATUS=MR","Sort=A","Dates=H","DateFormat=P","Fill=—","Direction=H","UseDPDF=Y")</f>
        <v>8.6999999999999994E-3</v>
      </c>
      <c r="K63" s="14">
        <f>_xll.BDH("GILD US Equity","IS_MERGER_ACQUIS_EXPN_DILUTED_SH","FQ4 2020","FQ4 2020","Currency=USD","Period=FQ","BEST_FPERIOD_OVERRIDE=FQ","FILING_STATUS=MR","Sort=A","Dates=H","DateFormat=P","Fill=—","Direction=H","UseDPDF=Y")</f>
        <v>0.22720000000000001</v>
      </c>
      <c r="L63" s="14">
        <f>_xll.BDH("GILD US Equity","IS_MERGER_ACQUIS_EXPN_DILUTED_SH","FQ1 2021","FQ1 2021","Currency=USD","Period=FQ","BEST_FPERIOD_OVERRIDE=FQ","FILING_STATUS=MR","Sort=A","Dates=H","DateFormat=P","Fill=—","Direction=H","UseDPDF=Y")</f>
        <v>0.34150000000000003</v>
      </c>
      <c r="M63" s="14">
        <f>_xll.BDH("GILD US Equity","IS_MERGER_ACQUIS_EXPN_DILUTED_SH","FQ2 2021","FQ2 2021","Currency=USD","Period=FQ","BEST_FPERIOD_OVERRIDE=FQ","FILING_STATUS=MR","Sort=A","Dates=H","DateFormat=P","Fill=—","Direction=H","UseDPDF=Y")</f>
        <v>1.1900000000000001E-2</v>
      </c>
      <c r="N63" s="14">
        <f>_xll.BDH("GILD US Equity","IS_MERGER_ACQUIS_EXPN_DILUTED_SH","FQ3 2021","FQ3 2021","Currency=USD","Period=FQ","BEST_FPERIOD_OVERRIDE=FQ","FILING_STATUS=MR","Sort=A","Dates=H","DateFormat=P","Fill=—","Direction=H","UseDPDF=Y")</f>
        <v>-1.11E-2</v>
      </c>
      <c r="O63" s="14">
        <f>_xll.BDH("GILD US Equity","IS_MERGER_ACQUIS_EXPN_DILUTED_SH","FQ4 2021","FQ4 2021","Currency=USD","Period=FQ","BEST_FPERIOD_OVERRIDE=FQ","FILING_STATUS=MR","Sort=A","Dates=H","DateFormat=P","Fill=—","Direction=H","UseDPDF=Y")</f>
        <v>1.9E-3</v>
      </c>
      <c r="P63" s="14">
        <f>_xll.BDH("GILD US Equity","IS_MERGER_ACQUIS_EXPN_DILUTED_SH","FQ1 2022","FQ1 2022","Currency=USD","Period=FQ","BEST_FPERIOD_OVERRIDE=FQ","FILING_STATUS=MR","Sort=A","Dates=H","DateFormat=P","Fill=—","Direction=H","UseDPDF=Y")</f>
        <v>7.9000000000000008E-3</v>
      </c>
      <c r="Q63" s="14" t="str">
        <f>_xll.BDH("GILD US Equity","IS_MERGER_ACQUIS_EXPN_DILUTED_SH","FQ2 2022","FQ2 2022","Currency=USD","Period=FQ","BEST_FPERIOD_OVERRIDE=FQ","FILING_STATUS=MR","Sort=A","Dates=H","DateFormat=P","Fill=—","Direction=H","UseDPDF=Y")</f>
        <v>—</v>
      </c>
      <c r="R63" s="14">
        <f>_xll.BDH("GILD US Equity","IS_MERGER_ACQUIS_EXPN_DILUTED_SH","FQ3 2022","FQ3 2022","Currency=USD","Period=FQ","BEST_FPERIOD_OVERRIDE=FQ","FILING_STATUS=MR","Sort=A","Dates=H","DateFormat=P","Fill=—","Direction=H","UseDPDF=Y")</f>
        <v>0.2823</v>
      </c>
      <c r="S63" s="14">
        <f>_xll.BDH("GILD US Equity","IS_MERGER_ACQUIS_EXPN_DILUTED_SH","FQ4 2022","FQ4 2022","Currency=USD","Period=FQ","BEST_FPERIOD_OVERRIDE=FQ","FILING_STATUS=MR","Sort=A","Dates=H","DateFormat=P","Fill=—","Direction=H","UseDPDF=Y")</f>
        <v>8.0000000000000004E-4</v>
      </c>
      <c r="T63" s="14">
        <f>_xll.BDH("GILD US Equity","IS_MERGER_ACQUIS_EXPN_DILUTED_SH","FQ1 2023","FQ1 2023","Currency=USD","Period=FQ","BEST_FPERIOD_OVERRIDE=FQ","FILING_STATUS=MR","Sort=A","Dates=H","DateFormat=P","Fill=—","Direction=H","UseDPDF=Y")</f>
        <v>4.7999999999999996E-3</v>
      </c>
      <c r="U63" s="14">
        <f>_xll.BDH("GILD US Equity","IS_MERGER_ACQUIS_EXPN_DILUTED_SH","FQ2 2023","FQ2 2023","Currency=USD","Period=FQ","BEST_FPERIOD_OVERRIDE=FQ","FILING_STATUS=MR","Sort=A","Dates=H","DateFormat=P","Fill=—","Direction=H","UseDPDF=Y")</f>
        <v>2.07E-2</v>
      </c>
      <c r="V63" s="14">
        <f>_xll.BDH("GILD US Equity","IS_MERGER_ACQUIS_EXPN_DILUTED_SH","FQ3 2023","FQ3 2023","Currency=USD","Period=FQ","BEST_FPERIOD_OVERRIDE=FQ","FILING_STATUS=MR","Sort=A","Dates=H","DateFormat=P","Fill=—","Direction=H","UseDPDF=Y")</f>
        <v>-8.0000000000000004E-4</v>
      </c>
      <c r="W63" s="14">
        <f>_xll.BDH("GILD US Equity","IS_MERGER_ACQUIS_EXPN_DILUTED_SH","FQ4 2023","FQ4 2023","Currency=USD","Period=FQ","BEST_FPERIOD_OVERRIDE=FQ","FILING_STATUS=MR","Sort=A","Dates=H","DateFormat=P","Fill=—","Direction=H","UseDPDF=Y")</f>
        <v>-4.7E-2</v>
      </c>
      <c r="X63" s="14">
        <f>_xll.BDH("GILD US Equity","IS_MERGER_ACQUIS_EXPN_DILUTED_SH","FQ1 2024","FQ1 2024","Currency=USD","Period=FQ","BEST_FPERIOD_OVERRIDE=FQ","FILING_STATUS=MR","Sort=A","Dates=H","DateFormat=P","Fill=—","Direction=H","UseDPDF=Y")</f>
        <v>8.2600000000000007E-2</v>
      </c>
      <c r="Y63" s="14">
        <f>_xll.BDH("GILD US Equity","IS_MERGER_ACQUIS_EXPN_DILUTED_SH","FQ2 2024","FQ2 2024","Currency=USD","Period=FQ","BEST_FPERIOD_OVERRIDE=FQ","FILING_STATUS=MR","Sort=A","Dates=H","DateFormat=P","Fill=—","Direction=H","UseDPDF=Y")</f>
        <v>1.12E-2</v>
      </c>
      <c r="Z63" s="14">
        <f>_xll.BDH("GILD US Equity","IS_MERGER_ACQUIS_EXPN_DILUTED_SH","FQ3 2024","FQ3 2024","Currency=USD","Period=FQ","BEST_FPERIOD_OVERRIDE=FQ","FILING_STATUS=MR","Sort=A","Dates=H","DateFormat=P","Fill=—","Direction=H","UseDPDF=Y")</f>
        <v>8.8000000000000005E-3</v>
      </c>
      <c r="AA63" s="14">
        <f>_xll.BDH("GILD US Equity","IS_MERGER_ACQUIS_EXPN_DILUTED_SH","FQ4 2024","FQ4 2024","Currency=USD","Period=FQ","BEST_FPERIOD_OVERRIDE=FQ","FILING_STATUS=MR","Sort=A","Dates=H","DateFormat=P","Fill=—","Direction=H","UseDPDF=Y")</f>
        <v>4.7999999999999996E-3</v>
      </c>
    </row>
    <row r="64" spans="1:27" x14ac:dyDescent="0.25">
      <c r="A64" s="10" t="s">
        <v>664</v>
      </c>
      <c r="B64" s="10" t="s">
        <v>694</v>
      </c>
      <c r="C64" s="14" t="str">
        <f>_xll.BDH("GILD US Equity","IS_IIA_DILUTED_SHARE","FQ4 2018","FQ4 2018","Currency=USD","Period=FQ","BEST_FPERIOD_OVERRIDE=FQ","FILING_STATUS=MR","Sort=A","Dates=H","DateFormat=P","Fill=—","Direction=H","UseDPDF=Y")</f>
        <v>—</v>
      </c>
      <c r="D64" s="14" t="str">
        <f>_xll.BDH("GILD US Equity","IS_IIA_DILUTED_SHARE","FQ1 2019","FQ1 2019","Currency=USD","Period=FQ","BEST_FPERIOD_OVERRIDE=FQ","FILING_STATUS=MR","Sort=A","Dates=H","DateFormat=P","Fill=—","Direction=H","UseDPDF=Y")</f>
        <v>—</v>
      </c>
      <c r="E64" s="14" t="str">
        <f>_xll.BDH("GILD US Equity","IS_IIA_DILUTED_SHARE","FQ2 2019","FQ2 2019","Currency=USD","Period=FQ","BEST_FPERIOD_OVERRIDE=FQ","FILING_STATUS=MR","Sort=A","Dates=H","DateFormat=P","Fill=—","Direction=H","UseDPDF=Y")</f>
        <v>—</v>
      </c>
      <c r="F64" s="14" t="str">
        <f>_xll.BDH("GILD US Equity","IS_IIA_DILUTED_SHARE","FQ3 2019","FQ3 2019","Currency=USD","Period=FQ","BEST_FPERIOD_OVERRIDE=FQ","FILING_STATUS=MR","Sort=A","Dates=H","DateFormat=P","Fill=—","Direction=H","UseDPDF=Y")</f>
        <v>—</v>
      </c>
      <c r="G64" s="14" t="str">
        <f>_xll.BDH("GILD US Equity","IS_IIA_DILUTED_SHARE","FQ4 2019","FQ4 2019","Currency=USD","Period=FQ","BEST_FPERIOD_OVERRIDE=FQ","FILING_STATUS=MR","Sort=A","Dates=H","DateFormat=P","Fill=—","Direction=H","UseDPDF=Y")</f>
        <v>—</v>
      </c>
      <c r="H64" s="14" t="str">
        <f>_xll.BDH("GILD US Equity","IS_IIA_DILUTED_SHARE","FQ1 2020","FQ1 2020","Currency=USD","Period=FQ","BEST_FPERIOD_OVERRIDE=FQ","FILING_STATUS=MR","Sort=A","Dates=H","DateFormat=P","Fill=—","Direction=H","UseDPDF=Y")</f>
        <v>—</v>
      </c>
      <c r="I64" s="14" t="str">
        <f>_xll.BDH("GILD US Equity","IS_IIA_DILUTED_SHARE","FQ2 2020","FQ2 2020","Currency=USD","Period=FQ","BEST_FPERIOD_OVERRIDE=FQ","FILING_STATUS=MR","Sort=A","Dates=H","DateFormat=P","Fill=—","Direction=H","UseDPDF=Y")</f>
        <v>—</v>
      </c>
      <c r="J64" s="14" t="str">
        <f>_xll.BDH("GILD US Equity","IS_IIA_DILUTED_SHARE","FQ3 2020","FQ3 2020","Currency=USD","Period=FQ","BEST_FPERIOD_OVERRIDE=FQ","FILING_STATUS=MR","Sort=A","Dates=H","DateFormat=P","Fill=—","Direction=H","UseDPDF=Y")</f>
        <v>—</v>
      </c>
      <c r="K64" s="14" t="str">
        <f>_xll.BDH("GILD US Equity","IS_IIA_DILUTED_SHARE","FQ4 2020","FQ4 2020","Currency=USD","Period=FQ","BEST_FPERIOD_OVERRIDE=FQ","FILING_STATUS=MR","Sort=A","Dates=H","DateFormat=P","Fill=—","Direction=H","UseDPDF=Y")</f>
        <v>—</v>
      </c>
      <c r="L64" s="14" t="str">
        <f>_xll.BDH("GILD US Equity","IS_IIA_DILUTED_SHARE","FQ1 2021","FQ1 2021","Currency=USD","Period=FQ","BEST_FPERIOD_OVERRIDE=FQ","FILING_STATUS=MR","Sort=A","Dates=H","DateFormat=P","Fill=—","Direction=H","UseDPDF=Y")</f>
        <v>—</v>
      </c>
      <c r="M64" s="14" t="str">
        <f>_xll.BDH("GILD US Equity","IS_IIA_DILUTED_SHARE","FQ2 2021","FQ2 2021","Currency=USD","Period=FQ","BEST_FPERIOD_OVERRIDE=FQ","FILING_STATUS=MR","Sort=A","Dates=H","DateFormat=P","Fill=—","Direction=H","UseDPDF=Y")</f>
        <v>—</v>
      </c>
      <c r="N64" s="14" t="str">
        <f>_xll.BDH("GILD US Equity","IS_IIA_DILUTED_SHARE","FQ3 2021","FQ3 2021","Currency=USD","Period=FQ","BEST_FPERIOD_OVERRIDE=FQ","FILING_STATUS=MR","Sort=A","Dates=H","DateFormat=P","Fill=—","Direction=H","UseDPDF=Y")</f>
        <v>—</v>
      </c>
      <c r="O64" s="14" t="str">
        <f>_xll.BDH("GILD US Equity","IS_IIA_DILUTED_SHARE","FQ4 2021","FQ4 2021","Currency=USD","Period=FQ","BEST_FPERIOD_OVERRIDE=FQ","FILING_STATUS=MR","Sort=A","Dates=H","DateFormat=P","Fill=—","Direction=H","UseDPDF=Y")</f>
        <v>—</v>
      </c>
      <c r="P64" s="14">
        <f>_xll.BDH("GILD US Equity","IS_IIA_DILUTED_SHARE","FQ1 2022","FQ1 2022","Currency=USD","Period=FQ","BEST_FPERIOD_OVERRIDE=FQ","FILING_STATUS=MR","Sort=A","Dates=H","DateFormat=P","Fill=—","Direction=H","UseDPDF=Y")</f>
        <v>1.63</v>
      </c>
      <c r="Q64" s="14" t="str">
        <f>_xll.BDH("GILD US Equity","IS_IIA_DILUTED_SHARE","FQ2 2022","FQ2 2022","Currency=USD","Period=FQ","BEST_FPERIOD_OVERRIDE=FQ","FILING_STATUS=MR","Sort=A","Dates=H","DateFormat=P","Fill=—","Direction=H","UseDPDF=Y")</f>
        <v>—</v>
      </c>
      <c r="R64" s="14" t="str">
        <f>_xll.BDH("GILD US Equity","IS_IIA_DILUTED_SHARE","FQ3 2022","FQ3 2022","Currency=USD","Period=FQ","BEST_FPERIOD_OVERRIDE=FQ","FILING_STATUS=MR","Sort=A","Dates=H","DateFormat=P","Fill=—","Direction=H","UseDPDF=Y")</f>
        <v>—</v>
      </c>
      <c r="S64" s="14" t="str">
        <f>_xll.BDH("GILD US Equity","IS_IIA_DILUTED_SHARE","FQ4 2022","FQ4 2022","Currency=USD","Period=FQ","BEST_FPERIOD_OVERRIDE=FQ","FILING_STATUS=MR","Sort=A","Dates=H","DateFormat=P","Fill=—","Direction=H","UseDPDF=Y")</f>
        <v>—</v>
      </c>
      <c r="T64" s="14" t="str">
        <f>_xll.BDH("GILD US Equity","IS_IIA_DILUTED_SHARE","FQ1 2023","FQ1 2023","Currency=USD","Period=FQ","BEST_FPERIOD_OVERRIDE=FQ","FILING_STATUS=MR","Sort=A","Dates=H","DateFormat=P","Fill=—","Direction=H","UseDPDF=Y")</f>
        <v>—</v>
      </c>
      <c r="U64" s="14" t="str">
        <f>_xll.BDH("GILD US Equity","IS_IIA_DILUTED_SHARE","FQ2 2023","FQ2 2023","Currency=USD","Period=FQ","BEST_FPERIOD_OVERRIDE=FQ","FILING_STATUS=MR","Sort=A","Dates=H","DateFormat=P","Fill=—","Direction=H","UseDPDF=Y")</f>
        <v>—</v>
      </c>
      <c r="V64" s="14" t="str">
        <f>_xll.BDH("GILD US Equity","IS_IIA_DILUTED_SHARE","FQ3 2023","FQ3 2023","Currency=USD","Period=FQ","BEST_FPERIOD_OVERRIDE=FQ","FILING_STATUS=MR","Sort=A","Dates=H","DateFormat=P","Fill=—","Direction=H","UseDPDF=Y")</f>
        <v>—</v>
      </c>
      <c r="W64" s="14">
        <f>_xll.BDH("GILD US Equity","IS_IIA_DILUTED_SHARE","FQ4 2023","FQ4 2023","Currency=USD","Period=FQ","BEST_FPERIOD_OVERRIDE=FQ","FILING_STATUS=MR","Sort=A","Dates=H","DateFormat=P","Fill=—","Direction=H","UseDPDF=Y")</f>
        <v>2.7900000000000001E-2</v>
      </c>
      <c r="X64" s="14">
        <f>_xll.BDH("GILD US Equity","IS_IIA_DILUTED_SHARE","FQ1 2024","FQ1 2024","Currency=USD","Period=FQ","BEST_FPERIOD_OVERRIDE=FQ","FILING_STATUS=MR","Sort=A","Dates=H","DateFormat=P","Fill=—","Direction=H","UseDPDF=Y")</f>
        <v>1.4587000000000001</v>
      </c>
      <c r="Y64" s="14" t="str">
        <f>_xll.BDH("GILD US Equity","IS_IIA_DILUTED_SHARE","FQ2 2024","FQ2 2024","Currency=USD","Period=FQ","BEST_FPERIOD_OVERRIDE=FQ","FILING_STATUS=MR","Sort=A","Dates=H","DateFormat=P","Fill=—","Direction=H","UseDPDF=Y")</f>
        <v>—</v>
      </c>
      <c r="Z64" s="14">
        <f>_xll.BDH("GILD US Equity","IS_IIA_DILUTED_SHARE","FQ3 2024","FQ3 2024","Currency=USD","Period=FQ","BEST_FPERIOD_OVERRIDE=FQ","FILING_STATUS=MR","Sort=A","Dates=H","DateFormat=P","Fill=—","Direction=H","UseDPDF=Y")</f>
        <v>1.0447</v>
      </c>
      <c r="AA64" s="14" t="str">
        <f>_xll.BDH("GILD US Equity","IS_IIA_DILUTED_SHARE","FQ4 2024","FQ4 2024","Currency=USD","Period=FQ","BEST_FPERIOD_OVERRIDE=FQ","FILING_STATUS=MR","Sort=A","Dates=H","DateFormat=P","Fill=—","Direction=H","UseDPDF=Y")</f>
        <v>—</v>
      </c>
    </row>
    <row r="65" spans="1:27" x14ac:dyDescent="0.25">
      <c r="A65" s="10" t="s">
        <v>666</v>
      </c>
      <c r="B65" s="10" t="s">
        <v>695</v>
      </c>
      <c r="C65" s="14" t="str">
        <f>_xll.BDH("GILD US Equity","IS_RESTRUCTURING_CHRG_DILUTED_SH","FQ4 2018","FQ4 2018","Currency=USD","Period=FQ","BEST_FPERIOD_OVERRIDE=FQ","FILING_STATUS=MR","Sort=A","Dates=H","DateFormat=P","Fill=—","Direction=H","UseDPDF=Y")</f>
        <v>—</v>
      </c>
      <c r="D65" s="14" t="str">
        <f>_xll.BDH("GILD US Equity","IS_RESTRUCTURING_CHRG_DILUTED_SH","FQ1 2019","FQ1 2019","Currency=USD","Period=FQ","BEST_FPERIOD_OVERRIDE=FQ","FILING_STATUS=MR","Sort=A","Dates=H","DateFormat=P","Fill=—","Direction=H","UseDPDF=Y")</f>
        <v>—</v>
      </c>
      <c r="E65" s="14" t="str">
        <f>_xll.BDH("GILD US Equity","IS_RESTRUCTURING_CHRG_DILUTED_SH","FQ2 2019","FQ2 2019","Currency=USD","Period=FQ","BEST_FPERIOD_OVERRIDE=FQ","FILING_STATUS=MR","Sort=A","Dates=H","DateFormat=P","Fill=—","Direction=H","UseDPDF=Y")</f>
        <v>—</v>
      </c>
      <c r="F65" s="14" t="str">
        <f>_xll.BDH("GILD US Equity","IS_RESTRUCTURING_CHRG_DILUTED_SH","FQ3 2019","FQ3 2019","Currency=USD","Period=FQ","BEST_FPERIOD_OVERRIDE=FQ","FILING_STATUS=MR","Sort=A","Dates=H","DateFormat=P","Fill=—","Direction=H","UseDPDF=Y")</f>
        <v>—</v>
      </c>
      <c r="G65" s="14" t="str">
        <f>_xll.BDH("GILD US Equity","IS_RESTRUCTURING_CHRG_DILUTED_SH","FQ4 2019","FQ4 2019","Currency=USD","Period=FQ","BEST_FPERIOD_OVERRIDE=FQ","FILING_STATUS=MR","Sort=A","Dates=H","DateFormat=P","Fill=—","Direction=H","UseDPDF=Y")</f>
        <v>—</v>
      </c>
      <c r="H65" s="14" t="str">
        <f>_xll.BDH("GILD US Equity","IS_RESTRUCTURING_CHRG_DILUTED_SH","FQ1 2020","FQ1 2020","Currency=USD","Period=FQ","BEST_FPERIOD_OVERRIDE=FQ","FILING_STATUS=MR","Sort=A","Dates=H","DateFormat=P","Fill=—","Direction=H","UseDPDF=Y")</f>
        <v>—</v>
      </c>
      <c r="I65" s="14" t="str">
        <f>_xll.BDH("GILD US Equity","IS_RESTRUCTURING_CHRG_DILUTED_SH","FQ2 2020","FQ2 2020","Currency=USD","Period=FQ","BEST_FPERIOD_OVERRIDE=FQ","FILING_STATUS=MR","Sort=A","Dates=H","DateFormat=P","Fill=—","Direction=H","UseDPDF=Y")</f>
        <v>—</v>
      </c>
      <c r="J65" s="14" t="str">
        <f>_xll.BDH("GILD US Equity","IS_RESTRUCTURING_CHRG_DILUTED_SH","FQ3 2020","FQ3 2020","Currency=USD","Period=FQ","BEST_FPERIOD_OVERRIDE=FQ","FILING_STATUS=MR","Sort=A","Dates=H","DateFormat=P","Fill=—","Direction=H","UseDPDF=Y")</f>
        <v>—</v>
      </c>
      <c r="K65" s="14" t="str">
        <f>_xll.BDH("GILD US Equity","IS_RESTRUCTURING_CHRG_DILUTED_SH","FQ4 2020","FQ4 2020","Currency=USD","Period=FQ","BEST_FPERIOD_OVERRIDE=FQ","FILING_STATUS=MR","Sort=A","Dates=H","DateFormat=P","Fill=—","Direction=H","UseDPDF=Y")</f>
        <v>—</v>
      </c>
      <c r="L65" s="14" t="str">
        <f>_xll.BDH("GILD US Equity","IS_RESTRUCTURING_CHRG_DILUTED_SH","FQ1 2021","FQ1 2021","Currency=USD","Period=FQ","BEST_FPERIOD_OVERRIDE=FQ","FILING_STATUS=MR","Sort=A","Dates=H","DateFormat=P","Fill=—","Direction=H","UseDPDF=Y")</f>
        <v>—</v>
      </c>
      <c r="M65" s="14" t="str">
        <f>_xll.BDH("GILD US Equity","IS_RESTRUCTURING_CHRG_DILUTED_SH","FQ2 2021","FQ2 2021","Currency=USD","Period=FQ","BEST_FPERIOD_OVERRIDE=FQ","FILING_STATUS=MR","Sort=A","Dates=H","DateFormat=P","Fill=—","Direction=H","UseDPDF=Y")</f>
        <v>—</v>
      </c>
      <c r="N65" s="14" t="str">
        <f>_xll.BDH("GILD US Equity","IS_RESTRUCTURING_CHRG_DILUTED_SH","FQ3 2021","FQ3 2021","Currency=USD","Period=FQ","BEST_FPERIOD_OVERRIDE=FQ","FILING_STATUS=MR","Sort=A","Dates=H","DateFormat=P","Fill=—","Direction=H","UseDPDF=Y")</f>
        <v>—</v>
      </c>
      <c r="O65" s="14">
        <f>_xll.BDH("GILD US Equity","IS_RESTRUCTURING_CHRG_DILUTED_SH","FQ4 2021","FQ4 2021","Currency=USD","Period=FQ","BEST_FPERIOD_OVERRIDE=FQ","FILING_STATUS=MR","Sort=A","Dates=H","DateFormat=P","Fill=—","Direction=H","UseDPDF=Y")</f>
        <v>2.3999999999999998E-3</v>
      </c>
      <c r="P65" s="14">
        <f>_xll.BDH("GILD US Equity","IS_RESTRUCTURING_CHRG_DILUTED_SH","FQ1 2022","FQ1 2022","Currency=USD","Period=FQ","BEST_FPERIOD_OVERRIDE=FQ","FILING_STATUS=MR","Sort=A","Dates=H","DateFormat=P","Fill=—","Direction=H","UseDPDF=Y")</f>
        <v>3.5700000000000003E-2</v>
      </c>
      <c r="Q65" s="14" t="str">
        <f>_xll.BDH("GILD US Equity","IS_RESTRUCTURING_CHRG_DILUTED_SH","FQ2 2022","FQ2 2022","Currency=USD","Period=FQ","BEST_FPERIOD_OVERRIDE=FQ","FILING_STATUS=MR","Sort=A","Dates=H","DateFormat=P","Fill=—","Direction=H","UseDPDF=Y")</f>
        <v>—</v>
      </c>
      <c r="R65" s="14" t="str">
        <f>_xll.BDH("GILD US Equity","IS_RESTRUCTURING_CHRG_DILUTED_SH","FQ3 2022","FQ3 2022","Currency=USD","Period=FQ","BEST_FPERIOD_OVERRIDE=FQ","FILING_STATUS=MR","Sort=A","Dates=H","DateFormat=P","Fill=—","Direction=H","UseDPDF=Y")</f>
        <v>—</v>
      </c>
      <c r="S65" s="14" t="str">
        <f>_xll.BDH("GILD US Equity","IS_RESTRUCTURING_CHRG_DILUTED_SH","FQ4 2022","FQ4 2022","Currency=USD","Period=FQ","BEST_FPERIOD_OVERRIDE=FQ","FILING_STATUS=MR","Sort=A","Dates=H","DateFormat=P","Fill=—","Direction=H","UseDPDF=Y")</f>
        <v>—</v>
      </c>
      <c r="T65" s="14" t="str">
        <f>_xll.BDH("GILD US Equity","IS_RESTRUCTURING_CHRG_DILUTED_SH","FQ1 2023","FQ1 2023","Currency=USD","Period=FQ","BEST_FPERIOD_OVERRIDE=FQ","FILING_STATUS=MR","Sort=A","Dates=H","DateFormat=P","Fill=—","Direction=H","UseDPDF=Y")</f>
        <v>—</v>
      </c>
      <c r="U65" s="14" t="str">
        <f>_xll.BDH("GILD US Equity","IS_RESTRUCTURING_CHRG_DILUTED_SH","FQ2 2023","FQ2 2023","Currency=USD","Period=FQ","BEST_FPERIOD_OVERRIDE=FQ","FILING_STATUS=MR","Sort=A","Dates=H","DateFormat=P","Fill=—","Direction=H","UseDPDF=Y")</f>
        <v>—</v>
      </c>
      <c r="V65" s="14">
        <f>_xll.BDH("GILD US Equity","IS_RESTRUCTURING_CHRG_DILUTED_SH","FQ3 2023","FQ3 2023","Currency=USD","Period=FQ","BEST_FPERIOD_OVERRIDE=FQ","FILING_STATUS=MR","Sort=A","Dates=H","DateFormat=P","Fill=—","Direction=H","UseDPDF=Y")</f>
        <v>1.35E-2</v>
      </c>
      <c r="W65" s="14">
        <f>_xll.BDH("GILD US Equity","IS_RESTRUCTURING_CHRG_DILUTED_SH","FQ4 2023","FQ4 2023","Currency=USD","Period=FQ","BEST_FPERIOD_OVERRIDE=FQ","FILING_STATUS=MR","Sort=A","Dates=H","DateFormat=P","Fill=—","Direction=H","UseDPDF=Y")</f>
        <v>0.3296</v>
      </c>
      <c r="X65" s="14">
        <f>_xll.BDH("GILD US Equity","IS_RESTRUCTURING_CHRG_DILUTED_SH","FQ1 2024","FQ1 2024","Currency=USD","Period=FQ","BEST_FPERIOD_OVERRIDE=FQ","FILING_STATUS=MR","Sort=A","Dates=H","DateFormat=P","Fill=—","Direction=H","UseDPDF=Y")</f>
        <v>4.3299999999999998E-2</v>
      </c>
      <c r="Y65" s="14">
        <f>_xll.BDH("GILD US Equity","IS_RESTRUCTURING_CHRG_DILUTED_SH","FQ2 2024","FQ2 2024","Currency=USD","Period=FQ","BEST_FPERIOD_OVERRIDE=FQ","FILING_STATUS=MR","Sort=A","Dates=H","DateFormat=P","Fill=—","Direction=H","UseDPDF=Y")</f>
        <v>1.12E-2</v>
      </c>
      <c r="Z65" s="14">
        <f>_xll.BDH("GILD US Equity","IS_RESTRUCTURING_CHRG_DILUTED_SH","FQ3 2024","FQ3 2024","Currency=USD","Period=FQ","BEST_FPERIOD_OVERRIDE=FQ","FILING_STATUS=MR","Sort=A","Dates=H","DateFormat=P","Fill=—","Direction=H","UseDPDF=Y")</f>
        <v>1.9099999999999999E-2</v>
      </c>
      <c r="AA65" s="14">
        <f>_xll.BDH("GILD US Equity","IS_RESTRUCTURING_CHRG_DILUTED_SH","FQ4 2024","FQ4 2024","Currency=USD","Period=FQ","BEST_FPERIOD_OVERRIDE=FQ","FILING_STATUS=MR","Sort=A","Dates=H","DateFormat=P","Fill=—","Direction=H","UseDPDF=Y")</f>
        <v>4.6899999999999997E-2</v>
      </c>
    </row>
    <row r="66" spans="1:27" x14ac:dyDescent="0.25">
      <c r="A66" s="10" t="s">
        <v>668</v>
      </c>
      <c r="B66" s="10" t="s">
        <v>696</v>
      </c>
      <c r="C66" s="14" t="str">
        <f>_xll.BDH("GILD US Equity","IS_SALE_INVESTMENTS_DILUTED_SH","FQ4 2018","FQ4 2018","Currency=USD","Period=FQ","BEST_FPERIOD_OVERRIDE=FQ","FILING_STATUS=MR","Sort=A","Dates=H","DateFormat=P","Fill=—","Direction=H","UseDPDF=Y")</f>
        <v>—</v>
      </c>
      <c r="D66" s="14" t="str">
        <f>_xll.BDH("GILD US Equity","IS_SALE_INVESTMENTS_DILUTED_SH","FQ1 2019","FQ1 2019","Currency=USD","Period=FQ","BEST_FPERIOD_OVERRIDE=FQ","FILING_STATUS=MR","Sort=A","Dates=H","DateFormat=P","Fill=—","Direction=H","UseDPDF=Y")</f>
        <v>—</v>
      </c>
      <c r="E66" s="14" t="str">
        <f>_xll.BDH("GILD US Equity","IS_SALE_INVESTMENTS_DILUTED_SH","FQ2 2019","FQ2 2019","Currency=USD","Period=FQ","BEST_FPERIOD_OVERRIDE=FQ","FILING_STATUS=MR","Sort=A","Dates=H","DateFormat=P","Fill=—","Direction=H","UseDPDF=Y")</f>
        <v>—</v>
      </c>
      <c r="F66" s="14">
        <f>_xll.BDH("GILD US Equity","IS_SALE_INVESTMENTS_DILUTED_SH","FQ3 2019","FQ3 2019","Currency=USD","Period=FQ","BEST_FPERIOD_OVERRIDE=FQ","FILING_STATUS=MR","Sort=A","Dates=H","DateFormat=P","Fill=—","Direction=H","UseDPDF=Y")</f>
        <v>-5.21E-2</v>
      </c>
      <c r="G66" s="14">
        <f>_xll.BDH("GILD US Equity","IS_SALE_INVESTMENTS_DILUTED_SH","FQ4 2019","FQ4 2019","Currency=USD","Period=FQ","BEST_FPERIOD_OVERRIDE=FQ","FILING_STATUS=MR","Sort=A","Dates=H","DateFormat=P","Fill=—","Direction=H","UseDPDF=Y")</f>
        <v>-0.72350000000000003</v>
      </c>
      <c r="H66" s="14">
        <f>_xll.BDH("GILD US Equity","IS_SALE_INVESTMENTS_DILUTED_SH","FQ1 2020","FQ1 2020","Currency=USD","Period=FQ","BEST_FPERIOD_OVERRIDE=FQ","FILING_STATUS=MR","Sort=A","Dates=H","DateFormat=P","Fill=—","Direction=H","UseDPDF=Y")</f>
        <v>0.2016</v>
      </c>
      <c r="I66" s="14">
        <f>_xll.BDH("GILD US Equity","IS_SALE_INVESTMENTS_DILUTED_SH","FQ2 2020","FQ2 2020","Currency=USD","Period=FQ","BEST_FPERIOD_OVERRIDE=FQ","FILING_STATUS=MR","Sort=A","Dates=H","DateFormat=P","Fill=—","Direction=H","UseDPDF=Y")</f>
        <v>-0.1187</v>
      </c>
      <c r="J66" s="14">
        <f>_xll.BDH("GILD US Equity","IS_SALE_INVESTMENTS_DILUTED_SH","FQ3 2020","FQ3 2020","Currency=USD","Period=FQ","BEST_FPERIOD_OVERRIDE=FQ","FILING_STATUS=MR","Sort=A","Dates=H","DateFormat=P","Fill=—","Direction=H","UseDPDF=Y")</f>
        <v>0.77949999999999997</v>
      </c>
      <c r="K66" s="14">
        <f>_xll.BDH("GILD US Equity","IS_SALE_INVESTMENTS_DILUTED_SH","FQ4 2020","FQ4 2020","Currency=USD","Period=FQ","BEST_FPERIOD_OVERRIDE=FQ","FILING_STATUS=MR","Sort=A","Dates=H","DateFormat=P","Fill=—","Direction=H","UseDPDF=Y")</f>
        <v>0.49880000000000002</v>
      </c>
      <c r="L66" s="14">
        <f>_xll.BDH("GILD US Equity","IS_SALE_INVESTMENTS_DILUTED_SH","FQ1 2021","FQ1 2021","Currency=USD","Period=FQ","BEST_FPERIOD_OVERRIDE=FQ","FILING_STATUS=MR","Sort=A","Dates=H","DateFormat=P","Fill=—","Direction=H","UseDPDF=Y")</f>
        <v>0.28839999999999999</v>
      </c>
      <c r="M66" s="14">
        <f>_xll.BDH("GILD US Equity","IS_SALE_INVESTMENTS_DILUTED_SH","FQ2 2021","FQ2 2021","Currency=USD","Period=FQ","BEST_FPERIOD_OVERRIDE=FQ","FILING_STATUS=MR","Sort=A","Dates=H","DateFormat=P","Fill=—","Direction=H","UseDPDF=Y")</f>
        <v>0.1341</v>
      </c>
      <c r="N66" s="14">
        <f>_xll.BDH("GILD US Equity","IS_SALE_INVESTMENTS_DILUTED_SH","FQ3 2021","FQ3 2021","Currency=USD","Period=FQ","BEST_FPERIOD_OVERRIDE=FQ","FILING_STATUS=MR","Sort=A","Dates=H","DateFormat=P","Fill=—","Direction=H","UseDPDF=Y")</f>
        <v>0.122</v>
      </c>
      <c r="O66" s="14">
        <f>_xll.BDH("GILD US Equity","IS_SALE_INVESTMENTS_DILUTED_SH","FQ4 2021","FQ4 2021","Currency=USD","Period=FQ","BEST_FPERIOD_OVERRIDE=FQ","FILING_STATUS=MR","Sort=A","Dates=H","DateFormat=P","Fill=—","Direction=H","UseDPDF=Y")</f>
        <v>-4.4400000000000002E-2</v>
      </c>
      <c r="P66" s="14" t="str">
        <f>_xll.BDH("GILD US Equity","IS_SALE_INVESTMENTS_DILUTED_SH","FQ1 2022","FQ1 2022","Currency=USD","Period=FQ","BEST_FPERIOD_OVERRIDE=FQ","FILING_STATUS=MR","Sort=A","Dates=H","DateFormat=P","Fill=—","Direction=H","UseDPDF=Y")</f>
        <v>—</v>
      </c>
      <c r="Q66" s="14">
        <f>_xll.BDH("GILD US Equity","IS_SALE_INVESTMENTS_DILUTED_SH","FQ2 2022","FQ2 2022","Currency=USD","Period=FQ","BEST_FPERIOD_OVERRIDE=FQ","FILING_STATUS=MR","Sort=A","Dates=H","DateFormat=P","Fill=—","Direction=H","UseDPDF=Y")</f>
        <v>0.24440000000000001</v>
      </c>
      <c r="R66" s="14">
        <f>_xll.BDH("GILD US Equity","IS_SALE_INVESTMENTS_DILUTED_SH","FQ3 2022","FQ3 2022","Currency=USD","Period=FQ","BEST_FPERIOD_OVERRIDE=FQ","FILING_STATUS=MR","Sort=A","Dates=H","DateFormat=P","Fill=—","Direction=H","UseDPDF=Y")</f>
        <v>0.15620000000000001</v>
      </c>
      <c r="S66" s="14">
        <f>_xll.BDH("GILD US Equity","IS_SALE_INVESTMENTS_DILUTED_SH","FQ4 2022","FQ4 2022","Currency=USD","Period=FQ","BEST_FPERIOD_OVERRIDE=FQ","FILING_STATUS=MR","Sort=A","Dates=H","DateFormat=P","Fill=—","Direction=H","UseDPDF=Y")</f>
        <v>4.7500000000000001E-2</v>
      </c>
      <c r="T66" s="14">
        <f>_xll.BDH("GILD US Equity","IS_SALE_INVESTMENTS_DILUTED_SH","FQ1 2023","FQ1 2023","Currency=USD","Period=FQ","BEST_FPERIOD_OVERRIDE=FQ","FILING_STATUS=MR","Sort=A","Dates=H","DateFormat=P","Fill=—","Direction=H","UseDPDF=Y")</f>
        <v>0.2059</v>
      </c>
      <c r="U66" s="14">
        <f>_xll.BDH("GILD US Equity","IS_SALE_INVESTMENTS_DILUTED_SH","FQ2 2023","FQ2 2023","Currency=USD","Period=FQ","BEST_FPERIOD_OVERRIDE=FQ","FILING_STATUS=MR","Sort=A","Dates=H","DateFormat=P","Fill=—","Direction=H","UseDPDF=Y")</f>
        <v>-5.5599999999999997E-2</v>
      </c>
      <c r="V66" s="14">
        <f>_xll.BDH("GILD US Equity","IS_SALE_INVESTMENTS_DILUTED_SH","FQ3 2023","FQ3 2023","Currency=USD","Period=FQ","BEST_FPERIOD_OVERRIDE=FQ","FILING_STATUS=MR","Sort=A","Dates=H","DateFormat=P","Fill=—","Direction=H","UseDPDF=Y")</f>
        <v>0.1305</v>
      </c>
      <c r="W66" s="14">
        <f>_xll.BDH("GILD US Equity","IS_SALE_INVESTMENTS_DILUTED_SH","FQ4 2023","FQ4 2023","Currency=USD","Period=FQ","BEST_FPERIOD_OVERRIDE=FQ","FILING_STATUS=MR","Sort=A","Dates=H","DateFormat=P","Fill=—","Direction=H","UseDPDF=Y")</f>
        <v>-0.1361</v>
      </c>
      <c r="X66" s="14">
        <f>_xll.BDH("GILD US Equity","IS_SALE_INVESTMENTS_DILUTED_SH","FQ1 2024","FQ1 2024","Currency=USD","Period=FQ","BEST_FPERIOD_OVERRIDE=FQ","FILING_STATUS=MR","Sort=A","Dates=H","DateFormat=P","Fill=—","Direction=H","UseDPDF=Y")</f>
        <v>4.2500000000000003E-2</v>
      </c>
      <c r="Y66" s="14">
        <f>_xll.BDH("GILD US Equity","IS_SALE_INVESTMENTS_DILUTED_SH","FQ2 2024","FQ2 2024","Currency=USD","Period=FQ","BEST_FPERIOD_OVERRIDE=FQ","FILING_STATUS=MR","Sort=A","Dates=H","DateFormat=P","Fill=—","Direction=H","UseDPDF=Y")</f>
        <v>0.28699999999999998</v>
      </c>
      <c r="Z66" s="14">
        <f>_xll.BDH("GILD US Equity","IS_SALE_INVESTMENTS_DILUTED_SH","FQ3 2024","FQ3 2024","Currency=USD","Period=FQ","BEST_FPERIOD_OVERRIDE=FQ","FILING_STATUS=MR","Sort=A","Dates=H","DateFormat=P","Fill=—","Direction=H","UseDPDF=Y")</f>
        <v>-0.1691</v>
      </c>
      <c r="AA66" s="14">
        <f>_xll.BDH("GILD US Equity","IS_SALE_INVESTMENTS_DILUTED_SH","FQ4 2024","FQ4 2024","Currency=USD","Period=FQ","BEST_FPERIOD_OVERRIDE=FQ","FILING_STATUS=MR","Sort=A","Dates=H","DateFormat=P","Fill=—","Direction=H","UseDPDF=Y")</f>
        <v>8.9800000000000005E-2</v>
      </c>
    </row>
    <row r="67" spans="1:27" x14ac:dyDescent="0.25">
      <c r="A67" s="10" t="s">
        <v>673</v>
      </c>
      <c r="B67" s="10" t="s">
        <v>697</v>
      </c>
      <c r="C67" s="14">
        <f>_xll.BDH("GILD US Equity","IS_UNREALIZED_INVEST_DILUTED_SH","FQ4 2018","FQ4 2018","Currency=USD","Period=FQ","BEST_FPERIOD_OVERRIDE=FQ","FILING_STATUS=MR","Sort=A","Dates=H","DateFormat=P","Fill=—","Direction=H","UseDPDF=Y")</f>
        <v>4.5400000000000003E-2</v>
      </c>
      <c r="D67" s="14">
        <f>_xll.BDH("GILD US Equity","IS_UNREALIZED_INVEST_DILUTED_SH","FQ1 2019","FQ1 2019","Currency=USD","Period=FQ","BEST_FPERIOD_OVERRIDE=FQ","FILING_STATUS=MR","Sort=A","Dates=H","DateFormat=P","Fill=—","Direction=H","UseDPDF=Y")</f>
        <v>-0.1489</v>
      </c>
      <c r="E67" s="14">
        <f>_xll.BDH("GILD US Equity","IS_UNREALIZED_INVEST_DILUTED_SH","FQ2 2019","FQ2 2019","Currency=USD","Period=FQ","BEST_FPERIOD_OVERRIDE=FQ","FILING_STATUS=MR","Sort=A","Dates=H","DateFormat=P","Fill=—","Direction=H","UseDPDF=Y")</f>
        <v>-4.9299999999999997E-2</v>
      </c>
      <c r="F67" s="14" t="str">
        <f>_xll.BDH("GILD US Equity","IS_UNREALIZED_INVEST_DILUTED_SH","FQ3 2019","FQ3 2019","Currency=USD","Period=FQ","BEST_FPERIOD_OVERRIDE=FQ","FILING_STATUS=MR","Sort=A","Dates=H","DateFormat=P","Fill=—","Direction=H","UseDPDF=Y")</f>
        <v>—</v>
      </c>
      <c r="G67" s="14" t="str">
        <f>_xll.BDH("GILD US Equity","IS_UNREALIZED_INVEST_DILUTED_SH","FQ4 2019","FQ4 2019","Currency=USD","Period=FQ","BEST_FPERIOD_OVERRIDE=FQ","FILING_STATUS=MR","Sort=A","Dates=H","DateFormat=P","Fill=—","Direction=H","UseDPDF=Y")</f>
        <v>—</v>
      </c>
      <c r="H67" s="14" t="str">
        <f>_xll.BDH("GILD US Equity","IS_UNREALIZED_INVEST_DILUTED_SH","FQ1 2020","FQ1 2020","Currency=USD","Period=FQ","BEST_FPERIOD_OVERRIDE=FQ","FILING_STATUS=MR","Sort=A","Dates=H","DateFormat=P","Fill=—","Direction=H","UseDPDF=Y")</f>
        <v>—</v>
      </c>
      <c r="I67" s="14" t="str">
        <f>_xll.BDH("GILD US Equity","IS_UNREALIZED_INVEST_DILUTED_SH","FQ2 2020","FQ2 2020","Currency=USD","Period=FQ","BEST_FPERIOD_OVERRIDE=FQ","FILING_STATUS=MR","Sort=A","Dates=H","DateFormat=P","Fill=—","Direction=H","UseDPDF=Y")</f>
        <v>—</v>
      </c>
      <c r="J67" s="14" t="str">
        <f>_xll.BDH("GILD US Equity","IS_UNREALIZED_INVEST_DILUTED_SH","FQ3 2020","FQ3 2020","Currency=USD","Period=FQ","BEST_FPERIOD_OVERRIDE=FQ","FILING_STATUS=MR","Sort=A","Dates=H","DateFormat=P","Fill=—","Direction=H","UseDPDF=Y")</f>
        <v>—</v>
      </c>
      <c r="K67" s="14" t="str">
        <f>_xll.BDH("GILD US Equity","IS_UNREALIZED_INVEST_DILUTED_SH","FQ4 2020","FQ4 2020","Currency=USD","Period=FQ","BEST_FPERIOD_OVERRIDE=FQ","FILING_STATUS=MR","Sort=A","Dates=H","DateFormat=P","Fill=—","Direction=H","UseDPDF=Y")</f>
        <v>—</v>
      </c>
      <c r="L67" s="14" t="str">
        <f>_xll.BDH("GILD US Equity","IS_UNREALIZED_INVEST_DILUTED_SH","FQ1 2021","FQ1 2021","Currency=USD","Period=FQ","BEST_FPERIOD_OVERRIDE=FQ","FILING_STATUS=MR","Sort=A","Dates=H","DateFormat=P","Fill=—","Direction=H","UseDPDF=Y")</f>
        <v>—</v>
      </c>
      <c r="M67" s="14" t="str">
        <f>_xll.BDH("GILD US Equity","IS_UNREALIZED_INVEST_DILUTED_SH","FQ2 2021","FQ2 2021","Currency=USD","Period=FQ","BEST_FPERIOD_OVERRIDE=FQ","FILING_STATUS=MR","Sort=A","Dates=H","DateFormat=P","Fill=—","Direction=H","UseDPDF=Y")</f>
        <v>—</v>
      </c>
      <c r="N67" s="14" t="str">
        <f>_xll.BDH("GILD US Equity","IS_UNREALIZED_INVEST_DILUTED_SH","FQ3 2021","FQ3 2021","Currency=USD","Period=FQ","BEST_FPERIOD_OVERRIDE=FQ","FILING_STATUS=MR","Sort=A","Dates=H","DateFormat=P","Fill=—","Direction=H","UseDPDF=Y")</f>
        <v>—</v>
      </c>
      <c r="O67" s="14" t="str">
        <f>_xll.BDH("GILD US Equity","IS_UNREALIZED_INVEST_DILUTED_SH","FQ4 2021","FQ4 2021","Currency=USD","Period=FQ","BEST_FPERIOD_OVERRIDE=FQ","FILING_STATUS=MR","Sort=A","Dates=H","DateFormat=P","Fill=—","Direction=H","UseDPDF=Y")</f>
        <v>—</v>
      </c>
      <c r="P67" s="14" t="str">
        <f>_xll.BDH("GILD US Equity","IS_UNREALIZED_INVEST_DILUTED_SH","FQ1 2022","FQ1 2022","Currency=USD","Period=FQ","BEST_FPERIOD_OVERRIDE=FQ","FILING_STATUS=MR","Sort=A","Dates=H","DateFormat=P","Fill=—","Direction=H","UseDPDF=Y")</f>
        <v>—</v>
      </c>
      <c r="Q67" s="14" t="str">
        <f>_xll.BDH("GILD US Equity","IS_UNREALIZED_INVEST_DILUTED_SH","FQ2 2022","FQ2 2022","Currency=USD","Period=FQ","BEST_FPERIOD_OVERRIDE=FQ","FILING_STATUS=MR","Sort=A","Dates=H","DateFormat=P","Fill=—","Direction=H","UseDPDF=Y")</f>
        <v>—</v>
      </c>
      <c r="R67" s="14" t="str">
        <f>_xll.BDH("GILD US Equity","IS_UNREALIZED_INVEST_DILUTED_SH","FQ3 2022","FQ3 2022","Currency=USD","Period=FQ","BEST_FPERIOD_OVERRIDE=FQ","FILING_STATUS=MR","Sort=A","Dates=H","DateFormat=P","Fill=—","Direction=H","UseDPDF=Y")</f>
        <v>—</v>
      </c>
      <c r="S67" s="14" t="str">
        <f>_xll.BDH("GILD US Equity","IS_UNREALIZED_INVEST_DILUTED_SH","FQ4 2022","FQ4 2022","Currency=USD","Period=FQ","BEST_FPERIOD_OVERRIDE=FQ","FILING_STATUS=MR","Sort=A","Dates=H","DateFormat=P","Fill=—","Direction=H","UseDPDF=Y")</f>
        <v>—</v>
      </c>
      <c r="T67" s="14" t="str">
        <f>_xll.BDH("GILD US Equity","IS_UNREALIZED_INVEST_DILUTED_SH","FQ1 2023","FQ1 2023","Currency=USD","Period=FQ","BEST_FPERIOD_OVERRIDE=FQ","FILING_STATUS=MR","Sort=A","Dates=H","DateFormat=P","Fill=—","Direction=H","UseDPDF=Y")</f>
        <v>—</v>
      </c>
      <c r="U67" s="14" t="str">
        <f>_xll.BDH("GILD US Equity","IS_UNREALIZED_INVEST_DILUTED_SH","FQ2 2023","FQ2 2023","Currency=USD","Period=FQ","BEST_FPERIOD_OVERRIDE=FQ","FILING_STATUS=MR","Sort=A","Dates=H","DateFormat=P","Fill=—","Direction=H","UseDPDF=Y")</f>
        <v>—</v>
      </c>
      <c r="V67" s="14" t="str">
        <f>_xll.BDH("GILD US Equity","IS_UNREALIZED_INVEST_DILUTED_SH","FQ3 2023","FQ3 2023","Currency=USD","Period=FQ","BEST_FPERIOD_OVERRIDE=FQ","FILING_STATUS=MR","Sort=A","Dates=H","DateFormat=P","Fill=—","Direction=H","UseDPDF=Y")</f>
        <v>—</v>
      </c>
      <c r="W67" s="14" t="str">
        <f>_xll.BDH("GILD US Equity","IS_UNREALIZED_INVEST_DILUTED_SH","FQ4 2023","FQ4 2023","Currency=USD","Period=FQ","BEST_FPERIOD_OVERRIDE=FQ","FILING_STATUS=MR","Sort=A","Dates=H","DateFormat=P","Fill=—","Direction=H","UseDPDF=Y")</f>
        <v>—</v>
      </c>
      <c r="X67" s="14" t="str">
        <f>_xll.BDH("GILD US Equity","IS_UNREALIZED_INVEST_DILUTED_SH","FQ1 2024","FQ1 2024","Currency=USD","Period=FQ","BEST_FPERIOD_OVERRIDE=FQ","FILING_STATUS=MR","Sort=A","Dates=H","DateFormat=P","Fill=—","Direction=H","UseDPDF=Y")</f>
        <v>—</v>
      </c>
      <c r="Y67" s="14" t="str">
        <f>_xll.BDH("GILD US Equity","IS_UNREALIZED_INVEST_DILUTED_SH","FQ2 2024","FQ2 2024","Currency=USD","Period=FQ","BEST_FPERIOD_OVERRIDE=FQ","FILING_STATUS=MR","Sort=A","Dates=H","DateFormat=P","Fill=—","Direction=H","UseDPDF=Y")</f>
        <v>—</v>
      </c>
      <c r="Z67" s="14" t="str">
        <f>_xll.BDH("GILD US Equity","IS_UNREALIZED_INVEST_DILUTED_SH","FQ3 2024","FQ3 2024","Currency=USD","Period=FQ","BEST_FPERIOD_OVERRIDE=FQ","FILING_STATUS=MR","Sort=A","Dates=H","DateFormat=P","Fill=—","Direction=H","UseDPDF=Y")</f>
        <v>—</v>
      </c>
      <c r="AA67" s="14" t="str">
        <f>_xll.BDH("GILD US Equity","IS_UNREALIZED_INVEST_DILUTED_SH","FQ4 2024","FQ4 2024","Currency=USD","Period=FQ","BEST_FPERIOD_OVERRIDE=FQ","FILING_STATUS=MR","Sort=A","Dates=H","DateFormat=P","Fill=—","Direction=H","UseDPDF=Y")</f>
        <v>—</v>
      </c>
    </row>
    <row r="68" spans="1:27" x14ac:dyDescent="0.25">
      <c r="A68" s="10" t="s">
        <v>670</v>
      </c>
      <c r="B68" s="10" t="s">
        <v>698</v>
      </c>
      <c r="C68" s="14">
        <f>_xll.BDH("GILD US Equity","IS_OTH_ONE_TIME_ITEMS_DILUTED_SH","FQ4 2018","FQ4 2018","Currency=USD","Period=FQ","BEST_FPERIOD_OVERRIDE=FQ","FILING_STATUS=MR","Sort=A","Dates=H","DateFormat=P","Fill=—","Direction=H","UseDPDF=Y")</f>
        <v>7.4700000000000003E-2</v>
      </c>
      <c r="D68" s="14">
        <f>_xll.BDH("GILD US Equity","IS_OTH_ONE_TIME_ITEMS_DILUTED_SH","FQ1 2019","FQ1 2019","Currency=USD","Period=FQ","BEST_FPERIOD_OVERRIDE=FQ","FILING_STATUS=MR","Sort=A","Dates=H","DateFormat=P","Fill=—","Direction=H","UseDPDF=Y")</f>
        <v>7.5600000000000001E-2</v>
      </c>
      <c r="E68" s="14">
        <f>_xll.BDH("GILD US Equity","IS_OTH_ONE_TIME_ITEMS_DILUTED_SH","FQ2 2019","FQ2 2019","Currency=USD","Period=FQ","BEST_FPERIOD_OVERRIDE=FQ","FILING_STATUS=MR","Sort=A","Dates=H","DateFormat=P","Fill=—","Direction=H","UseDPDF=Y")</f>
        <v>9.9500000000000005E-2</v>
      </c>
      <c r="F68" s="14">
        <f>_xll.BDH("GILD US Equity","IS_OTH_ONE_TIME_ITEMS_DILUTED_SH","FQ3 2019","FQ3 2019","Currency=USD","Period=FQ","BEST_FPERIOD_OVERRIDE=FQ","FILING_STATUS=MR","Sort=A","Dates=H","DateFormat=P","Fill=—","Direction=H","UseDPDF=Y")</f>
        <v>5.4999999999999997E-3</v>
      </c>
      <c r="G68" s="14">
        <f>_xll.BDH("GILD US Equity","IS_OTH_ONE_TIME_ITEMS_DILUTED_SH","FQ4 2019","FQ4 2019","Currency=USD","Period=FQ","BEST_FPERIOD_OVERRIDE=FQ","FILING_STATUS=MR","Sort=A","Dates=H","DateFormat=P","Fill=—","Direction=H","UseDPDF=Y")</f>
        <v>-3.8999999999999998E-3</v>
      </c>
      <c r="H68" s="14" t="str">
        <f>_xll.BDH("GILD US Equity","IS_OTH_ONE_TIME_ITEMS_DILUTED_SH","FQ1 2020","FQ1 2020","Currency=USD","Period=FQ","BEST_FPERIOD_OVERRIDE=FQ","FILING_STATUS=MR","Sort=A","Dates=H","DateFormat=P","Fill=—","Direction=H","UseDPDF=Y")</f>
        <v>—</v>
      </c>
      <c r="I68" s="14">
        <f>_xll.BDH("GILD US Equity","IS_OTH_ONE_TIME_ITEMS_DILUTED_SH","FQ2 2020","FQ2 2020","Currency=USD","Period=FQ","BEST_FPERIOD_OVERRIDE=FQ","FILING_STATUS=MR","Sort=A","Dates=H","DateFormat=P","Fill=—","Direction=H","UseDPDF=Y")</f>
        <v>-1.6000000000000001E-3</v>
      </c>
      <c r="J68" s="14">
        <f>_xll.BDH("GILD US Equity","IS_OTH_ONE_TIME_ITEMS_DILUTED_SH","FQ3 2020","FQ3 2020","Currency=USD","Period=FQ","BEST_FPERIOD_OVERRIDE=FQ","FILING_STATUS=MR","Sort=A","Dates=H","DateFormat=P","Fill=—","Direction=H","UseDPDF=Y")</f>
        <v>-5.9999999999999995E-4</v>
      </c>
      <c r="K68" s="14" t="str">
        <f>_xll.BDH("GILD US Equity","IS_OTH_ONE_TIME_ITEMS_DILUTED_SH","FQ4 2020","FQ4 2020","Currency=USD","Period=FQ","BEST_FPERIOD_OVERRIDE=FQ","FILING_STATUS=MR","Sort=A","Dates=H","DateFormat=P","Fill=—","Direction=H","UseDPDF=Y")</f>
        <v>—</v>
      </c>
      <c r="L68" s="14" t="str">
        <f>_xll.BDH("GILD US Equity","IS_OTH_ONE_TIME_ITEMS_DILUTED_SH","FQ1 2021","FQ1 2021","Currency=USD","Period=FQ","BEST_FPERIOD_OVERRIDE=FQ","FILING_STATUS=MR","Sort=A","Dates=H","DateFormat=P","Fill=—","Direction=H","UseDPDF=Y")</f>
        <v>—</v>
      </c>
      <c r="M68" s="14">
        <f>_xll.BDH("GILD US Equity","IS_OTH_ONE_TIME_ITEMS_DILUTED_SH","FQ2 2021","FQ2 2021","Currency=USD","Period=FQ","BEST_FPERIOD_OVERRIDE=FQ","FILING_STATUS=MR","Sort=A","Dates=H","DateFormat=P","Fill=—","Direction=H","UseDPDF=Y")</f>
        <v>0.13170000000000001</v>
      </c>
      <c r="N68" s="14" t="str">
        <f>_xll.BDH("GILD US Equity","IS_OTH_ONE_TIME_ITEMS_DILUTED_SH","FQ3 2021","FQ3 2021","Currency=USD","Period=FQ","BEST_FPERIOD_OVERRIDE=FQ","FILING_STATUS=MR","Sort=A","Dates=H","DateFormat=P","Fill=—","Direction=H","UseDPDF=Y")</f>
        <v>—</v>
      </c>
      <c r="O68" s="14">
        <f>_xll.BDH("GILD US Equity","IS_OTH_ONE_TIME_ITEMS_DILUTED_SH","FQ4 2021","FQ4 2021","Currency=USD","Period=FQ","BEST_FPERIOD_OVERRIDE=FQ","FILING_STATUS=MR","Sort=A","Dates=H","DateFormat=P","Fill=—","Direction=H","UseDPDF=Y")</f>
        <v>3.8E-3</v>
      </c>
      <c r="P68" s="14" t="str">
        <f>_xll.BDH("GILD US Equity","IS_OTH_ONE_TIME_ITEMS_DILUTED_SH","FQ1 2022","FQ1 2022","Currency=USD","Period=FQ","BEST_FPERIOD_OVERRIDE=FQ","FILING_STATUS=MR","Sort=A","Dates=H","DateFormat=P","Fill=—","Direction=H","UseDPDF=Y")</f>
        <v>—</v>
      </c>
      <c r="Q68" s="14">
        <f>_xll.BDH("GILD US Equity","IS_OTH_ONE_TIME_ITEMS_DILUTED_SH","FQ2 2022","FQ2 2022","Currency=USD","Period=FQ","BEST_FPERIOD_OVERRIDE=FQ","FILING_STATUS=MR","Sort=A","Dates=H","DateFormat=P","Fill=—","Direction=H","UseDPDF=Y")</f>
        <v>4.6800000000000001E-2</v>
      </c>
      <c r="R68" s="14">
        <f>_xll.BDH("GILD US Equity","IS_OTH_ONE_TIME_ITEMS_DILUTED_SH","FQ3 2022","FQ3 2022","Currency=USD","Period=FQ","BEST_FPERIOD_OVERRIDE=FQ","FILING_STATUS=MR","Sort=A","Dates=H","DateFormat=P","Fill=—","Direction=H","UseDPDF=Y")</f>
        <v>-5.9999999999999995E-4</v>
      </c>
      <c r="S68" s="14">
        <f>_xll.BDH("GILD US Equity","IS_OTH_ONE_TIME_ITEMS_DILUTED_SH","FQ4 2022","FQ4 2022","Currency=USD","Period=FQ","BEST_FPERIOD_OVERRIDE=FQ","FILING_STATUS=MR","Sort=A","Dates=H","DateFormat=P","Fill=—","Direction=H","UseDPDF=Y")</f>
        <v>1.6000000000000001E-3</v>
      </c>
      <c r="T68" s="14" t="str">
        <f>_xll.BDH("GILD US Equity","IS_OTH_ONE_TIME_ITEMS_DILUTED_SH","FQ1 2023","FQ1 2023","Currency=USD","Period=FQ","BEST_FPERIOD_OVERRIDE=FQ","FILING_STATUS=MR","Sort=A","Dates=H","DateFormat=P","Fill=—","Direction=H","UseDPDF=Y")</f>
        <v>—</v>
      </c>
      <c r="U68" s="14" t="str">
        <f>_xll.BDH("GILD US Equity","IS_OTH_ONE_TIME_ITEMS_DILUTED_SH","FQ2 2023","FQ2 2023","Currency=USD","Period=FQ","BEST_FPERIOD_OVERRIDE=FQ","FILING_STATUS=MR","Sort=A","Dates=H","DateFormat=P","Fill=—","Direction=H","UseDPDF=Y")</f>
        <v>—</v>
      </c>
      <c r="V68" s="14" t="str">
        <f>_xll.BDH("GILD US Equity","IS_OTH_ONE_TIME_ITEMS_DILUTED_SH","FQ3 2023","FQ3 2023","Currency=USD","Period=FQ","BEST_FPERIOD_OVERRIDE=FQ","FILING_STATUS=MR","Sort=A","Dates=H","DateFormat=P","Fill=—","Direction=H","UseDPDF=Y")</f>
        <v>—</v>
      </c>
      <c r="W68" s="14">
        <f>_xll.BDH("GILD US Equity","IS_OTH_ONE_TIME_ITEMS_DILUTED_SH","FQ4 2023","FQ4 2023","Currency=USD","Period=FQ","BEST_FPERIOD_OVERRIDE=FQ","FILING_STATUS=MR","Sort=A","Dates=H","DateFormat=P","Fill=—","Direction=H","UseDPDF=Y")</f>
        <v>3.1800000000000002E-2</v>
      </c>
      <c r="X68" s="14" t="str">
        <f>_xll.BDH("GILD US Equity","IS_OTH_ONE_TIME_ITEMS_DILUTED_SH","FQ1 2024","FQ1 2024","Currency=USD","Period=FQ","BEST_FPERIOD_OVERRIDE=FQ","FILING_STATUS=MR","Sort=A","Dates=H","DateFormat=P","Fill=—","Direction=H","UseDPDF=Y")</f>
        <v>—</v>
      </c>
      <c r="Y68" s="14" t="str">
        <f>_xll.BDH("GILD US Equity","IS_OTH_ONE_TIME_ITEMS_DILUTED_SH","FQ2 2024","FQ2 2024","Currency=USD","Period=FQ","BEST_FPERIOD_OVERRIDE=FQ","FILING_STATUS=MR","Sort=A","Dates=H","DateFormat=P","Fill=—","Direction=H","UseDPDF=Y")</f>
        <v>—</v>
      </c>
      <c r="Z68" s="14" t="str">
        <f>_xll.BDH("GILD US Equity","IS_OTH_ONE_TIME_ITEMS_DILUTED_SH","FQ3 2024","FQ3 2024","Currency=USD","Period=FQ","BEST_FPERIOD_OVERRIDE=FQ","FILING_STATUS=MR","Sort=A","Dates=H","DateFormat=P","Fill=—","Direction=H","UseDPDF=Y")</f>
        <v>—</v>
      </c>
      <c r="AA68" s="14" t="str">
        <f>_xll.BDH("GILD US Equity","IS_OTH_ONE_TIME_ITEMS_DILUTED_SH","FQ4 2024","FQ4 2024","Currency=USD","Period=FQ","BEST_FPERIOD_OVERRIDE=FQ","FILING_STATUS=MR","Sort=A","Dates=H","DateFormat=P","Fill=—","Direction=H","UseDPDF=Y")</f>
        <v>—</v>
      </c>
    </row>
    <row r="69" spans="1:27" x14ac:dyDescent="0.25">
      <c r="A69" s="10" t="s">
        <v>687</v>
      </c>
      <c r="B69" s="10" t="s">
        <v>699</v>
      </c>
      <c r="C69" s="14">
        <f>_xll.BDH("GILD US Equity","IS_TAX_PROV_BENEFIT_DILUTED_SH","FQ4 2018","FQ4 2018","Currency=USD","Period=FQ","BEST_FPERIOD_OVERRIDE=FQ","FILING_STATUS=MR","Sort=A","Dates=H","DateFormat=P","Fill=—","Direction=H","UseDPDF=Y")</f>
        <v>0.46339999999999998</v>
      </c>
      <c r="D69" s="14" t="str">
        <f>_xll.BDH("GILD US Equity","IS_TAX_PROV_BENEFIT_DILUTED_SH","FQ1 2019","FQ1 2019","Currency=USD","Period=FQ","BEST_FPERIOD_OVERRIDE=FQ","FILING_STATUS=MR","Sort=A","Dates=H","DateFormat=P","Fill=—","Direction=H","UseDPDF=Y")</f>
        <v>—</v>
      </c>
      <c r="E69" s="14" t="str">
        <f>_xll.BDH("GILD US Equity","IS_TAX_PROV_BENEFIT_DILUTED_SH","FQ2 2019","FQ2 2019","Currency=USD","Period=FQ","BEST_FPERIOD_OVERRIDE=FQ","FILING_STATUS=MR","Sort=A","Dates=H","DateFormat=P","Fill=—","Direction=H","UseDPDF=Y")</f>
        <v>—</v>
      </c>
      <c r="F69" s="14" t="str">
        <f>_xll.BDH("GILD US Equity","IS_TAX_PROV_BENEFIT_DILUTED_SH","FQ3 2019","FQ3 2019","Currency=USD","Period=FQ","BEST_FPERIOD_OVERRIDE=FQ","FILING_STATUS=MR","Sort=A","Dates=H","DateFormat=P","Fill=—","Direction=H","UseDPDF=Y")</f>
        <v>—</v>
      </c>
      <c r="G69" s="14">
        <f>_xll.BDH("GILD US Equity","IS_TAX_PROV_BENEFIT_DILUTED_SH","FQ4 2019","FQ4 2019","Currency=USD","Period=FQ","BEST_FPERIOD_OVERRIDE=FQ","FILING_STATUS=MR","Sort=A","Dates=H","DateFormat=P","Fill=—","Direction=H","UseDPDF=Y")</f>
        <v>-0.97409999999999997</v>
      </c>
      <c r="H69" s="14">
        <f>_xll.BDH("GILD US Equity","IS_TAX_PROV_BENEFIT_DILUTED_SH","FQ1 2020","FQ1 2020","Currency=USD","Period=FQ","BEST_FPERIOD_OVERRIDE=FQ","FILING_STATUS=MR","Sort=A","Dates=H","DateFormat=P","Fill=—","Direction=H","UseDPDF=Y")</f>
        <v>2.5999999999999999E-2</v>
      </c>
      <c r="I69" s="14">
        <f>_xll.BDH("GILD US Equity","IS_TAX_PROV_BENEFIT_DILUTED_SH","FQ2 2020","FQ2 2020","Currency=USD","Period=FQ","BEST_FPERIOD_OVERRIDE=FQ","FILING_STATUS=MR","Sort=A","Dates=H","DateFormat=P","Fill=—","Direction=H","UseDPDF=Y")</f>
        <v>3.2000000000000002E-3</v>
      </c>
      <c r="J69" s="14">
        <f>_xll.BDH("GILD US Equity","IS_TAX_PROV_BENEFIT_DILUTED_SH","FQ3 2020","FQ3 2020","Currency=USD","Period=FQ","BEST_FPERIOD_OVERRIDE=FQ","FILING_STATUS=MR","Sort=A","Dates=H","DateFormat=P","Fill=—","Direction=H","UseDPDF=Y")</f>
        <v>3.5700000000000003E-2</v>
      </c>
      <c r="K69" s="14">
        <f>_xll.BDH("GILD US Equity","IS_TAX_PROV_BENEFIT_DILUTED_SH","FQ4 2020","FQ4 2020","Currency=USD","Period=FQ","BEST_FPERIOD_OVERRIDE=FQ","FILING_STATUS=MR","Sort=A","Dates=H","DateFormat=P","Fill=—","Direction=H","UseDPDF=Y")</f>
        <v>-6.5100000000000005E-2</v>
      </c>
      <c r="L69" s="14">
        <f>_xll.BDH("GILD US Equity","IS_TAX_PROV_BENEFIT_DILUTED_SH","FQ1 2021","FQ1 2021","Currency=USD","Period=FQ","BEST_FPERIOD_OVERRIDE=FQ","FILING_STATUS=MR","Sort=A","Dates=H","DateFormat=P","Fill=—","Direction=H","UseDPDF=Y")</f>
        <v>4.2799999999999998E-2</v>
      </c>
      <c r="M69" s="14">
        <f>_xll.BDH("GILD US Equity","IS_TAX_PROV_BENEFIT_DILUTED_SH","FQ2 2021","FQ2 2021","Currency=USD","Period=FQ","BEST_FPERIOD_OVERRIDE=FQ","FILING_STATUS=MR","Sort=A","Dates=H","DateFormat=P","Fill=—","Direction=H","UseDPDF=Y")</f>
        <v>-3.1699999999999999E-2</v>
      </c>
      <c r="N69" s="14">
        <f>_xll.BDH("GILD US Equity","IS_TAX_PROV_BENEFIT_DILUTED_SH","FQ3 2021","FQ3 2021","Currency=USD","Period=FQ","BEST_FPERIOD_OVERRIDE=FQ","FILING_STATUS=MR","Sort=A","Dates=H","DateFormat=P","Fill=—","Direction=H","UseDPDF=Y")</f>
        <v>0.13070000000000001</v>
      </c>
      <c r="O69" s="14">
        <f>_xll.BDH("GILD US Equity","IS_TAX_PROV_BENEFIT_DILUTED_SH","FQ4 2021","FQ4 2021","Currency=USD","Period=FQ","BEST_FPERIOD_OVERRIDE=FQ","FILING_STATUS=MR","Sort=A","Dates=H","DateFormat=P","Fill=—","Direction=H","UseDPDF=Y")</f>
        <v>6.9699999999999998E-2</v>
      </c>
      <c r="P69" s="14">
        <f>_xll.BDH("GILD US Equity","IS_TAX_PROV_BENEFIT_DILUTED_SH","FQ1 2022","FQ1 2022","Currency=USD","Period=FQ","BEST_FPERIOD_OVERRIDE=FQ","FILING_STATUS=MR","Sort=A","Dates=H","DateFormat=P","Fill=—","Direction=H","UseDPDF=Y")</f>
        <v>3.0099999999999998E-2</v>
      </c>
      <c r="Q69" s="14">
        <f>_xll.BDH("GILD US Equity","IS_TAX_PROV_BENEFIT_DILUTED_SH","FQ2 2022","FQ2 2022","Currency=USD","Period=FQ","BEST_FPERIOD_OVERRIDE=FQ","FILING_STATUS=MR","Sort=A","Dates=H","DateFormat=P","Fill=—","Direction=H","UseDPDF=Y")</f>
        <v>2.46E-2</v>
      </c>
      <c r="R69" s="14">
        <f>_xll.BDH("GILD US Equity","IS_TAX_PROV_BENEFIT_DILUTED_SH","FQ3 2022","FQ3 2022","Currency=USD","Period=FQ","BEST_FPERIOD_OVERRIDE=FQ","FILING_STATUS=MR","Sort=A","Dates=H","DateFormat=P","Fill=—","Direction=H","UseDPDF=Y")</f>
        <v>3.8899999999999997E-2</v>
      </c>
      <c r="S69" s="14">
        <f>_xll.BDH("GILD US Equity","IS_TAX_PROV_BENEFIT_DILUTED_SH","FQ4 2022","FQ4 2022","Currency=USD","Period=FQ","BEST_FPERIOD_OVERRIDE=FQ","FILING_STATUS=MR","Sort=A","Dates=H","DateFormat=P","Fill=—","Direction=H","UseDPDF=Y")</f>
        <v>4.5100000000000001E-2</v>
      </c>
      <c r="T69" s="14">
        <f>_xll.BDH("GILD US Equity","IS_TAX_PROV_BENEFIT_DILUTED_SH","FQ1 2023","FQ1 2023","Currency=USD","Period=FQ","BEST_FPERIOD_OVERRIDE=FQ","FILING_STATUS=MR","Sort=A","Dates=H","DateFormat=P","Fill=—","Direction=H","UseDPDF=Y")</f>
        <v>2.3199999999999998E-2</v>
      </c>
      <c r="U69" s="14">
        <f>_xll.BDH("GILD US Equity","IS_TAX_PROV_BENEFIT_DILUTED_SH","FQ2 2023","FQ2 2023","Currency=USD","Period=FQ","BEST_FPERIOD_OVERRIDE=FQ","FILING_STATUS=MR","Sort=A","Dates=H","DateFormat=P","Fill=—","Direction=H","UseDPDF=Y")</f>
        <v>0.1804</v>
      </c>
      <c r="V69" s="14">
        <f>_xll.BDH("GILD US Equity","IS_TAX_PROV_BENEFIT_DILUTED_SH","FQ3 2023","FQ3 2023","Currency=USD","Period=FQ","BEST_FPERIOD_OVERRIDE=FQ","FILING_STATUS=MR","Sort=A","Dates=H","DateFormat=P","Fill=—","Direction=H","UseDPDF=Y")</f>
        <v>4.6100000000000002E-2</v>
      </c>
      <c r="W69" s="14">
        <f>_xll.BDH("GILD US Equity","IS_TAX_PROV_BENEFIT_DILUTED_SH","FQ4 2023","FQ4 2023","Currency=USD","Period=FQ","BEST_FPERIOD_OVERRIDE=FQ","FILING_STATUS=MR","Sort=A","Dates=H","DateFormat=P","Fill=—","Direction=H","UseDPDF=Y")</f>
        <v>9.5999999999999992E-3</v>
      </c>
      <c r="X69" s="14">
        <f>_xll.BDH("GILD US Equity","IS_TAX_PROV_BENEFIT_DILUTED_SH","FQ1 2024","FQ1 2024","Currency=USD","Period=FQ","BEST_FPERIOD_OVERRIDE=FQ","FILING_STATUS=MR","Sort=A","Dates=H","DateFormat=P","Fill=—","Direction=H","UseDPDF=Y")</f>
        <v>3.1300000000000001E-2</v>
      </c>
      <c r="Y69" s="14">
        <f>_xll.BDH("GILD US Equity","IS_TAX_PROV_BENEFIT_DILUTED_SH","FQ2 2024","FQ2 2024","Currency=USD","Period=FQ","BEST_FPERIOD_OVERRIDE=FQ","FILING_STATUS=MR","Sort=A","Dates=H","DateFormat=P","Fill=—","Direction=H","UseDPDF=Y")</f>
        <v>4.8000000000000001E-2</v>
      </c>
      <c r="Z69" s="14">
        <f>_xll.BDH("GILD US Equity","IS_TAX_PROV_BENEFIT_DILUTED_SH","FQ3 2024","FQ3 2024","Currency=USD","Period=FQ","BEST_FPERIOD_OVERRIDE=FQ","FILING_STATUS=MR","Sort=A","Dates=H","DateFormat=P","Fill=—","Direction=H","UseDPDF=Y")</f>
        <v>-0.25040000000000001</v>
      </c>
      <c r="AA69" s="14">
        <f>_xll.BDH("GILD US Equity","IS_TAX_PROV_BENEFIT_DILUTED_SH","FQ4 2024","FQ4 2024","Currency=USD","Period=FQ","BEST_FPERIOD_OVERRIDE=FQ","FILING_STATUS=MR","Sort=A","Dates=H","DateFormat=P","Fill=—","Direction=H","UseDPDF=Y")</f>
        <v>-2.3E-2</v>
      </c>
    </row>
    <row r="70" spans="1:27" x14ac:dyDescent="0.25">
      <c r="A70" s="6" t="s">
        <v>700</v>
      </c>
      <c r="B70" s="6" t="s">
        <v>82</v>
      </c>
      <c r="C70" s="20">
        <f>_xll.BDH("GILD US Equity","IS_DIL_EPS_CONT_OPS","FQ4 2018","FQ4 2018","Currency=USD","Period=FQ","BEST_FPERIOD_OVERRIDE=FQ","FILING_STATUS=MR","Sort=A","Dates=H","DateFormat=P","Fill=—","Direction=H","UseDPDF=Y")</f>
        <v>1.1193</v>
      </c>
      <c r="D70" s="20">
        <f>_xll.BDH("GILD US Equity","IS_DIL_EPS_CONT_OPS","FQ1 2019","FQ1 2019","Currency=USD","Period=FQ","BEST_FPERIOD_OVERRIDE=FQ","FILING_STATUS=MR","Sort=A","Dates=H","DateFormat=P","Fill=—","Direction=H","UseDPDF=Y")</f>
        <v>1.4666999999999999</v>
      </c>
      <c r="E70" s="20">
        <f>_xll.BDH("GILD US Equity","IS_DIL_EPS_CONT_OPS","FQ2 2019","FQ2 2019","Currency=USD","Period=FQ","BEST_FPERIOD_OVERRIDE=FQ","FILING_STATUS=MR","Sort=A","Dates=H","DateFormat=P","Fill=—","Direction=H","UseDPDF=Y")</f>
        <v>1.5201</v>
      </c>
      <c r="F70" s="20">
        <f>_xll.BDH("GILD US Equity","IS_DIL_EPS_CONT_OPS","FQ3 2019","FQ3 2019","Currency=USD","Period=FQ","BEST_FPERIOD_OVERRIDE=FQ","FILING_STATUS=MR","Sort=A","Dates=H","DateFormat=P","Fill=—","Direction=H","UseDPDF=Y")</f>
        <v>1.4549000000000001</v>
      </c>
      <c r="G70" s="20">
        <f>_xll.BDH("GILD US Equity","IS_DIL_EPS_CONT_OPS","FQ4 2019","FQ4 2019","Currency=USD","Period=FQ","BEST_FPERIOD_OVERRIDE=FQ","FILING_STATUS=MR","Sort=A","Dates=H","DateFormat=P","Fill=—","Direction=H","UseDPDF=Y")</f>
        <v>0.90790000000000004</v>
      </c>
      <c r="H70" s="20">
        <f>_xll.BDH("GILD US Equity","IS_DIL_EPS_CONT_OPS","FQ1 2020","FQ1 2020","Currency=USD","Period=FQ","BEST_FPERIOD_OVERRIDE=FQ","FILING_STATUS=MR","Sort=A","Dates=H","DateFormat=P","Fill=—","Direction=H","UseDPDF=Y")</f>
        <v>1.6830000000000001</v>
      </c>
      <c r="I70" s="20">
        <f>_xll.BDH("GILD US Equity","IS_DIL_EPS_CONT_OPS","FQ2 2020","FQ2 2020","Currency=USD","Period=FQ","BEST_FPERIOD_OVERRIDE=FQ","FILING_STATUS=MR","Sort=A","Dates=H","DateFormat=P","Fill=—","Direction=H","UseDPDF=Y")</f>
        <v>0.93710000000000004</v>
      </c>
      <c r="J70" s="20">
        <f>_xll.BDH("GILD US Equity","IS_DIL_EPS_CONT_OPS","FQ3 2020","FQ3 2020","Currency=USD","Period=FQ","BEST_FPERIOD_OVERRIDE=FQ","FILING_STATUS=MR","Sort=A","Dates=H","DateFormat=P","Fill=—","Direction=H","UseDPDF=Y")</f>
        <v>1.9325000000000001</v>
      </c>
      <c r="K70" s="20">
        <f>_xll.BDH("GILD US Equity","IS_DIL_EPS_CONT_OPS","FQ4 2020","FQ4 2020","Currency=USD","Period=FQ","BEST_FPERIOD_OVERRIDE=FQ","FILING_STATUS=MR","Sort=A","Dates=H","DateFormat=P","Fill=—","Direction=H","UseDPDF=Y")</f>
        <v>1.9306000000000001</v>
      </c>
      <c r="L70" s="20">
        <f>_xll.BDH("GILD US Equity","IS_DIL_EPS_CONT_OPS","FQ1 2021","FQ1 2021","Currency=USD","Period=FQ","BEST_FPERIOD_OVERRIDE=FQ","FILING_STATUS=MR","Sort=A","Dates=H","DateFormat=P","Fill=—","Direction=H","UseDPDF=Y")</f>
        <v>2.0823999999999998</v>
      </c>
      <c r="M70" s="20">
        <f>_xll.BDH("GILD US Equity","IS_DIL_EPS_CONT_OPS","FQ2 2021","FQ2 2021","Currency=USD","Period=FQ","BEST_FPERIOD_OVERRIDE=FQ","FILING_STATUS=MR","Sort=A","Dates=H","DateFormat=P","Fill=—","Direction=H","UseDPDF=Y")</f>
        <v>1.5156000000000001</v>
      </c>
      <c r="N70" s="20">
        <f>_xll.BDH("GILD US Equity","IS_DIL_EPS_CONT_OPS","FQ3 2021","FQ3 2021","Currency=USD","Period=FQ","BEST_FPERIOD_OVERRIDE=FQ","FILING_STATUS=MR","Sort=A","Dates=H","DateFormat=P","Fill=—","Direction=H","UseDPDF=Y")</f>
        <v>2.3035999999999999</v>
      </c>
      <c r="O70" s="20">
        <f>_xll.BDH("GILD US Equity","IS_DIL_EPS_CONT_OPS","FQ4 2021","FQ4 2021","Currency=USD","Period=FQ","BEST_FPERIOD_OVERRIDE=FQ","FILING_STATUS=MR","Sort=A","Dates=H","DateFormat=P","Fill=—","Direction=H","UseDPDF=Y")</f>
        <v>0.75219999999999998</v>
      </c>
      <c r="P70" s="20">
        <f>_xll.BDH("GILD US Equity","IS_DIL_EPS_CONT_OPS","FQ1 2022","FQ1 2022","Currency=USD","Period=FQ","BEST_FPERIOD_OVERRIDE=FQ","FILING_STATUS=MR","Sort=A","Dates=H","DateFormat=P","Fill=—","Direction=H","UseDPDF=Y")</f>
        <v>1.7236</v>
      </c>
      <c r="Q70" s="20">
        <f>_xll.BDH("GILD US Equity","IS_DIL_EPS_CONT_OPS","FQ2 2022","FQ2 2022","Currency=USD","Period=FQ","BEST_FPERIOD_OVERRIDE=FQ","FILING_STATUS=MR","Sort=A","Dates=H","DateFormat=P","Fill=—","Direction=H","UseDPDF=Y")</f>
        <v>1.4328000000000001</v>
      </c>
      <c r="R70" s="20">
        <f>_xll.BDH("GILD US Equity","IS_DIL_EPS_CONT_OPS","FQ3 2022","FQ3 2022","Currency=USD","Period=FQ","BEST_FPERIOD_OVERRIDE=FQ","FILING_STATUS=MR","Sort=A","Dates=H","DateFormat=P","Fill=—","Direction=H","UseDPDF=Y")</f>
        <v>2.1774</v>
      </c>
      <c r="S70" s="20">
        <f>_xll.BDH("GILD US Equity","IS_DIL_EPS_CONT_OPS","FQ4 2022","FQ4 2022","Currency=USD","Period=FQ","BEST_FPERIOD_OVERRIDE=FQ","FILING_STATUS=MR","Sort=A","Dates=H","DateFormat=P","Fill=—","Direction=H","UseDPDF=Y")</f>
        <v>1.4937</v>
      </c>
      <c r="T70" s="20">
        <f>_xll.BDH("GILD US Equity","IS_DIL_EPS_CONT_OPS","FQ1 2023","FQ1 2023","Currency=USD","Period=FQ","BEST_FPERIOD_OVERRIDE=FQ","FILING_STATUS=MR","Sort=A","Dates=H","DateFormat=P","Fill=—","Direction=H","UseDPDF=Y")</f>
        <v>1.3385</v>
      </c>
      <c r="U70" s="20">
        <f>_xll.BDH("GILD US Equity","IS_DIL_EPS_CONT_OPS","FQ2 2023","FQ2 2023","Currency=USD","Period=FQ","BEST_FPERIOD_OVERRIDE=FQ","FILING_STATUS=MR","Sort=A","Dates=H","DateFormat=P","Fill=—","Direction=H","UseDPDF=Y")</f>
        <v>1.1574</v>
      </c>
      <c r="V70" s="20">
        <f>_xll.BDH("GILD US Equity","IS_DIL_EPS_CONT_OPS","FQ3 2023","FQ3 2023","Currency=USD","Period=FQ","BEST_FPERIOD_OVERRIDE=FQ","FILING_STATUS=MR","Sort=A","Dates=H","DateFormat=P","Fill=—","Direction=H","UseDPDF=Y")</f>
        <v>1.9764999999999999</v>
      </c>
      <c r="W70" s="20">
        <f>_xll.BDH("GILD US Equity","IS_DIL_EPS_CONT_OPS","FQ4 2023","FQ4 2023","Currency=USD","Period=FQ","BEST_FPERIOD_OVERRIDE=FQ","FILING_STATUS=MR","Sort=A","Dates=H","DateFormat=P","Fill=—","Direction=H","UseDPDF=Y")</f>
        <v>1.5740000000000001</v>
      </c>
      <c r="X70" s="20">
        <f>_xll.BDH("GILD US Equity","IS_DIL_EPS_CONT_OPS","FQ1 2024","FQ1 2024","Currency=USD","Period=FQ","BEST_FPERIOD_OVERRIDE=FQ","FILING_STATUS=MR","Sort=A","Dates=H","DateFormat=P","Fill=—","Direction=H","UseDPDF=Y")</f>
        <v>0.93140000000000001</v>
      </c>
      <c r="Y70" s="20">
        <f>_xll.BDH("GILD US Equity","IS_DIL_EPS_CONT_OPS","FQ2 2024","FQ2 2024","Currency=USD","Period=FQ","BEST_FPERIOD_OVERRIDE=FQ","FILING_STATUS=MR","Sort=A","Dates=H","DateFormat=P","Fill=—","Direction=H","UseDPDF=Y")</f>
        <v>1.6713</v>
      </c>
      <c r="Z70" s="20">
        <f>_xll.BDH("GILD US Equity","IS_DIL_EPS_CONT_OPS","FQ3 2024","FQ3 2024","Currency=USD","Period=FQ","BEST_FPERIOD_OVERRIDE=FQ","FILING_STATUS=MR","Sort=A","Dates=H","DateFormat=P","Fill=—","Direction=H","UseDPDF=Y")</f>
        <v>1.9713000000000001</v>
      </c>
      <c r="AA70" s="20">
        <f>_xll.BDH("GILD US Equity","IS_DIL_EPS_CONT_OPS","FQ4 2024","FQ4 2024","Currency=USD","Period=FQ","BEST_FPERIOD_OVERRIDE=FQ","FILING_STATUS=MR","Sort=A","Dates=H","DateFormat=P","Fill=—","Direction=H","UseDPDF=Y")</f>
        <v>1.5314000000000001</v>
      </c>
    </row>
    <row r="71" spans="1:27" x14ac:dyDescent="0.25">
      <c r="A71" s="7" t="s">
        <v>90</v>
      </c>
      <c r="B71" s="7"/>
      <c r="C71" s="7" t="s">
        <v>5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37"/>
  <sheetViews>
    <sheetView workbookViewId="0">
      <selection activeCell="M25" sqref="M25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701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689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5">
      <c r="A7" s="10" t="s">
        <v>702</v>
      </c>
      <c r="B7" s="10" t="s">
        <v>703</v>
      </c>
      <c r="C7" s="14">
        <f>_xll.BDH("GILD US Equity","BASIC_EPS_EX_STK_BASED_COMP","FQ4 2018","FQ4 2018","Currency=USD","Period=FQ","BEST_FPERIOD_OVERRIDE=FQ","FILING_STATUS=MR","Sort=A","Dates=H","DateFormat=P","Fill=—","Direction=H","UseDPDF=Y")</f>
        <v>1.2341</v>
      </c>
      <c r="D7" s="14">
        <f>_xll.BDH("GILD US Equity","BASIC_EPS_EX_STK_BASED_COMP","FQ1 2019","FQ1 2019","Currency=USD","Period=FQ","BEST_FPERIOD_OVERRIDE=FQ","FILING_STATUS=MR","Sort=A","Dates=H","DateFormat=P","Fill=—","Direction=H","UseDPDF=Y")</f>
        <v>1.5658000000000001</v>
      </c>
      <c r="E7" s="14">
        <f>_xll.BDH("GILD US Equity","BASIC_EPS_EX_STK_BASED_COMP","FQ2 2019","FQ2 2019","Currency=USD","Period=FQ","BEST_FPERIOD_OVERRIDE=FQ","FILING_STATUS=MR","Sort=A","Dates=H","DateFormat=P","Fill=—","Direction=H","UseDPDF=Y")</f>
        <v>1.637</v>
      </c>
      <c r="F7" s="14">
        <f>_xll.BDH("GILD US Equity","BASIC_EPS_EX_STK_BASED_COMP","FQ3 2019","FQ3 2019","Currency=USD","Period=FQ","BEST_FPERIOD_OVERRIDE=FQ","FILING_STATUS=MR","Sort=A","Dates=H","DateFormat=P","Fill=—","Direction=H","UseDPDF=Y")</f>
        <v>1.5564</v>
      </c>
      <c r="G7" s="14">
        <f>_xll.BDH("GILD US Equity","BASIC_EPS_EX_STK_BASED_COMP","FQ4 2019","FQ4 2019","Currency=USD","Period=FQ","BEST_FPERIOD_OVERRIDE=FQ","FILING_STATUS=MR","Sort=A","Dates=H","DateFormat=P","Fill=—","Direction=H","UseDPDF=Y")</f>
        <v>1.1106</v>
      </c>
      <c r="H7" s="14">
        <f>_xll.BDH("GILD US Equity","BASIC_EPS_EX_STK_BASED_COMP","FQ1 2020","FQ1 2020","Currency=USD","Period=FQ","BEST_FPERIOD_OVERRIDE=FQ","FILING_STATUS=MR","Sort=A","Dates=H","DateFormat=P","Fill=—","Direction=H","UseDPDF=Y")</f>
        <v>2.93</v>
      </c>
      <c r="I7" s="14">
        <f>_xll.BDH("GILD US Equity","BASIC_EPS_EX_STK_BASED_COMP","FQ2 2020","FQ2 2020","Currency=USD","Period=FQ","BEST_FPERIOD_OVERRIDE=FQ","FILING_STATUS=MR","Sort=A","Dates=H","DateFormat=P","Fill=—","Direction=H","UseDPDF=Y")</f>
        <v>3.2044000000000001</v>
      </c>
      <c r="J7" s="14">
        <f>_xll.BDH("GILD US Equity","BASIC_EPS_EX_STK_BASED_COMP","FQ3 2020","FQ3 2020","Currency=USD","Period=FQ","BEST_FPERIOD_OVERRIDE=FQ","FILING_STATUS=MR","Sort=A","Dates=H","DateFormat=P","Fill=—","Direction=H","UseDPDF=Y")</f>
        <v>2.0461</v>
      </c>
      <c r="K7" s="14">
        <f>_xll.BDH("GILD US Equity","BASIC_EPS_EX_STK_BASED_COMP","FQ4 2020","FQ4 2020","Currency=USD","Period=FQ","BEST_FPERIOD_OVERRIDE=FQ","FILING_STATUS=MR","Sort=A","Dates=H","DateFormat=P","Fill=—","Direction=H","UseDPDF=Y")</f>
        <v>2.0809000000000002</v>
      </c>
      <c r="L7" s="14">
        <f>_xll.BDH("GILD US Equity","BASIC_EPS_EX_STK_BASED_COMP","FQ1 2021","FQ1 2021","Currency=USD","Period=FQ","BEST_FPERIOD_OVERRIDE=FQ","FILING_STATUS=MR","Sort=A","Dates=H","DateFormat=P","Fill=—","Direction=H","UseDPDF=Y")</f>
        <v>3.6120000000000001</v>
      </c>
      <c r="M7" s="14">
        <f>_xll.BDH("GILD US Equity","BASIC_EPS_EX_STK_BASED_COMP","FQ2 2021","FQ2 2021","Currency=USD","Period=FQ","BEST_FPERIOD_OVERRIDE=FQ","FILING_STATUS=MR","Sort=A","Dates=H","DateFormat=P","Fill=—","Direction=H","UseDPDF=Y")</f>
        <v>3.9588000000000001</v>
      </c>
      <c r="N7" s="14">
        <f>_xll.BDH("GILD US Equity","BASIC_EPS_EX_STK_BASED_COMP","FQ3 2021","FQ3 2021","Currency=USD","Period=FQ","BEST_FPERIOD_OVERRIDE=FQ","FILING_STATUS=MR","Sort=A","Dates=H","DateFormat=P","Fill=—","Direction=H","UseDPDF=Y")</f>
        <v>4.5576999999999996</v>
      </c>
      <c r="O7" s="14">
        <f>_xll.BDH("GILD US Equity","BASIC_EPS_EX_STK_BASED_COMP","FQ4 2021","FQ4 2021","Currency=USD","Period=FQ","BEST_FPERIOD_OVERRIDE=FQ","FILING_STATUS=MR","Sort=A","Dates=H","DateFormat=P","Fill=—","Direction=H","UseDPDF=Y")</f>
        <v>0.85850000000000004</v>
      </c>
      <c r="P7" s="14">
        <f>_xll.BDH("GILD US Equity","BASIC_EPS_EX_STK_BASED_COMP","FQ1 2022","FQ1 2022","Currency=USD","Period=FQ","BEST_FPERIOD_OVERRIDE=FQ","FILING_STATUS=MR","Sort=A","Dates=H","DateFormat=P","Fill=—","Direction=H","UseDPDF=Y")</f>
        <v>1.8101</v>
      </c>
      <c r="Q7" s="14">
        <f>_xll.BDH("GILD US Equity","BASIC_EPS_EX_STK_BASED_COMP","FQ2 2022","FQ2 2022","Currency=USD","Period=FQ","BEST_FPERIOD_OVERRIDE=FQ","FILING_STATUS=MR","Sort=A","Dates=H","DateFormat=P","Fill=—","Direction=H","UseDPDF=Y")</f>
        <v>3.8889</v>
      </c>
      <c r="R7" s="14">
        <f>_xll.BDH("GILD US Equity","BASIC_EPS_EX_STK_BASED_COMP","FQ3 2022","FQ3 2022","Currency=USD","Period=FQ","BEST_FPERIOD_OVERRIDE=FQ","FILING_STATUS=MR","Sort=A","Dates=H","DateFormat=P","Fill=—","Direction=H","UseDPDF=Y")</f>
        <v>2.2923</v>
      </c>
      <c r="S7" s="14">
        <f>_xll.BDH("GILD US Equity","BASIC_EPS_EX_STK_BASED_COMP","FQ4 2022","FQ4 2022","Currency=USD","Period=FQ","BEST_FPERIOD_OVERRIDE=FQ","FILING_STATUS=MR","Sort=A","Dates=H","DateFormat=P","Fill=—","Direction=H","UseDPDF=Y")</f>
        <v>1.6203000000000001</v>
      </c>
      <c r="T7" s="14">
        <f>_xll.BDH("GILD US Equity","BASIC_EPS_EX_STK_BASED_COMP","FQ1 2023","FQ1 2023","Currency=USD","Period=FQ","BEST_FPERIOD_OVERRIDE=FQ","FILING_STATUS=MR","Sort=A","Dates=H","DateFormat=P","Fill=—","Direction=H","UseDPDF=Y")</f>
        <v>1.4521999999999999</v>
      </c>
      <c r="U7" s="14">
        <f>_xll.BDH("GILD US Equity","BASIC_EPS_EX_STK_BASED_COMP","FQ2 2023","FQ2 2023","Currency=USD","Period=FQ","BEST_FPERIOD_OVERRIDE=FQ","FILING_STATUS=MR","Sort=A","Dates=H","DateFormat=P","Fill=—","Direction=H","UseDPDF=Y")</f>
        <v>4.2872000000000003</v>
      </c>
      <c r="V7" s="14">
        <f>_xll.BDH("GILD US Equity","BASIC_EPS_EX_STK_BASED_COMP","FQ3 2023","FQ3 2023","Currency=USD","Period=FQ","BEST_FPERIOD_OVERRIDE=FQ","FILING_STATUS=MR","Sort=A","Dates=H","DateFormat=P","Fill=—","Direction=H","UseDPDF=Y")</f>
        <v>2.9174000000000002</v>
      </c>
      <c r="W7" s="14">
        <f>_xll.BDH("GILD US Equity","BASIC_EPS_EX_STK_BASED_COMP","FQ4 2023","FQ4 2023","Currency=USD","Period=FQ","BEST_FPERIOD_OVERRIDE=FQ","FILING_STATUS=MR","Sort=A","Dates=H","DateFormat=P","Fill=—","Direction=H","UseDPDF=Y")</f>
        <v>9.5236000000000001</v>
      </c>
      <c r="X7" s="14">
        <f>_xll.BDH("GILD US Equity","BASIC_EPS_EX_STK_BASED_COMP","FQ1 2024","FQ1 2024","Currency=USD","Period=FQ","BEST_FPERIOD_OVERRIDE=FQ","FILING_STATUS=MR","Sort=A","Dates=H","DateFormat=P","Fill=—","Direction=H","UseDPDF=Y")</f>
        <v>1.0505</v>
      </c>
      <c r="Y7" s="14">
        <f>_xll.BDH("GILD US Equity","BASIC_EPS_EX_STK_BASED_COMP","FQ2 2024","FQ2 2024","Currency=USD","Period=FQ","BEST_FPERIOD_OVERRIDE=FQ","FILING_STATUS=MR","Sort=A","Dates=H","DateFormat=P","Fill=—","Direction=H","UseDPDF=Y")</f>
        <v>2.6549999999999998</v>
      </c>
      <c r="Z7" s="14">
        <f>_xll.BDH("GILD US Equity","BASIC_EPS_EX_STK_BASED_COMP","FQ3 2024","FQ3 2024","Currency=USD","Period=FQ","BEST_FPERIOD_OVERRIDE=FQ","FILING_STATUS=MR","Sort=A","Dates=H","DateFormat=P","Fill=—","Direction=H","UseDPDF=Y")</f>
        <v>2.1183999999999998</v>
      </c>
      <c r="AA7" s="14">
        <f>_xll.BDH("GILD US Equity","BASIC_EPS_EX_STK_BASED_COMP","FQ4 2024","FQ4 2024","Currency=USD","Period=FQ","BEST_FPERIOD_OVERRIDE=FQ","FILING_STATUS=MR","Sort=A","Dates=H","DateFormat=P","Fill=—","Direction=H","UseDPDF=Y")</f>
        <v>1.7665</v>
      </c>
    </row>
    <row r="8" spans="1:27" x14ac:dyDescent="0.25">
      <c r="A8" s="10" t="s">
        <v>704</v>
      </c>
      <c r="B8" s="10" t="s">
        <v>705</v>
      </c>
      <c r="C8" s="14">
        <f>_xll.BDH("GILD US Equity","DILUTED_EPS_EX_STK_BASED_COMP","FQ4 2018","FQ4 2018","Currency=USD","Period=FQ","BEST_FPERIOD_OVERRIDE=FQ","FILING_STATUS=MR","Sort=A","Dates=H","DateFormat=P","Fill=—","Direction=H","UseDPDF=Y")</f>
        <v>1.2232000000000001</v>
      </c>
      <c r="D8" s="14">
        <f>_xll.BDH("GILD US Equity","DILUTED_EPS_EX_STK_BASED_COMP","FQ1 2019","FQ1 2019","Currency=USD","Period=FQ","BEST_FPERIOD_OVERRIDE=FQ","FILING_STATUS=MR","Sort=A","Dates=H","DateFormat=P","Fill=—","Direction=H","UseDPDF=Y")</f>
        <v>1.5579000000000001</v>
      </c>
      <c r="E8" s="14">
        <f>_xll.BDH("GILD US Equity","DILUTED_EPS_EX_STK_BASED_COMP","FQ2 2019","FQ2 2019","Currency=USD","Period=FQ","BEST_FPERIOD_OVERRIDE=FQ","FILING_STATUS=MR","Sort=A","Dates=H","DateFormat=P","Fill=—","Direction=H","UseDPDF=Y")</f>
        <v>1.6257999999999999</v>
      </c>
      <c r="F8" s="14">
        <f>_xll.BDH("GILD US Equity","DILUTED_EPS_EX_STK_BASED_COMP","FQ3 2019","FQ3 2019","Currency=USD","Period=FQ","BEST_FPERIOD_OVERRIDE=FQ","FILING_STATUS=MR","Sort=A","Dates=H","DateFormat=P","Fill=—","Direction=H","UseDPDF=Y")</f>
        <v>1.5559000000000001</v>
      </c>
      <c r="G8" s="14">
        <f>_xll.BDH("GILD US Equity","DILUTED_EPS_EX_STK_BASED_COMP","FQ4 2019","FQ4 2019","Currency=USD","Period=FQ","BEST_FPERIOD_OVERRIDE=FQ","FILING_STATUS=MR","Sort=A","Dates=H","DateFormat=P","Fill=—","Direction=H","UseDPDF=Y")</f>
        <v>1.1066</v>
      </c>
      <c r="H8" s="14">
        <f>_xll.BDH("GILD US Equity","DILUTED_EPS_EX_STK_BASED_COMP","FQ1 2020","FQ1 2020","Currency=USD","Period=FQ","BEST_FPERIOD_OVERRIDE=FQ","FILING_STATUS=MR","Sort=A","Dates=H","DateFormat=P","Fill=—","Direction=H","UseDPDF=Y")</f>
        <v>2.9102999999999999</v>
      </c>
      <c r="I8" s="14">
        <f>_xll.BDH("GILD US Equity","DILUTED_EPS_EX_STK_BASED_COMP","FQ2 2020","FQ2 2020","Currency=USD","Period=FQ","BEST_FPERIOD_OVERRIDE=FQ","FILING_STATUS=MR","Sort=A","Dates=H","DateFormat=P","Fill=—","Direction=H","UseDPDF=Y")</f>
        <v>3.2044000000000001</v>
      </c>
      <c r="J8" s="14">
        <f>_xll.BDH("GILD US Equity","DILUTED_EPS_EX_STK_BASED_COMP","FQ3 2020","FQ3 2020","Currency=USD","Period=FQ","BEST_FPERIOD_OVERRIDE=FQ","FILING_STATUS=MR","Sort=A","Dates=H","DateFormat=P","Fill=—","Direction=H","UseDPDF=Y")</f>
        <v>2.0409000000000002</v>
      </c>
      <c r="K8" s="14">
        <f>_xll.BDH("GILD US Equity","DILUTED_EPS_EX_STK_BASED_COMP","FQ4 2020","FQ4 2020","Currency=USD","Period=FQ","BEST_FPERIOD_OVERRIDE=FQ","FILING_STATUS=MR","Sort=A","Dates=H","DateFormat=P","Fill=—","Direction=H","UseDPDF=Y")</f>
        <v>2.0724</v>
      </c>
      <c r="L8" s="14">
        <f>_xll.BDH("GILD US Equity","DILUTED_EPS_EX_STK_BASED_COMP","FQ1 2021","FQ1 2021","Currency=USD","Period=FQ","BEST_FPERIOD_OVERRIDE=FQ","FILING_STATUS=MR","Sort=A","Dates=H","DateFormat=P","Fill=—","Direction=H","UseDPDF=Y")</f>
        <v>3.5948000000000002</v>
      </c>
      <c r="M8" s="14">
        <f>_xll.BDH("GILD US Equity","DILUTED_EPS_EX_STK_BASED_COMP","FQ2 2021","FQ2 2021","Currency=USD","Period=FQ","BEST_FPERIOD_OVERRIDE=FQ","FILING_STATUS=MR","Sort=A","Dates=H","DateFormat=P","Fill=—","Direction=H","UseDPDF=Y")</f>
        <v>3.9451000000000001</v>
      </c>
      <c r="N8" s="14">
        <f>_xll.BDH("GILD US Equity","DILUTED_EPS_EX_STK_BASED_COMP","FQ3 2021","FQ3 2021","Currency=USD","Period=FQ","BEST_FPERIOD_OVERRIDE=FQ","FILING_STATUS=MR","Sort=A","Dates=H","DateFormat=P","Fill=—","Direction=H","UseDPDF=Y")</f>
        <v>4.5320999999999998</v>
      </c>
      <c r="O8" s="14">
        <f>_xll.BDH("GILD US Equity","DILUTED_EPS_EX_STK_BASED_COMP","FQ4 2021","FQ4 2021","Currency=USD","Period=FQ","BEST_FPERIOD_OVERRIDE=FQ","FILING_STATUS=MR","Sort=A","Dates=H","DateFormat=P","Fill=—","Direction=H","UseDPDF=Y")</f>
        <v>0.85170000000000001</v>
      </c>
      <c r="P8" s="14">
        <f>_xll.BDH("GILD US Equity","DILUTED_EPS_EX_STK_BASED_COMP","FQ1 2022","FQ1 2022","Currency=USD","Period=FQ","BEST_FPERIOD_OVERRIDE=FQ","FILING_STATUS=MR","Sort=A","Dates=H","DateFormat=P","Fill=—","Direction=H","UseDPDF=Y")</f>
        <v>1.8049999999999999</v>
      </c>
      <c r="Q8" s="14">
        <f>_xll.BDH("GILD US Equity","DILUTED_EPS_EX_STK_BASED_COMP","FQ2 2022","FQ2 2022","Currency=USD","Period=FQ","BEST_FPERIOD_OVERRIDE=FQ","FILING_STATUS=MR","Sort=A","Dates=H","DateFormat=P","Fill=—","Direction=H","UseDPDF=Y")</f>
        <v>3.8786</v>
      </c>
      <c r="R8" s="14">
        <f>_xll.BDH("GILD US Equity","DILUTED_EPS_EX_STK_BASED_COMP","FQ3 2022","FQ3 2022","Currency=USD","Period=FQ","BEST_FPERIOD_OVERRIDE=FQ","FILING_STATUS=MR","Sort=A","Dates=H","DateFormat=P","Fill=—","Direction=H","UseDPDF=Y")</f>
        <v>2.2827000000000002</v>
      </c>
      <c r="S8" s="14">
        <f>_xll.BDH("GILD US Equity","DILUTED_EPS_EX_STK_BASED_COMP","FQ4 2022","FQ4 2022","Currency=USD","Period=FQ","BEST_FPERIOD_OVERRIDE=FQ","FILING_STATUS=MR","Sort=A","Dates=H","DateFormat=P","Fill=—","Direction=H","UseDPDF=Y")</f>
        <v>1.6073999999999999</v>
      </c>
      <c r="T8" s="14">
        <f>_xll.BDH("GILD US Equity","DILUTED_EPS_EX_STK_BASED_COMP","FQ1 2023","FQ1 2023","Currency=USD","Period=FQ","BEST_FPERIOD_OVERRIDE=FQ","FILING_STATUS=MR","Sort=A","Dates=H","DateFormat=P","Fill=—","Direction=H","UseDPDF=Y")</f>
        <v>1.4429000000000001</v>
      </c>
      <c r="U8" s="14">
        <f>_xll.BDH("GILD US Equity","DILUTED_EPS_EX_STK_BASED_COMP","FQ2 2023","FQ2 2023","Currency=USD","Period=FQ","BEST_FPERIOD_OVERRIDE=FQ","FILING_STATUS=MR","Sort=A","Dates=H","DateFormat=P","Fill=—","Direction=H","UseDPDF=Y")</f>
        <v>4.2557999999999998</v>
      </c>
      <c r="V8" s="14">
        <f>_xll.BDH("GILD US Equity","DILUTED_EPS_EX_STK_BASED_COMP","FQ3 2023","FQ3 2023","Currency=USD","Period=FQ","BEST_FPERIOD_OVERRIDE=FQ","FILING_STATUS=MR","Sort=A","Dates=H","DateFormat=P","Fill=—","Direction=H","UseDPDF=Y")</f>
        <v>2.8921999999999999</v>
      </c>
      <c r="W8" s="14">
        <f>_xll.BDH("GILD US Equity","DILUTED_EPS_EX_STK_BASED_COMP","FQ4 2023","FQ4 2023","Currency=USD","Period=FQ","BEST_FPERIOD_OVERRIDE=FQ","FILING_STATUS=MR","Sort=A","Dates=H","DateFormat=P","Fill=—","Direction=H","UseDPDF=Y")</f>
        <v>9.4651999999999994</v>
      </c>
      <c r="X8" s="14">
        <f>_xll.BDH("GILD US Equity","DILUTED_EPS_EX_STK_BASED_COMP","FQ1 2024","FQ1 2024","Currency=USD","Period=FQ","BEST_FPERIOD_OVERRIDE=FQ","FILING_STATUS=MR","Sort=A","Dates=H","DateFormat=P","Fill=—","Direction=H","UseDPDF=Y")</f>
        <v>1.0505</v>
      </c>
      <c r="Y8" s="14">
        <f>_xll.BDH("GILD US Equity","DILUTED_EPS_EX_STK_BASED_COMP","FQ2 2024","FQ2 2024","Currency=USD","Period=FQ","BEST_FPERIOD_OVERRIDE=FQ","FILING_STATUS=MR","Sort=A","Dates=H","DateFormat=P","Fill=—","Direction=H","UseDPDF=Y")</f>
        <v>2.6463000000000001</v>
      </c>
      <c r="Z8" s="14">
        <f>_xll.BDH("GILD US Equity","DILUTED_EPS_EX_STK_BASED_COMP","FQ3 2024","FQ3 2024","Currency=USD","Period=FQ","BEST_FPERIOD_OVERRIDE=FQ","FILING_STATUS=MR","Sort=A","Dates=H","DateFormat=P","Fill=—","Direction=H","UseDPDF=Y")</f>
        <v>2.1073</v>
      </c>
      <c r="AA8" s="14">
        <f>_xll.BDH("GILD US Equity","DILUTED_EPS_EX_STK_BASED_COMP","FQ4 2024","FQ4 2024","Currency=USD","Period=FQ","BEST_FPERIOD_OVERRIDE=FQ","FILING_STATUS=MR","Sort=A","Dates=H","DateFormat=P","Fill=—","Direction=H","UseDPDF=Y")</f>
        <v>1.7547999999999999</v>
      </c>
    </row>
    <row r="9" spans="1:27" x14ac:dyDescent="0.25">
      <c r="A9" s="10" t="s">
        <v>706</v>
      </c>
      <c r="B9" s="10" t="s">
        <v>707</v>
      </c>
      <c r="C9" s="14">
        <f>_xll.BDH("GILD US Equity","ADJ_EPS_EX_AMORT_TOT_INTANG_BAS","FQ4 2018","FQ4 2018","Currency=USD","Period=FQ","BEST_FPERIOD_OVERRIDE=FQ","FILING_STATUS=MR","Sort=A","Dates=H","DateFormat=P","Fill=—","Direction=H","UseDPDF=Y")</f>
        <v>1.3494999999999999</v>
      </c>
      <c r="D9" s="14">
        <f>_xll.BDH("GILD US Equity","ADJ_EPS_EX_AMORT_TOT_INTANG_BAS","FQ1 2019","FQ1 2019","Currency=USD","Period=FQ","BEST_FPERIOD_OVERRIDE=FQ","FILING_STATUS=MR","Sort=A","Dates=H","DateFormat=P","Fill=—","Direction=H","UseDPDF=Y")</f>
        <v>1.6740999999999999</v>
      </c>
      <c r="E9" s="14">
        <f>_xll.BDH("GILD US Equity","ADJ_EPS_EX_AMORT_TOT_INTANG_BAS","FQ2 2019","FQ2 2019","Currency=USD","Period=FQ","BEST_FPERIOD_OVERRIDE=FQ","FILING_STATUS=MR","Sort=A","Dates=H","DateFormat=P","Fill=—","Direction=H","UseDPDF=Y")</f>
        <v>1.7306999999999999</v>
      </c>
      <c r="F9" s="14">
        <f>_xll.BDH("GILD US Equity","ADJ_EPS_EX_AMORT_TOT_INTANG_BAS","FQ3 2019","FQ3 2019","Currency=USD","Period=FQ","BEST_FPERIOD_OVERRIDE=FQ","FILING_STATUS=MR","Sort=A","Dates=H","DateFormat=P","Fill=—","Direction=H","UseDPDF=Y")</f>
        <v>1.6454</v>
      </c>
      <c r="G9" s="14">
        <f>_xll.BDH("GILD US Equity","ADJ_EPS_EX_AMORT_TOT_INTANG_BAS","FQ4 2019","FQ4 2019","Currency=USD","Period=FQ","BEST_FPERIOD_OVERRIDE=FQ","FILING_STATUS=MR","Sort=A","Dates=H","DateFormat=P","Fill=—","Direction=H","UseDPDF=Y")</f>
        <v>1.1007</v>
      </c>
      <c r="H9" s="14">
        <f>_xll.BDH("GILD US Equity","ADJ_EPS_EX_AMORT_TOT_INTANG_BAS","FQ1 2020","FQ1 2020","Currency=USD","Period=FQ","BEST_FPERIOD_OVERRIDE=FQ","FILING_STATUS=MR","Sort=A","Dates=H","DateFormat=P","Fill=—","Direction=H","UseDPDF=Y")</f>
        <v>1.8749</v>
      </c>
      <c r="I9" s="14">
        <f>_xll.BDH("GILD US Equity","ADJ_EPS_EX_AMORT_TOT_INTANG_BAS","FQ2 2020","FQ2 2020","Currency=USD","Period=FQ","BEST_FPERIOD_OVERRIDE=FQ","FILING_STATUS=MR","Sort=A","Dates=H","DateFormat=P","Fill=—","Direction=H","UseDPDF=Y")</f>
        <v>1.1171</v>
      </c>
      <c r="J9" s="14">
        <f>_xll.BDH("GILD US Equity","ADJ_EPS_EX_AMORT_TOT_INTANG_BAS","FQ3 2020","FQ3 2020","Currency=USD","Period=FQ","BEST_FPERIOD_OVERRIDE=FQ","FILING_STATUS=MR","Sort=A","Dates=H","DateFormat=P","Fill=—","Direction=H","UseDPDF=Y")</f>
        <v>2.1172</v>
      </c>
      <c r="K9" s="14">
        <f>_xll.BDH("GILD US Equity","ADJ_EPS_EX_AMORT_TOT_INTANG_BAS","FQ4 2020","FQ4 2020","Currency=USD","Period=FQ","BEST_FPERIOD_OVERRIDE=FQ","FILING_STATUS=MR","Sort=A","Dates=H","DateFormat=P","Fill=—","Direction=H","UseDPDF=Y")</f>
        <v>2.1985999999999999</v>
      </c>
      <c r="L9" s="14">
        <f>_xll.BDH("GILD US Equity","ADJ_EPS_EX_AMORT_TOT_INTANG_BAS","FQ1 2021","FQ1 2021","Currency=USD","Period=FQ","BEST_FPERIOD_OVERRIDE=FQ","FILING_STATUS=MR","Sort=A","Dates=H","DateFormat=P","Fill=—","Direction=H","UseDPDF=Y")</f>
        <v>2.4106000000000001</v>
      </c>
      <c r="M9" s="14">
        <f>_xll.BDH("GILD US Equity","ADJ_EPS_EX_AMORT_TOT_INTANG_BAS","FQ2 2021","FQ2 2021","Currency=USD","Period=FQ","BEST_FPERIOD_OVERRIDE=FQ","FILING_STATUS=MR","Sort=A","Dates=H","DateFormat=P","Fill=—","Direction=H","UseDPDF=Y")</f>
        <v>1.8694999999999999</v>
      </c>
      <c r="N9" s="14">
        <f>_xll.BDH("GILD US Equity","ADJ_EPS_EX_AMORT_TOT_INTANG_BAS","FQ3 2021","FQ3 2021","Currency=USD","Period=FQ","BEST_FPERIOD_OVERRIDE=FQ","FILING_STATUS=MR","Sort=A","Dates=H","DateFormat=P","Fill=—","Direction=H","UseDPDF=Y")</f>
        <v>2.5958999999999999</v>
      </c>
      <c r="O9" s="14">
        <f>_xll.BDH("GILD US Equity","ADJ_EPS_EX_AMORT_TOT_INTANG_BAS","FQ4 2021","FQ4 2021","Currency=USD","Period=FQ","BEST_FPERIOD_OVERRIDE=FQ","FILING_STATUS=MR","Sort=A","Dates=H","DateFormat=P","Fill=—","Direction=H","UseDPDF=Y")</f>
        <v>1.1185</v>
      </c>
      <c r="P9" s="14">
        <f>_xll.BDH("GILD US Equity","ADJ_EPS_EX_AMORT_TOT_INTANG_BAS","FQ1 2022","FQ1 2022","Currency=USD","Period=FQ","BEST_FPERIOD_OVERRIDE=FQ","FILING_STATUS=MR","Sort=A","Dates=H","DateFormat=P","Fill=—","Direction=H","UseDPDF=Y")</f>
        <v>2.1053000000000002</v>
      </c>
      <c r="Q9" s="14">
        <f>_xll.BDH("GILD US Equity","ADJ_EPS_EX_AMORT_TOT_INTANG_BAS","FQ2 2022","FQ2 2022","Currency=USD","Period=FQ","BEST_FPERIOD_OVERRIDE=FQ","FILING_STATUS=MR","Sort=A","Dates=H","DateFormat=P","Fill=—","Direction=H","UseDPDF=Y")</f>
        <v>1.7853000000000001</v>
      </c>
      <c r="R9" s="14">
        <f>_xll.BDH("GILD US Equity","ADJ_EPS_EX_AMORT_TOT_INTANG_BAS","FQ3 2022","FQ3 2022","Currency=USD","Period=FQ","BEST_FPERIOD_OVERRIDE=FQ","FILING_STATUS=MR","Sort=A","Dates=H","DateFormat=P","Fill=—","Direction=H","UseDPDF=Y")</f>
        <v>2.4836999999999998</v>
      </c>
      <c r="S9" s="14">
        <f>_xll.BDH("GILD US Equity","ADJ_EPS_EX_AMORT_TOT_INTANG_BAS","FQ4 2022","FQ4 2022","Currency=USD","Period=FQ","BEST_FPERIOD_OVERRIDE=FQ","FILING_STATUS=MR","Sort=A","Dates=H","DateFormat=P","Fill=—","Direction=H","UseDPDF=Y")</f>
        <v>1.7754000000000001</v>
      </c>
      <c r="T9" s="14">
        <f>_xll.BDH("GILD US Equity","ADJ_EPS_EX_AMORT_TOT_INTANG_BAS","FQ1 2023","FQ1 2023","Currency=USD","Period=FQ","BEST_FPERIOD_OVERRIDE=FQ","FILING_STATUS=MR","Sort=A","Dates=H","DateFormat=P","Fill=—","Direction=H","UseDPDF=Y")</f>
        <v>1.6832</v>
      </c>
      <c r="U9" s="14">
        <f>_xll.BDH("GILD US Equity","ADJ_EPS_EX_AMORT_TOT_INTANG_BAS","FQ2 2023","FQ2 2023","Currency=USD","Period=FQ","BEST_FPERIOD_OVERRIDE=FQ","FILING_STATUS=MR","Sort=A","Dates=H","DateFormat=P","Fill=—","Direction=H","UseDPDF=Y")</f>
        <v>1.5364</v>
      </c>
      <c r="V9" s="14">
        <f>_xll.BDH("GILD US Equity","ADJ_EPS_EX_AMORT_TOT_INTANG_BAS","FQ3 2023","FQ3 2023","Currency=USD","Period=FQ","BEST_FPERIOD_OVERRIDE=FQ","FILING_STATUS=MR","Sort=A","Dates=H","DateFormat=P","Fill=—","Direction=H","UseDPDF=Y")</f>
        <v>2.3963999999999999</v>
      </c>
      <c r="W9" s="14">
        <f>_xll.BDH("GILD US Equity","ADJ_EPS_EX_AMORT_TOT_INTANG_BAS","FQ4 2023","FQ4 2023","Currency=USD","Period=FQ","BEST_FPERIOD_OVERRIDE=FQ","FILING_STATUS=MR","Sort=A","Dates=H","DateFormat=P","Fill=—","Direction=H","UseDPDF=Y")</f>
        <v>1.9518</v>
      </c>
      <c r="X9" s="14">
        <f>_xll.BDH("GILD US Equity","ADJ_EPS_EX_AMORT_TOT_INTANG_BAS","FQ1 2024","FQ1 2024","Currency=USD","Period=FQ","BEST_FPERIOD_OVERRIDE=FQ","FILING_STATUS=MR","Sort=A","Dates=H","DateFormat=P","Fill=—","Direction=H","UseDPDF=Y")</f>
        <v>1.3013999999999999</v>
      </c>
      <c r="Y9" s="14">
        <f>_xll.BDH("GILD US Equity","ADJ_EPS_EX_AMORT_TOT_INTANG_BAS","FQ2 2024","FQ2 2024","Currency=USD","Period=FQ","BEST_FPERIOD_OVERRIDE=FQ","FILING_STATUS=MR","Sort=A","Dates=H","DateFormat=P","Fill=—","Direction=H","UseDPDF=Y")</f>
        <v>2.0914000000000001</v>
      </c>
      <c r="Z9" s="14">
        <f>_xll.BDH("GILD US Equity","ADJ_EPS_EX_AMORT_TOT_INTANG_BAS","FQ3 2024","FQ3 2024","Currency=USD","Period=FQ","BEST_FPERIOD_OVERRIDE=FQ","FILING_STATUS=MR","Sort=A","Dates=H","DateFormat=P","Fill=—","Direction=H","UseDPDF=Y")</f>
        <v>2.3449</v>
      </c>
      <c r="AA9" s="14">
        <f>_xll.BDH("GILD US Equity","ADJ_EPS_EX_AMORT_TOT_INTANG_BAS","FQ4 2024","FQ4 2024","Currency=USD","Period=FQ","BEST_FPERIOD_OVERRIDE=FQ","FILING_STATUS=MR","Sort=A","Dates=H","DateFormat=P","Fill=—","Direction=H","UseDPDF=Y")</f>
        <v>1.9309000000000001</v>
      </c>
    </row>
    <row r="10" spans="1:27" x14ac:dyDescent="0.25">
      <c r="A10" s="10" t="s">
        <v>708</v>
      </c>
      <c r="B10" s="10" t="s">
        <v>709</v>
      </c>
      <c r="C10" s="14">
        <f>_xll.BDH("GILD US Equity","ADJ_EPS_EX_AMORT_TOT_INTANG_DIL","FQ4 2018","FQ4 2018","Currency=USD","Period=FQ","BEST_FPERIOD_OVERRIDE=FQ","FILING_STATUS=MR","Sort=A","Dates=H","DateFormat=P","Fill=—","Direction=H","UseDPDF=Y")</f>
        <v>1.3392999999999999</v>
      </c>
      <c r="D10" s="14">
        <f>_xll.BDH("GILD US Equity","ADJ_EPS_EX_AMORT_TOT_INTANG_DIL","FQ1 2019","FQ1 2019","Currency=USD","Period=FQ","BEST_FPERIOD_OVERRIDE=FQ","FILING_STATUS=MR","Sort=A","Dates=H","DateFormat=P","Fill=—","Direction=H","UseDPDF=Y")</f>
        <v>1.6667000000000001</v>
      </c>
      <c r="E10" s="14">
        <f>_xll.BDH("GILD US Equity","ADJ_EPS_EX_AMORT_TOT_INTANG_DIL","FQ2 2019","FQ2 2019","Currency=USD","Period=FQ","BEST_FPERIOD_OVERRIDE=FQ","FILING_STATUS=MR","Sort=A","Dates=H","DateFormat=P","Fill=—","Direction=H","UseDPDF=Y")</f>
        <v>1.7201</v>
      </c>
      <c r="F10" s="14">
        <f>_xll.BDH("GILD US Equity","ADJ_EPS_EX_AMORT_TOT_INTANG_DIL","FQ3 2019","FQ3 2019","Currency=USD","Period=FQ","BEST_FPERIOD_OVERRIDE=FQ","FILING_STATUS=MR","Sort=A","Dates=H","DateFormat=P","Fill=—","Direction=H","UseDPDF=Y")</f>
        <v>1.6449</v>
      </c>
      <c r="G10" s="14">
        <f>_xll.BDH("GILD US Equity","ADJ_EPS_EX_AMORT_TOT_INTANG_DIL","FQ4 2019","FQ4 2019","Currency=USD","Period=FQ","BEST_FPERIOD_OVERRIDE=FQ","FILING_STATUS=MR","Sort=A","Dates=H","DateFormat=P","Fill=—","Direction=H","UseDPDF=Y")</f>
        <v>1.0979000000000001</v>
      </c>
      <c r="H10" s="14">
        <f>_xll.BDH("GILD US Equity","ADJ_EPS_EX_AMORT_TOT_INTANG_DIL","FQ1 2020","FQ1 2020","Currency=USD","Period=FQ","BEST_FPERIOD_OVERRIDE=FQ","FILING_STATUS=MR","Sort=A","Dates=H","DateFormat=P","Fill=—","Direction=H","UseDPDF=Y")</f>
        <v>1.863</v>
      </c>
      <c r="I10" s="14">
        <f>_xll.BDH("GILD US Equity","ADJ_EPS_EX_AMORT_TOT_INTANG_DIL","FQ2 2020","FQ2 2020","Currency=USD","Period=FQ","BEST_FPERIOD_OVERRIDE=FQ","FILING_STATUS=MR","Sort=A","Dates=H","DateFormat=P","Fill=—","Direction=H","UseDPDF=Y")</f>
        <v>1.1171</v>
      </c>
      <c r="J10" s="14">
        <f>_xll.BDH("GILD US Equity","ADJ_EPS_EX_AMORT_TOT_INTANG_DIL","FQ3 2020","FQ3 2020","Currency=USD","Period=FQ","BEST_FPERIOD_OVERRIDE=FQ","FILING_STATUS=MR","Sort=A","Dates=H","DateFormat=P","Fill=—","Direction=H","UseDPDF=Y")</f>
        <v>2.1124999999999998</v>
      </c>
      <c r="K10" s="14">
        <f>_xll.BDH("GILD US Equity","ADJ_EPS_EX_AMORT_TOT_INTANG_DIL","FQ4 2020","FQ4 2020","Currency=USD","Period=FQ","BEST_FPERIOD_OVERRIDE=FQ","FILING_STATUS=MR","Sort=A","Dates=H","DateFormat=P","Fill=—","Direction=H","UseDPDF=Y")</f>
        <v>2.1905999999999999</v>
      </c>
      <c r="L10" s="14">
        <f>_xll.BDH("GILD US Equity","ADJ_EPS_EX_AMORT_TOT_INTANG_DIL","FQ1 2021","FQ1 2021","Currency=USD","Period=FQ","BEST_FPERIOD_OVERRIDE=FQ","FILING_STATUS=MR","Sort=A","Dates=H","DateFormat=P","Fill=—","Direction=H","UseDPDF=Y")</f>
        <v>2.3990999999999998</v>
      </c>
      <c r="M10" s="14">
        <f>_xll.BDH("GILD US Equity","ADJ_EPS_EX_AMORT_TOT_INTANG_DIL","FQ2 2021","FQ2 2021","Currency=USD","Period=FQ","BEST_FPERIOD_OVERRIDE=FQ","FILING_STATUS=MR","Sort=A","Dates=H","DateFormat=P","Fill=—","Direction=H","UseDPDF=Y")</f>
        <v>1.8655999999999999</v>
      </c>
      <c r="N10" s="14">
        <f>_xll.BDH("GILD US Equity","ADJ_EPS_EX_AMORT_TOT_INTANG_DIL","FQ3 2021","FQ3 2021","Currency=USD","Period=FQ","BEST_FPERIOD_OVERRIDE=FQ","FILING_STATUS=MR","Sort=A","Dates=H","DateFormat=P","Fill=—","Direction=H","UseDPDF=Y")</f>
        <v>2.5796000000000001</v>
      </c>
      <c r="O10" s="14">
        <f>_xll.BDH("GILD US Equity","ADJ_EPS_EX_AMORT_TOT_INTANG_DIL","FQ4 2021","FQ4 2021","Currency=USD","Period=FQ","BEST_FPERIOD_OVERRIDE=FQ","FILING_STATUS=MR","Sort=A","Dates=H","DateFormat=P","Fill=—","Direction=H","UseDPDF=Y")</f>
        <v>1.1122000000000001</v>
      </c>
      <c r="P10" s="14">
        <f>_xll.BDH("GILD US Equity","ADJ_EPS_EX_AMORT_TOT_INTANG_DIL","FQ1 2022","FQ1 2022","Currency=USD","Period=FQ","BEST_FPERIOD_OVERRIDE=FQ","FILING_STATUS=MR","Sort=A","Dates=H","DateFormat=P","Fill=—","Direction=H","UseDPDF=Y")</f>
        <v>2.0985999999999998</v>
      </c>
      <c r="Q10" s="14">
        <f>_xll.BDH("GILD US Equity","ADJ_EPS_EX_AMORT_TOT_INTANG_DIL","FQ2 2022","FQ2 2022","Currency=USD","Period=FQ","BEST_FPERIOD_OVERRIDE=FQ","FILING_STATUS=MR","Sort=A","Dates=H","DateFormat=P","Fill=—","Direction=H","UseDPDF=Y")</f>
        <v>1.7827999999999999</v>
      </c>
      <c r="R10" s="14">
        <f>_xll.BDH("GILD US Equity","ADJ_EPS_EX_AMORT_TOT_INTANG_DIL","FQ3 2022","FQ3 2022","Currency=USD","Period=FQ","BEST_FPERIOD_OVERRIDE=FQ","FILING_STATUS=MR","Sort=A","Dates=H","DateFormat=P","Fill=—","Direction=H","UseDPDF=Y")</f>
        <v>2.4731000000000001</v>
      </c>
      <c r="S10" s="14">
        <f>_xll.BDH("GILD US Equity","ADJ_EPS_EX_AMORT_TOT_INTANG_DIL","FQ4 2022","FQ4 2022","Currency=USD","Period=FQ","BEST_FPERIOD_OVERRIDE=FQ","FILING_STATUS=MR","Sort=A","Dates=H","DateFormat=P","Fill=—","Direction=H","UseDPDF=Y")</f>
        <v>1.7637</v>
      </c>
      <c r="T10" s="14">
        <f>_xll.BDH("GILD US Equity","ADJ_EPS_EX_AMORT_TOT_INTANG_DIL","FQ1 2023","FQ1 2023","Currency=USD","Period=FQ","BEST_FPERIOD_OVERRIDE=FQ","FILING_STATUS=MR","Sort=A","Dates=H","DateFormat=P","Fill=—","Direction=H","UseDPDF=Y")</f>
        <v>1.6739999999999999</v>
      </c>
      <c r="U10" s="14">
        <f>_xll.BDH("GILD US Equity","ADJ_EPS_EX_AMORT_TOT_INTANG_DIL","FQ2 2023","FQ2 2023","Currency=USD","Period=FQ","BEST_FPERIOD_OVERRIDE=FQ","FILING_STATUS=MR","Sort=A","Dates=H","DateFormat=P","Fill=—","Direction=H","UseDPDF=Y")</f>
        <v>1.5274000000000001</v>
      </c>
      <c r="V10" s="14">
        <f>_xll.BDH("GILD US Equity","ADJ_EPS_EX_AMORT_TOT_INTANG_DIL","FQ3 2023","FQ3 2023","Currency=USD","Period=FQ","BEST_FPERIOD_OVERRIDE=FQ","FILING_STATUS=MR","Sort=A","Dates=H","DateFormat=P","Fill=—","Direction=H","UseDPDF=Y")</f>
        <v>2.3748999999999998</v>
      </c>
      <c r="W10" s="14">
        <f>_xll.BDH("GILD US Equity","ADJ_EPS_EX_AMORT_TOT_INTANG_DIL","FQ4 2023","FQ4 2023","Currency=USD","Period=FQ","BEST_FPERIOD_OVERRIDE=FQ","FILING_STATUS=MR","Sort=A","Dates=H","DateFormat=P","Fill=—","Direction=H","UseDPDF=Y")</f>
        <v>1.944</v>
      </c>
      <c r="X10" s="14">
        <f>_xll.BDH("GILD US Equity","ADJ_EPS_EX_AMORT_TOT_INTANG_DIL","FQ1 2024","FQ1 2024","Currency=USD","Period=FQ","BEST_FPERIOD_OVERRIDE=FQ","FILING_STATUS=MR","Sort=A","Dates=H","DateFormat=P","Fill=—","Direction=H","UseDPDF=Y")</f>
        <v>1.3013999999999999</v>
      </c>
      <c r="Y10" s="14">
        <f>_xll.BDH("GILD US Equity","ADJ_EPS_EX_AMORT_TOT_INTANG_DIL","FQ2 2024","FQ2 2024","Currency=USD","Period=FQ","BEST_FPERIOD_OVERRIDE=FQ","FILING_STATUS=MR","Sort=A","Dates=H","DateFormat=P","Fill=—","Direction=H","UseDPDF=Y")</f>
        <v>2.0846</v>
      </c>
      <c r="Z10" s="14">
        <f>_xll.BDH("GILD US Equity","ADJ_EPS_EX_AMORT_TOT_INTANG_DIL","FQ3 2024","FQ3 2024","Currency=USD","Period=FQ","BEST_FPERIOD_OVERRIDE=FQ","FILING_STATUS=MR","Sort=A","Dates=H","DateFormat=P","Fill=—","Direction=H","UseDPDF=Y")</f>
        <v>2.3325999999999998</v>
      </c>
      <c r="AA10" s="14">
        <f>_xll.BDH("GILD US Equity","ADJ_EPS_EX_AMORT_TOT_INTANG_DIL","FQ4 2024","FQ4 2024","Currency=USD","Period=FQ","BEST_FPERIOD_OVERRIDE=FQ","FILING_STATUS=MR","Sort=A","Dates=H","DateFormat=P","Fill=—","Direction=H","UseDPDF=Y")</f>
        <v>1.9177999999999999</v>
      </c>
    </row>
    <row r="11" spans="1:27" x14ac:dyDescent="0.25">
      <c r="A11" s="10" t="s">
        <v>710</v>
      </c>
      <c r="B11" s="10" t="s">
        <v>711</v>
      </c>
      <c r="C11" s="14">
        <f>_xll.BDH("GILD US Equity","ADJ_EPS_EX_SBC_AMORT_TOT_INT_BAS","FQ4 2018","FQ4 2018","Currency=USD","Period=FQ","BEST_FPERIOD_OVERRIDE=FQ","FILING_STATUS=MR","Sort=A","Dates=H","DateFormat=P","Fill=—","Direction=H","UseDPDF=Y")</f>
        <v>1.4540999999999999</v>
      </c>
      <c r="D11" s="14">
        <f>_xll.BDH("GILD US Equity","ADJ_EPS_EX_SBC_AMORT_TOT_INT_BAS","FQ1 2019","FQ1 2019","Currency=USD","Period=FQ","BEST_FPERIOD_OVERRIDE=FQ","FILING_STATUS=MR","Sort=A","Dates=H","DateFormat=P","Fill=—","Direction=H","UseDPDF=Y")</f>
        <v>1.7658</v>
      </c>
      <c r="E11" s="14">
        <f>_xll.BDH("GILD US Equity","ADJ_EPS_EX_SBC_AMORT_TOT_INT_BAS","FQ2 2019","FQ2 2019","Currency=USD","Period=FQ","BEST_FPERIOD_OVERRIDE=FQ","FILING_STATUS=MR","Sort=A","Dates=H","DateFormat=P","Fill=—","Direction=H","UseDPDF=Y")</f>
        <v>1.837</v>
      </c>
      <c r="F11" s="14">
        <f>_xll.BDH("GILD US Equity","ADJ_EPS_EX_SBC_AMORT_TOT_INT_BAS","FQ3 2019","FQ3 2019","Currency=USD","Period=FQ","BEST_FPERIOD_OVERRIDE=FQ","FILING_STATUS=MR","Sort=A","Dates=H","DateFormat=P","Fill=—","Direction=H","UseDPDF=Y")</f>
        <v>1.7464</v>
      </c>
      <c r="G11" s="14">
        <f>_xll.BDH("GILD US Equity","ADJ_EPS_EX_SBC_AMORT_TOT_INT_BAS","FQ4 2019","FQ4 2019","Currency=USD","Period=FQ","BEST_FPERIOD_OVERRIDE=FQ","FILING_STATUS=MR","Sort=A","Dates=H","DateFormat=P","Fill=—","Direction=H","UseDPDF=Y")</f>
        <v>1.3006</v>
      </c>
      <c r="H11" s="14">
        <f>_xll.BDH("GILD US Equity","ADJ_EPS_EX_SBC_AMORT_TOT_INT_BAS","FQ1 2020","FQ1 2020","Currency=USD","Period=FQ","BEST_FPERIOD_OVERRIDE=FQ","FILING_STATUS=MR","Sort=A","Dates=H","DateFormat=P","Fill=—","Direction=H","UseDPDF=Y")</f>
        <v>3.11</v>
      </c>
      <c r="I11" s="14">
        <f>_xll.BDH("GILD US Equity","ADJ_EPS_EX_SBC_AMORT_TOT_INT_BAS","FQ2 2020","FQ2 2020","Currency=USD","Period=FQ","BEST_FPERIOD_OVERRIDE=FQ","FILING_STATUS=MR","Sort=A","Dates=H","DateFormat=P","Fill=—","Direction=H","UseDPDF=Y")</f>
        <v>3.3843999999999999</v>
      </c>
      <c r="J11" s="14">
        <f>_xll.BDH("GILD US Equity","ADJ_EPS_EX_SBC_AMORT_TOT_INT_BAS","FQ3 2020","FQ3 2020","Currency=USD","Period=FQ","BEST_FPERIOD_OVERRIDE=FQ","FILING_STATUS=MR","Sort=A","Dates=H","DateFormat=P","Fill=—","Direction=H","UseDPDF=Y")</f>
        <v>2.2261000000000002</v>
      </c>
      <c r="K11" s="14">
        <f>_xll.BDH("GILD US Equity","ADJ_EPS_EX_SBC_AMORT_TOT_INT_BAS","FQ4 2020","FQ4 2020","Currency=USD","Period=FQ","BEST_FPERIOD_OVERRIDE=FQ","FILING_STATUS=MR","Sort=A","Dates=H","DateFormat=P","Fill=—","Direction=H","UseDPDF=Y")</f>
        <v>2.3409</v>
      </c>
      <c r="L11" s="14">
        <f>_xll.BDH("GILD US Equity","ADJ_EPS_EX_SBC_AMORT_TOT_INT_BAS","FQ1 2021","FQ1 2021","Currency=USD","Period=FQ","BEST_FPERIOD_OVERRIDE=FQ","FILING_STATUS=MR","Sort=A","Dates=H","DateFormat=P","Fill=—","Direction=H","UseDPDF=Y")</f>
        <v>3.9302000000000001</v>
      </c>
      <c r="M11" s="14">
        <f>_xll.BDH("GILD US Equity","ADJ_EPS_EX_SBC_AMORT_TOT_INT_BAS","FQ2 2021","FQ2 2021","Currency=USD","Period=FQ","BEST_FPERIOD_OVERRIDE=FQ","FILING_STATUS=MR","Sort=A","Dates=H","DateFormat=P","Fill=—","Direction=H","UseDPDF=Y")</f>
        <v>4.3087999999999997</v>
      </c>
      <c r="N11" s="14">
        <f>_xll.BDH("GILD US Equity","ADJ_EPS_EX_SBC_AMORT_TOT_INT_BAS","FQ3 2021","FQ3 2021","Currency=USD","Period=FQ","BEST_FPERIOD_OVERRIDE=FQ","FILING_STATUS=MR","Sort=A","Dates=H","DateFormat=P","Fill=—","Direction=H","UseDPDF=Y")</f>
        <v>4.835</v>
      </c>
      <c r="O11" s="14">
        <f>_xll.BDH("GILD US Equity","ADJ_EPS_EX_SBC_AMORT_TOT_INT_BAS","FQ4 2021","FQ4 2021","Currency=USD","Period=FQ","BEST_FPERIOD_OVERRIDE=FQ","FILING_STATUS=MR","Sort=A","Dates=H","DateFormat=P","Fill=—","Direction=H","UseDPDF=Y")</f>
        <v>1.2184999999999999</v>
      </c>
      <c r="P11" s="14">
        <f>_xll.BDH("GILD US Equity","ADJ_EPS_EX_SBC_AMORT_TOT_INT_BAS","FQ1 2022","FQ1 2022","Currency=USD","Period=FQ","BEST_FPERIOD_OVERRIDE=FQ","FILING_STATUS=MR","Sort=A","Dates=H","DateFormat=P","Fill=—","Direction=H","UseDPDF=Y")</f>
        <v>2.1871999999999998</v>
      </c>
      <c r="Q11" s="14">
        <f>_xll.BDH("GILD US Equity","ADJ_EPS_EX_SBC_AMORT_TOT_INT_BAS","FQ2 2022","FQ2 2022","Currency=USD","Period=FQ","BEST_FPERIOD_OVERRIDE=FQ","FILING_STATUS=MR","Sort=A","Dates=H","DateFormat=P","Fill=—","Direction=H","UseDPDF=Y")</f>
        <v>4.2389000000000001</v>
      </c>
      <c r="R11" s="14">
        <f>_xll.BDH("GILD US Equity","ADJ_EPS_EX_SBC_AMORT_TOT_INT_BAS","FQ3 2022","FQ3 2022","Currency=USD","Period=FQ","BEST_FPERIOD_OVERRIDE=FQ","FILING_STATUS=MR","Sort=A","Dates=H","DateFormat=P","Fill=—","Direction=H","UseDPDF=Y")</f>
        <v>2.5893999999999999</v>
      </c>
      <c r="S11" s="14">
        <f>_xll.BDH("GILD US Equity","ADJ_EPS_EX_SBC_AMORT_TOT_INT_BAS","FQ4 2022","FQ4 2022","Currency=USD","Period=FQ","BEST_FPERIOD_OVERRIDE=FQ","FILING_STATUS=MR","Sort=A","Dates=H","DateFormat=P","Fill=—","Direction=H","UseDPDF=Y")</f>
        <v>1.8903000000000001</v>
      </c>
      <c r="T11" s="14">
        <f>_xll.BDH("GILD US Equity","ADJ_EPS_EX_SBC_AMORT_TOT_INT_BAS","FQ1 2023","FQ1 2023","Currency=USD","Period=FQ","BEST_FPERIOD_OVERRIDE=FQ","FILING_STATUS=MR","Sort=A","Dates=H","DateFormat=P","Fill=—","Direction=H","UseDPDF=Y")</f>
        <v>1.7877000000000001</v>
      </c>
      <c r="U11" s="14">
        <f>_xll.BDH("GILD US Equity","ADJ_EPS_EX_SBC_AMORT_TOT_INT_BAS","FQ2 2023","FQ2 2023","Currency=USD","Period=FQ","BEST_FPERIOD_OVERRIDE=FQ","FILING_STATUS=MR","Sort=A","Dates=H","DateFormat=P","Fill=—","Direction=H","UseDPDF=Y")</f>
        <v>4.6571999999999996</v>
      </c>
      <c r="V11" s="14">
        <f>_xll.BDH("GILD US Equity","ADJ_EPS_EX_SBC_AMORT_TOT_INT_BAS","FQ3 2023","FQ3 2023","Currency=USD","Period=FQ","BEST_FPERIOD_OVERRIDE=FQ","FILING_STATUS=MR","Sort=A","Dates=H","DateFormat=P","Fill=—","Direction=H","UseDPDF=Y")</f>
        <v>3.3187000000000002</v>
      </c>
      <c r="W11" s="14">
        <f>_xll.BDH("GILD US Equity","ADJ_EPS_EX_SBC_AMORT_TOT_INT_BAS","FQ4 2023","FQ4 2023","Currency=USD","Period=FQ","BEST_FPERIOD_OVERRIDE=FQ","FILING_STATUS=MR","Sort=A","Dates=H","DateFormat=P","Fill=—","Direction=H","UseDPDF=Y")</f>
        <v>9.8935999999999993</v>
      </c>
      <c r="X11" s="14">
        <f>_xll.BDH("GILD US Equity","ADJ_EPS_EX_SBC_AMORT_TOT_INT_BAS","FQ1 2024","FQ1 2024","Currency=USD","Period=FQ","BEST_FPERIOD_OVERRIDE=FQ","FILING_STATUS=MR","Sort=A","Dates=H","DateFormat=P","Fill=—","Direction=H","UseDPDF=Y")</f>
        <v>1.4205000000000001</v>
      </c>
      <c r="Y11" s="14">
        <f>_xll.BDH("GILD US Equity","ADJ_EPS_EX_SBC_AMORT_TOT_INT_BAS","FQ2 2024","FQ2 2024","Currency=USD","Period=FQ","BEST_FPERIOD_OVERRIDE=FQ","FILING_STATUS=MR","Sort=A","Dates=H","DateFormat=P","Fill=—","Direction=H","UseDPDF=Y")</f>
        <v>3.0695999999999999</v>
      </c>
      <c r="Z11" s="14">
        <f>_xll.BDH("GILD US Equity","ADJ_EPS_EX_SBC_AMORT_TOT_INT_BAS","FQ3 2024","FQ3 2024","Currency=USD","Period=FQ","BEST_FPERIOD_OVERRIDE=FQ","FILING_STATUS=MR","Sort=A","Dates=H","DateFormat=P","Fill=—","Direction=H","UseDPDF=Y")</f>
        <v>2.4817999999999998</v>
      </c>
      <c r="AA11" s="14">
        <f>_xll.BDH("GILD US Equity","ADJ_EPS_EX_SBC_AMORT_TOT_INT_BAS","FQ4 2024","FQ4 2024","Currency=USD","Period=FQ","BEST_FPERIOD_OVERRIDE=FQ","FILING_STATUS=MR","Sort=A","Dates=H","DateFormat=P","Fill=—","Direction=H","UseDPDF=Y")</f>
        <v>2.1562999999999999</v>
      </c>
    </row>
    <row r="12" spans="1:27" x14ac:dyDescent="0.25">
      <c r="A12" s="10" t="s">
        <v>712</v>
      </c>
      <c r="B12" s="10" t="s">
        <v>713</v>
      </c>
      <c r="C12" s="14">
        <f>_xll.BDH("GILD US Equity","ADJ_EPS_EX_SBC_AMORT_TOT_INT_DIL","FQ4 2018","FQ4 2018","Currency=USD","Period=FQ","BEST_FPERIOD_OVERRIDE=FQ","FILING_STATUS=MR","Sort=A","Dates=H","DateFormat=P","Fill=—","Direction=H","UseDPDF=Y")</f>
        <v>1.4432</v>
      </c>
      <c r="D12" s="14">
        <f>_xll.BDH("GILD US Equity","ADJ_EPS_EX_SBC_AMORT_TOT_INT_DIL","FQ1 2019","FQ1 2019","Currency=USD","Period=FQ","BEST_FPERIOD_OVERRIDE=FQ","FILING_STATUS=MR","Sort=A","Dates=H","DateFormat=P","Fill=—","Direction=H","UseDPDF=Y")</f>
        <v>1.7579</v>
      </c>
      <c r="E12" s="14">
        <f>_xll.BDH("GILD US Equity","ADJ_EPS_EX_SBC_AMORT_TOT_INT_DIL","FQ2 2019","FQ2 2019","Currency=USD","Period=FQ","BEST_FPERIOD_OVERRIDE=FQ","FILING_STATUS=MR","Sort=A","Dates=H","DateFormat=P","Fill=—","Direction=H","UseDPDF=Y")</f>
        <v>1.8258000000000001</v>
      </c>
      <c r="F12" s="14">
        <f>_xll.BDH("GILD US Equity","ADJ_EPS_EX_SBC_AMORT_TOT_INT_DIL","FQ3 2019","FQ3 2019","Currency=USD","Period=FQ","BEST_FPERIOD_OVERRIDE=FQ","FILING_STATUS=MR","Sort=A","Dates=H","DateFormat=P","Fill=—","Direction=H","UseDPDF=Y")</f>
        <v>1.7459</v>
      </c>
      <c r="G12" s="14">
        <f>_xll.BDH("GILD US Equity","ADJ_EPS_EX_SBC_AMORT_TOT_INT_DIL","FQ4 2019","FQ4 2019","Currency=USD","Period=FQ","BEST_FPERIOD_OVERRIDE=FQ","FILING_STATUS=MR","Sort=A","Dates=H","DateFormat=P","Fill=—","Direction=H","UseDPDF=Y")</f>
        <v>1.2966</v>
      </c>
      <c r="H12" s="14">
        <f>_xll.BDH("GILD US Equity","ADJ_EPS_EX_SBC_AMORT_TOT_INT_DIL","FQ1 2020","FQ1 2020","Currency=USD","Period=FQ","BEST_FPERIOD_OVERRIDE=FQ","FILING_STATUS=MR","Sort=A","Dates=H","DateFormat=P","Fill=—","Direction=H","UseDPDF=Y")</f>
        <v>3.0903</v>
      </c>
      <c r="I12" s="14">
        <f>_xll.BDH("GILD US Equity","ADJ_EPS_EX_SBC_AMORT_TOT_INT_DIL","FQ2 2020","FQ2 2020","Currency=USD","Period=FQ","BEST_FPERIOD_OVERRIDE=FQ","FILING_STATUS=MR","Sort=A","Dates=H","DateFormat=P","Fill=—","Direction=H","UseDPDF=Y")</f>
        <v>3.3843999999999999</v>
      </c>
      <c r="J12" s="14">
        <f>_xll.BDH("GILD US Equity","ADJ_EPS_EX_SBC_AMORT_TOT_INT_DIL","FQ3 2020","FQ3 2020","Currency=USD","Period=FQ","BEST_FPERIOD_OVERRIDE=FQ","FILING_STATUS=MR","Sort=A","Dates=H","DateFormat=P","Fill=—","Direction=H","UseDPDF=Y")</f>
        <v>2.2208999999999999</v>
      </c>
      <c r="K12" s="14">
        <f>_xll.BDH("GILD US Equity","ADJ_EPS_EX_SBC_AMORT_TOT_INT_DIL","FQ4 2020","FQ4 2020","Currency=USD","Period=FQ","BEST_FPERIOD_OVERRIDE=FQ","FILING_STATUS=MR","Sort=A","Dates=H","DateFormat=P","Fill=—","Direction=H","UseDPDF=Y")</f>
        <v>2.3323999999999998</v>
      </c>
      <c r="L12" s="14">
        <f>_xll.BDH("GILD US Equity","ADJ_EPS_EX_SBC_AMORT_TOT_INT_DIL","FQ1 2021","FQ1 2021","Currency=USD","Period=FQ","BEST_FPERIOD_OVERRIDE=FQ","FILING_STATUS=MR","Sort=A","Dates=H","DateFormat=P","Fill=—","Direction=H","UseDPDF=Y")</f>
        <v>3.9115000000000002</v>
      </c>
      <c r="M12" s="14">
        <f>_xll.BDH("GILD US Equity","ADJ_EPS_EX_SBC_AMORT_TOT_INT_DIL","FQ2 2021","FQ2 2021","Currency=USD","Period=FQ","BEST_FPERIOD_OVERRIDE=FQ","FILING_STATUS=MR","Sort=A","Dates=H","DateFormat=P","Fill=—","Direction=H","UseDPDF=Y")</f>
        <v>4.2950999999999997</v>
      </c>
      <c r="N12" s="14">
        <f>_xll.BDH("GILD US Equity","ADJ_EPS_EX_SBC_AMORT_TOT_INT_DIL","FQ3 2021","FQ3 2021","Currency=USD","Period=FQ","BEST_FPERIOD_OVERRIDE=FQ","FILING_STATUS=MR","Sort=A","Dates=H","DateFormat=P","Fill=—","Direction=H","UseDPDF=Y")</f>
        <v>4.8082000000000003</v>
      </c>
      <c r="O12" s="14">
        <f>_xll.BDH("GILD US Equity","ADJ_EPS_EX_SBC_AMORT_TOT_INT_DIL","FQ4 2021","FQ4 2021","Currency=USD","Period=FQ","BEST_FPERIOD_OVERRIDE=FQ","FILING_STATUS=MR","Sort=A","Dates=H","DateFormat=P","Fill=—","Direction=H","UseDPDF=Y")</f>
        <v>1.2117</v>
      </c>
      <c r="P12" s="14">
        <f>_xll.BDH("GILD US Equity","ADJ_EPS_EX_SBC_AMORT_TOT_INT_DIL","FQ1 2022","FQ1 2022","Currency=USD","Period=FQ","BEST_FPERIOD_OVERRIDE=FQ","FILING_STATUS=MR","Sort=A","Dates=H","DateFormat=P","Fill=—","Direction=H","UseDPDF=Y")</f>
        <v>2.1800000000000002</v>
      </c>
      <c r="Q12" s="14">
        <f>_xll.BDH("GILD US Equity","ADJ_EPS_EX_SBC_AMORT_TOT_INT_DIL","FQ2 2022","FQ2 2022","Currency=USD","Period=FQ","BEST_FPERIOD_OVERRIDE=FQ","FILING_STATUS=MR","Sort=A","Dates=H","DateFormat=P","Fill=—","Direction=H","UseDPDF=Y")</f>
        <v>4.2286000000000001</v>
      </c>
      <c r="R12" s="14">
        <f>_xll.BDH("GILD US Equity","ADJ_EPS_EX_SBC_AMORT_TOT_INT_DIL","FQ3 2022","FQ3 2022","Currency=USD","Period=FQ","BEST_FPERIOD_OVERRIDE=FQ","FILING_STATUS=MR","Sort=A","Dates=H","DateFormat=P","Fill=—","Direction=H","UseDPDF=Y")</f>
        <v>2.5783999999999998</v>
      </c>
      <c r="S12" s="14">
        <f>_xll.BDH("GILD US Equity","ADJ_EPS_EX_SBC_AMORT_TOT_INT_DIL","FQ4 2022","FQ4 2022","Currency=USD","Period=FQ","BEST_FPERIOD_OVERRIDE=FQ","FILING_STATUS=MR","Sort=A","Dates=H","DateFormat=P","Fill=—","Direction=H","UseDPDF=Y")</f>
        <v>1.8774</v>
      </c>
      <c r="T12" s="14">
        <f>_xll.BDH("GILD US Equity","ADJ_EPS_EX_SBC_AMORT_TOT_INT_DIL","FQ1 2023","FQ1 2023","Currency=USD","Period=FQ","BEST_FPERIOD_OVERRIDE=FQ","FILING_STATUS=MR","Sort=A","Dates=H","DateFormat=P","Fill=—","Direction=H","UseDPDF=Y")</f>
        <v>1.7784</v>
      </c>
      <c r="U12" s="14">
        <f>_xll.BDH("GILD US Equity","ADJ_EPS_EX_SBC_AMORT_TOT_INT_DIL","FQ2 2023","FQ2 2023","Currency=USD","Period=FQ","BEST_FPERIOD_OVERRIDE=FQ","FILING_STATUS=MR","Sort=A","Dates=H","DateFormat=P","Fill=—","Direction=H","UseDPDF=Y")</f>
        <v>4.6257999999999999</v>
      </c>
      <c r="V12" s="14">
        <f>_xll.BDH("GILD US Equity","ADJ_EPS_EX_SBC_AMORT_TOT_INT_DIL","FQ3 2023","FQ3 2023","Currency=USD","Period=FQ","BEST_FPERIOD_OVERRIDE=FQ","FILING_STATUS=MR","Sort=A","Dates=H","DateFormat=P","Fill=—","Direction=H","UseDPDF=Y")</f>
        <v>3.2906</v>
      </c>
      <c r="W12" s="14">
        <f>_xll.BDH("GILD US Equity","ADJ_EPS_EX_SBC_AMORT_TOT_INT_DIL","FQ4 2023","FQ4 2023","Currency=USD","Period=FQ","BEST_FPERIOD_OVERRIDE=FQ","FILING_STATUS=MR","Sort=A","Dates=H","DateFormat=P","Fill=—","Direction=H","UseDPDF=Y")</f>
        <v>9.8352000000000004</v>
      </c>
      <c r="X12" s="14">
        <f>_xll.BDH("GILD US Equity","ADJ_EPS_EX_SBC_AMORT_TOT_INT_DIL","FQ1 2024","FQ1 2024","Currency=USD","Period=FQ","BEST_FPERIOD_OVERRIDE=FQ","FILING_STATUS=MR","Sort=A","Dates=H","DateFormat=P","Fill=—","Direction=H","UseDPDF=Y")</f>
        <v>1.4205000000000001</v>
      </c>
      <c r="Y12" s="14">
        <f>_xll.BDH("GILD US Equity","ADJ_EPS_EX_SBC_AMORT_TOT_INT_DIL","FQ2 2024","FQ2 2024","Currency=USD","Period=FQ","BEST_FPERIOD_OVERRIDE=FQ","FILING_STATUS=MR","Sort=A","Dates=H","DateFormat=P","Fill=—","Direction=H","UseDPDF=Y")</f>
        <v>3.0596000000000001</v>
      </c>
      <c r="Z12" s="14">
        <f>_xll.BDH("GILD US Equity","ADJ_EPS_EX_SBC_AMORT_TOT_INT_DIL","FQ3 2024","FQ3 2024","Currency=USD","Period=FQ","BEST_FPERIOD_OVERRIDE=FQ","FILING_STATUS=MR","Sort=A","Dates=H","DateFormat=P","Fill=—","Direction=H","UseDPDF=Y")</f>
        <v>2.4687000000000001</v>
      </c>
      <c r="AA12" s="14">
        <f>_xll.BDH("GILD US Equity","ADJ_EPS_EX_SBC_AMORT_TOT_INT_DIL","FQ4 2024","FQ4 2024","Currency=USD","Period=FQ","BEST_FPERIOD_OVERRIDE=FQ","FILING_STATUS=MR","Sort=A","Dates=H","DateFormat=P","Fill=—","Direction=H","UseDPDF=Y")</f>
        <v>2.1412</v>
      </c>
    </row>
    <row r="13" spans="1:27" x14ac:dyDescent="0.25">
      <c r="A13" s="1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5">
      <c r="A14" s="10" t="s">
        <v>714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10" t="s">
        <v>715</v>
      </c>
      <c r="B15" s="10" t="s">
        <v>716</v>
      </c>
      <c r="C15" s="13">
        <f>_xll.BDH("GILD US Equity","IS_EXPENSE_STOCK_BASED_COMP","FQ4 2018","FQ4 2018","Currency=USD","Period=FQ","BEST_FPERIOD_OVERRIDE=FQ","FILING_STATUS=MR","SCALING_FORMAT=MLN","Sort=A","Dates=H","DateFormat=P","Fill=—","Direction=H","UseDPDF=Y")</f>
        <v>175</v>
      </c>
      <c r="D15" s="13">
        <f>_xll.BDH("GILD US Equity","IS_EXPENSE_STOCK_BASED_COMP","FQ1 2019","FQ1 2019","Currency=USD","Period=FQ","BEST_FPERIOD_OVERRIDE=FQ","FILING_STATUS=MR","SCALING_FORMAT=MLN","Sort=A","Dates=H","DateFormat=P","Fill=—","Direction=H","UseDPDF=Y")</f>
        <v>143</v>
      </c>
      <c r="E15" s="13">
        <f>_xll.BDH("GILD US Equity","IS_EXPENSE_STOCK_BASED_COMP","FQ2 2019","FQ2 2019","Currency=USD","Period=FQ","BEST_FPERIOD_OVERRIDE=FQ","FILING_STATUS=MR","SCALING_FORMAT=MLN","Sort=A","Dates=H","DateFormat=P","Fill=—","Direction=H","UseDPDF=Y")</f>
        <v>174</v>
      </c>
      <c r="F15" s="13">
        <f>_xll.BDH("GILD US Equity","IS_EXPENSE_STOCK_BASED_COMP","FQ3 2019","FQ3 2019","Currency=USD","Period=FQ","BEST_FPERIOD_OVERRIDE=FQ","FILING_STATUS=MR","SCALING_FORMAT=MLN","Sort=A","Dates=H","DateFormat=P","Fill=—","Direction=H","UseDPDF=Y")</f>
        <v>162</v>
      </c>
      <c r="G15" s="13">
        <f>_xll.BDH("GILD US Equity","IS_EXPENSE_STOCK_BASED_COMP","FQ4 2019","FQ4 2019","Currency=USD","Period=FQ","BEST_FPERIOD_OVERRIDE=FQ","FILING_STATUS=MR","SCALING_FORMAT=MLN","Sort=A","Dates=H","DateFormat=P","Fill=—","Direction=H","UseDPDF=Y")</f>
        <v>157</v>
      </c>
      <c r="H15" s="13">
        <f>_xll.BDH("GILD US Equity","IS_EXPENSE_STOCK_BASED_COMP","FQ1 2020","FQ1 2020","Currency=USD","Period=FQ","BEST_FPERIOD_OVERRIDE=FQ","FILING_STATUS=MR","SCALING_FORMAT=MLN","Sort=A","Dates=H","DateFormat=P","Fill=—","Direction=H","UseDPDF=Y")</f>
        <v>1973</v>
      </c>
      <c r="I15" s="13">
        <f>_xll.BDH("GILD US Equity","IS_EXPENSE_STOCK_BASED_COMP","FQ2 2020","FQ2 2020","Currency=USD","Period=FQ","BEST_FPERIOD_OVERRIDE=FQ","FILING_STATUS=MR","SCALING_FORMAT=MLN","Sort=A","Dates=H","DateFormat=P","Fill=—","Direction=H","UseDPDF=Y")</f>
        <v>3602</v>
      </c>
      <c r="J15" s="13">
        <f>_xll.BDH("GILD US Equity","IS_EXPENSE_STOCK_BASED_COMP","FQ3 2020","FQ3 2020","Currency=USD","Period=FQ","BEST_FPERIOD_OVERRIDE=FQ","FILING_STATUS=MR","SCALING_FORMAT=MLN","Sort=A","Dates=H","DateFormat=P","Fill=—","Direction=H","UseDPDF=Y")</f>
        <v>173</v>
      </c>
      <c r="K15" s="13">
        <f>_xll.BDH("GILD US Equity","IS_EXPENSE_STOCK_BASED_COMP","FQ4 2020","FQ4 2020","Currency=USD","Period=FQ","BEST_FPERIOD_OVERRIDE=FQ","FILING_STATUS=MR","SCALING_FORMAT=MLN","Sort=A","Dates=H","DateFormat=P","Fill=—","Direction=H","UseDPDF=Y")</f>
        <v>226</v>
      </c>
      <c r="L15" s="13">
        <f>_xll.BDH("GILD US Equity","IS_EXPENSE_STOCK_BASED_COMP","FQ1 2021","FQ1 2021","Currency=USD","Period=FQ","BEST_FPERIOD_OVERRIDE=FQ","FILING_STATUS=MR","SCALING_FORMAT=MLN","Sort=A","Dates=H","DateFormat=P","Fill=—","Direction=H","UseDPDF=Y")</f>
        <v>2416</v>
      </c>
      <c r="M15" s="13">
        <f>_xll.BDH("GILD US Equity","IS_EXPENSE_STOCK_BASED_COMP","FQ2 2021","FQ2 2021","Currency=USD","Period=FQ","BEST_FPERIOD_OVERRIDE=FQ","FILING_STATUS=MR","SCALING_FORMAT=MLN","Sort=A","Dates=H","DateFormat=P","Fill=—","Direction=H","UseDPDF=Y")</f>
        <v>3875</v>
      </c>
      <c r="N15" s="13">
        <f>_xll.BDH("GILD US Equity","IS_EXPENSE_STOCK_BASED_COMP","FQ3 2021","FQ3 2021","Currency=USD","Period=FQ","BEST_FPERIOD_OVERRIDE=FQ","FILING_STATUS=MR","SCALING_FORMAT=MLN","Sort=A","Dates=H","DateFormat=P","Fill=—","Direction=H","UseDPDF=Y")</f>
        <v>3560</v>
      </c>
      <c r="O15" s="13">
        <f>_xll.BDH("GILD US Equity","IS_EXPENSE_STOCK_BASED_COMP","FQ4 2021","FQ4 2021","Currency=USD","Period=FQ","BEST_FPERIOD_OVERRIDE=FQ","FILING_STATUS=MR","SCALING_FORMAT=MLN","Sort=A","Dates=H","DateFormat=P","Fill=—","Direction=H","UseDPDF=Y")</f>
        <v>159</v>
      </c>
      <c r="P15" s="13">
        <f>_xll.BDH("GILD US Equity","IS_EXPENSE_STOCK_BASED_COMP","FQ1 2022","FQ1 2022","Currency=USD","Period=FQ","BEST_FPERIOD_OVERRIDE=FQ","FILING_STATUS=MR","SCALING_FORMAT=MLN","Sort=A","Dates=H","DateFormat=P","Fill=—","Direction=H","UseDPDF=Y")</f>
        <v>130</v>
      </c>
      <c r="Q15" s="13">
        <f>_xll.BDH("GILD US Equity","IS_EXPENSE_STOCK_BASED_COMP","FQ2 2022","FQ2 2022","Currency=USD","Period=FQ","BEST_FPERIOD_OVERRIDE=FQ","FILING_STATUS=MR","SCALING_FORMAT=MLN","Sort=A","Dates=H","DateFormat=P","Fill=—","Direction=H","UseDPDF=Y")</f>
        <v>3901</v>
      </c>
      <c r="R15" s="13">
        <f>_xll.BDH("GILD US Equity","IS_EXPENSE_STOCK_BASED_COMP","FQ3 2022","FQ3 2022","Currency=USD","Period=FQ","BEST_FPERIOD_OVERRIDE=FQ","FILING_STATUS=MR","SCALING_FORMAT=MLN","Sort=A","Dates=H","DateFormat=P","Fill=—","Direction=H","UseDPDF=Y")</f>
        <v>168</v>
      </c>
      <c r="S15" s="13">
        <f>_xll.BDH("GILD US Equity","IS_EXPENSE_STOCK_BASED_COMP","FQ4 2022","FQ4 2022","Currency=USD","Period=FQ","BEST_FPERIOD_OVERRIDE=FQ","FILING_STATUS=MR","SCALING_FORMAT=MLN","Sort=A","Dates=H","DateFormat=P","Fill=—","Direction=H","UseDPDF=Y")</f>
        <v>182</v>
      </c>
      <c r="T15" s="13">
        <f>_xll.BDH("GILD US Equity","IS_EXPENSE_STOCK_BASED_COMP","FQ1 2023","FQ1 2023","Currency=USD","Period=FQ","BEST_FPERIOD_OVERRIDE=FQ","FILING_STATUS=MR","SCALING_FORMAT=MLN","Sort=A","Dates=H","DateFormat=P","Fill=—","Direction=H","UseDPDF=Y")</f>
        <v>165</v>
      </c>
      <c r="U15" s="13">
        <f>_xll.BDH("GILD US Equity","IS_EXPENSE_STOCK_BASED_COMP","FQ2 2023","FQ2 2023","Currency=USD","Period=FQ","BEST_FPERIOD_OVERRIDE=FQ","FILING_STATUS=MR","SCALING_FORMAT=MLN","Sort=A","Dates=H","DateFormat=P","Fill=—","Direction=H","UseDPDF=Y")</f>
        <v>4934</v>
      </c>
      <c r="V15" s="13">
        <f>_xll.BDH("GILD US Equity","IS_EXPENSE_STOCK_BASED_COMP","FQ3 2023","FQ3 2023","Currency=USD","Period=FQ","BEST_FPERIOD_OVERRIDE=FQ","FILING_STATUS=MR","SCALING_FORMAT=MLN","Sort=A","Dates=H","DateFormat=P","Fill=—","Direction=H","UseDPDF=Y")</f>
        <v>1457</v>
      </c>
      <c r="W15" s="13">
        <f>_xll.BDH("GILD US Equity","IS_EXPENSE_STOCK_BASED_COMP","FQ4 2023","FQ4 2023","Currency=USD","Period=FQ","BEST_FPERIOD_OVERRIDE=FQ","FILING_STATUS=MR","SCALING_FORMAT=MLN","Sort=A","Dates=H","DateFormat=P","Fill=—","Direction=H","UseDPDF=Y")</f>
        <v>12546</v>
      </c>
      <c r="X15" s="13">
        <f>_xll.BDH("GILD US Equity","IS_EXPENSE_STOCK_BASED_COMP","FQ1 2024","FQ1 2024","Currency=USD","Period=FQ","BEST_FPERIOD_OVERRIDE=FQ","FILING_STATUS=MR","SCALING_FORMAT=MLN","Sort=A","Dates=H","DateFormat=P","Fill=—","Direction=H","UseDPDF=Y")</f>
        <v>188</v>
      </c>
      <c r="Y15" s="13">
        <f>_xll.BDH("GILD US Equity","IS_EXPENSE_STOCK_BASED_COMP","FQ2 2024","FQ2 2024","Currency=USD","Period=FQ","BEST_FPERIOD_OVERRIDE=FQ","FILING_STATUS=MR","SCALING_FORMAT=MLN","Sort=A","Dates=H","DateFormat=P","Fill=—","Direction=H","UseDPDF=Y")</f>
        <v>1544</v>
      </c>
      <c r="Z15" s="13">
        <f>_xll.BDH("GILD US Equity","IS_EXPENSE_STOCK_BASED_COMP","FQ3 2024","FQ3 2024","Currency=USD","Period=FQ","BEST_FPERIOD_OVERRIDE=FQ","FILING_STATUS=MR","SCALING_FORMAT=MLN","Sort=A","Dates=H","DateFormat=P","Fill=—","Direction=H","UseDPDF=Y")</f>
        <v>216</v>
      </c>
      <c r="AA15" s="13">
        <f>_xll.BDH("GILD US Equity","IS_EXPENSE_STOCK_BASED_COMP","FQ4 2024","FQ4 2024","Currency=USD","Period=FQ","BEST_FPERIOD_OVERRIDE=FQ","FILING_STATUS=MR","SCALING_FORMAT=MLN","Sort=A","Dates=H","DateFormat=P","Fill=—","Direction=H","UseDPDF=Y")</f>
        <v>356</v>
      </c>
    </row>
    <row r="16" spans="1:27" x14ac:dyDescent="0.25">
      <c r="A16" s="10" t="s">
        <v>717</v>
      </c>
      <c r="B16" s="10" t="s">
        <v>718</v>
      </c>
      <c r="C16" s="13">
        <f>_xll.BDH("GILD US Equity","IS_STK_BASED_COMP_AFT_TAX","FQ4 2018","FQ4 2018","Currency=USD","Period=FQ","BEST_FPERIOD_OVERRIDE=FQ","FILING_STATUS=MR","SCALING_FORMAT=MLN","Sort=A","Dates=H","DateFormat=P","Fill=—","Direction=H","UseDPDF=Y")</f>
        <v>135</v>
      </c>
      <c r="D16" s="13">
        <f>_xll.BDH("GILD US Equity","IS_STK_BASED_COMP_AFT_TAX","FQ1 2019","FQ1 2019","Currency=USD","Period=FQ","BEST_FPERIOD_OVERRIDE=FQ","FILING_STATUS=MR","SCALING_FORMAT=MLN","Sort=A","Dates=H","DateFormat=P","Fill=—","Direction=H","UseDPDF=Y")</f>
        <v>117</v>
      </c>
      <c r="E16" s="13">
        <f>_xll.BDH("GILD US Equity","IS_STK_BASED_COMP_AFT_TAX","FQ2 2019","FQ2 2019","Currency=USD","Period=FQ","BEST_FPERIOD_OVERRIDE=FQ","FILING_STATUS=MR","SCALING_FORMAT=MLN","Sort=A","Dates=H","DateFormat=P","Fill=—","Direction=H","UseDPDF=Y")</f>
        <v>135</v>
      </c>
      <c r="F16" s="13">
        <f>_xll.BDH("GILD US Equity","IS_STK_BASED_COMP_AFT_TAX","FQ3 2019","FQ3 2019","Currency=USD","Period=FQ","BEST_FPERIOD_OVERRIDE=FQ","FILING_STATUS=MR","SCALING_FORMAT=MLN","Sort=A","Dates=H","DateFormat=P","Fill=—","Direction=H","UseDPDF=Y")</f>
        <v>127.98</v>
      </c>
      <c r="G16" s="13">
        <f>_xll.BDH("GILD US Equity","IS_STK_BASED_COMP_AFT_TAX","FQ4 2019","FQ4 2019","Currency=USD","Period=FQ","BEST_FPERIOD_OVERRIDE=FQ","FILING_STATUS=MR","SCALING_FORMAT=MLN","Sort=A","Dates=H","DateFormat=P","Fill=—","Direction=H","UseDPDF=Y")</f>
        <v>253</v>
      </c>
      <c r="H16" s="13">
        <f>_xll.BDH("GILD US Equity","IS_STK_BASED_COMP_AFT_TAX","FQ1 2020","FQ1 2020","Currency=USD","Period=FQ","BEST_FPERIOD_OVERRIDE=FQ","FILING_STATUS=MR","SCALING_FORMAT=MLN","Sort=A","Dates=H","DateFormat=P","Fill=—","Direction=H","UseDPDF=Y")</f>
        <v>1558.67</v>
      </c>
      <c r="I16" s="13">
        <f>_xll.BDH("GILD US Equity","IS_STK_BASED_COMP_AFT_TAX","FQ2 2020","FQ2 2020","Currency=USD","Period=FQ","BEST_FPERIOD_OVERRIDE=FQ","FILING_STATUS=MR","SCALING_FORMAT=MLN","Sort=A","Dates=H","DateFormat=P","Fill=—","Direction=H","UseDPDF=Y")</f>
        <v>2845.58</v>
      </c>
      <c r="J16" s="13">
        <f>_xll.BDH("GILD US Equity","IS_STK_BASED_COMP_AFT_TAX","FQ3 2020","FQ3 2020","Currency=USD","Period=FQ","BEST_FPERIOD_OVERRIDE=FQ","FILING_STATUS=MR","SCALING_FORMAT=MLN","Sort=A","Dates=H","DateFormat=P","Fill=—","Direction=H","UseDPDF=Y")</f>
        <v>136.66999999999999</v>
      </c>
      <c r="K16" s="13">
        <f>_xll.BDH("GILD US Equity","IS_STK_BASED_COMP_AFT_TAX","FQ4 2020","FQ4 2020","Currency=USD","Period=FQ","BEST_FPERIOD_OVERRIDE=FQ","FILING_STATUS=MR","SCALING_FORMAT=MLN","Sort=A","Dates=H","DateFormat=P","Fill=—","Direction=H","UseDPDF=Y")</f>
        <v>178.54</v>
      </c>
      <c r="L16" s="13">
        <f>_xll.BDH("GILD US Equity","IS_STK_BASED_COMP_AFT_TAX","FQ1 2021","FQ1 2021","Currency=USD","Period=FQ","BEST_FPERIOD_OVERRIDE=FQ","FILING_STATUS=MR","SCALING_FORMAT=MLN","Sort=A","Dates=H","DateFormat=P","Fill=—","Direction=H","UseDPDF=Y")</f>
        <v>1908.64</v>
      </c>
      <c r="M16" s="13">
        <f>_xll.BDH("GILD US Equity","IS_STK_BASED_COMP_AFT_TAX","FQ2 2021","FQ2 2021","Currency=USD","Period=FQ","BEST_FPERIOD_OVERRIDE=FQ","FILING_STATUS=MR","SCALING_FORMAT=MLN","Sort=A","Dates=H","DateFormat=P","Fill=—","Direction=H","UseDPDF=Y")</f>
        <v>3061.25</v>
      </c>
      <c r="N16" s="13">
        <f>_xll.BDH("GILD US Equity","IS_STK_BASED_COMP_AFT_TAX","FQ3 2021","FQ3 2021","Currency=USD","Period=FQ","BEST_FPERIOD_OVERRIDE=FQ","FILING_STATUS=MR","SCALING_FORMAT=MLN","Sort=A","Dates=H","DateFormat=P","Fill=—","Direction=H","UseDPDF=Y")</f>
        <v>2812.4</v>
      </c>
      <c r="O16" s="13">
        <f>_xll.BDH("GILD US Equity","IS_STK_BASED_COMP_AFT_TAX","FQ4 2021","FQ4 2021","Currency=USD","Period=FQ","BEST_FPERIOD_OVERRIDE=FQ","FILING_STATUS=MR","SCALING_FORMAT=MLN","Sort=A","Dates=H","DateFormat=P","Fill=—","Direction=H","UseDPDF=Y")</f>
        <v>125.61</v>
      </c>
      <c r="P16" s="13">
        <f>_xll.BDH("GILD US Equity","IS_STK_BASED_COMP_AFT_TAX","FQ1 2022","FQ1 2022","Currency=USD","Period=FQ","BEST_FPERIOD_OVERRIDE=FQ","FILING_STATUS=MR","SCALING_FORMAT=MLN","Sort=A","Dates=H","DateFormat=P","Fill=—","Direction=H","UseDPDF=Y")</f>
        <v>102.7</v>
      </c>
      <c r="Q16" s="13">
        <f>_xll.BDH("GILD US Equity","IS_STK_BASED_COMP_AFT_TAX","FQ2 2022","FQ2 2022","Currency=USD","Period=FQ","BEST_FPERIOD_OVERRIDE=FQ","FILING_STATUS=MR","SCALING_FORMAT=MLN","Sort=A","Dates=H","DateFormat=P","Fill=—","Direction=H","UseDPDF=Y")</f>
        <v>3081.79</v>
      </c>
      <c r="R16" s="13">
        <f>_xll.BDH("GILD US Equity","IS_STK_BASED_COMP_AFT_TAX","FQ3 2022","FQ3 2022","Currency=USD","Period=FQ","BEST_FPERIOD_OVERRIDE=FQ","FILING_STATUS=MR","SCALING_FORMAT=MLN","Sort=A","Dates=H","DateFormat=P","Fill=—","Direction=H","UseDPDF=Y")</f>
        <v>132.72</v>
      </c>
      <c r="S16" s="13">
        <f>_xll.BDH("GILD US Equity","IS_STK_BASED_COMP_AFT_TAX","FQ4 2022","FQ4 2022","Currency=USD","Period=FQ","BEST_FPERIOD_OVERRIDE=FQ","FILING_STATUS=MR","SCALING_FORMAT=MLN","Sort=A","Dates=H","DateFormat=P","Fill=—","Direction=H","UseDPDF=Y")</f>
        <v>143.78</v>
      </c>
      <c r="T16" s="13">
        <f>_xll.BDH("GILD US Equity","IS_STK_BASED_COMP_AFT_TAX","FQ1 2023","FQ1 2023","Currency=USD","Period=FQ","BEST_FPERIOD_OVERRIDE=FQ","FILING_STATUS=MR","SCALING_FORMAT=MLN","Sort=A","Dates=H","DateFormat=P","Fill=—","Direction=H","UseDPDF=Y")</f>
        <v>130.35</v>
      </c>
      <c r="U16" s="13">
        <f>_xll.BDH("GILD US Equity","IS_STK_BASED_COMP_AFT_TAX","FQ2 2023","FQ2 2023","Currency=USD","Period=FQ","BEST_FPERIOD_OVERRIDE=FQ","FILING_STATUS=MR","SCALING_FORMAT=MLN","Sort=A","Dates=H","DateFormat=P","Fill=—","Direction=H","UseDPDF=Y")</f>
        <v>3897.86</v>
      </c>
      <c r="V16" s="13">
        <f>_xll.BDH("GILD US Equity","IS_STK_BASED_COMP_AFT_TAX","FQ3 2023","FQ3 2023","Currency=USD","Period=FQ","BEST_FPERIOD_OVERRIDE=FQ","FILING_STATUS=MR","SCALING_FORMAT=MLN","Sort=A","Dates=H","DateFormat=P","Fill=—","Direction=H","UseDPDF=Y")</f>
        <v>1151.03</v>
      </c>
      <c r="W16" s="13">
        <f>_xll.BDH("GILD US Equity","IS_STK_BASED_COMP_AFT_TAX","FQ4 2023","FQ4 2023","Currency=USD","Period=FQ","BEST_FPERIOD_OVERRIDE=FQ","FILING_STATUS=MR","SCALING_FORMAT=MLN","Sort=A","Dates=H","DateFormat=P","Fill=—","Direction=H","UseDPDF=Y")</f>
        <v>9911.34</v>
      </c>
      <c r="X16" s="13">
        <f>_xll.BDH("GILD US Equity","IS_STK_BASED_COMP_AFT_TAX","FQ1 2024","FQ1 2024","Currency=USD","Period=FQ","BEST_FPERIOD_OVERRIDE=FQ","FILING_STATUS=MR","SCALING_FORMAT=MLN","Sort=A","Dates=H","DateFormat=P","Fill=—","Direction=H","UseDPDF=Y")</f>
        <v>148.52000000000001</v>
      </c>
      <c r="Y16" s="13">
        <f>_xll.BDH("GILD US Equity","IS_STK_BASED_COMP_AFT_TAX","FQ2 2024","FQ2 2024","Currency=USD","Period=FQ","BEST_FPERIOD_OVERRIDE=FQ","FILING_STATUS=MR","SCALING_FORMAT=MLN","Sort=A","Dates=H","DateFormat=P","Fill=—","Direction=H","UseDPDF=Y")</f>
        <v>1219.76</v>
      </c>
      <c r="Z16" s="13">
        <f>_xll.BDH("GILD US Equity","IS_STK_BASED_COMP_AFT_TAX","FQ3 2024","FQ3 2024","Currency=USD","Period=FQ","BEST_FPERIOD_OVERRIDE=FQ","FILING_STATUS=MR","SCALING_FORMAT=MLN","Sort=A","Dates=H","DateFormat=P","Fill=—","Direction=H","UseDPDF=Y")</f>
        <v>170.64</v>
      </c>
      <c r="AA16" s="13">
        <f>_xll.BDH("GILD US Equity","IS_STK_BASED_COMP_AFT_TAX","FQ4 2024","FQ4 2024","Currency=USD","Period=FQ","BEST_FPERIOD_OVERRIDE=FQ","FILING_STATUS=MR","SCALING_FORMAT=MLN","Sort=A","Dates=H","DateFormat=P","Fill=—","Direction=H","UseDPDF=Y")</f>
        <v>281.24</v>
      </c>
    </row>
    <row r="17" spans="1:27" x14ac:dyDescent="0.25">
      <c r="A17" s="10" t="s">
        <v>719</v>
      </c>
      <c r="B17" s="10" t="s">
        <v>720</v>
      </c>
      <c r="C17" s="14">
        <f>_xll.BDH("GILD US Equity","IS_STK_BASED_COMP_PER_BAS_SH","FQ4 2018","FQ4 2018","Currency=USD","Period=FQ","BEST_FPERIOD_OVERRIDE=FQ","FILING_STATUS=MR","Sort=A","Dates=H","DateFormat=P","Fill=—","Direction=H","UseDPDF=Y")</f>
        <v>0.1047</v>
      </c>
      <c r="D17" s="14">
        <f>_xll.BDH("GILD US Equity","IS_STK_BASED_COMP_PER_BAS_SH","FQ1 2019","FQ1 2019","Currency=USD","Period=FQ","BEST_FPERIOD_OVERRIDE=FQ","FILING_STATUS=MR","Sort=A","Dates=H","DateFormat=P","Fill=—","Direction=H","UseDPDF=Y")</f>
        <v>9.1700000000000004E-2</v>
      </c>
      <c r="E17" s="14">
        <f>_xll.BDH("GILD US Equity","IS_STK_BASED_COMP_PER_BAS_SH","FQ2 2019","FQ2 2019","Currency=USD","Period=FQ","BEST_FPERIOD_OVERRIDE=FQ","FILING_STATUS=MR","Sort=A","Dates=H","DateFormat=P","Fill=—","Direction=H","UseDPDF=Y")</f>
        <v>0.10630000000000001</v>
      </c>
      <c r="F17" s="14">
        <f>_xll.BDH("GILD US Equity","IS_STK_BASED_COMP_PER_BAS_SH","FQ3 2019","FQ3 2019","Currency=USD","Period=FQ","BEST_FPERIOD_OVERRIDE=FQ","FILING_STATUS=MR","Sort=A","Dates=H","DateFormat=P","Fill=—","Direction=H","UseDPDF=Y")</f>
        <v>0.10100000000000001</v>
      </c>
      <c r="G17" s="14">
        <f>_xll.BDH("GILD US Equity","IS_STK_BASED_COMP_PER_BAS_SH","FQ4 2019","FQ4 2019","Currency=USD","Period=FQ","BEST_FPERIOD_OVERRIDE=FQ","FILING_STATUS=MR","Sort=A","Dates=H","DateFormat=P","Fill=—","Direction=H","UseDPDF=Y")</f>
        <v>0.19980000000000001</v>
      </c>
      <c r="H17" s="14">
        <f>_xll.BDH("GILD US Equity","IS_STK_BASED_COMP_PER_BAS_SH","FQ1 2020","FQ1 2020","Currency=USD","Period=FQ","BEST_FPERIOD_OVERRIDE=FQ","FILING_STATUS=MR","Sort=A","Dates=H","DateFormat=P","Fill=—","Direction=H","UseDPDF=Y")</f>
        <v>1.2351000000000001</v>
      </c>
      <c r="I17" s="14">
        <f>_xll.BDH("GILD US Equity","IS_STK_BASED_COMP_PER_BAS_SH","FQ2 2020","FQ2 2020","Currency=USD","Period=FQ","BEST_FPERIOD_OVERRIDE=FQ","FILING_STATUS=MR","Sort=A","Dates=H","DateFormat=P","Fill=—","Direction=H","UseDPDF=Y")</f>
        <v>2.2673999999999999</v>
      </c>
      <c r="J17" s="14">
        <f>_xll.BDH("GILD US Equity","IS_STK_BASED_COMP_PER_BAS_SH","FQ3 2020","FQ3 2020","Currency=USD","Period=FQ","BEST_FPERIOD_OVERRIDE=FQ","FILING_STATUS=MR","Sort=A","Dates=H","DateFormat=P","Fill=—","Direction=H","UseDPDF=Y")</f>
        <v>0.1089</v>
      </c>
      <c r="K17" s="14">
        <f>_xll.BDH("GILD US Equity","IS_STK_BASED_COMP_PER_BAS_SH","FQ4 2020","FQ4 2020","Currency=USD","Period=FQ","BEST_FPERIOD_OVERRIDE=FQ","FILING_STATUS=MR","Sort=A","Dates=H","DateFormat=P","Fill=—","Direction=H","UseDPDF=Y")</f>
        <v>0.14230000000000001</v>
      </c>
      <c r="L17" s="14">
        <f>_xll.BDH("GILD US Equity","IS_STK_BASED_COMP_PER_BAS_SH","FQ1 2021","FQ1 2021","Currency=USD","Period=FQ","BEST_FPERIOD_OVERRIDE=FQ","FILING_STATUS=MR","Sort=A","Dates=H","DateFormat=P","Fill=—","Direction=H","UseDPDF=Y")</f>
        <v>1.5196000000000001</v>
      </c>
      <c r="M17" s="14">
        <f>_xll.BDH("GILD US Equity","IS_STK_BASED_COMP_PER_BAS_SH","FQ2 2021","FQ2 2021","Currency=USD","Period=FQ","BEST_FPERIOD_OVERRIDE=FQ","FILING_STATUS=MR","Sort=A","Dates=H","DateFormat=P","Fill=—","Direction=H","UseDPDF=Y")</f>
        <v>2.4392</v>
      </c>
      <c r="N17" s="14">
        <f>_xll.BDH("GILD US Equity","IS_STK_BASED_COMP_PER_BAS_SH","FQ3 2021","FQ3 2021","Currency=USD","Period=FQ","BEST_FPERIOD_OVERRIDE=FQ","FILING_STATUS=MR","Sort=A","Dates=H","DateFormat=P","Fill=—","Direction=H","UseDPDF=Y")</f>
        <v>2.2391999999999999</v>
      </c>
      <c r="O17" s="14">
        <f>_xll.BDH("GILD US Equity","IS_STK_BASED_COMP_PER_BAS_SH","FQ4 2021","FQ4 2021","Currency=USD","Period=FQ","BEST_FPERIOD_OVERRIDE=FQ","FILING_STATUS=MR","Sort=A","Dates=H","DateFormat=P","Fill=—","Direction=H","UseDPDF=Y")</f>
        <v>0.1</v>
      </c>
      <c r="P17" s="14">
        <f>_xll.BDH("GILD US Equity","IS_STK_BASED_COMP_PER_BAS_SH","FQ1 2022","FQ1 2022","Currency=USD","Period=FQ","BEST_FPERIOD_OVERRIDE=FQ","FILING_STATUS=MR","Sort=A","Dates=H","DateFormat=P","Fill=—","Direction=H","UseDPDF=Y")</f>
        <v>8.1799999999999998E-2</v>
      </c>
      <c r="Q17" s="14">
        <f>_xll.BDH("GILD US Equity","IS_STK_BASED_COMP_PER_BAS_SH","FQ2 2022","FQ2 2022","Currency=USD","Period=FQ","BEST_FPERIOD_OVERRIDE=FQ","FILING_STATUS=MR","Sort=A","Dates=H","DateFormat=P","Fill=—","Direction=H","UseDPDF=Y")</f>
        <v>2.4537</v>
      </c>
      <c r="R17" s="14">
        <f>_xll.BDH("GILD US Equity","IS_STK_BASED_COMP_PER_BAS_SH","FQ3 2022","FQ3 2022","Currency=USD","Period=FQ","BEST_FPERIOD_OVERRIDE=FQ","FILING_STATUS=MR","Sort=A","Dates=H","DateFormat=P","Fill=—","Direction=H","UseDPDF=Y")</f>
        <v>0.10580000000000001</v>
      </c>
      <c r="S17" s="14">
        <f>_xll.BDH("GILD US Equity","IS_STK_BASED_COMP_PER_BAS_SH","FQ4 2022","FQ4 2022","Currency=USD","Period=FQ","BEST_FPERIOD_OVERRIDE=FQ","FILING_STATUS=MR","Sort=A","Dates=H","DateFormat=P","Fill=—","Direction=H","UseDPDF=Y")</f>
        <v>0.1148</v>
      </c>
      <c r="T17" s="14">
        <f>_xll.BDH("GILD US Equity","IS_STK_BASED_COMP_PER_BAS_SH","FQ1 2023","FQ1 2023","Currency=USD","Period=FQ","BEST_FPERIOD_OVERRIDE=FQ","FILING_STATUS=MR","Sort=A","Dates=H","DateFormat=P","Fill=—","Direction=H","UseDPDF=Y")</f>
        <v>0.10440000000000001</v>
      </c>
      <c r="U17" s="14">
        <f>_xll.BDH("GILD US Equity","IS_STK_BASED_COMP_PER_BAS_SH","FQ2 2023","FQ2 2023","Currency=USD","Period=FQ","BEST_FPERIOD_OVERRIDE=FQ","FILING_STATUS=MR","Sort=A","Dates=H","DateFormat=P","Fill=—","Direction=H","UseDPDF=Y")</f>
        <v>3.1208</v>
      </c>
      <c r="V17" s="14">
        <f>_xll.BDH("GILD US Equity","IS_STK_BASED_COMP_PER_BAS_SH","FQ3 2023","FQ3 2023","Currency=USD","Period=FQ","BEST_FPERIOD_OVERRIDE=FQ","FILING_STATUS=MR","Sort=A","Dates=H","DateFormat=P","Fill=—","Direction=H","UseDPDF=Y")</f>
        <v>0.92230000000000001</v>
      </c>
      <c r="W17" s="14">
        <f>_xll.BDH("GILD US Equity","IS_STK_BASED_COMP_PER_BAS_SH","FQ4 2023","FQ4 2023","Currency=USD","Period=FQ","BEST_FPERIOD_OVERRIDE=FQ","FILING_STATUS=MR","Sort=A","Dates=H","DateFormat=P","Fill=—","Direction=H","UseDPDF=Y")</f>
        <v>7.9417999999999997</v>
      </c>
      <c r="X17" s="14">
        <f>_xll.BDH("GILD US Equity","IS_STK_BASED_COMP_PER_BAS_SH","FQ1 2024","FQ1 2024","Currency=USD","Period=FQ","BEST_FPERIOD_OVERRIDE=FQ","FILING_STATUS=MR","Sort=A","Dates=H","DateFormat=P","Fill=—","Direction=H","UseDPDF=Y")</f>
        <v>0.1191</v>
      </c>
      <c r="Y17" s="14">
        <f>_xll.BDH("GILD US Equity","IS_STK_BASED_COMP_PER_BAS_SH","FQ2 2024","FQ2 2024","Currency=USD","Period=FQ","BEST_FPERIOD_OVERRIDE=FQ","FILING_STATUS=MR","Sort=A","Dates=H","DateFormat=P","Fill=—","Direction=H","UseDPDF=Y")</f>
        <v>0.97819999999999996</v>
      </c>
      <c r="Z17" s="14">
        <f>_xll.BDH("GILD US Equity","IS_STK_BASED_COMP_PER_BAS_SH","FQ3 2024","FQ3 2024","Currency=USD","Period=FQ","BEST_FPERIOD_OVERRIDE=FQ","FILING_STATUS=MR","Sort=A","Dates=H","DateFormat=P","Fill=—","Direction=H","UseDPDF=Y")</f>
        <v>0.1368</v>
      </c>
      <c r="AA17" s="14">
        <f>_xll.BDH("GILD US Equity","IS_STK_BASED_COMP_PER_BAS_SH","FQ4 2024","FQ4 2024","Currency=USD","Period=FQ","BEST_FPERIOD_OVERRIDE=FQ","FILING_STATUS=MR","Sort=A","Dates=H","DateFormat=P","Fill=—","Direction=H","UseDPDF=Y")</f>
        <v>0.22539999999999999</v>
      </c>
    </row>
    <row r="18" spans="1:27" x14ac:dyDescent="0.25">
      <c r="A18" s="10" t="s">
        <v>721</v>
      </c>
      <c r="B18" s="10" t="s">
        <v>722</v>
      </c>
      <c r="C18" s="14">
        <f>_xll.BDH("GILD US Equity","IS_STK_BASED_COMP_PER_DIL_SH","FQ4 2018","FQ4 2018","Currency=USD","Period=FQ","BEST_FPERIOD_OVERRIDE=FQ","FILING_STATUS=MR","Sort=A","Dates=H","DateFormat=P","Fill=—","Direction=H","UseDPDF=Y")</f>
        <v>0.10390000000000001</v>
      </c>
      <c r="D18" s="14">
        <f>_xll.BDH("GILD US Equity","IS_STK_BASED_COMP_PER_DIL_SH","FQ1 2019","FQ1 2019","Currency=USD","Period=FQ","BEST_FPERIOD_OVERRIDE=FQ","FILING_STATUS=MR","Sort=A","Dates=H","DateFormat=P","Fill=—","Direction=H","UseDPDF=Y")</f>
        <v>9.1200000000000003E-2</v>
      </c>
      <c r="E18" s="14">
        <f>_xll.BDH("GILD US Equity","IS_STK_BASED_COMP_PER_DIL_SH","FQ2 2019","FQ2 2019","Currency=USD","Period=FQ","BEST_FPERIOD_OVERRIDE=FQ","FILING_STATUS=MR","Sort=A","Dates=H","DateFormat=P","Fill=—","Direction=H","UseDPDF=Y")</f>
        <v>0.1057</v>
      </c>
      <c r="F18" s="14">
        <f>_xll.BDH("GILD US Equity","IS_STK_BASED_COMP_PER_DIL_SH","FQ3 2019","FQ3 2019","Currency=USD","Period=FQ","BEST_FPERIOD_OVERRIDE=FQ","FILING_STATUS=MR","Sort=A","Dates=H","DateFormat=P","Fill=—","Direction=H","UseDPDF=Y")</f>
        <v>0.10100000000000001</v>
      </c>
      <c r="G18" s="14">
        <f>_xll.BDH("GILD US Equity","IS_STK_BASED_COMP_PER_DIL_SH","FQ4 2019","FQ4 2019","Currency=USD","Period=FQ","BEST_FPERIOD_OVERRIDE=FQ","FILING_STATUS=MR","Sort=A","Dates=H","DateFormat=P","Fill=—","Direction=H","UseDPDF=Y")</f>
        <v>0.19869999999999999</v>
      </c>
      <c r="H18" s="14">
        <f>_xll.BDH("GILD US Equity","IS_STK_BASED_COMP_PER_DIL_SH","FQ1 2020","FQ1 2020","Currency=USD","Period=FQ","BEST_FPERIOD_OVERRIDE=FQ","FILING_STATUS=MR","Sort=A","Dates=H","DateFormat=P","Fill=—","Direction=H","UseDPDF=Y")</f>
        <v>1.2273000000000001</v>
      </c>
      <c r="I18" s="14">
        <f>_xll.BDH("GILD US Equity","IS_STK_BASED_COMP_PER_DIL_SH","FQ2 2020","FQ2 2020","Currency=USD","Period=FQ","BEST_FPERIOD_OVERRIDE=FQ","FILING_STATUS=MR","Sort=A","Dates=H","DateFormat=P","Fill=—","Direction=H","UseDPDF=Y")</f>
        <v>2.2673999999999999</v>
      </c>
      <c r="J18" s="14">
        <f>_xll.BDH("GILD US Equity","IS_STK_BASED_COMP_PER_DIL_SH","FQ3 2020","FQ3 2020","Currency=USD","Period=FQ","BEST_FPERIOD_OVERRIDE=FQ","FILING_STATUS=MR","Sort=A","Dates=H","DateFormat=P","Fill=—","Direction=H","UseDPDF=Y")</f>
        <v>0.1084</v>
      </c>
      <c r="K18" s="14">
        <f>_xll.BDH("GILD US Equity","IS_STK_BASED_COMP_PER_DIL_SH","FQ4 2020","FQ4 2020","Currency=USD","Period=FQ","BEST_FPERIOD_OVERRIDE=FQ","FILING_STATUS=MR","Sort=A","Dates=H","DateFormat=P","Fill=—","Direction=H","UseDPDF=Y")</f>
        <v>0.14180000000000001</v>
      </c>
      <c r="L18" s="14">
        <f>_xll.BDH("GILD US Equity","IS_STK_BASED_COMP_PER_DIL_SH","FQ1 2021","FQ1 2021","Currency=USD","Period=FQ","BEST_FPERIOD_OVERRIDE=FQ","FILING_STATUS=MR","Sort=A","Dates=H","DateFormat=P","Fill=—","Direction=H","UseDPDF=Y")</f>
        <v>1.5124</v>
      </c>
      <c r="M18" s="14">
        <f>_xll.BDH("GILD US Equity","IS_STK_BASED_COMP_PER_DIL_SH","FQ2 2021","FQ2 2021","Currency=USD","Period=FQ","BEST_FPERIOD_OVERRIDE=FQ","FILING_STATUS=MR","Sort=A","Dates=H","DateFormat=P","Fill=—","Direction=H","UseDPDF=Y")</f>
        <v>2.4296000000000002</v>
      </c>
      <c r="N18" s="14">
        <f>_xll.BDH("GILD US Equity","IS_STK_BASED_COMP_PER_DIL_SH","FQ3 2021","FQ3 2021","Currency=USD","Period=FQ","BEST_FPERIOD_OVERRIDE=FQ","FILING_STATUS=MR","Sort=A","Dates=H","DateFormat=P","Fill=—","Direction=H","UseDPDF=Y")</f>
        <v>2.2284999999999999</v>
      </c>
      <c r="O18" s="14">
        <f>_xll.BDH("GILD US Equity","IS_STK_BASED_COMP_PER_DIL_SH","FQ4 2021","FQ4 2021","Currency=USD","Period=FQ","BEST_FPERIOD_OVERRIDE=FQ","FILING_STATUS=MR","Sort=A","Dates=H","DateFormat=P","Fill=—","Direction=H","UseDPDF=Y")</f>
        <v>9.9500000000000005E-2</v>
      </c>
      <c r="P18" s="14">
        <f>_xll.BDH("GILD US Equity","IS_STK_BASED_COMP_PER_DIL_SH","FQ1 2022","FQ1 2022","Currency=USD","Period=FQ","BEST_FPERIOD_OVERRIDE=FQ","FILING_STATUS=MR","Sort=A","Dates=H","DateFormat=P","Fill=—","Direction=H","UseDPDF=Y")</f>
        <v>8.14E-2</v>
      </c>
      <c r="Q18" s="14">
        <f>_xll.BDH("GILD US Equity","IS_STK_BASED_COMP_PER_DIL_SH","FQ2 2022","FQ2 2022","Currency=USD","Period=FQ","BEST_FPERIOD_OVERRIDE=FQ","FILING_STATUS=MR","Sort=A","Dates=H","DateFormat=P","Fill=—","Direction=H","UseDPDF=Y")</f>
        <v>2.4459</v>
      </c>
      <c r="R18" s="14">
        <f>_xll.BDH("GILD US Equity","IS_STK_BASED_COMP_PER_DIL_SH","FQ3 2022","FQ3 2022","Currency=USD","Period=FQ","BEST_FPERIOD_OVERRIDE=FQ","FILING_STATUS=MR","Sort=A","Dates=H","DateFormat=P","Fill=—","Direction=H","UseDPDF=Y")</f>
        <v>0.1053</v>
      </c>
      <c r="S18" s="14">
        <f>_xll.BDH("GILD US Equity","IS_STK_BASED_COMP_PER_DIL_SH","FQ4 2022","FQ4 2022","Currency=USD","Period=FQ","BEST_FPERIOD_OVERRIDE=FQ","FILING_STATUS=MR","Sort=A","Dates=H","DateFormat=P","Fill=—","Direction=H","UseDPDF=Y")</f>
        <v>0.1138</v>
      </c>
      <c r="T18" s="14">
        <f>_xll.BDH("GILD US Equity","IS_STK_BASED_COMP_PER_DIL_SH","FQ1 2023","FQ1 2023","Currency=USD","Period=FQ","BEST_FPERIOD_OVERRIDE=FQ","FILING_STATUS=MR","Sort=A","Dates=H","DateFormat=P","Fill=—","Direction=H","UseDPDF=Y")</f>
        <v>0.10440000000000001</v>
      </c>
      <c r="U18" s="14">
        <f>_xll.BDH("GILD US Equity","IS_STK_BASED_COMP_PER_DIL_SH","FQ2 2023","FQ2 2023","Currency=USD","Period=FQ","BEST_FPERIOD_OVERRIDE=FQ","FILING_STATUS=MR","Sort=A","Dates=H","DateFormat=P","Fill=—","Direction=H","UseDPDF=Y")</f>
        <v>3.0985</v>
      </c>
      <c r="V18" s="14">
        <f>_xll.BDH("GILD US Equity","IS_STK_BASED_COMP_PER_DIL_SH","FQ3 2023","FQ3 2023","Currency=USD","Period=FQ","BEST_FPERIOD_OVERRIDE=FQ","FILING_STATUS=MR","Sort=A","Dates=H","DateFormat=P","Fill=—","Direction=H","UseDPDF=Y")</f>
        <v>0.91569999999999996</v>
      </c>
      <c r="W18" s="14">
        <f>_xll.BDH("GILD US Equity","IS_STK_BASED_COMP_PER_DIL_SH","FQ4 2023","FQ4 2023","Currency=USD","Period=FQ","BEST_FPERIOD_OVERRIDE=FQ","FILING_STATUS=MR","Sort=A","Dates=H","DateFormat=P","Fill=—","Direction=H","UseDPDF=Y")</f>
        <v>7.8912000000000004</v>
      </c>
      <c r="X18" s="14">
        <f>_xll.BDH("GILD US Equity","IS_STK_BASED_COMP_PER_DIL_SH","FQ1 2024","FQ1 2024","Currency=USD","Period=FQ","BEST_FPERIOD_OVERRIDE=FQ","FILING_STATUS=MR","Sort=A","Dates=H","DateFormat=P","Fill=—","Direction=H","UseDPDF=Y")</f>
        <v>0.1191</v>
      </c>
      <c r="Y18" s="14">
        <f>_xll.BDH("GILD US Equity","IS_STK_BASED_COMP_PER_DIL_SH","FQ2 2024","FQ2 2024","Currency=USD","Period=FQ","BEST_FPERIOD_OVERRIDE=FQ","FILING_STATUS=MR","Sort=A","Dates=H","DateFormat=P","Fill=—","Direction=H","UseDPDF=Y")</f>
        <v>0.97499999999999998</v>
      </c>
      <c r="Z18" s="14">
        <f>_xll.BDH("GILD US Equity","IS_STK_BASED_COMP_PER_DIL_SH","FQ3 2024","FQ3 2024","Currency=USD","Period=FQ","BEST_FPERIOD_OVERRIDE=FQ","FILING_STATUS=MR","Sort=A","Dates=H","DateFormat=P","Fill=—","Direction=H","UseDPDF=Y")</f>
        <v>0.1361</v>
      </c>
      <c r="AA18" s="14">
        <f>_xll.BDH("GILD US Equity","IS_STK_BASED_COMP_PER_DIL_SH","FQ4 2024","FQ4 2024","Currency=USD","Period=FQ","BEST_FPERIOD_OVERRIDE=FQ","FILING_STATUS=MR","Sort=A","Dates=H","DateFormat=P","Fill=—","Direction=H","UseDPDF=Y")</f>
        <v>0.22339999999999999</v>
      </c>
    </row>
    <row r="19" spans="1:27" x14ac:dyDescent="0.25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5">
      <c r="A20" s="10" t="s">
        <v>723</v>
      </c>
      <c r="B20" s="10" t="s">
        <v>724</v>
      </c>
      <c r="C20" s="13">
        <f>_xll.BDH("GILD US Equity","IS_SBC_ATTRIB_TO_COGS_PRETX","FQ4 2018","FQ4 2018","Currency=USD","Period=FQ","BEST_FPERIOD_OVERRIDE=FQ","FILING_STATUS=MR","SCALING_FORMAT=MLN","Sort=A","Dates=H","DateFormat=P","Fill=—","Direction=H","UseDPDF=Y")</f>
        <v>12</v>
      </c>
      <c r="D20" s="13">
        <f>_xll.BDH("GILD US Equity","IS_SBC_ATTRIB_TO_COGS_PRETX","FQ1 2019","FQ1 2019","Currency=USD","Period=FQ","BEST_FPERIOD_OVERRIDE=FQ","FILING_STATUS=MR","SCALING_FORMAT=MLN","Sort=A","Dates=H","DateFormat=P","Fill=—","Direction=H","UseDPDF=Y")</f>
        <v>14</v>
      </c>
      <c r="E20" s="13">
        <f>_xll.BDH("GILD US Equity","IS_SBC_ATTRIB_TO_COGS_PRETX","FQ2 2019","FQ2 2019","Currency=USD","Period=FQ","BEST_FPERIOD_OVERRIDE=FQ","FILING_STATUS=MR","SCALING_FORMAT=MLN","Sort=A","Dates=H","DateFormat=P","Fill=—","Direction=H","UseDPDF=Y")</f>
        <v>13</v>
      </c>
      <c r="F20" s="13">
        <f>_xll.BDH("GILD US Equity","IS_SBC_ATTRIB_TO_COGS_PRETX","FQ3 2019","FQ3 2019","Currency=USD","Period=FQ","BEST_FPERIOD_OVERRIDE=FQ","FILING_STATUS=MR","SCALING_FORMAT=MLN","Sort=A","Dates=H","DateFormat=P","Fill=—","Direction=H","UseDPDF=Y")</f>
        <v>10</v>
      </c>
      <c r="G20" s="13">
        <f>_xll.BDH("GILD US Equity","IS_SBC_ATTRIB_TO_COGS_PRETX","FQ4 2019","FQ4 2019","Currency=USD","Period=FQ","BEST_FPERIOD_OVERRIDE=FQ","FILING_STATUS=MR","SCALING_FORMAT=MLN","Sort=A","Dates=H","DateFormat=P","Fill=—","Direction=H","UseDPDF=Y")</f>
        <v>11</v>
      </c>
      <c r="H20" s="13">
        <f>_xll.BDH("GILD US Equity","IS_SBC_ATTRIB_TO_COGS_PRETX","FQ1 2020","FQ1 2020","Currency=USD","Period=FQ","BEST_FPERIOD_OVERRIDE=FQ","FILING_STATUS=MR","SCALING_FORMAT=MLN","Sort=A","Dates=H","DateFormat=P","Fill=—","Direction=H","UseDPDF=Y")</f>
        <v>969</v>
      </c>
      <c r="I20" s="13">
        <f>_xll.BDH("GILD US Equity","IS_SBC_ATTRIB_TO_COGS_PRETX","FQ2 2020","FQ2 2020","Currency=USD","Period=FQ","BEST_FPERIOD_OVERRIDE=FQ","FILING_STATUS=MR","SCALING_FORMAT=MLN","Sort=A","Dates=H","DateFormat=P","Fill=—","Direction=H","UseDPDF=Y")</f>
        <v>1064</v>
      </c>
      <c r="J20" s="13" t="str">
        <f>_xll.BDH("GILD US Equity","IS_SBC_ATTRIB_TO_COGS_PRETX","FQ3 2020","FQ3 2020","Currency=USD","Period=FQ","BEST_FPERIOD_OVERRIDE=FQ","FILING_STATUS=MR","SCALING_FORMAT=MLN","Sort=A","Dates=H","DateFormat=P","Fill=—","Direction=H","UseDPDF=Y")</f>
        <v>—</v>
      </c>
      <c r="K20" s="13" t="str">
        <f>_xll.BDH("GILD US Equity","IS_SBC_ATTRIB_TO_COGS_PRETX","FQ4 2020","FQ4 2020","Currency=USD","Period=FQ","BEST_FPERIOD_OVERRIDE=FQ","FILING_STATUS=MR","SCALING_FORMAT=MLN","Sort=A","Dates=H","DateFormat=P","Fill=—","Direction=H","UseDPDF=Y")</f>
        <v>—</v>
      </c>
      <c r="L20" s="13">
        <f>_xll.BDH("GILD US Equity","IS_SBC_ATTRIB_TO_COGS_PRETX","FQ1 2021","FQ1 2021","Currency=USD","Period=FQ","BEST_FPERIOD_OVERRIDE=FQ","FILING_STATUS=MR","SCALING_FORMAT=MLN","Sort=A","Dates=H","DateFormat=P","Fill=—","Direction=H","UseDPDF=Y")</f>
        <v>1361</v>
      </c>
      <c r="M20" s="13">
        <f>_xll.BDH("GILD US Equity","IS_SBC_ATTRIB_TO_COGS_PRETX","FQ2 2021","FQ2 2021","Currency=USD","Period=FQ","BEST_FPERIOD_OVERRIDE=FQ","FILING_STATUS=MR","SCALING_FORMAT=MLN","Sort=A","Dates=H","DateFormat=P","Fill=—","Direction=H","UseDPDF=Y")</f>
        <v>1390</v>
      </c>
      <c r="N20" s="13">
        <f>_xll.BDH("GILD US Equity","IS_SBC_ATTRIB_TO_COGS_PRETX","FQ3 2021","FQ3 2021","Currency=USD","Period=FQ","BEST_FPERIOD_OVERRIDE=FQ","FILING_STATUS=MR","SCALING_FORMAT=MLN","Sort=A","Dates=H","DateFormat=P","Fill=—","Direction=H","UseDPDF=Y")</f>
        <v>1223</v>
      </c>
      <c r="O20" s="13" t="str">
        <f>_xll.BDH("GILD US Equity","IS_SBC_ATTRIB_TO_COGS_PRETX","FQ4 2021","FQ4 2021","Currency=USD","Period=FQ","BEST_FPERIOD_OVERRIDE=FQ","FILING_STATUS=MR","SCALING_FORMAT=MLN","Sort=A","Dates=H","DateFormat=P","Fill=—","Direction=H","UseDPDF=Y")</f>
        <v>—</v>
      </c>
      <c r="P20" s="13" t="str">
        <f>_xll.BDH("GILD US Equity","IS_SBC_ATTRIB_TO_COGS_PRETX","FQ1 2022","FQ1 2022","Currency=USD","Period=FQ","BEST_FPERIOD_OVERRIDE=FQ","FILING_STATUS=MR","SCALING_FORMAT=MLN","Sort=A","Dates=H","DateFormat=P","Fill=—","Direction=H","UseDPDF=Y")</f>
        <v>—</v>
      </c>
      <c r="Q20" s="13">
        <f>_xll.BDH("GILD US Equity","IS_SBC_ATTRIB_TO_COGS_PRETX","FQ2 2022","FQ2 2022","Currency=USD","Period=FQ","BEST_FPERIOD_OVERRIDE=FQ","FILING_STATUS=MR","SCALING_FORMAT=MLN","Sort=A","Dates=H","DateFormat=P","Fill=—","Direction=H","UseDPDF=Y")</f>
        <v>1442</v>
      </c>
      <c r="R20" s="13" t="str">
        <f>_xll.BDH("GILD US Equity","IS_SBC_ATTRIB_TO_COGS_PRETX","FQ3 2022","FQ3 2022","Currency=USD","Period=FQ","BEST_FPERIOD_OVERRIDE=FQ","FILING_STATUS=MR","SCALING_FORMAT=MLN","Sort=A","Dates=H","DateFormat=P","Fill=—","Direction=H","UseDPDF=Y")</f>
        <v>—</v>
      </c>
      <c r="S20" s="13" t="str">
        <f>_xll.BDH("GILD US Equity","IS_SBC_ATTRIB_TO_COGS_PRETX","FQ4 2022","FQ4 2022","Currency=USD","Period=FQ","BEST_FPERIOD_OVERRIDE=FQ","FILING_STATUS=MR","SCALING_FORMAT=MLN","Sort=A","Dates=H","DateFormat=P","Fill=—","Direction=H","UseDPDF=Y")</f>
        <v>—</v>
      </c>
      <c r="T20" s="13" t="str">
        <f>_xll.BDH("GILD US Equity","IS_SBC_ATTRIB_TO_COGS_PRETX","FQ1 2023","FQ1 2023","Currency=USD","Period=FQ","BEST_FPERIOD_OVERRIDE=FQ","FILING_STATUS=MR","SCALING_FORMAT=MLN","Sort=A","Dates=H","DateFormat=P","Fill=—","Direction=H","UseDPDF=Y")</f>
        <v>—</v>
      </c>
      <c r="U20" s="13">
        <f>_xll.BDH("GILD US Equity","IS_SBC_ATTRIB_TO_COGS_PRETX","FQ2 2023","FQ2 2023","Currency=USD","Period=FQ","BEST_FPERIOD_OVERRIDE=FQ","FILING_STATUS=MR","SCALING_FORMAT=MLN","Sort=A","Dates=H","DateFormat=P","Fill=—","Direction=H","UseDPDF=Y")</f>
        <v>1442</v>
      </c>
      <c r="V20" s="13" t="str">
        <f>_xll.BDH("GILD US Equity","IS_SBC_ATTRIB_TO_COGS_PRETX","FQ3 2023","FQ3 2023","Currency=USD","Period=FQ","BEST_FPERIOD_OVERRIDE=FQ","FILING_STATUS=MR","SCALING_FORMAT=MLN","Sort=A","Dates=H","DateFormat=P","Fill=—","Direction=H","UseDPDF=Y")</f>
        <v>—</v>
      </c>
      <c r="W20" s="13" t="str">
        <f>_xll.BDH("GILD US Equity","IS_SBC_ATTRIB_TO_COGS_PRETX","FQ4 2023","FQ4 2023","Currency=USD","Period=FQ","BEST_FPERIOD_OVERRIDE=FQ","FILING_STATUS=MR","SCALING_FORMAT=MLN","Sort=A","Dates=H","DateFormat=P","Fill=—","Direction=H","UseDPDF=Y")</f>
        <v>—</v>
      </c>
      <c r="X20" s="13" t="str">
        <f>_xll.BDH("GILD US Equity","IS_SBC_ATTRIB_TO_COGS_PRETX","FQ1 2024","FQ1 2024","Currency=USD","Period=FQ","BEST_FPERIOD_OVERRIDE=FQ","FILING_STATUS=MR","SCALING_FORMAT=MLN","Sort=A","Dates=H","DateFormat=P","Fill=—","Direction=H","UseDPDF=Y")</f>
        <v>—</v>
      </c>
      <c r="Y20" s="13">
        <f>_xll.BDH("GILD US Equity","IS_SBC_ATTRIB_TO_COGS_PRETX","FQ2 2024","FQ2 2024","Currency=USD","Period=FQ","BEST_FPERIOD_OVERRIDE=FQ","FILING_STATUS=MR","SCALING_FORMAT=MLN","Sort=A","Dates=H","DateFormat=P","Fill=—","Direction=H","UseDPDF=Y")</f>
        <v>1544</v>
      </c>
      <c r="Z20" s="13" t="str">
        <f>_xll.BDH("GILD US Equity","IS_SBC_ATTRIB_TO_COGS_PRETX","FQ3 2024","FQ3 2024","Currency=USD","Period=FQ","BEST_FPERIOD_OVERRIDE=FQ","FILING_STATUS=MR","SCALING_FORMAT=MLN","Sort=A","Dates=H","DateFormat=P","Fill=—","Direction=H","UseDPDF=Y")</f>
        <v>—</v>
      </c>
      <c r="AA20" s="13" t="str">
        <f>_xll.BDH("GILD US Equity","IS_SBC_ATTRIB_TO_COGS_PRETX","FQ4 2024","FQ4 2024","Currency=USD","Period=FQ","BEST_FPERIOD_OVERRIDE=FQ","FILING_STATUS=MR","SCALING_FORMAT=MLN","Sort=A","Dates=H","DateFormat=P","Fill=—","Direction=H","UseDPDF=Y")</f>
        <v>—</v>
      </c>
    </row>
    <row r="21" spans="1:27" x14ac:dyDescent="0.25">
      <c r="A21" s="10" t="s">
        <v>725</v>
      </c>
      <c r="B21" s="10" t="s">
        <v>726</v>
      </c>
      <c r="C21" s="13">
        <f>_xll.BDH("GILD US Equity","IS_SBC_INCL_SELLING","FQ4 2018","FQ4 2018","Currency=USD","Period=FQ","BEST_FPERIOD_OVERRIDE=FQ","FILING_STATUS=MR","SCALING_FORMAT=MLN","Sort=A","Dates=H","DateFormat=P","Fill=—","Direction=H","UseDPDF=Y")</f>
        <v>88</v>
      </c>
      <c r="D21" s="13">
        <f>_xll.BDH("GILD US Equity","IS_SBC_INCL_SELLING","FQ1 2019","FQ1 2019","Currency=USD","Period=FQ","BEST_FPERIOD_OVERRIDE=FQ","FILING_STATUS=MR","SCALING_FORMAT=MLN","Sort=A","Dates=H","DateFormat=P","Fill=—","Direction=H","UseDPDF=Y")</f>
        <v>68</v>
      </c>
      <c r="E21" s="13">
        <f>_xll.BDH("GILD US Equity","IS_SBC_INCL_SELLING","FQ2 2019","FQ2 2019","Currency=USD","Period=FQ","BEST_FPERIOD_OVERRIDE=FQ","FILING_STATUS=MR","SCALING_FORMAT=MLN","Sort=A","Dates=H","DateFormat=P","Fill=—","Direction=H","UseDPDF=Y")</f>
        <v>81</v>
      </c>
      <c r="F21" s="13">
        <f>_xll.BDH("GILD US Equity","IS_SBC_INCL_SELLING","FQ3 2019","FQ3 2019","Currency=USD","Period=FQ","BEST_FPERIOD_OVERRIDE=FQ","FILING_STATUS=MR","SCALING_FORMAT=MLN","Sort=A","Dates=H","DateFormat=P","Fill=—","Direction=H","UseDPDF=Y")</f>
        <v>78</v>
      </c>
      <c r="G21" s="13">
        <f>_xll.BDH("GILD US Equity","IS_SBC_INCL_SELLING","FQ4 2019","FQ4 2019","Currency=USD","Period=FQ","BEST_FPERIOD_OVERRIDE=FQ","FILING_STATUS=MR","SCALING_FORMAT=MLN","Sort=A","Dates=H","DateFormat=P","Fill=—","Direction=H","UseDPDF=Y")</f>
        <v>72</v>
      </c>
      <c r="H21" s="13" t="str">
        <f>_xll.BDH("GILD US Equity","IS_SBC_INCL_SELLING","FQ1 2020","FQ1 2020","Currency=USD","Period=FQ","BEST_FPERIOD_OVERRIDE=FQ","FILING_STATUS=MR","SCALING_FORMAT=MLN","Sort=A","Dates=H","DateFormat=P","Fill=—","Direction=H","UseDPDF=Y")</f>
        <v>—</v>
      </c>
      <c r="I21" s="13" t="str">
        <f>_xll.BDH("GILD US Equity","IS_SBC_INCL_SELLING","FQ2 2020","FQ2 2020","Currency=USD","Period=FQ","BEST_FPERIOD_OVERRIDE=FQ","FILING_STATUS=MR","SCALING_FORMAT=MLN","Sort=A","Dates=H","DateFormat=P","Fill=—","Direction=H","UseDPDF=Y")</f>
        <v>—</v>
      </c>
      <c r="J21" s="13" t="str">
        <f>_xll.BDH("GILD US Equity","IS_SBC_INCL_SELLING","FQ3 2020","FQ3 2020","Currency=USD","Period=FQ","BEST_FPERIOD_OVERRIDE=FQ","FILING_STATUS=MR","SCALING_FORMAT=MLN","Sort=A","Dates=H","DateFormat=P","Fill=—","Direction=H","UseDPDF=Y")</f>
        <v>—</v>
      </c>
      <c r="K21" s="13">
        <f>_xll.BDH("GILD US Equity","IS_SBC_INCL_SELLING","FQ4 2020","FQ4 2020","Currency=USD","Period=FQ","BEST_FPERIOD_OVERRIDE=FQ","FILING_STATUS=MR","SCALING_FORMAT=MLN","Sort=A","Dates=H","DateFormat=P","Fill=—","Direction=H","UseDPDF=Y")</f>
        <v>168</v>
      </c>
      <c r="L21" s="13" t="str">
        <f>_xll.BDH("GILD US Equity","IS_SBC_INCL_SELLING","FQ1 2021","FQ1 2021","Currency=USD","Period=FQ","BEST_FPERIOD_OVERRIDE=FQ","FILING_STATUS=MR","SCALING_FORMAT=MLN","Sort=A","Dates=H","DateFormat=P","Fill=—","Direction=H","UseDPDF=Y")</f>
        <v>—</v>
      </c>
      <c r="M21" s="13" t="str">
        <f>_xll.BDH("GILD US Equity","IS_SBC_INCL_SELLING","FQ2 2021","FQ2 2021","Currency=USD","Period=FQ","BEST_FPERIOD_OVERRIDE=FQ","FILING_STATUS=MR","SCALING_FORMAT=MLN","Sort=A","Dates=H","DateFormat=P","Fill=—","Direction=H","UseDPDF=Y")</f>
        <v>—</v>
      </c>
      <c r="N21" s="13" t="str">
        <f>_xll.BDH("GILD US Equity","IS_SBC_INCL_SELLING","FQ3 2021","FQ3 2021","Currency=USD","Period=FQ","BEST_FPERIOD_OVERRIDE=FQ","FILING_STATUS=MR","SCALING_FORMAT=MLN","Sort=A","Dates=H","DateFormat=P","Fill=—","Direction=H","UseDPDF=Y")</f>
        <v>—</v>
      </c>
      <c r="O21" s="13" t="str">
        <f>_xll.BDH("GILD US Equity","IS_SBC_INCL_SELLING","FQ4 2021","FQ4 2021","Currency=USD","Period=FQ","BEST_FPERIOD_OVERRIDE=FQ","FILING_STATUS=MR","SCALING_FORMAT=MLN","Sort=A","Dates=H","DateFormat=P","Fill=—","Direction=H","UseDPDF=Y")</f>
        <v>—</v>
      </c>
      <c r="P21" s="13" t="str">
        <f>_xll.BDH("GILD US Equity","IS_SBC_INCL_SELLING","FQ1 2022","FQ1 2022","Currency=USD","Period=FQ","BEST_FPERIOD_OVERRIDE=FQ","FILING_STATUS=MR","SCALING_FORMAT=MLN","Sort=A","Dates=H","DateFormat=P","Fill=—","Direction=H","UseDPDF=Y")</f>
        <v>—</v>
      </c>
      <c r="Q21" s="13" t="str">
        <f>_xll.BDH("GILD US Equity","IS_SBC_INCL_SELLING","FQ2 2022","FQ2 2022","Currency=USD","Period=FQ","BEST_FPERIOD_OVERRIDE=FQ","FILING_STATUS=MR","SCALING_FORMAT=MLN","Sort=A","Dates=H","DateFormat=P","Fill=—","Direction=H","UseDPDF=Y")</f>
        <v>—</v>
      </c>
      <c r="R21" s="13" t="str">
        <f>_xll.BDH("GILD US Equity","IS_SBC_INCL_SELLING","FQ3 2022","FQ3 2022","Currency=USD","Period=FQ","BEST_FPERIOD_OVERRIDE=FQ","FILING_STATUS=MR","SCALING_FORMAT=MLN","Sort=A","Dates=H","DateFormat=P","Fill=—","Direction=H","UseDPDF=Y")</f>
        <v>—</v>
      </c>
      <c r="S21" s="13" t="str">
        <f>_xll.BDH("GILD US Equity","IS_SBC_INCL_SELLING","FQ4 2022","FQ4 2022","Currency=USD","Period=FQ","BEST_FPERIOD_OVERRIDE=FQ","FILING_STATUS=MR","SCALING_FORMAT=MLN","Sort=A","Dates=H","DateFormat=P","Fill=—","Direction=H","UseDPDF=Y")</f>
        <v>—</v>
      </c>
      <c r="T21" s="13" t="str">
        <f>_xll.BDH("GILD US Equity","IS_SBC_INCL_SELLING","FQ1 2023","FQ1 2023","Currency=USD","Period=FQ","BEST_FPERIOD_OVERRIDE=FQ","FILING_STATUS=MR","SCALING_FORMAT=MLN","Sort=A","Dates=H","DateFormat=P","Fill=—","Direction=H","UseDPDF=Y")</f>
        <v>—</v>
      </c>
      <c r="U21" s="13">
        <f>_xll.BDH("GILD US Equity","IS_SBC_INCL_SELLING","FQ2 2023","FQ2 2023","Currency=USD","Period=FQ","BEST_FPERIOD_OVERRIDE=FQ","FILING_STATUS=MR","SCALING_FORMAT=MLN","Sort=A","Dates=H","DateFormat=P","Fill=—","Direction=H","UseDPDF=Y")</f>
        <v>1849</v>
      </c>
      <c r="V21" s="13" t="str">
        <f>_xll.BDH("GILD US Equity","IS_SBC_INCL_SELLING","FQ3 2023","FQ3 2023","Currency=USD","Period=FQ","BEST_FPERIOD_OVERRIDE=FQ","FILING_STATUS=MR","SCALING_FORMAT=MLN","Sort=A","Dates=H","DateFormat=P","Fill=—","Direction=H","UseDPDF=Y")</f>
        <v>—</v>
      </c>
      <c r="W21" s="13">
        <f>_xll.BDH("GILD US Equity","IS_SBC_INCL_SELLING","FQ4 2023","FQ4 2023","Currency=USD","Period=FQ","BEST_FPERIOD_OVERRIDE=FQ","FILING_STATUS=MR","SCALING_FORMAT=MLN","Sort=A","Dates=H","DateFormat=P","Fill=—","Direction=H","UseDPDF=Y")</f>
        <v>6451</v>
      </c>
      <c r="X21" s="13" t="str">
        <f>_xll.BDH("GILD US Equity","IS_SBC_INCL_SELLING","FQ1 2024","FQ1 2024","Currency=USD","Period=FQ","BEST_FPERIOD_OVERRIDE=FQ","FILING_STATUS=MR","SCALING_FORMAT=MLN","Sort=A","Dates=H","DateFormat=P","Fill=—","Direction=H","UseDPDF=Y")</f>
        <v>—</v>
      </c>
      <c r="Y21" s="13" t="str">
        <f>_xll.BDH("GILD US Equity","IS_SBC_INCL_SELLING","FQ2 2024","FQ2 2024","Currency=USD","Period=FQ","BEST_FPERIOD_OVERRIDE=FQ","FILING_STATUS=MR","SCALING_FORMAT=MLN","Sort=A","Dates=H","DateFormat=P","Fill=—","Direction=H","UseDPDF=Y")</f>
        <v>—</v>
      </c>
      <c r="Z21" s="13" t="str">
        <f>_xll.BDH("GILD US Equity","IS_SBC_INCL_SELLING","FQ3 2024","FQ3 2024","Currency=USD","Period=FQ","BEST_FPERIOD_OVERRIDE=FQ","FILING_STATUS=MR","SCALING_FORMAT=MLN","Sort=A","Dates=H","DateFormat=P","Fill=—","Direction=H","UseDPDF=Y")</f>
        <v>—</v>
      </c>
      <c r="AA21" s="13" t="str">
        <f>_xll.BDH("GILD US Equity","IS_SBC_INCL_SELLING","FQ4 2024","FQ4 2024","Currency=USD","Period=FQ","BEST_FPERIOD_OVERRIDE=FQ","FILING_STATUS=MR","SCALING_FORMAT=MLN","Sort=A","Dates=H","DateFormat=P","Fill=—","Direction=H","UseDPDF=Y")</f>
        <v>—</v>
      </c>
    </row>
    <row r="22" spans="1:27" x14ac:dyDescent="0.25">
      <c r="A22" s="10" t="s">
        <v>727</v>
      </c>
      <c r="B22" s="10" t="s">
        <v>728</v>
      </c>
      <c r="C22" s="13">
        <f>_xll.BDH("GILD US Equity","IS_SBC_INCL_RD","FQ4 2018","FQ4 2018","Currency=USD","Period=FQ","BEST_FPERIOD_OVERRIDE=FQ","FILING_STATUS=MR","SCALING_FORMAT=MLN","Sort=A","Dates=H","DateFormat=P","Fill=—","Direction=H","UseDPDF=Y")</f>
        <v>75</v>
      </c>
      <c r="D22" s="13">
        <f>_xll.BDH("GILD US Equity","IS_SBC_INCL_RD","FQ1 2019","FQ1 2019","Currency=USD","Period=FQ","BEST_FPERIOD_OVERRIDE=FQ","FILING_STATUS=MR","SCALING_FORMAT=MLN","Sort=A","Dates=H","DateFormat=P","Fill=—","Direction=H","UseDPDF=Y")</f>
        <v>61</v>
      </c>
      <c r="E22" s="13">
        <f>_xll.BDH("GILD US Equity","IS_SBC_INCL_RD","FQ2 2019","FQ2 2019","Currency=USD","Period=FQ","BEST_FPERIOD_OVERRIDE=FQ","FILING_STATUS=MR","SCALING_FORMAT=MLN","Sort=A","Dates=H","DateFormat=P","Fill=—","Direction=H","UseDPDF=Y")</f>
        <v>80</v>
      </c>
      <c r="F22" s="13">
        <f>_xll.BDH("GILD US Equity","IS_SBC_INCL_RD","FQ3 2019","FQ3 2019","Currency=USD","Period=FQ","BEST_FPERIOD_OVERRIDE=FQ","FILING_STATUS=MR","SCALING_FORMAT=MLN","Sort=A","Dates=H","DateFormat=P","Fill=—","Direction=H","UseDPDF=Y")</f>
        <v>74</v>
      </c>
      <c r="G22" s="13">
        <f>_xll.BDH("GILD US Equity","IS_SBC_INCL_RD","FQ4 2019","FQ4 2019","Currency=USD","Period=FQ","BEST_FPERIOD_OVERRIDE=FQ","FILING_STATUS=MR","SCALING_FORMAT=MLN","Sort=A","Dates=H","DateFormat=P","Fill=—","Direction=H","UseDPDF=Y")</f>
        <v>74</v>
      </c>
      <c r="H22" s="13" t="str">
        <f>_xll.BDH("GILD US Equity","IS_SBC_INCL_RD","FQ1 2020","FQ1 2020","Currency=USD","Period=FQ","BEST_FPERIOD_OVERRIDE=FQ","FILING_STATUS=MR","SCALING_FORMAT=MLN","Sort=A","Dates=H","DateFormat=P","Fill=—","Direction=H","UseDPDF=Y")</f>
        <v>—</v>
      </c>
      <c r="I22" s="13" t="str">
        <f>_xll.BDH("GILD US Equity","IS_SBC_INCL_RD","FQ2 2020","FQ2 2020","Currency=USD","Period=FQ","BEST_FPERIOD_OVERRIDE=FQ","FILING_STATUS=MR","SCALING_FORMAT=MLN","Sort=A","Dates=H","DateFormat=P","Fill=—","Direction=H","UseDPDF=Y")</f>
        <v>—</v>
      </c>
      <c r="J22" s="13" t="str">
        <f>_xll.BDH("GILD US Equity","IS_SBC_INCL_RD","FQ3 2020","FQ3 2020","Currency=USD","Period=FQ","BEST_FPERIOD_OVERRIDE=FQ","FILING_STATUS=MR","SCALING_FORMAT=MLN","Sort=A","Dates=H","DateFormat=P","Fill=—","Direction=H","UseDPDF=Y")</f>
        <v>—</v>
      </c>
      <c r="K22" s="13">
        <f>_xll.BDH("GILD US Equity","IS_SBC_INCL_RD","FQ4 2020","FQ4 2020","Currency=USD","Period=FQ","BEST_FPERIOD_OVERRIDE=FQ","FILING_STATUS=MR","SCALING_FORMAT=MLN","Sort=A","Dates=H","DateFormat=P","Fill=—","Direction=H","UseDPDF=Y")</f>
        <v>58</v>
      </c>
      <c r="L22" s="13" t="str">
        <f>_xll.BDH("GILD US Equity","IS_SBC_INCL_RD","FQ1 2021","FQ1 2021","Currency=USD","Period=FQ","BEST_FPERIOD_OVERRIDE=FQ","FILING_STATUS=MR","SCALING_FORMAT=MLN","Sort=A","Dates=H","DateFormat=P","Fill=—","Direction=H","UseDPDF=Y")</f>
        <v>—</v>
      </c>
      <c r="M22" s="13" t="str">
        <f>_xll.BDH("GILD US Equity","IS_SBC_INCL_RD","FQ2 2021","FQ2 2021","Currency=USD","Period=FQ","BEST_FPERIOD_OVERRIDE=FQ","FILING_STATUS=MR","SCALING_FORMAT=MLN","Sort=A","Dates=H","DateFormat=P","Fill=—","Direction=H","UseDPDF=Y")</f>
        <v>—</v>
      </c>
      <c r="N22" s="13" t="str">
        <f>_xll.BDH("GILD US Equity","IS_SBC_INCL_RD","FQ3 2021","FQ3 2021","Currency=USD","Period=FQ","BEST_FPERIOD_OVERRIDE=FQ","FILING_STATUS=MR","SCALING_FORMAT=MLN","Sort=A","Dates=H","DateFormat=P","Fill=—","Direction=H","UseDPDF=Y")</f>
        <v>—</v>
      </c>
      <c r="O22" s="13" t="str">
        <f>_xll.BDH("GILD US Equity","IS_SBC_INCL_RD","FQ4 2021","FQ4 2021","Currency=USD","Period=FQ","BEST_FPERIOD_OVERRIDE=FQ","FILING_STATUS=MR","SCALING_FORMAT=MLN","Sort=A","Dates=H","DateFormat=P","Fill=—","Direction=H","UseDPDF=Y")</f>
        <v>—</v>
      </c>
      <c r="P22" s="13" t="str">
        <f>_xll.BDH("GILD US Equity","IS_SBC_INCL_RD","FQ1 2022","FQ1 2022","Currency=USD","Period=FQ","BEST_FPERIOD_OVERRIDE=FQ","FILING_STATUS=MR","SCALING_FORMAT=MLN","Sort=A","Dates=H","DateFormat=P","Fill=—","Direction=H","UseDPDF=Y")</f>
        <v>—</v>
      </c>
      <c r="Q22" s="13" t="str">
        <f>_xll.BDH("GILD US Equity","IS_SBC_INCL_RD","FQ2 2022","FQ2 2022","Currency=USD","Period=FQ","BEST_FPERIOD_OVERRIDE=FQ","FILING_STATUS=MR","SCALING_FORMAT=MLN","Sort=A","Dates=H","DateFormat=P","Fill=—","Direction=H","UseDPDF=Y")</f>
        <v>—</v>
      </c>
      <c r="R22" s="13" t="str">
        <f>_xll.BDH("GILD US Equity","IS_SBC_INCL_RD","FQ3 2022","FQ3 2022","Currency=USD","Period=FQ","BEST_FPERIOD_OVERRIDE=FQ","FILING_STATUS=MR","SCALING_FORMAT=MLN","Sort=A","Dates=H","DateFormat=P","Fill=—","Direction=H","UseDPDF=Y")</f>
        <v>—</v>
      </c>
      <c r="S22" s="13" t="str">
        <f>_xll.BDH("GILD US Equity","IS_SBC_INCL_RD","FQ4 2022","FQ4 2022","Currency=USD","Period=FQ","BEST_FPERIOD_OVERRIDE=FQ","FILING_STATUS=MR","SCALING_FORMAT=MLN","Sort=A","Dates=H","DateFormat=P","Fill=—","Direction=H","UseDPDF=Y")</f>
        <v>—</v>
      </c>
      <c r="T22" s="13" t="str">
        <f>_xll.BDH("GILD US Equity","IS_SBC_INCL_RD","FQ1 2023","FQ1 2023","Currency=USD","Period=FQ","BEST_FPERIOD_OVERRIDE=FQ","FILING_STATUS=MR","SCALING_FORMAT=MLN","Sort=A","Dates=H","DateFormat=P","Fill=—","Direction=H","UseDPDF=Y")</f>
        <v>—</v>
      </c>
      <c r="U22" s="13">
        <f>_xll.BDH("GILD US Equity","IS_SBC_INCL_RD","FQ2 2023","FQ2 2023","Currency=USD","Period=FQ","BEST_FPERIOD_OVERRIDE=FQ","FILING_STATUS=MR","SCALING_FORMAT=MLN","Sort=A","Dates=H","DateFormat=P","Fill=—","Direction=H","UseDPDF=Y")</f>
        <v>1643</v>
      </c>
      <c r="V22" s="13">
        <f>_xll.BDH("GILD US Equity","IS_SBC_INCL_RD","FQ3 2023","FQ3 2023","Currency=USD","Period=FQ","BEST_FPERIOD_OVERRIDE=FQ","FILING_STATUS=MR","SCALING_FORMAT=MLN","Sort=A","Dates=H","DateFormat=P","Fill=—","Direction=H","UseDPDF=Y")</f>
        <v>1457</v>
      </c>
      <c r="W22" s="13">
        <f>_xll.BDH("GILD US Equity","IS_SBC_INCL_RD","FQ4 2023","FQ4 2023","Currency=USD","Period=FQ","BEST_FPERIOD_OVERRIDE=FQ","FILING_STATUS=MR","SCALING_FORMAT=MLN","Sort=A","Dates=H","DateFormat=P","Fill=—","Direction=H","UseDPDF=Y")</f>
        <v>6095</v>
      </c>
      <c r="X22" s="13" t="str">
        <f>_xll.BDH("GILD US Equity","IS_SBC_INCL_RD","FQ1 2024","FQ1 2024","Currency=USD","Period=FQ","BEST_FPERIOD_OVERRIDE=FQ","FILING_STATUS=MR","SCALING_FORMAT=MLN","Sort=A","Dates=H","DateFormat=P","Fill=—","Direction=H","UseDPDF=Y")</f>
        <v>—</v>
      </c>
      <c r="Y22" s="13" t="str">
        <f>_xll.BDH("GILD US Equity","IS_SBC_INCL_RD","FQ2 2024","FQ2 2024","Currency=USD","Period=FQ","BEST_FPERIOD_OVERRIDE=FQ","FILING_STATUS=MR","SCALING_FORMAT=MLN","Sort=A","Dates=H","DateFormat=P","Fill=—","Direction=H","UseDPDF=Y")</f>
        <v>—</v>
      </c>
      <c r="Z22" s="13" t="str">
        <f>_xll.BDH("GILD US Equity","IS_SBC_INCL_RD","FQ3 2024","FQ3 2024","Currency=USD","Period=FQ","BEST_FPERIOD_OVERRIDE=FQ","FILING_STATUS=MR","SCALING_FORMAT=MLN","Sort=A","Dates=H","DateFormat=P","Fill=—","Direction=H","UseDPDF=Y")</f>
        <v>—</v>
      </c>
      <c r="AA22" s="13" t="str">
        <f>_xll.BDH("GILD US Equity","IS_SBC_INCL_RD","FQ4 2024","FQ4 2024","Currency=USD","Period=FQ","BEST_FPERIOD_OVERRIDE=FQ","FILING_STATUS=MR","SCALING_FORMAT=MLN","Sort=A","Dates=H","DateFormat=P","Fill=—","Direction=H","UseDPDF=Y")</f>
        <v>—</v>
      </c>
    </row>
    <row r="23" spans="1:27" x14ac:dyDescent="0.25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5">
      <c r="A24" s="10" t="s">
        <v>729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10" t="s">
        <v>715</v>
      </c>
      <c r="B25" s="10" t="s">
        <v>730</v>
      </c>
      <c r="C25" s="13">
        <f>_xll.BDH("GILD US Equity","IS_AMORT_OF_INTANG_ACQUIS_REL","FQ4 2018","FQ4 2018","Currency=USD","Period=FQ","BEST_FPERIOD_OVERRIDE=FQ","FILING_STATUS=MR","SCALING_FORMAT=MLN","Sort=A","Dates=H","DateFormat=P","Fill=—","Direction=H","UseDPDF=Y")</f>
        <v>301</v>
      </c>
      <c r="D25" s="13">
        <f>_xll.BDH("GILD US Equity","IS_AMORT_OF_INTANG_ACQUIS_REL","FQ1 2019","FQ1 2019","Currency=USD","Period=FQ","BEST_FPERIOD_OVERRIDE=FQ","FILING_STATUS=MR","SCALING_FORMAT=MLN","Sort=A","Dates=H","DateFormat=P","Fill=—","Direction=H","UseDPDF=Y")</f>
        <v>283</v>
      </c>
      <c r="E25" s="13">
        <f>_xll.BDH("GILD US Equity","IS_AMORT_OF_INTANG_ACQUIS_REL","FQ2 2019","FQ2 2019","Currency=USD","Period=FQ","BEST_FPERIOD_OVERRIDE=FQ","FILING_STATUS=MR","SCALING_FORMAT=MLN","Sort=A","Dates=H","DateFormat=P","Fill=—","Direction=H","UseDPDF=Y")</f>
        <v>273</v>
      </c>
      <c r="F25" s="13">
        <f>_xll.BDH("GILD US Equity","IS_AMORT_OF_INTANG_ACQUIS_REL","FQ3 2019","FQ3 2019","Currency=USD","Period=FQ","BEST_FPERIOD_OVERRIDE=FQ","FILING_STATUS=MR","SCALING_FORMAT=MLN","Sort=A","Dates=H","DateFormat=P","Fill=—","Direction=H","UseDPDF=Y")</f>
        <v>266</v>
      </c>
      <c r="G25" s="13">
        <f>_xll.BDH("GILD US Equity","IS_AMORT_OF_INTANG_ACQUIS_REL","FQ4 2019","FQ4 2019","Currency=USD","Period=FQ","BEST_FPERIOD_OVERRIDE=FQ","FILING_STATUS=MR","SCALING_FORMAT=MLN","Sort=A","Dates=H","DateFormat=P","Fill=—","Direction=H","UseDPDF=Y")</f>
        <v>266</v>
      </c>
      <c r="H25" s="13">
        <f>_xll.BDH("GILD US Equity","IS_AMORT_OF_INTANG_ACQUIS_REL","FQ1 2020","FQ1 2020","Currency=USD","Period=FQ","BEST_FPERIOD_OVERRIDE=FQ","FILING_STATUS=MR","SCALING_FORMAT=MLN","Sort=A","Dates=H","DateFormat=P","Fill=—","Direction=H","UseDPDF=Y")</f>
        <v>266</v>
      </c>
      <c r="I25" s="13">
        <f>_xll.BDH("GILD US Equity","IS_AMORT_OF_INTANG_ACQUIS_REL","FQ2 2020","FQ2 2020","Currency=USD","Period=FQ","BEST_FPERIOD_OVERRIDE=FQ","FILING_STATUS=MR","SCALING_FORMAT=MLN","Sort=A","Dates=H","DateFormat=P","Fill=—","Direction=H","UseDPDF=Y")</f>
        <v>266</v>
      </c>
      <c r="J25" s="13">
        <f>_xll.BDH("GILD US Equity","IS_AMORT_OF_INTANG_ACQUIS_REL","FQ3 2020","FQ3 2020","Currency=USD","Period=FQ","BEST_FPERIOD_OVERRIDE=FQ","FILING_STATUS=MR","SCALING_FORMAT=MLN","Sort=A","Dates=H","DateFormat=P","Fill=—","Direction=H","UseDPDF=Y")</f>
        <v>266</v>
      </c>
      <c r="K25" s="13">
        <f>_xll.BDH("GILD US Equity","IS_AMORT_OF_INTANG_ACQUIS_REL","FQ4 2020","FQ4 2020","Currency=USD","Period=FQ","BEST_FPERIOD_OVERRIDE=FQ","FILING_STATUS=MR","SCALING_FORMAT=MLN","Sort=A","Dates=H","DateFormat=P","Fill=—","Direction=H","UseDPDF=Y")</f>
        <v>417</v>
      </c>
      <c r="L25" s="13">
        <f>_xll.BDH("GILD US Equity","IS_AMORT_OF_INTANG_ACQUIS_REL","FQ1 2021","FQ1 2021","Currency=USD","Period=FQ","BEST_FPERIOD_OVERRIDE=FQ","FILING_STATUS=MR","SCALING_FORMAT=MLN","Sort=A","Dates=H","DateFormat=P","Fill=—","Direction=H","UseDPDF=Y")</f>
        <v>506</v>
      </c>
      <c r="M25" s="13">
        <f>_xll.BDH("GILD US Equity","IS_AMORT_OF_INTANG_ACQUIS_REL","FQ2 2021","FQ2 2021","Currency=USD","Period=FQ","BEST_FPERIOD_OVERRIDE=FQ","FILING_STATUS=MR","SCALING_FORMAT=MLN","Sort=A","Dates=H","DateFormat=P","Fill=—","Direction=H","UseDPDF=Y")</f>
        <v>554</v>
      </c>
      <c r="N25" s="13">
        <f>_xll.BDH("GILD US Equity","IS_AMORT_OF_INTANG_ACQUIS_REL","FQ3 2021","FQ3 2021","Currency=USD","Period=FQ","BEST_FPERIOD_OVERRIDE=FQ","FILING_STATUS=MR","SCALING_FORMAT=MLN","Sort=A","Dates=H","DateFormat=P","Fill=—","Direction=H","UseDPDF=Y")</f>
        <v>487</v>
      </c>
      <c r="O25" s="13">
        <f>_xll.BDH("GILD US Equity","IS_AMORT_OF_INTANG_ACQUIS_REL","FQ4 2021","FQ4 2021","Currency=USD","Period=FQ","BEST_FPERIOD_OVERRIDE=FQ","FILING_STATUS=MR","SCALING_FORMAT=MLN","Sort=A","Dates=H","DateFormat=P","Fill=—","Direction=H","UseDPDF=Y")</f>
        <v>516</v>
      </c>
      <c r="P25" s="13">
        <f>_xll.BDH("GILD US Equity","IS_AMORT_OF_INTANG_ACQUIS_REL","FQ1 2022","FQ1 2022","Currency=USD","Period=FQ","BEST_FPERIOD_OVERRIDE=FQ","FILING_STATUS=MR","SCALING_FORMAT=MLN","Sort=A","Dates=H","DateFormat=P","Fill=—","Direction=H","UseDPDF=Y")</f>
        <v>599</v>
      </c>
      <c r="Q25" s="13">
        <f>_xll.BDH("GILD US Equity","IS_AMORT_OF_INTANG_ACQUIS_REL","FQ2 2022","FQ2 2022","Currency=USD","Period=FQ","BEST_FPERIOD_OVERRIDE=FQ","FILING_STATUS=MR","SCALING_FORMAT=MLN","Sort=A","Dates=H","DateFormat=P","Fill=—","Direction=H","UseDPDF=Y")</f>
        <v>556</v>
      </c>
      <c r="R25" s="13">
        <f>_xll.BDH("GILD US Equity","IS_AMORT_OF_INTANG_ACQUIS_REL","FQ3 2022","FQ3 2022","Currency=USD","Period=FQ","BEST_FPERIOD_OVERRIDE=FQ","FILING_STATUS=MR","SCALING_FORMAT=MLN","Sort=A","Dates=H","DateFormat=P","Fill=—","Direction=H","UseDPDF=Y")</f>
        <v>472</v>
      </c>
      <c r="S25" s="13">
        <f>_xll.BDH("GILD US Equity","IS_AMORT_OF_INTANG_ACQUIS_REL","FQ4 2022","FQ4 2022","Currency=USD","Period=FQ","BEST_FPERIOD_OVERRIDE=FQ","FILING_STATUS=MR","SCALING_FORMAT=MLN","Sort=A","Dates=H","DateFormat=P","Fill=—","Direction=H","UseDPDF=Y")</f>
        <v>428</v>
      </c>
      <c r="T25" s="13">
        <f>_xll.BDH("GILD US Equity","IS_AMORT_OF_INTANG_ACQUIS_REL","FQ1 2023","FQ1 2023","Currency=USD","Period=FQ","BEST_FPERIOD_OVERRIDE=FQ","FILING_STATUS=MR","SCALING_FORMAT=MLN","Sort=A","Dates=H","DateFormat=P","Fill=—","Direction=H","UseDPDF=Y")</f>
        <v>530</v>
      </c>
      <c r="U25" s="13">
        <f>_xll.BDH("GILD US Equity","IS_AMORT_OF_INTANG_ACQUIS_REL","FQ2 2023","FQ2 2023","Currency=USD","Period=FQ","BEST_FPERIOD_OVERRIDE=FQ","FILING_STATUS=MR","SCALING_FORMAT=MLN","Sort=A","Dates=H","DateFormat=P","Fill=—","Direction=H","UseDPDF=Y")</f>
        <v>581</v>
      </c>
      <c r="V25" s="13">
        <f>_xll.BDH("GILD US Equity","IS_AMORT_OF_INTANG_ACQUIS_REL","FQ3 2023","FQ3 2023","Currency=USD","Period=FQ","BEST_FPERIOD_OVERRIDE=FQ","FILING_STATUS=MR","SCALING_FORMAT=MLN","Sort=A","Dates=H","DateFormat=P","Fill=—","Direction=H","UseDPDF=Y")</f>
        <v>581</v>
      </c>
      <c r="W25" s="13">
        <f>_xll.BDH("GILD US Equity","IS_AMORT_OF_INTANG_ACQUIS_REL","FQ4 2023","FQ4 2023","Currency=USD","Period=FQ","BEST_FPERIOD_OVERRIDE=FQ","FILING_STATUS=MR","SCALING_FORMAT=MLN","Sort=A","Dates=H","DateFormat=P","Fill=—","Direction=H","UseDPDF=Y")</f>
        <v>580</v>
      </c>
      <c r="X25" s="13">
        <f>_xll.BDH("GILD US Equity","IS_AMORT_OF_INTANG_ACQUIS_REL","FQ1 2024","FQ1 2024","Currency=USD","Period=FQ","BEST_FPERIOD_OVERRIDE=FQ","FILING_STATUS=MR","SCALING_FORMAT=MLN","Sort=A","Dates=H","DateFormat=P","Fill=—","Direction=H","UseDPDF=Y")</f>
        <v>579</v>
      </c>
      <c r="Y25" s="13">
        <f>_xll.BDH("GILD US Equity","IS_AMORT_OF_INTANG_ACQUIS_REL","FQ2 2024","FQ2 2024","Currency=USD","Period=FQ","BEST_FPERIOD_OVERRIDE=FQ","FILING_STATUS=MR","SCALING_FORMAT=MLN","Sort=A","Dates=H","DateFormat=P","Fill=—","Direction=H","UseDPDF=Y")</f>
        <v>579</v>
      </c>
      <c r="Z25" s="13">
        <f>_xll.BDH("GILD US Equity","IS_AMORT_OF_INTANG_ACQUIS_REL","FQ3 2024","FQ3 2024","Currency=USD","Period=FQ","BEST_FPERIOD_OVERRIDE=FQ","FILING_STATUS=MR","SCALING_FORMAT=MLN","Sort=A","Dates=H","DateFormat=P","Fill=—","Direction=H","UseDPDF=Y")</f>
        <v>579</v>
      </c>
      <c r="AA25" s="13">
        <f>_xll.BDH("GILD US Equity","IS_AMORT_OF_INTANG_ACQUIS_REL","FQ4 2024","FQ4 2024","Currency=USD","Period=FQ","BEST_FPERIOD_OVERRIDE=FQ","FILING_STATUS=MR","SCALING_FORMAT=MLN","Sort=A","Dates=H","DateFormat=P","Fill=—","Direction=H","UseDPDF=Y")</f>
        <v>579</v>
      </c>
    </row>
    <row r="26" spans="1:27" x14ac:dyDescent="0.25">
      <c r="A26" s="10" t="s">
        <v>717</v>
      </c>
      <c r="B26" s="10" t="s">
        <v>731</v>
      </c>
      <c r="C26" s="13">
        <f>_xll.BDH("GILD US Equity","IS_AMORT_INTANG_ACQ_REL_AT","FQ4 2018","FQ4 2018","Currency=USD","Period=FQ","BEST_FPERIOD_OVERRIDE=FQ","FILING_STATUS=MR","SCALING_FORMAT=MLN","Sort=A","Dates=H","DateFormat=P","Fill=—","Direction=H","UseDPDF=Y")</f>
        <v>281</v>
      </c>
      <c r="D26" s="13">
        <f>_xll.BDH("GILD US Equity","IS_AMORT_INTANG_ACQ_REL_AT","FQ1 2019","FQ1 2019","Currency=USD","Period=FQ","BEST_FPERIOD_OVERRIDE=FQ","FILING_STATUS=MR","SCALING_FORMAT=MLN","Sort=A","Dates=H","DateFormat=P","Fill=—","Direction=H","UseDPDF=Y")</f>
        <v>260</v>
      </c>
      <c r="E26" s="13">
        <f>_xll.BDH("GILD US Equity","IS_AMORT_INTANG_ACQ_REL_AT","FQ2 2019","FQ2 2019","Currency=USD","Period=FQ","BEST_FPERIOD_OVERRIDE=FQ","FILING_STATUS=MR","SCALING_FORMAT=MLN","Sort=A","Dates=H","DateFormat=P","Fill=—","Direction=H","UseDPDF=Y")</f>
        <v>252</v>
      </c>
      <c r="F26" s="13">
        <f>_xll.BDH("GILD US Equity","IS_AMORT_INTANG_ACQ_REL_AT","FQ3 2019","FQ3 2019","Currency=USD","Period=FQ","BEST_FPERIOD_OVERRIDE=FQ","FILING_STATUS=MR","SCALING_FORMAT=MLN","Sort=A","Dates=H","DateFormat=P","Fill=—","Direction=H","UseDPDF=Y")</f>
        <v>247</v>
      </c>
      <c r="G26" s="13">
        <f>_xll.BDH("GILD US Equity","IS_AMORT_INTANG_ACQ_REL_AT","FQ4 2019","FQ4 2019","Currency=USD","Period=FQ","BEST_FPERIOD_OVERRIDE=FQ","FILING_STATUS=MR","SCALING_FORMAT=MLN","Sort=A","Dates=H","DateFormat=P","Fill=—","Direction=H","UseDPDF=Y")</f>
        <v>247</v>
      </c>
      <c r="H26" s="13">
        <f>_xll.BDH("GILD US Equity","IS_AMORT_INTANG_ACQ_REL_AT","FQ1 2020","FQ1 2020","Currency=USD","Period=FQ","BEST_FPERIOD_OVERRIDE=FQ","FILING_STATUS=MR","SCALING_FORMAT=MLN","Sort=A","Dates=H","DateFormat=P","Fill=—","Direction=H","UseDPDF=Y")</f>
        <v>210.14</v>
      </c>
      <c r="I26" s="13">
        <f>_xll.BDH("GILD US Equity","IS_AMORT_INTANG_ACQ_REL_AT","FQ2 2020","FQ2 2020","Currency=USD","Period=FQ","BEST_FPERIOD_OVERRIDE=FQ","FILING_STATUS=MR","SCALING_FORMAT=MLN","Sort=A","Dates=H","DateFormat=P","Fill=—","Direction=H","UseDPDF=Y")</f>
        <v>224</v>
      </c>
      <c r="J26" s="13">
        <f>_xll.BDH("GILD US Equity","IS_AMORT_INTANG_ACQ_REL_AT","FQ3 2020","FQ3 2020","Currency=USD","Period=FQ","BEST_FPERIOD_OVERRIDE=FQ","FILING_STATUS=MR","SCALING_FORMAT=MLN","Sort=A","Dates=H","DateFormat=P","Fill=—","Direction=H","UseDPDF=Y")</f>
        <v>225</v>
      </c>
      <c r="K26" s="13">
        <f>_xll.BDH("GILD US Equity","IS_AMORT_INTANG_ACQ_REL_AT","FQ4 2020","FQ4 2020","Currency=USD","Period=FQ","BEST_FPERIOD_OVERRIDE=FQ","FILING_STATUS=MR","SCALING_FORMAT=MLN","Sort=A","Dates=H","DateFormat=P","Fill=—","Direction=H","UseDPDF=Y")</f>
        <v>329</v>
      </c>
      <c r="L26" s="13">
        <f>_xll.BDH("GILD US Equity","IS_AMORT_INTANG_ACQ_REL_AT","FQ1 2021","FQ1 2021","Currency=USD","Period=FQ","BEST_FPERIOD_OVERRIDE=FQ","FILING_STATUS=MR","SCALING_FORMAT=MLN","Sort=A","Dates=H","DateFormat=P","Fill=—","Direction=H","UseDPDF=Y")</f>
        <v>399.74</v>
      </c>
      <c r="M26" s="13">
        <f>_xll.BDH("GILD US Equity","IS_AMORT_INTANG_ACQ_REL_AT","FQ2 2021","FQ2 2021","Currency=USD","Period=FQ","BEST_FPERIOD_OVERRIDE=FQ","FILING_STATUS=MR","SCALING_FORMAT=MLN","Sort=A","Dates=H","DateFormat=P","Fill=—","Direction=H","UseDPDF=Y")</f>
        <v>446</v>
      </c>
      <c r="N26" s="13">
        <f>_xll.BDH("GILD US Equity","IS_AMORT_INTANG_ACQ_REL_AT","FQ3 2021","FQ3 2021","Currency=USD","Period=FQ","BEST_FPERIOD_OVERRIDE=FQ","FILING_STATUS=MR","SCALING_FORMAT=MLN","Sort=A","Dates=H","DateFormat=P","Fill=—","Direction=H","UseDPDF=Y")</f>
        <v>446</v>
      </c>
      <c r="O26" s="13">
        <f>_xll.BDH("GILD US Equity","IS_AMORT_INTANG_ACQ_REL_AT","FQ4 2021","FQ4 2021","Currency=USD","Period=FQ","BEST_FPERIOD_OVERRIDE=FQ","FILING_STATUS=MR","SCALING_FORMAT=MLN","Sort=A","Dates=H","DateFormat=P","Fill=—","Direction=H","UseDPDF=Y")</f>
        <v>449</v>
      </c>
      <c r="P26" s="13">
        <f>_xll.BDH("GILD US Equity","IS_AMORT_INTANG_ACQ_REL_AT","FQ1 2022","FQ1 2022","Currency=USD","Period=FQ","BEST_FPERIOD_OVERRIDE=FQ","FILING_STATUS=MR","SCALING_FORMAT=MLN","Sort=A","Dates=H","DateFormat=P","Fill=—","Direction=H","UseDPDF=Y")</f>
        <v>473.21</v>
      </c>
      <c r="Q26" s="13">
        <f>_xll.BDH("GILD US Equity","IS_AMORT_INTANG_ACQ_REL_AT","FQ2 2022","FQ2 2022","Currency=USD","Period=FQ","BEST_FPERIOD_OVERRIDE=FQ","FILING_STATUS=MR","SCALING_FORMAT=MLN","Sort=A","Dates=H","DateFormat=P","Fill=—","Direction=H","UseDPDF=Y")</f>
        <v>442</v>
      </c>
      <c r="R26" s="13">
        <f>_xll.BDH("GILD US Equity","IS_AMORT_INTANG_ACQ_REL_AT","FQ3 2022","FQ3 2022","Currency=USD","Period=FQ","BEST_FPERIOD_OVERRIDE=FQ","FILING_STATUS=MR","SCALING_FORMAT=MLN","Sort=A","Dates=H","DateFormat=P","Fill=—","Direction=H","UseDPDF=Y")</f>
        <v>379</v>
      </c>
      <c r="S26" s="13">
        <f>_xll.BDH("GILD US Equity","IS_AMORT_INTANG_ACQ_REL_AT","FQ4 2022","FQ4 2022","Currency=USD","Period=FQ","BEST_FPERIOD_OVERRIDE=FQ","FILING_STATUS=MR","SCALING_FORMAT=MLN","Sort=A","Dates=H","DateFormat=P","Fill=—","Direction=H","UseDPDF=Y")</f>
        <v>346</v>
      </c>
      <c r="T26" s="13">
        <f>_xll.BDH("GILD US Equity","IS_AMORT_INTANG_ACQ_REL_AT","FQ1 2023","FQ1 2023","Currency=USD","Period=FQ","BEST_FPERIOD_OVERRIDE=FQ","FILING_STATUS=MR","SCALING_FORMAT=MLN","Sort=A","Dates=H","DateFormat=P","Fill=—","Direction=H","UseDPDF=Y")</f>
        <v>418.7</v>
      </c>
      <c r="U26" s="13">
        <f>_xll.BDH("GILD US Equity","IS_AMORT_INTANG_ACQ_REL_AT","FQ2 2023","FQ2 2023","Currency=USD","Period=FQ","BEST_FPERIOD_OVERRIDE=FQ","FILING_STATUS=MR","SCALING_FORMAT=MLN","Sort=A","Dates=H","DateFormat=P","Fill=—","Direction=H","UseDPDF=Y")</f>
        <v>446.1823</v>
      </c>
      <c r="V26" s="13">
        <f>_xll.BDH("GILD US Equity","IS_AMORT_INTANG_ACQ_REL_AT","FQ3 2023","FQ3 2023","Currency=USD","Period=FQ","BEST_FPERIOD_OVERRIDE=FQ","FILING_STATUS=MR","SCALING_FORMAT=MLN","Sort=A","Dates=H","DateFormat=P","Fill=—","Direction=H","UseDPDF=Y")</f>
        <v>461</v>
      </c>
      <c r="W26" s="13">
        <f>_xll.BDH("GILD US Equity","IS_AMORT_INTANG_ACQ_REL_AT","FQ4 2023","FQ4 2023","Currency=USD","Period=FQ","BEST_FPERIOD_OVERRIDE=FQ","FILING_STATUS=MR","SCALING_FORMAT=MLN","Sort=A","Dates=H","DateFormat=P","Fill=—","Direction=H","UseDPDF=Y")</f>
        <v>460</v>
      </c>
      <c r="X26" s="13">
        <f>_xll.BDH("GILD US Equity","IS_AMORT_INTANG_ACQ_REL_AT","FQ1 2024","FQ1 2024","Currency=USD","Period=FQ","BEST_FPERIOD_OVERRIDE=FQ","FILING_STATUS=MR","SCALING_FORMAT=MLN","Sort=A","Dates=H","DateFormat=P","Fill=—","Direction=H","UseDPDF=Y")</f>
        <v>458</v>
      </c>
      <c r="Y26" s="13">
        <f>_xll.BDH("GILD US Equity","IS_AMORT_INTANG_ACQ_REL_AT","FQ2 2024","FQ2 2024","Currency=USD","Period=FQ","BEST_FPERIOD_OVERRIDE=FQ","FILING_STATUS=MR","SCALING_FORMAT=MLN","Sort=A","Dates=H","DateFormat=P","Fill=—","Direction=H","UseDPDF=Y")</f>
        <v>458</v>
      </c>
      <c r="Z26" s="13">
        <f>_xll.BDH("GILD US Equity","IS_AMORT_INTANG_ACQ_REL_AT","FQ3 2024","FQ3 2024","Currency=USD","Period=FQ","BEST_FPERIOD_OVERRIDE=FQ","FILING_STATUS=MR","SCALING_FORMAT=MLN","Sort=A","Dates=H","DateFormat=P","Fill=—","Direction=H","UseDPDF=Y")</f>
        <v>458</v>
      </c>
      <c r="AA26" s="13">
        <f>_xll.BDH("GILD US Equity","IS_AMORT_INTANG_ACQ_REL_AT","FQ4 2024","FQ4 2024","Currency=USD","Period=FQ","BEST_FPERIOD_OVERRIDE=FQ","FILING_STATUS=MR","SCALING_FORMAT=MLN","Sort=A","Dates=H","DateFormat=P","Fill=—","Direction=H","UseDPDF=Y")</f>
        <v>458</v>
      </c>
    </row>
    <row r="27" spans="1:27" x14ac:dyDescent="0.25">
      <c r="A27" s="10" t="s">
        <v>719</v>
      </c>
      <c r="B27" s="10" t="s">
        <v>732</v>
      </c>
      <c r="C27" s="14">
        <f>_xll.BDH("GILD US Equity","IS_AMORT_INTANG_ACQ_REL_BASIC_PS","FQ4 2018","FQ4 2018","Currency=USD","Period=FQ","BEST_FPERIOD_OVERRIDE=FQ","FILING_STATUS=MR","Sort=A","Dates=H","DateFormat=P","Fill=—","Direction=H","UseDPDF=Y")</f>
        <v>0.21779999999999999</v>
      </c>
      <c r="D27" s="14">
        <f>_xll.BDH("GILD US Equity","IS_AMORT_INTANG_ACQ_REL_BASIC_PS","FQ1 2019","FQ1 2019","Currency=USD","Period=FQ","BEST_FPERIOD_OVERRIDE=FQ","FILING_STATUS=MR","Sort=A","Dates=H","DateFormat=P","Fill=—","Direction=H","UseDPDF=Y")</f>
        <v>0.20380000000000001</v>
      </c>
      <c r="E27" s="14">
        <f>_xll.BDH("GILD US Equity","IS_AMORT_INTANG_ACQ_REL_BASIC_PS","FQ2 2019","FQ2 2019","Currency=USD","Period=FQ","BEST_FPERIOD_OVERRIDE=FQ","FILING_STATUS=MR","Sort=A","Dates=H","DateFormat=P","Fill=—","Direction=H","UseDPDF=Y")</f>
        <v>0.19839999999999999</v>
      </c>
      <c r="F27" s="14">
        <f>_xll.BDH("GILD US Equity","IS_AMORT_INTANG_ACQ_REL_BASIC_PS","FQ3 2019","FQ3 2019","Currency=USD","Period=FQ","BEST_FPERIOD_OVERRIDE=FQ","FILING_STATUS=MR","Sort=A","Dates=H","DateFormat=P","Fill=—","Direction=H","UseDPDF=Y")</f>
        <v>0.19</v>
      </c>
      <c r="G27" s="14">
        <f>_xll.BDH("GILD US Equity","IS_AMORT_INTANG_ACQ_REL_BASIC_PS","FQ4 2019","FQ4 2019","Currency=USD","Period=FQ","BEST_FPERIOD_OVERRIDE=FQ","FILING_STATUS=MR","Sort=A","Dates=H","DateFormat=P","Fill=—","Direction=H","UseDPDF=Y")</f>
        <v>0.19</v>
      </c>
      <c r="H27" s="14">
        <f>_xll.BDH("GILD US Equity","IS_AMORT_INTANG_ACQ_REL_BASIC_PS","FQ1 2020","FQ1 2020","Currency=USD","Period=FQ","BEST_FPERIOD_OVERRIDE=FQ","FILING_STATUS=MR","Sort=A","Dates=H","DateFormat=P","Fill=—","Direction=H","UseDPDF=Y")</f>
        <v>0.16650000000000001</v>
      </c>
      <c r="I27" s="14">
        <f>_xll.BDH("GILD US Equity","IS_AMORT_INTANG_ACQ_REL_BASIC_PS","FQ2 2020","FQ2 2020","Currency=USD","Period=FQ","BEST_FPERIOD_OVERRIDE=FQ","FILING_STATUS=MR","Sort=A","Dates=H","DateFormat=P","Fill=—","Direction=H","UseDPDF=Y")</f>
        <v>0.18</v>
      </c>
      <c r="J27" s="14">
        <f>_xll.BDH("GILD US Equity","IS_AMORT_INTANG_ACQ_REL_BASIC_PS","FQ3 2020","FQ3 2020","Currency=USD","Period=FQ","BEST_FPERIOD_OVERRIDE=FQ","FILING_STATUS=MR","Sort=A","Dates=H","DateFormat=P","Fill=—","Direction=H","UseDPDF=Y")</f>
        <v>0.18</v>
      </c>
      <c r="K27" s="14">
        <f>_xll.BDH("GILD US Equity","IS_AMORT_INTANG_ACQ_REL_BASIC_PS","FQ4 2020","FQ4 2020","Currency=USD","Period=FQ","BEST_FPERIOD_OVERRIDE=FQ","FILING_STATUS=MR","Sort=A","Dates=H","DateFormat=P","Fill=—","Direction=H","UseDPDF=Y")</f>
        <v>0.26</v>
      </c>
      <c r="L27" s="14">
        <f>_xll.BDH("GILD US Equity","IS_AMORT_INTANG_ACQ_REL_BASIC_PS","FQ1 2021","FQ1 2021","Currency=USD","Period=FQ","BEST_FPERIOD_OVERRIDE=FQ","FILING_STATUS=MR","Sort=A","Dates=H","DateFormat=P","Fill=—","Direction=H","UseDPDF=Y")</f>
        <v>0.31830000000000003</v>
      </c>
      <c r="M27" s="14">
        <f>_xll.BDH("GILD US Equity","IS_AMORT_INTANG_ACQ_REL_BASIC_PS","FQ2 2021","FQ2 2021","Currency=USD","Period=FQ","BEST_FPERIOD_OVERRIDE=FQ","FILING_STATUS=MR","Sort=A","Dates=H","DateFormat=P","Fill=—","Direction=H","UseDPDF=Y")</f>
        <v>0.35</v>
      </c>
      <c r="N27" s="14">
        <f>_xll.BDH("GILD US Equity","IS_AMORT_INTANG_ACQ_REL_BASIC_PS","FQ3 2021","FQ3 2021","Currency=USD","Period=FQ","BEST_FPERIOD_OVERRIDE=FQ","FILING_STATUS=MR","Sort=A","Dates=H","DateFormat=P","Fill=—","Direction=H","UseDPDF=Y")</f>
        <v>0.35</v>
      </c>
      <c r="O27" s="14">
        <f>_xll.BDH("GILD US Equity","IS_AMORT_INTANG_ACQ_REL_BASIC_PS","FQ4 2021","FQ4 2021","Currency=USD","Period=FQ","BEST_FPERIOD_OVERRIDE=FQ","FILING_STATUS=MR","Sort=A","Dates=H","DateFormat=P","Fill=—","Direction=H","UseDPDF=Y")</f>
        <v>0.36</v>
      </c>
      <c r="P27" s="14">
        <f>_xll.BDH("GILD US Equity","IS_AMORT_INTANG_ACQ_REL_BASIC_PS","FQ1 2022","FQ1 2022","Currency=USD","Period=FQ","BEST_FPERIOD_OVERRIDE=FQ","FILING_STATUS=MR","Sort=A","Dates=H","DateFormat=P","Fill=—","Direction=H","UseDPDF=Y")</f>
        <v>0.37709999999999999</v>
      </c>
      <c r="Q27" s="14">
        <f>_xll.BDH("GILD US Equity","IS_AMORT_INTANG_ACQ_REL_BASIC_PS","FQ2 2022","FQ2 2022","Currency=USD","Period=FQ","BEST_FPERIOD_OVERRIDE=FQ","FILING_STATUS=MR","Sort=A","Dates=H","DateFormat=P","Fill=—","Direction=H","UseDPDF=Y")</f>
        <v>0.35</v>
      </c>
      <c r="R27" s="14">
        <f>_xll.BDH("GILD US Equity","IS_AMORT_INTANG_ACQ_REL_BASIC_PS","FQ3 2022","FQ3 2022","Currency=USD","Period=FQ","BEST_FPERIOD_OVERRIDE=FQ","FILING_STATUS=MR","Sort=A","Dates=H","DateFormat=P","Fill=—","Direction=H","UseDPDF=Y")</f>
        <v>0.3</v>
      </c>
      <c r="S27" s="14">
        <f>_xll.BDH("GILD US Equity","IS_AMORT_INTANG_ACQ_REL_BASIC_PS","FQ4 2022","FQ4 2022","Currency=USD","Period=FQ","BEST_FPERIOD_OVERRIDE=FQ","FILING_STATUS=MR","Sort=A","Dates=H","DateFormat=P","Fill=—","Direction=H","UseDPDF=Y")</f>
        <v>0.27</v>
      </c>
      <c r="T27" s="14">
        <f>_xll.BDH("GILD US Equity","IS_AMORT_INTANG_ACQ_REL_BASIC_PS","FQ1 2023","FQ1 2023","Currency=USD","Period=FQ","BEST_FPERIOD_OVERRIDE=FQ","FILING_STATUS=MR","Sort=A","Dates=H","DateFormat=P","Fill=—","Direction=H","UseDPDF=Y")</f>
        <v>0.33550000000000002</v>
      </c>
      <c r="U27" s="14">
        <f>_xll.BDH("GILD US Equity","IS_AMORT_INTANG_ACQ_REL_BASIC_PS","FQ2 2023","FQ2 2023","Currency=USD","Period=FQ","BEST_FPERIOD_OVERRIDE=FQ","FILING_STATUS=MR","Sort=A","Dates=H","DateFormat=P","Fill=—","Direction=H","UseDPDF=Y")</f>
        <v>0.37</v>
      </c>
      <c r="V27" s="14">
        <f>_xll.BDH("GILD US Equity","IS_AMORT_INTANG_ACQ_REL_BASIC_PS","FQ3 2023","FQ3 2023","Currency=USD","Period=FQ","BEST_FPERIOD_OVERRIDE=FQ","FILING_STATUS=MR","Sort=A","Dates=H","DateFormat=P","Fill=—","Direction=H","UseDPDF=Y")</f>
        <v>0.37</v>
      </c>
      <c r="W27" s="14">
        <f>_xll.BDH("GILD US Equity","IS_AMORT_INTANG_ACQ_REL_BASIC_PS","FQ4 2023","FQ4 2023","Currency=USD","Period=FQ","BEST_FPERIOD_OVERRIDE=FQ","FILING_STATUS=MR","Sort=A","Dates=H","DateFormat=P","Fill=—","Direction=H","UseDPDF=Y")</f>
        <v>0.37</v>
      </c>
      <c r="X27" s="14">
        <f>_xll.BDH("GILD US Equity","IS_AMORT_INTANG_ACQ_REL_BASIC_PS","FQ1 2024","FQ1 2024","Currency=USD","Period=FQ","BEST_FPERIOD_OVERRIDE=FQ","FILING_STATUS=MR","Sort=A","Dates=H","DateFormat=P","Fill=—","Direction=H","UseDPDF=Y")</f>
        <v>0.37</v>
      </c>
      <c r="Y27" s="14">
        <f>_xll.BDH("GILD US Equity","IS_AMORT_INTANG_ACQ_REL_BASIC_PS","FQ2 2024","FQ2 2024","Currency=USD","Period=FQ","BEST_FPERIOD_OVERRIDE=FQ","FILING_STATUS=MR","Sort=A","Dates=H","DateFormat=P","Fill=—","Direction=H","UseDPDF=Y")</f>
        <v>0.37</v>
      </c>
      <c r="Z27" s="14">
        <f>_xll.BDH("GILD US Equity","IS_AMORT_INTANG_ACQ_REL_BASIC_PS","FQ3 2024","FQ3 2024","Currency=USD","Period=FQ","BEST_FPERIOD_OVERRIDE=FQ","FILING_STATUS=MR","Sort=A","Dates=H","DateFormat=P","Fill=—","Direction=H","UseDPDF=Y")</f>
        <v>0.37</v>
      </c>
      <c r="AA27" s="14">
        <f>_xll.BDH("GILD US Equity","IS_AMORT_INTANG_ACQ_REL_BASIC_PS","FQ4 2024","FQ4 2024","Currency=USD","Period=FQ","BEST_FPERIOD_OVERRIDE=FQ","FILING_STATUS=MR","Sort=A","Dates=H","DateFormat=P","Fill=—","Direction=H","UseDPDF=Y")</f>
        <v>0.36</v>
      </c>
    </row>
    <row r="28" spans="1:27" x14ac:dyDescent="0.25">
      <c r="A28" s="10" t="s">
        <v>721</v>
      </c>
      <c r="B28" s="10" t="s">
        <v>733</v>
      </c>
      <c r="C28" s="14">
        <f>_xll.BDH("GILD US Equity","IS_AMORT_INTANG_ACQ_REL_DIL_PS","FQ4 2018","FQ4 2018","Currency=USD","Period=FQ","BEST_FPERIOD_OVERRIDE=FQ","FILING_STATUS=MR","Sort=A","Dates=H","DateFormat=P","Fill=—","Direction=H","UseDPDF=Y")</f>
        <v>0.21629999999999999</v>
      </c>
      <c r="D28" s="14">
        <f>_xll.BDH("GILD US Equity","IS_AMORT_INTANG_ACQ_REL_DIL_PS","FQ1 2019","FQ1 2019","Currency=USD","Period=FQ","BEST_FPERIOD_OVERRIDE=FQ","FILING_STATUS=MR","Sort=A","Dates=H","DateFormat=P","Fill=—","Direction=H","UseDPDF=Y")</f>
        <v>0.20269999999999999</v>
      </c>
      <c r="E28" s="14">
        <f>_xll.BDH("GILD US Equity","IS_AMORT_INTANG_ACQ_REL_DIL_PS","FQ2 2019","FQ2 2019","Currency=USD","Period=FQ","BEST_FPERIOD_OVERRIDE=FQ","FILING_STATUS=MR","Sort=A","Dates=H","DateFormat=P","Fill=—","Direction=H","UseDPDF=Y")</f>
        <v>0.1973</v>
      </c>
      <c r="F28" s="14">
        <f>_xll.BDH("GILD US Equity","IS_AMORT_INTANG_ACQ_REL_DIL_PS","FQ3 2019","FQ3 2019","Currency=USD","Period=FQ","BEST_FPERIOD_OVERRIDE=FQ","FILING_STATUS=MR","Sort=A","Dates=H","DateFormat=P","Fill=—","Direction=H","UseDPDF=Y")</f>
        <v>0.19</v>
      </c>
      <c r="G28" s="14">
        <f>_xll.BDH("GILD US Equity","IS_AMORT_INTANG_ACQ_REL_DIL_PS","FQ4 2019","FQ4 2019","Currency=USD","Period=FQ","BEST_FPERIOD_OVERRIDE=FQ","FILING_STATUS=MR","Sort=A","Dates=H","DateFormat=P","Fill=—","Direction=H","UseDPDF=Y")</f>
        <v>0.19</v>
      </c>
      <c r="H28" s="14">
        <f>_xll.BDH("GILD US Equity","IS_AMORT_INTANG_ACQ_REL_DIL_PS","FQ1 2020","FQ1 2020","Currency=USD","Period=FQ","BEST_FPERIOD_OVERRIDE=FQ","FILING_STATUS=MR","Sort=A","Dates=H","DateFormat=P","Fill=—","Direction=H","UseDPDF=Y")</f>
        <v>0.16550000000000001</v>
      </c>
      <c r="I28" s="14">
        <f>_xll.BDH("GILD US Equity","IS_AMORT_INTANG_ACQ_REL_DIL_PS","FQ2 2020","FQ2 2020","Currency=USD","Period=FQ","BEST_FPERIOD_OVERRIDE=FQ","FILING_STATUS=MR","Sort=A","Dates=H","DateFormat=P","Fill=—","Direction=H","UseDPDF=Y")</f>
        <v>0.18</v>
      </c>
      <c r="J28" s="14">
        <f>_xll.BDH("GILD US Equity","IS_AMORT_INTANG_ACQ_REL_DIL_PS","FQ3 2020","FQ3 2020","Currency=USD","Period=FQ","BEST_FPERIOD_OVERRIDE=FQ","FILING_STATUS=MR","Sort=A","Dates=H","DateFormat=P","Fill=—","Direction=H","UseDPDF=Y")</f>
        <v>0.18</v>
      </c>
      <c r="K28" s="14">
        <f>_xll.BDH("GILD US Equity","IS_AMORT_INTANG_ACQ_REL_DIL_PS","FQ4 2020","FQ4 2020","Currency=USD","Period=FQ","BEST_FPERIOD_OVERRIDE=FQ","FILING_STATUS=MR","Sort=A","Dates=H","DateFormat=P","Fill=—","Direction=H","UseDPDF=Y")</f>
        <v>0.26</v>
      </c>
      <c r="L28" s="14">
        <f>_xll.BDH("GILD US Equity","IS_AMORT_INTANG_ACQ_REL_DIL_PS","FQ1 2021","FQ1 2021","Currency=USD","Period=FQ","BEST_FPERIOD_OVERRIDE=FQ","FILING_STATUS=MR","Sort=A","Dates=H","DateFormat=P","Fill=—","Direction=H","UseDPDF=Y")</f>
        <v>0.31680000000000003</v>
      </c>
      <c r="M28" s="14">
        <f>_xll.BDH("GILD US Equity","IS_AMORT_INTANG_ACQ_REL_DIL_PS","FQ2 2021","FQ2 2021","Currency=USD","Period=FQ","BEST_FPERIOD_OVERRIDE=FQ","FILING_STATUS=MR","Sort=A","Dates=H","DateFormat=P","Fill=—","Direction=H","UseDPDF=Y")</f>
        <v>0.35</v>
      </c>
      <c r="N28" s="14">
        <f>_xll.BDH("GILD US Equity","IS_AMORT_INTANG_ACQ_REL_DIL_PS","FQ3 2021","FQ3 2021","Currency=USD","Period=FQ","BEST_FPERIOD_OVERRIDE=FQ","FILING_STATUS=MR","Sort=A","Dates=H","DateFormat=P","Fill=—","Direction=H","UseDPDF=Y")</f>
        <v>0.35</v>
      </c>
      <c r="O28" s="14">
        <f>_xll.BDH("GILD US Equity","IS_AMORT_INTANG_ACQ_REL_DIL_PS","FQ4 2021","FQ4 2021","Currency=USD","Period=FQ","BEST_FPERIOD_OVERRIDE=FQ","FILING_STATUS=MR","Sort=A","Dates=H","DateFormat=P","Fill=—","Direction=H","UseDPDF=Y")</f>
        <v>0.36</v>
      </c>
      <c r="P28" s="14">
        <f>_xll.BDH("GILD US Equity","IS_AMORT_INTANG_ACQ_REL_DIL_PS","FQ1 2022","FQ1 2022","Currency=USD","Period=FQ","BEST_FPERIOD_OVERRIDE=FQ","FILING_STATUS=MR","Sort=A","Dates=H","DateFormat=P","Fill=—","Direction=H","UseDPDF=Y")</f>
        <v>0.375</v>
      </c>
      <c r="Q28" s="14">
        <f>_xll.BDH("GILD US Equity","IS_AMORT_INTANG_ACQ_REL_DIL_PS","FQ2 2022","FQ2 2022","Currency=USD","Period=FQ","BEST_FPERIOD_OVERRIDE=FQ","FILING_STATUS=MR","Sort=A","Dates=H","DateFormat=P","Fill=—","Direction=H","UseDPDF=Y")</f>
        <v>0.35</v>
      </c>
      <c r="R28" s="14">
        <f>_xll.BDH("GILD US Equity","IS_AMORT_INTANG_ACQ_REL_DIL_PS","FQ3 2022","FQ3 2022","Currency=USD","Period=FQ","BEST_FPERIOD_OVERRIDE=FQ","FILING_STATUS=MR","Sort=A","Dates=H","DateFormat=P","Fill=—","Direction=H","UseDPDF=Y")</f>
        <v>0.3</v>
      </c>
      <c r="S28" s="14">
        <f>_xll.BDH("GILD US Equity","IS_AMORT_INTANG_ACQ_REL_DIL_PS","FQ4 2022","FQ4 2022","Currency=USD","Period=FQ","BEST_FPERIOD_OVERRIDE=FQ","FILING_STATUS=MR","Sort=A","Dates=H","DateFormat=P","Fill=—","Direction=H","UseDPDF=Y")</f>
        <v>0.27</v>
      </c>
      <c r="T28" s="14">
        <f>_xll.BDH("GILD US Equity","IS_AMORT_INTANG_ACQ_REL_DIL_PS","FQ1 2023","FQ1 2023","Currency=USD","Period=FQ","BEST_FPERIOD_OVERRIDE=FQ","FILING_STATUS=MR","Sort=A","Dates=H","DateFormat=P","Fill=—","Direction=H","UseDPDF=Y")</f>
        <v>0.33550000000000002</v>
      </c>
      <c r="U28" s="14">
        <f>_xll.BDH("GILD US Equity","IS_AMORT_INTANG_ACQ_REL_DIL_PS","FQ2 2023","FQ2 2023","Currency=USD","Period=FQ","BEST_FPERIOD_OVERRIDE=FQ","FILING_STATUS=MR","Sort=A","Dates=H","DateFormat=P","Fill=—","Direction=H","UseDPDF=Y")</f>
        <v>0.37</v>
      </c>
      <c r="V28" s="14">
        <f>_xll.BDH("GILD US Equity","IS_AMORT_INTANG_ACQ_REL_DIL_PS","FQ3 2023","FQ3 2023","Currency=USD","Period=FQ","BEST_FPERIOD_OVERRIDE=FQ","FILING_STATUS=MR","Sort=A","Dates=H","DateFormat=P","Fill=—","Direction=H","UseDPDF=Y")</f>
        <v>0.37</v>
      </c>
      <c r="W28" s="14">
        <f>_xll.BDH("GILD US Equity","IS_AMORT_INTANG_ACQ_REL_DIL_PS","FQ4 2023","FQ4 2023","Currency=USD","Period=FQ","BEST_FPERIOD_OVERRIDE=FQ","FILING_STATUS=MR","Sort=A","Dates=H","DateFormat=P","Fill=—","Direction=H","UseDPDF=Y")</f>
        <v>0.37</v>
      </c>
      <c r="X28" s="14">
        <f>_xll.BDH("GILD US Equity","IS_AMORT_INTANG_ACQ_REL_DIL_PS","FQ1 2024","FQ1 2024","Currency=USD","Period=FQ","BEST_FPERIOD_OVERRIDE=FQ","FILING_STATUS=MR","Sort=A","Dates=H","DateFormat=P","Fill=—","Direction=H","UseDPDF=Y")</f>
        <v>0.37</v>
      </c>
      <c r="Y28" s="14">
        <f>_xll.BDH("GILD US Equity","IS_AMORT_INTANG_ACQ_REL_DIL_PS","FQ2 2024","FQ2 2024","Currency=USD","Period=FQ","BEST_FPERIOD_OVERRIDE=FQ","FILING_STATUS=MR","Sort=A","Dates=H","DateFormat=P","Fill=—","Direction=H","UseDPDF=Y")</f>
        <v>0.37</v>
      </c>
      <c r="Z28" s="14">
        <f>_xll.BDH("GILD US Equity","IS_AMORT_INTANG_ACQ_REL_DIL_PS","FQ3 2024","FQ3 2024","Currency=USD","Period=FQ","BEST_FPERIOD_OVERRIDE=FQ","FILING_STATUS=MR","Sort=A","Dates=H","DateFormat=P","Fill=—","Direction=H","UseDPDF=Y")</f>
        <v>0.37</v>
      </c>
      <c r="AA28" s="14">
        <f>_xll.BDH("GILD US Equity","IS_AMORT_INTANG_ACQ_REL_DIL_PS","FQ4 2024","FQ4 2024","Currency=USD","Period=FQ","BEST_FPERIOD_OVERRIDE=FQ","FILING_STATUS=MR","Sort=A","Dates=H","DateFormat=P","Fill=—","Direction=H","UseDPDF=Y")</f>
        <v>0.36</v>
      </c>
    </row>
    <row r="29" spans="1:27" x14ac:dyDescent="0.25">
      <c r="A29" s="10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5">
      <c r="A30" s="10" t="s">
        <v>723</v>
      </c>
      <c r="B30" s="10" t="s">
        <v>734</v>
      </c>
      <c r="C30" s="13">
        <f>_xll.BDH("GILD US Equity","IS_AMORT_ACQD_INTANGIBLES_COGS","FQ4 2018","FQ4 2018","Currency=USD","Period=FQ","BEST_FPERIOD_OVERRIDE=FQ","FILING_STATUS=MR","SCALING_FORMAT=MLN","Sort=A","Dates=H","DateFormat=P","Fill=—","Direction=H","UseDPDF=Y")</f>
        <v>301</v>
      </c>
      <c r="D30" s="13">
        <f>_xll.BDH("GILD US Equity","IS_AMORT_ACQD_INTANGIBLES_COGS","FQ1 2019","FQ1 2019","Currency=USD","Period=FQ","BEST_FPERIOD_OVERRIDE=FQ","FILING_STATUS=MR","SCALING_FORMAT=MLN","Sort=A","Dates=H","DateFormat=P","Fill=—","Direction=H","UseDPDF=Y")</f>
        <v>283</v>
      </c>
      <c r="E30" s="13">
        <f>_xll.BDH("GILD US Equity","IS_AMORT_ACQD_INTANGIBLES_COGS","FQ2 2019","FQ2 2019","Currency=USD","Period=FQ","BEST_FPERIOD_OVERRIDE=FQ","FILING_STATUS=MR","SCALING_FORMAT=MLN","Sort=A","Dates=H","DateFormat=P","Fill=—","Direction=H","UseDPDF=Y")</f>
        <v>273</v>
      </c>
      <c r="F30" s="13">
        <f>_xll.BDH("GILD US Equity","IS_AMORT_ACQD_INTANGIBLES_COGS","FQ3 2019","FQ3 2019","Currency=USD","Period=FQ","BEST_FPERIOD_OVERRIDE=FQ","FILING_STATUS=MR","SCALING_FORMAT=MLN","Sort=A","Dates=H","DateFormat=P","Fill=—","Direction=H","UseDPDF=Y")</f>
        <v>266</v>
      </c>
      <c r="G30" s="13">
        <f>_xll.BDH("GILD US Equity","IS_AMORT_ACQD_INTANGIBLES_COGS","FQ4 2019","FQ4 2019","Currency=USD","Period=FQ","BEST_FPERIOD_OVERRIDE=FQ","FILING_STATUS=MR","SCALING_FORMAT=MLN","Sort=A","Dates=H","DateFormat=P","Fill=—","Direction=H","UseDPDF=Y")</f>
        <v>266</v>
      </c>
      <c r="H30" s="13">
        <f>_xll.BDH("GILD US Equity","IS_AMORT_ACQD_INTANGIBLES_COGS","FQ1 2020","FQ1 2020","Currency=USD","Period=FQ","BEST_FPERIOD_OVERRIDE=FQ","FILING_STATUS=MR","SCALING_FORMAT=MLN","Sort=A","Dates=H","DateFormat=P","Fill=—","Direction=H","UseDPDF=Y")</f>
        <v>266</v>
      </c>
      <c r="I30" s="13">
        <f>_xll.BDH("GILD US Equity","IS_AMORT_ACQD_INTANGIBLES_COGS","FQ2 2020","FQ2 2020","Currency=USD","Period=FQ","BEST_FPERIOD_OVERRIDE=FQ","FILING_STATUS=MR","SCALING_FORMAT=MLN","Sort=A","Dates=H","DateFormat=P","Fill=—","Direction=H","UseDPDF=Y")</f>
        <v>266</v>
      </c>
      <c r="J30" s="13">
        <f>_xll.BDH("GILD US Equity","IS_AMORT_ACQD_INTANGIBLES_COGS","FQ3 2020","FQ3 2020","Currency=USD","Period=FQ","BEST_FPERIOD_OVERRIDE=FQ","FILING_STATUS=MR","SCALING_FORMAT=MLN","Sort=A","Dates=H","DateFormat=P","Fill=—","Direction=H","UseDPDF=Y")</f>
        <v>266</v>
      </c>
      <c r="K30" s="13">
        <f>_xll.BDH("GILD US Equity","IS_AMORT_ACQD_INTANGIBLES_COGS","FQ4 2020","FQ4 2020","Currency=USD","Period=FQ","BEST_FPERIOD_OVERRIDE=FQ","FILING_STATUS=MR","SCALING_FORMAT=MLN","Sort=A","Dates=H","DateFormat=P","Fill=—","Direction=H","UseDPDF=Y")</f>
        <v>417</v>
      </c>
      <c r="L30" s="13">
        <f>_xll.BDH("GILD US Equity","IS_AMORT_ACQD_INTANGIBLES_COGS","FQ1 2021","FQ1 2021","Currency=USD","Period=FQ","BEST_FPERIOD_OVERRIDE=FQ","FILING_STATUS=MR","SCALING_FORMAT=MLN","Sort=A","Dates=H","DateFormat=P","Fill=—","Direction=H","UseDPDF=Y")</f>
        <v>506</v>
      </c>
      <c r="M30" s="13">
        <f>_xll.BDH("GILD US Equity","IS_AMORT_ACQD_INTANGIBLES_COGS","FQ2 2021","FQ2 2021","Currency=USD","Period=FQ","BEST_FPERIOD_OVERRIDE=FQ","FILING_STATUS=MR","SCALING_FORMAT=MLN","Sort=A","Dates=H","DateFormat=P","Fill=—","Direction=H","UseDPDF=Y")</f>
        <v>554</v>
      </c>
      <c r="N30" s="13">
        <f>_xll.BDH("GILD US Equity","IS_AMORT_ACQD_INTANGIBLES_COGS","FQ3 2021","FQ3 2021","Currency=USD","Period=FQ","BEST_FPERIOD_OVERRIDE=FQ","FILING_STATUS=MR","SCALING_FORMAT=MLN","Sort=A","Dates=H","DateFormat=P","Fill=—","Direction=H","UseDPDF=Y")</f>
        <v>487</v>
      </c>
      <c r="O30" s="13">
        <f>_xll.BDH("GILD US Equity","IS_AMORT_ACQD_INTANGIBLES_COGS","FQ4 2021","FQ4 2021","Currency=USD","Period=FQ","BEST_FPERIOD_OVERRIDE=FQ","FILING_STATUS=MR","SCALING_FORMAT=MLN","Sort=A","Dates=H","DateFormat=P","Fill=—","Direction=H","UseDPDF=Y")</f>
        <v>516</v>
      </c>
      <c r="P30" s="13">
        <f>_xll.BDH("GILD US Equity","IS_AMORT_ACQD_INTANGIBLES_COGS","FQ1 2022","FQ1 2022","Currency=USD","Period=FQ","BEST_FPERIOD_OVERRIDE=FQ","FILING_STATUS=MR","SCALING_FORMAT=MLN","Sort=A","Dates=H","DateFormat=P","Fill=—","Direction=H","UseDPDF=Y")</f>
        <v>599</v>
      </c>
      <c r="Q30" s="13">
        <f>_xll.BDH("GILD US Equity","IS_AMORT_ACQD_INTANGIBLES_COGS","FQ2 2022","FQ2 2022","Currency=USD","Period=FQ","BEST_FPERIOD_OVERRIDE=FQ","FILING_STATUS=MR","SCALING_FORMAT=MLN","Sort=A","Dates=H","DateFormat=P","Fill=—","Direction=H","UseDPDF=Y")</f>
        <v>556</v>
      </c>
      <c r="R30" s="13">
        <f>_xll.BDH("GILD US Equity","IS_AMORT_ACQD_INTANGIBLES_COGS","FQ3 2022","FQ3 2022","Currency=USD","Period=FQ","BEST_FPERIOD_OVERRIDE=FQ","FILING_STATUS=MR","SCALING_FORMAT=MLN","Sort=A","Dates=H","DateFormat=P","Fill=—","Direction=H","UseDPDF=Y")</f>
        <v>472</v>
      </c>
      <c r="S30" s="13">
        <f>_xll.BDH("GILD US Equity","IS_AMORT_ACQD_INTANGIBLES_COGS","FQ4 2022","FQ4 2022","Currency=USD","Period=FQ","BEST_FPERIOD_OVERRIDE=FQ","FILING_STATUS=MR","SCALING_FORMAT=MLN","Sort=A","Dates=H","DateFormat=P","Fill=—","Direction=H","UseDPDF=Y")</f>
        <v>428</v>
      </c>
      <c r="T30" s="13">
        <f>_xll.BDH("GILD US Equity","IS_AMORT_ACQD_INTANGIBLES_COGS","FQ1 2023","FQ1 2023","Currency=USD","Period=FQ","BEST_FPERIOD_OVERRIDE=FQ","FILING_STATUS=MR","SCALING_FORMAT=MLN","Sort=A","Dates=H","DateFormat=P","Fill=—","Direction=H","UseDPDF=Y")</f>
        <v>530</v>
      </c>
      <c r="U30" s="13">
        <f>_xll.BDH("GILD US Equity","IS_AMORT_ACQD_INTANGIBLES_COGS","FQ2 2023","FQ2 2023","Currency=USD","Period=FQ","BEST_FPERIOD_OVERRIDE=FQ","FILING_STATUS=MR","SCALING_FORMAT=MLN","Sort=A","Dates=H","DateFormat=P","Fill=—","Direction=H","UseDPDF=Y")</f>
        <v>581</v>
      </c>
      <c r="V30" s="13">
        <f>_xll.BDH("GILD US Equity","IS_AMORT_ACQD_INTANGIBLES_COGS","FQ3 2023","FQ3 2023","Currency=USD","Period=FQ","BEST_FPERIOD_OVERRIDE=FQ","FILING_STATUS=MR","SCALING_FORMAT=MLN","Sort=A","Dates=H","DateFormat=P","Fill=—","Direction=H","UseDPDF=Y")</f>
        <v>581</v>
      </c>
      <c r="W30" s="13">
        <f>_xll.BDH("GILD US Equity","IS_AMORT_ACQD_INTANGIBLES_COGS","FQ4 2023","FQ4 2023","Currency=USD","Period=FQ","BEST_FPERIOD_OVERRIDE=FQ","FILING_STATUS=MR","SCALING_FORMAT=MLN","Sort=A","Dates=H","DateFormat=P","Fill=—","Direction=H","UseDPDF=Y")</f>
        <v>580</v>
      </c>
      <c r="X30" s="13">
        <f>_xll.BDH("GILD US Equity","IS_AMORT_ACQD_INTANGIBLES_COGS","FQ1 2024","FQ1 2024","Currency=USD","Period=FQ","BEST_FPERIOD_OVERRIDE=FQ","FILING_STATUS=MR","SCALING_FORMAT=MLN","Sort=A","Dates=H","DateFormat=P","Fill=—","Direction=H","UseDPDF=Y")</f>
        <v>579</v>
      </c>
      <c r="Y30" s="13">
        <f>_xll.BDH("GILD US Equity","IS_AMORT_ACQD_INTANGIBLES_COGS","FQ2 2024","FQ2 2024","Currency=USD","Period=FQ","BEST_FPERIOD_OVERRIDE=FQ","FILING_STATUS=MR","SCALING_FORMAT=MLN","Sort=A","Dates=H","DateFormat=P","Fill=—","Direction=H","UseDPDF=Y")</f>
        <v>579</v>
      </c>
      <c r="Z30" s="13">
        <f>_xll.BDH("GILD US Equity","IS_AMORT_ACQD_INTANGIBLES_COGS","FQ3 2024","FQ3 2024","Currency=USD","Period=FQ","BEST_FPERIOD_OVERRIDE=FQ","FILING_STATUS=MR","SCALING_FORMAT=MLN","Sort=A","Dates=H","DateFormat=P","Fill=—","Direction=H","UseDPDF=Y")</f>
        <v>579</v>
      </c>
      <c r="AA30" s="13">
        <f>_xll.BDH("GILD US Equity","IS_AMORT_ACQD_INTANGIBLES_COGS","FQ4 2024","FQ4 2024","Currency=USD","Period=FQ","BEST_FPERIOD_OVERRIDE=FQ","FILING_STATUS=MR","SCALING_FORMAT=MLN","Sort=A","Dates=H","DateFormat=P","Fill=—","Direction=H","UseDPDF=Y")</f>
        <v>579</v>
      </c>
    </row>
    <row r="31" spans="1:27" x14ac:dyDescent="0.25">
      <c r="A31" s="10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5">
      <c r="A32" s="10" t="s">
        <v>735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x14ac:dyDescent="0.25">
      <c r="A33" s="10" t="s">
        <v>715</v>
      </c>
      <c r="B33" s="10" t="s">
        <v>736</v>
      </c>
      <c r="C33" s="13">
        <f>_xll.BDH("GILD US Equity","IS_AMORT_OF_TOT_INTANG_PRETX","FQ4 2018","FQ4 2018","Currency=USD","Period=FQ","BEST_FPERIOD_OVERRIDE=FQ","FILING_STATUS=MR","SCALING_FORMAT=MLN","Sort=A","Dates=H","DateFormat=P","Fill=—","Direction=H","UseDPDF=Y")</f>
        <v>301</v>
      </c>
      <c r="D33" s="13">
        <f>_xll.BDH("GILD US Equity","IS_AMORT_OF_TOT_INTANG_PRETX","FQ1 2019","FQ1 2019","Currency=USD","Period=FQ","BEST_FPERIOD_OVERRIDE=FQ","FILING_STATUS=MR","SCALING_FORMAT=MLN","Sort=A","Dates=H","DateFormat=P","Fill=—","Direction=H","UseDPDF=Y")</f>
        <v>299</v>
      </c>
      <c r="E33" s="13">
        <f>_xll.BDH("GILD US Equity","IS_AMORT_OF_TOT_INTANG_PRETX","FQ2 2019","FQ2 2019","Currency=USD","Period=FQ","BEST_FPERIOD_OVERRIDE=FQ","FILING_STATUS=MR","SCALING_FORMAT=MLN","Sort=A","Dates=H","DateFormat=P","Fill=—","Direction=H","UseDPDF=Y")</f>
        <v>288</v>
      </c>
      <c r="F33" s="13">
        <f>_xll.BDH("GILD US Equity","IS_AMORT_OF_TOT_INTANG_PRETX","FQ3 2019","FQ3 2019","Currency=USD","Period=FQ","BEST_FPERIOD_OVERRIDE=FQ","FILING_STATUS=MR","SCALING_FORMAT=MLN","Sort=A","Dates=H","DateFormat=P","Fill=—","Direction=H","UseDPDF=Y")</f>
        <v>281</v>
      </c>
      <c r="G33" s="13">
        <f>_xll.BDH("GILD US Equity","IS_AMORT_OF_TOT_INTANG_PRETX","FQ4 2019","FQ4 2019","Currency=USD","Period=FQ","BEST_FPERIOD_OVERRIDE=FQ","FILING_STATUS=MR","SCALING_FORMAT=MLN","Sort=A","Dates=H","DateFormat=P","Fill=—","Direction=H","UseDPDF=Y")</f>
        <v>281</v>
      </c>
      <c r="H33" s="13">
        <f>_xll.BDH("GILD US Equity","IS_AMORT_OF_TOT_INTANG_PRETX","FQ1 2020","FQ1 2020","Currency=USD","Period=FQ","BEST_FPERIOD_OVERRIDE=FQ","FILING_STATUS=MR","SCALING_FORMAT=MLN","Sort=A","Dates=H","DateFormat=P","Fill=—","Direction=H","UseDPDF=Y")</f>
        <v>281</v>
      </c>
      <c r="I33" s="13">
        <f>_xll.BDH("GILD US Equity","IS_AMORT_OF_TOT_INTANG_PRETX","FQ2 2020","FQ2 2020","Currency=USD","Period=FQ","BEST_FPERIOD_OVERRIDE=FQ","FILING_STATUS=MR","SCALING_FORMAT=MLN","Sort=A","Dates=H","DateFormat=P","Fill=—","Direction=H","UseDPDF=Y")</f>
        <v>281</v>
      </c>
      <c r="J33" s="13">
        <f>_xll.BDH("GILD US Equity","IS_AMORT_OF_TOT_INTANG_PRETX","FQ3 2020","FQ3 2020","Currency=USD","Period=FQ","BEST_FPERIOD_OVERRIDE=FQ","FILING_STATUS=MR","SCALING_FORMAT=MLN","Sort=A","Dates=H","DateFormat=P","Fill=—","Direction=H","UseDPDF=Y")</f>
        <v>282</v>
      </c>
      <c r="K33" s="13">
        <f>_xll.BDH("GILD US Equity","IS_AMORT_OF_TOT_INTANG_PRETX","FQ4 2020","FQ4 2020","Currency=USD","Period=FQ","BEST_FPERIOD_OVERRIDE=FQ","FILING_STATUS=MR","SCALING_FORMAT=MLN","Sort=A","Dates=H","DateFormat=P","Fill=—","Direction=H","UseDPDF=Y")</f>
        <v>348</v>
      </c>
      <c r="L33" s="13">
        <f>_xll.BDH("GILD US Equity","IS_AMORT_OF_TOT_INTANG_PRETX","FQ1 2021","FQ1 2021","Currency=USD","Period=FQ","BEST_FPERIOD_OVERRIDE=FQ","FILING_STATUS=MR","SCALING_FORMAT=MLN","Sort=A","Dates=H","DateFormat=P","Fill=—","Direction=H","UseDPDF=Y")</f>
        <v>395</v>
      </c>
      <c r="M33" s="13">
        <f>_xll.BDH("GILD US Equity","IS_AMORT_OF_TOT_INTANG_PRETX","FQ2 2021","FQ2 2021","Currency=USD","Period=FQ","BEST_FPERIOD_OVERRIDE=FQ","FILING_STATUS=MR","SCALING_FORMAT=MLN","Sort=A","Dates=H","DateFormat=P","Fill=—","Direction=H","UseDPDF=Y")</f>
        <v>440</v>
      </c>
      <c r="N33" s="13">
        <f>_xll.BDH("GILD US Equity","IS_AMORT_OF_TOT_INTANG_PRETX","FQ3 2021","FQ3 2021","Currency=USD","Period=FQ","BEST_FPERIOD_OVERRIDE=FQ","FILING_STATUS=MR","SCALING_FORMAT=MLN","Sort=A","Dates=H","DateFormat=P","Fill=—","Direction=H","UseDPDF=Y")</f>
        <v>441</v>
      </c>
      <c r="O33" s="13">
        <f>_xll.BDH("GILD US Equity","IS_AMORT_OF_TOT_INTANG_PRETX","FQ4 2021","FQ4 2021","Currency=USD","Period=FQ","BEST_FPERIOD_OVERRIDE=FQ","FILING_STATUS=MR","SCALING_FORMAT=MLN","Sort=A","Dates=H","DateFormat=P","Fill=—","Direction=H","UseDPDF=Y")</f>
        <v>445</v>
      </c>
      <c r="P33" s="13">
        <f>_xll.BDH("GILD US Equity","IS_AMORT_OF_TOT_INTANG_PRETX","FQ1 2022","FQ1 2022","Currency=USD","Period=FQ","BEST_FPERIOD_OVERRIDE=FQ","FILING_STATUS=MR","SCALING_FORMAT=MLN","Sort=A","Dates=H","DateFormat=P","Fill=—","Direction=H","UseDPDF=Y")</f>
        <v>445</v>
      </c>
      <c r="Q33" s="13">
        <f>_xll.BDH("GILD US Equity","IS_AMORT_OF_TOT_INTANG_PRETX","FQ2 2022","FQ2 2022","Currency=USD","Period=FQ","BEST_FPERIOD_OVERRIDE=FQ","FILING_STATUS=MR","SCALING_FORMAT=MLN","Sort=A","Dates=H","DateFormat=P","Fill=—","Direction=H","UseDPDF=Y")</f>
        <v>556</v>
      </c>
      <c r="R33" s="13">
        <f>_xll.BDH("GILD US Equity","IS_AMORT_OF_TOT_INTANG_PRETX","FQ3 2022","FQ3 2022","Currency=USD","Period=FQ","BEST_FPERIOD_OVERRIDE=FQ","FILING_STATUS=MR","SCALING_FORMAT=MLN","Sort=A","Dates=H","DateFormat=P","Fill=—","Direction=H","UseDPDF=Y")</f>
        <v>472</v>
      </c>
      <c r="S33" s="13">
        <f>_xll.BDH("GILD US Equity","IS_AMORT_OF_TOT_INTANG_PRETX","FQ4 2022","FQ4 2022","Currency=USD","Period=FQ","BEST_FPERIOD_OVERRIDE=FQ","FILING_STATUS=MR","SCALING_FORMAT=MLN","Sort=A","Dates=H","DateFormat=P","Fill=—","Direction=H","UseDPDF=Y")</f>
        <v>445</v>
      </c>
      <c r="T33" s="13">
        <f>_xll.BDH("GILD US Equity","IS_AMORT_OF_TOT_INTANG_PRETX","FQ1 2023","FQ1 2023","Currency=USD","Period=FQ","BEST_FPERIOD_OVERRIDE=FQ","FILING_STATUS=MR","SCALING_FORMAT=MLN","Sort=A","Dates=H","DateFormat=P","Fill=—","Direction=H","UseDPDF=Y")</f>
        <v>546</v>
      </c>
      <c r="U33" s="13">
        <f>_xll.BDH("GILD US Equity","IS_AMORT_OF_TOT_INTANG_PRETX","FQ2 2023","FQ2 2023","Currency=USD","Period=FQ","BEST_FPERIOD_OVERRIDE=FQ","FILING_STATUS=MR","SCALING_FORMAT=MLN","Sort=A","Dates=H","DateFormat=P","Fill=—","Direction=H","UseDPDF=Y")</f>
        <v>598</v>
      </c>
      <c r="V33" s="13">
        <f>_xll.BDH("GILD US Equity","IS_AMORT_OF_TOT_INTANG_PRETX","FQ3 2023","FQ3 2023","Currency=USD","Period=FQ","BEST_FPERIOD_OVERRIDE=FQ","FILING_STATUS=MR","SCALING_FORMAT=MLN","Sort=A","Dates=H","DateFormat=P","Fill=—","Direction=H","UseDPDF=Y")</f>
        <v>598</v>
      </c>
      <c r="W33" s="13">
        <f>_xll.BDH("GILD US Equity","IS_AMORT_OF_TOT_INTANG_PRETX","FQ4 2023","FQ4 2023","Currency=USD","Period=FQ","BEST_FPERIOD_OVERRIDE=FQ","FILING_STATUS=MR","SCALING_FORMAT=MLN","Sort=A","Dates=H","DateFormat=P","Fill=—","Direction=H","UseDPDF=Y")</f>
        <v>597</v>
      </c>
      <c r="X33" s="13">
        <f>_xll.BDH("GILD US Equity","IS_AMORT_OF_TOT_INTANG_PRETX","FQ1 2024","FQ1 2024","Currency=USD","Period=FQ","BEST_FPERIOD_OVERRIDE=FQ","FILING_STATUS=MR","SCALING_FORMAT=MLN","Sort=A","Dates=H","DateFormat=P","Fill=—","Direction=H","UseDPDF=Y")</f>
        <v>596</v>
      </c>
      <c r="Y33" s="13">
        <f>_xll.BDH("GILD US Equity","IS_AMORT_OF_TOT_INTANG_PRETX","FQ2 2024","FQ2 2024","Currency=USD","Period=FQ","BEST_FPERIOD_OVERRIDE=FQ","FILING_STATUS=MR","SCALING_FORMAT=MLN","Sort=A","Dates=H","DateFormat=P","Fill=—","Direction=H","UseDPDF=Y")</f>
        <v>596</v>
      </c>
      <c r="Z33" s="13">
        <f>_xll.BDH("GILD US Equity","IS_AMORT_OF_TOT_INTANG_PRETX","FQ3 2024","FQ3 2024","Currency=USD","Period=FQ","BEST_FPERIOD_OVERRIDE=FQ","FILING_STATUS=MR","SCALING_FORMAT=MLN","Sort=A","Dates=H","DateFormat=P","Fill=—","Direction=H","UseDPDF=Y")</f>
        <v>596</v>
      </c>
      <c r="AA33" s="13">
        <f>_xll.BDH("GILD US Equity","IS_AMORT_OF_TOT_INTANG_PRETX","FQ4 2024","FQ4 2024","Currency=USD","Period=FQ","BEST_FPERIOD_OVERRIDE=FQ","FILING_STATUS=MR","SCALING_FORMAT=MLN","Sort=A","Dates=H","DateFormat=P","Fill=—","Direction=H","UseDPDF=Y")</f>
        <v>598</v>
      </c>
    </row>
    <row r="34" spans="1:27" x14ac:dyDescent="0.25">
      <c r="A34" s="10" t="s">
        <v>717</v>
      </c>
      <c r="B34" s="10" t="s">
        <v>737</v>
      </c>
      <c r="C34" s="13">
        <f>_xll.BDH("GILD US Equity","IS_AMORT_OF_TOT_INTANG_AFT_TAX","FQ4 2018","FQ4 2018","Currency=USD","Period=FQ","BEST_FPERIOD_OVERRIDE=FQ","FILING_STATUS=MR","SCALING_FORMAT=MLN","Sort=A","Dates=H","DateFormat=P","Fill=—","Direction=H","UseDPDF=Y")</f>
        <v>281</v>
      </c>
      <c r="D34" s="13">
        <f>_xll.BDH("GILD US Equity","IS_AMORT_OF_TOT_INTANG_AFT_TAX","FQ1 2019","FQ1 2019","Currency=USD","Period=FQ","BEST_FPERIOD_OVERRIDE=FQ","FILING_STATUS=MR","SCALING_FORMAT=MLN","Sort=A","Dates=H","DateFormat=P","Fill=—","Direction=H","UseDPDF=Y")</f>
        <v>260</v>
      </c>
      <c r="E34" s="13">
        <f>_xll.BDH("GILD US Equity","IS_AMORT_OF_TOT_INTANG_AFT_TAX","FQ2 2019","FQ2 2019","Currency=USD","Period=FQ","BEST_FPERIOD_OVERRIDE=FQ","FILING_STATUS=MR","SCALING_FORMAT=MLN","Sort=A","Dates=H","DateFormat=P","Fill=—","Direction=H","UseDPDF=Y")</f>
        <v>252</v>
      </c>
      <c r="F34" s="13">
        <f>_xll.BDH("GILD US Equity","IS_AMORT_OF_TOT_INTANG_AFT_TAX","FQ3 2019","FQ3 2019","Currency=USD","Period=FQ","BEST_FPERIOD_OVERRIDE=FQ","FILING_STATUS=MR","SCALING_FORMAT=MLN","Sort=A","Dates=H","DateFormat=P","Fill=—","Direction=H","UseDPDF=Y")</f>
        <v>247</v>
      </c>
      <c r="G34" s="13">
        <f>_xll.BDH("GILD US Equity","IS_AMORT_OF_TOT_INTANG_AFT_TAX","FQ4 2019","FQ4 2019","Currency=USD","Period=FQ","BEST_FPERIOD_OVERRIDE=FQ","FILING_STATUS=MR","SCALING_FORMAT=MLN","Sort=A","Dates=H","DateFormat=P","Fill=—","Direction=H","UseDPDF=Y")</f>
        <v>247</v>
      </c>
      <c r="H34" s="13">
        <f>_xll.BDH("GILD US Equity","IS_AMORT_OF_TOT_INTANG_AFT_TAX","FQ1 2020","FQ1 2020","Currency=USD","Period=FQ","BEST_FPERIOD_OVERRIDE=FQ","FILING_STATUS=MR","SCALING_FORMAT=MLN","Sort=A","Dates=H","DateFormat=P","Fill=—","Direction=H","UseDPDF=Y")</f>
        <v>228.6</v>
      </c>
      <c r="I34" s="13">
        <f>_xll.BDH("GILD US Equity","IS_AMORT_OF_TOT_INTANG_AFT_TAX","FQ2 2020","FQ2 2020","Currency=USD","Period=FQ","BEST_FPERIOD_OVERRIDE=FQ","FILING_STATUS=MR","SCALING_FORMAT=MLN","Sort=A","Dates=H","DateFormat=P","Fill=—","Direction=H","UseDPDF=Y")</f>
        <v>224</v>
      </c>
      <c r="J34" s="13">
        <f>_xll.BDH("GILD US Equity","IS_AMORT_OF_TOT_INTANG_AFT_TAX","FQ3 2020","FQ3 2020","Currency=USD","Period=FQ","BEST_FPERIOD_OVERRIDE=FQ","FILING_STATUS=MR","SCALING_FORMAT=MLN","Sort=A","Dates=H","DateFormat=P","Fill=—","Direction=H","UseDPDF=Y")</f>
        <v>225</v>
      </c>
      <c r="K34" s="13">
        <f>_xll.BDH("GILD US Equity","IS_AMORT_OF_TOT_INTANG_AFT_TAX","FQ4 2020","FQ4 2020","Currency=USD","Period=FQ","BEST_FPERIOD_OVERRIDE=FQ","FILING_STATUS=MR","SCALING_FORMAT=MLN","Sort=A","Dates=H","DateFormat=P","Fill=—","Direction=H","UseDPDF=Y")</f>
        <v>329</v>
      </c>
      <c r="L34" s="13">
        <f>_xll.BDH("GILD US Equity","IS_AMORT_OF_TOT_INTANG_AFT_TAX","FQ1 2021","FQ1 2021","Currency=USD","Period=FQ","BEST_FPERIOD_OVERRIDE=FQ","FILING_STATUS=MR","SCALING_FORMAT=MLN","Sort=A","Dates=H","DateFormat=P","Fill=—","Direction=H","UseDPDF=Y")</f>
        <v>399.74</v>
      </c>
      <c r="M34" s="13">
        <f>_xll.BDH("GILD US Equity","IS_AMORT_OF_TOT_INTANG_AFT_TAX","FQ2 2021","FQ2 2021","Currency=USD","Period=FQ","BEST_FPERIOD_OVERRIDE=FQ","FILING_STATUS=MR","SCALING_FORMAT=MLN","Sort=A","Dates=H","DateFormat=P","Fill=—","Direction=H","UseDPDF=Y")</f>
        <v>446</v>
      </c>
      <c r="N34" s="13">
        <f>_xll.BDH("GILD US Equity","IS_AMORT_OF_TOT_INTANG_AFT_TAX","FQ3 2021","FQ3 2021","Currency=USD","Period=FQ","BEST_FPERIOD_OVERRIDE=FQ","FILING_STATUS=MR","SCALING_FORMAT=MLN","Sort=A","Dates=H","DateFormat=P","Fill=—","Direction=H","UseDPDF=Y")</f>
        <v>348.39</v>
      </c>
      <c r="O34" s="13">
        <f>_xll.BDH("GILD US Equity","IS_AMORT_OF_TOT_INTANG_AFT_TAX","FQ4 2021","FQ4 2021","Currency=USD","Period=FQ","BEST_FPERIOD_OVERRIDE=FQ","FILING_STATUS=MR","SCALING_FORMAT=MLN","Sort=A","Dates=H","DateFormat=P","Fill=—","Direction=H","UseDPDF=Y")</f>
        <v>449</v>
      </c>
      <c r="P34" s="13">
        <f>_xll.BDH("GILD US Equity","IS_AMORT_OF_TOT_INTANG_AFT_TAX","FQ1 2022","FQ1 2022","Currency=USD","Period=FQ","BEST_FPERIOD_OVERRIDE=FQ","FILING_STATUS=MR","SCALING_FORMAT=MLN","Sort=A","Dates=H","DateFormat=P","Fill=—","Direction=H","UseDPDF=Y")</f>
        <v>473.21</v>
      </c>
      <c r="Q34" s="13">
        <f>_xll.BDH("GILD US Equity","IS_AMORT_OF_TOT_INTANG_AFT_TAX","FQ2 2022","FQ2 2022","Currency=USD","Period=FQ","BEST_FPERIOD_OVERRIDE=FQ","FILING_STATUS=MR","SCALING_FORMAT=MLN","Sort=A","Dates=H","DateFormat=P","Fill=—","Direction=H","UseDPDF=Y")</f>
        <v>441</v>
      </c>
      <c r="R34" s="13">
        <f>_xll.BDH("GILD US Equity","IS_AMORT_OF_TOT_INTANG_AFT_TAX","FQ3 2022","FQ3 2022","Currency=USD","Period=FQ","BEST_FPERIOD_OVERRIDE=FQ","FILING_STATUS=MR","SCALING_FORMAT=MLN","Sort=A","Dates=H","DateFormat=P","Fill=—","Direction=H","UseDPDF=Y")</f>
        <v>372.88</v>
      </c>
      <c r="S34" s="13">
        <f>_xll.BDH("GILD US Equity","IS_AMORT_OF_TOT_INTANG_AFT_TAX","FQ4 2022","FQ4 2022","Currency=USD","Period=FQ","BEST_FPERIOD_OVERRIDE=FQ","FILING_STATUS=MR","SCALING_FORMAT=MLN","Sort=A","Dates=H","DateFormat=P","Fill=—","Direction=H","UseDPDF=Y")</f>
        <v>346</v>
      </c>
      <c r="T34" s="13">
        <f>_xll.BDH("GILD US Equity","IS_AMORT_OF_TOT_INTANG_AFT_TAX","FQ1 2023","FQ1 2023","Currency=USD","Period=FQ","BEST_FPERIOD_OVERRIDE=FQ","FILING_STATUS=MR","SCALING_FORMAT=MLN","Sort=A","Dates=H","DateFormat=P","Fill=—","Direction=H","UseDPDF=Y")</f>
        <v>418.7</v>
      </c>
      <c r="U34" s="13">
        <f>_xll.BDH("GILD US Equity","IS_AMORT_OF_TOT_INTANG_AFT_TAX","FQ2 2023","FQ2 2023","Currency=USD","Period=FQ","BEST_FPERIOD_OVERRIDE=FQ","FILING_STATUS=MR","SCALING_FORMAT=MLN","Sort=A","Dates=H","DateFormat=P","Fill=—","Direction=H","UseDPDF=Y")</f>
        <v>461</v>
      </c>
      <c r="V34" s="13">
        <f>_xll.BDH("GILD US Equity","IS_AMORT_OF_TOT_INTANG_AFT_TAX","FQ3 2023","FQ3 2023","Currency=USD","Period=FQ","BEST_FPERIOD_OVERRIDE=FQ","FILING_STATUS=MR","SCALING_FORMAT=MLN","Sort=A","Dates=H","DateFormat=P","Fill=—","Direction=H","UseDPDF=Y")</f>
        <v>500.78989999999999</v>
      </c>
      <c r="W34" s="13">
        <f>_xll.BDH("GILD US Equity","IS_AMORT_OF_TOT_INTANG_AFT_TAX","FQ4 2023","FQ4 2023","Currency=USD","Period=FQ","BEST_FPERIOD_OVERRIDE=FQ","FILING_STATUS=MR","SCALING_FORMAT=MLN","Sort=A","Dates=H","DateFormat=P","Fill=—","Direction=H","UseDPDF=Y")</f>
        <v>460</v>
      </c>
      <c r="X34" s="13">
        <f>_xll.BDH("GILD US Equity","IS_AMORT_OF_TOT_INTANG_AFT_TAX","FQ1 2024","FQ1 2024","Currency=USD","Period=FQ","BEST_FPERIOD_OVERRIDE=FQ","FILING_STATUS=MR","SCALING_FORMAT=MLN","Sort=A","Dates=H","DateFormat=P","Fill=—","Direction=H","UseDPDF=Y")</f>
        <v>458</v>
      </c>
      <c r="Y34" s="13">
        <f>_xll.BDH("GILD US Equity","IS_AMORT_OF_TOT_INTANG_AFT_TAX","FQ2 2024","FQ2 2024","Currency=USD","Period=FQ","BEST_FPERIOD_OVERRIDE=FQ","FILING_STATUS=MR","SCALING_FORMAT=MLN","Sort=A","Dates=H","DateFormat=P","Fill=—","Direction=H","UseDPDF=Y")</f>
        <v>516.97630000000004</v>
      </c>
      <c r="Z34" s="13">
        <f>_xll.BDH("GILD US Equity","IS_AMORT_OF_TOT_INTANG_AFT_TAX","FQ3 2024","FQ3 2024","Currency=USD","Period=FQ","BEST_FPERIOD_OVERRIDE=FQ","FILING_STATUS=MR","SCALING_FORMAT=MLN","Sort=A","Dates=H","DateFormat=P","Fill=—","Direction=H","UseDPDF=Y")</f>
        <v>453.16899999999998</v>
      </c>
      <c r="AA34" s="13">
        <f>_xll.BDH("GILD US Equity","IS_AMORT_OF_TOT_INTANG_AFT_TAX","FQ4 2024","FQ4 2024","Currency=USD","Period=FQ","BEST_FPERIOD_OVERRIDE=FQ","FILING_STATUS=MR","SCALING_FORMAT=MLN","Sort=A","Dates=H","DateFormat=P","Fill=—","Direction=H","UseDPDF=Y")</f>
        <v>486.4563</v>
      </c>
    </row>
    <row r="35" spans="1:27" x14ac:dyDescent="0.25">
      <c r="A35" s="10" t="s">
        <v>719</v>
      </c>
      <c r="B35" s="10" t="s">
        <v>738</v>
      </c>
      <c r="C35" s="14">
        <f>_xll.BDH("GILD US Equity","IS_AMORT_OF_TOT_INTANG_P_BAS_SH","FQ4 2018","FQ4 2018","Currency=USD","Period=FQ","BEST_FPERIOD_OVERRIDE=FQ","FILING_STATUS=MR","Sort=A","Dates=H","DateFormat=P","Fill=—","Direction=H","UseDPDF=Y")</f>
        <v>0.22</v>
      </c>
      <c r="D35" s="14">
        <f>_xll.BDH("GILD US Equity","IS_AMORT_OF_TOT_INTANG_P_BAS_SH","FQ1 2019","FQ1 2019","Currency=USD","Period=FQ","BEST_FPERIOD_OVERRIDE=FQ","FILING_STATUS=MR","Sort=A","Dates=H","DateFormat=P","Fill=—","Direction=H","UseDPDF=Y")</f>
        <v>0.2</v>
      </c>
      <c r="E35" s="14">
        <f>_xll.BDH("GILD US Equity","IS_AMORT_OF_TOT_INTANG_P_BAS_SH","FQ2 2019","FQ2 2019","Currency=USD","Period=FQ","BEST_FPERIOD_OVERRIDE=FQ","FILING_STATUS=MR","Sort=A","Dates=H","DateFormat=P","Fill=—","Direction=H","UseDPDF=Y")</f>
        <v>0.2</v>
      </c>
      <c r="F35" s="14">
        <f>_xll.BDH("GILD US Equity","IS_AMORT_OF_TOT_INTANG_P_BAS_SH","FQ3 2019","FQ3 2019","Currency=USD","Period=FQ","BEST_FPERIOD_OVERRIDE=FQ","FILING_STATUS=MR","Sort=A","Dates=H","DateFormat=P","Fill=—","Direction=H","UseDPDF=Y")</f>
        <v>0.19</v>
      </c>
      <c r="G35" s="14">
        <f>_xll.BDH("GILD US Equity","IS_AMORT_OF_TOT_INTANG_P_BAS_SH","FQ4 2019","FQ4 2019","Currency=USD","Period=FQ","BEST_FPERIOD_OVERRIDE=FQ","FILING_STATUS=MR","Sort=A","Dates=H","DateFormat=P","Fill=—","Direction=H","UseDPDF=Y")</f>
        <v>0.19</v>
      </c>
      <c r="H35" s="14">
        <f>_xll.BDH("GILD US Equity","IS_AMORT_OF_TOT_INTANG_P_BAS_SH","FQ1 2020","FQ1 2020","Currency=USD","Period=FQ","BEST_FPERIOD_OVERRIDE=FQ","FILING_STATUS=MR","Sort=A","Dates=H","DateFormat=P","Fill=—","Direction=H","UseDPDF=Y")</f>
        <v>0.18</v>
      </c>
      <c r="I35" s="14">
        <f>_xll.BDH("GILD US Equity","IS_AMORT_OF_TOT_INTANG_P_BAS_SH","FQ2 2020","FQ2 2020","Currency=USD","Period=FQ","BEST_FPERIOD_OVERRIDE=FQ","FILING_STATUS=MR","Sort=A","Dates=H","DateFormat=P","Fill=—","Direction=H","UseDPDF=Y")</f>
        <v>0.18</v>
      </c>
      <c r="J35" s="14">
        <f>_xll.BDH("GILD US Equity","IS_AMORT_OF_TOT_INTANG_P_BAS_SH","FQ3 2020","FQ3 2020","Currency=USD","Period=FQ","BEST_FPERIOD_OVERRIDE=FQ","FILING_STATUS=MR","Sort=A","Dates=H","DateFormat=P","Fill=—","Direction=H","UseDPDF=Y")</f>
        <v>0.18</v>
      </c>
      <c r="K35" s="14">
        <f>_xll.BDH("GILD US Equity","IS_AMORT_OF_TOT_INTANG_P_BAS_SH","FQ4 2020","FQ4 2020","Currency=USD","Period=FQ","BEST_FPERIOD_OVERRIDE=FQ","FILING_STATUS=MR","Sort=A","Dates=H","DateFormat=P","Fill=—","Direction=H","UseDPDF=Y")</f>
        <v>0.26</v>
      </c>
      <c r="L35" s="14">
        <f>_xll.BDH("GILD US Equity","IS_AMORT_OF_TOT_INTANG_P_BAS_SH","FQ1 2021","FQ1 2021","Currency=USD","Period=FQ","BEST_FPERIOD_OVERRIDE=FQ","FILING_STATUS=MR","Sort=A","Dates=H","DateFormat=P","Fill=—","Direction=H","UseDPDF=Y")</f>
        <v>0.31830000000000003</v>
      </c>
      <c r="M35" s="14">
        <f>_xll.BDH("GILD US Equity","IS_AMORT_OF_TOT_INTANG_P_BAS_SH","FQ2 2021","FQ2 2021","Currency=USD","Period=FQ","BEST_FPERIOD_OVERRIDE=FQ","FILING_STATUS=MR","Sort=A","Dates=H","DateFormat=P","Fill=—","Direction=H","UseDPDF=Y")</f>
        <v>0.35</v>
      </c>
      <c r="N35" s="14">
        <f>_xll.BDH("GILD US Equity","IS_AMORT_OF_TOT_INTANG_P_BAS_SH","FQ3 2021","FQ3 2021","Currency=USD","Period=FQ","BEST_FPERIOD_OVERRIDE=FQ","FILING_STATUS=MR","Sort=A","Dates=H","DateFormat=P","Fill=—","Direction=H","UseDPDF=Y")</f>
        <v>0.27739999999999998</v>
      </c>
      <c r="O35" s="14">
        <f>_xll.BDH("GILD US Equity","IS_AMORT_OF_TOT_INTANG_P_BAS_SH","FQ4 2021","FQ4 2021","Currency=USD","Period=FQ","BEST_FPERIOD_OVERRIDE=FQ","FILING_STATUS=MR","Sort=A","Dates=H","DateFormat=P","Fill=—","Direction=H","UseDPDF=Y")</f>
        <v>0.36</v>
      </c>
      <c r="P35" s="14">
        <f>_xll.BDH("GILD US Equity","IS_AMORT_OF_TOT_INTANG_P_BAS_SH","FQ1 2022","FQ1 2022","Currency=USD","Period=FQ","BEST_FPERIOD_OVERRIDE=FQ","FILING_STATUS=MR","Sort=A","Dates=H","DateFormat=P","Fill=—","Direction=H","UseDPDF=Y")</f>
        <v>0.37709999999999999</v>
      </c>
      <c r="Q35" s="14">
        <f>_xll.BDH("GILD US Equity","IS_AMORT_OF_TOT_INTANG_P_BAS_SH","FQ2 2022","FQ2 2022","Currency=USD","Period=FQ","BEST_FPERIOD_OVERRIDE=FQ","FILING_STATUS=MR","Sort=A","Dates=H","DateFormat=P","Fill=—","Direction=H","UseDPDF=Y")</f>
        <v>0.35</v>
      </c>
      <c r="R35" s="14">
        <f>_xll.BDH("GILD US Equity","IS_AMORT_OF_TOT_INTANG_P_BAS_SH","FQ3 2022","FQ3 2022","Currency=USD","Period=FQ","BEST_FPERIOD_OVERRIDE=FQ","FILING_STATUS=MR","Sort=A","Dates=H","DateFormat=P","Fill=—","Direction=H","UseDPDF=Y")</f>
        <v>0.29709999999999998</v>
      </c>
      <c r="S35" s="14">
        <f>_xll.BDH("GILD US Equity","IS_AMORT_OF_TOT_INTANG_P_BAS_SH","FQ4 2022","FQ4 2022","Currency=USD","Period=FQ","BEST_FPERIOD_OVERRIDE=FQ","FILING_STATUS=MR","Sort=A","Dates=H","DateFormat=P","Fill=—","Direction=H","UseDPDF=Y")</f>
        <v>0.27</v>
      </c>
      <c r="T35" s="14">
        <f>_xll.BDH("GILD US Equity","IS_AMORT_OF_TOT_INTANG_P_BAS_SH","FQ1 2023","FQ1 2023","Currency=USD","Period=FQ","BEST_FPERIOD_OVERRIDE=FQ","FILING_STATUS=MR","Sort=A","Dates=H","DateFormat=P","Fill=—","Direction=H","UseDPDF=Y")</f>
        <v>0.33550000000000002</v>
      </c>
      <c r="U35" s="14">
        <f>_xll.BDH("GILD US Equity","IS_AMORT_OF_TOT_INTANG_P_BAS_SH","FQ2 2023","FQ2 2023","Currency=USD","Period=FQ","BEST_FPERIOD_OVERRIDE=FQ","FILING_STATUS=MR","Sort=A","Dates=H","DateFormat=P","Fill=—","Direction=H","UseDPDF=Y")</f>
        <v>0.37</v>
      </c>
      <c r="V35" s="14">
        <f>_xll.BDH("GILD US Equity","IS_AMORT_OF_TOT_INTANG_P_BAS_SH","FQ3 2023","FQ3 2023","Currency=USD","Period=FQ","BEST_FPERIOD_OVERRIDE=FQ","FILING_STATUS=MR","Sort=A","Dates=H","DateFormat=P","Fill=—","Direction=H","UseDPDF=Y")</f>
        <v>0.40129999999999999</v>
      </c>
      <c r="W35" s="14">
        <f>_xll.BDH("GILD US Equity","IS_AMORT_OF_TOT_INTANG_P_BAS_SH","FQ4 2023","FQ4 2023","Currency=USD","Period=FQ","BEST_FPERIOD_OVERRIDE=FQ","FILING_STATUS=MR","Sort=A","Dates=H","DateFormat=P","Fill=—","Direction=H","UseDPDF=Y")</f>
        <v>0.37</v>
      </c>
      <c r="X35" s="14">
        <f>_xll.BDH("GILD US Equity","IS_AMORT_OF_TOT_INTANG_P_BAS_SH","FQ1 2024","FQ1 2024","Currency=USD","Period=FQ","BEST_FPERIOD_OVERRIDE=FQ","FILING_STATUS=MR","Sort=A","Dates=H","DateFormat=P","Fill=—","Direction=H","UseDPDF=Y")</f>
        <v>0.37</v>
      </c>
      <c r="Y35" s="14">
        <f>_xll.BDH("GILD US Equity","IS_AMORT_OF_TOT_INTANG_P_BAS_SH","FQ2 2024","FQ2 2024","Currency=USD","Period=FQ","BEST_FPERIOD_OVERRIDE=FQ","FILING_STATUS=MR","Sort=A","Dates=H","DateFormat=P","Fill=—","Direction=H","UseDPDF=Y")</f>
        <v>0.41460000000000002</v>
      </c>
      <c r="Z35" s="14">
        <f>_xll.BDH("GILD US Equity","IS_AMORT_OF_TOT_INTANG_P_BAS_SH","FQ3 2024","FQ3 2024","Currency=USD","Period=FQ","BEST_FPERIOD_OVERRIDE=FQ","FILING_STATUS=MR","Sort=A","Dates=H","DateFormat=P","Fill=—","Direction=H","UseDPDF=Y")</f>
        <v>0.3634</v>
      </c>
      <c r="AA35" s="14">
        <f>_xll.BDH("GILD US Equity","IS_AMORT_OF_TOT_INTANG_P_BAS_SH","FQ4 2024","FQ4 2024","Currency=USD","Period=FQ","BEST_FPERIOD_OVERRIDE=FQ","FILING_STATUS=MR","Sort=A","Dates=H","DateFormat=P","Fill=—","Direction=H","UseDPDF=Y")</f>
        <v>0.38979999999999998</v>
      </c>
    </row>
    <row r="36" spans="1:27" x14ac:dyDescent="0.25">
      <c r="A36" s="10" t="s">
        <v>721</v>
      </c>
      <c r="B36" s="10" t="s">
        <v>739</v>
      </c>
      <c r="C36" s="14">
        <f>_xll.BDH("GILD US Equity","IS_AMORT_OF_TOT_INTANG_P_DIL_SH","FQ4 2018","FQ4 2018","Currency=USD","Period=FQ","BEST_FPERIOD_OVERRIDE=FQ","FILING_STATUS=MR","Sort=A","Dates=H","DateFormat=P","Fill=—","Direction=H","UseDPDF=Y")</f>
        <v>0.22</v>
      </c>
      <c r="D36" s="14">
        <f>_xll.BDH("GILD US Equity","IS_AMORT_OF_TOT_INTANG_P_DIL_SH","FQ1 2019","FQ1 2019","Currency=USD","Period=FQ","BEST_FPERIOD_OVERRIDE=FQ","FILING_STATUS=MR","Sort=A","Dates=H","DateFormat=P","Fill=—","Direction=H","UseDPDF=Y")</f>
        <v>0.2</v>
      </c>
      <c r="E36" s="14">
        <f>_xll.BDH("GILD US Equity","IS_AMORT_OF_TOT_INTANG_P_DIL_SH","FQ2 2019","FQ2 2019","Currency=USD","Period=FQ","BEST_FPERIOD_OVERRIDE=FQ","FILING_STATUS=MR","Sort=A","Dates=H","DateFormat=P","Fill=—","Direction=H","UseDPDF=Y")</f>
        <v>0.2</v>
      </c>
      <c r="F36" s="14">
        <f>_xll.BDH("GILD US Equity","IS_AMORT_OF_TOT_INTANG_P_DIL_SH","FQ3 2019","FQ3 2019","Currency=USD","Period=FQ","BEST_FPERIOD_OVERRIDE=FQ","FILING_STATUS=MR","Sort=A","Dates=H","DateFormat=P","Fill=—","Direction=H","UseDPDF=Y")</f>
        <v>0.19</v>
      </c>
      <c r="G36" s="14">
        <f>_xll.BDH("GILD US Equity","IS_AMORT_OF_TOT_INTANG_P_DIL_SH","FQ4 2019","FQ4 2019","Currency=USD","Period=FQ","BEST_FPERIOD_OVERRIDE=FQ","FILING_STATUS=MR","Sort=A","Dates=H","DateFormat=P","Fill=—","Direction=H","UseDPDF=Y")</f>
        <v>0.19</v>
      </c>
      <c r="H36" s="14">
        <f>_xll.BDH("GILD US Equity","IS_AMORT_OF_TOT_INTANG_P_DIL_SH","FQ1 2020","FQ1 2020","Currency=USD","Period=FQ","BEST_FPERIOD_OVERRIDE=FQ","FILING_STATUS=MR","Sort=A","Dates=H","DateFormat=P","Fill=—","Direction=H","UseDPDF=Y")</f>
        <v>0.18</v>
      </c>
      <c r="I36" s="14">
        <f>_xll.BDH("GILD US Equity","IS_AMORT_OF_TOT_INTANG_P_DIL_SH","FQ2 2020","FQ2 2020","Currency=USD","Period=FQ","BEST_FPERIOD_OVERRIDE=FQ","FILING_STATUS=MR","Sort=A","Dates=H","DateFormat=P","Fill=—","Direction=H","UseDPDF=Y")</f>
        <v>0.18</v>
      </c>
      <c r="J36" s="14">
        <f>_xll.BDH("GILD US Equity","IS_AMORT_OF_TOT_INTANG_P_DIL_SH","FQ3 2020","FQ3 2020","Currency=USD","Period=FQ","BEST_FPERIOD_OVERRIDE=FQ","FILING_STATUS=MR","Sort=A","Dates=H","DateFormat=P","Fill=—","Direction=H","UseDPDF=Y")</f>
        <v>0.18</v>
      </c>
      <c r="K36" s="14">
        <f>_xll.BDH("GILD US Equity","IS_AMORT_OF_TOT_INTANG_P_DIL_SH","FQ4 2020","FQ4 2020","Currency=USD","Period=FQ","BEST_FPERIOD_OVERRIDE=FQ","FILING_STATUS=MR","Sort=A","Dates=H","DateFormat=P","Fill=—","Direction=H","UseDPDF=Y")</f>
        <v>0.26</v>
      </c>
      <c r="L36" s="14">
        <f>_xll.BDH("GILD US Equity","IS_AMORT_OF_TOT_INTANG_P_DIL_SH","FQ1 2021","FQ1 2021","Currency=USD","Period=FQ","BEST_FPERIOD_OVERRIDE=FQ","FILING_STATUS=MR","Sort=A","Dates=H","DateFormat=P","Fill=—","Direction=H","UseDPDF=Y")</f>
        <v>0.31680000000000003</v>
      </c>
      <c r="M36" s="14">
        <f>_xll.BDH("GILD US Equity","IS_AMORT_OF_TOT_INTANG_P_DIL_SH","FQ2 2021","FQ2 2021","Currency=USD","Period=FQ","BEST_FPERIOD_OVERRIDE=FQ","FILING_STATUS=MR","Sort=A","Dates=H","DateFormat=P","Fill=—","Direction=H","UseDPDF=Y")</f>
        <v>0.35</v>
      </c>
      <c r="N36" s="14">
        <f>_xll.BDH("GILD US Equity","IS_AMORT_OF_TOT_INTANG_P_DIL_SH","FQ3 2021","FQ3 2021","Currency=USD","Period=FQ","BEST_FPERIOD_OVERRIDE=FQ","FILING_STATUS=MR","Sort=A","Dates=H","DateFormat=P","Fill=—","Direction=H","UseDPDF=Y")</f>
        <v>0.27610000000000001</v>
      </c>
      <c r="O36" s="14">
        <f>_xll.BDH("GILD US Equity","IS_AMORT_OF_TOT_INTANG_P_DIL_SH","FQ4 2021","FQ4 2021","Currency=USD","Period=FQ","BEST_FPERIOD_OVERRIDE=FQ","FILING_STATUS=MR","Sort=A","Dates=H","DateFormat=P","Fill=—","Direction=H","UseDPDF=Y")</f>
        <v>0.36</v>
      </c>
      <c r="P36" s="14">
        <f>_xll.BDH("GILD US Equity","IS_AMORT_OF_TOT_INTANG_P_DIL_SH","FQ1 2022","FQ1 2022","Currency=USD","Period=FQ","BEST_FPERIOD_OVERRIDE=FQ","FILING_STATUS=MR","Sort=A","Dates=H","DateFormat=P","Fill=—","Direction=H","UseDPDF=Y")</f>
        <v>0.375</v>
      </c>
      <c r="Q36" s="14">
        <f>_xll.BDH("GILD US Equity","IS_AMORT_OF_TOT_INTANG_P_DIL_SH","FQ2 2022","FQ2 2022","Currency=USD","Period=FQ","BEST_FPERIOD_OVERRIDE=FQ","FILING_STATUS=MR","Sort=A","Dates=H","DateFormat=P","Fill=—","Direction=H","UseDPDF=Y")</f>
        <v>0.35</v>
      </c>
      <c r="R36" s="14">
        <f>_xll.BDH("GILD US Equity","IS_AMORT_OF_TOT_INTANG_P_DIL_SH","FQ3 2022","FQ3 2022","Currency=USD","Period=FQ","BEST_FPERIOD_OVERRIDE=FQ","FILING_STATUS=MR","Sort=A","Dates=H","DateFormat=P","Fill=—","Direction=H","UseDPDF=Y")</f>
        <v>0.29570000000000002</v>
      </c>
      <c r="S36" s="14">
        <f>_xll.BDH("GILD US Equity","IS_AMORT_OF_TOT_INTANG_P_DIL_SH","FQ4 2022","FQ4 2022","Currency=USD","Period=FQ","BEST_FPERIOD_OVERRIDE=FQ","FILING_STATUS=MR","Sort=A","Dates=H","DateFormat=P","Fill=—","Direction=H","UseDPDF=Y")</f>
        <v>0.27</v>
      </c>
      <c r="T36" s="14">
        <f>_xll.BDH("GILD US Equity","IS_AMORT_OF_TOT_INTANG_P_DIL_SH","FQ1 2023","FQ1 2023","Currency=USD","Period=FQ","BEST_FPERIOD_OVERRIDE=FQ","FILING_STATUS=MR","Sort=A","Dates=H","DateFormat=P","Fill=—","Direction=H","UseDPDF=Y")</f>
        <v>0.33550000000000002</v>
      </c>
      <c r="U36" s="14">
        <f>_xll.BDH("GILD US Equity","IS_AMORT_OF_TOT_INTANG_P_DIL_SH","FQ2 2023","FQ2 2023","Currency=USD","Period=FQ","BEST_FPERIOD_OVERRIDE=FQ","FILING_STATUS=MR","Sort=A","Dates=H","DateFormat=P","Fill=—","Direction=H","UseDPDF=Y")</f>
        <v>0.37</v>
      </c>
      <c r="V36" s="14">
        <f>_xll.BDH("GILD US Equity","IS_AMORT_OF_TOT_INTANG_P_DIL_SH","FQ3 2023","FQ3 2023","Currency=USD","Period=FQ","BEST_FPERIOD_OVERRIDE=FQ","FILING_STATUS=MR","Sort=A","Dates=H","DateFormat=P","Fill=—","Direction=H","UseDPDF=Y")</f>
        <v>0.39839999999999998</v>
      </c>
      <c r="W36" s="14">
        <f>_xll.BDH("GILD US Equity","IS_AMORT_OF_TOT_INTANG_P_DIL_SH","FQ4 2023","FQ4 2023","Currency=USD","Period=FQ","BEST_FPERIOD_OVERRIDE=FQ","FILING_STATUS=MR","Sort=A","Dates=H","DateFormat=P","Fill=—","Direction=H","UseDPDF=Y")</f>
        <v>0.37</v>
      </c>
      <c r="X36" s="14">
        <f>_xll.BDH("GILD US Equity","IS_AMORT_OF_TOT_INTANG_P_DIL_SH","FQ1 2024","FQ1 2024","Currency=USD","Period=FQ","BEST_FPERIOD_OVERRIDE=FQ","FILING_STATUS=MR","Sort=A","Dates=H","DateFormat=P","Fill=—","Direction=H","UseDPDF=Y")</f>
        <v>0.37</v>
      </c>
      <c r="Y36" s="14">
        <f>_xll.BDH("GILD US Equity","IS_AMORT_OF_TOT_INTANG_P_DIL_SH","FQ2 2024","FQ2 2024","Currency=USD","Period=FQ","BEST_FPERIOD_OVERRIDE=FQ","FILING_STATUS=MR","Sort=A","Dates=H","DateFormat=P","Fill=—","Direction=H","UseDPDF=Y")</f>
        <v>0.4133</v>
      </c>
      <c r="Z36" s="14">
        <f>_xll.BDH("GILD US Equity","IS_AMORT_OF_TOT_INTANG_P_DIL_SH","FQ3 2024","FQ3 2024","Currency=USD","Period=FQ","BEST_FPERIOD_OVERRIDE=FQ","FILING_STATUS=MR","Sort=A","Dates=H","DateFormat=P","Fill=—","Direction=H","UseDPDF=Y")</f>
        <v>0.3614</v>
      </c>
      <c r="AA36" s="14">
        <f>_xll.BDH("GILD US Equity","IS_AMORT_OF_TOT_INTANG_P_DIL_SH","FQ4 2024","FQ4 2024","Currency=USD","Period=FQ","BEST_FPERIOD_OVERRIDE=FQ","FILING_STATUS=MR","Sort=A","Dates=H","DateFormat=P","Fill=—","Direction=H","UseDPDF=Y")</f>
        <v>0.38640000000000002</v>
      </c>
    </row>
    <row r="37" spans="1:27" x14ac:dyDescent="0.25">
      <c r="A37" s="7" t="s">
        <v>90</v>
      </c>
      <c r="B37" s="7"/>
      <c r="C37" s="7" t="s">
        <v>5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3"/>
  <sheetViews>
    <sheetView workbookViewId="0">
      <selection activeCell="M21" sqref="M21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740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0</v>
      </c>
      <c r="B6" s="6" t="s">
        <v>71</v>
      </c>
      <c r="C6" s="19">
        <f>_xll.BDH("GILD US Equity","SALES_REV_TURN","FQ2 2019","FQ2 2019","Currency=USD","Period=FQ","BEST_FPERIOD_OVERRIDE=FQ","FILING_STATUS=MR","SCALING_FORMAT=MLN","FA_ADJUSTED=Adjusted","Sort=A","Dates=H","DateFormat=P","Fill=—","Direction=H","UseDPDF=Y")</f>
        <v>5685</v>
      </c>
      <c r="D6" s="19">
        <f>_xll.BDH("GILD US Equity","SALES_REV_TURN","FQ3 2019","FQ3 2019","Currency=USD","Period=FQ","BEST_FPERIOD_OVERRIDE=FQ","FILING_STATUS=MR","SCALING_FORMAT=MLN","FA_ADJUSTED=Adjusted","Sort=A","Dates=H","DateFormat=P","Fill=—","Direction=H","UseDPDF=Y")</f>
        <v>5604</v>
      </c>
      <c r="E6" s="19">
        <f>_xll.BDH("GILD US Equity","SALES_REV_TURN","FQ4 2019","FQ4 2019","Currency=USD","Period=FQ","BEST_FPERIOD_OVERRIDE=FQ","FILING_STATUS=MR","SCALING_FORMAT=MLN","FA_ADJUSTED=Adjusted","Sort=A","Dates=H","DateFormat=P","Fill=—","Direction=H","UseDPDF=Y")</f>
        <v>5879</v>
      </c>
      <c r="F6" s="19">
        <f>_xll.BDH("GILD US Equity","SALES_REV_TURN","FQ1 2020","FQ1 2020","Currency=USD","Period=FQ","BEST_FPERIOD_OVERRIDE=FQ","FILING_STATUS=MR","SCALING_FORMAT=MLN","FA_ADJUSTED=Adjusted","Sort=A","Dates=H","DateFormat=P","Fill=—","Direction=H","UseDPDF=Y")</f>
        <v>5548</v>
      </c>
      <c r="G6" s="19">
        <f>_xll.BDH("GILD US Equity","SALES_REV_TURN","FQ2 2020","FQ2 2020","Currency=USD","Period=FQ","BEST_FPERIOD_OVERRIDE=FQ","FILING_STATUS=MR","SCALING_FORMAT=MLN","FA_ADJUSTED=Adjusted","Sort=A","Dates=H","DateFormat=P","Fill=—","Direction=H","UseDPDF=Y")</f>
        <v>5143</v>
      </c>
      <c r="H6" s="19">
        <f>_xll.BDH("GILD US Equity","SALES_REV_TURN","FQ3 2020","FQ3 2020","Currency=USD","Period=FQ","BEST_FPERIOD_OVERRIDE=FQ","FILING_STATUS=MR","SCALING_FORMAT=MLN","FA_ADJUSTED=Adjusted","Sort=A","Dates=H","DateFormat=P","Fill=—","Direction=H","UseDPDF=Y")</f>
        <v>6577</v>
      </c>
      <c r="I6" s="19">
        <f>_xll.BDH("GILD US Equity","SALES_REV_TURN","FQ4 2020","FQ4 2020","Currency=USD","Period=FQ","BEST_FPERIOD_OVERRIDE=FQ","FILING_STATUS=MR","SCALING_FORMAT=MLN","FA_ADJUSTED=Adjusted","Sort=A","Dates=H","DateFormat=P","Fill=—","Direction=H","UseDPDF=Y")</f>
        <v>7421</v>
      </c>
      <c r="J6" s="19">
        <f>_xll.BDH("GILD US Equity","SALES_REV_TURN","FQ1 2021","FQ1 2021","Currency=USD","Period=FQ","BEST_FPERIOD_OVERRIDE=FQ","FILING_STATUS=MR","SCALING_FORMAT=MLN","FA_ADJUSTED=Adjusted","Sort=A","Dates=H","DateFormat=P","Fill=—","Direction=H","UseDPDF=Y")</f>
        <v>6423</v>
      </c>
      <c r="K6" s="19">
        <f>_xll.BDH("GILD US Equity","SALES_REV_TURN","FQ2 2021","FQ2 2021","Currency=USD","Period=FQ","BEST_FPERIOD_OVERRIDE=FQ","FILING_STATUS=MR","SCALING_FORMAT=MLN","FA_ADJUSTED=Adjusted","Sort=A","Dates=H","DateFormat=P","Fill=—","Direction=H","UseDPDF=Y")</f>
        <v>6217</v>
      </c>
      <c r="L6" s="19">
        <f>_xll.BDH("GILD US Equity","SALES_REV_TURN","FQ3 2021","FQ3 2021","Currency=USD","Period=FQ","BEST_FPERIOD_OVERRIDE=FQ","FILING_STATUS=MR","SCALING_FORMAT=MLN","FA_ADJUSTED=Adjusted","Sort=A","Dates=H","DateFormat=P","Fill=—","Direction=H","UseDPDF=Y")</f>
        <v>7421</v>
      </c>
      <c r="M6" s="19">
        <f>_xll.BDH("GILD US Equity","SALES_REV_TURN","FQ4 2021","FQ4 2021","Currency=USD","Period=FQ","BEST_FPERIOD_OVERRIDE=FQ","FILING_STATUS=MR","SCALING_FORMAT=MLN","FA_ADJUSTED=Adjusted","Sort=A","Dates=H","DateFormat=P","Fill=—","Direction=H","UseDPDF=Y")</f>
        <v>7244</v>
      </c>
      <c r="N6" s="19">
        <f>_xll.BDH("GILD US Equity","SALES_REV_TURN","FQ1 2022","FQ1 2022","Currency=USD","Period=FQ","BEST_FPERIOD_OVERRIDE=FQ","FILING_STATUS=MR","SCALING_FORMAT=MLN","FA_ADJUSTED=Adjusted","Sort=A","Dates=H","DateFormat=P","Fill=—","Direction=H","UseDPDF=Y")</f>
        <v>6590</v>
      </c>
      <c r="O6" s="19">
        <f>_xll.BDH("GILD US Equity","SALES_REV_TURN","FQ2 2022","FQ2 2022","Currency=USD","Period=FQ","BEST_FPERIOD_OVERRIDE=FQ","FILING_STATUS=MR","SCALING_FORMAT=MLN","FA_ADJUSTED=Adjusted","Sort=A","Dates=H","DateFormat=P","Fill=—","Direction=H","UseDPDF=Y")</f>
        <v>6260</v>
      </c>
      <c r="P6" s="19">
        <f>_xll.BDH("GILD US Equity","SALES_REV_TURN","FQ3 2022","FQ3 2022","Currency=USD","Period=FQ","BEST_FPERIOD_OVERRIDE=FQ","FILING_STATUS=MR","SCALING_FORMAT=MLN","FA_ADJUSTED=Adjusted","Sort=A","Dates=H","DateFormat=P","Fill=—","Direction=H","UseDPDF=Y")</f>
        <v>7042</v>
      </c>
      <c r="Q6" s="19">
        <f>_xll.BDH("GILD US Equity","SALES_REV_TURN","FQ4 2022","FQ4 2022","Currency=USD","Period=FQ","BEST_FPERIOD_OVERRIDE=FQ","FILING_STATUS=MR","SCALING_FORMAT=MLN","FA_ADJUSTED=Adjusted","Sort=A","Dates=H","DateFormat=P","Fill=—","Direction=H","UseDPDF=Y")</f>
        <v>7389</v>
      </c>
      <c r="R6" s="19">
        <f>_xll.BDH("GILD US Equity","SALES_REV_TURN","FQ1 2023","FQ1 2023","Currency=USD","Period=FQ","BEST_FPERIOD_OVERRIDE=FQ","FILING_STATUS=MR","SCALING_FORMAT=MLN","FA_ADJUSTED=Adjusted","Sort=A","Dates=H","DateFormat=P","Fill=—","Direction=H","UseDPDF=Y")</f>
        <v>6352</v>
      </c>
      <c r="S6" s="19">
        <f>_xll.BDH("GILD US Equity","SALES_REV_TURN","FQ2 2023","FQ2 2023","Currency=USD","Period=FQ","BEST_FPERIOD_OVERRIDE=FQ","FILING_STATUS=MR","SCALING_FORMAT=MLN","FA_ADJUSTED=Adjusted","Sort=A","Dates=H","DateFormat=P","Fill=—","Direction=H","UseDPDF=Y")</f>
        <v>6599</v>
      </c>
      <c r="T6" s="19">
        <f>_xll.BDH("GILD US Equity","SALES_REV_TURN","FQ3 2023","FQ3 2023","Currency=USD","Period=FQ","BEST_FPERIOD_OVERRIDE=FQ","FILING_STATUS=MR","SCALING_FORMAT=MLN","FA_ADJUSTED=Adjusted","Sort=A","Dates=H","DateFormat=P","Fill=—","Direction=H","UseDPDF=Y")</f>
        <v>7051</v>
      </c>
      <c r="U6" s="19">
        <f>_xll.BDH("GILD US Equity","SALES_REV_TURN","FQ4 2023","FQ4 2023","Currency=USD","Period=FQ","BEST_FPERIOD_OVERRIDE=FQ","FILING_STATUS=MR","SCALING_FORMAT=MLN","FA_ADJUSTED=Adjusted","Sort=A","Dates=H","DateFormat=P","Fill=—","Direction=H","UseDPDF=Y")</f>
        <v>7115</v>
      </c>
      <c r="V6" s="19">
        <f>_xll.BDH("GILD US Equity","SALES_REV_TURN","FQ1 2024","FQ1 2024","Currency=USD","Period=FQ","BEST_FPERIOD_OVERRIDE=FQ","FILING_STATUS=MR","SCALING_FORMAT=MLN","FA_ADJUSTED=Adjusted","Sort=A","Dates=H","DateFormat=P","Fill=—","Direction=H","UseDPDF=Y")</f>
        <v>6686</v>
      </c>
      <c r="W6" s="19">
        <f>_xll.BDH("GILD US Equity","SALES_REV_TURN","FQ2 2024","FQ2 2024","Currency=USD","Period=FQ","BEST_FPERIOD_OVERRIDE=FQ","FILING_STATUS=MR","SCALING_FORMAT=MLN","FA_ADJUSTED=Adjusted","Sort=A","Dates=H","DateFormat=P","Fill=—","Direction=H","UseDPDF=Y")</f>
        <v>6953</v>
      </c>
      <c r="X6" s="19">
        <f>_xll.BDH("GILD US Equity","SALES_REV_TURN","FQ3 2024","FQ3 2024","Currency=USD","Period=FQ","BEST_FPERIOD_OVERRIDE=FQ","FILING_STATUS=MR","SCALING_FORMAT=MLN","FA_ADJUSTED=Adjusted","Sort=A","Dates=H","DateFormat=P","Fill=—","Direction=H","UseDPDF=Y")</f>
        <v>7545</v>
      </c>
      <c r="Y6" s="19">
        <f>_xll.BDH("GILD US Equity","SALES_REV_TURN","FQ4 2024","FQ4 2024","Currency=USD","Period=FQ","BEST_FPERIOD_OVERRIDE=FQ","FILING_STATUS=MR","SCALING_FORMAT=MLN","FA_ADJUSTED=Adjusted","Sort=A","Dates=H","DateFormat=P","Fill=—","Direction=H","UseDPDF=Y")</f>
        <v>7569</v>
      </c>
      <c r="Z6" s="19">
        <v>6764.3159999999998</v>
      </c>
      <c r="AA6" s="19">
        <v>6947.6840000000002</v>
      </c>
    </row>
    <row r="7" spans="1:27" x14ac:dyDescent="0.25">
      <c r="A7" s="10" t="s">
        <v>313</v>
      </c>
      <c r="B7" s="10" t="s">
        <v>314</v>
      </c>
      <c r="C7" s="13">
        <v>98.627968337730906</v>
      </c>
      <c r="D7" s="13">
        <v>98.429693076373994</v>
      </c>
      <c r="E7" s="13">
        <v>98.588195271304599</v>
      </c>
      <c r="F7" s="13">
        <v>98.540014419610699</v>
      </c>
      <c r="G7" s="13">
        <v>98.522263270464705</v>
      </c>
      <c r="H7" s="13">
        <v>98.722821955298798</v>
      </c>
      <c r="I7" s="13">
        <v>98.746799622692393</v>
      </c>
      <c r="J7" s="13">
        <v>98.707768955316794</v>
      </c>
      <c r="K7" s="13">
        <v>98.954479652565496</v>
      </c>
      <c r="L7" s="13">
        <v>99.124107263172107</v>
      </c>
      <c r="M7" s="13">
        <v>98.840419657647701</v>
      </c>
      <c r="N7" s="13">
        <v>99.150227617602397</v>
      </c>
      <c r="O7" s="13">
        <v>98.051118210862597</v>
      </c>
      <c r="P7" s="13">
        <v>99.091167282022198</v>
      </c>
      <c r="Q7" s="13">
        <v>99.242116659899807</v>
      </c>
      <c r="R7" s="13">
        <v>99.275818639798501</v>
      </c>
      <c r="S7" s="13">
        <v>99.469616608577098</v>
      </c>
      <c r="T7" s="13">
        <v>99.191604027797496</v>
      </c>
      <c r="U7" s="13">
        <v>99.367533380182707</v>
      </c>
      <c r="V7" s="13">
        <v>99.416691594376303</v>
      </c>
      <c r="W7" s="13">
        <v>99.410326477779407</v>
      </c>
      <c r="X7" s="13">
        <v>99.602385685884698</v>
      </c>
      <c r="Y7" s="13">
        <v>99.564011097899296</v>
      </c>
      <c r="Z7" s="13"/>
      <c r="AA7" s="13"/>
    </row>
    <row r="8" spans="1:27" x14ac:dyDescent="0.25">
      <c r="A8" s="10" t="s">
        <v>315</v>
      </c>
      <c r="B8" s="10" t="s">
        <v>316</v>
      </c>
      <c r="C8" s="13">
        <v>1.37203166226913</v>
      </c>
      <c r="D8" s="13">
        <v>1.5703069236259799</v>
      </c>
      <c r="E8" s="13">
        <v>1.4118047286953599</v>
      </c>
      <c r="F8" s="13">
        <v>1.45998558038933</v>
      </c>
      <c r="G8" s="13">
        <v>1.4777367295352899</v>
      </c>
      <c r="H8" s="13">
        <v>1.27717804470123</v>
      </c>
      <c r="I8" s="13">
        <v>1.2532003773076399</v>
      </c>
      <c r="J8" s="13">
        <v>1.29223104468317</v>
      </c>
      <c r="K8" s="13">
        <v>1.0455203474344501</v>
      </c>
      <c r="L8" s="13">
        <v>0.87589273682792101</v>
      </c>
      <c r="M8" s="13">
        <v>1.1595803423522899</v>
      </c>
      <c r="N8" s="13">
        <v>0.84977238239757202</v>
      </c>
      <c r="O8" s="13">
        <v>1.94888178913738</v>
      </c>
      <c r="P8" s="13">
        <v>0.90883271797784704</v>
      </c>
      <c r="Q8" s="13">
        <v>0.75788334010014902</v>
      </c>
      <c r="R8" s="13">
        <v>0.72418136020151103</v>
      </c>
      <c r="S8" s="13">
        <v>0.530383391422943</v>
      </c>
      <c r="T8" s="13">
        <v>0.80839597220252402</v>
      </c>
      <c r="U8" s="13">
        <v>0.63246661981728702</v>
      </c>
      <c r="V8" s="13">
        <v>0.58330840562369102</v>
      </c>
      <c r="W8" s="13">
        <v>0.58967352222062397</v>
      </c>
      <c r="X8" s="13">
        <v>0.39761431411530801</v>
      </c>
      <c r="Y8" s="13">
        <v>0.43598890210067398</v>
      </c>
      <c r="Z8" s="13"/>
      <c r="AA8" s="13"/>
    </row>
    <row r="9" spans="1:27" x14ac:dyDescent="0.25">
      <c r="A9" s="10" t="s">
        <v>317</v>
      </c>
      <c r="B9" s="10" t="s">
        <v>318</v>
      </c>
      <c r="C9" s="13">
        <v>17.590149516270898</v>
      </c>
      <c r="D9" s="13">
        <v>18.4689507494647</v>
      </c>
      <c r="E9" s="13">
        <v>28.627317571015499</v>
      </c>
      <c r="F9" s="13">
        <v>17.4657534246575</v>
      </c>
      <c r="G9" s="13">
        <v>20.688314213494099</v>
      </c>
      <c r="H9" s="13">
        <v>17.348335107191701</v>
      </c>
      <c r="I9" s="13">
        <v>18.8384314782374</v>
      </c>
      <c r="J9" s="13">
        <v>21.189475323057799</v>
      </c>
      <c r="K9" s="13">
        <v>22.358050506675202</v>
      </c>
      <c r="L9" s="13">
        <v>16.480258725239199</v>
      </c>
      <c r="M9" s="13">
        <v>36.264494754279397</v>
      </c>
      <c r="N9" s="13">
        <v>21.608497723824001</v>
      </c>
      <c r="O9" s="13">
        <v>23.035143769968101</v>
      </c>
      <c r="P9" s="13">
        <v>19.809713149673399</v>
      </c>
      <c r="Q9" s="13">
        <v>18.892948978210899</v>
      </c>
      <c r="R9" s="13">
        <v>22.0560453400504</v>
      </c>
      <c r="S9" s="13">
        <v>21.851795726625198</v>
      </c>
      <c r="T9" s="13">
        <v>22.195433271876301</v>
      </c>
      <c r="U9" s="13">
        <v>23.3591004919185</v>
      </c>
      <c r="V9" s="13">
        <v>23.212683218665902</v>
      </c>
      <c r="W9" s="13">
        <v>22.206241909966899</v>
      </c>
      <c r="X9" s="13">
        <v>20.861497680583199</v>
      </c>
      <c r="Y9" s="13">
        <v>20.887831946095901</v>
      </c>
      <c r="Z9" s="13"/>
      <c r="AA9" s="13"/>
    </row>
    <row r="10" spans="1:27" x14ac:dyDescent="0.25">
      <c r="A10" s="10" t="s">
        <v>319</v>
      </c>
      <c r="B10" s="10" t="s">
        <v>320</v>
      </c>
      <c r="C10" s="13">
        <v>17.590149516270898</v>
      </c>
      <c r="D10" s="13">
        <v>18.4689507494647</v>
      </c>
      <c r="E10" s="13">
        <v>28.627317571015499</v>
      </c>
      <c r="F10" s="13">
        <v>17.4657534246575</v>
      </c>
      <c r="G10" s="13">
        <v>20.688314213494099</v>
      </c>
      <c r="H10" s="13">
        <v>17.348335107191701</v>
      </c>
      <c r="I10" s="13">
        <v>18.8384314782374</v>
      </c>
      <c r="J10" s="13">
        <v>21.189475323057799</v>
      </c>
      <c r="K10" s="13">
        <v>22.358050506675202</v>
      </c>
      <c r="L10" s="13">
        <v>16.480258725239199</v>
      </c>
      <c r="M10" s="13">
        <v>36.264494754279397</v>
      </c>
      <c r="N10" s="13">
        <v>21.608497723824001</v>
      </c>
      <c r="O10" s="13">
        <v>23.035143769968101</v>
      </c>
      <c r="P10" s="13">
        <v>19.809713149673399</v>
      </c>
      <c r="Q10" s="13">
        <v>18.892948978210899</v>
      </c>
      <c r="R10" s="13">
        <v>22.0560453400504</v>
      </c>
      <c r="S10" s="13">
        <v>21.851795726625198</v>
      </c>
      <c r="T10" s="13">
        <v>22.195433271876301</v>
      </c>
      <c r="U10" s="13">
        <v>23.3591004919185</v>
      </c>
      <c r="V10" s="13">
        <v>23.212683218665902</v>
      </c>
      <c r="W10" s="13">
        <v>22.206241909966899</v>
      </c>
      <c r="X10" s="13">
        <v>20.861497680583199</v>
      </c>
      <c r="Y10" s="13">
        <v>20.887831946095901</v>
      </c>
      <c r="Z10" s="13"/>
      <c r="AA10" s="13"/>
    </row>
    <row r="11" spans="1:27" x14ac:dyDescent="0.25">
      <c r="A11" s="6" t="s">
        <v>2</v>
      </c>
      <c r="B11" s="6" t="s">
        <v>75</v>
      </c>
      <c r="C11" s="19">
        <v>82.409850483729102</v>
      </c>
      <c r="D11" s="19">
        <v>81.531049250535304</v>
      </c>
      <c r="E11" s="19">
        <v>71.372682428984504</v>
      </c>
      <c r="F11" s="19">
        <v>82.534246575342493</v>
      </c>
      <c r="G11" s="19">
        <v>79.311685786505905</v>
      </c>
      <c r="H11" s="19">
        <v>82.651664892808299</v>
      </c>
      <c r="I11" s="19">
        <v>81.161568521762604</v>
      </c>
      <c r="J11" s="19">
        <v>78.810524676942194</v>
      </c>
      <c r="K11" s="19">
        <v>77.641949493324802</v>
      </c>
      <c r="L11" s="19">
        <v>83.519741274760804</v>
      </c>
      <c r="M11" s="19">
        <v>63.735505245720603</v>
      </c>
      <c r="N11" s="19">
        <v>78.391502276175999</v>
      </c>
      <c r="O11" s="19">
        <v>76.964856230031998</v>
      </c>
      <c r="P11" s="19">
        <v>80.190286850326601</v>
      </c>
      <c r="Q11" s="19">
        <v>81.107051021789104</v>
      </c>
      <c r="R11" s="19">
        <v>77.943954659949597</v>
      </c>
      <c r="S11" s="19">
        <v>78.148204273374802</v>
      </c>
      <c r="T11" s="19">
        <v>77.804566728123703</v>
      </c>
      <c r="U11" s="19">
        <v>76.640899508081503</v>
      </c>
      <c r="V11" s="19">
        <v>76.787316781334098</v>
      </c>
      <c r="W11" s="19">
        <v>77.793758090033094</v>
      </c>
      <c r="X11" s="19">
        <v>79.138502319416801</v>
      </c>
      <c r="Y11" s="19">
        <v>79.112168053904099</v>
      </c>
      <c r="Z11" s="19">
        <v>85.647999999999996</v>
      </c>
      <c r="AA11" s="19">
        <v>85.683000000000007</v>
      </c>
    </row>
    <row r="12" spans="1:27" x14ac:dyDescent="0.25">
      <c r="A12" s="10" t="s">
        <v>321</v>
      </c>
      <c r="B12" s="10" t="s">
        <v>322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/>
      <c r="AA12" s="13"/>
    </row>
    <row r="13" spans="1:27" x14ac:dyDescent="0.25">
      <c r="A13" s="10" t="s">
        <v>323</v>
      </c>
      <c r="B13" s="10" t="s">
        <v>324</v>
      </c>
      <c r="C13" s="13">
        <v>36.781002638522402</v>
      </c>
      <c r="D13" s="13">
        <v>36.9914346895075</v>
      </c>
      <c r="E13" s="13">
        <v>39.241367579520301</v>
      </c>
      <c r="F13" s="13">
        <v>32.696467195385701</v>
      </c>
      <c r="G13" s="13">
        <v>45.693175189578099</v>
      </c>
      <c r="H13" s="13">
        <v>34.210126197354398</v>
      </c>
      <c r="I13" s="13">
        <v>39.725104433364798</v>
      </c>
      <c r="J13" s="13">
        <v>24.5368208002491</v>
      </c>
      <c r="K13" s="13">
        <v>35.467267170661103</v>
      </c>
      <c r="L13" s="13">
        <v>31.720792346044998</v>
      </c>
      <c r="M13" s="13">
        <v>41.347356874654899</v>
      </c>
      <c r="N13" s="13">
        <v>33.368740515933197</v>
      </c>
      <c r="O13" s="13">
        <v>33.003194888178903</v>
      </c>
      <c r="P13" s="13">
        <v>27.492189718829898</v>
      </c>
      <c r="Q13" s="13">
        <v>48.233861144945202</v>
      </c>
      <c r="R13" s="13">
        <v>43.387909319899201</v>
      </c>
      <c r="S13" s="13">
        <v>49.916654038490698</v>
      </c>
      <c r="T13" s="13">
        <v>36.633101687703899</v>
      </c>
      <c r="U13" s="13">
        <v>41.419536191145497</v>
      </c>
      <c r="V13" s="13">
        <v>40.367932994316497</v>
      </c>
      <c r="W13" s="13">
        <v>32.9785704012656</v>
      </c>
      <c r="X13" s="13">
        <v>36.938369781312097</v>
      </c>
      <c r="Y13" s="13">
        <v>45.765622935658598</v>
      </c>
      <c r="Z13" s="13"/>
      <c r="AA13" s="13"/>
    </row>
    <row r="14" spans="1:27" x14ac:dyDescent="0.25">
      <c r="A14" s="10" t="s">
        <v>325</v>
      </c>
      <c r="B14" s="10" t="s">
        <v>326</v>
      </c>
      <c r="C14" s="13">
        <v>19.278803869832899</v>
      </c>
      <c r="D14" s="13">
        <v>18.6473947180585</v>
      </c>
      <c r="E14" s="13">
        <v>20.479673413845902</v>
      </c>
      <c r="F14" s="13">
        <v>19.394376351838499</v>
      </c>
      <c r="G14" s="13">
        <v>22.632704647093099</v>
      </c>
      <c r="H14" s="13">
        <v>16.648928082712501</v>
      </c>
      <c r="I14" s="13">
        <v>20.199434038539302</v>
      </c>
      <c r="J14" s="13">
        <v>16.082827339249601</v>
      </c>
      <c r="K14" s="13">
        <v>18.031204761138799</v>
      </c>
      <c r="L14" s="13">
        <v>15.8738714458968</v>
      </c>
      <c r="M14" s="13">
        <v>22.7774710104914</v>
      </c>
      <c r="N14" s="13">
        <v>16.282245827010598</v>
      </c>
      <c r="O14" s="13">
        <v>20.319488817891401</v>
      </c>
      <c r="P14" s="13">
        <v>17.211019596705501</v>
      </c>
      <c r="Q14" s="13">
        <v>27.337934767898201</v>
      </c>
      <c r="R14" s="13">
        <v>20.654911838790898</v>
      </c>
      <c r="S14" s="13">
        <v>27.610243976360099</v>
      </c>
      <c r="T14" s="13">
        <v>18.408736349453999</v>
      </c>
      <c r="U14" s="13">
        <v>22.600140548137698</v>
      </c>
      <c r="V14" s="13">
        <v>19.3688303918636</v>
      </c>
      <c r="W14" s="13">
        <v>19.487990795340099</v>
      </c>
      <c r="X14" s="13">
        <v>18.6216037110669</v>
      </c>
      <c r="Y14" s="13">
        <v>24.4682256572863</v>
      </c>
      <c r="Z14" s="13"/>
      <c r="AA14" s="13"/>
    </row>
    <row r="15" spans="1:27" x14ac:dyDescent="0.25">
      <c r="A15" s="10" t="s">
        <v>327</v>
      </c>
      <c r="B15" s="10" t="s">
        <v>328</v>
      </c>
      <c r="C15" s="13">
        <v>20.4221635883905</v>
      </c>
      <c r="D15" s="13">
        <v>18.344039971449</v>
      </c>
      <c r="E15" s="13">
        <v>18.761694165674399</v>
      </c>
      <c r="F15" s="13">
        <v>18.096611391492399</v>
      </c>
      <c r="G15" s="13">
        <v>23.0604705424849</v>
      </c>
      <c r="H15" s="13">
        <v>17.561198114641901</v>
      </c>
      <c r="I15" s="13">
        <v>20.374612585904899</v>
      </c>
      <c r="J15" s="13">
        <v>16.425346411334299</v>
      </c>
      <c r="K15" s="13">
        <v>17.4360624095223</v>
      </c>
      <c r="L15" s="13">
        <v>15.2270583479315</v>
      </c>
      <c r="M15" s="13">
        <v>18.7465488680287</v>
      </c>
      <c r="N15" s="13">
        <v>17.996965098634298</v>
      </c>
      <c r="O15" s="13">
        <v>17.6038338658147</v>
      </c>
      <c r="P15" s="13">
        <v>15.975575120704301</v>
      </c>
      <c r="Q15" s="13">
        <v>20.8823927459737</v>
      </c>
      <c r="R15" s="13">
        <v>22.780226700251902</v>
      </c>
      <c r="S15" s="13">
        <v>21.776026670707701</v>
      </c>
      <c r="T15" s="13">
        <v>20.607006098425799</v>
      </c>
      <c r="U15" s="13">
        <v>19.5643007730148</v>
      </c>
      <c r="V15" s="13">
        <v>20.999102602452901</v>
      </c>
      <c r="W15" s="13">
        <v>19.200345174744701</v>
      </c>
      <c r="X15" s="13">
        <v>18.303512259774699</v>
      </c>
      <c r="Y15" s="13">
        <v>21.2841854934602</v>
      </c>
      <c r="Z15" s="13"/>
      <c r="AA15" s="13"/>
    </row>
    <row r="16" spans="1:27" x14ac:dyDescent="0.25">
      <c r="A16" s="10" t="s">
        <v>329</v>
      </c>
      <c r="B16" s="10" t="s">
        <v>330</v>
      </c>
      <c r="C16" s="13">
        <v>-2.91996481970097</v>
      </c>
      <c r="D16" s="13">
        <v>0</v>
      </c>
      <c r="E16" s="13">
        <v>0</v>
      </c>
      <c r="F16" s="13">
        <v>-4.7945205479452104</v>
      </c>
      <c r="G16" s="13">
        <v>0</v>
      </c>
      <c r="H16" s="13">
        <v>0</v>
      </c>
      <c r="I16" s="13">
        <v>-0.84894219107936897</v>
      </c>
      <c r="J16" s="13">
        <v>-7.9713529503347296</v>
      </c>
      <c r="K16" s="13">
        <v>0</v>
      </c>
      <c r="L16" s="13">
        <v>0.61986255221668196</v>
      </c>
      <c r="M16" s="13">
        <v>-0.17666300386526801</v>
      </c>
      <c r="N16" s="13">
        <v>-0.91047040971168403</v>
      </c>
      <c r="O16" s="13">
        <v>-4.9201277955271596</v>
      </c>
      <c r="P16" s="13">
        <v>-5.6944049985799499</v>
      </c>
      <c r="Q16" s="13">
        <v>1.35336310732169E-2</v>
      </c>
      <c r="R16" s="13">
        <v>-4.7229219143576799E-2</v>
      </c>
      <c r="S16" s="13">
        <v>0.530383391422943</v>
      </c>
      <c r="T16" s="13">
        <v>-2.3826407601758599</v>
      </c>
      <c r="U16" s="13">
        <v>-0.74490513000702696</v>
      </c>
      <c r="V16" s="13">
        <v>0</v>
      </c>
      <c r="W16" s="13">
        <v>-5.7097655688192104</v>
      </c>
      <c r="X16" s="13">
        <v>1.32538104705103E-2</v>
      </c>
      <c r="Y16" s="13">
        <v>1.3211784912141601E-2</v>
      </c>
      <c r="Z16" s="13"/>
      <c r="AA16" s="13"/>
    </row>
    <row r="17" spans="1:27" x14ac:dyDescent="0.25">
      <c r="A17" s="6" t="s">
        <v>331</v>
      </c>
      <c r="B17" s="6" t="s">
        <v>99</v>
      </c>
      <c r="C17" s="19">
        <v>45.6288478452067</v>
      </c>
      <c r="D17" s="19">
        <v>44.539614561027797</v>
      </c>
      <c r="E17" s="19">
        <v>32.131314849464196</v>
      </c>
      <c r="F17" s="19">
        <v>49.8377793799567</v>
      </c>
      <c r="G17" s="19">
        <v>33.618510596927898</v>
      </c>
      <c r="H17" s="19">
        <v>48.4415386954539</v>
      </c>
      <c r="I17" s="19">
        <v>41.436464088397798</v>
      </c>
      <c r="J17" s="19">
        <v>54.273703876693098</v>
      </c>
      <c r="K17" s="19">
        <v>42.174682322663699</v>
      </c>
      <c r="L17" s="19">
        <v>51.798948928715802</v>
      </c>
      <c r="M17" s="19">
        <v>22.3881483710657</v>
      </c>
      <c r="N17" s="19">
        <v>45.022761760242801</v>
      </c>
      <c r="O17" s="19">
        <v>43.961661341853002</v>
      </c>
      <c r="P17" s="19">
        <v>52.698097131496702</v>
      </c>
      <c r="Q17" s="19">
        <v>32.873189876844002</v>
      </c>
      <c r="R17" s="19">
        <v>34.556045340050403</v>
      </c>
      <c r="S17" s="19">
        <v>28.2315502348841</v>
      </c>
      <c r="T17" s="19">
        <v>41.171465040419797</v>
      </c>
      <c r="U17" s="19">
        <v>35.221363316935999</v>
      </c>
      <c r="V17" s="19">
        <v>36.419383787017701</v>
      </c>
      <c r="W17" s="19">
        <v>44.815187688767402</v>
      </c>
      <c r="X17" s="19">
        <v>42.200132538104697</v>
      </c>
      <c r="Y17" s="19">
        <v>33.346545118245501</v>
      </c>
      <c r="Z17" s="19">
        <v>41.709361301275699</v>
      </c>
      <c r="AA17" s="19">
        <v>45.674400274969301</v>
      </c>
    </row>
    <row r="18" spans="1:27" x14ac:dyDescent="0.25">
      <c r="A18" s="10" t="s">
        <v>332</v>
      </c>
      <c r="B18" s="10" t="s">
        <v>333</v>
      </c>
      <c r="C18" s="13">
        <v>1.35444151275286</v>
      </c>
      <c r="D18" s="13">
        <v>1.5346181299072099</v>
      </c>
      <c r="E18" s="13">
        <v>2.0581731587004599</v>
      </c>
      <c r="F18" s="13">
        <v>2.0908435472242202</v>
      </c>
      <c r="G18" s="13">
        <v>3.7137857281742201</v>
      </c>
      <c r="H18" s="13">
        <v>3.14733161015661</v>
      </c>
      <c r="I18" s="13">
        <v>2.97803530521493</v>
      </c>
      <c r="J18" s="13">
        <v>4.2814884010587004</v>
      </c>
      <c r="K18" s="13">
        <v>4.1016567476274703</v>
      </c>
      <c r="L18" s="13">
        <v>3.5305214930602302</v>
      </c>
      <c r="M18" s="13">
        <v>3.2716731087796802</v>
      </c>
      <c r="N18" s="13">
        <v>5.2959028831563</v>
      </c>
      <c r="O18" s="13">
        <v>3.5623003194888199</v>
      </c>
      <c r="P18" s="13">
        <v>2.9395058222096</v>
      </c>
      <c r="Q18" s="13">
        <v>2.3683854378129698</v>
      </c>
      <c r="R18" s="13">
        <v>2.3299748110831202</v>
      </c>
      <c r="S18" s="13">
        <v>2.2276102439763599</v>
      </c>
      <c r="T18" s="13">
        <v>4.3114451850801299</v>
      </c>
      <c r="U18" s="13">
        <v>2.0801124385101901</v>
      </c>
      <c r="V18" s="13">
        <v>2.24349386778343</v>
      </c>
      <c r="W18" s="13">
        <v>3.3366891989069498</v>
      </c>
      <c r="X18" s="13">
        <v>2.51822398939695</v>
      </c>
      <c r="Y18" s="13">
        <v>2.0742502312062401</v>
      </c>
      <c r="Z18" s="13"/>
      <c r="AA18" s="13"/>
    </row>
    <row r="19" spans="1:27" x14ac:dyDescent="0.25">
      <c r="A19" s="10" t="s">
        <v>334</v>
      </c>
      <c r="B19" s="10" t="s">
        <v>335</v>
      </c>
      <c r="C19" s="13">
        <v>4.3623570800351796</v>
      </c>
      <c r="D19" s="13">
        <v>4.4610992148465396</v>
      </c>
      <c r="E19" s="13">
        <v>4.1333560129273703</v>
      </c>
      <c r="F19" s="13">
        <v>4.34390771449171</v>
      </c>
      <c r="G19" s="13">
        <v>4.6665370406377598</v>
      </c>
      <c r="H19" s="13">
        <v>3.58826212558917</v>
      </c>
      <c r="I19" s="13">
        <v>3.5978978574316098</v>
      </c>
      <c r="J19" s="13">
        <v>4.0012455238984899</v>
      </c>
      <c r="K19" s="13">
        <v>4.1177416760495396</v>
      </c>
      <c r="L19" s="13">
        <v>3.3688182185689302</v>
      </c>
      <c r="M19" s="13">
        <v>3.2854776366648299</v>
      </c>
      <c r="N19" s="13">
        <v>3.61153262518968</v>
      </c>
      <c r="O19" s="13">
        <v>3.8658146964856201</v>
      </c>
      <c r="P19" s="13">
        <v>3.2519170690144801</v>
      </c>
      <c r="Q19" s="13">
        <v>3.0721342536202498</v>
      </c>
      <c r="R19" s="13">
        <v>3.62090680100756</v>
      </c>
      <c r="S19" s="13">
        <v>3.48537657220791</v>
      </c>
      <c r="T19" s="13">
        <v>3.29031343071905</v>
      </c>
      <c r="U19" s="13">
        <v>3.5418130709768101</v>
      </c>
      <c r="V19" s="13">
        <v>3.7989829494466001</v>
      </c>
      <c r="W19" s="13">
        <v>3.3942183230260299</v>
      </c>
      <c r="X19" s="13">
        <v>2.46520874751491</v>
      </c>
      <c r="Y19" s="13">
        <v>3.2765226582111202</v>
      </c>
      <c r="Z19" s="13"/>
      <c r="AA19" s="13"/>
    </row>
    <row r="20" spans="1:27" x14ac:dyDescent="0.25">
      <c r="A20" s="11" t="s">
        <v>336</v>
      </c>
      <c r="B20" s="11" t="s">
        <v>337</v>
      </c>
      <c r="C20" s="25">
        <v>4.3623570800351796</v>
      </c>
      <c r="D20" s="25">
        <v>4.4610992148465396</v>
      </c>
      <c r="E20" s="25">
        <v>4.1333560129273703</v>
      </c>
      <c r="F20" s="25">
        <v>4.34390771449171</v>
      </c>
      <c r="G20" s="25">
        <v>4.6665370406377598</v>
      </c>
      <c r="H20" s="25">
        <v>3.58826212558917</v>
      </c>
      <c r="I20" s="25">
        <v>3.5978978574316098</v>
      </c>
      <c r="J20" s="25">
        <v>4.0012455238984899</v>
      </c>
      <c r="K20" s="25">
        <v>4.1177416760495396</v>
      </c>
      <c r="L20" s="25">
        <v>3.3688182185689302</v>
      </c>
      <c r="M20" s="25">
        <v>3.2854776366648299</v>
      </c>
      <c r="N20" s="25">
        <v>3.61153262518968</v>
      </c>
      <c r="O20" s="25">
        <v>3.8658146964856201</v>
      </c>
      <c r="P20" s="25">
        <v>3.2519170690144801</v>
      </c>
      <c r="Q20" s="25">
        <v>3.0721342536202498</v>
      </c>
      <c r="R20" s="25">
        <v>3.62090680100756</v>
      </c>
      <c r="S20" s="25">
        <v>3.48537657220791</v>
      </c>
      <c r="T20" s="25">
        <v>3.29031343071905</v>
      </c>
      <c r="U20" s="25">
        <v>3.5418130709768101</v>
      </c>
      <c r="V20" s="25">
        <v>3.7989829494466001</v>
      </c>
      <c r="W20" s="25">
        <v>3.3942183230260299</v>
      </c>
      <c r="X20" s="25">
        <v>3.1544068919814401</v>
      </c>
      <c r="Y20" s="25">
        <v>3.2765226582111202</v>
      </c>
      <c r="Z20" s="25"/>
      <c r="AA20" s="25"/>
    </row>
    <row r="21" spans="1:27" x14ac:dyDescent="0.25">
      <c r="A21" s="11" t="s">
        <v>338</v>
      </c>
      <c r="B21" s="11" t="s">
        <v>339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0.68919814446653405</v>
      </c>
      <c r="Y21" s="25">
        <v>0</v>
      </c>
      <c r="Z21" s="25"/>
      <c r="AA21" s="25"/>
    </row>
    <row r="22" spans="1:27" x14ac:dyDescent="0.25">
      <c r="A22" s="10" t="s">
        <v>340</v>
      </c>
      <c r="B22" s="10" t="s">
        <v>341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 t="s">
        <v>148</v>
      </c>
      <c r="K22" s="13" t="s">
        <v>148</v>
      </c>
      <c r="L22" s="13">
        <v>0</v>
      </c>
      <c r="M22" s="13">
        <v>0</v>
      </c>
      <c r="N22" s="13" t="s">
        <v>148</v>
      </c>
      <c r="O22" s="13" t="s">
        <v>148</v>
      </c>
      <c r="P22" s="13">
        <v>0</v>
      </c>
      <c r="Q22" s="13" t="s">
        <v>148</v>
      </c>
      <c r="R22" s="13" t="s">
        <v>148</v>
      </c>
      <c r="S22" s="13" t="s">
        <v>148</v>
      </c>
      <c r="T22" s="13" t="s">
        <v>148</v>
      </c>
      <c r="U22" s="13" t="s">
        <v>148</v>
      </c>
      <c r="V22" s="13" t="s">
        <v>148</v>
      </c>
      <c r="W22" s="13" t="s">
        <v>148</v>
      </c>
      <c r="X22" s="13" t="s">
        <v>148</v>
      </c>
      <c r="Y22" s="13" t="s">
        <v>148</v>
      </c>
      <c r="Z22" s="13"/>
      <c r="AA22" s="13"/>
    </row>
    <row r="23" spans="1:27" x14ac:dyDescent="0.25">
      <c r="A23" s="10" t="s">
        <v>342</v>
      </c>
      <c r="B23" s="10" t="s">
        <v>343</v>
      </c>
      <c r="C23" s="13">
        <v>-3.0079155672823199</v>
      </c>
      <c r="D23" s="13">
        <v>-2.9264810849393301</v>
      </c>
      <c r="E23" s="13">
        <v>-2.07518285422691</v>
      </c>
      <c r="F23" s="13">
        <v>-2.25306416726748</v>
      </c>
      <c r="G23" s="13">
        <v>-0.95275131246354305</v>
      </c>
      <c r="H23" s="13">
        <v>-0.440930515432568</v>
      </c>
      <c r="I23" s="13">
        <v>-0.61986255221668196</v>
      </c>
      <c r="J23" s="13">
        <v>0.28024287716020602</v>
      </c>
      <c r="K23" s="13">
        <v>-1.60849284220685E-2</v>
      </c>
      <c r="L23" s="13">
        <v>0.161703274491308</v>
      </c>
      <c r="M23" s="13">
        <v>-1.38045278851463E-2</v>
      </c>
      <c r="N23" s="13">
        <v>1.68437025796662</v>
      </c>
      <c r="O23" s="13">
        <v>-0.303514376996805</v>
      </c>
      <c r="P23" s="13">
        <v>-0.31241124680488502</v>
      </c>
      <c r="Q23" s="13">
        <v>-0.70374881580728099</v>
      </c>
      <c r="R23" s="13">
        <v>-1.29093198992443</v>
      </c>
      <c r="S23" s="13">
        <v>-1.2577663282315501</v>
      </c>
      <c r="T23" s="13">
        <v>1.0211317543610801</v>
      </c>
      <c r="U23" s="13">
        <v>-1.46170063246662</v>
      </c>
      <c r="V23" s="13">
        <v>-1.5554890816631799</v>
      </c>
      <c r="W23" s="13">
        <v>-5.7529124119085298E-2</v>
      </c>
      <c r="X23" s="13">
        <v>5.3015241882041098E-2</v>
      </c>
      <c r="Y23" s="13">
        <v>-1.2022724270048899</v>
      </c>
      <c r="Z23" s="13"/>
      <c r="AA23" s="13"/>
    </row>
    <row r="24" spans="1:27" x14ac:dyDescent="0.25">
      <c r="A24" s="6" t="s">
        <v>344</v>
      </c>
      <c r="B24" s="6" t="s">
        <v>158</v>
      </c>
      <c r="C24" s="19">
        <v>44.2744063324538</v>
      </c>
      <c r="D24" s="19">
        <v>43.004996431120603</v>
      </c>
      <c r="E24" s="19">
        <v>30.073141690763698</v>
      </c>
      <c r="F24" s="19">
        <v>47.746935832732497</v>
      </c>
      <c r="G24" s="19">
        <v>29.9047248687536</v>
      </c>
      <c r="H24" s="19">
        <v>45.294207085297302</v>
      </c>
      <c r="I24" s="19">
        <v>38.458428783182903</v>
      </c>
      <c r="J24" s="19">
        <v>49.992215475634403</v>
      </c>
      <c r="K24" s="19">
        <v>38.073025575036198</v>
      </c>
      <c r="L24" s="19">
        <v>48.268427435655603</v>
      </c>
      <c r="M24" s="19">
        <v>19.116475262285999</v>
      </c>
      <c r="N24" s="19">
        <v>39.726858877086499</v>
      </c>
      <c r="O24" s="19">
        <v>40.399361022364197</v>
      </c>
      <c r="P24" s="19">
        <v>49.758591309287098</v>
      </c>
      <c r="Q24" s="19">
        <v>30.504804439030998</v>
      </c>
      <c r="R24" s="19">
        <v>32.226070528967298</v>
      </c>
      <c r="S24" s="19">
        <v>26.0039399909077</v>
      </c>
      <c r="T24" s="19">
        <v>36.860019855339701</v>
      </c>
      <c r="U24" s="19">
        <v>33.1412508784259</v>
      </c>
      <c r="V24" s="19">
        <v>34.175889919234201</v>
      </c>
      <c r="W24" s="19">
        <v>41.478498489860499</v>
      </c>
      <c r="X24" s="19">
        <v>39.681908548707803</v>
      </c>
      <c r="Y24" s="19">
        <v>31.272294887039202</v>
      </c>
      <c r="Z24" s="19">
        <v>39.923223575007398</v>
      </c>
      <c r="AA24" s="19">
        <v>42.987951092766998</v>
      </c>
    </row>
    <row r="25" spans="1:27" x14ac:dyDescent="0.25">
      <c r="A25" s="10" t="s">
        <v>345</v>
      </c>
      <c r="B25" s="10" t="s">
        <v>346</v>
      </c>
      <c r="C25" s="13">
        <v>1.8821459982409801</v>
      </c>
      <c r="D25" s="13">
        <v>69.789436117059196</v>
      </c>
      <c r="E25" s="13">
        <v>-2.26228950501786</v>
      </c>
      <c r="F25" s="13">
        <v>11.6438356164384</v>
      </c>
      <c r="G25" s="13">
        <v>87.711452459653898</v>
      </c>
      <c r="H25" s="13">
        <v>32.7504941462673</v>
      </c>
      <c r="I25" s="13">
        <v>14.014283789246701</v>
      </c>
      <c r="J25" s="13">
        <v>14.743889148373</v>
      </c>
      <c r="K25" s="13">
        <v>8.8467106321376896</v>
      </c>
      <c r="L25" s="13">
        <v>1.9404392938957</v>
      </c>
      <c r="M25" s="13">
        <v>8.6388385974599693</v>
      </c>
      <c r="N25" s="13">
        <v>42.033383915022803</v>
      </c>
      <c r="O25" s="13">
        <v>16.3897763578275</v>
      </c>
      <c r="P25" s="13">
        <v>15.222948026128901</v>
      </c>
      <c r="Q25" s="13">
        <v>3.0179997293273799</v>
      </c>
      <c r="R25" s="13">
        <v>11.760075566750601</v>
      </c>
      <c r="S25" s="13">
        <v>1.93968783148962</v>
      </c>
      <c r="T25" s="13">
        <v>3.9710679336264398</v>
      </c>
      <c r="U25" s="13">
        <v>9.9086437104708391</v>
      </c>
      <c r="V25" s="13">
        <v>101.271313191744</v>
      </c>
      <c r="W25" s="13">
        <v>11.95167553574</v>
      </c>
      <c r="X25" s="13">
        <v>27.011265738899901</v>
      </c>
      <c r="Y25" s="13">
        <v>2.6291451975161801</v>
      </c>
      <c r="Z25" s="13"/>
      <c r="AA25" s="13"/>
    </row>
    <row r="26" spans="1:27" x14ac:dyDescent="0.25">
      <c r="A26" s="10" t="s">
        <v>347</v>
      </c>
      <c r="B26" s="10" t="s">
        <v>348</v>
      </c>
      <c r="C26" s="13" t="s">
        <v>148</v>
      </c>
      <c r="D26" s="13">
        <v>70.663811563169205</v>
      </c>
      <c r="E26" s="13">
        <v>13.607756421160101</v>
      </c>
      <c r="F26" s="13">
        <v>1.7483777937995699</v>
      </c>
      <c r="G26" s="13">
        <v>87.964223216021793</v>
      </c>
      <c r="H26" s="13">
        <v>17.804470123156499</v>
      </c>
      <c r="I26" s="13">
        <v>0.86241746395364505</v>
      </c>
      <c r="J26" s="13">
        <v>0.96528102132959703</v>
      </c>
      <c r="K26" s="13">
        <v>1.5441531285185801</v>
      </c>
      <c r="L26" s="13">
        <v>0.256030184611238</v>
      </c>
      <c r="M26" s="13">
        <v>9.2352291551628891</v>
      </c>
      <c r="N26" s="13" t="s">
        <v>148</v>
      </c>
      <c r="O26" s="13">
        <v>5.2715654952076703</v>
      </c>
      <c r="P26" s="13">
        <v>6.3618290258449299</v>
      </c>
      <c r="Q26" s="13">
        <v>2.1383137095682798</v>
      </c>
      <c r="R26" s="13">
        <v>7.5724181360201497</v>
      </c>
      <c r="S26" s="13">
        <v>3.5762994393089902</v>
      </c>
      <c r="T26" s="13">
        <v>1.2905970784285901</v>
      </c>
      <c r="U26" s="13">
        <v>4.87702037947997</v>
      </c>
      <c r="V26" s="13">
        <v>61.785821118755599</v>
      </c>
      <c r="W26" s="13">
        <v>0.54652667913131003</v>
      </c>
      <c r="X26" s="13">
        <v>6.6931742876076896</v>
      </c>
      <c r="Y26" s="13">
        <v>-0.145329634033558</v>
      </c>
      <c r="Z26" s="13"/>
      <c r="AA26" s="13"/>
    </row>
    <row r="27" spans="1:27" x14ac:dyDescent="0.25">
      <c r="A27" s="10" t="s">
        <v>349</v>
      </c>
      <c r="B27" s="10" t="s">
        <v>350</v>
      </c>
      <c r="C27" s="13" t="s">
        <v>148</v>
      </c>
      <c r="D27" s="13" t="s">
        <v>148</v>
      </c>
      <c r="E27" s="13" t="s">
        <v>148</v>
      </c>
      <c r="F27" s="13">
        <v>4.7945205479452104</v>
      </c>
      <c r="G27" s="13">
        <v>3.6943418238382302</v>
      </c>
      <c r="H27" s="13">
        <v>0.228067507982363</v>
      </c>
      <c r="I27" s="13">
        <v>4.8510982347392497</v>
      </c>
      <c r="J27" s="13">
        <v>8.3138720224194298</v>
      </c>
      <c r="K27" s="13">
        <v>0.257358854753096</v>
      </c>
      <c r="L27" s="13">
        <v>-0.22907963886268701</v>
      </c>
      <c r="M27" s="13">
        <v>4.1413583655438999E-2</v>
      </c>
      <c r="N27" s="13">
        <v>0.151745068285281</v>
      </c>
      <c r="O27" s="13" t="s">
        <v>148</v>
      </c>
      <c r="P27" s="13">
        <v>6.0636182902584501</v>
      </c>
      <c r="Q27" s="13">
        <v>2.7067262146433901E-2</v>
      </c>
      <c r="R27" s="13">
        <v>0.14168765743073</v>
      </c>
      <c r="S27" s="13">
        <v>0.469768146688892</v>
      </c>
      <c r="T27" s="13">
        <v>-1.4182385477237301E-2</v>
      </c>
      <c r="U27" s="13">
        <v>-0.82923401264933205</v>
      </c>
      <c r="V27" s="13">
        <v>1.9892312294346399</v>
      </c>
      <c r="W27" s="13">
        <v>0.30202790162519799</v>
      </c>
      <c r="X27" s="13">
        <v>0.17229953611663401</v>
      </c>
      <c r="Y27" s="13">
        <v>0.105694279297133</v>
      </c>
      <c r="Z27" s="13"/>
      <c r="AA27" s="13"/>
    </row>
    <row r="28" spans="1:27" x14ac:dyDescent="0.25">
      <c r="A28" s="10" t="s">
        <v>351</v>
      </c>
      <c r="B28" s="10" t="s">
        <v>352</v>
      </c>
      <c r="C28" s="13" t="s">
        <v>148</v>
      </c>
      <c r="D28" s="13" t="s">
        <v>148</v>
      </c>
      <c r="E28" s="13" t="s">
        <v>148</v>
      </c>
      <c r="F28" s="13" t="s">
        <v>148</v>
      </c>
      <c r="G28" s="13" t="s">
        <v>148</v>
      </c>
      <c r="H28" s="13" t="s">
        <v>148</v>
      </c>
      <c r="I28" s="13" t="s">
        <v>148</v>
      </c>
      <c r="J28" s="13" t="s">
        <v>148</v>
      </c>
      <c r="K28" s="13" t="s">
        <v>148</v>
      </c>
      <c r="L28" s="13" t="s">
        <v>148</v>
      </c>
      <c r="M28" s="13" t="s">
        <v>148</v>
      </c>
      <c r="N28" s="13">
        <v>40.971168437025803</v>
      </c>
      <c r="O28" s="13" t="s">
        <v>148</v>
      </c>
      <c r="P28" s="13" t="s">
        <v>148</v>
      </c>
      <c r="Q28" s="13" t="s">
        <v>148</v>
      </c>
      <c r="R28" s="13" t="s">
        <v>148</v>
      </c>
      <c r="S28" s="13" t="s">
        <v>148</v>
      </c>
      <c r="T28" s="13" t="s">
        <v>148</v>
      </c>
      <c r="U28" s="13">
        <v>0.70274068868587503</v>
      </c>
      <c r="V28" s="13">
        <v>36.344600658091501</v>
      </c>
      <c r="W28" s="13" t="s">
        <v>148</v>
      </c>
      <c r="X28" s="13">
        <v>23.194168323393001</v>
      </c>
      <c r="Y28" s="13" t="s">
        <v>148</v>
      </c>
      <c r="Z28" s="13"/>
      <c r="AA28" s="13"/>
    </row>
    <row r="29" spans="1:27" x14ac:dyDescent="0.25">
      <c r="A29" s="10" t="s">
        <v>353</v>
      </c>
      <c r="B29" s="10" t="s">
        <v>354</v>
      </c>
      <c r="C29" s="13" t="s">
        <v>148</v>
      </c>
      <c r="D29" s="13" t="s">
        <v>148</v>
      </c>
      <c r="E29" s="13" t="s">
        <v>148</v>
      </c>
      <c r="F29" s="13" t="s">
        <v>148</v>
      </c>
      <c r="G29" s="13" t="s">
        <v>148</v>
      </c>
      <c r="H29" s="13" t="s">
        <v>148</v>
      </c>
      <c r="I29" s="13" t="s">
        <v>148</v>
      </c>
      <c r="J29" s="13" t="s">
        <v>148</v>
      </c>
      <c r="K29" s="13" t="s">
        <v>148</v>
      </c>
      <c r="L29" s="13" t="s">
        <v>148</v>
      </c>
      <c r="M29" s="13">
        <v>5.2422252898950902E-2</v>
      </c>
      <c r="N29" s="13">
        <v>0.91047040971168403</v>
      </c>
      <c r="O29" s="13" t="s">
        <v>148</v>
      </c>
      <c r="P29" s="13" t="s">
        <v>148</v>
      </c>
      <c r="Q29" s="13" t="s">
        <v>148</v>
      </c>
      <c r="R29" s="13" t="s">
        <v>148</v>
      </c>
      <c r="S29" s="13" t="s">
        <v>148</v>
      </c>
      <c r="T29" s="13">
        <v>0.31201248049921998</v>
      </c>
      <c r="U29" s="13">
        <v>7.0976809557273404</v>
      </c>
      <c r="V29" s="13">
        <v>0.94226742446903999</v>
      </c>
      <c r="W29" s="13">
        <v>0.30202790162519799</v>
      </c>
      <c r="X29" s="13">
        <v>0.37110669317428802</v>
      </c>
      <c r="Y29" s="13">
        <v>1.0040956533227601</v>
      </c>
      <c r="Z29" s="13"/>
      <c r="AA29" s="13"/>
    </row>
    <row r="30" spans="1:27" x14ac:dyDescent="0.25">
      <c r="A30" s="10" t="s">
        <v>355</v>
      </c>
      <c r="B30" s="10" t="s">
        <v>356</v>
      </c>
      <c r="C30" s="13" t="s">
        <v>148</v>
      </c>
      <c r="D30" s="13">
        <v>-1.0349750178443999</v>
      </c>
      <c r="E30" s="13">
        <v>-15.8020071440721</v>
      </c>
      <c r="F30" s="13">
        <v>5.1009372746935799</v>
      </c>
      <c r="G30" s="13">
        <v>-3.9082247715341198</v>
      </c>
      <c r="H30" s="13">
        <v>14.733161015660601</v>
      </c>
      <c r="I30" s="13">
        <v>8.3007680905538308</v>
      </c>
      <c r="J30" s="13">
        <v>5.4647361046240102</v>
      </c>
      <c r="K30" s="13">
        <v>2.7987775454399202</v>
      </c>
      <c r="L30" s="13">
        <v>1.9134887481471501</v>
      </c>
      <c r="M30" s="13">
        <v>-0.77305356156819405</v>
      </c>
      <c r="N30" s="13" t="s">
        <v>148</v>
      </c>
      <c r="O30" s="13">
        <v>9.76038338658147</v>
      </c>
      <c r="P30" s="13">
        <v>2.81170122124397</v>
      </c>
      <c r="Q30" s="13">
        <v>0.82555149546623396</v>
      </c>
      <c r="R30" s="13">
        <v>4.0459697732997499</v>
      </c>
      <c r="S30" s="13">
        <v>-2.1063797545082599</v>
      </c>
      <c r="T30" s="13">
        <v>2.3826407601758599</v>
      </c>
      <c r="U30" s="13">
        <v>-2.6563598032326099</v>
      </c>
      <c r="V30" s="13">
        <v>0.20939276099311999</v>
      </c>
      <c r="W30" s="13">
        <v>10.801093053358301</v>
      </c>
      <c r="X30" s="13">
        <v>-3.4194831013916498</v>
      </c>
      <c r="Y30" s="13">
        <v>1.6646848989298499</v>
      </c>
      <c r="Z30" s="13"/>
      <c r="AA30" s="13"/>
    </row>
    <row r="31" spans="1:27" x14ac:dyDescent="0.25">
      <c r="A31" s="10" t="s">
        <v>357</v>
      </c>
      <c r="B31" s="10" t="s">
        <v>358</v>
      </c>
      <c r="C31" s="13">
        <v>-1.0026385224274399</v>
      </c>
      <c r="D31" s="13" t="s">
        <v>148</v>
      </c>
      <c r="E31" s="13" t="s">
        <v>148</v>
      </c>
      <c r="F31" s="13" t="s">
        <v>148</v>
      </c>
      <c r="G31" s="13" t="s">
        <v>148</v>
      </c>
      <c r="H31" s="13" t="s">
        <v>148</v>
      </c>
      <c r="I31" s="13" t="s">
        <v>148</v>
      </c>
      <c r="J31" s="13" t="s">
        <v>148</v>
      </c>
      <c r="K31" s="13" t="s">
        <v>148</v>
      </c>
      <c r="L31" s="13" t="s">
        <v>148</v>
      </c>
      <c r="M31" s="13" t="s">
        <v>148</v>
      </c>
      <c r="N31" s="13" t="s">
        <v>148</v>
      </c>
      <c r="O31" s="13" t="s">
        <v>148</v>
      </c>
      <c r="P31" s="13" t="s">
        <v>148</v>
      </c>
      <c r="Q31" s="13" t="s">
        <v>148</v>
      </c>
      <c r="R31" s="13" t="s">
        <v>148</v>
      </c>
      <c r="S31" s="13" t="s">
        <v>148</v>
      </c>
      <c r="T31" s="13" t="s">
        <v>148</v>
      </c>
      <c r="U31" s="13" t="s">
        <v>148</v>
      </c>
      <c r="V31" s="13" t="s">
        <v>148</v>
      </c>
      <c r="W31" s="13" t="s">
        <v>148</v>
      </c>
      <c r="X31" s="13" t="s">
        <v>148</v>
      </c>
      <c r="Y31" s="13" t="s">
        <v>148</v>
      </c>
      <c r="Z31" s="13"/>
      <c r="AA31" s="13"/>
    </row>
    <row r="32" spans="1:27" x14ac:dyDescent="0.25">
      <c r="A32" s="10" t="s">
        <v>359</v>
      </c>
      <c r="B32" s="10" t="s">
        <v>360</v>
      </c>
      <c r="C32" s="13">
        <v>2.8847845206684299</v>
      </c>
      <c r="D32" s="13">
        <v>0.16059957173447501</v>
      </c>
      <c r="E32" s="13">
        <v>-6.8038782105800305E-2</v>
      </c>
      <c r="F32" s="13" t="s">
        <v>148</v>
      </c>
      <c r="G32" s="13">
        <v>-3.88878086719813E-2</v>
      </c>
      <c r="H32" s="13">
        <v>-1.52045005321575E-2</v>
      </c>
      <c r="I32" s="13" t="s">
        <v>148</v>
      </c>
      <c r="J32" s="13" t="s">
        <v>148</v>
      </c>
      <c r="K32" s="13">
        <v>4.2464211034260897</v>
      </c>
      <c r="L32" s="13" t="s">
        <v>148</v>
      </c>
      <c r="M32" s="13">
        <v>8.2827167310877997E-2</v>
      </c>
      <c r="N32" s="13" t="s">
        <v>148</v>
      </c>
      <c r="O32" s="13">
        <v>1.35782747603834</v>
      </c>
      <c r="P32" s="13">
        <v>-1.42005112184039E-2</v>
      </c>
      <c r="Q32" s="13">
        <v>2.7067262146433901E-2</v>
      </c>
      <c r="R32" s="13" t="s">
        <v>148</v>
      </c>
      <c r="S32" s="13" t="s">
        <v>148</v>
      </c>
      <c r="T32" s="13" t="s">
        <v>148</v>
      </c>
      <c r="U32" s="13">
        <v>0.716795502459592</v>
      </c>
      <c r="V32" s="13" t="s">
        <v>148</v>
      </c>
      <c r="W32" s="13" t="s">
        <v>148</v>
      </c>
      <c r="X32" s="13" t="s">
        <v>148</v>
      </c>
      <c r="Y32" s="13" t="s">
        <v>148</v>
      </c>
      <c r="Z32" s="13"/>
      <c r="AA32" s="13"/>
    </row>
    <row r="33" spans="1:27" x14ac:dyDescent="0.25">
      <c r="A33" s="6" t="s">
        <v>361</v>
      </c>
      <c r="B33" s="6" t="s">
        <v>158</v>
      </c>
      <c r="C33" s="19">
        <v>42.3922603342128</v>
      </c>
      <c r="D33" s="19">
        <v>-26.784439685938601</v>
      </c>
      <c r="E33" s="19">
        <v>32.335431195781602</v>
      </c>
      <c r="F33" s="19">
        <v>36.103100216294202</v>
      </c>
      <c r="G33" s="19">
        <v>-57.806727590900302</v>
      </c>
      <c r="H33" s="19">
        <v>12.54371293903</v>
      </c>
      <c r="I33" s="19">
        <v>24.444144993936099</v>
      </c>
      <c r="J33" s="19">
        <v>35.248326327261402</v>
      </c>
      <c r="K33" s="19">
        <v>29.226314942898501</v>
      </c>
      <c r="L33" s="19">
        <v>46.327988141759903</v>
      </c>
      <c r="M33" s="19">
        <v>10.4776366648261</v>
      </c>
      <c r="N33" s="19">
        <v>-2.3065250379362698</v>
      </c>
      <c r="O33" s="19">
        <v>24.0095846645367</v>
      </c>
      <c r="P33" s="19">
        <v>34.535643283158201</v>
      </c>
      <c r="Q33" s="19">
        <v>27.486804709703598</v>
      </c>
      <c r="R33" s="19">
        <v>20.465994962216602</v>
      </c>
      <c r="S33" s="19">
        <v>24.0642521594181</v>
      </c>
      <c r="T33" s="19">
        <v>32.8889519217132</v>
      </c>
      <c r="U33" s="19">
        <v>23.232607167954999</v>
      </c>
      <c r="V33" s="19">
        <v>-67.095423272509706</v>
      </c>
      <c r="W33" s="19">
        <v>29.526822954120501</v>
      </c>
      <c r="X33" s="19">
        <v>12.6706428098078</v>
      </c>
      <c r="Y33" s="19">
        <v>28.643149689523099</v>
      </c>
      <c r="Z33" s="19">
        <v>39.923223575007398</v>
      </c>
      <c r="AA33" s="19">
        <v>42.987951092766998</v>
      </c>
    </row>
    <row r="34" spans="1:27" x14ac:dyDescent="0.25">
      <c r="A34" s="10" t="s">
        <v>362</v>
      </c>
      <c r="B34" s="10" t="s">
        <v>363</v>
      </c>
      <c r="C34" s="13">
        <v>9.4107299912049207</v>
      </c>
      <c r="D34" s="13">
        <v>-5.9421841541755898</v>
      </c>
      <c r="E34" s="13">
        <v>-13.4036400748427</v>
      </c>
      <c r="F34" s="13">
        <v>8.3813987022350407</v>
      </c>
      <c r="G34" s="13">
        <v>7.2525763173245199</v>
      </c>
      <c r="H34" s="13">
        <v>7.1765242511783498</v>
      </c>
      <c r="I34" s="13">
        <v>3.6383236760544402</v>
      </c>
      <c r="J34" s="13">
        <v>8.4384244122684091</v>
      </c>
      <c r="K34" s="13">
        <v>4.82547852662056</v>
      </c>
      <c r="L34" s="13">
        <v>11.4809324888829</v>
      </c>
      <c r="M34" s="13">
        <v>5.2871341800110399</v>
      </c>
      <c r="N34" s="13">
        <v>-2.4886191198785999</v>
      </c>
      <c r="O34" s="13">
        <v>5.8785942492012797</v>
      </c>
      <c r="P34" s="13">
        <v>9.1735302470889</v>
      </c>
      <c r="Q34" s="13">
        <v>5.3863851671403404</v>
      </c>
      <c r="R34" s="13">
        <v>4.9748110831234298</v>
      </c>
      <c r="S34" s="13">
        <v>8.3194423397484503</v>
      </c>
      <c r="T34" s="13">
        <v>2.0706282796766402</v>
      </c>
      <c r="U34" s="13">
        <v>3.31693605059733</v>
      </c>
      <c r="V34" s="13">
        <v>-4.7262937481304199</v>
      </c>
      <c r="W34" s="13">
        <v>6.3138213720696097</v>
      </c>
      <c r="X34" s="13">
        <v>-3.9363817097415499</v>
      </c>
      <c r="Y34" s="13">
        <v>5.0865371911745303</v>
      </c>
      <c r="Z34" s="13"/>
      <c r="AA34" s="13"/>
    </row>
    <row r="35" spans="1:27" x14ac:dyDescent="0.25">
      <c r="A35" s="6" t="s">
        <v>364</v>
      </c>
      <c r="B35" s="6" t="s">
        <v>365</v>
      </c>
      <c r="C35" s="19">
        <v>32.981530343007897</v>
      </c>
      <c r="D35" s="19">
        <v>-20.842255531763001</v>
      </c>
      <c r="E35" s="19">
        <v>45.739071270624301</v>
      </c>
      <c r="F35" s="19">
        <v>27.721701514059099</v>
      </c>
      <c r="G35" s="19">
        <v>-65.059303908224805</v>
      </c>
      <c r="H35" s="19">
        <v>5.3671886878516002</v>
      </c>
      <c r="I35" s="19">
        <v>20.805821317881701</v>
      </c>
      <c r="J35" s="19">
        <v>26.809901914992999</v>
      </c>
      <c r="K35" s="19">
        <v>24.400836416277901</v>
      </c>
      <c r="L35" s="19">
        <v>34.847055652877003</v>
      </c>
      <c r="M35" s="19">
        <v>5.1905024848150196</v>
      </c>
      <c r="N35" s="19">
        <v>0.182094081942337</v>
      </c>
      <c r="O35" s="19">
        <v>18.1309904153355</v>
      </c>
      <c r="P35" s="19">
        <v>25.362113036069299</v>
      </c>
      <c r="Q35" s="19">
        <v>22.100419542563301</v>
      </c>
      <c r="R35" s="19">
        <v>15.491183879093199</v>
      </c>
      <c r="S35" s="19">
        <v>15.7448098196696</v>
      </c>
      <c r="T35" s="19">
        <v>30.818323642036599</v>
      </c>
      <c r="U35" s="19">
        <v>19.9156711173577</v>
      </c>
      <c r="V35" s="19">
        <v>-62.369129524379296</v>
      </c>
      <c r="W35" s="19">
        <v>23.2130015820509</v>
      </c>
      <c r="X35" s="19">
        <v>16.607024519549402</v>
      </c>
      <c r="Y35" s="19">
        <v>23.5566124983485</v>
      </c>
      <c r="Z35" s="19">
        <v>23.942376435400099</v>
      </c>
      <c r="AA35" s="19">
        <v>26.595466921063199</v>
      </c>
    </row>
    <row r="36" spans="1:27" x14ac:dyDescent="0.25">
      <c r="A36" s="10" t="s">
        <v>366</v>
      </c>
      <c r="B36" s="10" t="s">
        <v>367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/>
      <c r="AA36" s="13"/>
    </row>
    <row r="37" spans="1:27" x14ac:dyDescent="0.25">
      <c r="A37" s="10" t="s">
        <v>368</v>
      </c>
      <c r="B37" s="10" t="s">
        <v>369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/>
      <c r="AA37" s="13"/>
    </row>
    <row r="38" spans="1:27" x14ac:dyDescent="0.25">
      <c r="A38" s="10" t="s">
        <v>370</v>
      </c>
      <c r="B38" s="10" t="s">
        <v>371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/>
      <c r="AA38" s="13"/>
    </row>
    <row r="39" spans="1:27" x14ac:dyDescent="0.25">
      <c r="A39" s="6" t="s">
        <v>372</v>
      </c>
      <c r="B39" s="6" t="s">
        <v>373</v>
      </c>
      <c r="C39" s="19">
        <v>32.981530343007897</v>
      </c>
      <c r="D39" s="19">
        <v>-20.842255531763001</v>
      </c>
      <c r="E39" s="19">
        <v>45.739071270624301</v>
      </c>
      <c r="F39" s="19">
        <v>27.721701514059099</v>
      </c>
      <c r="G39" s="19">
        <v>-65.059303908224805</v>
      </c>
      <c r="H39" s="19">
        <v>5.3671886878516002</v>
      </c>
      <c r="I39" s="19">
        <v>20.805821317881701</v>
      </c>
      <c r="J39" s="19">
        <v>26.809901914992999</v>
      </c>
      <c r="K39" s="19">
        <v>24.400836416277901</v>
      </c>
      <c r="L39" s="19">
        <v>34.847055652877003</v>
      </c>
      <c r="M39" s="19">
        <v>5.1905024848150196</v>
      </c>
      <c r="N39" s="19">
        <v>0.182094081942337</v>
      </c>
      <c r="O39" s="19">
        <v>18.1309904153355</v>
      </c>
      <c r="P39" s="19">
        <v>25.362113036069299</v>
      </c>
      <c r="Q39" s="19">
        <v>22.100419542563301</v>
      </c>
      <c r="R39" s="19">
        <v>15.491183879093199</v>
      </c>
      <c r="S39" s="19">
        <v>15.7448098196696</v>
      </c>
      <c r="T39" s="19">
        <v>30.818323642036599</v>
      </c>
      <c r="U39" s="19">
        <v>19.9156711173577</v>
      </c>
      <c r="V39" s="19">
        <v>-62.369129524379296</v>
      </c>
      <c r="W39" s="19">
        <v>23.2130015820509</v>
      </c>
      <c r="X39" s="19">
        <v>16.607024519549402</v>
      </c>
      <c r="Y39" s="19">
        <v>23.5566124983485</v>
      </c>
      <c r="Z39" s="19"/>
      <c r="AA39" s="19"/>
    </row>
    <row r="40" spans="1:27" x14ac:dyDescent="0.25">
      <c r="A40" s="10" t="s">
        <v>374</v>
      </c>
      <c r="B40" s="10" t="s">
        <v>375</v>
      </c>
      <c r="C40" s="13">
        <v>-8.7950747581354405E-2</v>
      </c>
      <c r="D40" s="13">
        <v>-5.3533190578158502E-2</v>
      </c>
      <c r="E40" s="13">
        <v>-0.119067868685151</v>
      </c>
      <c r="F40" s="13">
        <v>-0.23431867339581799</v>
      </c>
      <c r="G40" s="13">
        <v>-0.13610733035193501</v>
      </c>
      <c r="H40" s="13">
        <v>-0.106431503725103</v>
      </c>
      <c r="I40" s="13">
        <v>-9.4326910119929899E-2</v>
      </c>
      <c r="J40" s="13">
        <v>-0.108983341117858</v>
      </c>
      <c r="K40" s="13">
        <v>-8.0424642110342601E-2</v>
      </c>
      <c r="L40" s="13">
        <v>-8.0851637245654195E-2</v>
      </c>
      <c r="M40" s="13">
        <v>-8.2827167310877997E-2</v>
      </c>
      <c r="N40" s="13">
        <v>-0.106221547799697</v>
      </c>
      <c r="O40" s="13">
        <v>-0.143769968051118</v>
      </c>
      <c r="P40" s="13">
        <v>-4.2601533655211597E-2</v>
      </c>
      <c r="Q40" s="13">
        <v>-9.4735417512518599E-2</v>
      </c>
      <c r="R40" s="13">
        <v>-0.40931989924433199</v>
      </c>
      <c r="S40" s="13">
        <v>-9.0922867101075902E-2</v>
      </c>
      <c r="T40" s="13">
        <v>-0.113459083817898</v>
      </c>
      <c r="U40" s="13">
        <v>-0.16865776528460999</v>
      </c>
      <c r="V40" s="13">
        <v>0</v>
      </c>
      <c r="W40" s="13">
        <v>0</v>
      </c>
      <c r="X40" s="13">
        <v>0</v>
      </c>
      <c r="Y40" s="13">
        <v>0</v>
      </c>
      <c r="Z40" s="13"/>
      <c r="AA40" s="13"/>
    </row>
    <row r="41" spans="1:27" x14ac:dyDescent="0.25">
      <c r="A41" s="6" t="s">
        <v>376</v>
      </c>
      <c r="B41" s="6" t="s">
        <v>377</v>
      </c>
      <c r="C41" s="19">
        <v>33.069481090589299</v>
      </c>
      <c r="D41" s="19">
        <v>-20.788722341184901</v>
      </c>
      <c r="E41" s="19">
        <v>45.858139139309401</v>
      </c>
      <c r="F41" s="19">
        <v>27.9560201874549</v>
      </c>
      <c r="G41" s="19">
        <v>-64.923196577872801</v>
      </c>
      <c r="H41" s="19">
        <v>5.4736201915767104</v>
      </c>
      <c r="I41" s="19">
        <v>20.900148228001601</v>
      </c>
      <c r="J41" s="19">
        <v>26.918885256110901</v>
      </c>
      <c r="K41" s="19">
        <v>24.481261058388299</v>
      </c>
      <c r="L41" s="19">
        <v>34.927907290122597</v>
      </c>
      <c r="M41" s="19">
        <v>5.2733296521259003</v>
      </c>
      <c r="N41" s="19">
        <v>0.28831562974203301</v>
      </c>
      <c r="O41" s="19">
        <v>18.274760383386599</v>
      </c>
      <c r="P41" s="19">
        <v>25.404714569724501</v>
      </c>
      <c r="Q41" s="19">
        <v>22.195154960075801</v>
      </c>
      <c r="R41" s="19">
        <v>15.9005037783375</v>
      </c>
      <c r="S41" s="19">
        <v>15.835732686770699</v>
      </c>
      <c r="T41" s="19">
        <v>30.917600340377199</v>
      </c>
      <c r="U41" s="19">
        <v>20.0843288826423</v>
      </c>
      <c r="V41" s="19">
        <v>-62.369129524379296</v>
      </c>
      <c r="W41" s="19">
        <v>23.2130015820509</v>
      </c>
      <c r="X41" s="19">
        <v>16.607024519549402</v>
      </c>
      <c r="Y41" s="19">
        <v>23.5566124983485</v>
      </c>
      <c r="Z41" s="19">
        <v>23.942376435400099</v>
      </c>
      <c r="AA41" s="19">
        <v>26.595466921063199</v>
      </c>
    </row>
    <row r="42" spans="1:27" x14ac:dyDescent="0.25">
      <c r="A42" s="10" t="s">
        <v>378</v>
      </c>
      <c r="B42" s="10" t="s">
        <v>379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/>
      <c r="AA42" s="13"/>
    </row>
    <row r="43" spans="1:27" x14ac:dyDescent="0.25">
      <c r="A43" s="10" t="s">
        <v>380</v>
      </c>
      <c r="B43" s="10" t="s">
        <v>381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/>
      <c r="AA43" s="13"/>
    </row>
    <row r="44" spans="1:27" x14ac:dyDescent="0.25">
      <c r="A44" s="6" t="s">
        <v>382</v>
      </c>
      <c r="B44" s="6" t="s">
        <v>80</v>
      </c>
      <c r="C44" s="19">
        <v>33.069481090589299</v>
      </c>
      <c r="D44" s="19">
        <v>-20.788722341184901</v>
      </c>
      <c r="E44" s="19">
        <v>45.858139139309401</v>
      </c>
      <c r="F44" s="19">
        <v>27.9560201874549</v>
      </c>
      <c r="G44" s="19">
        <v>-64.923196577872801</v>
      </c>
      <c r="H44" s="19">
        <v>5.4736201915767104</v>
      </c>
      <c r="I44" s="19">
        <v>20.900148228001601</v>
      </c>
      <c r="J44" s="19">
        <v>26.918885256110901</v>
      </c>
      <c r="K44" s="19">
        <v>24.481261058388299</v>
      </c>
      <c r="L44" s="19">
        <v>34.927907290122597</v>
      </c>
      <c r="M44" s="19">
        <v>5.2733296521259003</v>
      </c>
      <c r="N44" s="19">
        <v>0.28831562974203301</v>
      </c>
      <c r="O44" s="19">
        <v>18.274760383386599</v>
      </c>
      <c r="P44" s="19">
        <v>25.404714569724501</v>
      </c>
      <c r="Q44" s="19">
        <v>22.195154960075801</v>
      </c>
      <c r="R44" s="19">
        <v>15.9005037783375</v>
      </c>
      <c r="S44" s="19">
        <v>15.835732686770699</v>
      </c>
      <c r="T44" s="19">
        <v>30.917600340377199</v>
      </c>
      <c r="U44" s="19">
        <v>20.0843288826423</v>
      </c>
      <c r="V44" s="19">
        <v>-62.369129524379296</v>
      </c>
      <c r="W44" s="19">
        <v>23.2130015820509</v>
      </c>
      <c r="X44" s="19">
        <v>16.607024519549402</v>
      </c>
      <c r="Y44" s="19">
        <v>23.5566124983485</v>
      </c>
      <c r="Z44" s="19">
        <v>23.942376435400099</v>
      </c>
      <c r="AA44" s="19">
        <v>26.595466921063199</v>
      </c>
    </row>
    <row r="45" spans="1:27" x14ac:dyDescent="0.25">
      <c r="A45" s="6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x14ac:dyDescent="0.25">
      <c r="A46" s="10" t="s">
        <v>384</v>
      </c>
      <c r="B46" s="10" t="s">
        <v>385</v>
      </c>
      <c r="C46" s="13">
        <v>1.1257695690413401</v>
      </c>
      <c r="D46" s="13">
        <v>53.693790149892898</v>
      </c>
      <c r="E46" s="13">
        <v>-26.245960197312499</v>
      </c>
      <c r="F46" s="13">
        <v>10.598413842826201</v>
      </c>
      <c r="G46" s="13">
        <v>87.789228076997901</v>
      </c>
      <c r="H46" s="13">
        <v>31.491713547210001</v>
      </c>
      <c r="I46" s="13">
        <v>11.8851906751112</v>
      </c>
      <c r="J46" s="13">
        <v>13.996574809279201</v>
      </c>
      <c r="K46" s="13">
        <v>6.1926974424963799</v>
      </c>
      <c r="L46" s="13">
        <v>4.3122220724969704</v>
      </c>
      <c r="M46" s="13">
        <v>7.8771397018222</v>
      </c>
      <c r="N46" s="13">
        <v>32.625189681335399</v>
      </c>
      <c r="O46" s="13">
        <v>10.522364217252401</v>
      </c>
      <c r="P46" s="13">
        <v>13.5633342800341</v>
      </c>
      <c r="Q46" s="13">
        <v>3.3133035593449698</v>
      </c>
      <c r="R46" s="13">
        <v>10.579187657430699</v>
      </c>
      <c r="S46" s="13">
        <v>6.2404399151386603</v>
      </c>
      <c r="T46" s="13">
        <v>4.3949794355410603</v>
      </c>
      <c r="U46" s="13">
        <v>7.6617006324666201</v>
      </c>
      <c r="V46" s="13">
        <v>79.741100807657801</v>
      </c>
      <c r="W46" s="13">
        <v>6.8606356968215199</v>
      </c>
      <c r="X46" s="13">
        <v>16.142478462558</v>
      </c>
      <c r="Y46" s="13">
        <v>1.85374554102259</v>
      </c>
      <c r="Z46" s="13"/>
      <c r="AA46" s="13"/>
    </row>
    <row r="47" spans="1:27" x14ac:dyDescent="0.25">
      <c r="A47" s="10" t="s">
        <v>386</v>
      </c>
      <c r="B47" s="10" t="s">
        <v>367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/>
      <c r="AA47" s="13"/>
    </row>
    <row r="48" spans="1:27" x14ac:dyDescent="0.25">
      <c r="A48" s="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x14ac:dyDescent="0.25">
      <c r="A49" s="10" t="s">
        <v>259</v>
      </c>
      <c r="B49" s="10" t="s">
        <v>106</v>
      </c>
      <c r="C49" s="13">
        <v>22.339489885664001</v>
      </c>
      <c r="D49" s="13">
        <v>22.608850820842299</v>
      </c>
      <c r="E49" s="13">
        <v>21.5342745364858</v>
      </c>
      <c r="F49" s="13">
        <v>22.7469358327325</v>
      </c>
      <c r="G49" s="13">
        <v>24.4020999416683</v>
      </c>
      <c r="H49" s="13">
        <v>19.081648167857701</v>
      </c>
      <c r="I49" s="13">
        <v>16.911467457215998</v>
      </c>
      <c r="J49" s="13">
        <v>19.554725206289898</v>
      </c>
      <c r="K49" s="13">
        <v>20.186585169695999</v>
      </c>
      <c r="L49" s="13">
        <v>16.924942730090301</v>
      </c>
      <c r="M49" s="13">
        <v>17.338487023743799</v>
      </c>
      <c r="N49" s="13">
        <v>19.044006069802698</v>
      </c>
      <c r="O49" s="13">
        <v>20.0638977635783</v>
      </c>
      <c r="P49" s="13">
        <v>17.821641579096799</v>
      </c>
      <c r="Q49" s="13">
        <v>16.9441061036676</v>
      </c>
      <c r="R49" s="13">
        <v>19.647355163728001</v>
      </c>
      <c r="S49" s="13">
        <v>18.9271101682073</v>
      </c>
      <c r="T49" s="13">
        <v>17.699617075592101</v>
      </c>
      <c r="U49" s="13">
        <v>17.5404075895994</v>
      </c>
      <c r="V49" s="13">
        <v>18.650912354172899</v>
      </c>
      <c r="W49" s="13">
        <v>17.934704444124801</v>
      </c>
      <c r="X49" s="13">
        <v>16.527501656726301</v>
      </c>
      <c r="Y49" s="13">
        <v>16.488307570352799</v>
      </c>
      <c r="Z49" s="13"/>
      <c r="AA49" s="13"/>
    </row>
    <row r="50" spans="1:27" x14ac:dyDescent="0.25">
      <c r="A50" s="6" t="s">
        <v>101</v>
      </c>
      <c r="B50" s="6" t="s">
        <v>102</v>
      </c>
      <c r="C50" s="19">
        <v>2.6033421284080899E-2</v>
      </c>
      <c r="D50" s="19">
        <v>-1.6416845110635299E-2</v>
      </c>
      <c r="E50" s="19">
        <v>3.62306514713387E-2</v>
      </c>
      <c r="F50" s="19">
        <v>2.2170151405912001E-2</v>
      </c>
      <c r="G50" s="19">
        <v>-5.17207855337352E-2</v>
      </c>
      <c r="H50" s="19">
        <v>4.4093051543256804E-3</v>
      </c>
      <c r="I50" s="19">
        <v>1.6709338364101899E-2</v>
      </c>
      <c r="J50" s="19">
        <v>2.14852872489491E-2</v>
      </c>
      <c r="K50" s="19">
        <v>1.9462763390702902E-2</v>
      </c>
      <c r="L50" s="19">
        <v>2.7759062121008E-2</v>
      </c>
      <c r="M50" s="19">
        <v>4.1413583655439002E-3</v>
      </c>
      <c r="N50" s="19">
        <v>3.0349013657056102E-4</v>
      </c>
      <c r="O50" s="19">
        <v>1.45367412140575E-2</v>
      </c>
      <c r="P50" s="19">
        <v>2.0306731042317502E-2</v>
      </c>
      <c r="Q50" s="19">
        <v>1.7729056705914199E-2</v>
      </c>
      <c r="R50" s="19">
        <v>1.27518891687657E-2</v>
      </c>
      <c r="S50" s="19">
        <v>1.27292013941506E-2</v>
      </c>
      <c r="T50" s="19">
        <v>2.48191745851652E-2</v>
      </c>
      <c r="U50" s="19">
        <v>1.6163035839775099E-2</v>
      </c>
      <c r="V50" s="19">
        <v>-4.9955130122644298E-2</v>
      </c>
      <c r="W50" s="19">
        <v>1.8553142528404998E-2</v>
      </c>
      <c r="X50" s="19">
        <v>1.32538104705103E-2</v>
      </c>
      <c r="Y50" s="19">
        <v>1.8892852424362502E-2</v>
      </c>
      <c r="Z50" s="19">
        <v>1.8641943989606599E-2</v>
      </c>
      <c r="AA50" s="19">
        <v>2.1086163389123599E-2</v>
      </c>
    </row>
    <row r="51" spans="1:27" x14ac:dyDescent="0.25">
      <c r="A51" s="6" t="s">
        <v>387</v>
      </c>
      <c r="B51" s="6" t="s">
        <v>266</v>
      </c>
      <c r="C51" s="19">
        <v>2.6033421284080899E-2</v>
      </c>
      <c r="D51" s="19">
        <v>-1.6416845110635299E-2</v>
      </c>
      <c r="E51" s="19">
        <v>3.62306514713387E-2</v>
      </c>
      <c r="F51" s="19">
        <v>2.2170151405912001E-2</v>
      </c>
      <c r="G51" s="19">
        <v>-5.17207855337352E-2</v>
      </c>
      <c r="H51" s="19">
        <v>4.4093051543256804E-3</v>
      </c>
      <c r="I51" s="19">
        <v>1.6709338364101899E-2</v>
      </c>
      <c r="J51" s="19">
        <v>2.14852872489491E-2</v>
      </c>
      <c r="K51" s="19">
        <v>1.9462763390702902E-2</v>
      </c>
      <c r="L51" s="19">
        <v>2.7759062121008E-2</v>
      </c>
      <c r="M51" s="19">
        <v>4.1413583655439002E-3</v>
      </c>
      <c r="N51" s="19">
        <v>3.0349013657056102E-4</v>
      </c>
      <c r="O51" s="19">
        <v>1.45367412140575E-2</v>
      </c>
      <c r="P51" s="19">
        <v>2.0306731042317502E-2</v>
      </c>
      <c r="Q51" s="19">
        <v>1.7729056705914199E-2</v>
      </c>
      <c r="R51" s="19">
        <v>1.27518891687657E-2</v>
      </c>
      <c r="S51" s="19">
        <v>1.27292013941506E-2</v>
      </c>
      <c r="T51" s="19">
        <v>2.48191745851652E-2</v>
      </c>
      <c r="U51" s="19">
        <v>1.6163035839775099E-2</v>
      </c>
      <c r="V51" s="19">
        <v>-4.9955130122644298E-2</v>
      </c>
      <c r="W51" s="19">
        <v>1.8553142528404998E-2</v>
      </c>
      <c r="X51" s="19">
        <v>1.32538104705103E-2</v>
      </c>
      <c r="Y51" s="19">
        <v>1.8892852424362502E-2</v>
      </c>
      <c r="Z51" s="19">
        <v>1.8641943989606599E-2</v>
      </c>
      <c r="AA51" s="19">
        <v>2.1086163389123599E-2</v>
      </c>
    </row>
    <row r="52" spans="1:27" x14ac:dyDescent="0.25">
      <c r="A52" s="6" t="s">
        <v>388</v>
      </c>
      <c r="B52" s="6" t="s">
        <v>268</v>
      </c>
      <c r="C52" s="19">
        <v>2.69254001759015E-2</v>
      </c>
      <c r="D52" s="19">
        <v>2.5970842255531802E-2</v>
      </c>
      <c r="E52" s="19">
        <v>1.54914441231502E-2</v>
      </c>
      <c r="F52" s="19">
        <v>3.05502703677001E-2</v>
      </c>
      <c r="G52" s="19">
        <v>1.8219949445848701E-2</v>
      </c>
      <c r="H52" s="19">
        <v>2.9454447316405698E-2</v>
      </c>
      <c r="I52" s="19">
        <v>2.6123770381350199E-2</v>
      </c>
      <c r="J52" s="19">
        <v>3.2576008095905301E-2</v>
      </c>
      <c r="K52" s="19">
        <v>2.4441402605758399E-2</v>
      </c>
      <c r="L52" s="19">
        <v>3.1242137178277899E-2</v>
      </c>
      <c r="M52" s="19">
        <v>1.04701131971287E-2</v>
      </c>
      <c r="N52" s="19">
        <v>2.62259028831563E-2</v>
      </c>
      <c r="O52" s="19">
        <v>2.29276517571885E-2</v>
      </c>
      <c r="P52" s="19">
        <v>3.1050241408690699E-2</v>
      </c>
      <c r="Q52" s="19">
        <v>2.0374164298281199E-2</v>
      </c>
      <c r="R52" s="19">
        <v>2.1217695214105801E-2</v>
      </c>
      <c r="S52" s="19">
        <v>1.7675071980603099E-2</v>
      </c>
      <c r="T52" s="19">
        <v>2.8295333995178001E-2</v>
      </c>
      <c r="U52" s="19">
        <v>2.22323963457484E-2</v>
      </c>
      <c r="V52" s="19">
        <v>1.3931005085252799E-2</v>
      </c>
      <c r="W52" s="19">
        <v>2.41167841219617E-2</v>
      </c>
      <c r="X52" s="19">
        <v>2.6262637508283601E-2</v>
      </c>
      <c r="Y52" s="19">
        <v>2.0360866693090202E-2</v>
      </c>
      <c r="Z52" s="19">
        <v>2.6004107436731198E-2</v>
      </c>
      <c r="AA52" s="19">
        <v>2.7922974044300199E-2</v>
      </c>
    </row>
    <row r="53" spans="1:27" x14ac:dyDescent="0.25">
      <c r="A53" s="6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x14ac:dyDescent="0.25">
      <c r="A54" s="10" t="s">
        <v>258</v>
      </c>
      <c r="B54" s="10" t="s">
        <v>108</v>
      </c>
      <c r="C54" s="13">
        <v>22.4626209322779</v>
      </c>
      <c r="D54" s="13">
        <v>22.608850820842299</v>
      </c>
      <c r="E54" s="13">
        <v>21.6533424051709</v>
      </c>
      <c r="F54" s="13">
        <v>22.891131939437599</v>
      </c>
      <c r="G54" s="13">
        <v>24.4020999416683</v>
      </c>
      <c r="H54" s="13">
        <v>19.172875171050599</v>
      </c>
      <c r="I54" s="13">
        <v>16.965368548713101</v>
      </c>
      <c r="J54" s="13">
        <v>19.648139498676599</v>
      </c>
      <c r="K54" s="13">
        <v>20.2670098118063</v>
      </c>
      <c r="L54" s="13">
        <v>17.005794367335898</v>
      </c>
      <c r="M54" s="13">
        <v>17.421314191054702</v>
      </c>
      <c r="N54" s="13">
        <v>19.1502276176024</v>
      </c>
      <c r="O54" s="13">
        <v>20.1277955271566</v>
      </c>
      <c r="P54" s="13">
        <v>17.906844646407301</v>
      </c>
      <c r="Q54" s="13">
        <v>17.106509676546199</v>
      </c>
      <c r="R54" s="13">
        <v>19.647355163728001</v>
      </c>
      <c r="S54" s="13">
        <v>19.063494468858899</v>
      </c>
      <c r="T54" s="13">
        <v>17.8272585448873</v>
      </c>
      <c r="U54" s="13">
        <v>17.652846099789201</v>
      </c>
      <c r="V54" s="13">
        <v>18.650912354172899</v>
      </c>
      <c r="W54" s="13">
        <v>17.992233568243901</v>
      </c>
      <c r="X54" s="13">
        <v>16.6202783300199</v>
      </c>
      <c r="Y54" s="13">
        <v>16.6336372043863</v>
      </c>
      <c r="Z54" s="13"/>
      <c r="AA54" s="13"/>
    </row>
    <row r="55" spans="1:27" x14ac:dyDescent="0.25">
      <c r="A55" s="6" t="s">
        <v>103</v>
      </c>
      <c r="B55" s="6" t="s">
        <v>104</v>
      </c>
      <c r="C55" s="19">
        <v>2.5857519788918201E-2</v>
      </c>
      <c r="D55" s="19">
        <v>-1.6416845110635299E-2</v>
      </c>
      <c r="E55" s="19">
        <v>3.6060554516074199E-2</v>
      </c>
      <c r="F55" s="19">
        <v>2.1989906272530599E-2</v>
      </c>
      <c r="G55" s="19">
        <v>-5.17207855337352E-2</v>
      </c>
      <c r="H55" s="19">
        <v>4.4093051543256804E-3</v>
      </c>
      <c r="I55" s="19">
        <v>1.6574585635359101E-2</v>
      </c>
      <c r="J55" s="19">
        <v>2.1329596761637901E-2</v>
      </c>
      <c r="K55" s="19">
        <v>1.9462763390702902E-2</v>
      </c>
      <c r="L55" s="19">
        <v>2.7624309392265199E-2</v>
      </c>
      <c r="M55" s="19">
        <v>4.1413583655439002E-3</v>
      </c>
      <c r="N55" s="19">
        <v>3.0349013657056102E-4</v>
      </c>
      <c r="O55" s="19">
        <v>1.45367412140575E-2</v>
      </c>
      <c r="P55" s="19">
        <v>2.0164725930133499E-2</v>
      </c>
      <c r="Q55" s="19">
        <v>1.7593720395181998E-2</v>
      </c>
      <c r="R55" s="19">
        <v>1.2594458438287199E-2</v>
      </c>
      <c r="S55" s="19">
        <v>1.25776632823155E-2</v>
      </c>
      <c r="T55" s="19">
        <v>2.4535526875620502E-2</v>
      </c>
      <c r="U55" s="19">
        <v>1.6022487702037898E-2</v>
      </c>
      <c r="V55" s="19">
        <v>-4.9955130122644298E-2</v>
      </c>
      <c r="W55" s="19">
        <v>1.8553142528404998E-2</v>
      </c>
      <c r="X55" s="19">
        <v>1.32538104705103E-2</v>
      </c>
      <c r="Y55" s="19">
        <v>1.8760734575241099E-2</v>
      </c>
      <c r="Z55" s="19">
        <v>1.8641943989606599E-2</v>
      </c>
      <c r="AA55" s="19">
        <v>2.1086163389123599E-2</v>
      </c>
    </row>
    <row r="56" spans="1:27" x14ac:dyDescent="0.25">
      <c r="A56" s="6" t="s">
        <v>389</v>
      </c>
      <c r="B56" s="6" t="s">
        <v>271</v>
      </c>
      <c r="C56" s="19">
        <v>2.5857519788918201E-2</v>
      </c>
      <c r="D56" s="19">
        <v>-1.6416845110635299E-2</v>
      </c>
      <c r="E56" s="19">
        <v>3.6060554516074199E-2</v>
      </c>
      <c r="F56" s="19">
        <v>2.1989906272530599E-2</v>
      </c>
      <c r="G56" s="19">
        <v>-5.17207855337352E-2</v>
      </c>
      <c r="H56" s="19">
        <v>4.4093051543256804E-3</v>
      </c>
      <c r="I56" s="19">
        <v>1.6574585635359101E-2</v>
      </c>
      <c r="J56" s="19">
        <v>2.1329596761637901E-2</v>
      </c>
      <c r="K56" s="19">
        <v>1.9462763390702902E-2</v>
      </c>
      <c r="L56" s="19">
        <v>2.7624309392265199E-2</v>
      </c>
      <c r="M56" s="19">
        <v>4.1413583655439002E-3</v>
      </c>
      <c r="N56" s="19">
        <v>3.0349013657056102E-4</v>
      </c>
      <c r="O56" s="19">
        <v>1.45367412140575E-2</v>
      </c>
      <c r="P56" s="19">
        <v>2.0164725930133499E-2</v>
      </c>
      <c r="Q56" s="19">
        <v>1.7593720395181998E-2</v>
      </c>
      <c r="R56" s="19">
        <v>1.2594458438287199E-2</v>
      </c>
      <c r="S56" s="19">
        <v>1.25776632823155E-2</v>
      </c>
      <c r="T56" s="19">
        <v>2.4535526875620502E-2</v>
      </c>
      <c r="U56" s="19">
        <v>1.6022487702037898E-2</v>
      </c>
      <c r="V56" s="19">
        <v>-4.9955130122644298E-2</v>
      </c>
      <c r="W56" s="19">
        <v>1.8553142528404998E-2</v>
      </c>
      <c r="X56" s="19">
        <v>1.32538104705103E-2</v>
      </c>
      <c r="Y56" s="19">
        <v>1.8760734575241099E-2</v>
      </c>
      <c r="Z56" s="19">
        <v>1.8641943989606599E-2</v>
      </c>
      <c r="AA56" s="19">
        <v>2.1086163389123599E-2</v>
      </c>
    </row>
    <row r="57" spans="1:27" x14ac:dyDescent="0.25">
      <c r="A57" s="6" t="s">
        <v>390</v>
      </c>
      <c r="B57" s="6" t="s">
        <v>82</v>
      </c>
      <c r="C57" s="19">
        <v>2.67390853122252E-2</v>
      </c>
      <c r="D57" s="19">
        <v>2.59618308351178E-2</v>
      </c>
      <c r="E57" s="19">
        <v>1.54431535975506E-2</v>
      </c>
      <c r="F57" s="19">
        <v>3.03351117519827E-2</v>
      </c>
      <c r="G57" s="19">
        <v>1.8219949445848701E-2</v>
      </c>
      <c r="H57" s="19">
        <v>2.9382910141401899E-2</v>
      </c>
      <c r="I57" s="19">
        <v>2.6014768899070201E-2</v>
      </c>
      <c r="J57" s="19">
        <v>3.2420379884788998E-2</v>
      </c>
      <c r="K57" s="19">
        <v>2.4377609779636499E-2</v>
      </c>
      <c r="L57" s="19">
        <v>3.10412882360868E-2</v>
      </c>
      <c r="M57" s="19">
        <v>1.03831446714522E-2</v>
      </c>
      <c r="N57" s="19">
        <v>2.61554628224583E-2</v>
      </c>
      <c r="O57" s="19">
        <v>2.2887827476038299E-2</v>
      </c>
      <c r="P57" s="19">
        <v>3.09207469468901E-2</v>
      </c>
      <c r="Q57" s="19">
        <v>2.0215008796860199E-2</v>
      </c>
      <c r="R57" s="19">
        <v>2.1071379093198998E-2</v>
      </c>
      <c r="S57" s="19">
        <v>1.75382633732384E-2</v>
      </c>
      <c r="T57" s="19">
        <v>2.8031924549709299E-2</v>
      </c>
      <c r="U57" s="19">
        <v>2.2122572030920599E-2</v>
      </c>
      <c r="V57" s="19">
        <v>1.3931005085252799E-2</v>
      </c>
      <c r="W57" s="19">
        <v>2.4037264490148098E-2</v>
      </c>
      <c r="X57" s="19">
        <v>2.6126600397614299E-2</v>
      </c>
      <c r="Y57" s="19">
        <v>2.0233135156559699E-2</v>
      </c>
      <c r="Z57" s="19">
        <v>2.6004107436731198E-2</v>
      </c>
      <c r="AA57" s="19">
        <v>2.7922974044300199E-2</v>
      </c>
    </row>
    <row r="58" spans="1:27" x14ac:dyDescent="0.25">
      <c r="A58" s="6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x14ac:dyDescent="0.25">
      <c r="A59" s="6" t="s">
        <v>4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x14ac:dyDescent="0.25">
      <c r="A60" s="10" t="s">
        <v>391</v>
      </c>
      <c r="B60" s="10" t="s">
        <v>392</v>
      </c>
      <c r="C60" s="12" t="s">
        <v>393</v>
      </c>
      <c r="D60" s="12" t="s">
        <v>393</v>
      </c>
      <c r="E60" s="12" t="s">
        <v>393</v>
      </c>
      <c r="F60" s="12" t="s">
        <v>393</v>
      </c>
      <c r="G60" s="12" t="s">
        <v>393</v>
      </c>
      <c r="H60" s="12" t="s">
        <v>393</v>
      </c>
      <c r="I60" s="12" t="s">
        <v>393</v>
      </c>
      <c r="J60" s="12" t="s">
        <v>393</v>
      </c>
      <c r="K60" s="12" t="s">
        <v>393</v>
      </c>
      <c r="L60" s="12" t="s">
        <v>393</v>
      </c>
      <c r="M60" s="12" t="s">
        <v>393</v>
      </c>
      <c r="N60" s="12" t="s">
        <v>393</v>
      </c>
      <c r="O60" s="12" t="s">
        <v>393</v>
      </c>
      <c r="P60" s="12" t="s">
        <v>393</v>
      </c>
      <c r="Q60" s="12" t="s">
        <v>393</v>
      </c>
      <c r="R60" s="12" t="s">
        <v>393</v>
      </c>
      <c r="S60" s="12" t="s">
        <v>393</v>
      </c>
      <c r="T60" s="12" t="s">
        <v>393</v>
      </c>
      <c r="U60" s="12" t="s">
        <v>393</v>
      </c>
      <c r="V60" s="12" t="s">
        <v>393</v>
      </c>
      <c r="W60" s="12" t="s">
        <v>393</v>
      </c>
      <c r="X60" s="12" t="s">
        <v>393</v>
      </c>
      <c r="Y60" s="12" t="s">
        <v>393</v>
      </c>
      <c r="Z60" s="12"/>
      <c r="AA60" s="12"/>
    </row>
    <row r="61" spans="1:27" x14ac:dyDescent="0.25">
      <c r="A61" s="10" t="s">
        <v>78</v>
      </c>
      <c r="B61" s="10" t="s">
        <v>78</v>
      </c>
      <c r="C61" s="13">
        <v>52.418645558487199</v>
      </c>
      <c r="D61" s="13">
        <v>51.516773733047799</v>
      </c>
      <c r="E61" s="13">
        <v>38.833134886885503</v>
      </c>
      <c r="F61" s="13">
        <v>56.1283345349676</v>
      </c>
      <c r="G61" s="13">
        <v>40.4044332101886</v>
      </c>
      <c r="H61" s="13">
        <v>53.839136384369802</v>
      </c>
      <c r="I61" s="13">
        <v>47.190405605713501</v>
      </c>
      <c r="J61" s="13">
        <v>61.6378639265141</v>
      </c>
      <c r="K61" s="13">
        <v>50.522760173717202</v>
      </c>
      <c r="L61" s="13">
        <v>58.846516641961998</v>
      </c>
      <c r="M61" s="13">
        <v>29.773570789619001</v>
      </c>
      <c r="N61" s="13">
        <v>52.989377845219998</v>
      </c>
      <c r="O61" s="13">
        <v>52.348242811501599</v>
      </c>
      <c r="P61" s="13">
        <v>60.153365521158797</v>
      </c>
      <c r="Q61" s="13">
        <v>40.018947083502503</v>
      </c>
      <c r="R61" s="13">
        <v>44.6316120906801</v>
      </c>
      <c r="S61" s="13">
        <v>38.551295650856197</v>
      </c>
      <c r="T61" s="13">
        <v>50.872216706850097</v>
      </c>
      <c r="U61" s="13">
        <v>44.891075193253698</v>
      </c>
      <c r="V61" s="13">
        <v>46.739455578821399</v>
      </c>
      <c r="W61" s="13">
        <v>54.796490723428697</v>
      </c>
      <c r="X61" s="13">
        <v>51.345261762756799</v>
      </c>
      <c r="Y61" s="13">
        <v>42.5023120623596</v>
      </c>
      <c r="Z61" s="13">
        <v>46.434850175538799</v>
      </c>
      <c r="AA61" s="13">
        <v>52.190053548779701</v>
      </c>
    </row>
    <row r="62" spans="1:27" x14ac:dyDescent="0.25">
      <c r="A62" s="10" t="s">
        <v>394</v>
      </c>
      <c r="B62" s="10" t="s">
        <v>395</v>
      </c>
      <c r="C62" s="13">
        <v>0.87897913808267403</v>
      </c>
      <c r="D62" s="13">
        <v>0.883306406138473</v>
      </c>
      <c r="E62" s="13">
        <v>0.82625982309916601</v>
      </c>
      <c r="F62" s="13">
        <v>0.89376703316510497</v>
      </c>
      <c r="G62" s="13">
        <v>0.90862152440209998</v>
      </c>
      <c r="H62" s="13">
        <v>0.72360469819066497</v>
      </c>
      <c r="I62" s="13">
        <v>0.66778713111440502</v>
      </c>
      <c r="J62" s="13">
        <v>0.79660130780009397</v>
      </c>
      <c r="K62" s="13">
        <v>0.85400233231462097</v>
      </c>
      <c r="L62" s="13">
        <v>0.73397627004446797</v>
      </c>
      <c r="M62" s="13">
        <v>0.68877528989508596</v>
      </c>
      <c r="N62" s="13">
        <v>0.72673235204855802</v>
      </c>
      <c r="O62" s="13">
        <v>0.77174271565495201</v>
      </c>
      <c r="P62" s="13">
        <v>0.68876861687020696</v>
      </c>
      <c r="Q62" s="13">
        <v>0.69263061307348806</v>
      </c>
      <c r="R62" s="13">
        <v>0.77455011020151099</v>
      </c>
      <c r="S62" s="13">
        <v>0.69576260039399895</v>
      </c>
      <c r="T62" s="13">
        <v>0.61734358247057197</v>
      </c>
      <c r="U62" s="13">
        <v>0.63025606465214301</v>
      </c>
      <c r="V62" s="13">
        <v>0.67833591085850997</v>
      </c>
      <c r="W62" s="13">
        <v>0.70946723716381399</v>
      </c>
      <c r="X62" s="13">
        <v>0.65582921139827699</v>
      </c>
      <c r="Y62" s="13">
        <v>0.64448404016382599</v>
      </c>
      <c r="Z62" s="13">
        <v>0.79275280470668097</v>
      </c>
      <c r="AA62" s="13">
        <v>0.79590115117938998</v>
      </c>
    </row>
    <row r="63" spans="1:27" x14ac:dyDescent="0.25">
      <c r="A63" s="10" t="s">
        <v>396</v>
      </c>
      <c r="B63" s="10" t="s">
        <v>396</v>
      </c>
      <c r="C63" s="13">
        <v>51.363236587510997</v>
      </c>
      <c r="D63" s="13">
        <v>50.339043540328298</v>
      </c>
      <c r="E63" s="13">
        <v>37.659465895560501</v>
      </c>
      <c r="F63" s="13">
        <v>54.902667627973997</v>
      </c>
      <c r="G63" s="13">
        <v>39.082247715341197</v>
      </c>
      <c r="H63" s="13">
        <v>52.729207845522303</v>
      </c>
      <c r="I63" s="13">
        <v>46.125859048645701</v>
      </c>
      <c r="J63" s="13">
        <v>60.423478125486497</v>
      </c>
      <c r="K63" s="13">
        <v>49.252050828373797</v>
      </c>
      <c r="L63" s="13">
        <v>57.741544266271397</v>
      </c>
      <c r="M63" s="13">
        <v>28.531163279955798</v>
      </c>
      <c r="N63" s="13">
        <v>51.775417298937803</v>
      </c>
      <c r="O63" s="13">
        <v>51.070287539936103</v>
      </c>
      <c r="P63" s="13">
        <v>59.017324623686399</v>
      </c>
      <c r="Q63" s="13">
        <v>38.895655704425501</v>
      </c>
      <c r="R63" s="13">
        <v>43.151763224181401</v>
      </c>
      <c r="S63" s="13">
        <v>37.2935293226246</v>
      </c>
      <c r="T63" s="13">
        <v>49.652531555807698</v>
      </c>
      <c r="U63" s="13">
        <v>43.6120871398454</v>
      </c>
      <c r="V63" s="13">
        <v>45.333532755010502</v>
      </c>
      <c r="W63" s="13">
        <v>53.387027182511098</v>
      </c>
      <c r="X63" s="13">
        <v>50.099403578528801</v>
      </c>
      <c r="Y63" s="13">
        <v>41.247192495706201</v>
      </c>
      <c r="Z63" s="13"/>
      <c r="AA63" s="13"/>
    </row>
    <row r="64" spans="1:27" x14ac:dyDescent="0.25">
      <c r="A64" s="10" t="s">
        <v>141</v>
      </c>
      <c r="B64" s="10" t="s">
        <v>141</v>
      </c>
      <c r="C64" s="13">
        <v>45.6288478452067</v>
      </c>
      <c r="D64" s="13">
        <v>44.539614561027797</v>
      </c>
      <c r="E64" s="13">
        <v>32.131314849464196</v>
      </c>
      <c r="F64" s="13">
        <v>49.8377793799567</v>
      </c>
      <c r="G64" s="13">
        <v>33.618510596927898</v>
      </c>
      <c r="H64" s="13">
        <v>48.4415386954539</v>
      </c>
      <c r="I64" s="13">
        <v>41.436464088397798</v>
      </c>
      <c r="J64" s="13">
        <v>54.273703876693098</v>
      </c>
      <c r="K64" s="13">
        <v>42.174682322663699</v>
      </c>
      <c r="L64" s="13">
        <v>51.798948928715802</v>
      </c>
      <c r="M64" s="13">
        <v>22.3881483710657</v>
      </c>
      <c r="N64" s="13">
        <v>45.022761760242801</v>
      </c>
      <c r="O64" s="13">
        <v>43.961661341853002</v>
      </c>
      <c r="P64" s="13">
        <v>52.698097131496702</v>
      </c>
      <c r="Q64" s="13">
        <v>32.873189876844002</v>
      </c>
      <c r="R64" s="13">
        <v>34.556045340050403</v>
      </c>
      <c r="S64" s="13">
        <v>28.2315502348841</v>
      </c>
      <c r="T64" s="13">
        <v>41.171465040419797</v>
      </c>
      <c r="U64" s="13">
        <v>35.221363316935999</v>
      </c>
      <c r="V64" s="13">
        <v>36.419383787017701</v>
      </c>
      <c r="W64" s="13">
        <v>44.815187688767402</v>
      </c>
      <c r="X64" s="13">
        <v>42.200132538104697</v>
      </c>
      <c r="Y64" s="13">
        <v>33.346545118245501</v>
      </c>
      <c r="Z64" s="13">
        <v>41.709361301275699</v>
      </c>
      <c r="AA64" s="13">
        <v>45.674400274969301</v>
      </c>
    </row>
    <row r="65" spans="1:27" x14ac:dyDescent="0.25">
      <c r="A65" s="10" t="s">
        <v>397</v>
      </c>
      <c r="B65" s="10" t="s">
        <v>153</v>
      </c>
      <c r="C65" s="13">
        <v>1.4496015831134601</v>
      </c>
      <c r="D65" s="13">
        <v>1.45487239471806</v>
      </c>
      <c r="E65" s="13">
        <v>1.2140275897261401</v>
      </c>
      <c r="F65" s="13">
        <v>1.4876396359048301</v>
      </c>
      <c r="G65" s="13">
        <v>1.5421288353101299</v>
      </c>
      <c r="H65" s="13">
        <v>1.2566772844762</v>
      </c>
      <c r="I65" s="13">
        <v>1.09367428917936</v>
      </c>
      <c r="J65" s="13">
        <v>1.2270049042503499</v>
      </c>
      <c r="K65" s="13">
        <v>1.2488651922148899</v>
      </c>
      <c r="L65" s="13">
        <v>1.12545130036383</v>
      </c>
      <c r="M65" s="13">
        <v>0.87983855604638295</v>
      </c>
      <c r="N65" s="13">
        <v>1.18955238239757</v>
      </c>
      <c r="O65" s="13">
        <v>1.22947054313099</v>
      </c>
      <c r="P65" s="13">
        <v>1.1387430701505299</v>
      </c>
      <c r="Q65" s="13">
        <v>1.0976729056705901</v>
      </c>
      <c r="R65" s="13">
        <v>1.22707737720403</v>
      </c>
      <c r="S65" s="13">
        <v>1.1842431277466301</v>
      </c>
      <c r="T65" s="13">
        <v>1.1034543610835299</v>
      </c>
      <c r="U65" s="13">
        <v>1.0771735769501101</v>
      </c>
      <c r="V65" s="13">
        <v>1.1484791654202799</v>
      </c>
      <c r="W65" s="13">
        <v>1.1188516899180201</v>
      </c>
      <c r="X65" s="13">
        <v>1.0488867064281</v>
      </c>
      <c r="Y65" s="13">
        <v>1.04521294754921</v>
      </c>
      <c r="Z65" s="13">
        <v>1.2661738452195299</v>
      </c>
      <c r="AA65" s="13">
        <v>1.23325988919473</v>
      </c>
    </row>
    <row r="66" spans="1:27" x14ac:dyDescent="0.25">
      <c r="A66" s="10" t="s">
        <v>398</v>
      </c>
      <c r="B66" s="10" t="s">
        <v>399</v>
      </c>
      <c r="C66" s="13">
        <v>0.80261825857519797</v>
      </c>
      <c r="D66" s="13">
        <v>0.794782566024268</v>
      </c>
      <c r="E66" s="13">
        <v>0.54654388501445805</v>
      </c>
      <c r="F66" s="13">
        <v>0.89830171232876699</v>
      </c>
      <c r="G66" s="13">
        <v>0.65367511180244997</v>
      </c>
      <c r="H66" s="13">
        <v>0.73652940550402901</v>
      </c>
      <c r="I66" s="13">
        <v>0.55836765934510202</v>
      </c>
      <c r="J66" s="13">
        <v>0.84498994239451997</v>
      </c>
      <c r="K66" s="13">
        <v>0.678376741193502</v>
      </c>
      <c r="L66" s="13">
        <v>0.69800497237569104</v>
      </c>
      <c r="M66" s="13">
        <v>0.30905781336278298</v>
      </c>
      <c r="N66" s="13">
        <v>0.68319820940819398</v>
      </c>
      <c r="O66" s="13">
        <v>0.70226295527156601</v>
      </c>
      <c r="P66" s="13">
        <v>0.748339917637035</v>
      </c>
      <c r="Q66" s="13">
        <v>0.44489362565976498</v>
      </c>
      <c r="R66" s="13">
        <v>0.54401834068010102</v>
      </c>
      <c r="S66" s="13">
        <v>0.427815578117897</v>
      </c>
      <c r="T66" s="13">
        <v>0.58390958729258302</v>
      </c>
      <c r="U66" s="13">
        <v>0.49502969782150402</v>
      </c>
      <c r="V66" s="13">
        <v>0.54471109781633298</v>
      </c>
      <c r="W66" s="13">
        <v>0.64454462821803504</v>
      </c>
      <c r="X66" s="13">
        <v>0.55931256461232604</v>
      </c>
      <c r="Y66" s="13">
        <v>0.44056738010305202</v>
      </c>
      <c r="Z66" s="13">
        <v>0.61660870517101396</v>
      </c>
      <c r="AA66" s="13">
        <v>0.65740468730254997</v>
      </c>
    </row>
    <row r="67" spans="1:27" x14ac:dyDescent="0.25">
      <c r="A67" s="10" t="s">
        <v>400</v>
      </c>
      <c r="B67" s="10" t="s">
        <v>401</v>
      </c>
      <c r="C67" s="13">
        <v>0.60149957783641195</v>
      </c>
      <c r="D67" s="13">
        <v>0.58717109207708795</v>
      </c>
      <c r="E67" s="13">
        <v>0.33359719340023802</v>
      </c>
      <c r="F67" s="13">
        <v>0.69492490987743305</v>
      </c>
      <c r="G67" s="13">
        <v>0.444604919307797</v>
      </c>
      <c r="H67" s="13">
        <v>0.56203944047438004</v>
      </c>
      <c r="I67" s="13">
        <v>0.441791389300633</v>
      </c>
      <c r="J67" s="13">
        <v>0.63701479059629496</v>
      </c>
      <c r="K67" s="13">
        <v>0.493388434936465</v>
      </c>
      <c r="L67" s="13">
        <v>0.52877144589677905</v>
      </c>
      <c r="M67" s="13">
        <v>0.18153601601325201</v>
      </c>
      <c r="N67" s="13">
        <v>0.49944620637329301</v>
      </c>
      <c r="O67" s="13">
        <v>0.46001797124600602</v>
      </c>
      <c r="P67" s="13">
        <v>0.55336621698381105</v>
      </c>
      <c r="Q67" s="13">
        <v>0.34522207335228</v>
      </c>
      <c r="R67" s="13">
        <v>0.41687170969773302</v>
      </c>
      <c r="S67" s="13">
        <v>0.33453815729656</v>
      </c>
      <c r="T67" s="13">
        <v>0.50101775634661705</v>
      </c>
      <c r="U67" s="13">
        <v>0.38996528460997898</v>
      </c>
      <c r="V67" s="13">
        <v>0.25982606939874398</v>
      </c>
      <c r="W67" s="13">
        <v>0.43252749892132902</v>
      </c>
      <c r="X67" s="13">
        <v>0.43405570576540797</v>
      </c>
      <c r="Y67" s="13">
        <v>0.33571618443651702</v>
      </c>
      <c r="Z67" s="13">
        <v>0.47429154163795301</v>
      </c>
      <c r="AA67" s="13">
        <v>0.49402352161785201</v>
      </c>
    </row>
    <row r="68" spans="1:27" x14ac:dyDescent="0.25">
      <c r="A68" s="10" t="s">
        <v>402</v>
      </c>
      <c r="B68" s="10" t="s">
        <v>403</v>
      </c>
      <c r="C68" s="13" t="s">
        <v>148</v>
      </c>
      <c r="D68" s="13" t="s">
        <v>148</v>
      </c>
      <c r="E68" s="13">
        <v>8474.5762711855805</v>
      </c>
      <c r="F68" s="13" t="s">
        <v>148</v>
      </c>
      <c r="G68" s="13" t="s">
        <v>148</v>
      </c>
      <c r="H68" s="13" t="s">
        <v>148</v>
      </c>
      <c r="I68" s="13">
        <v>7352.9411764721699</v>
      </c>
      <c r="J68" s="13" t="s">
        <v>148</v>
      </c>
      <c r="K68" s="13" t="s">
        <v>148</v>
      </c>
      <c r="L68" s="13" t="s">
        <v>148</v>
      </c>
      <c r="M68" s="13">
        <v>6944.4444444505798</v>
      </c>
      <c r="N68" s="13" t="s">
        <v>148</v>
      </c>
      <c r="O68" s="13" t="s">
        <v>148</v>
      </c>
      <c r="P68" s="13" t="s">
        <v>148</v>
      </c>
      <c r="Q68" s="13">
        <v>5882.3529411828404</v>
      </c>
      <c r="R68" s="13" t="s">
        <v>148</v>
      </c>
      <c r="S68" s="13" t="s">
        <v>148</v>
      </c>
      <c r="T68" s="13" t="s">
        <v>148</v>
      </c>
      <c r="U68" s="13">
        <v>5555.5555555586798</v>
      </c>
      <c r="V68" s="13" t="s">
        <v>148</v>
      </c>
      <c r="W68" s="13" t="s">
        <v>148</v>
      </c>
      <c r="X68" s="13" t="s">
        <v>148</v>
      </c>
      <c r="Y68" s="13">
        <v>5681.8181818205803</v>
      </c>
      <c r="Z68" s="13"/>
      <c r="AA68" s="13"/>
    </row>
    <row r="69" spans="1:27" x14ac:dyDescent="0.25">
      <c r="A69" s="10" t="s">
        <v>404</v>
      </c>
      <c r="B69" s="10" t="s">
        <v>274</v>
      </c>
      <c r="C69" s="13">
        <v>1.10817941952507E-2</v>
      </c>
      <c r="D69" s="13">
        <v>1.12419700214133E-2</v>
      </c>
      <c r="E69" s="13">
        <v>1.07161081816635E-2</v>
      </c>
      <c r="F69" s="13">
        <v>1.2256669069935101E-2</v>
      </c>
      <c r="G69" s="13">
        <v>1.3221854948473701E-2</v>
      </c>
      <c r="H69" s="13">
        <v>1.0339060361867099E-2</v>
      </c>
      <c r="I69" s="13">
        <v>9.1631855545074806E-3</v>
      </c>
      <c r="J69" s="13">
        <v>1.1054024599097E-2</v>
      </c>
      <c r="K69" s="13">
        <v>1.14202991796686E-2</v>
      </c>
      <c r="L69" s="13">
        <v>9.5674437407357506E-3</v>
      </c>
      <c r="M69" s="13">
        <v>9.8012147984538906E-3</v>
      </c>
      <c r="N69" s="13">
        <v>1.1077389984825501E-2</v>
      </c>
      <c r="O69" s="13">
        <v>1.16613418530351E-2</v>
      </c>
      <c r="P69" s="13">
        <v>1.0366373189434799E-2</v>
      </c>
      <c r="Q69" s="13">
        <v>9.8795506834483699E-3</v>
      </c>
      <c r="R69" s="13">
        <v>1.18073047858942E-2</v>
      </c>
      <c r="S69" s="13">
        <v>1.13653583876345E-2</v>
      </c>
      <c r="T69" s="13">
        <v>1.0636789107928001E-2</v>
      </c>
      <c r="U69" s="13">
        <v>1.05411103302881E-2</v>
      </c>
      <c r="V69" s="13">
        <v>1.15166018546216E-2</v>
      </c>
      <c r="W69" s="13">
        <v>1.10743563929239E-2</v>
      </c>
      <c r="X69" s="13">
        <v>1.0205434062292899E-2</v>
      </c>
      <c r="Y69" s="13">
        <v>1.0173074382349099E-2</v>
      </c>
      <c r="Z69" s="13">
        <v>1.15163159142772E-2</v>
      </c>
      <c r="AA69" s="13">
        <v>1.12411560456693E-2</v>
      </c>
    </row>
    <row r="70" spans="1:27" x14ac:dyDescent="0.25">
      <c r="A70" s="10" t="s">
        <v>405</v>
      </c>
      <c r="B70" s="10" t="s">
        <v>406</v>
      </c>
      <c r="C70" s="13">
        <v>14.072119613016699</v>
      </c>
      <c r="D70" s="13">
        <v>14.346895074946501</v>
      </c>
      <c r="E70" s="13">
        <v>13.743833985371699</v>
      </c>
      <c r="F70" s="13">
        <v>15.7534246575342</v>
      </c>
      <c r="G70" s="13">
        <v>16.593427960334399</v>
      </c>
      <c r="H70" s="13">
        <v>13.167097460848399</v>
      </c>
      <c r="I70" s="13">
        <v>11.6561110362485</v>
      </c>
      <c r="J70" s="13">
        <v>14.105558150397</v>
      </c>
      <c r="K70" s="13">
        <v>14.524690365127899</v>
      </c>
      <c r="L70" s="13">
        <v>12.1951219512195</v>
      </c>
      <c r="M70" s="13">
        <v>12.310325786858099</v>
      </c>
      <c r="N70" s="13">
        <v>14.1426403641882</v>
      </c>
      <c r="O70" s="13">
        <v>14.888178913738001</v>
      </c>
      <c r="P70" s="13">
        <v>13.009798352740701</v>
      </c>
      <c r="Q70" s="13">
        <v>12.3691974556774</v>
      </c>
      <c r="R70" s="13">
        <v>15.066120906801</v>
      </c>
      <c r="S70" s="13">
        <v>14.4567358690711</v>
      </c>
      <c r="T70" s="13">
        <v>13.515813359807099</v>
      </c>
      <c r="U70" s="13">
        <v>13.155305692199599</v>
      </c>
      <c r="V70" s="13">
        <v>14.657493269518399</v>
      </c>
      <c r="W70" s="13">
        <v>14.0658708471164</v>
      </c>
      <c r="X70" s="13">
        <v>12.9489728296885</v>
      </c>
      <c r="Y70" s="13">
        <v>12.6959968291716</v>
      </c>
      <c r="Z70" s="13"/>
      <c r="AA70" s="13"/>
    </row>
    <row r="71" spans="1:27" x14ac:dyDescent="0.25">
      <c r="A71" s="10" t="s">
        <v>407</v>
      </c>
      <c r="B71" s="10" t="s">
        <v>408</v>
      </c>
      <c r="C71" s="13">
        <v>1.05540897097625</v>
      </c>
      <c r="D71" s="13">
        <v>1.1777301927194901</v>
      </c>
      <c r="E71" s="13">
        <v>1.17366899132506</v>
      </c>
      <c r="F71" s="13">
        <v>1.22566690699351</v>
      </c>
      <c r="G71" s="13">
        <v>1.3221854948473699</v>
      </c>
      <c r="H71" s="13">
        <v>1.1099285388475</v>
      </c>
      <c r="I71" s="13">
        <v>1.0645465570677799</v>
      </c>
      <c r="J71" s="13">
        <v>1.2143858010275601</v>
      </c>
      <c r="K71" s="13">
        <v>1.27070934534341</v>
      </c>
      <c r="L71" s="13">
        <v>1.10497237569061</v>
      </c>
      <c r="M71" s="13">
        <v>1.2424075096631699</v>
      </c>
      <c r="N71" s="13">
        <v>1.21396054628225</v>
      </c>
      <c r="O71" s="13">
        <v>1.2779552715655</v>
      </c>
      <c r="P71" s="13">
        <v>1.13604089747231</v>
      </c>
      <c r="Q71" s="13">
        <v>1.12329137907701</v>
      </c>
      <c r="R71" s="13">
        <v>1.4798488664987399</v>
      </c>
      <c r="S71" s="13">
        <v>1.2577663282315501</v>
      </c>
      <c r="T71" s="13">
        <v>1.21968515104241</v>
      </c>
      <c r="U71" s="13">
        <v>1.27898805340829</v>
      </c>
      <c r="V71" s="13">
        <v>1.40592282381095</v>
      </c>
      <c r="W71" s="13">
        <v>1.40946354091759</v>
      </c>
      <c r="X71" s="13">
        <v>1.2458581842279699</v>
      </c>
      <c r="Y71" s="13">
        <v>1.25511956665345</v>
      </c>
      <c r="Z71" s="13"/>
      <c r="AA71" s="13"/>
    </row>
    <row r="72" spans="1:27" x14ac:dyDescent="0.25">
      <c r="A72" s="10" t="s">
        <v>409</v>
      </c>
      <c r="B72" s="10" t="s">
        <v>410</v>
      </c>
      <c r="C72" s="13">
        <v>0.66842568161829397</v>
      </c>
      <c r="D72" s="13">
        <v>0.78515346181299095</v>
      </c>
      <c r="E72" s="13">
        <v>0.74842660316380305</v>
      </c>
      <c r="F72" s="13" t="s">
        <v>148</v>
      </c>
      <c r="G72" s="13" t="s">
        <v>148</v>
      </c>
      <c r="H72" s="13" t="s">
        <v>148</v>
      </c>
      <c r="I72" s="13" t="s">
        <v>148</v>
      </c>
      <c r="J72" s="13" t="s">
        <v>148</v>
      </c>
      <c r="K72" s="13" t="s">
        <v>148</v>
      </c>
      <c r="L72" s="13" t="s">
        <v>148</v>
      </c>
      <c r="M72" s="13" t="s">
        <v>148</v>
      </c>
      <c r="N72" s="13" t="s">
        <v>148</v>
      </c>
      <c r="O72" s="13" t="s">
        <v>148</v>
      </c>
      <c r="P72" s="13" t="s">
        <v>148</v>
      </c>
      <c r="Q72" s="13" t="s">
        <v>148</v>
      </c>
      <c r="R72" s="13" t="s">
        <v>148</v>
      </c>
      <c r="S72" s="13" t="s">
        <v>148</v>
      </c>
      <c r="T72" s="13" t="s">
        <v>148</v>
      </c>
      <c r="U72" s="13" t="s">
        <v>148</v>
      </c>
      <c r="V72" s="13" t="s">
        <v>148</v>
      </c>
      <c r="W72" s="13" t="s">
        <v>148</v>
      </c>
      <c r="X72" s="13" t="s">
        <v>148</v>
      </c>
      <c r="Y72" s="13" t="s">
        <v>148</v>
      </c>
      <c r="Z72" s="13"/>
      <c r="AA72" s="13"/>
    </row>
    <row r="73" spans="1:27" x14ac:dyDescent="0.25">
      <c r="A73" s="7" t="s">
        <v>90</v>
      </c>
      <c r="B73" s="7"/>
      <c r="C73" s="7" t="s">
        <v>5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4"/>
  <sheetViews>
    <sheetView workbookViewId="0">
      <selection activeCell="N21" sqref="N21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741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  <c r="O4" s="4" t="s">
        <v>22</v>
      </c>
      <c r="P4" s="4" t="s">
        <v>23</v>
      </c>
      <c r="Q4" s="4" t="s">
        <v>24</v>
      </c>
      <c r="R4" s="4" t="s">
        <v>25</v>
      </c>
      <c r="S4" s="4" t="s">
        <v>26</v>
      </c>
      <c r="T4" s="4" t="s">
        <v>27</v>
      </c>
      <c r="U4" s="4" t="s">
        <v>28</v>
      </c>
      <c r="V4" s="4" t="s">
        <v>29</v>
      </c>
      <c r="W4" s="4" t="s">
        <v>30</v>
      </c>
      <c r="X4" s="4" t="s">
        <v>31</v>
      </c>
      <c r="Y4" s="4" t="s">
        <v>742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36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41</v>
      </c>
      <c r="I5" s="5" t="s">
        <v>42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5" t="s">
        <v>48</v>
      </c>
      <c r="P5" s="5" t="s">
        <v>49</v>
      </c>
      <c r="Q5" s="5" t="s">
        <v>50</v>
      </c>
      <c r="R5" s="5" t="s">
        <v>51</v>
      </c>
      <c r="S5" s="5" t="s">
        <v>52</v>
      </c>
      <c r="T5" s="5" t="s">
        <v>53</v>
      </c>
      <c r="U5" s="5" t="s">
        <v>54</v>
      </c>
      <c r="V5" s="5" t="s">
        <v>55</v>
      </c>
      <c r="W5" s="5" t="s">
        <v>56</v>
      </c>
      <c r="X5" s="5" t="s">
        <v>57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0</v>
      </c>
      <c r="B6" s="6" t="s">
        <v>71</v>
      </c>
      <c r="C6" s="19">
        <f>_xll.BDH("GILD US Equity","SALES_REV_TURN","FQ3 2019","FQ3 2019","Currency=USD","Period=FQ","BEST_FPERIOD_OVERRIDE=FQ","FILING_STATUS=MR","SCALING_FORMAT=MLN","FA_ADJUSTED=GAAP","Sort=A","Dates=H","DateFormat=P","Fill=—","Direction=H","UseDPDF=Y")</f>
        <v>5604</v>
      </c>
      <c r="D6" s="19">
        <f>_xll.BDH("GILD US Equity","SALES_REV_TURN","FQ4 2019","FQ4 2019","Currency=USD","Period=FQ","BEST_FPERIOD_OVERRIDE=FQ","FILING_STATUS=MR","SCALING_FORMAT=MLN","FA_ADJUSTED=GAAP","Sort=A","Dates=H","DateFormat=P","Fill=—","Direction=H","UseDPDF=Y")</f>
        <v>5879</v>
      </c>
      <c r="E6" s="19">
        <f>_xll.BDH("GILD US Equity","SALES_REV_TURN","FQ1 2020","FQ1 2020","Currency=USD","Period=FQ","BEST_FPERIOD_OVERRIDE=FQ","FILING_STATUS=MR","SCALING_FORMAT=MLN","FA_ADJUSTED=GAAP","Sort=A","Dates=H","DateFormat=P","Fill=—","Direction=H","UseDPDF=Y")</f>
        <v>5548</v>
      </c>
      <c r="F6" s="19">
        <f>_xll.BDH("GILD US Equity","SALES_REV_TURN","FQ2 2020","FQ2 2020","Currency=USD","Period=FQ","BEST_FPERIOD_OVERRIDE=FQ","FILING_STATUS=MR","SCALING_FORMAT=MLN","FA_ADJUSTED=GAAP","Sort=A","Dates=H","DateFormat=P","Fill=—","Direction=H","UseDPDF=Y")</f>
        <v>5143</v>
      </c>
      <c r="G6" s="19">
        <f>_xll.BDH("GILD US Equity","SALES_REV_TURN","FQ3 2020","FQ3 2020","Currency=USD","Period=FQ","BEST_FPERIOD_OVERRIDE=FQ","FILING_STATUS=MR","SCALING_FORMAT=MLN","FA_ADJUSTED=GAAP","Sort=A","Dates=H","DateFormat=P","Fill=—","Direction=H","UseDPDF=Y")</f>
        <v>6577</v>
      </c>
      <c r="H6" s="19">
        <f>_xll.BDH("GILD US Equity","SALES_REV_TURN","FQ4 2020","FQ4 2020","Currency=USD","Period=FQ","BEST_FPERIOD_OVERRIDE=FQ","FILING_STATUS=MR","SCALING_FORMAT=MLN","FA_ADJUSTED=GAAP","Sort=A","Dates=H","DateFormat=P","Fill=—","Direction=H","UseDPDF=Y")</f>
        <v>7421</v>
      </c>
      <c r="I6" s="19">
        <f>_xll.BDH("GILD US Equity","SALES_REV_TURN","FQ1 2021","FQ1 2021","Currency=USD","Period=FQ","BEST_FPERIOD_OVERRIDE=FQ","FILING_STATUS=MR","SCALING_FORMAT=MLN","FA_ADJUSTED=GAAP","Sort=A","Dates=H","DateFormat=P","Fill=—","Direction=H","UseDPDF=Y")</f>
        <v>6423</v>
      </c>
      <c r="J6" s="19">
        <f>_xll.BDH("GILD US Equity","SALES_REV_TURN","FQ2 2021","FQ2 2021","Currency=USD","Period=FQ","BEST_FPERIOD_OVERRIDE=FQ","FILING_STATUS=MR","SCALING_FORMAT=MLN","FA_ADJUSTED=GAAP","Sort=A","Dates=H","DateFormat=P","Fill=—","Direction=H","UseDPDF=Y")</f>
        <v>6217</v>
      </c>
      <c r="K6" s="19">
        <f>_xll.BDH("GILD US Equity","SALES_REV_TURN","FQ3 2021","FQ3 2021","Currency=USD","Period=FQ","BEST_FPERIOD_OVERRIDE=FQ","FILING_STATUS=MR","SCALING_FORMAT=MLN","FA_ADJUSTED=GAAP","Sort=A","Dates=H","DateFormat=P","Fill=—","Direction=H","UseDPDF=Y")</f>
        <v>7421</v>
      </c>
      <c r="L6" s="19">
        <f>_xll.BDH("GILD US Equity","SALES_REV_TURN","FQ4 2021","FQ4 2021","Currency=USD","Period=FQ","BEST_FPERIOD_OVERRIDE=FQ","FILING_STATUS=MR","SCALING_FORMAT=MLN","FA_ADJUSTED=GAAP","Sort=A","Dates=H","DateFormat=P","Fill=—","Direction=H","UseDPDF=Y")</f>
        <v>7244</v>
      </c>
      <c r="M6" s="19">
        <f>_xll.BDH("GILD US Equity","SALES_REV_TURN","FQ1 2022","FQ1 2022","Currency=USD","Period=FQ","BEST_FPERIOD_OVERRIDE=FQ","FILING_STATUS=MR","SCALING_FORMAT=MLN","FA_ADJUSTED=GAAP","Sort=A","Dates=H","DateFormat=P","Fill=—","Direction=H","UseDPDF=Y")</f>
        <v>6590</v>
      </c>
      <c r="N6" s="19">
        <f>_xll.BDH("GILD US Equity","SALES_REV_TURN","FQ2 2022","FQ2 2022","Currency=USD","Period=FQ","BEST_FPERIOD_OVERRIDE=FQ","FILING_STATUS=MR","SCALING_FORMAT=MLN","FA_ADJUSTED=GAAP","Sort=A","Dates=H","DateFormat=P","Fill=—","Direction=H","UseDPDF=Y")</f>
        <v>6260</v>
      </c>
      <c r="O6" s="19">
        <f>_xll.BDH("GILD US Equity","SALES_REV_TURN","FQ3 2022","FQ3 2022","Currency=USD","Period=FQ","BEST_FPERIOD_OVERRIDE=FQ","FILING_STATUS=MR","SCALING_FORMAT=MLN","FA_ADJUSTED=GAAP","Sort=A","Dates=H","DateFormat=P","Fill=—","Direction=H","UseDPDF=Y")</f>
        <v>7042</v>
      </c>
      <c r="P6" s="19">
        <f>_xll.BDH("GILD US Equity","SALES_REV_TURN","FQ4 2022","FQ4 2022","Currency=USD","Period=FQ","BEST_FPERIOD_OVERRIDE=FQ","FILING_STATUS=MR","SCALING_FORMAT=MLN","FA_ADJUSTED=GAAP","Sort=A","Dates=H","DateFormat=P","Fill=—","Direction=H","UseDPDF=Y")</f>
        <v>7389</v>
      </c>
      <c r="Q6" s="19">
        <f>_xll.BDH("GILD US Equity","SALES_REV_TURN","FQ1 2023","FQ1 2023","Currency=USD","Period=FQ","BEST_FPERIOD_OVERRIDE=FQ","FILING_STATUS=MR","SCALING_FORMAT=MLN","FA_ADJUSTED=GAAP","Sort=A","Dates=H","DateFormat=P","Fill=—","Direction=H","UseDPDF=Y")</f>
        <v>6352</v>
      </c>
      <c r="R6" s="19">
        <f>_xll.BDH("GILD US Equity","SALES_REV_TURN","FQ2 2023","FQ2 2023","Currency=USD","Period=FQ","BEST_FPERIOD_OVERRIDE=FQ","FILING_STATUS=MR","SCALING_FORMAT=MLN","FA_ADJUSTED=GAAP","Sort=A","Dates=H","DateFormat=P","Fill=—","Direction=H","UseDPDF=Y")</f>
        <v>6599</v>
      </c>
      <c r="S6" s="19">
        <f>_xll.BDH("GILD US Equity","SALES_REV_TURN","FQ3 2023","FQ3 2023","Currency=USD","Period=FQ","BEST_FPERIOD_OVERRIDE=FQ","FILING_STATUS=MR","SCALING_FORMAT=MLN","FA_ADJUSTED=GAAP","Sort=A","Dates=H","DateFormat=P","Fill=—","Direction=H","UseDPDF=Y")</f>
        <v>7051</v>
      </c>
      <c r="T6" s="19">
        <f>_xll.BDH("GILD US Equity","SALES_REV_TURN","FQ4 2023","FQ4 2023","Currency=USD","Period=FQ","BEST_FPERIOD_OVERRIDE=FQ","FILING_STATUS=MR","SCALING_FORMAT=MLN","FA_ADJUSTED=GAAP","Sort=A","Dates=H","DateFormat=P","Fill=—","Direction=H","UseDPDF=Y")</f>
        <v>7115</v>
      </c>
      <c r="U6" s="19">
        <f>_xll.BDH("GILD US Equity","SALES_REV_TURN","FQ1 2024","FQ1 2024","Currency=USD","Period=FQ","BEST_FPERIOD_OVERRIDE=FQ","FILING_STATUS=MR","SCALING_FORMAT=MLN","FA_ADJUSTED=GAAP","Sort=A","Dates=H","DateFormat=P","Fill=—","Direction=H","UseDPDF=Y")</f>
        <v>6686</v>
      </c>
      <c r="V6" s="19">
        <f>_xll.BDH("GILD US Equity","SALES_REV_TURN","FQ2 2024","FQ2 2024","Currency=USD","Period=FQ","BEST_FPERIOD_OVERRIDE=FQ","FILING_STATUS=MR","SCALING_FORMAT=MLN","FA_ADJUSTED=GAAP","Sort=A","Dates=H","DateFormat=P","Fill=—","Direction=H","UseDPDF=Y")</f>
        <v>6953</v>
      </c>
      <c r="W6" s="19">
        <f>_xll.BDH("GILD US Equity","SALES_REV_TURN","FQ3 2024","FQ3 2024","Currency=USD","Period=FQ","BEST_FPERIOD_OVERRIDE=FQ","FILING_STATUS=MR","SCALING_FORMAT=MLN","FA_ADJUSTED=GAAP","Sort=A","Dates=H","DateFormat=P","Fill=—","Direction=H","UseDPDF=Y")</f>
        <v>7545</v>
      </c>
      <c r="X6" s="19">
        <f>_xll.BDH("GILD US Equity","SALES_REV_TURN","FQ4 2024","FQ4 2024","Currency=USD","Period=FQ","BEST_FPERIOD_OVERRIDE=FQ","FILING_STATUS=MR","SCALING_FORMAT=MLN","FA_ADJUSTED=GAAP","Sort=A","Dates=H","DateFormat=P","Fill=—","Direction=H","UseDPDF=Y")</f>
        <v>7569</v>
      </c>
      <c r="Y6" s="22">
        <v>28753</v>
      </c>
      <c r="Z6" s="19">
        <v>6764.3159999999998</v>
      </c>
      <c r="AA6" s="19">
        <v>6947.6840000000002</v>
      </c>
    </row>
    <row r="7" spans="1:27" x14ac:dyDescent="0.25">
      <c r="A7" s="10" t="s">
        <v>313</v>
      </c>
      <c r="B7" s="10" t="s">
        <v>314</v>
      </c>
      <c r="C7" s="13">
        <v>98.429693076373994</v>
      </c>
      <c r="D7" s="13">
        <v>98.588195271304599</v>
      </c>
      <c r="E7" s="13">
        <v>98.540014419610699</v>
      </c>
      <c r="F7" s="13">
        <v>98.522263270464705</v>
      </c>
      <c r="G7" s="13">
        <v>98.722821955298798</v>
      </c>
      <c r="H7" s="13">
        <v>98.746799622692393</v>
      </c>
      <c r="I7" s="13">
        <v>98.707768955316794</v>
      </c>
      <c r="J7" s="13">
        <v>98.954479652565496</v>
      </c>
      <c r="K7" s="13">
        <v>99.124107263172107</v>
      </c>
      <c r="L7" s="13">
        <v>98.840419657647701</v>
      </c>
      <c r="M7" s="13">
        <v>99.150227617602397</v>
      </c>
      <c r="N7" s="13">
        <v>98.051118210862597</v>
      </c>
      <c r="O7" s="13">
        <v>99.091167282022198</v>
      </c>
      <c r="P7" s="13">
        <v>99.242116659899807</v>
      </c>
      <c r="Q7" s="13">
        <v>99.275818639798501</v>
      </c>
      <c r="R7" s="13">
        <v>99.469616608577098</v>
      </c>
      <c r="S7" s="13">
        <v>99.191604027797496</v>
      </c>
      <c r="T7" s="13">
        <v>99.367533380182707</v>
      </c>
      <c r="U7" s="13">
        <v>99.416691594376303</v>
      </c>
      <c r="V7" s="13">
        <v>99.410326477779407</v>
      </c>
      <c r="W7" s="13">
        <v>99.602385685884698</v>
      </c>
      <c r="X7" s="13">
        <v>99.564011097899296</v>
      </c>
      <c r="Y7" s="16">
        <v>99.502660591938195</v>
      </c>
      <c r="Z7" s="13"/>
      <c r="AA7" s="13"/>
    </row>
    <row r="8" spans="1:27" x14ac:dyDescent="0.25">
      <c r="A8" s="10" t="s">
        <v>315</v>
      </c>
      <c r="B8" s="10" t="s">
        <v>316</v>
      </c>
      <c r="C8" s="13">
        <v>1.5703069236259799</v>
      </c>
      <c r="D8" s="13">
        <v>1.4118047286953599</v>
      </c>
      <c r="E8" s="13">
        <v>1.45998558038933</v>
      </c>
      <c r="F8" s="13">
        <v>1.4777367295352899</v>
      </c>
      <c r="G8" s="13">
        <v>1.27717804470123</v>
      </c>
      <c r="H8" s="13">
        <v>1.2532003773076399</v>
      </c>
      <c r="I8" s="13">
        <v>1.29223104468317</v>
      </c>
      <c r="J8" s="13">
        <v>1.0455203474344501</v>
      </c>
      <c r="K8" s="13">
        <v>0.87589273682792101</v>
      </c>
      <c r="L8" s="13">
        <v>1.1595803423522899</v>
      </c>
      <c r="M8" s="13">
        <v>0.84977238239757202</v>
      </c>
      <c r="N8" s="13">
        <v>1.94888178913738</v>
      </c>
      <c r="O8" s="13">
        <v>0.90883271797784704</v>
      </c>
      <c r="P8" s="13">
        <v>0.75788334010014902</v>
      </c>
      <c r="Q8" s="13">
        <v>0.72418136020151103</v>
      </c>
      <c r="R8" s="13">
        <v>0.530383391422943</v>
      </c>
      <c r="S8" s="13">
        <v>0.80839597220252402</v>
      </c>
      <c r="T8" s="13">
        <v>0.63246661981728702</v>
      </c>
      <c r="U8" s="13">
        <v>0.58330840562369102</v>
      </c>
      <c r="V8" s="13">
        <v>0.58967352222062397</v>
      </c>
      <c r="W8" s="13">
        <v>0.39761431411530801</v>
      </c>
      <c r="X8" s="13">
        <v>0.43598890210067398</v>
      </c>
      <c r="Y8" s="16">
        <v>0.49733940806176702</v>
      </c>
      <c r="Z8" s="13"/>
      <c r="AA8" s="13"/>
    </row>
    <row r="9" spans="1:27" x14ac:dyDescent="0.25">
      <c r="A9" s="10" t="s">
        <v>317</v>
      </c>
      <c r="B9" s="10" t="s">
        <v>318</v>
      </c>
      <c r="C9" s="13">
        <v>18.4689507494647</v>
      </c>
      <c r="D9" s="13">
        <v>28.627317571015499</v>
      </c>
      <c r="E9" s="13">
        <v>17.4657534246575</v>
      </c>
      <c r="F9" s="13">
        <v>20.688314213494099</v>
      </c>
      <c r="G9" s="13">
        <v>17.348335107191701</v>
      </c>
      <c r="H9" s="13">
        <v>18.8384314782374</v>
      </c>
      <c r="I9" s="13">
        <v>21.189475323057799</v>
      </c>
      <c r="J9" s="13">
        <v>22.358050506675202</v>
      </c>
      <c r="K9" s="13">
        <v>16.480258725239199</v>
      </c>
      <c r="L9" s="13">
        <v>36.264494754279397</v>
      </c>
      <c r="M9" s="13">
        <v>21.608497723824001</v>
      </c>
      <c r="N9" s="13">
        <v>23.035143769968101</v>
      </c>
      <c r="O9" s="13">
        <v>19.809713149673399</v>
      </c>
      <c r="P9" s="13">
        <v>18.892948978210899</v>
      </c>
      <c r="Q9" s="13">
        <v>22.0560453400504</v>
      </c>
      <c r="R9" s="13">
        <v>21.851795726625198</v>
      </c>
      <c r="S9" s="13">
        <v>22.195433271876301</v>
      </c>
      <c r="T9" s="13">
        <v>29.374560787069601</v>
      </c>
      <c r="U9" s="13">
        <v>23.212683218665902</v>
      </c>
      <c r="V9" s="13">
        <v>22.206241909966899</v>
      </c>
      <c r="W9" s="13">
        <v>20.861497680583199</v>
      </c>
      <c r="X9" s="13">
        <v>20.887831946095901</v>
      </c>
      <c r="Y9" s="16">
        <v>21.740340138420301</v>
      </c>
      <c r="Z9" s="13"/>
      <c r="AA9" s="13"/>
    </row>
    <row r="10" spans="1:27" x14ac:dyDescent="0.25">
      <c r="A10" s="10" t="s">
        <v>319</v>
      </c>
      <c r="B10" s="10" t="s">
        <v>320</v>
      </c>
      <c r="C10" s="13">
        <v>18.4689507494647</v>
      </c>
      <c r="D10" s="13">
        <v>28.627317571015499</v>
      </c>
      <c r="E10" s="13">
        <v>17.4657534246575</v>
      </c>
      <c r="F10" s="13">
        <v>20.688314213494099</v>
      </c>
      <c r="G10" s="13">
        <v>17.348335107191701</v>
      </c>
      <c r="H10" s="13">
        <v>18.8384314782374</v>
      </c>
      <c r="I10" s="13">
        <v>21.189475323057799</v>
      </c>
      <c r="J10" s="13">
        <v>22.358050506675202</v>
      </c>
      <c r="K10" s="13">
        <v>16.480258725239199</v>
      </c>
      <c r="L10" s="13">
        <v>36.264494754279397</v>
      </c>
      <c r="M10" s="13">
        <v>21.608497723824001</v>
      </c>
      <c r="N10" s="13">
        <v>23.035143769968101</v>
      </c>
      <c r="O10" s="13">
        <v>19.809713149673399</v>
      </c>
      <c r="P10" s="13">
        <v>18.892948978210899</v>
      </c>
      <c r="Q10" s="13">
        <v>22.0560453400504</v>
      </c>
      <c r="R10" s="13">
        <v>21.851795726625198</v>
      </c>
      <c r="S10" s="13">
        <v>22.195433271876301</v>
      </c>
      <c r="T10" s="13">
        <v>29.374560787069601</v>
      </c>
      <c r="U10" s="13">
        <v>23.212683218665902</v>
      </c>
      <c r="V10" s="13">
        <v>22.206241909966899</v>
      </c>
      <c r="W10" s="13">
        <v>20.861497680583199</v>
      </c>
      <c r="X10" s="13">
        <v>20.887831946095901</v>
      </c>
      <c r="Y10" s="16">
        <v>21.740340138420301</v>
      </c>
      <c r="Z10" s="13"/>
      <c r="AA10" s="13"/>
    </row>
    <row r="11" spans="1:27" x14ac:dyDescent="0.25">
      <c r="A11" s="6" t="s">
        <v>2</v>
      </c>
      <c r="B11" s="6" t="s">
        <v>75</v>
      </c>
      <c r="C11" s="19">
        <v>81.531049250535304</v>
      </c>
      <c r="D11" s="19">
        <v>71.372682428984504</v>
      </c>
      <c r="E11" s="19">
        <v>82.534246575342493</v>
      </c>
      <c r="F11" s="19">
        <v>79.311685786505905</v>
      </c>
      <c r="G11" s="19">
        <v>82.651664892808299</v>
      </c>
      <c r="H11" s="19">
        <v>81.161568521762604</v>
      </c>
      <c r="I11" s="19">
        <v>78.810524676942194</v>
      </c>
      <c r="J11" s="19">
        <v>77.641949493324802</v>
      </c>
      <c r="K11" s="19">
        <v>83.519741274760804</v>
      </c>
      <c r="L11" s="19">
        <v>63.735505245720603</v>
      </c>
      <c r="M11" s="19">
        <v>78.391502276175999</v>
      </c>
      <c r="N11" s="19">
        <v>76.964856230031998</v>
      </c>
      <c r="O11" s="19">
        <v>80.190286850326601</v>
      </c>
      <c r="P11" s="19">
        <v>81.107051021789104</v>
      </c>
      <c r="Q11" s="19">
        <v>77.943954659949597</v>
      </c>
      <c r="R11" s="19">
        <v>78.148204273374802</v>
      </c>
      <c r="S11" s="19">
        <v>77.804566728123703</v>
      </c>
      <c r="T11" s="19">
        <v>70.625439212930402</v>
      </c>
      <c r="U11" s="19">
        <v>76.787316781334098</v>
      </c>
      <c r="V11" s="19">
        <v>77.793758090033094</v>
      </c>
      <c r="W11" s="19">
        <v>79.138502319416801</v>
      </c>
      <c r="X11" s="19">
        <v>79.112168053904099</v>
      </c>
      <c r="Y11" s="22">
        <v>78.259659861579607</v>
      </c>
      <c r="Z11" s="19">
        <v>85.647999999999996</v>
      </c>
      <c r="AA11" s="19">
        <v>85.683000000000007</v>
      </c>
    </row>
    <row r="12" spans="1:27" x14ac:dyDescent="0.25">
      <c r="A12" s="10" t="s">
        <v>321</v>
      </c>
      <c r="B12" s="10" t="s">
        <v>322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6">
        <v>0</v>
      </c>
      <c r="Z12" s="13"/>
      <c r="AA12" s="13"/>
    </row>
    <row r="13" spans="1:27" x14ac:dyDescent="0.25">
      <c r="A13" s="10" t="s">
        <v>323</v>
      </c>
      <c r="B13" s="10" t="s">
        <v>324</v>
      </c>
      <c r="C13" s="13">
        <v>107.815845824411</v>
      </c>
      <c r="D13" s="13">
        <v>52.781085218574603</v>
      </c>
      <c r="E13" s="13">
        <v>39.239365537130503</v>
      </c>
      <c r="F13" s="13">
        <v>137.31285242076601</v>
      </c>
      <c r="G13" s="13">
        <v>52.2274593279611</v>
      </c>
      <c r="H13" s="13">
        <v>45.4386201320577</v>
      </c>
      <c r="I13" s="13">
        <v>33.815973843998101</v>
      </c>
      <c r="J13" s="13">
        <v>41.515200257358899</v>
      </c>
      <c r="K13" s="13">
        <v>31.7477428917936</v>
      </c>
      <c r="L13" s="13">
        <v>50.759249033682998</v>
      </c>
      <c r="M13" s="13">
        <v>75.402124430955993</v>
      </c>
      <c r="N13" s="13">
        <v>44.552715654952102</v>
      </c>
      <c r="O13" s="13">
        <v>39.903436523714902</v>
      </c>
      <c r="P13" s="13">
        <v>50.426309378806302</v>
      </c>
      <c r="Q13" s="13">
        <v>51.102015113350099</v>
      </c>
      <c r="R13" s="13">
        <v>52.917108652826201</v>
      </c>
      <c r="S13" s="13">
        <v>40.6041696213303</v>
      </c>
      <c r="T13" s="13">
        <v>47.969079409697798</v>
      </c>
      <c r="U13" s="13">
        <v>141.42985342506699</v>
      </c>
      <c r="V13" s="13">
        <v>39.767007047317698</v>
      </c>
      <c r="W13" s="13">
        <v>67.369118621603704</v>
      </c>
      <c r="X13" s="13">
        <v>46.730083234244901</v>
      </c>
      <c r="Y13" s="16">
        <v>72.482871352554497</v>
      </c>
      <c r="Z13" s="13"/>
      <c r="AA13" s="13"/>
    </row>
    <row r="14" spans="1:27" x14ac:dyDescent="0.25">
      <c r="A14" s="10" t="s">
        <v>325</v>
      </c>
      <c r="B14" s="10" t="s">
        <v>326</v>
      </c>
      <c r="C14" s="13">
        <v>18.7723054960742</v>
      </c>
      <c r="D14" s="13">
        <v>20.479673413845902</v>
      </c>
      <c r="E14" s="13">
        <v>19.394376351838499</v>
      </c>
      <c r="F14" s="13">
        <v>24.090997472292401</v>
      </c>
      <c r="G14" s="13">
        <v>16.816177588566202</v>
      </c>
      <c r="H14" s="13">
        <v>23.312222072497001</v>
      </c>
      <c r="I14" s="13">
        <v>16.425346411334299</v>
      </c>
      <c r="J14" s="13">
        <v>21.7307382982146</v>
      </c>
      <c r="K14" s="13">
        <v>16.035574720388102</v>
      </c>
      <c r="L14" s="13">
        <v>22.7774710104914</v>
      </c>
      <c r="M14" s="13">
        <v>16.433990895295899</v>
      </c>
      <c r="N14" s="13">
        <v>21.677316293929699</v>
      </c>
      <c r="O14" s="13">
        <v>17.225220107923899</v>
      </c>
      <c r="P14" s="13">
        <v>27.337934767898201</v>
      </c>
      <c r="Q14" s="13">
        <v>20.7493702770781</v>
      </c>
      <c r="R14" s="13">
        <v>28.0193968783149</v>
      </c>
      <c r="S14" s="13">
        <v>18.649836902566999</v>
      </c>
      <c r="T14" s="13">
        <v>22.600140548137698</v>
      </c>
      <c r="U14" s="13">
        <v>20.5653604546814</v>
      </c>
      <c r="V14" s="13">
        <v>19.804400977995101</v>
      </c>
      <c r="W14" s="13">
        <v>18.992710404241201</v>
      </c>
      <c r="X14" s="13">
        <v>25.181662042541902</v>
      </c>
      <c r="Y14" s="16">
        <v>21.1838764650645</v>
      </c>
      <c r="Z14" s="13"/>
      <c r="AA14" s="13"/>
    </row>
    <row r="15" spans="1:27" x14ac:dyDescent="0.25">
      <c r="A15" s="10" t="s">
        <v>327</v>
      </c>
      <c r="B15" s="10" t="s">
        <v>412</v>
      </c>
      <c r="C15" s="13">
        <v>18.379728765167702</v>
      </c>
      <c r="D15" s="13">
        <v>32.301411804728701</v>
      </c>
      <c r="E15" s="13">
        <v>18.096611391492399</v>
      </c>
      <c r="F15" s="13">
        <v>25.257631732451902</v>
      </c>
      <c r="G15" s="13">
        <v>17.606811616238399</v>
      </c>
      <c r="H15" s="13">
        <v>21.263980595607102</v>
      </c>
      <c r="I15" s="13">
        <v>16.425346411334299</v>
      </c>
      <c r="J15" s="13">
        <v>18.2403088306257</v>
      </c>
      <c r="K15" s="13">
        <v>14.836275434577599</v>
      </c>
      <c r="L15" s="13">
        <v>18.7465488680287</v>
      </c>
      <c r="M15" s="13">
        <v>17.996965098634298</v>
      </c>
      <c r="N15" s="13">
        <v>17.6038338658147</v>
      </c>
      <c r="O15" s="13">
        <v>16.316387389946001</v>
      </c>
      <c r="P15" s="13">
        <v>20.9500609013398</v>
      </c>
      <c r="Q15" s="13">
        <v>22.780226700251902</v>
      </c>
      <c r="R15" s="13">
        <v>21.3214123352023</v>
      </c>
      <c r="S15" s="13">
        <v>20.6637356403347</v>
      </c>
      <c r="T15" s="13">
        <v>19.789177793394199</v>
      </c>
      <c r="U15" s="13">
        <v>22.7340711935387</v>
      </c>
      <c r="V15" s="13">
        <v>19.430461671221099</v>
      </c>
      <c r="W15" s="13">
        <v>18.489065606361802</v>
      </c>
      <c r="X15" s="13">
        <v>21.680539040824399</v>
      </c>
      <c r="Y15" s="16">
        <v>20.5439432407053</v>
      </c>
      <c r="Z15" s="13"/>
      <c r="AA15" s="13"/>
    </row>
    <row r="16" spans="1:27" x14ac:dyDescent="0.25">
      <c r="A16" s="10" t="s">
        <v>329</v>
      </c>
      <c r="B16" s="10" t="s">
        <v>413</v>
      </c>
      <c r="C16" s="13">
        <v>70.663811563169205</v>
      </c>
      <c r="D16" s="13">
        <v>0</v>
      </c>
      <c r="E16" s="13">
        <v>1.7483777937995699</v>
      </c>
      <c r="F16" s="13">
        <v>87.964223216021793</v>
      </c>
      <c r="G16" s="13">
        <v>17.804470123156499</v>
      </c>
      <c r="H16" s="13">
        <v>0.86241746395364505</v>
      </c>
      <c r="I16" s="13">
        <v>0.96528102132959703</v>
      </c>
      <c r="J16" s="13">
        <v>1.5441531285185801</v>
      </c>
      <c r="K16" s="13">
        <v>0.87589273682792101</v>
      </c>
      <c r="L16" s="13">
        <v>9.2352291551628891</v>
      </c>
      <c r="M16" s="13">
        <v>40.971168437025803</v>
      </c>
      <c r="N16" s="13">
        <v>5.2715654952076703</v>
      </c>
      <c r="O16" s="13">
        <v>6.3618290258449299</v>
      </c>
      <c r="P16" s="13">
        <v>2.1383137095682798</v>
      </c>
      <c r="Q16" s="13">
        <v>7.5724181360201497</v>
      </c>
      <c r="R16" s="13">
        <v>3.5762994393089902</v>
      </c>
      <c r="S16" s="13">
        <v>1.2905970784285901</v>
      </c>
      <c r="T16" s="13">
        <v>5.5797610681658503</v>
      </c>
      <c r="U16" s="13">
        <v>98.130421776847101</v>
      </c>
      <c r="V16" s="13">
        <v>0.53214439810153902</v>
      </c>
      <c r="W16" s="13">
        <v>29.887342611000701</v>
      </c>
      <c r="X16" s="13">
        <v>-0.132117849121416</v>
      </c>
      <c r="Y16" s="16">
        <v>30.7550516467847</v>
      </c>
      <c r="Z16" s="13"/>
      <c r="AA16" s="13"/>
    </row>
    <row r="17" spans="1:27" x14ac:dyDescent="0.25">
      <c r="A17" s="6" t="s">
        <v>331</v>
      </c>
      <c r="B17" s="6" t="s">
        <v>99</v>
      </c>
      <c r="C17" s="19">
        <v>-26.284796573875798</v>
      </c>
      <c r="D17" s="19">
        <v>18.591597210409901</v>
      </c>
      <c r="E17" s="19">
        <v>43.294881038211997</v>
      </c>
      <c r="F17" s="19">
        <v>-58.001166634260201</v>
      </c>
      <c r="G17" s="19">
        <v>30.424205564847199</v>
      </c>
      <c r="H17" s="19">
        <v>35.722948389704896</v>
      </c>
      <c r="I17" s="19">
        <v>44.9945508329441</v>
      </c>
      <c r="J17" s="19">
        <v>36.126749235965903</v>
      </c>
      <c r="K17" s="19">
        <v>51.771998382967297</v>
      </c>
      <c r="L17" s="19">
        <v>12.9762562120375</v>
      </c>
      <c r="M17" s="19">
        <v>2.9893778452200301</v>
      </c>
      <c r="N17" s="19">
        <v>32.412140575079903</v>
      </c>
      <c r="O17" s="19">
        <v>40.286850326611798</v>
      </c>
      <c r="P17" s="19">
        <v>30.680741642982799</v>
      </c>
      <c r="Q17" s="19">
        <v>26.841939546599502</v>
      </c>
      <c r="R17" s="19">
        <v>25.231095620548601</v>
      </c>
      <c r="S17" s="19">
        <v>37.200397106793403</v>
      </c>
      <c r="T17" s="19">
        <v>22.656359803232601</v>
      </c>
      <c r="U17" s="19">
        <v>-64.642536643733195</v>
      </c>
      <c r="V17" s="19">
        <v>38.026751042715397</v>
      </c>
      <c r="W17" s="19">
        <v>11.769383697813099</v>
      </c>
      <c r="X17" s="19">
        <v>32.382084819659099</v>
      </c>
      <c r="Y17" s="22">
        <v>5.7767885090251498</v>
      </c>
      <c r="Z17" s="19">
        <v>41.709361301275699</v>
      </c>
      <c r="AA17" s="19">
        <v>45.674400274969301</v>
      </c>
    </row>
    <row r="18" spans="1:27" x14ac:dyDescent="0.25">
      <c r="A18" s="10" t="s">
        <v>332</v>
      </c>
      <c r="B18" s="10" t="s">
        <v>414</v>
      </c>
      <c r="C18" s="13">
        <v>0.49964311206281198</v>
      </c>
      <c r="D18" s="13">
        <v>-13.743833985371699</v>
      </c>
      <c r="E18" s="13">
        <v>7.1917808219178099</v>
      </c>
      <c r="F18" s="13">
        <v>-0.194439043359907</v>
      </c>
      <c r="G18" s="13">
        <v>17.880492625817201</v>
      </c>
      <c r="H18" s="13">
        <v>11.278803395768801</v>
      </c>
      <c r="I18" s="13">
        <v>9.7462245056827008</v>
      </c>
      <c r="J18" s="13">
        <v>6.9004342930674003</v>
      </c>
      <c r="K18" s="13">
        <v>5.4440102412073799</v>
      </c>
      <c r="L18" s="13">
        <v>2.49861954721149</v>
      </c>
      <c r="M18" s="13">
        <v>5.2959028831563</v>
      </c>
      <c r="N18" s="13">
        <v>8.4025559105431302</v>
      </c>
      <c r="O18" s="13">
        <v>5.7512070434535598</v>
      </c>
      <c r="P18" s="13">
        <v>3.1939369332792</v>
      </c>
      <c r="Q18" s="13">
        <v>6.3759445843828697</v>
      </c>
      <c r="R18" s="13">
        <v>1.1668434611304701</v>
      </c>
      <c r="S18" s="13">
        <v>4.3114451850801299</v>
      </c>
      <c r="T18" s="13">
        <v>-0.576247364722417</v>
      </c>
      <c r="U18" s="13">
        <v>2.4528866287765498</v>
      </c>
      <c r="V18" s="13">
        <v>8.4999280885948494</v>
      </c>
      <c r="W18" s="13">
        <v>-0.90125911199469899</v>
      </c>
      <c r="X18" s="13">
        <v>3.7389351301360798</v>
      </c>
      <c r="Y18" s="16">
        <v>3.3735610197196801</v>
      </c>
      <c r="Z18" s="13"/>
      <c r="AA18" s="13"/>
    </row>
    <row r="19" spans="1:27" x14ac:dyDescent="0.25">
      <c r="A19" s="10" t="s">
        <v>334</v>
      </c>
      <c r="B19" s="10" t="s">
        <v>335</v>
      </c>
      <c r="C19" s="13">
        <v>4.4610992148465396</v>
      </c>
      <c r="D19" s="13">
        <v>4.1333560129273703</v>
      </c>
      <c r="E19" s="13">
        <v>4.34390771449171</v>
      </c>
      <c r="F19" s="13">
        <v>4.6665370406377598</v>
      </c>
      <c r="G19" s="13">
        <v>3.58826212558917</v>
      </c>
      <c r="H19" s="13">
        <v>3.5978978574316098</v>
      </c>
      <c r="I19" s="13">
        <v>4.0012455238984899</v>
      </c>
      <c r="J19" s="13">
        <v>4.1177416760495396</v>
      </c>
      <c r="K19" s="13">
        <v>3.3688182185689302</v>
      </c>
      <c r="L19" s="13">
        <v>3.2854776366648299</v>
      </c>
      <c r="M19" s="13">
        <v>3.61153262518968</v>
      </c>
      <c r="N19" s="13">
        <v>3.8658146964856201</v>
      </c>
      <c r="O19" s="13">
        <v>3.2519170690144801</v>
      </c>
      <c r="P19" s="13">
        <v>3.0721342536202498</v>
      </c>
      <c r="Q19" s="13">
        <v>3.62090680100756</v>
      </c>
      <c r="R19" s="13">
        <v>3.48537657220791</v>
      </c>
      <c r="S19" s="13">
        <v>3.29031343071905</v>
      </c>
      <c r="T19" s="13">
        <v>3.5418130709768101</v>
      </c>
      <c r="U19" s="13">
        <v>3.7989829494466001</v>
      </c>
      <c r="V19" s="13">
        <v>3.3942183230260299</v>
      </c>
      <c r="W19" s="13">
        <v>2.46520874751491</v>
      </c>
      <c r="X19" s="13">
        <v>3.2765226582111202</v>
      </c>
      <c r="Y19" s="16">
        <v>3.21357771362988</v>
      </c>
      <c r="Z19" s="13"/>
      <c r="AA19" s="13"/>
    </row>
    <row r="20" spans="1:27" x14ac:dyDescent="0.25">
      <c r="A20" s="11" t="s">
        <v>336</v>
      </c>
      <c r="B20" s="11" t="s">
        <v>337</v>
      </c>
      <c r="C20" s="25">
        <v>4.4610992148465396</v>
      </c>
      <c r="D20" s="25">
        <v>4.1333560129273703</v>
      </c>
      <c r="E20" s="25">
        <v>4.34390771449171</v>
      </c>
      <c r="F20" s="25">
        <v>4.6665370406377598</v>
      </c>
      <c r="G20" s="25">
        <v>3.58826212558917</v>
      </c>
      <c r="H20" s="25">
        <v>3.5978978574316098</v>
      </c>
      <c r="I20" s="25">
        <v>4.0012455238984899</v>
      </c>
      <c r="J20" s="25">
        <v>4.1177416760495396</v>
      </c>
      <c r="K20" s="25">
        <v>3.3688182185689302</v>
      </c>
      <c r="L20" s="25">
        <v>3.2854776366648299</v>
      </c>
      <c r="M20" s="25">
        <v>3.61153262518968</v>
      </c>
      <c r="N20" s="25">
        <v>3.8658146964856201</v>
      </c>
      <c r="O20" s="25">
        <v>3.2519170690144801</v>
      </c>
      <c r="P20" s="25">
        <v>3.0721342536202498</v>
      </c>
      <c r="Q20" s="25">
        <v>3.62090680100756</v>
      </c>
      <c r="R20" s="25">
        <v>3.48537657220791</v>
      </c>
      <c r="S20" s="25">
        <v>3.29031343071905</v>
      </c>
      <c r="T20" s="25">
        <v>3.5418130709768101</v>
      </c>
      <c r="U20" s="25">
        <v>3.7989829494466001</v>
      </c>
      <c r="V20" s="25">
        <v>3.3942183230260299</v>
      </c>
      <c r="W20" s="25">
        <v>3.1544068919814401</v>
      </c>
      <c r="X20" s="25">
        <v>3.2765226582111202</v>
      </c>
      <c r="Y20" s="28">
        <v>3.39442840747052</v>
      </c>
      <c r="Z20" s="25"/>
      <c r="AA20" s="25"/>
    </row>
    <row r="21" spans="1:27" x14ac:dyDescent="0.25">
      <c r="A21" s="11" t="s">
        <v>338</v>
      </c>
      <c r="B21" s="11" t="s">
        <v>339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0.68919814446653405</v>
      </c>
      <c r="X21" s="25">
        <v>0</v>
      </c>
      <c r="Y21" s="28">
        <v>0.18085069384064301</v>
      </c>
      <c r="Z21" s="25"/>
      <c r="AA21" s="25"/>
    </row>
    <row r="22" spans="1:27" x14ac:dyDescent="0.25">
      <c r="A22" s="10" t="s">
        <v>340</v>
      </c>
      <c r="B22" s="10" t="s">
        <v>341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 t="s">
        <v>148</v>
      </c>
      <c r="J22" s="13" t="s">
        <v>148</v>
      </c>
      <c r="K22" s="13">
        <v>0</v>
      </c>
      <c r="L22" s="13">
        <v>0</v>
      </c>
      <c r="M22" s="13" t="s">
        <v>148</v>
      </c>
      <c r="N22" s="13" t="s">
        <v>148</v>
      </c>
      <c r="O22" s="13">
        <v>0</v>
      </c>
      <c r="P22" s="13" t="s">
        <v>148</v>
      </c>
      <c r="Q22" s="13" t="s">
        <v>148</v>
      </c>
      <c r="R22" s="13" t="s">
        <v>148</v>
      </c>
      <c r="S22" s="13" t="s">
        <v>148</v>
      </c>
      <c r="T22" s="13" t="s">
        <v>148</v>
      </c>
      <c r="U22" s="13" t="s">
        <v>148</v>
      </c>
      <c r="V22" s="13" t="s">
        <v>148</v>
      </c>
      <c r="W22" s="13" t="s">
        <v>148</v>
      </c>
      <c r="X22" s="13" t="s">
        <v>148</v>
      </c>
      <c r="Y22" s="16"/>
      <c r="Z22" s="13"/>
      <c r="AA22" s="13"/>
    </row>
    <row r="23" spans="1:27" x14ac:dyDescent="0.25">
      <c r="A23" s="10" t="s">
        <v>342</v>
      </c>
      <c r="B23" s="10" t="s">
        <v>415</v>
      </c>
      <c r="C23" s="13">
        <v>-3.9614561027837301</v>
      </c>
      <c r="D23" s="13">
        <v>-17.877189998298999</v>
      </c>
      <c r="E23" s="13">
        <v>2.8478731074260999</v>
      </c>
      <c r="F23" s="13">
        <v>-4.8609760839976701</v>
      </c>
      <c r="G23" s="13">
        <v>14.292230500228101</v>
      </c>
      <c r="H23" s="13">
        <v>7.6809055383371501</v>
      </c>
      <c r="I23" s="13">
        <v>5.7449789817842101</v>
      </c>
      <c r="J23" s="13">
        <v>2.7826926170178501</v>
      </c>
      <c r="K23" s="13">
        <v>2.0751920226384599</v>
      </c>
      <c r="L23" s="13">
        <v>-0.78685808945334101</v>
      </c>
      <c r="M23" s="13">
        <v>1.68437025796662</v>
      </c>
      <c r="N23" s="13">
        <v>4.5367412140575096</v>
      </c>
      <c r="O23" s="13">
        <v>2.4992899744390802</v>
      </c>
      <c r="P23" s="13">
        <v>0.121802679658952</v>
      </c>
      <c r="Q23" s="13">
        <v>2.7550377833753101</v>
      </c>
      <c r="R23" s="13">
        <v>-2.3185331110774401</v>
      </c>
      <c r="S23" s="13">
        <v>1.0211317543610801</v>
      </c>
      <c r="T23" s="13">
        <v>-4.1180604356992303</v>
      </c>
      <c r="U23" s="13">
        <v>-1.34609632067006</v>
      </c>
      <c r="V23" s="13">
        <v>5.1057097655688199</v>
      </c>
      <c r="W23" s="13">
        <v>-3.3664678595096098</v>
      </c>
      <c r="X23" s="13">
        <v>0.46241247192495699</v>
      </c>
      <c r="Y23" s="16">
        <v>0.15998330608979899</v>
      </c>
      <c r="Z23" s="13"/>
      <c r="AA23" s="13"/>
    </row>
    <row r="24" spans="1:27" x14ac:dyDescent="0.25">
      <c r="A24" s="6" t="s">
        <v>416</v>
      </c>
      <c r="B24" s="6" t="s">
        <v>158</v>
      </c>
      <c r="C24" s="19">
        <v>-26.784439685938601</v>
      </c>
      <c r="D24" s="19">
        <v>32.335431195781602</v>
      </c>
      <c r="E24" s="19">
        <v>36.103100216294202</v>
      </c>
      <c r="F24" s="19">
        <v>-57.806727590900302</v>
      </c>
      <c r="G24" s="19">
        <v>12.54371293903</v>
      </c>
      <c r="H24" s="19">
        <v>24.444144993936099</v>
      </c>
      <c r="I24" s="19">
        <v>35.248326327261402</v>
      </c>
      <c r="J24" s="19">
        <v>29.226314942898501</v>
      </c>
      <c r="K24" s="19">
        <v>46.327988141759903</v>
      </c>
      <c r="L24" s="19">
        <v>10.4776366648261</v>
      </c>
      <c r="M24" s="19">
        <v>-2.3065250379362698</v>
      </c>
      <c r="N24" s="19">
        <v>24.0095846645367</v>
      </c>
      <c r="O24" s="19">
        <v>34.535643283158201</v>
      </c>
      <c r="P24" s="19">
        <v>27.486804709703598</v>
      </c>
      <c r="Q24" s="19">
        <v>20.465994962216602</v>
      </c>
      <c r="R24" s="19">
        <v>24.0642521594181</v>
      </c>
      <c r="S24" s="19">
        <v>32.8889519217132</v>
      </c>
      <c r="T24" s="19">
        <v>23.232607167954999</v>
      </c>
      <c r="U24" s="19">
        <v>-67.095423272509706</v>
      </c>
      <c r="V24" s="19">
        <v>29.526822954120501</v>
      </c>
      <c r="W24" s="19">
        <v>12.6706428098078</v>
      </c>
      <c r="X24" s="19">
        <v>28.643149689523099</v>
      </c>
      <c r="Y24" s="22">
        <v>2.4032274893054599</v>
      </c>
      <c r="Z24" s="19">
        <v>39.923223575007398</v>
      </c>
      <c r="AA24" s="19">
        <v>42.987951092766998</v>
      </c>
    </row>
    <row r="25" spans="1:27" x14ac:dyDescent="0.25">
      <c r="A25" s="10" t="s">
        <v>362</v>
      </c>
      <c r="B25" s="10" t="s">
        <v>363</v>
      </c>
      <c r="C25" s="13">
        <v>-5.9421841541755898</v>
      </c>
      <c r="D25" s="13">
        <v>-13.4036400748427</v>
      </c>
      <c r="E25" s="13">
        <v>8.3813987022350407</v>
      </c>
      <c r="F25" s="13">
        <v>7.2525763173245199</v>
      </c>
      <c r="G25" s="13">
        <v>7.1765242511783498</v>
      </c>
      <c r="H25" s="13">
        <v>3.6383236760544402</v>
      </c>
      <c r="I25" s="13">
        <v>8.4384244122684091</v>
      </c>
      <c r="J25" s="13">
        <v>4.82547852662056</v>
      </c>
      <c r="K25" s="13">
        <v>11.4809324888829</v>
      </c>
      <c r="L25" s="13">
        <v>5.2871341800110399</v>
      </c>
      <c r="M25" s="13">
        <v>-2.4886191198785999</v>
      </c>
      <c r="N25" s="13">
        <v>5.8785942492012797</v>
      </c>
      <c r="O25" s="13">
        <v>9.1735302470889</v>
      </c>
      <c r="P25" s="13">
        <v>5.3863851671403404</v>
      </c>
      <c r="Q25" s="13">
        <v>4.9748110831234298</v>
      </c>
      <c r="R25" s="13">
        <v>8.3194423397484503</v>
      </c>
      <c r="S25" s="13">
        <v>2.0706282796766402</v>
      </c>
      <c r="T25" s="13">
        <v>3.31693605059733</v>
      </c>
      <c r="U25" s="13">
        <v>-4.7262937481304199</v>
      </c>
      <c r="V25" s="13">
        <v>6.3138213720696097</v>
      </c>
      <c r="W25" s="13">
        <v>-3.9363817097415499</v>
      </c>
      <c r="X25" s="13">
        <v>5.0865371911745303</v>
      </c>
      <c r="Y25" s="16">
        <v>0.73383646923799295</v>
      </c>
      <c r="Z25" s="13"/>
      <c r="AA25" s="13"/>
    </row>
    <row r="26" spans="1:27" x14ac:dyDescent="0.25">
      <c r="A26" s="6" t="s">
        <v>364</v>
      </c>
      <c r="B26" s="6" t="s">
        <v>365</v>
      </c>
      <c r="C26" s="19">
        <v>-20.842255531763001</v>
      </c>
      <c r="D26" s="19">
        <v>45.739071270624301</v>
      </c>
      <c r="E26" s="19">
        <v>27.721701514059099</v>
      </c>
      <c r="F26" s="19">
        <v>-65.059303908224805</v>
      </c>
      <c r="G26" s="19">
        <v>5.3671886878516002</v>
      </c>
      <c r="H26" s="19">
        <v>20.805821317881701</v>
      </c>
      <c r="I26" s="19">
        <v>26.809901914992999</v>
      </c>
      <c r="J26" s="19">
        <v>24.400836416277901</v>
      </c>
      <c r="K26" s="19">
        <v>34.847055652877003</v>
      </c>
      <c r="L26" s="19">
        <v>5.1905024848150196</v>
      </c>
      <c r="M26" s="19">
        <v>0.182094081942337</v>
      </c>
      <c r="N26" s="19">
        <v>18.1309904153355</v>
      </c>
      <c r="O26" s="19">
        <v>25.362113036069299</v>
      </c>
      <c r="P26" s="19">
        <v>22.100419542563301</v>
      </c>
      <c r="Q26" s="19">
        <v>15.491183879093199</v>
      </c>
      <c r="R26" s="19">
        <v>15.7448098196696</v>
      </c>
      <c r="S26" s="19">
        <v>30.818323642036599</v>
      </c>
      <c r="T26" s="19">
        <v>19.9156711173577</v>
      </c>
      <c r="U26" s="19">
        <v>-62.369129524379296</v>
      </c>
      <c r="V26" s="19">
        <v>23.2130015820509</v>
      </c>
      <c r="W26" s="19">
        <v>16.607024519549402</v>
      </c>
      <c r="X26" s="19">
        <v>23.5566124983485</v>
      </c>
      <c r="Y26" s="22">
        <v>1.66939102006747</v>
      </c>
      <c r="Z26" s="19">
        <v>23.942376435400099</v>
      </c>
      <c r="AA26" s="19">
        <v>26.595466921063199</v>
      </c>
    </row>
    <row r="27" spans="1:27" x14ac:dyDescent="0.25">
      <c r="A27" s="10" t="s">
        <v>366</v>
      </c>
      <c r="B27" s="10" t="s">
        <v>367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6">
        <v>0</v>
      </c>
      <c r="Z27" s="13"/>
      <c r="AA27" s="13"/>
    </row>
    <row r="28" spans="1:27" x14ac:dyDescent="0.25">
      <c r="A28" s="10" t="s">
        <v>368</v>
      </c>
      <c r="B28" s="10" t="s">
        <v>369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6">
        <v>0</v>
      </c>
      <c r="Z28" s="13"/>
      <c r="AA28" s="13"/>
    </row>
    <row r="29" spans="1:27" x14ac:dyDescent="0.25">
      <c r="A29" s="10" t="s">
        <v>370</v>
      </c>
      <c r="B29" s="10" t="s">
        <v>371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6">
        <v>0</v>
      </c>
      <c r="Z29" s="13"/>
      <c r="AA29" s="13"/>
    </row>
    <row r="30" spans="1:27" x14ac:dyDescent="0.25">
      <c r="A30" s="6" t="s">
        <v>372</v>
      </c>
      <c r="B30" s="6" t="s">
        <v>373</v>
      </c>
      <c r="C30" s="19">
        <v>-20.842255531763001</v>
      </c>
      <c r="D30" s="19">
        <v>45.739071270624301</v>
      </c>
      <c r="E30" s="19">
        <v>27.721701514059099</v>
      </c>
      <c r="F30" s="19">
        <v>-65.059303908224805</v>
      </c>
      <c r="G30" s="19">
        <v>5.3671886878516002</v>
      </c>
      <c r="H30" s="19">
        <v>20.805821317881701</v>
      </c>
      <c r="I30" s="19">
        <v>26.809901914992999</v>
      </c>
      <c r="J30" s="19">
        <v>24.400836416277901</v>
      </c>
      <c r="K30" s="19">
        <v>34.847055652877003</v>
      </c>
      <c r="L30" s="19">
        <v>5.1905024848150196</v>
      </c>
      <c r="M30" s="19">
        <v>0.182094081942337</v>
      </c>
      <c r="N30" s="19">
        <v>18.1309904153355</v>
      </c>
      <c r="O30" s="19">
        <v>25.362113036069299</v>
      </c>
      <c r="P30" s="19">
        <v>22.100419542563301</v>
      </c>
      <c r="Q30" s="19">
        <v>15.491183879093199</v>
      </c>
      <c r="R30" s="19">
        <v>15.7448098196696</v>
      </c>
      <c r="S30" s="19">
        <v>30.818323642036599</v>
      </c>
      <c r="T30" s="19">
        <v>19.9156711173577</v>
      </c>
      <c r="U30" s="19">
        <v>-62.369129524379296</v>
      </c>
      <c r="V30" s="19">
        <v>23.2130015820509</v>
      </c>
      <c r="W30" s="19">
        <v>16.607024519549402</v>
      </c>
      <c r="X30" s="19">
        <v>23.5566124983485</v>
      </c>
      <c r="Y30" s="22">
        <v>1.66939102006747</v>
      </c>
      <c r="Z30" s="19"/>
      <c r="AA30" s="19"/>
    </row>
    <row r="31" spans="1:27" x14ac:dyDescent="0.25">
      <c r="A31" s="10" t="s">
        <v>374</v>
      </c>
      <c r="B31" s="10" t="s">
        <v>375</v>
      </c>
      <c r="C31" s="13">
        <v>-5.3533190578158502E-2</v>
      </c>
      <c r="D31" s="13">
        <v>-0.119067868685151</v>
      </c>
      <c r="E31" s="13">
        <v>-0.23431867339581799</v>
      </c>
      <c r="F31" s="13">
        <v>-0.13610733035193501</v>
      </c>
      <c r="G31" s="13">
        <v>-0.106431503725103</v>
      </c>
      <c r="H31" s="13">
        <v>-9.4326910119929899E-2</v>
      </c>
      <c r="I31" s="13">
        <v>-0.108983341117858</v>
      </c>
      <c r="J31" s="13">
        <v>-8.0424642110342601E-2</v>
      </c>
      <c r="K31" s="13">
        <v>-8.0851637245654195E-2</v>
      </c>
      <c r="L31" s="13">
        <v>-8.2827167310877997E-2</v>
      </c>
      <c r="M31" s="13">
        <v>-0.106221547799697</v>
      </c>
      <c r="N31" s="13">
        <v>-0.143769968051118</v>
      </c>
      <c r="O31" s="13">
        <v>-4.2601533655211597E-2</v>
      </c>
      <c r="P31" s="13">
        <v>-9.4735417512518599E-2</v>
      </c>
      <c r="Q31" s="13">
        <v>-0.40931989924433199</v>
      </c>
      <c r="R31" s="13">
        <v>-9.0922867101075902E-2</v>
      </c>
      <c r="S31" s="13">
        <v>-0.113459083817898</v>
      </c>
      <c r="T31" s="13">
        <v>-0.16865776528460999</v>
      </c>
      <c r="U31" s="13">
        <v>0</v>
      </c>
      <c r="V31" s="13">
        <v>0</v>
      </c>
      <c r="W31" s="13">
        <v>0</v>
      </c>
      <c r="X31" s="13">
        <v>0</v>
      </c>
      <c r="Y31" s="16">
        <v>0</v>
      </c>
      <c r="Z31" s="13"/>
      <c r="AA31" s="13"/>
    </row>
    <row r="32" spans="1:27" x14ac:dyDescent="0.25">
      <c r="A32" s="6" t="s">
        <v>376</v>
      </c>
      <c r="B32" s="6" t="s">
        <v>377</v>
      </c>
      <c r="C32" s="19">
        <v>-20.788722341184901</v>
      </c>
      <c r="D32" s="19">
        <v>45.858139139309401</v>
      </c>
      <c r="E32" s="19">
        <v>27.9560201874549</v>
      </c>
      <c r="F32" s="19">
        <v>-64.923196577872801</v>
      </c>
      <c r="G32" s="19">
        <v>5.4736201915767104</v>
      </c>
      <c r="H32" s="19">
        <v>20.900148228001601</v>
      </c>
      <c r="I32" s="19">
        <v>26.918885256110901</v>
      </c>
      <c r="J32" s="19">
        <v>24.481261058388299</v>
      </c>
      <c r="K32" s="19">
        <v>34.927907290122597</v>
      </c>
      <c r="L32" s="19">
        <v>5.2733296521259003</v>
      </c>
      <c r="M32" s="19">
        <v>0.28831562974203301</v>
      </c>
      <c r="N32" s="19">
        <v>18.274760383386599</v>
      </c>
      <c r="O32" s="19">
        <v>25.404714569724501</v>
      </c>
      <c r="P32" s="19">
        <v>22.195154960075801</v>
      </c>
      <c r="Q32" s="19">
        <v>15.9005037783375</v>
      </c>
      <c r="R32" s="19">
        <v>15.835732686770699</v>
      </c>
      <c r="S32" s="19">
        <v>30.917600340377199</v>
      </c>
      <c r="T32" s="19">
        <v>20.0843288826423</v>
      </c>
      <c r="U32" s="19">
        <v>-62.369129524379296</v>
      </c>
      <c r="V32" s="19">
        <v>23.2130015820509</v>
      </c>
      <c r="W32" s="19">
        <v>16.607024519549402</v>
      </c>
      <c r="X32" s="19">
        <v>23.5566124983485</v>
      </c>
      <c r="Y32" s="22">
        <v>1.66939102006747</v>
      </c>
      <c r="Z32" s="19">
        <v>23.942376435400099</v>
      </c>
      <c r="AA32" s="19">
        <v>26.595466921063199</v>
      </c>
    </row>
    <row r="33" spans="1:27" x14ac:dyDescent="0.25">
      <c r="A33" s="10" t="s">
        <v>378</v>
      </c>
      <c r="B33" s="10" t="s">
        <v>379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6">
        <v>0</v>
      </c>
      <c r="Z33" s="13"/>
      <c r="AA33" s="13"/>
    </row>
    <row r="34" spans="1:27" x14ac:dyDescent="0.25">
      <c r="A34" s="10" t="s">
        <v>380</v>
      </c>
      <c r="B34" s="10" t="s">
        <v>381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6">
        <v>0</v>
      </c>
      <c r="Z34" s="13"/>
      <c r="AA34" s="13"/>
    </row>
    <row r="35" spans="1:27" x14ac:dyDescent="0.25">
      <c r="A35" s="6" t="s">
        <v>382</v>
      </c>
      <c r="B35" s="6" t="s">
        <v>80</v>
      </c>
      <c r="C35" s="19">
        <v>-20.788722341184901</v>
      </c>
      <c r="D35" s="19">
        <v>45.858139139309401</v>
      </c>
      <c r="E35" s="19">
        <v>27.9560201874549</v>
      </c>
      <c r="F35" s="19">
        <v>-64.923196577872801</v>
      </c>
      <c r="G35" s="19">
        <v>5.4736201915767104</v>
      </c>
      <c r="H35" s="19">
        <v>20.900148228001601</v>
      </c>
      <c r="I35" s="19">
        <v>26.918885256110901</v>
      </c>
      <c r="J35" s="19">
        <v>24.481261058388299</v>
      </c>
      <c r="K35" s="19">
        <v>34.927907290122597</v>
      </c>
      <c r="L35" s="19">
        <v>5.2733296521259003</v>
      </c>
      <c r="M35" s="19">
        <v>0.28831562974203301</v>
      </c>
      <c r="N35" s="19">
        <v>18.274760383386599</v>
      </c>
      <c r="O35" s="19">
        <v>25.404714569724501</v>
      </c>
      <c r="P35" s="19">
        <v>22.195154960075801</v>
      </c>
      <c r="Q35" s="19">
        <v>15.9005037783375</v>
      </c>
      <c r="R35" s="19">
        <v>15.835732686770699</v>
      </c>
      <c r="S35" s="19">
        <v>30.917600340377199</v>
      </c>
      <c r="T35" s="19">
        <v>20.0843288826423</v>
      </c>
      <c r="U35" s="19">
        <v>-62.369129524379296</v>
      </c>
      <c r="V35" s="19">
        <v>23.2130015820509</v>
      </c>
      <c r="W35" s="19">
        <v>16.607024519549402</v>
      </c>
      <c r="X35" s="19">
        <v>23.5566124983485</v>
      </c>
      <c r="Y35" s="22">
        <v>1.66939102006747</v>
      </c>
      <c r="Z35" s="19">
        <v>23.942376435400099</v>
      </c>
      <c r="AA35" s="19">
        <v>26.595466921063199</v>
      </c>
    </row>
    <row r="36" spans="1:27" x14ac:dyDescent="0.25">
      <c r="A36" s="6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21"/>
      <c r="Z36" s="18"/>
      <c r="AA36" s="18"/>
    </row>
    <row r="37" spans="1:27" x14ac:dyDescent="0.25">
      <c r="A37" s="10" t="s">
        <v>384</v>
      </c>
      <c r="B37" s="10" t="s">
        <v>385</v>
      </c>
      <c r="C37" s="13">
        <v>53.693790149892898</v>
      </c>
      <c r="D37" s="13">
        <v>-26.245960197312499</v>
      </c>
      <c r="E37" s="13">
        <v>10.598413842826201</v>
      </c>
      <c r="F37" s="13">
        <v>87.789228076997901</v>
      </c>
      <c r="G37" s="13">
        <v>31.491713547210001</v>
      </c>
      <c r="H37" s="13">
        <v>11.8851906751112</v>
      </c>
      <c r="I37" s="13">
        <v>13.996574809279201</v>
      </c>
      <c r="J37" s="13">
        <v>6.1926974424963799</v>
      </c>
      <c r="K37" s="13">
        <v>4.3122220724969704</v>
      </c>
      <c r="L37" s="13">
        <v>7.8771397018222</v>
      </c>
      <c r="M37" s="13">
        <v>32.625189681335399</v>
      </c>
      <c r="N37" s="13">
        <v>10.522364217252401</v>
      </c>
      <c r="O37" s="13">
        <v>13.5633342800341</v>
      </c>
      <c r="P37" s="13">
        <v>3.3133035593449698</v>
      </c>
      <c r="Q37" s="13">
        <v>10.579187657430699</v>
      </c>
      <c r="R37" s="13">
        <v>6.2404399151386603</v>
      </c>
      <c r="S37" s="13">
        <v>4.3949794355410603</v>
      </c>
      <c r="T37" s="13">
        <v>7.6617006324666201</v>
      </c>
      <c r="U37" s="13">
        <v>79.741100807657801</v>
      </c>
      <c r="V37" s="13">
        <v>6.8606356968215199</v>
      </c>
      <c r="W37" s="13">
        <v>16.142478462558</v>
      </c>
      <c r="X37" s="13">
        <v>1.85374554102259</v>
      </c>
      <c r="Y37" s="16">
        <v>24.925294751852</v>
      </c>
      <c r="Z37" s="13"/>
      <c r="AA37" s="13"/>
    </row>
    <row r="38" spans="1:27" x14ac:dyDescent="0.25">
      <c r="A38" s="10" t="s">
        <v>386</v>
      </c>
      <c r="B38" s="10" t="s">
        <v>367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6">
        <v>0</v>
      </c>
      <c r="Z38" s="13"/>
      <c r="AA38" s="13"/>
    </row>
    <row r="39" spans="1:27" x14ac:dyDescent="0.25">
      <c r="A39" s="6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21"/>
      <c r="Z39" s="18"/>
      <c r="AA39" s="18"/>
    </row>
    <row r="40" spans="1:27" x14ac:dyDescent="0.25">
      <c r="A40" s="10" t="s">
        <v>259</v>
      </c>
      <c r="B40" s="10" t="s">
        <v>106</v>
      </c>
      <c r="C40" s="13">
        <v>22.608850820842299</v>
      </c>
      <c r="D40" s="13">
        <v>21.5342745364858</v>
      </c>
      <c r="E40" s="13">
        <v>22.7469358327325</v>
      </c>
      <c r="F40" s="13">
        <v>24.4020999416683</v>
      </c>
      <c r="G40" s="13">
        <v>19.081648167857701</v>
      </c>
      <c r="H40" s="13">
        <v>16.911467457215998</v>
      </c>
      <c r="I40" s="13">
        <v>19.554725206289898</v>
      </c>
      <c r="J40" s="13">
        <v>20.186585169695999</v>
      </c>
      <c r="K40" s="13">
        <v>16.924942730090301</v>
      </c>
      <c r="L40" s="13">
        <v>17.338487023743799</v>
      </c>
      <c r="M40" s="13">
        <v>19.044006069802698</v>
      </c>
      <c r="N40" s="13">
        <v>20.0638977635783</v>
      </c>
      <c r="O40" s="13">
        <v>17.821641579096799</v>
      </c>
      <c r="P40" s="13">
        <v>16.9441061036676</v>
      </c>
      <c r="Q40" s="13">
        <v>19.647355163728001</v>
      </c>
      <c r="R40" s="13">
        <v>18.9271101682073</v>
      </c>
      <c r="S40" s="13">
        <v>17.699617075592101</v>
      </c>
      <c r="T40" s="13">
        <v>17.5404075895994</v>
      </c>
      <c r="U40" s="13">
        <v>18.650912354172899</v>
      </c>
      <c r="V40" s="13">
        <v>17.934704444124801</v>
      </c>
      <c r="W40" s="13">
        <v>16.527501656726301</v>
      </c>
      <c r="X40" s="13">
        <v>16.488307570352799</v>
      </c>
      <c r="Y40" s="16">
        <v>4.3404166521754304</v>
      </c>
      <c r="Z40" s="13"/>
      <c r="AA40" s="13"/>
    </row>
    <row r="41" spans="1:27" x14ac:dyDescent="0.25">
      <c r="A41" s="6" t="s">
        <v>101</v>
      </c>
      <c r="B41" s="6" t="s">
        <v>102</v>
      </c>
      <c r="C41" s="19">
        <v>-1.6416845110635299E-2</v>
      </c>
      <c r="D41" s="19">
        <v>3.62306514713387E-2</v>
      </c>
      <c r="E41" s="19">
        <v>2.2170151405912001E-2</v>
      </c>
      <c r="F41" s="19">
        <v>-5.17207855337352E-2</v>
      </c>
      <c r="G41" s="19">
        <v>4.4093051543256804E-3</v>
      </c>
      <c r="H41" s="19">
        <v>1.6709338364101899E-2</v>
      </c>
      <c r="I41" s="19">
        <v>2.14852872489491E-2</v>
      </c>
      <c r="J41" s="19">
        <v>1.9462763390702902E-2</v>
      </c>
      <c r="K41" s="19">
        <v>2.7759062121008E-2</v>
      </c>
      <c r="L41" s="19">
        <v>4.1413583655439002E-3</v>
      </c>
      <c r="M41" s="19">
        <v>3.0349013657056102E-4</v>
      </c>
      <c r="N41" s="19">
        <v>1.45367412140575E-2</v>
      </c>
      <c r="O41" s="19">
        <v>2.0306731042317502E-2</v>
      </c>
      <c r="P41" s="19">
        <v>1.7729056705914199E-2</v>
      </c>
      <c r="Q41" s="19">
        <v>1.27518891687657E-2</v>
      </c>
      <c r="R41" s="19">
        <v>1.27292013941506E-2</v>
      </c>
      <c r="S41" s="19">
        <v>2.48191745851652E-2</v>
      </c>
      <c r="T41" s="19">
        <v>1.6163035839775099E-2</v>
      </c>
      <c r="U41" s="19">
        <v>-4.9955130122644298E-2</v>
      </c>
      <c r="V41" s="19">
        <v>1.8553142528404998E-2</v>
      </c>
      <c r="W41" s="19">
        <v>1.32538104705103E-2</v>
      </c>
      <c r="X41" s="19">
        <v>1.8892852424362502E-2</v>
      </c>
      <c r="Y41" s="22">
        <v>1.3216012242200799E-3</v>
      </c>
      <c r="Z41" s="19">
        <v>1.8641943989606599E-2</v>
      </c>
      <c r="AA41" s="19">
        <v>2.1086163389123599E-2</v>
      </c>
    </row>
    <row r="42" spans="1:27" x14ac:dyDescent="0.25">
      <c r="A42" s="6" t="s">
        <v>387</v>
      </c>
      <c r="B42" s="6" t="s">
        <v>266</v>
      </c>
      <c r="C42" s="19">
        <v>-1.6416845110635299E-2</v>
      </c>
      <c r="D42" s="19">
        <v>3.62306514713387E-2</v>
      </c>
      <c r="E42" s="19">
        <v>2.2170151405912001E-2</v>
      </c>
      <c r="F42" s="19">
        <v>-5.17207855337352E-2</v>
      </c>
      <c r="G42" s="19">
        <v>4.4093051543256804E-3</v>
      </c>
      <c r="H42" s="19">
        <v>1.6709338364101899E-2</v>
      </c>
      <c r="I42" s="19">
        <v>2.14852872489491E-2</v>
      </c>
      <c r="J42" s="19">
        <v>1.9462763390702902E-2</v>
      </c>
      <c r="K42" s="19">
        <v>2.7759062121008E-2</v>
      </c>
      <c r="L42" s="19">
        <v>4.1413583655439002E-3</v>
      </c>
      <c r="M42" s="19">
        <v>3.0349013657056102E-4</v>
      </c>
      <c r="N42" s="19">
        <v>1.45367412140575E-2</v>
      </c>
      <c r="O42" s="19">
        <v>2.0306731042317502E-2</v>
      </c>
      <c r="P42" s="19">
        <v>1.7729056705914199E-2</v>
      </c>
      <c r="Q42" s="19">
        <v>1.27518891687657E-2</v>
      </c>
      <c r="R42" s="19">
        <v>1.27292013941506E-2</v>
      </c>
      <c r="S42" s="19">
        <v>2.48191745851652E-2</v>
      </c>
      <c r="T42" s="19">
        <v>1.6163035839775099E-2</v>
      </c>
      <c r="U42" s="19">
        <v>-4.9955130122644298E-2</v>
      </c>
      <c r="V42" s="19">
        <v>1.8553142528404998E-2</v>
      </c>
      <c r="W42" s="19">
        <v>1.32538104705103E-2</v>
      </c>
      <c r="X42" s="19">
        <v>1.8892852424362502E-2</v>
      </c>
      <c r="Y42" s="22">
        <v>1.3216012242200799E-3</v>
      </c>
      <c r="Z42" s="19">
        <v>1.8641943989606599E-2</v>
      </c>
      <c r="AA42" s="19">
        <v>2.1086163389123599E-2</v>
      </c>
    </row>
    <row r="43" spans="1:27" x14ac:dyDescent="0.25">
      <c r="A43" s="6" t="s">
        <v>388</v>
      </c>
      <c r="B43" s="6" t="s">
        <v>268</v>
      </c>
      <c r="C43" s="19">
        <v>2.5970842255531802E-2</v>
      </c>
      <c r="D43" s="19">
        <v>1.54914441231502E-2</v>
      </c>
      <c r="E43" s="19">
        <v>3.05502703677001E-2</v>
      </c>
      <c r="F43" s="19">
        <v>1.8219949445848701E-2</v>
      </c>
      <c r="G43" s="19">
        <v>2.9454447316405698E-2</v>
      </c>
      <c r="H43" s="19">
        <v>2.6123770381350199E-2</v>
      </c>
      <c r="I43" s="19">
        <v>3.2576008095905301E-2</v>
      </c>
      <c r="J43" s="19">
        <v>2.4441402605758399E-2</v>
      </c>
      <c r="K43" s="19">
        <v>3.1242137178277899E-2</v>
      </c>
      <c r="L43" s="19">
        <v>1.04701131971287E-2</v>
      </c>
      <c r="M43" s="19">
        <v>2.62259028831563E-2</v>
      </c>
      <c r="N43" s="19">
        <v>2.29276517571885E-2</v>
      </c>
      <c r="O43" s="19">
        <v>3.1050241408690699E-2</v>
      </c>
      <c r="P43" s="19">
        <v>2.0374164298281199E-2</v>
      </c>
      <c r="Q43" s="19">
        <v>2.1217695214105801E-2</v>
      </c>
      <c r="R43" s="19">
        <v>1.7675071980603099E-2</v>
      </c>
      <c r="S43" s="19">
        <v>2.8295333995178001E-2</v>
      </c>
      <c r="T43" s="19">
        <v>2.22323963457484E-2</v>
      </c>
      <c r="U43" s="19">
        <v>1.3931005085252799E-2</v>
      </c>
      <c r="V43" s="19">
        <v>2.41167841219617E-2</v>
      </c>
      <c r="W43" s="19">
        <v>2.6262637508283601E-2</v>
      </c>
      <c r="X43" s="19">
        <v>2.0360866693090202E-2</v>
      </c>
      <c r="Y43" s="22">
        <v>2.1322634159913801E-2</v>
      </c>
      <c r="Z43" s="19">
        <v>2.6004107436731198E-2</v>
      </c>
      <c r="AA43" s="19">
        <v>2.7922974044300199E-2</v>
      </c>
    </row>
    <row r="44" spans="1:27" x14ac:dyDescent="0.25">
      <c r="A44" s="6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21"/>
      <c r="Z44" s="18"/>
      <c r="AA44" s="18"/>
    </row>
    <row r="45" spans="1:27" x14ac:dyDescent="0.25">
      <c r="A45" s="10" t="s">
        <v>258</v>
      </c>
      <c r="B45" s="10" t="s">
        <v>108</v>
      </c>
      <c r="C45" s="13">
        <v>22.608850820842299</v>
      </c>
      <c r="D45" s="13">
        <v>21.6533424051709</v>
      </c>
      <c r="E45" s="13">
        <v>22.891131939437599</v>
      </c>
      <c r="F45" s="13">
        <v>24.4020999416683</v>
      </c>
      <c r="G45" s="13">
        <v>19.172875171050599</v>
      </c>
      <c r="H45" s="13">
        <v>16.965368548713101</v>
      </c>
      <c r="I45" s="13">
        <v>19.648139498676599</v>
      </c>
      <c r="J45" s="13">
        <v>20.2670098118063</v>
      </c>
      <c r="K45" s="13">
        <v>17.005794367335898</v>
      </c>
      <c r="L45" s="13">
        <v>17.421314191054702</v>
      </c>
      <c r="M45" s="13">
        <v>19.1502276176024</v>
      </c>
      <c r="N45" s="13">
        <v>20.1277955271566</v>
      </c>
      <c r="O45" s="13">
        <v>17.906844646407301</v>
      </c>
      <c r="P45" s="13">
        <v>17.106509676546199</v>
      </c>
      <c r="Q45" s="13">
        <v>19.647355163728001</v>
      </c>
      <c r="R45" s="13">
        <v>19.063494468858899</v>
      </c>
      <c r="S45" s="13">
        <v>17.8272585448873</v>
      </c>
      <c r="T45" s="13">
        <v>17.652846099789201</v>
      </c>
      <c r="U45" s="13">
        <v>18.650912354172899</v>
      </c>
      <c r="V45" s="13">
        <v>17.992233568243901</v>
      </c>
      <c r="W45" s="13">
        <v>16.6202783300199</v>
      </c>
      <c r="X45" s="13">
        <v>16.6336372043863</v>
      </c>
      <c r="Y45" s="16">
        <v>4.3786735297186397</v>
      </c>
      <c r="Z45" s="13"/>
      <c r="AA45" s="13"/>
    </row>
    <row r="46" spans="1:27" x14ac:dyDescent="0.25">
      <c r="A46" s="6" t="s">
        <v>103</v>
      </c>
      <c r="B46" s="6" t="s">
        <v>104</v>
      </c>
      <c r="C46" s="19">
        <v>-1.6416845110635299E-2</v>
      </c>
      <c r="D46" s="19">
        <v>3.6060554516074199E-2</v>
      </c>
      <c r="E46" s="19">
        <v>2.1989906272530599E-2</v>
      </c>
      <c r="F46" s="19">
        <v>-5.17207855337352E-2</v>
      </c>
      <c r="G46" s="19">
        <v>4.4093051543256804E-3</v>
      </c>
      <c r="H46" s="19">
        <v>1.6574585635359101E-2</v>
      </c>
      <c r="I46" s="19">
        <v>2.1329596761637901E-2</v>
      </c>
      <c r="J46" s="19">
        <v>1.9462763390702902E-2</v>
      </c>
      <c r="K46" s="19">
        <v>2.7624309392265199E-2</v>
      </c>
      <c r="L46" s="19">
        <v>4.1413583655439002E-3</v>
      </c>
      <c r="M46" s="19">
        <v>3.0349013657056102E-4</v>
      </c>
      <c r="N46" s="19">
        <v>1.45367412140575E-2</v>
      </c>
      <c r="O46" s="19">
        <v>2.0164725930133499E-2</v>
      </c>
      <c r="P46" s="19">
        <v>1.7593720395181998E-2</v>
      </c>
      <c r="Q46" s="19">
        <v>1.2594458438287199E-2</v>
      </c>
      <c r="R46" s="19">
        <v>1.25776632823155E-2</v>
      </c>
      <c r="S46" s="19">
        <v>2.4535526875620502E-2</v>
      </c>
      <c r="T46" s="19">
        <v>1.6022487702037898E-2</v>
      </c>
      <c r="U46" s="19">
        <v>-4.9955130122644298E-2</v>
      </c>
      <c r="V46" s="19">
        <v>1.8553142528404998E-2</v>
      </c>
      <c r="W46" s="19">
        <v>1.32538104705103E-2</v>
      </c>
      <c r="X46" s="19">
        <v>1.8760734575241099E-2</v>
      </c>
      <c r="Y46" s="22">
        <v>1.2868222446353399E-3</v>
      </c>
      <c r="Z46" s="19">
        <v>1.8641943989606599E-2</v>
      </c>
      <c r="AA46" s="19">
        <v>2.1086163389123599E-2</v>
      </c>
    </row>
    <row r="47" spans="1:27" x14ac:dyDescent="0.25">
      <c r="A47" s="6" t="s">
        <v>389</v>
      </c>
      <c r="B47" s="6" t="s">
        <v>271</v>
      </c>
      <c r="C47" s="19">
        <v>-1.6416845110635299E-2</v>
      </c>
      <c r="D47" s="19">
        <v>3.6060554516074199E-2</v>
      </c>
      <c r="E47" s="19">
        <v>2.1989906272530599E-2</v>
      </c>
      <c r="F47" s="19">
        <v>-5.17207855337352E-2</v>
      </c>
      <c r="G47" s="19">
        <v>4.4093051543256804E-3</v>
      </c>
      <c r="H47" s="19">
        <v>1.6574585635359101E-2</v>
      </c>
      <c r="I47" s="19">
        <v>2.1329596761637901E-2</v>
      </c>
      <c r="J47" s="19">
        <v>1.9462763390702902E-2</v>
      </c>
      <c r="K47" s="19">
        <v>2.7624309392265199E-2</v>
      </c>
      <c r="L47" s="19">
        <v>4.1413583655439002E-3</v>
      </c>
      <c r="M47" s="19">
        <v>3.0349013657056102E-4</v>
      </c>
      <c r="N47" s="19">
        <v>1.45367412140575E-2</v>
      </c>
      <c r="O47" s="19">
        <v>2.0164725930133499E-2</v>
      </c>
      <c r="P47" s="19">
        <v>1.7593720395181998E-2</v>
      </c>
      <c r="Q47" s="19">
        <v>1.2594458438287199E-2</v>
      </c>
      <c r="R47" s="19">
        <v>1.25776632823155E-2</v>
      </c>
      <c r="S47" s="19">
        <v>2.4535526875620502E-2</v>
      </c>
      <c r="T47" s="19">
        <v>1.6022487702037898E-2</v>
      </c>
      <c r="U47" s="19">
        <v>-4.9955130122644298E-2</v>
      </c>
      <c r="V47" s="19">
        <v>1.8553142528404998E-2</v>
      </c>
      <c r="W47" s="19">
        <v>1.32538104705103E-2</v>
      </c>
      <c r="X47" s="19">
        <v>1.8760734575241099E-2</v>
      </c>
      <c r="Y47" s="22">
        <v>1.2868222446353399E-3</v>
      </c>
      <c r="Z47" s="19">
        <v>1.8641943989606599E-2</v>
      </c>
      <c r="AA47" s="19">
        <v>2.1086163389123599E-2</v>
      </c>
    </row>
    <row r="48" spans="1:27" x14ac:dyDescent="0.25">
      <c r="A48" s="6" t="s">
        <v>390</v>
      </c>
      <c r="B48" s="6" t="s">
        <v>82</v>
      </c>
      <c r="C48" s="19">
        <v>2.59618308351178E-2</v>
      </c>
      <c r="D48" s="19">
        <v>1.54431535975506E-2</v>
      </c>
      <c r="E48" s="19">
        <v>3.03351117519827E-2</v>
      </c>
      <c r="F48" s="19">
        <v>1.8219949445848701E-2</v>
      </c>
      <c r="G48" s="19">
        <v>2.9382910141401899E-2</v>
      </c>
      <c r="H48" s="19">
        <v>2.6014768899070201E-2</v>
      </c>
      <c r="I48" s="19">
        <v>3.2420379884788998E-2</v>
      </c>
      <c r="J48" s="19">
        <v>2.4377609779636499E-2</v>
      </c>
      <c r="K48" s="19">
        <v>3.10412882360868E-2</v>
      </c>
      <c r="L48" s="19">
        <v>1.03831446714522E-2</v>
      </c>
      <c r="M48" s="19">
        <v>2.61554628224583E-2</v>
      </c>
      <c r="N48" s="19">
        <v>2.2887827476038299E-2</v>
      </c>
      <c r="O48" s="19">
        <v>3.09207469468901E-2</v>
      </c>
      <c r="P48" s="19">
        <v>2.0215008796860199E-2</v>
      </c>
      <c r="Q48" s="19">
        <v>2.1071379093198998E-2</v>
      </c>
      <c r="R48" s="19">
        <v>1.75382633732384E-2</v>
      </c>
      <c r="S48" s="19">
        <v>2.8031924549709299E-2</v>
      </c>
      <c r="T48" s="19">
        <v>2.2122572030920599E-2</v>
      </c>
      <c r="U48" s="19">
        <v>1.3931005085252799E-2</v>
      </c>
      <c r="V48" s="19">
        <v>2.4037264490148098E-2</v>
      </c>
      <c r="W48" s="19">
        <v>2.6126600397614299E-2</v>
      </c>
      <c r="X48" s="19">
        <v>2.0233135156559699E-2</v>
      </c>
      <c r="Y48" s="22">
        <v>2.1234083399993001E-2</v>
      </c>
      <c r="Z48" s="19">
        <v>2.6004107436731198E-2</v>
      </c>
      <c r="AA48" s="19">
        <v>2.7922974044300199E-2</v>
      </c>
    </row>
    <row r="49" spans="1:27" x14ac:dyDescent="0.25">
      <c r="A49" s="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21"/>
      <c r="Z49" s="18"/>
      <c r="AA49" s="18"/>
    </row>
    <row r="50" spans="1:27" x14ac:dyDescent="0.25">
      <c r="A50" s="6" t="s">
        <v>4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21"/>
      <c r="Z50" s="18"/>
      <c r="AA50" s="18"/>
    </row>
    <row r="51" spans="1:27" x14ac:dyDescent="0.25">
      <c r="A51" s="10" t="s">
        <v>391</v>
      </c>
      <c r="B51" s="10" t="s">
        <v>392</v>
      </c>
      <c r="C51" s="12" t="s">
        <v>393</v>
      </c>
      <c r="D51" s="12" t="s">
        <v>393</v>
      </c>
      <c r="E51" s="12" t="s">
        <v>393</v>
      </c>
      <c r="F51" s="12" t="s">
        <v>393</v>
      </c>
      <c r="G51" s="12" t="s">
        <v>393</v>
      </c>
      <c r="H51" s="12" t="s">
        <v>393</v>
      </c>
      <c r="I51" s="12" t="s">
        <v>393</v>
      </c>
      <c r="J51" s="12" t="s">
        <v>393</v>
      </c>
      <c r="K51" s="12" t="s">
        <v>393</v>
      </c>
      <c r="L51" s="12" t="s">
        <v>393</v>
      </c>
      <c r="M51" s="12" t="s">
        <v>393</v>
      </c>
      <c r="N51" s="12" t="s">
        <v>393</v>
      </c>
      <c r="O51" s="12" t="s">
        <v>393</v>
      </c>
      <c r="P51" s="12" t="s">
        <v>393</v>
      </c>
      <c r="Q51" s="12" t="s">
        <v>393</v>
      </c>
      <c r="R51" s="12" t="s">
        <v>393</v>
      </c>
      <c r="S51" s="12" t="s">
        <v>393</v>
      </c>
      <c r="T51" s="12" t="s">
        <v>393</v>
      </c>
      <c r="U51" s="12" t="s">
        <v>393</v>
      </c>
      <c r="V51" s="12" t="s">
        <v>393</v>
      </c>
      <c r="W51" s="12" t="s">
        <v>393</v>
      </c>
      <c r="X51" s="12" t="s">
        <v>393</v>
      </c>
      <c r="Y51" s="15"/>
      <c r="Z51" s="12"/>
      <c r="AA51" s="12"/>
    </row>
    <row r="52" spans="1:27" x14ac:dyDescent="0.25">
      <c r="A52" s="10" t="s">
        <v>78</v>
      </c>
      <c r="B52" s="10" t="s">
        <v>78</v>
      </c>
      <c r="C52" s="13">
        <v>-19.3076374018558</v>
      </c>
      <c r="D52" s="13">
        <v>25.2934172478313</v>
      </c>
      <c r="E52" s="13">
        <v>49.585436193222797</v>
      </c>
      <c r="F52" s="13">
        <v>-51.2152440209994</v>
      </c>
      <c r="G52" s="13">
        <v>35.8218032537631</v>
      </c>
      <c r="H52" s="13">
        <v>41.476889907020599</v>
      </c>
      <c r="I52" s="13">
        <v>52.358710882765102</v>
      </c>
      <c r="J52" s="13">
        <v>44.474827087019499</v>
      </c>
      <c r="K52" s="13">
        <v>58.8195660962134</v>
      </c>
      <c r="L52" s="13">
        <v>20.361678630590799</v>
      </c>
      <c r="M52" s="13">
        <v>10.9559939301973</v>
      </c>
      <c r="N52" s="13">
        <v>40.7987220447284</v>
      </c>
      <c r="O52" s="13">
        <v>47.742118716273801</v>
      </c>
      <c r="P52" s="13">
        <v>37.826498849641403</v>
      </c>
      <c r="Q52" s="13">
        <v>36.917506297229203</v>
      </c>
      <c r="R52" s="13">
        <v>35.550841036520701</v>
      </c>
      <c r="S52" s="13">
        <v>46.901148773223703</v>
      </c>
      <c r="T52" s="13">
        <v>32.326071679550203</v>
      </c>
      <c r="U52" s="13">
        <v>-54.322464851929404</v>
      </c>
      <c r="V52" s="13">
        <v>48.008054077376698</v>
      </c>
      <c r="W52" s="13">
        <v>20.9145129224652</v>
      </c>
      <c r="X52" s="13">
        <v>41.537851763773297</v>
      </c>
      <c r="Y52" s="16">
        <v>15.4001321601224</v>
      </c>
      <c r="Z52" s="13">
        <v>46.434850175538799</v>
      </c>
      <c r="AA52" s="13">
        <v>52.190053548779701</v>
      </c>
    </row>
    <row r="53" spans="1:27" x14ac:dyDescent="0.25">
      <c r="A53" s="10" t="s">
        <v>394</v>
      </c>
      <c r="B53" s="10" t="s">
        <v>395</v>
      </c>
      <c r="C53" s="13">
        <v>0.46819102426838</v>
      </c>
      <c r="D53" s="13">
        <v>0.44348411294437801</v>
      </c>
      <c r="E53" s="13">
        <v>0.47386157173756299</v>
      </c>
      <c r="F53" s="13">
        <v>4.5773050748590297E-2</v>
      </c>
      <c r="G53" s="13">
        <v>0.26011934012467702</v>
      </c>
      <c r="H53" s="13">
        <v>0.30297395229753399</v>
      </c>
      <c r="I53" s="13">
        <v>0.37534051066479801</v>
      </c>
      <c r="J53" s="13">
        <v>0.69815279073508096</v>
      </c>
      <c r="K53" s="13">
        <v>0.66542801509230598</v>
      </c>
      <c r="L53" s="13">
        <v>0.60506350082827198</v>
      </c>
      <c r="M53" s="13">
        <v>0.51518864946889198</v>
      </c>
      <c r="N53" s="13">
        <v>0.52924950479233202</v>
      </c>
      <c r="O53" s="13">
        <v>0.42456053677932398</v>
      </c>
      <c r="P53" s="13">
        <v>0.467954770604953</v>
      </c>
      <c r="Q53" s="13">
        <v>0.64362465365239296</v>
      </c>
      <c r="R53" s="13">
        <v>0.60035258372480704</v>
      </c>
      <c r="S53" s="13">
        <v>0.55883497376258695</v>
      </c>
      <c r="T53" s="13">
        <v>0.53374809557273395</v>
      </c>
      <c r="U53" s="13">
        <v>0.23542886628776499</v>
      </c>
      <c r="V53" s="13">
        <v>0.27481769020566699</v>
      </c>
      <c r="W53" s="13">
        <v>0.167856302186879</v>
      </c>
      <c r="X53" s="13">
        <v>0.20346323160259</v>
      </c>
      <c r="Y53" s="16">
        <v>5.3560088199917998E-2</v>
      </c>
      <c r="Z53" s="13">
        <v>0.79275280470668097</v>
      </c>
      <c r="AA53" s="13">
        <v>0.79590115117938998</v>
      </c>
    </row>
    <row r="54" spans="1:27" x14ac:dyDescent="0.25">
      <c r="A54" s="10" t="s">
        <v>396</v>
      </c>
      <c r="B54" s="10" t="s">
        <v>396</v>
      </c>
      <c r="C54" s="13">
        <v>-20.485367594575301</v>
      </c>
      <c r="D54" s="13">
        <v>24.119748256506199</v>
      </c>
      <c r="E54" s="13">
        <v>48.359769286229302</v>
      </c>
      <c r="F54" s="13">
        <v>-52.537429515846803</v>
      </c>
      <c r="G54" s="13">
        <v>34.711874714915602</v>
      </c>
      <c r="H54" s="13">
        <v>40.412343349952799</v>
      </c>
      <c r="I54" s="13">
        <v>51.144325081737499</v>
      </c>
      <c r="J54" s="13">
        <v>43.2041177416761</v>
      </c>
      <c r="K54" s="13">
        <v>57.714593720522799</v>
      </c>
      <c r="L54" s="13">
        <v>19.119271120927699</v>
      </c>
      <c r="M54" s="13">
        <v>9.7420333839150199</v>
      </c>
      <c r="N54" s="13">
        <v>39.520766773162897</v>
      </c>
      <c r="O54" s="13">
        <v>46.606077818801502</v>
      </c>
      <c r="P54" s="13">
        <v>36.703207470564401</v>
      </c>
      <c r="Q54" s="13">
        <v>35.437657430730503</v>
      </c>
      <c r="R54" s="13">
        <v>34.293074708289097</v>
      </c>
      <c r="S54" s="13">
        <v>45.681463622181198</v>
      </c>
      <c r="T54" s="13">
        <v>31.047083626142001</v>
      </c>
      <c r="U54" s="13">
        <v>-55.7283876757404</v>
      </c>
      <c r="V54" s="13">
        <v>46.598590536459099</v>
      </c>
      <c r="W54" s="13">
        <v>19.668654738237201</v>
      </c>
      <c r="X54" s="13">
        <v>40.282732197119799</v>
      </c>
      <c r="Y54" s="16">
        <v>14.075053037943899</v>
      </c>
      <c r="Z54" s="13"/>
      <c r="AA54" s="13"/>
    </row>
    <row r="55" spans="1:27" x14ac:dyDescent="0.25">
      <c r="A55" s="10" t="s">
        <v>141</v>
      </c>
      <c r="B55" s="10" t="s">
        <v>141</v>
      </c>
      <c r="C55" s="13">
        <v>-26.284796573875798</v>
      </c>
      <c r="D55" s="13">
        <v>18.591597210409901</v>
      </c>
      <c r="E55" s="13">
        <v>43.294881038211997</v>
      </c>
      <c r="F55" s="13">
        <v>-58.001166634260201</v>
      </c>
      <c r="G55" s="13">
        <v>30.424205564847199</v>
      </c>
      <c r="H55" s="13">
        <v>35.722948389704896</v>
      </c>
      <c r="I55" s="13">
        <v>44.9945508329441</v>
      </c>
      <c r="J55" s="13">
        <v>36.126749235965903</v>
      </c>
      <c r="K55" s="13">
        <v>51.771998382967297</v>
      </c>
      <c r="L55" s="13">
        <v>12.9762562120375</v>
      </c>
      <c r="M55" s="13">
        <v>2.9893778452200301</v>
      </c>
      <c r="N55" s="13">
        <v>32.412140575079903</v>
      </c>
      <c r="O55" s="13">
        <v>40.286850326611798</v>
      </c>
      <c r="P55" s="13">
        <v>30.680741642982799</v>
      </c>
      <c r="Q55" s="13">
        <v>26.841939546599502</v>
      </c>
      <c r="R55" s="13">
        <v>25.231095620548601</v>
      </c>
      <c r="S55" s="13">
        <v>37.200397106793403</v>
      </c>
      <c r="T55" s="13">
        <v>22.656359803232601</v>
      </c>
      <c r="U55" s="13">
        <v>-64.642536643733195</v>
      </c>
      <c r="V55" s="13">
        <v>38.026751042715397</v>
      </c>
      <c r="W55" s="13">
        <v>11.769383697813099</v>
      </c>
      <c r="X55" s="13">
        <v>32.382084819659099</v>
      </c>
      <c r="Y55" s="16">
        <v>5.7767885090251498</v>
      </c>
      <c r="Z55" s="13">
        <v>41.709361301275699</v>
      </c>
      <c r="AA55" s="13">
        <v>45.674400274969301</v>
      </c>
    </row>
    <row r="56" spans="1:27" x14ac:dyDescent="0.25">
      <c r="A56" s="10" t="s">
        <v>397</v>
      </c>
      <c r="B56" s="10" t="s">
        <v>153</v>
      </c>
      <c r="C56" s="13">
        <v>1.45487239471806</v>
      </c>
      <c r="D56" s="13">
        <v>1.2140275897261401</v>
      </c>
      <c r="E56" s="13">
        <v>1.4876396359048301</v>
      </c>
      <c r="F56" s="13">
        <v>1.5421288353101299</v>
      </c>
      <c r="G56" s="13">
        <v>1.2566772844762</v>
      </c>
      <c r="H56" s="13">
        <v>1.09367428917936</v>
      </c>
      <c r="I56" s="13">
        <v>1.2270049042503499</v>
      </c>
      <c r="J56" s="13">
        <v>1.2488651922148899</v>
      </c>
      <c r="K56" s="13">
        <v>1.12545130036383</v>
      </c>
      <c r="L56" s="13">
        <v>0.87983855604638295</v>
      </c>
      <c r="M56" s="13">
        <v>1.18955238239757</v>
      </c>
      <c r="N56" s="13">
        <v>1.22947054313099</v>
      </c>
      <c r="O56" s="13">
        <v>1.1387430701505299</v>
      </c>
      <c r="P56" s="13">
        <v>1.0976729056705901</v>
      </c>
      <c r="Q56" s="13">
        <v>1.22707737720403</v>
      </c>
      <c r="R56" s="13">
        <v>1.1842431277466301</v>
      </c>
      <c r="S56" s="13">
        <v>1.1034543610835299</v>
      </c>
      <c r="T56" s="13">
        <v>0.99262739283204504</v>
      </c>
      <c r="U56" s="13">
        <v>1.1484791654202799</v>
      </c>
      <c r="V56" s="13">
        <v>1.1188516899180201</v>
      </c>
      <c r="W56" s="13">
        <v>1.0488867064281</v>
      </c>
      <c r="X56" s="13">
        <v>1.04521294754921</v>
      </c>
      <c r="Y56" s="16">
        <v>0.27217911126345001</v>
      </c>
      <c r="Z56" s="13"/>
      <c r="AA56" s="13"/>
    </row>
    <row r="57" spans="1:27" x14ac:dyDescent="0.25">
      <c r="A57" s="10" t="s">
        <v>398</v>
      </c>
      <c r="B57" s="10" t="s">
        <v>399</v>
      </c>
      <c r="C57" s="13">
        <v>-0.46903634903640301</v>
      </c>
      <c r="D57" s="13">
        <v>0.31623740432046299</v>
      </c>
      <c r="E57" s="13">
        <v>0.78036916005767798</v>
      </c>
      <c r="F57" s="13">
        <v>-1.1277691425238201</v>
      </c>
      <c r="G57" s="13">
        <v>0.46258485631746998</v>
      </c>
      <c r="H57" s="13">
        <v>0.481376472173562</v>
      </c>
      <c r="I57" s="13">
        <v>0.70052235715397804</v>
      </c>
      <c r="J57" s="13">
        <v>0.58109617178703599</v>
      </c>
      <c r="K57" s="13">
        <v>0.69764180029645595</v>
      </c>
      <c r="L57" s="13">
        <v>0.17913108779679701</v>
      </c>
      <c r="M57" s="13">
        <v>4.5362336874051598E-2</v>
      </c>
      <c r="N57" s="13">
        <v>0.51776583067092696</v>
      </c>
      <c r="O57" s="13">
        <v>0.57209386537915397</v>
      </c>
      <c r="P57" s="13">
        <v>0.41522184328055201</v>
      </c>
      <c r="Q57" s="13">
        <v>0.42257462216624703</v>
      </c>
      <c r="R57" s="13">
        <v>0.38234726473708103</v>
      </c>
      <c r="S57" s="13">
        <v>0.527590370160261</v>
      </c>
      <c r="T57" s="13">
        <v>0.31843092059030198</v>
      </c>
      <c r="U57" s="13">
        <v>-0.96683423571642302</v>
      </c>
      <c r="V57" s="13">
        <v>0.54691141953113798</v>
      </c>
      <c r="W57" s="13">
        <v>0.155989184890656</v>
      </c>
      <c r="X57" s="13">
        <v>0.42782514202668798</v>
      </c>
      <c r="Y57" s="16">
        <v>2.0091080962074001E-2</v>
      </c>
      <c r="Z57" s="13">
        <v>0.61660870517101396</v>
      </c>
      <c r="AA57" s="13">
        <v>0.65740468730254997</v>
      </c>
    </row>
    <row r="58" spans="1:27" x14ac:dyDescent="0.25">
      <c r="A58" s="10" t="s">
        <v>400</v>
      </c>
      <c r="B58" s="10" t="s">
        <v>401</v>
      </c>
      <c r="C58" s="13">
        <v>-0.37096220556745202</v>
      </c>
      <c r="D58" s="13">
        <v>0.78003298179962599</v>
      </c>
      <c r="E58" s="13">
        <v>0.50389365537130504</v>
      </c>
      <c r="F58" s="13">
        <v>-1.2623604316546799</v>
      </c>
      <c r="G58" s="13">
        <v>8.3223658202828094E-2</v>
      </c>
      <c r="H58" s="13">
        <v>0.28163519741274801</v>
      </c>
      <c r="I58" s="13">
        <v>0.41910143235248298</v>
      </c>
      <c r="J58" s="13">
        <v>0.39377933086697797</v>
      </c>
      <c r="K58" s="13">
        <v>0.47066307775232402</v>
      </c>
      <c r="L58" s="13">
        <v>7.2795831032578695E-2</v>
      </c>
      <c r="M58" s="13">
        <v>4.3750531107738999E-3</v>
      </c>
      <c r="N58" s="13">
        <v>0.29192907348242803</v>
      </c>
      <c r="O58" s="13">
        <v>0.36075994035785303</v>
      </c>
      <c r="P58" s="13">
        <v>0.30038103938286598</v>
      </c>
      <c r="Q58" s="13">
        <v>0.25032279596977303</v>
      </c>
      <c r="R58" s="13">
        <v>0.23997170783451999</v>
      </c>
      <c r="S58" s="13">
        <v>0.43848532123103101</v>
      </c>
      <c r="T58" s="13">
        <v>0.282281503865074</v>
      </c>
      <c r="U58" s="13">
        <v>-0.93283173795991603</v>
      </c>
      <c r="V58" s="13">
        <v>0.33385591830864397</v>
      </c>
      <c r="W58" s="13">
        <v>0.22010636182902599</v>
      </c>
      <c r="X58" s="13">
        <v>0.31122489100277401</v>
      </c>
      <c r="Y58" s="16">
        <v>5.8059716205873203E-3</v>
      </c>
      <c r="Z58" s="13">
        <v>0.47429154163795301</v>
      </c>
      <c r="AA58" s="13">
        <v>0.49402352161785201</v>
      </c>
    </row>
    <row r="59" spans="1:27" x14ac:dyDescent="0.25">
      <c r="A59" s="10" t="s">
        <v>402</v>
      </c>
      <c r="B59" s="10" t="s">
        <v>403</v>
      </c>
      <c r="C59" s="13" t="s">
        <v>148</v>
      </c>
      <c r="D59" s="13">
        <v>8474.5762711855805</v>
      </c>
      <c r="E59" s="13" t="s">
        <v>148</v>
      </c>
      <c r="F59" s="13" t="s">
        <v>148</v>
      </c>
      <c r="G59" s="13" t="s">
        <v>148</v>
      </c>
      <c r="H59" s="13">
        <v>7352.9411764721699</v>
      </c>
      <c r="I59" s="13" t="s">
        <v>148</v>
      </c>
      <c r="J59" s="13" t="s">
        <v>148</v>
      </c>
      <c r="K59" s="13" t="s">
        <v>148</v>
      </c>
      <c r="L59" s="13">
        <v>6944.4444444505798</v>
      </c>
      <c r="M59" s="13" t="s">
        <v>148</v>
      </c>
      <c r="N59" s="13" t="s">
        <v>148</v>
      </c>
      <c r="O59" s="13" t="s">
        <v>148</v>
      </c>
      <c r="P59" s="13">
        <v>5882.3529411828404</v>
      </c>
      <c r="Q59" s="13" t="s">
        <v>148</v>
      </c>
      <c r="R59" s="13" t="s">
        <v>148</v>
      </c>
      <c r="S59" s="13" t="s">
        <v>148</v>
      </c>
      <c r="T59" s="13">
        <v>5555.5555555586798</v>
      </c>
      <c r="U59" s="13" t="s">
        <v>148</v>
      </c>
      <c r="V59" s="13" t="s">
        <v>148</v>
      </c>
      <c r="W59" s="13" t="s">
        <v>148</v>
      </c>
      <c r="X59" s="13">
        <v>5681.8181818205803</v>
      </c>
      <c r="Y59" s="16">
        <v>1495.6937299823301</v>
      </c>
      <c r="Z59" s="13"/>
      <c r="AA59" s="13"/>
    </row>
    <row r="60" spans="1:27" x14ac:dyDescent="0.25">
      <c r="A60" s="10" t="s">
        <v>404</v>
      </c>
      <c r="B60" s="10" t="s">
        <v>274</v>
      </c>
      <c r="C60" s="13">
        <v>1.12419700214133E-2</v>
      </c>
      <c r="D60" s="13">
        <v>1.07161081816635E-2</v>
      </c>
      <c r="E60" s="13">
        <v>1.2256669069935101E-2</v>
      </c>
      <c r="F60" s="13">
        <v>1.3221854948473701E-2</v>
      </c>
      <c r="G60" s="13">
        <v>1.0339060361867099E-2</v>
      </c>
      <c r="H60" s="13">
        <v>9.1631855545074806E-3</v>
      </c>
      <c r="I60" s="13">
        <v>1.1054024599097E-2</v>
      </c>
      <c r="J60" s="13">
        <v>1.14202991796686E-2</v>
      </c>
      <c r="K60" s="13">
        <v>9.5674437407357506E-3</v>
      </c>
      <c r="L60" s="13">
        <v>9.8012147984538906E-3</v>
      </c>
      <c r="M60" s="13">
        <v>1.1077389984825501E-2</v>
      </c>
      <c r="N60" s="13">
        <v>1.16613418530351E-2</v>
      </c>
      <c r="O60" s="13">
        <v>1.0366373189434799E-2</v>
      </c>
      <c r="P60" s="13">
        <v>9.8795506834483699E-3</v>
      </c>
      <c r="Q60" s="13">
        <v>1.18073047858942E-2</v>
      </c>
      <c r="R60" s="13">
        <v>1.13653583876345E-2</v>
      </c>
      <c r="S60" s="13">
        <v>1.0636789107928001E-2</v>
      </c>
      <c r="T60" s="13">
        <v>1.05411103302881E-2</v>
      </c>
      <c r="U60" s="13">
        <v>1.15166018546216E-2</v>
      </c>
      <c r="V60" s="13">
        <v>1.10743563929239E-2</v>
      </c>
      <c r="W60" s="13">
        <v>1.0205434062292899E-2</v>
      </c>
      <c r="X60" s="13">
        <v>1.0173074382349099E-2</v>
      </c>
      <c r="Y60" s="16">
        <v>1.07119257120996E-2</v>
      </c>
      <c r="Z60" s="13">
        <v>1.15163159142772E-2</v>
      </c>
      <c r="AA60" s="13">
        <v>1.12411560456693E-2</v>
      </c>
    </row>
    <row r="61" spans="1:27" x14ac:dyDescent="0.25">
      <c r="A61" s="10" t="s">
        <v>405</v>
      </c>
      <c r="B61" s="10" t="s">
        <v>406</v>
      </c>
      <c r="C61" s="13">
        <v>14.346895074946501</v>
      </c>
      <c r="D61" s="13">
        <v>13.743833985371699</v>
      </c>
      <c r="E61" s="13">
        <v>15.7534246575342</v>
      </c>
      <c r="F61" s="13">
        <v>16.593427960334399</v>
      </c>
      <c r="G61" s="13">
        <v>13.167097460848399</v>
      </c>
      <c r="H61" s="13">
        <v>11.6561110362485</v>
      </c>
      <c r="I61" s="13">
        <v>14.105558150397</v>
      </c>
      <c r="J61" s="13">
        <v>14.524690365127899</v>
      </c>
      <c r="K61" s="13">
        <v>12.1951219512195</v>
      </c>
      <c r="L61" s="13">
        <v>12.310325786858099</v>
      </c>
      <c r="M61" s="13">
        <v>14.1426403641882</v>
      </c>
      <c r="N61" s="13">
        <v>14.888178913738001</v>
      </c>
      <c r="O61" s="13">
        <v>13.009798352740701</v>
      </c>
      <c r="P61" s="13">
        <v>12.3691974556774</v>
      </c>
      <c r="Q61" s="13">
        <v>15.066120906801</v>
      </c>
      <c r="R61" s="13">
        <v>14.4567358690711</v>
      </c>
      <c r="S61" s="13">
        <v>13.515813359807099</v>
      </c>
      <c r="T61" s="13">
        <v>13.155305692199599</v>
      </c>
      <c r="U61" s="13">
        <v>14.657493269518399</v>
      </c>
      <c r="V61" s="13">
        <v>14.0658708471164</v>
      </c>
      <c r="W61" s="13">
        <v>12.9489728296885</v>
      </c>
      <c r="X61" s="13">
        <v>12.6959968291716</v>
      </c>
      <c r="Y61" s="16">
        <v>13.549751330296001</v>
      </c>
      <c r="Z61" s="13"/>
      <c r="AA61" s="13"/>
    </row>
    <row r="62" spans="1:27" x14ac:dyDescent="0.25">
      <c r="A62" s="10" t="s">
        <v>407</v>
      </c>
      <c r="B62" s="10" t="s">
        <v>408</v>
      </c>
      <c r="C62" s="13">
        <v>1.1777301927194901</v>
      </c>
      <c r="D62" s="13">
        <v>1.17366899132506</v>
      </c>
      <c r="E62" s="13">
        <v>1.22566690699351</v>
      </c>
      <c r="F62" s="13">
        <v>1.3221854948473699</v>
      </c>
      <c r="G62" s="13">
        <v>1.1099285388475</v>
      </c>
      <c r="H62" s="13">
        <v>1.0645465570677799</v>
      </c>
      <c r="I62" s="13">
        <v>1.2143858010275601</v>
      </c>
      <c r="J62" s="13">
        <v>1.27070934534341</v>
      </c>
      <c r="K62" s="13">
        <v>1.10497237569061</v>
      </c>
      <c r="L62" s="13">
        <v>1.2424075096631699</v>
      </c>
      <c r="M62" s="13">
        <v>1.21396054628225</v>
      </c>
      <c r="N62" s="13">
        <v>1.2779552715655</v>
      </c>
      <c r="O62" s="13">
        <v>1.13604089747231</v>
      </c>
      <c r="P62" s="13">
        <v>1.12329137907701</v>
      </c>
      <c r="Q62" s="13">
        <v>1.4798488664987399</v>
      </c>
      <c r="R62" s="13">
        <v>1.2577663282315501</v>
      </c>
      <c r="S62" s="13">
        <v>1.21968515104241</v>
      </c>
      <c r="T62" s="13">
        <v>1.27898805340829</v>
      </c>
      <c r="U62" s="13">
        <v>1.40592282381095</v>
      </c>
      <c r="V62" s="13">
        <v>1.40946354091759</v>
      </c>
      <c r="W62" s="13">
        <v>1.2458581842279699</v>
      </c>
      <c r="X62" s="13">
        <v>1.25511956665345</v>
      </c>
      <c r="Y62" s="16">
        <v>1.3250791221785601</v>
      </c>
      <c r="Z62" s="13"/>
      <c r="AA62" s="13"/>
    </row>
    <row r="63" spans="1:27" x14ac:dyDescent="0.25">
      <c r="A63" s="10" t="s">
        <v>409</v>
      </c>
      <c r="B63" s="10" t="s">
        <v>410</v>
      </c>
      <c r="C63" s="13">
        <v>0.78515346181299095</v>
      </c>
      <c r="D63" s="13">
        <v>0.74842660316380305</v>
      </c>
      <c r="E63" s="13" t="s">
        <v>148</v>
      </c>
      <c r="F63" s="13" t="s">
        <v>148</v>
      </c>
      <c r="G63" s="13" t="s">
        <v>148</v>
      </c>
      <c r="H63" s="13" t="s">
        <v>148</v>
      </c>
      <c r="I63" s="13" t="s">
        <v>148</v>
      </c>
      <c r="J63" s="13" t="s">
        <v>148</v>
      </c>
      <c r="K63" s="13" t="s">
        <v>148</v>
      </c>
      <c r="L63" s="13" t="s">
        <v>148</v>
      </c>
      <c r="M63" s="13" t="s">
        <v>148</v>
      </c>
      <c r="N63" s="13" t="s">
        <v>148</v>
      </c>
      <c r="O63" s="13" t="s">
        <v>148</v>
      </c>
      <c r="P63" s="13" t="s">
        <v>148</v>
      </c>
      <c r="Q63" s="13" t="s">
        <v>148</v>
      </c>
      <c r="R63" s="13" t="s">
        <v>148</v>
      </c>
      <c r="S63" s="13" t="s">
        <v>148</v>
      </c>
      <c r="T63" s="13" t="s">
        <v>148</v>
      </c>
      <c r="U63" s="13" t="s">
        <v>148</v>
      </c>
      <c r="V63" s="13" t="s">
        <v>148</v>
      </c>
      <c r="W63" s="13" t="s">
        <v>148</v>
      </c>
      <c r="X63" s="13" t="s">
        <v>148</v>
      </c>
      <c r="Y63" s="16"/>
      <c r="Z63" s="13"/>
      <c r="AA63" s="13"/>
    </row>
    <row r="64" spans="1:27" x14ac:dyDescent="0.25">
      <c r="A64" s="7" t="s">
        <v>90</v>
      </c>
      <c r="B64" s="7"/>
      <c r="C64" s="7" t="s">
        <v>5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99"/>
  <sheetViews>
    <sheetView workbookViewId="0">
      <selection activeCell="L18" sqref="L18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743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112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744</v>
      </c>
      <c r="B7" s="10" t="s">
        <v>745</v>
      </c>
      <c r="C7" s="13">
        <f>_xll.BDH("GILD US Equity","CASH_CASH_EQTY_STI_DETAILED","FQ4 2018","FQ4 2018","Currency=USD","Period=FQ","BEST_FPERIOD_OVERRIDE=FQ","FILING_STATUS=MR","SCALING_FORMAT=MLN","Sort=A","Dates=H","DateFormat=P","Fill=—","Direction=H","UseDPDF=Y")</f>
        <v>30089</v>
      </c>
      <c r="D7" s="13">
        <f>_xll.BDH("GILD US Equity","CASH_CASH_EQTY_STI_DETAILED","FQ1 2019","FQ1 2019","Currency=USD","Period=FQ","BEST_FPERIOD_OVERRIDE=FQ","FILING_STATUS=MR","SCALING_FORMAT=MLN","Sort=A","Dates=H","DateFormat=P","Fill=—","Direction=H","UseDPDF=Y")</f>
        <v>27904</v>
      </c>
      <c r="E7" s="13">
        <f>_xll.BDH("GILD US Equity","CASH_CASH_EQTY_STI_DETAILED","FQ2 2019","FQ2 2019","Currency=USD","Period=FQ","BEST_FPERIOD_OVERRIDE=FQ","FILING_STATUS=MR","SCALING_FORMAT=MLN","Sort=A","Dates=H","DateFormat=P","Fill=—","Direction=H","UseDPDF=Y")</f>
        <v>27183</v>
      </c>
      <c r="F7" s="13">
        <f>_xll.BDH("GILD US Equity","CASH_CASH_EQTY_STI_DETAILED","FQ3 2019","FQ3 2019","Currency=USD","Period=FQ","BEST_FPERIOD_OVERRIDE=FQ","FILING_STATUS=MR","SCALING_FORMAT=MLN","Sort=A","Dates=H","DateFormat=P","Fill=—","Direction=H","UseDPDF=Y")</f>
        <v>22856</v>
      </c>
      <c r="G7" s="13">
        <f>_xll.BDH("GILD US Equity","CASH_CASH_EQTY_STI_DETAILED","FQ4 2019","FQ4 2019","Currency=USD","Period=FQ","BEST_FPERIOD_OVERRIDE=FQ","FILING_STATUS=MR","SCALING_FORMAT=MLN","Sort=A","Dates=H","DateFormat=P","Fill=—","Direction=H","UseDPDF=Y")</f>
        <v>24352</v>
      </c>
      <c r="H7" s="13">
        <f>_xll.BDH("GILD US Equity","CASH_CASH_EQTY_STI_DETAILED","FQ1 2020","FQ1 2020","Currency=USD","Period=FQ","BEST_FPERIOD_OVERRIDE=FQ","FILING_STATUS=MR","SCALING_FORMAT=MLN","Sort=A","Dates=H","DateFormat=P","Fill=—","Direction=H","UseDPDF=Y")</f>
        <v>20785</v>
      </c>
      <c r="I7" s="13">
        <f>_xll.BDH("GILD US Equity","CASH_CASH_EQTY_STI_DETAILED","FQ2 2020","FQ2 2020","Currency=USD","Period=FQ","BEST_FPERIOD_OVERRIDE=FQ","FILING_STATUS=MR","SCALING_FORMAT=MLN","Sort=A","Dates=H","DateFormat=P","Fill=—","Direction=H","UseDPDF=Y")</f>
        <v>18914</v>
      </c>
      <c r="J7" s="13">
        <f>_xll.BDH("GILD US Equity","CASH_CASH_EQTY_STI_DETAILED","FQ3 2020","FQ3 2020","Currency=USD","Period=FQ","BEST_FPERIOD_OVERRIDE=FQ","FILING_STATUS=MR","SCALING_FORMAT=MLN","Sort=A","Dates=H","DateFormat=P","Fill=—","Direction=H","UseDPDF=Y")</f>
        <v>23975</v>
      </c>
      <c r="K7" s="13">
        <f>_xll.BDH("GILD US Equity","CASH_CASH_EQTY_STI_DETAILED","FQ4 2020","FQ4 2020","Currency=USD","Period=FQ","BEST_FPERIOD_OVERRIDE=FQ","FILING_STATUS=MR","SCALING_FORMAT=MLN","Sort=A","Dates=H","DateFormat=P","Fill=—","Direction=H","UseDPDF=Y")</f>
        <v>7408</v>
      </c>
      <c r="L7" s="13">
        <f>_xll.BDH("GILD US Equity","CASH_CASH_EQTY_STI_DETAILED","FQ1 2021","FQ1 2021","Currency=USD","Period=FQ","BEST_FPERIOD_OVERRIDE=FQ","FILING_STATUS=MR","SCALING_FORMAT=MLN","Sort=A","Dates=H","DateFormat=P","Fill=—","Direction=H","UseDPDF=Y")</f>
        <v>5666</v>
      </c>
      <c r="M7" s="13">
        <f>_xll.BDH("GILD US Equity","CASH_CASH_EQTY_STI_DETAILED","FQ2 2021","FQ2 2021","Currency=USD","Period=FQ","BEST_FPERIOD_OVERRIDE=FQ","FILING_STATUS=MR","SCALING_FORMAT=MLN","Sort=A","Dates=H","DateFormat=P","Fill=—","Direction=H","UseDPDF=Y")</f>
        <v>6525</v>
      </c>
      <c r="N7" s="13">
        <f>_xll.BDH("GILD US Equity","CASH_CASH_EQTY_STI_DETAILED","FQ3 2021","FQ3 2021","Currency=USD","Period=FQ","BEST_FPERIOD_OVERRIDE=FQ","FILING_STATUS=MR","SCALING_FORMAT=MLN","Sort=A","Dates=H","DateFormat=P","Fill=—","Direction=H","UseDPDF=Y")</f>
        <v>5738</v>
      </c>
      <c r="O7" s="13">
        <f>_xll.BDH("GILD US Equity","CASH_CASH_EQTY_STI_DETAILED","FQ4 2021","FQ4 2021","Currency=USD","Period=FQ","BEST_FPERIOD_OVERRIDE=FQ","FILING_STATUS=MR","SCALING_FORMAT=MLN","Sort=A","Dates=H","DateFormat=P","Fill=—","Direction=H","UseDPDF=Y")</f>
        <v>6520</v>
      </c>
      <c r="P7" s="13">
        <f>_xll.BDH("GILD US Equity","CASH_CASH_EQTY_STI_DETAILED","FQ1 2022","FQ1 2022","Currency=USD","Period=FQ","BEST_FPERIOD_OVERRIDE=FQ","FILING_STATUS=MR","SCALING_FORMAT=MLN","Sort=A","Dates=H","DateFormat=P","Fill=—","Direction=H","UseDPDF=Y")</f>
        <v>5325</v>
      </c>
      <c r="Q7" s="13">
        <f>_xll.BDH("GILD US Equity","CASH_CASH_EQTY_STI_DETAILED","FQ2 2022","FQ2 2022","Currency=USD","Period=FQ","BEST_FPERIOD_OVERRIDE=FQ","FILING_STATUS=MR","SCALING_FORMAT=MLN","Sort=A","Dates=H","DateFormat=P","Fill=—","Direction=H","UseDPDF=Y")</f>
        <v>5663</v>
      </c>
      <c r="R7" s="13">
        <f>_xll.BDH("GILD US Equity","CASH_CASH_EQTY_STI_DETAILED","FQ3 2022","FQ3 2022","Currency=USD","Period=FQ","BEST_FPERIOD_OVERRIDE=FQ","FILING_STATUS=MR","SCALING_FORMAT=MLN","Sort=A","Dates=H","DateFormat=P","Fill=—","Direction=H","UseDPDF=Y")</f>
        <v>5660</v>
      </c>
      <c r="S7" s="13">
        <f>_xll.BDH("GILD US Equity","CASH_CASH_EQTY_STI_DETAILED","FQ4 2022","FQ4 2022","Currency=USD","Period=FQ","BEST_FPERIOD_OVERRIDE=FQ","FILING_STATUS=MR","SCALING_FORMAT=MLN","Sort=A","Dates=H","DateFormat=P","Fill=—","Direction=H","UseDPDF=Y")</f>
        <v>6385</v>
      </c>
      <c r="T7" s="13">
        <f>_xll.BDH("GILD US Equity","CASH_CASH_EQTY_STI_DETAILED","FQ1 2023","FQ1 2023","Currency=USD","Period=FQ","BEST_FPERIOD_OVERRIDE=FQ","FILING_STATUS=MR","SCALING_FORMAT=MLN","Sort=A","Dates=H","DateFormat=P","Fill=—","Direction=H","UseDPDF=Y")</f>
        <v>5872</v>
      </c>
      <c r="U7" s="13">
        <f>_xll.BDH("GILD US Equity","CASH_CASH_EQTY_STI_DETAILED","FQ2 2023","FQ2 2023","Currency=USD","Period=FQ","BEST_FPERIOD_OVERRIDE=FQ","FILING_STATUS=MR","SCALING_FORMAT=MLN","Sort=A","Dates=H","DateFormat=P","Fill=—","Direction=H","UseDPDF=Y")</f>
        <v>6667</v>
      </c>
      <c r="V7" s="13">
        <f>_xll.BDH("GILD US Equity","CASH_CASH_EQTY_STI_DETAILED","FQ3 2023","FQ3 2023","Currency=USD","Period=FQ","BEST_FPERIOD_OVERRIDE=FQ","FILING_STATUS=MR","SCALING_FORMAT=MLN","Sort=A","Dates=H","DateFormat=P","Fill=—","Direction=H","UseDPDF=Y")</f>
        <v>6864</v>
      </c>
      <c r="W7" s="13">
        <f>_xll.BDH("GILD US Equity","CASH_CASH_EQTY_STI_DETAILED","FQ4 2023","FQ4 2023","Currency=USD","Period=FQ","BEST_FPERIOD_OVERRIDE=FQ","FILING_STATUS=MR","SCALING_FORMAT=MLN","Sort=A","Dates=H","DateFormat=P","Fill=—","Direction=H","UseDPDF=Y")</f>
        <v>7264</v>
      </c>
      <c r="X7" s="13">
        <f>_xll.BDH("GILD US Equity","CASH_CASH_EQTY_STI_DETAILED","FQ1 2024","FQ1 2024","Currency=USD","Period=FQ","BEST_FPERIOD_OVERRIDE=FQ","FILING_STATUS=MR","SCALING_FORMAT=MLN","Sort=A","Dates=H","DateFormat=P","Fill=—","Direction=H","UseDPDF=Y")</f>
        <v>4718</v>
      </c>
      <c r="Y7" s="13">
        <f>_xll.BDH("GILD US Equity","CASH_CASH_EQTY_STI_DETAILED","FQ2 2024","FQ2 2024","Currency=USD","Period=FQ","BEST_FPERIOD_OVERRIDE=FQ","FILING_STATUS=MR","SCALING_FORMAT=MLN","Sort=A","Dates=H","DateFormat=P","Fill=—","Direction=H","UseDPDF=Y")</f>
        <v>2772</v>
      </c>
      <c r="Z7" s="13">
        <f>_xll.BDH("GILD US Equity","CASH_CASH_EQTY_STI_DETAILED","FQ3 2024","FQ3 2024","Currency=USD","Period=FQ","BEST_FPERIOD_OVERRIDE=FQ","FILING_STATUS=MR","SCALING_FORMAT=MLN","Sort=A","Dates=H","DateFormat=P","Fill=—","Direction=H","UseDPDF=Y")</f>
        <v>5037</v>
      </c>
      <c r="AA7" s="13">
        <f>_xll.BDH("GILD US Equity","CASH_CASH_EQTY_STI_DETAILED","FQ4 2024","FQ4 2024","Currency=USD","Period=FQ","BEST_FPERIOD_OVERRIDE=FQ","FILING_STATUS=MR","SCALING_FORMAT=MLN","Sort=A","Dates=H","DateFormat=P","Fill=—","Direction=H","UseDPDF=Y")</f>
        <v>9991</v>
      </c>
    </row>
    <row r="8" spans="1:27" x14ac:dyDescent="0.25">
      <c r="A8" s="10" t="s">
        <v>746</v>
      </c>
      <c r="B8" s="10" t="s">
        <v>747</v>
      </c>
      <c r="C8" s="13">
        <f>_xll.BDH("GILD US Equity","BS_CASH_NEAR_CASH_ITEM","FQ4 2018","FQ4 2018","Currency=USD","Period=FQ","BEST_FPERIOD_OVERRIDE=FQ","FILING_STATUS=MR","SCALING_FORMAT=MLN","Sort=A","Dates=H","DateFormat=P","Fill=—","Direction=H","UseDPDF=Y")</f>
        <v>17940</v>
      </c>
      <c r="D8" s="13">
        <f>_xll.BDH("GILD US Equity","BS_CASH_NEAR_CASH_ITEM","FQ1 2019","FQ1 2019","Currency=USD","Period=FQ","BEST_FPERIOD_OVERRIDE=FQ","FILING_STATUS=MR","SCALING_FORMAT=MLN","Sort=A","Dates=H","DateFormat=P","Fill=—","Direction=H","UseDPDF=Y")</f>
        <v>16927</v>
      </c>
      <c r="E8" s="13">
        <f>_xll.BDH("GILD US Equity","BS_CASH_NEAR_CASH_ITEM","FQ2 2019","FQ2 2019","Currency=USD","Period=FQ","BEST_FPERIOD_OVERRIDE=FQ","FILING_STATUS=MR","SCALING_FORMAT=MLN","Sort=A","Dates=H","DateFormat=P","Fill=—","Direction=H","UseDPDF=Y")</f>
        <v>11240</v>
      </c>
      <c r="F8" s="13">
        <f>_xll.BDH("GILD US Equity","BS_CASH_NEAR_CASH_ITEM","FQ3 2019","FQ3 2019","Currency=USD","Period=FQ","BEST_FPERIOD_OVERRIDE=FQ","FILING_STATUS=MR","SCALING_FORMAT=MLN","Sort=A","Dates=H","DateFormat=P","Fill=—","Direction=H","UseDPDF=Y")</f>
        <v>9474</v>
      </c>
      <c r="G8" s="13">
        <f>_xll.BDH("GILD US Equity","BS_CASH_NEAR_CASH_ITEM","FQ4 2019","FQ4 2019","Currency=USD","Period=FQ","BEST_FPERIOD_OVERRIDE=FQ","FILING_STATUS=MR","SCALING_FORMAT=MLN","Sort=A","Dates=H","DateFormat=P","Fill=—","Direction=H","UseDPDF=Y")</f>
        <v>11631</v>
      </c>
      <c r="H8" s="13">
        <f>_xll.BDH("GILD US Equity","BS_CASH_NEAR_CASH_ITEM","FQ1 2020","FQ1 2020","Currency=USD","Period=FQ","BEST_FPERIOD_OVERRIDE=FQ","FILING_STATUS=MR","SCALING_FORMAT=MLN","Sort=A","Dates=H","DateFormat=P","Fill=—","Direction=H","UseDPDF=Y")</f>
        <v>10051</v>
      </c>
      <c r="I8" s="13">
        <f>_xll.BDH("GILD US Equity","BS_CASH_NEAR_CASH_ITEM","FQ2 2020","FQ2 2020","Currency=USD","Period=FQ","BEST_FPERIOD_OVERRIDE=FQ","FILING_STATUS=MR","SCALING_FORMAT=MLN","Sort=A","Dates=H","DateFormat=P","Fill=—","Direction=H","UseDPDF=Y")</f>
        <v>6746</v>
      </c>
      <c r="J8" s="13">
        <f>_xll.BDH("GILD US Equity","BS_CASH_NEAR_CASH_ITEM","FQ3 2020","FQ3 2020","Currency=USD","Period=FQ","BEST_FPERIOD_OVERRIDE=FQ","FILING_STATUS=MR","SCALING_FORMAT=MLN","Sort=A","Dates=H","DateFormat=P","Fill=—","Direction=H","UseDPDF=Y")</f>
        <v>12886</v>
      </c>
      <c r="K8" s="13">
        <f>_xll.BDH("GILD US Equity","BS_CASH_NEAR_CASH_ITEM","FQ4 2020","FQ4 2020","Currency=USD","Period=FQ","BEST_FPERIOD_OVERRIDE=FQ","FILING_STATUS=MR","SCALING_FORMAT=MLN","Sort=A","Dates=H","DateFormat=P","Fill=—","Direction=H","UseDPDF=Y")</f>
        <v>5997</v>
      </c>
      <c r="L8" s="13">
        <f>_xll.BDH("GILD US Equity","BS_CASH_NEAR_CASH_ITEM","FQ1 2021","FQ1 2021","Currency=USD","Period=FQ","BEST_FPERIOD_OVERRIDE=FQ","FILING_STATUS=MR","SCALING_FORMAT=MLN","Sort=A","Dates=H","DateFormat=P","Fill=—","Direction=H","UseDPDF=Y")</f>
        <v>4065</v>
      </c>
      <c r="M8" s="13">
        <f>_xll.BDH("GILD US Equity","BS_CASH_NEAR_CASH_ITEM","FQ2 2021","FQ2 2021","Currency=USD","Period=FQ","BEST_FPERIOD_OVERRIDE=FQ","FILING_STATUS=MR","SCALING_FORMAT=MLN","Sort=A","Dates=H","DateFormat=P","Fill=—","Direction=H","UseDPDF=Y")</f>
        <v>4893</v>
      </c>
      <c r="N8" s="13">
        <f>_xll.BDH("GILD US Equity","BS_CASH_NEAR_CASH_ITEM","FQ3 2021","FQ3 2021","Currency=USD","Period=FQ","BEST_FPERIOD_OVERRIDE=FQ","FILING_STATUS=MR","SCALING_FORMAT=MLN","Sort=A","Dates=H","DateFormat=P","Fill=—","Direction=H","UseDPDF=Y")</f>
        <v>4362</v>
      </c>
      <c r="O8" s="13">
        <f>_xll.BDH("GILD US Equity","BS_CASH_NEAR_CASH_ITEM","FQ4 2021","FQ4 2021","Currency=USD","Period=FQ","BEST_FPERIOD_OVERRIDE=FQ","FILING_STATUS=MR","SCALING_FORMAT=MLN","Sort=A","Dates=H","DateFormat=P","Fill=—","Direction=H","UseDPDF=Y")</f>
        <v>5338</v>
      </c>
      <c r="P8" s="13">
        <f>_xll.BDH("GILD US Equity","BS_CASH_NEAR_CASH_ITEM","FQ1 2022","FQ1 2022","Currency=USD","Period=FQ","BEST_FPERIOD_OVERRIDE=FQ","FILING_STATUS=MR","SCALING_FORMAT=MLN","Sort=A","Dates=H","DateFormat=P","Fill=—","Direction=H","UseDPDF=Y")</f>
        <v>4296</v>
      </c>
      <c r="Q8" s="13">
        <f>_xll.BDH("GILD US Equity","BS_CASH_NEAR_CASH_ITEM","FQ2 2022","FQ2 2022","Currency=USD","Period=FQ","BEST_FPERIOD_OVERRIDE=FQ","FILING_STATUS=MR","SCALING_FORMAT=MLN","Sort=A","Dates=H","DateFormat=P","Fill=—","Direction=H","UseDPDF=Y")</f>
        <v>4739</v>
      </c>
      <c r="R8" s="13">
        <f>_xll.BDH("GILD US Equity","BS_CASH_NEAR_CASH_ITEM","FQ3 2022","FQ3 2022","Currency=USD","Period=FQ","BEST_FPERIOD_OVERRIDE=FQ","FILING_STATUS=MR","SCALING_FORMAT=MLN","Sort=A","Dates=H","DateFormat=P","Fill=—","Direction=H","UseDPDF=Y")</f>
        <v>4699</v>
      </c>
      <c r="S8" s="13">
        <f>_xll.BDH("GILD US Equity","BS_CASH_NEAR_CASH_ITEM","FQ4 2022","FQ4 2022","Currency=USD","Period=FQ","BEST_FPERIOD_OVERRIDE=FQ","FILING_STATUS=MR","SCALING_FORMAT=MLN","Sort=A","Dates=H","DateFormat=P","Fill=—","Direction=H","UseDPDF=Y")</f>
        <v>5412</v>
      </c>
      <c r="T8" s="13">
        <f>_xll.BDH("GILD US Equity","BS_CASH_NEAR_CASH_ITEM","FQ1 2023","FQ1 2023","Currency=USD","Period=FQ","BEST_FPERIOD_OVERRIDE=FQ","FILING_STATUS=MR","SCALING_FORMAT=MLN","Sort=A","Dates=H","DateFormat=P","Fill=—","Direction=H","UseDPDF=Y")</f>
        <v>4936</v>
      </c>
      <c r="U8" s="13">
        <f>_xll.BDH("GILD US Equity","BS_CASH_NEAR_CASH_ITEM","FQ2 2023","FQ2 2023","Currency=USD","Period=FQ","BEST_FPERIOD_OVERRIDE=FQ","FILING_STATUS=MR","SCALING_FORMAT=MLN","Sort=A","Dates=H","DateFormat=P","Fill=—","Direction=H","UseDPDF=Y")</f>
        <v>5704</v>
      </c>
      <c r="V8" s="13">
        <f>_xll.BDH("GILD US Equity","BS_CASH_NEAR_CASH_ITEM","FQ3 2023","FQ3 2023","Currency=USD","Period=FQ","BEST_FPERIOD_OVERRIDE=FQ","FILING_STATUS=MR","SCALING_FORMAT=MLN","Sort=A","Dates=H","DateFormat=P","Fill=—","Direction=H","UseDPDF=Y")</f>
        <v>5705</v>
      </c>
      <c r="W8" s="13">
        <f>_xll.BDH("GILD US Equity","BS_CASH_NEAR_CASH_ITEM","FQ4 2023","FQ4 2023","Currency=USD","Period=FQ","BEST_FPERIOD_OVERRIDE=FQ","FILING_STATUS=MR","SCALING_FORMAT=MLN","Sort=A","Dates=H","DateFormat=P","Fill=—","Direction=H","UseDPDF=Y")</f>
        <v>6085</v>
      </c>
      <c r="X8" s="13">
        <f>_xll.BDH("GILD US Equity","BS_CASH_NEAR_CASH_ITEM","FQ1 2024","FQ1 2024","Currency=USD","Period=FQ","BEST_FPERIOD_OVERRIDE=FQ","FILING_STATUS=MR","SCALING_FORMAT=MLN","Sort=A","Dates=H","DateFormat=P","Fill=—","Direction=H","UseDPDF=Y")</f>
        <v>4718</v>
      </c>
      <c r="Y8" s="13">
        <f>_xll.BDH("GILD US Equity","BS_CASH_NEAR_CASH_ITEM","FQ2 2024","FQ2 2024","Currency=USD","Period=FQ","BEST_FPERIOD_OVERRIDE=FQ","FILING_STATUS=MR","SCALING_FORMAT=MLN","Sort=A","Dates=H","DateFormat=P","Fill=—","Direction=H","UseDPDF=Y")</f>
        <v>2772</v>
      </c>
      <c r="Z8" s="13">
        <f>_xll.BDH("GILD US Equity","BS_CASH_NEAR_CASH_ITEM","FQ3 2024","FQ3 2024","Currency=USD","Period=FQ","BEST_FPERIOD_OVERRIDE=FQ","FILING_STATUS=MR","SCALING_FORMAT=MLN","Sort=A","Dates=H","DateFormat=P","Fill=—","Direction=H","UseDPDF=Y")</f>
        <v>5037</v>
      </c>
      <c r="AA8" s="13">
        <f>_xll.BDH("GILD US Equity","BS_CASH_NEAR_CASH_ITEM","FQ4 2024","FQ4 2024","Currency=USD","Period=FQ","BEST_FPERIOD_OVERRIDE=FQ","FILING_STATUS=MR","SCALING_FORMAT=MLN","Sort=A","Dates=H","DateFormat=P","Fill=—","Direction=H","UseDPDF=Y")</f>
        <v>9991</v>
      </c>
    </row>
    <row r="9" spans="1:27" x14ac:dyDescent="0.25">
      <c r="A9" s="10" t="s">
        <v>748</v>
      </c>
      <c r="B9" s="10" t="s">
        <v>749</v>
      </c>
      <c r="C9" s="13">
        <f>_xll.BDH("GILD US Equity","BS_MKT_SEC_OTHER_ST_INVEST","FQ4 2018","FQ4 2018","Currency=USD","Period=FQ","BEST_FPERIOD_OVERRIDE=FQ","FILING_STATUS=MR","SCALING_FORMAT=MLN","Sort=A","Dates=H","DateFormat=P","Fill=—","Direction=H","UseDPDF=Y")</f>
        <v>12149</v>
      </c>
      <c r="D9" s="13">
        <f>_xll.BDH("GILD US Equity","BS_MKT_SEC_OTHER_ST_INVEST","FQ1 2019","FQ1 2019","Currency=USD","Period=FQ","BEST_FPERIOD_OVERRIDE=FQ","FILING_STATUS=MR","SCALING_FORMAT=MLN","Sort=A","Dates=H","DateFormat=P","Fill=—","Direction=H","UseDPDF=Y")</f>
        <v>10977</v>
      </c>
      <c r="E9" s="13">
        <f>_xll.BDH("GILD US Equity","BS_MKT_SEC_OTHER_ST_INVEST","FQ2 2019","FQ2 2019","Currency=USD","Period=FQ","BEST_FPERIOD_OVERRIDE=FQ","FILING_STATUS=MR","SCALING_FORMAT=MLN","Sort=A","Dates=H","DateFormat=P","Fill=—","Direction=H","UseDPDF=Y")</f>
        <v>15943</v>
      </c>
      <c r="F9" s="13">
        <f>_xll.BDH("GILD US Equity","BS_MKT_SEC_OTHER_ST_INVEST","FQ3 2019","FQ3 2019","Currency=USD","Period=FQ","BEST_FPERIOD_OVERRIDE=FQ","FILING_STATUS=MR","SCALING_FORMAT=MLN","Sort=A","Dates=H","DateFormat=P","Fill=—","Direction=H","UseDPDF=Y")</f>
        <v>13382</v>
      </c>
      <c r="G9" s="13">
        <f>_xll.BDH("GILD US Equity","BS_MKT_SEC_OTHER_ST_INVEST","FQ4 2019","FQ4 2019","Currency=USD","Period=FQ","BEST_FPERIOD_OVERRIDE=FQ","FILING_STATUS=MR","SCALING_FORMAT=MLN","Sort=A","Dates=H","DateFormat=P","Fill=—","Direction=H","UseDPDF=Y")</f>
        <v>12721</v>
      </c>
      <c r="H9" s="13">
        <f>_xll.BDH("GILD US Equity","BS_MKT_SEC_OTHER_ST_INVEST","FQ1 2020","FQ1 2020","Currency=USD","Period=FQ","BEST_FPERIOD_OVERRIDE=FQ","FILING_STATUS=MR","SCALING_FORMAT=MLN","Sort=A","Dates=H","DateFormat=P","Fill=—","Direction=H","UseDPDF=Y")</f>
        <v>10734</v>
      </c>
      <c r="I9" s="13">
        <f>_xll.BDH("GILD US Equity","BS_MKT_SEC_OTHER_ST_INVEST","FQ2 2020","FQ2 2020","Currency=USD","Period=FQ","BEST_FPERIOD_OVERRIDE=FQ","FILING_STATUS=MR","SCALING_FORMAT=MLN","Sort=A","Dates=H","DateFormat=P","Fill=—","Direction=H","UseDPDF=Y")</f>
        <v>12168</v>
      </c>
      <c r="J9" s="13">
        <f>_xll.BDH("GILD US Equity","BS_MKT_SEC_OTHER_ST_INVEST","FQ3 2020","FQ3 2020","Currency=USD","Period=FQ","BEST_FPERIOD_OVERRIDE=FQ","FILING_STATUS=MR","SCALING_FORMAT=MLN","Sort=A","Dates=H","DateFormat=P","Fill=—","Direction=H","UseDPDF=Y")</f>
        <v>11089</v>
      </c>
      <c r="K9" s="13">
        <f>_xll.BDH("GILD US Equity","BS_MKT_SEC_OTHER_ST_INVEST","FQ4 2020","FQ4 2020","Currency=USD","Period=FQ","BEST_FPERIOD_OVERRIDE=FQ","FILING_STATUS=MR","SCALING_FORMAT=MLN","Sort=A","Dates=H","DateFormat=P","Fill=—","Direction=H","UseDPDF=Y")</f>
        <v>1411</v>
      </c>
      <c r="L9" s="13">
        <f>_xll.BDH("GILD US Equity","BS_MKT_SEC_OTHER_ST_INVEST","FQ1 2021","FQ1 2021","Currency=USD","Period=FQ","BEST_FPERIOD_OVERRIDE=FQ","FILING_STATUS=MR","SCALING_FORMAT=MLN","Sort=A","Dates=H","DateFormat=P","Fill=—","Direction=H","UseDPDF=Y")</f>
        <v>1601</v>
      </c>
      <c r="M9" s="13">
        <f>_xll.BDH("GILD US Equity","BS_MKT_SEC_OTHER_ST_INVEST","FQ2 2021","FQ2 2021","Currency=USD","Period=FQ","BEST_FPERIOD_OVERRIDE=FQ","FILING_STATUS=MR","SCALING_FORMAT=MLN","Sort=A","Dates=H","DateFormat=P","Fill=—","Direction=H","UseDPDF=Y")</f>
        <v>1632</v>
      </c>
      <c r="N9" s="13">
        <f>_xll.BDH("GILD US Equity","BS_MKT_SEC_OTHER_ST_INVEST","FQ3 2021","FQ3 2021","Currency=USD","Period=FQ","BEST_FPERIOD_OVERRIDE=FQ","FILING_STATUS=MR","SCALING_FORMAT=MLN","Sort=A","Dates=H","DateFormat=P","Fill=—","Direction=H","UseDPDF=Y")</f>
        <v>1376</v>
      </c>
      <c r="O9" s="13">
        <f>_xll.BDH("GILD US Equity","BS_MKT_SEC_OTHER_ST_INVEST","FQ4 2021","FQ4 2021","Currency=USD","Period=FQ","BEST_FPERIOD_OVERRIDE=FQ","FILING_STATUS=MR","SCALING_FORMAT=MLN","Sort=A","Dates=H","DateFormat=P","Fill=—","Direction=H","UseDPDF=Y")</f>
        <v>1182</v>
      </c>
      <c r="P9" s="13">
        <f>_xll.BDH("GILD US Equity","BS_MKT_SEC_OTHER_ST_INVEST","FQ1 2022","FQ1 2022","Currency=USD","Period=FQ","BEST_FPERIOD_OVERRIDE=FQ","FILING_STATUS=MR","SCALING_FORMAT=MLN","Sort=A","Dates=H","DateFormat=P","Fill=—","Direction=H","UseDPDF=Y")</f>
        <v>1029</v>
      </c>
      <c r="Q9" s="13">
        <f>_xll.BDH("GILD US Equity","BS_MKT_SEC_OTHER_ST_INVEST","FQ2 2022","FQ2 2022","Currency=USD","Period=FQ","BEST_FPERIOD_OVERRIDE=FQ","FILING_STATUS=MR","SCALING_FORMAT=MLN","Sort=A","Dates=H","DateFormat=P","Fill=—","Direction=H","UseDPDF=Y")</f>
        <v>924</v>
      </c>
      <c r="R9" s="13">
        <f>_xll.BDH("GILD US Equity","BS_MKT_SEC_OTHER_ST_INVEST","FQ3 2022","FQ3 2022","Currency=USD","Period=FQ","BEST_FPERIOD_OVERRIDE=FQ","FILING_STATUS=MR","SCALING_FORMAT=MLN","Sort=A","Dates=H","DateFormat=P","Fill=—","Direction=H","UseDPDF=Y")</f>
        <v>961</v>
      </c>
      <c r="S9" s="13">
        <f>_xll.BDH("GILD US Equity","BS_MKT_SEC_OTHER_ST_INVEST","FQ4 2022","FQ4 2022","Currency=USD","Period=FQ","BEST_FPERIOD_OVERRIDE=FQ","FILING_STATUS=MR","SCALING_FORMAT=MLN","Sort=A","Dates=H","DateFormat=P","Fill=—","Direction=H","UseDPDF=Y")</f>
        <v>973</v>
      </c>
      <c r="T9" s="13">
        <f>_xll.BDH("GILD US Equity","BS_MKT_SEC_OTHER_ST_INVEST","FQ1 2023","FQ1 2023","Currency=USD","Period=FQ","BEST_FPERIOD_OVERRIDE=FQ","FILING_STATUS=MR","SCALING_FORMAT=MLN","Sort=A","Dates=H","DateFormat=P","Fill=—","Direction=H","UseDPDF=Y")</f>
        <v>936</v>
      </c>
      <c r="U9" s="13">
        <f>_xll.BDH("GILD US Equity","BS_MKT_SEC_OTHER_ST_INVEST","FQ2 2023","FQ2 2023","Currency=USD","Period=FQ","BEST_FPERIOD_OVERRIDE=FQ","FILING_STATUS=MR","SCALING_FORMAT=MLN","Sort=A","Dates=H","DateFormat=P","Fill=—","Direction=H","UseDPDF=Y")</f>
        <v>963</v>
      </c>
      <c r="V9" s="13">
        <f>_xll.BDH("GILD US Equity","BS_MKT_SEC_OTHER_ST_INVEST","FQ3 2023","FQ3 2023","Currency=USD","Period=FQ","BEST_FPERIOD_OVERRIDE=FQ","FILING_STATUS=MR","SCALING_FORMAT=MLN","Sort=A","Dates=H","DateFormat=P","Fill=—","Direction=H","UseDPDF=Y")</f>
        <v>1159</v>
      </c>
      <c r="W9" s="13">
        <f>_xll.BDH("GILD US Equity","BS_MKT_SEC_OTHER_ST_INVEST","FQ4 2023","FQ4 2023","Currency=USD","Period=FQ","BEST_FPERIOD_OVERRIDE=FQ","FILING_STATUS=MR","SCALING_FORMAT=MLN","Sort=A","Dates=H","DateFormat=P","Fill=—","Direction=H","UseDPDF=Y")</f>
        <v>1179</v>
      </c>
      <c r="X9" s="13">
        <f>_xll.BDH("GILD US Equity","BS_MKT_SEC_OTHER_ST_INVEST","FQ1 2024","FQ1 2024","Currency=USD","Period=FQ","BEST_FPERIOD_OVERRIDE=FQ","FILING_STATUS=MR","SCALING_FORMAT=MLN","Sort=A","Dates=H","DateFormat=P","Fill=—","Direction=H","UseDPDF=Y")</f>
        <v>0</v>
      </c>
      <c r="Y9" s="13">
        <f>_xll.BDH("GILD US Equity","BS_MKT_SEC_OTHER_ST_INVEST","FQ2 2024","FQ2 2024","Currency=USD","Period=FQ","BEST_FPERIOD_OVERRIDE=FQ","FILING_STATUS=MR","SCALING_FORMAT=MLN","Sort=A","Dates=H","DateFormat=P","Fill=—","Direction=H","UseDPDF=Y")</f>
        <v>0</v>
      </c>
      <c r="Z9" s="13">
        <f>_xll.BDH("GILD US Equity","BS_MKT_SEC_OTHER_ST_INVEST","FQ3 2024","FQ3 2024","Currency=USD","Period=FQ","BEST_FPERIOD_OVERRIDE=FQ","FILING_STATUS=MR","SCALING_FORMAT=MLN","Sort=A","Dates=H","DateFormat=P","Fill=—","Direction=H","UseDPDF=Y")</f>
        <v>0</v>
      </c>
      <c r="AA9" s="13">
        <f>_xll.BDH("GILD US Equity","BS_MKT_SEC_OTHER_ST_INVEST","FQ4 2024","FQ4 2024","Currency=USD","Period=FQ","BEST_FPERIOD_OVERRIDE=FQ","FILING_STATUS=MR","SCALING_FORMAT=MLN","Sort=A","Dates=H","DateFormat=P","Fill=—","Direction=H","UseDPDF=Y")</f>
        <v>0</v>
      </c>
    </row>
    <row r="10" spans="1:27" x14ac:dyDescent="0.25">
      <c r="A10" s="10" t="s">
        <v>750</v>
      </c>
      <c r="B10" s="10" t="s">
        <v>751</v>
      </c>
      <c r="C10" s="13">
        <f>_xll.BDH("GILD US Equity","BS_ACCT_NOTE_RCV","FQ4 2018","FQ4 2018","Currency=USD","Period=FQ","BEST_FPERIOD_OVERRIDE=FQ","FILING_STATUS=MR","SCALING_FORMAT=MLN","Sort=A","Dates=H","DateFormat=P","Fill=—","Direction=H","UseDPDF=Y")</f>
        <v>3327</v>
      </c>
      <c r="D10" s="13">
        <f>_xll.BDH("GILD US Equity","BS_ACCT_NOTE_RCV","FQ1 2019","FQ1 2019","Currency=USD","Period=FQ","BEST_FPERIOD_OVERRIDE=FQ","FILING_STATUS=MR","SCALING_FORMAT=MLN","Sort=A","Dates=H","DateFormat=P","Fill=—","Direction=H","UseDPDF=Y")</f>
        <v>3283</v>
      </c>
      <c r="E10" s="13">
        <f>_xll.BDH("GILD US Equity","BS_ACCT_NOTE_RCV","FQ2 2019","FQ2 2019","Currency=USD","Period=FQ","BEST_FPERIOD_OVERRIDE=FQ","FILING_STATUS=MR","SCALING_FORMAT=MLN","Sort=A","Dates=H","DateFormat=P","Fill=—","Direction=H","UseDPDF=Y")</f>
        <v>3396</v>
      </c>
      <c r="F10" s="13">
        <f>_xll.BDH("GILD US Equity","BS_ACCT_NOTE_RCV","FQ3 2019","FQ3 2019","Currency=USD","Period=FQ","BEST_FPERIOD_OVERRIDE=FQ","FILING_STATUS=MR","SCALING_FORMAT=MLN","Sort=A","Dates=H","DateFormat=P","Fill=—","Direction=H","UseDPDF=Y")</f>
        <v>3315</v>
      </c>
      <c r="G10" s="13">
        <f>_xll.BDH("GILD US Equity","BS_ACCT_NOTE_RCV","FQ4 2019","FQ4 2019","Currency=USD","Period=FQ","BEST_FPERIOD_OVERRIDE=FQ","FILING_STATUS=MR","SCALING_FORMAT=MLN","Sort=A","Dates=H","DateFormat=P","Fill=—","Direction=H","UseDPDF=Y")</f>
        <v>3582</v>
      </c>
      <c r="H10" s="13">
        <f>_xll.BDH("GILD US Equity","BS_ACCT_NOTE_RCV","FQ1 2020","FQ1 2020","Currency=USD","Period=FQ","BEST_FPERIOD_OVERRIDE=FQ","FILING_STATUS=MR","SCALING_FORMAT=MLN","Sort=A","Dates=H","DateFormat=P","Fill=—","Direction=H","UseDPDF=Y")</f>
        <v>3907</v>
      </c>
      <c r="I10" s="13">
        <f>_xll.BDH("GILD US Equity","BS_ACCT_NOTE_RCV","FQ2 2020","FQ2 2020","Currency=USD","Period=FQ","BEST_FPERIOD_OVERRIDE=FQ","FILING_STATUS=MR","SCALING_FORMAT=MLN","Sort=A","Dates=H","DateFormat=P","Fill=—","Direction=H","UseDPDF=Y")</f>
        <v>3194</v>
      </c>
      <c r="J10" s="13">
        <f>_xll.BDH("GILD US Equity","BS_ACCT_NOTE_RCV","FQ3 2020","FQ3 2020","Currency=USD","Period=FQ","BEST_FPERIOD_OVERRIDE=FQ","FILING_STATUS=MR","SCALING_FORMAT=MLN","Sort=A","Dates=H","DateFormat=P","Fill=—","Direction=H","UseDPDF=Y")</f>
        <v>3913</v>
      </c>
      <c r="K10" s="13">
        <f>_xll.BDH("GILD US Equity","BS_ACCT_NOTE_RCV","FQ4 2020","FQ4 2020","Currency=USD","Period=FQ","BEST_FPERIOD_OVERRIDE=FQ","FILING_STATUS=MR","SCALING_FORMAT=MLN","Sort=A","Dates=H","DateFormat=P","Fill=—","Direction=H","UseDPDF=Y")</f>
        <v>4892</v>
      </c>
      <c r="L10" s="13">
        <f>_xll.BDH("GILD US Equity","BS_ACCT_NOTE_RCV","FQ1 2021","FQ1 2021","Currency=USD","Period=FQ","BEST_FPERIOD_OVERRIDE=FQ","FILING_STATUS=MR","SCALING_FORMAT=MLN","Sort=A","Dates=H","DateFormat=P","Fill=—","Direction=H","UseDPDF=Y")</f>
        <v>3925</v>
      </c>
      <c r="M10" s="13">
        <f>_xll.BDH("GILD US Equity","BS_ACCT_NOTE_RCV","FQ2 2021","FQ2 2021","Currency=USD","Period=FQ","BEST_FPERIOD_OVERRIDE=FQ","FILING_STATUS=MR","SCALING_FORMAT=MLN","Sort=A","Dates=H","DateFormat=P","Fill=—","Direction=H","UseDPDF=Y")</f>
        <v>4149</v>
      </c>
      <c r="N10" s="13">
        <f>_xll.BDH("GILD US Equity","BS_ACCT_NOTE_RCV","FQ3 2021","FQ3 2021","Currency=USD","Period=FQ","BEST_FPERIOD_OVERRIDE=FQ","FILING_STATUS=MR","SCALING_FORMAT=MLN","Sort=A","Dates=H","DateFormat=P","Fill=—","Direction=H","UseDPDF=Y")</f>
        <v>4566</v>
      </c>
      <c r="O10" s="13">
        <f>_xll.BDH("GILD US Equity","BS_ACCT_NOTE_RCV","FQ4 2021","FQ4 2021","Currency=USD","Period=FQ","BEST_FPERIOD_OVERRIDE=FQ","FILING_STATUS=MR","SCALING_FORMAT=MLN","Sort=A","Dates=H","DateFormat=P","Fill=—","Direction=H","UseDPDF=Y")</f>
        <v>4493</v>
      </c>
      <c r="P10" s="13">
        <f>_xll.BDH("GILD US Equity","BS_ACCT_NOTE_RCV","FQ1 2022","FQ1 2022","Currency=USD","Period=FQ","BEST_FPERIOD_OVERRIDE=FQ","FILING_STATUS=MR","SCALING_FORMAT=MLN","Sort=A","Dates=H","DateFormat=P","Fill=—","Direction=H","UseDPDF=Y")</f>
        <v>3787</v>
      </c>
      <c r="Q10" s="13">
        <f>_xll.BDH("GILD US Equity","BS_ACCT_NOTE_RCV","FQ2 2022","FQ2 2022","Currency=USD","Period=FQ","BEST_FPERIOD_OVERRIDE=FQ","FILING_STATUS=MR","SCALING_FORMAT=MLN","Sort=A","Dates=H","DateFormat=P","Fill=—","Direction=H","UseDPDF=Y")</f>
        <v>4118</v>
      </c>
      <c r="R10" s="13">
        <f>_xll.BDH("GILD US Equity","BS_ACCT_NOTE_RCV","FQ3 2022","FQ3 2022","Currency=USD","Period=FQ","BEST_FPERIOD_OVERRIDE=FQ","FILING_STATUS=MR","SCALING_FORMAT=MLN","Sort=A","Dates=H","DateFormat=P","Fill=—","Direction=H","UseDPDF=Y")</f>
        <v>4354</v>
      </c>
      <c r="S10" s="13">
        <f>_xll.BDH("GILD US Equity","BS_ACCT_NOTE_RCV","FQ4 2022","FQ4 2022","Currency=USD","Period=FQ","BEST_FPERIOD_OVERRIDE=FQ","FILING_STATUS=MR","SCALING_FORMAT=MLN","Sort=A","Dates=H","DateFormat=P","Fill=—","Direction=H","UseDPDF=Y")</f>
        <v>4777</v>
      </c>
      <c r="T10" s="13">
        <f>_xll.BDH("GILD US Equity","BS_ACCT_NOTE_RCV","FQ1 2023","FQ1 2023","Currency=USD","Period=FQ","BEST_FPERIOD_OVERRIDE=FQ","FILING_STATUS=MR","SCALING_FORMAT=MLN","Sort=A","Dates=H","DateFormat=P","Fill=—","Direction=H","UseDPDF=Y")</f>
        <v>4162</v>
      </c>
      <c r="U10" s="13">
        <f>_xll.BDH("GILD US Equity","BS_ACCT_NOTE_RCV","FQ2 2023","FQ2 2023","Currency=USD","Period=FQ","BEST_FPERIOD_OVERRIDE=FQ","FILING_STATUS=MR","SCALING_FORMAT=MLN","Sort=A","Dates=H","DateFormat=P","Fill=—","Direction=H","UseDPDF=Y")</f>
        <v>4229</v>
      </c>
      <c r="V10" s="13">
        <f>_xll.BDH("GILD US Equity","BS_ACCT_NOTE_RCV","FQ3 2023","FQ3 2023","Currency=USD","Period=FQ","BEST_FPERIOD_OVERRIDE=FQ","FILING_STATUS=MR","SCALING_FORMAT=MLN","Sort=A","Dates=H","DateFormat=P","Fill=—","Direction=H","UseDPDF=Y")</f>
        <v>4790</v>
      </c>
      <c r="W10" s="13">
        <f>_xll.BDH("GILD US Equity","BS_ACCT_NOTE_RCV","FQ4 2023","FQ4 2023","Currency=USD","Period=FQ","BEST_FPERIOD_OVERRIDE=FQ","FILING_STATUS=MR","SCALING_FORMAT=MLN","Sort=A","Dates=H","DateFormat=P","Fill=—","Direction=H","UseDPDF=Y")</f>
        <v>4660</v>
      </c>
      <c r="X10" s="13">
        <f>_xll.BDH("GILD US Equity","BS_ACCT_NOTE_RCV","FQ1 2024","FQ1 2024","Currency=USD","Period=FQ","BEST_FPERIOD_OVERRIDE=FQ","FILING_STATUS=MR","SCALING_FORMAT=MLN","Sort=A","Dates=H","DateFormat=P","Fill=—","Direction=H","UseDPDF=Y")</f>
        <v>4669</v>
      </c>
      <c r="Y10" s="13">
        <f>_xll.BDH("GILD US Equity","BS_ACCT_NOTE_RCV","FQ2 2024","FQ2 2024","Currency=USD","Period=FQ","BEST_FPERIOD_OVERRIDE=FQ","FILING_STATUS=MR","SCALING_FORMAT=MLN","Sort=A","Dates=H","DateFormat=P","Fill=—","Direction=H","UseDPDF=Y")</f>
        <v>4663</v>
      </c>
      <c r="Z10" s="13">
        <f>_xll.BDH("GILD US Equity","BS_ACCT_NOTE_RCV","FQ3 2024","FQ3 2024","Currency=USD","Period=FQ","BEST_FPERIOD_OVERRIDE=FQ","FILING_STATUS=MR","SCALING_FORMAT=MLN","Sort=A","Dates=H","DateFormat=P","Fill=—","Direction=H","UseDPDF=Y")</f>
        <v>4587</v>
      </c>
      <c r="AA10" s="13">
        <f>_xll.BDH("GILD US Equity","BS_ACCT_NOTE_RCV","FQ4 2024","FQ4 2024","Currency=USD","Period=FQ","BEST_FPERIOD_OVERRIDE=FQ","FILING_STATUS=MR","SCALING_FORMAT=MLN","Sort=A","Dates=H","DateFormat=P","Fill=—","Direction=H","UseDPDF=Y")</f>
        <v>4420</v>
      </c>
    </row>
    <row r="11" spans="1:27" x14ac:dyDescent="0.25">
      <c r="A11" s="10" t="s">
        <v>752</v>
      </c>
      <c r="B11" s="10" t="s">
        <v>753</v>
      </c>
      <c r="C11" s="13">
        <f>_xll.BDH("GILD US Equity","BS_ACCTS_REC_EXCL_NOTES_REC","FQ4 2018","FQ4 2018","Currency=USD","Period=FQ","BEST_FPERIOD_OVERRIDE=FQ","FILING_STATUS=MR","SCALING_FORMAT=MLN","Sort=A","Dates=H","DateFormat=P","Fill=—","Direction=H","UseDPDF=Y")</f>
        <v>3327</v>
      </c>
      <c r="D11" s="13">
        <f>_xll.BDH("GILD US Equity","BS_ACCTS_REC_EXCL_NOTES_REC","FQ1 2019","FQ1 2019","Currency=USD","Period=FQ","BEST_FPERIOD_OVERRIDE=FQ","FILING_STATUS=MR","SCALING_FORMAT=MLN","Sort=A","Dates=H","DateFormat=P","Fill=—","Direction=H","UseDPDF=Y")</f>
        <v>3283</v>
      </c>
      <c r="E11" s="13">
        <f>_xll.BDH("GILD US Equity","BS_ACCTS_REC_EXCL_NOTES_REC","FQ2 2019","FQ2 2019","Currency=USD","Period=FQ","BEST_FPERIOD_OVERRIDE=FQ","FILING_STATUS=MR","SCALING_FORMAT=MLN","Sort=A","Dates=H","DateFormat=P","Fill=—","Direction=H","UseDPDF=Y")</f>
        <v>3396</v>
      </c>
      <c r="F11" s="13">
        <f>_xll.BDH("GILD US Equity","BS_ACCTS_REC_EXCL_NOTES_REC","FQ3 2019","FQ3 2019","Currency=USD","Period=FQ","BEST_FPERIOD_OVERRIDE=FQ","FILING_STATUS=MR","SCALING_FORMAT=MLN","Sort=A","Dates=H","DateFormat=P","Fill=—","Direction=H","UseDPDF=Y")</f>
        <v>3315</v>
      </c>
      <c r="G11" s="13">
        <f>_xll.BDH("GILD US Equity","BS_ACCTS_REC_EXCL_NOTES_REC","FQ4 2019","FQ4 2019","Currency=USD","Period=FQ","BEST_FPERIOD_OVERRIDE=FQ","FILING_STATUS=MR","SCALING_FORMAT=MLN","Sort=A","Dates=H","DateFormat=P","Fill=—","Direction=H","UseDPDF=Y")</f>
        <v>3582</v>
      </c>
      <c r="H11" s="13">
        <f>_xll.BDH("GILD US Equity","BS_ACCTS_REC_EXCL_NOTES_REC","FQ1 2020","FQ1 2020","Currency=USD","Period=FQ","BEST_FPERIOD_OVERRIDE=FQ","FILING_STATUS=MR","SCALING_FORMAT=MLN","Sort=A","Dates=H","DateFormat=P","Fill=—","Direction=H","UseDPDF=Y")</f>
        <v>3907</v>
      </c>
      <c r="I11" s="13">
        <f>_xll.BDH("GILD US Equity","BS_ACCTS_REC_EXCL_NOTES_REC","FQ2 2020","FQ2 2020","Currency=USD","Period=FQ","BEST_FPERIOD_OVERRIDE=FQ","FILING_STATUS=MR","SCALING_FORMAT=MLN","Sort=A","Dates=H","DateFormat=P","Fill=—","Direction=H","UseDPDF=Y")</f>
        <v>3194</v>
      </c>
      <c r="J11" s="13">
        <f>_xll.BDH("GILD US Equity","BS_ACCTS_REC_EXCL_NOTES_REC","FQ3 2020","FQ3 2020","Currency=USD","Period=FQ","BEST_FPERIOD_OVERRIDE=FQ","FILING_STATUS=MR","SCALING_FORMAT=MLN","Sort=A","Dates=H","DateFormat=P","Fill=—","Direction=H","UseDPDF=Y")</f>
        <v>3913</v>
      </c>
      <c r="K11" s="13">
        <f>_xll.BDH("GILD US Equity","BS_ACCTS_REC_EXCL_NOTES_REC","FQ4 2020","FQ4 2020","Currency=USD","Period=FQ","BEST_FPERIOD_OVERRIDE=FQ","FILING_STATUS=MR","SCALING_FORMAT=MLN","Sort=A","Dates=H","DateFormat=P","Fill=—","Direction=H","UseDPDF=Y")</f>
        <v>4892</v>
      </c>
      <c r="L11" s="13">
        <f>_xll.BDH("GILD US Equity","BS_ACCTS_REC_EXCL_NOTES_REC","FQ1 2021","FQ1 2021","Currency=USD","Period=FQ","BEST_FPERIOD_OVERRIDE=FQ","FILING_STATUS=MR","SCALING_FORMAT=MLN","Sort=A","Dates=H","DateFormat=P","Fill=—","Direction=H","UseDPDF=Y")</f>
        <v>3925</v>
      </c>
      <c r="M11" s="13">
        <f>_xll.BDH("GILD US Equity","BS_ACCTS_REC_EXCL_NOTES_REC","FQ2 2021","FQ2 2021","Currency=USD","Period=FQ","BEST_FPERIOD_OVERRIDE=FQ","FILING_STATUS=MR","SCALING_FORMAT=MLN","Sort=A","Dates=H","DateFormat=P","Fill=—","Direction=H","UseDPDF=Y")</f>
        <v>4149</v>
      </c>
      <c r="N11" s="13">
        <f>_xll.BDH("GILD US Equity","BS_ACCTS_REC_EXCL_NOTES_REC","FQ3 2021","FQ3 2021","Currency=USD","Period=FQ","BEST_FPERIOD_OVERRIDE=FQ","FILING_STATUS=MR","SCALING_FORMAT=MLN","Sort=A","Dates=H","DateFormat=P","Fill=—","Direction=H","UseDPDF=Y")</f>
        <v>4566</v>
      </c>
      <c r="O11" s="13">
        <f>_xll.BDH("GILD US Equity","BS_ACCTS_REC_EXCL_NOTES_REC","FQ4 2021","FQ4 2021","Currency=USD","Period=FQ","BEST_FPERIOD_OVERRIDE=FQ","FILING_STATUS=MR","SCALING_FORMAT=MLN","Sort=A","Dates=H","DateFormat=P","Fill=—","Direction=H","UseDPDF=Y")</f>
        <v>4493</v>
      </c>
      <c r="P11" s="13">
        <f>_xll.BDH("GILD US Equity","BS_ACCTS_REC_EXCL_NOTES_REC","FQ1 2022","FQ1 2022","Currency=USD","Period=FQ","BEST_FPERIOD_OVERRIDE=FQ","FILING_STATUS=MR","SCALING_FORMAT=MLN","Sort=A","Dates=H","DateFormat=P","Fill=—","Direction=H","UseDPDF=Y")</f>
        <v>3787</v>
      </c>
      <c r="Q11" s="13">
        <f>_xll.BDH("GILD US Equity","BS_ACCTS_REC_EXCL_NOTES_REC","FQ2 2022","FQ2 2022","Currency=USD","Period=FQ","BEST_FPERIOD_OVERRIDE=FQ","FILING_STATUS=MR","SCALING_FORMAT=MLN","Sort=A","Dates=H","DateFormat=P","Fill=—","Direction=H","UseDPDF=Y")</f>
        <v>4118</v>
      </c>
      <c r="R11" s="13">
        <f>_xll.BDH("GILD US Equity","BS_ACCTS_REC_EXCL_NOTES_REC","FQ3 2022","FQ3 2022","Currency=USD","Period=FQ","BEST_FPERIOD_OVERRIDE=FQ","FILING_STATUS=MR","SCALING_FORMAT=MLN","Sort=A","Dates=H","DateFormat=P","Fill=—","Direction=H","UseDPDF=Y")</f>
        <v>4354</v>
      </c>
      <c r="S11" s="13">
        <f>_xll.BDH("GILD US Equity","BS_ACCTS_REC_EXCL_NOTES_REC","FQ4 2022","FQ4 2022","Currency=USD","Period=FQ","BEST_FPERIOD_OVERRIDE=FQ","FILING_STATUS=MR","SCALING_FORMAT=MLN","Sort=A","Dates=H","DateFormat=P","Fill=—","Direction=H","UseDPDF=Y")</f>
        <v>4777</v>
      </c>
      <c r="T11" s="13">
        <f>_xll.BDH("GILD US Equity","BS_ACCTS_REC_EXCL_NOTES_REC","FQ1 2023","FQ1 2023","Currency=USD","Period=FQ","BEST_FPERIOD_OVERRIDE=FQ","FILING_STATUS=MR","SCALING_FORMAT=MLN","Sort=A","Dates=H","DateFormat=P","Fill=—","Direction=H","UseDPDF=Y")</f>
        <v>4162</v>
      </c>
      <c r="U11" s="13">
        <f>_xll.BDH("GILD US Equity","BS_ACCTS_REC_EXCL_NOTES_REC","FQ2 2023","FQ2 2023","Currency=USD","Period=FQ","BEST_FPERIOD_OVERRIDE=FQ","FILING_STATUS=MR","SCALING_FORMAT=MLN","Sort=A","Dates=H","DateFormat=P","Fill=—","Direction=H","UseDPDF=Y")</f>
        <v>4229</v>
      </c>
      <c r="V11" s="13">
        <f>_xll.BDH("GILD US Equity","BS_ACCTS_REC_EXCL_NOTES_REC","FQ3 2023","FQ3 2023","Currency=USD","Period=FQ","BEST_FPERIOD_OVERRIDE=FQ","FILING_STATUS=MR","SCALING_FORMAT=MLN","Sort=A","Dates=H","DateFormat=P","Fill=—","Direction=H","UseDPDF=Y")</f>
        <v>4790</v>
      </c>
      <c r="W11" s="13">
        <f>_xll.BDH("GILD US Equity","BS_ACCTS_REC_EXCL_NOTES_REC","FQ4 2023","FQ4 2023","Currency=USD","Period=FQ","BEST_FPERIOD_OVERRIDE=FQ","FILING_STATUS=MR","SCALING_FORMAT=MLN","Sort=A","Dates=H","DateFormat=P","Fill=—","Direction=H","UseDPDF=Y")</f>
        <v>4660</v>
      </c>
      <c r="X11" s="13">
        <f>_xll.BDH("GILD US Equity","BS_ACCTS_REC_EXCL_NOTES_REC","FQ1 2024","FQ1 2024","Currency=USD","Period=FQ","BEST_FPERIOD_OVERRIDE=FQ","FILING_STATUS=MR","SCALING_FORMAT=MLN","Sort=A","Dates=H","DateFormat=P","Fill=—","Direction=H","UseDPDF=Y")</f>
        <v>4669</v>
      </c>
      <c r="Y11" s="13">
        <f>_xll.BDH("GILD US Equity","BS_ACCTS_REC_EXCL_NOTES_REC","FQ2 2024","FQ2 2024","Currency=USD","Period=FQ","BEST_FPERIOD_OVERRIDE=FQ","FILING_STATUS=MR","SCALING_FORMAT=MLN","Sort=A","Dates=H","DateFormat=P","Fill=—","Direction=H","UseDPDF=Y")</f>
        <v>4663</v>
      </c>
      <c r="Z11" s="13">
        <f>_xll.BDH("GILD US Equity","BS_ACCTS_REC_EXCL_NOTES_REC","FQ3 2024","FQ3 2024","Currency=USD","Period=FQ","BEST_FPERIOD_OVERRIDE=FQ","FILING_STATUS=MR","SCALING_FORMAT=MLN","Sort=A","Dates=H","DateFormat=P","Fill=—","Direction=H","UseDPDF=Y")</f>
        <v>4587</v>
      </c>
      <c r="AA11" s="13">
        <f>_xll.BDH("GILD US Equity","BS_ACCTS_REC_EXCL_NOTES_REC","FQ4 2024","FQ4 2024","Currency=USD","Period=FQ","BEST_FPERIOD_OVERRIDE=FQ","FILING_STATUS=MR","SCALING_FORMAT=MLN","Sort=A","Dates=H","DateFormat=P","Fill=—","Direction=H","UseDPDF=Y")</f>
        <v>4420</v>
      </c>
    </row>
    <row r="12" spans="1:27" x14ac:dyDescent="0.25">
      <c r="A12" s="10" t="s">
        <v>754</v>
      </c>
      <c r="B12" s="10" t="s">
        <v>755</v>
      </c>
      <c r="C12" s="13">
        <f>_xll.BDH("GILD US Equity","NOTES_RECEIVABLE","FQ4 2018","FQ4 2018","Currency=USD","Period=FQ","BEST_FPERIOD_OVERRIDE=FQ","FILING_STATUS=MR","SCALING_FORMAT=MLN","Sort=A","Dates=H","DateFormat=P","Fill=—","Direction=H","UseDPDF=Y")</f>
        <v>0</v>
      </c>
      <c r="D12" s="13">
        <f>_xll.BDH("GILD US Equity","NOTES_RECEIVABLE","FQ1 2019","FQ1 2019","Currency=USD","Period=FQ","BEST_FPERIOD_OVERRIDE=FQ","FILING_STATUS=MR","SCALING_FORMAT=MLN","Sort=A","Dates=H","DateFormat=P","Fill=—","Direction=H","UseDPDF=Y")</f>
        <v>0</v>
      </c>
      <c r="E12" s="13">
        <f>_xll.BDH("GILD US Equity","NOTES_RECEIVABLE","FQ2 2019","FQ2 2019","Currency=USD","Period=FQ","BEST_FPERIOD_OVERRIDE=FQ","FILING_STATUS=MR","SCALING_FORMAT=MLN","Sort=A","Dates=H","DateFormat=P","Fill=—","Direction=H","UseDPDF=Y")</f>
        <v>0</v>
      </c>
      <c r="F12" s="13">
        <f>_xll.BDH("GILD US Equity","NOTES_RECEIVABLE","FQ3 2019","FQ3 2019","Currency=USD","Period=FQ","BEST_FPERIOD_OVERRIDE=FQ","FILING_STATUS=MR","SCALING_FORMAT=MLN","Sort=A","Dates=H","DateFormat=P","Fill=—","Direction=H","UseDPDF=Y")</f>
        <v>0</v>
      </c>
      <c r="G12" s="13">
        <f>_xll.BDH("GILD US Equity","NOTES_RECEIVABLE","FQ4 2019","FQ4 2019","Currency=USD","Period=FQ","BEST_FPERIOD_OVERRIDE=FQ","FILING_STATUS=MR","SCALING_FORMAT=MLN","Sort=A","Dates=H","DateFormat=P","Fill=—","Direction=H","UseDPDF=Y")</f>
        <v>0</v>
      </c>
      <c r="H12" s="13">
        <f>_xll.BDH("GILD US Equity","NOTES_RECEIVABLE","FQ1 2020","FQ1 2020","Currency=USD","Period=FQ","BEST_FPERIOD_OVERRIDE=FQ","FILING_STATUS=MR","SCALING_FORMAT=MLN","Sort=A","Dates=H","DateFormat=P","Fill=—","Direction=H","UseDPDF=Y")</f>
        <v>0</v>
      </c>
      <c r="I12" s="13">
        <f>_xll.BDH("GILD US Equity","NOTES_RECEIVABLE","FQ2 2020","FQ2 2020","Currency=USD","Period=FQ","BEST_FPERIOD_OVERRIDE=FQ","FILING_STATUS=MR","SCALING_FORMAT=MLN","Sort=A","Dates=H","DateFormat=P","Fill=—","Direction=H","UseDPDF=Y")</f>
        <v>0</v>
      </c>
      <c r="J12" s="13">
        <f>_xll.BDH("GILD US Equity","NOTES_RECEIVABLE","FQ3 2020","FQ3 2020","Currency=USD","Period=FQ","BEST_FPERIOD_OVERRIDE=FQ","FILING_STATUS=MR","SCALING_FORMAT=MLN","Sort=A","Dates=H","DateFormat=P","Fill=—","Direction=H","UseDPDF=Y")</f>
        <v>0</v>
      </c>
      <c r="K12" s="13">
        <f>_xll.BDH("GILD US Equity","NOTES_RECEIVABLE","FQ4 2020","FQ4 2020","Currency=USD","Period=FQ","BEST_FPERIOD_OVERRIDE=FQ","FILING_STATUS=MR","SCALING_FORMAT=MLN","Sort=A","Dates=H","DateFormat=P","Fill=—","Direction=H","UseDPDF=Y")</f>
        <v>0</v>
      </c>
      <c r="L12" s="13">
        <f>_xll.BDH("GILD US Equity","NOTES_RECEIVABLE","FQ1 2021","FQ1 2021","Currency=USD","Period=FQ","BEST_FPERIOD_OVERRIDE=FQ","FILING_STATUS=MR","SCALING_FORMAT=MLN","Sort=A","Dates=H","DateFormat=P","Fill=—","Direction=H","UseDPDF=Y")</f>
        <v>0</v>
      </c>
      <c r="M12" s="13">
        <f>_xll.BDH("GILD US Equity","NOTES_RECEIVABLE","FQ2 2021","FQ2 2021","Currency=USD","Period=FQ","BEST_FPERIOD_OVERRIDE=FQ","FILING_STATUS=MR","SCALING_FORMAT=MLN","Sort=A","Dates=H","DateFormat=P","Fill=—","Direction=H","UseDPDF=Y")</f>
        <v>0</v>
      </c>
      <c r="N12" s="13">
        <f>_xll.BDH("GILD US Equity","NOTES_RECEIVABLE","FQ3 2021","FQ3 2021","Currency=USD","Period=FQ","BEST_FPERIOD_OVERRIDE=FQ","FILING_STATUS=MR","SCALING_FORMAT=MLN","Sort=A","Dates=H","DateFormat=P","Fill=—","Direction=H","UseDPDF=Y")</f>
        <v>0</v>
      </c>
      <c r="O12" s="13">
        <f>_xll.BDH("GILD US Equity","NOTES_RECEIVABLE","FQ4 2021","FQ4 2021","Currency=USD","Period=FQ","BEST_FPERIOD_OVERRIDE=FQ","FILING_STATUS=MR","SCALING_FORMAT=MLN","Sort=A","Dates=H","DateFormat=P","Fill=—","Direction=H","UseDPDF=Y")</f>
        <v>0</v>
      </c>
      <c r="P12" s="13">
        <f>_xll.BDH("GILD US Equity","NOTES_RECEIVABLE","FQ1 2022","FQ1 2022","Currency=USD","Period=FQ","BEST_FPERIOD_OVERRIDE=FQ","FILING_STATUS=MR","SCALING_FORMAT=MLN","Sort=A","Dates=H","DateFormat=P","Fill=—","Direction=H","UseDPDF=Y")</f>
        <v>0</v>
      </c>
      <c r="Q12" s="13">
        <f>_xll.BDH("GILD US Equity","NOTES_RECEIVABLE","FQ2 2022","FQ2 2022","Currency=USD","Period=FQ","BEST_FPERIOD_OVERRIDE=FQ","FILING_STATUS=MR","SCALING_FORMAT=MLN","Sort=A","Dates=H","DateFormat=P","Fill=—","Direction=H","UseDPDF=Y")</f>
        <v>0</v>
      </c>
      <c r="R12" s="13">
        <f>_xll.BDH("GILD US Equity","NOTES_RECEIVABLE","FQ3 2022","FQ3 2022","Currency=USD","Period=FQ","BEST_FPERIOD_OVERRIDE=FQ","FILING_STATUS=MR","SCALING_FORMAT=MLN","Sort=A","Dates=H","DateFormat=P","Fill=—","Direction=H","UseDPDF=Y")</f>
        <v>0</v>
      </c>
      <c r="S12" s="13">
        <f>_xll.BDH("GILD US Equity","NOTES_RECEIVABLE","FQ4 2022","FQ4 2022","Currency=USD","Period=FQ","BEST_FPERIOD_OVERRIDE=FQ","FILING_STATUS=MR","SCALING_FORMAT=MLN","Sort=A","Dates=H","DateFormat=P","Fill=—","Direction=H","UseDPDF=Y")</f>
        <v>0</v>
      </c>
      <c r="T12" s="13">
        <f>_xll.BDH("GILD US Equity","NOTES_RECEIVABLE","FQ1 2023","FQ1 2023","Currency=USD","Period=FQ","BEST_FPERIOD_OVERRIDE=FQ","FILING_STATUS=MR","SCALING_FORMAT=MLN","Sort=A","Dates=H","DateFormat=P","Fill=—","Direction=H","UseDPDF=Y")</f>
        <v>0</v>
      </c>
      <c r="U12" s="13">
        <f>_xll.BDH("GILD US Equity","NOTES_RECEIVABLE","FQ2 2023","FQ2 2023","Currency=USD","Period=FQ","BEST_FPERIOD_OVERRIDE=FQ","FILING_STATUS=MR","SCALING_FORMAT=MLN","Sort=A","Dates=H","DateFormat=P","Fill=—","Direction=H","UseDPDF=Y")</f>
        <v>0</v>
      </c>
      <c r="V12" s="13">
        <f>_xll.BDH("GILD US Equity","NOTES_RECEIVABLE","FQ3 2023","FQ3 2023","Currency=USD","Period=FQ","BEST_FPERIOD_OVERRIDE=FQ","FILING_STATUS=MR","SCALING_FORMAT=MLN","Sort=A","Dates=H","DateFormat=P","Fill=—","Direction=H","UseDPDF=Y")</f>
        <v>0</v>
      </c>
      <c r="W12" s="13">
        <f>_xll.BDH("GILD US Equity","NOTES_RECEIVABLE","FQ4 2023","FQ4 2023","Currency=USD","Period=FQ","BEST_FPERIOD_OVERRIDE=FQ","FILING_STATUS=MR","SCALING_FORMAT=MLN","Sort=A","Dates=H","DateFormat=P","Fill=—","Direction=H","UseDPDF=Y")</f>
        <v>0</v>
      </c>
      <c r="X12" s="13">
        <f>_xll.BDH("GILD US Equity","NOTES_RECEIVABLE","FQ1 2024","FQ1 2024","Currency=USD","Period=FQ","BEST_FPERIOD_OVERRIDE=FQ","FILING_STATUS=MR","SCALING_FORMAT=MLN","Sort=A","Dates=H","DateFormat=P","Fill=—","Direction=H","UseDPDF=Y")</f>
        <v>0</v>
      </c>
      <c r="Y12" s="13">
        <f>_xll.BDH("GILD US Equity","NOTES_RECEIVABLE","FQ2 2024","FQ2 2024","Currency=USD","Period=FQ","BEST_FPERIOD_OVERRIDE=FQ","FILING_STATUS=MR","SCALING_FORMAT=MLN","Sort=A","Dates=H","DateFormat=P","Fill=—","Direction=H","UseDPDF=Y")</f>
        <v>0</v>
      </c>
      <c r="Z12" s="13">
        <f>_xll.BDH("GILD US Equity","NOTES_RECEIVABLE","FQ3 2024","FQ3 2024","Currency=USD","Period=FQ","BEST_FPERIOD_OVERRIDE=FQ","FILING_STATUS=MR","SCALING_FORMAT=MLN","Sort=A","Dates=H","DateFormat=P","Fill=—","Direction=H","UseDPDF=Y")</f>
        <v>0</v>
      </c>
      <c r="AA12" s="13">
        <f>_xll.BDH("GILD US Equity","NOTES_RECEIVABLE","FQ4 2024","FQ4 2024","Currency=USD","Period=FQ","BEST_FPERIOD_OVERRIDE=FQ","FILING_STATUS=MR","SCALING_FORMAT=MLN","Sort=A","Dates=H","DateFormat=P","Fill=—","Direction=H","UseDPDF=Y")</f>
        <v>0</v>
      </c>
    </row>
    <row r="13" spans="1:27" x14ac:dyDescent="0.25">
      <c r="A13" s="10" t="s">
        <v>756</v>
      </c>
      <c r="B13" s="10" t="s">
        <v>757</v>
      </c>
      <c r="C13" s="13">
        <f>_xll.BDH("GILD US Equity","BS_INVENTORIES","FQ4 2018","FQ4 2018","Currency=USD","Period=FQ","BEST_FPERIOD_OVERRIDE=FQ","FILING_STATUS=MR","SCALING_FORMAT=MLN","Sort=A","Dates=H","DateFormat=P","Fill=—","Direction=H","UseDPDF=Y")</f>
        <v>814</v>
      </c>
      <c r="D13" s="13">
        <f>_xll.BDH("GILD US Equity","BS_INVENTORIES","FQ1 2019","FQ1 2019","Currency=USD","Period=FQ","BEST_FPERIOD_OVERRIDE=FQ","FILING_STATUS=MR","SCALING_FORMAT=MLN","Sort=A","Dates=H","DateFormat=P","Fill=—","Direction=H","UseDPDF=Y")</f>
        <v>898</v>
      </c>
      <c r="E13" s="13">
        <f>_xll.BDH("GILD US Equity","BS_INVENTORIES","FQ2 2019","FQ2 2019","Currency=USD","Period=FQ","BEST_FPERIOD_OVERRIDE=FQ","FILING_STATUS=MR","SCALING_FORMAT=MLN","Sort=A","Dates=H","DateFormat=P","Fill=—","Direction=H","UseDPDF=Y")</f>
        <v>884</v>
      </c>
      <c r="F13" s="13">
        <f>_xll.BDH("GILD US Equity","BS_INVENTORIES","FQ3 2019","FQ3 2019","Currency=USD","Period=FQ","BEST_FPERIOD_OVERRIDE=FQ","FILING_STATUS=MR","SCALING_FORMAT=MLN","Sort=A","Dates=H","DateFormat=P","Fill=—","Direction=H","UseDPDF=Y")</f>
        <v>882</v>
      </c>
      <c r="G13" s="13">
        <f>_xll.BDH("GILD US Equity","BS_INVENTORIES","FQ4 2019","FQ4 2019","Currency=USD","Period=FQ","BEST_FPERIOD_OVERRIDE=FQ","FILING_STATUS=MR","SCALING_FORMAT=MLN","Sort=A","Dates=H","DateFormat=P","Fill=—","Direction=H","UseDPDF=Y")</f>
        <v>922</v>
      </c>
      <c r="H13" s="13">
        <f>_xll.BDH("GILD US Equity","BS_INVENTORIES","FQ1 2020","FQ1 2020","Currency=USD","Period=FQ","BEST_FPERIOD_OVERRIDE=FQ","FILING_STATUS=MR","SCALING_FORMAT=MLN","Sort=A","Dates=H","DateFormat=P","Fill=—","Direction=H","UseDPDF=Y")</f>
        <v>986</v>
      </c>
      <c r="I13" s="13">
        <f>_xll.BDH("GILD US Equity","BS_INVENTORIES","FQ2 2020","FQ2 2020","Currency=USD","Period=FQ","BEST_FPERIOD_OVERRIDE=FQ","FILING_STATUS=MR","SCALING_FORMAT=MLN","Sort=A","Dates=H","DateFormat=P","Fill=—","Direction=H","UseDPDF=Y")</f>
        <v>1052</v>
      </c>
      <c r="J13" s="13">
        <f>_xll.BDH("GILD US Equity","BS_INVENTORIES","FQ3 2020","FQ3 2020","Currency=USD","Period=FQ","BEST_FPERIOD_OVERRIDE=FQ","FILING_STATUS=MR","SCALING_FORMAT=MLN","Sort=A","Dates=H","DateFormat=P","Fill=—","Direction=H","UseDPDF=Y")</f>
        <v>1008</v>
      </c>
      <c r="K13" s="13">
        <f>_xll.BDH("GILD US Equity","BS_INVENTORIES","FQ4 2020","FQ4 2020","Currency=USD","Period=FQ","BEST_FPERIOD_OVERRIDE=FQ","FILING_STATUS=MR","SCALING_FORMAT=MLN","Sort=A","Dates=H","DateFormat=P","Fill=—","Direction=H","UseDPDF=Y")</f>
        <v>1683</v>
      </c>
      <c r="L13" s="13">
        <f>_xll.BDH("GILD US Equity","BS_INVENTORIES","FQ1 2021","FQ1 2021","Currency=USD","Period=FQ","BEST_FPERIOD_OVERRIDE=FQ","FILING_STATUS=MR","SCALING_FORMAT=MLN","Sort=A","Dates=H","DateFormat=P","Fill=—","Direction=H","UseDPDF=Y")</f>
        <v>1779</v>
      </c>
      <c r="M13" s="13">
        <f>_xll.BDH("GILD US Equity","BS_INVENTORIES","FQ2 2021","FQ2 2021","Currency=USD","Period=FQ","BEST_FPERIOD_OVERRIDE=FQ","FILING_STATUS=MR","SCALING_FORMAT=MLN","Sort=A","Dates=H","DateFormat=P","Fill=—","Direction=H","UseDPDF=Y")</f>
        <v>1772</v>
      </c>
      <c r="N13" s="13">
        <f>_xll.BDH("GILD US Equity","BS_INVENTORIES","FQ3 2021","FQ3 2021","Currency=USD","Period=FQ","BEST_FPERIOD_OVERRIDE=FQ","FILING_STATUS=MR","SCALING_FORMAT=MLN","Sort=A","Dates=H","DateFormat=P","Fill=—","Direction=H","UseDPDF=Y")</f>
        <v>1676</v>
      </c>
      <c r="O13" s="13">
        <f>_xll.BDH("GILD US Equity","BS_INVENTORIES","FQ4 2021","FQ4 2021","Currency=USD","Period=FQ","BEST_FPERIOD_OVERRIDE=FQ","FILING_STATUS=MR","SCALING_FORMAT=MLN","Sort=A","Dates=H","DateFormat=P","Fill=—","Direction=H","UseDPDF=Y")</f>
        <v>1618</v>
      </c>
      <c r="P13" s="13">
        <f>_xll.BDH("GILD US Equity","BS_INVENTORIES","FQ1 2022","FQ1 2022","Currency=USD","Period=FQ","BEST_FPERIOD_OVERRIDE=FQ","FILING_STATUS=MR","SCALING_FORMAT=MLN","Sort=A","Dates=H","DateFormat=P","Fill=—","Direction=H","UseDPDF=Y")</f>
        <v>1482</v>
      </c>
      <c r="Q13" s="13">
        <f>_xll.BDH("GILD US Equity","BS_INVENTORIES","FQ2 2022","FQ2 2022","Currency=USD","Period=FQ","BEST_FPERIOD_OVERRIDE=FQ","FILING_STATUS=MR","SCALING_FORMAT=MLN","Sort=A","Dates=H","DateFormat=P","Fill=—","Direction=H","UseDPDF=Y")</f>
        <v>1493</v>
      </c>
      <c r="R13" s="13">
        <f>_xll.BDH("GILD US Equity","BS_INVENTORIES","FQ3 2022","FQ3 2022","Currency=USD","Period=FQ","BEST_FPERIOD_OVERRIDE=FQ","FILING_STATUS=MR","SCALING_FORMAT=MLN","Sort=A","Dates=H","DateFormat=P","Fill=—","Direction=H","UseDPDF=Y")</f>
        <v>1463</v>
      </c>
      <c r="S13" s="13">
        <f>_xll.BDH("GILD US Equity","BS_INVENTORIES","FQ4 2022","FQ4 2022","Currency=USD","Period=FQ","BEST_FPERIOD_OVERRIDE=FQ","FILING_STATUS=MR","SCALING_FORMAT=MLN","Sort=A","Dates=H","DateFormat=P","Fill=—","Direction=H","UseDPDF=Y")</f>
        <v>1507</v>
      </c>
      <c r="T13" s="13">
        <f>_xll.BDH("GILD US Equity","BS_INVENTORIES","FQ1 2023","FQ1 2023","Currency=USD","Period=FQ","BEST_FPERIOD_OVERRIDE=FQ","FILING_STATUS=MR","SCALING_FORMAT=MLN","Sort=A","Dates=H","DateFormat=P","Fill=—","Direction=H","UseDPDF=Y")</f>
        <v>1576</v>
      </c>
      <c r="U13" s="13">
        <f>_xll.BDH("GILD US Equity","BS_INVENTORIES","FQ2 2023","FQ2 2023","Currency=USD","Period=FQ","BEST_FPERIOD_OVERRIDE=FQ","FILING_STATUS=MR","SCALING_FORMAT=MLN","Sort=A","Dates=H","DateFormat=P","Fill=—","Direction=H","UseDPDF=Y")</f>
        <v>1633</v>
      </c>
      <c r="V13" s="13">
        <f>_xll.BDH("GILD US Equity","BS_INVENTORIES","FQ3 2023","FQ3 2023","Currency=USD","Period=FQ","BEST_FPERIOD_OVERRIDE=FQ","FILING_STATUS=MR","SCALING_FORMAT=MLN","Sort=A","Dates=H","DateFormat=P","Fill=—","Direction=H","UseDPDF=Y")</f>
        <v>1664</v>
      </c>
      <c r="W13" s="13">
        <f>_xll.BDH("GILD US Equity","BS_INVENTORIES","FQ4 2023","FQ4 2023","Currency=USD","Period=FQ","BEST_FPERIOD_OVERRIDE=FQ","FILING_STATUS=MR","SCALING_FORMAT=MLN","Sort=A","Dates=H","DateFormat=P","Fill=—","Direction=H","UseDPDF=Y")</f>
        <v>1787</v>
      </c>
      <c r="X13" s="13">
        <f>_xll.BDH("GILD US Equity","BS_INVENTORIES","FQ1 2024","FQ1 2024","Currency=USD","Period=FQ","BEST_FPERIOD_OVERRIDE=FQ","FILING_STATUS=MR","SCALING_FORMAT=MLN","Sort=A","Dates=H","DateFormat=P","Fill=—","Direction=H","UseDPDF=Y")</f>
        <v>1853</v>
      </c>
      <c r="Y13" s="13">
        <f>_xll.BDH("GILD US Equity","BS_INVENTORIES","FQ2 2024","FQ2 2024","Currency=USD","Period=FQ","BEST_FPERIOD_OVERRIDE=FQ","FILING_STATUS=MR","SCALING_FORMAT=MLN","Sort=A","Dates=H","DateFormat=P","Fill=—","Direction=H","UseDPDF=Y")</f>
        <v>2026</v>
      </c>
      <c r="Z13" s="13">
        <f>_xll.BDH("GILD US Equity","BS_INVENTORIES","FQ3 2024","FQ3 2024","Currency=USD","Period=FQ","BEST_FPERIOD_OVERRIDE=FQ","FILING_STATUS=MR","SCALING_FORMAT=MLN","Sort=A","Dates=H","DateFormat=P","Fill=—","Direction=H","UseDPDF=Y")</f>
        <v>1869</v>
      </c>
      <c r="AA13" s="13">
        <f>_xll.BDH("GILD US Equity","BS_INVENTORIES","FQ4 2024","FQ4 2024","Currency=USD","Period=FQ","BEST_FPERIOD_OVERRIDE=FQ","FILING_STATUS=MR","SCALING_FORMAT=MLN","Sort=A","Dates=H","DateFormat=P","Fill=—","Direction=H","UseDPDF=Y")</f>
        <v>1710</v>
      </c>
    </row>
    <row r="14" spans="1:27" x14ac:dyDescent="0.25">
      <c r="A14" s="10" t="s">
        <v>758</v>
      </c>
      <c r="B14" s="10" t="s">
        <v>759</v>
      </c>
      <c r="C14" s="13">
        <f>_xll.BDH("GILD US Equity","INVTRY_RAW_MATERIALS","FQ4 2018","FQ4 2018","Currency=USD","Period=FQ","BEST_FPERIOD_OVERRIDE=FQ","FILING_STATUS=MR","SCALING_FORMAT=MLN","Sort=A","Dates=H","DateFormat=P","Fill=—","Direction=H","UseDPDF=Y")</f>
        <v>1888</v>
      </c>
      <c r="D14" s="13">
        <f>_xll.BDH("GILD US Equity","INVTRY_RAW_MATERIALS","FQ1 2019","FQ1 2019","Currency=USD","Period=FQ","BEST_FPERIOD_OVERRIDE=FQ","FILING_STATUS=MR","SCALING_FORMAT=MLN","Sort=A","Dates=H","DateFormat=P","Fill=—","Direction=H","UseDPDF=Y")</f>
        <v>1860</v>
      </c>
      <c r="E14" s="13">
        <f>_xll.BDH("GILD US Equity","INVTRY_RAW_MATERIALS","FQ2 2019","FQ2 2019","Currency=USD","Period=FQ","BEST_FPERIOD_OVERRIDE=FQ","FILING_STATUS=MR","SCALING_FORMAT=MLN","Sort=A","Dates=H","DateFormat=P","Fill=—","Direction=H","UseDPDF=Y")</f>
        <v>1832</v>
      </c>
      <c r="F14" s="13">
        <f>_xll.BDH("GILD US Equity","INVTRY_RAW_MATERIALS","FQ3 2019","FQ3 2019","Currency=USD","Period=FQ","BEST_FPERIOD_OVERRIDE=FQ","FILING_STATUS=MR","SCALING_FORMAT=MLN","Sort=A","Dates=H","DateFormat=P","Fill=—","Direction=H","UseDPDF=Y")</f>
        <v>1776</v>
      </c>
      <c r="G14" s="13">
        <f>_xll.BDH("GILD US Equity","INVTRY_RAW_MATERIALS","FQ4 2019","FQ4 2019","Currency=USD","Period=FQ","BEST_FPERIOD_OVERRIDE=FQ","FILING_STATUS=MR","SCALING_FORMAT=MLN","Sort=A","Dates=H","DateFormat=P","Fill=—","Direction=H","UseDPDF=Y")</f>
        <v>1348</v>
      </c>
      <c r="H14" s="13">
        <f>_xll.BDH("GILD US Equity","INVTRY_RAW_MATERIALS","FQ1 2020","FQ1 2020","Currency=USD","Period=FQ","BEST_FPERIOD_OVERRIDE=FQ","FILING_STATUS=MR","SCALING_FORMAT=MLN","Sort=A","Dates=H","DateFormat=P","Fill=—","Direction=H","UseDPDF=Y")</f>
        <v>1237</v>
      </c>
      <c r="I14" s="13">
        <f>_xll.BDH("GILD US Equity","INVTRY_RAW_MATERIALS","FQ2 2020","FQ2 2020","Currency=USD","Period=FQ","BEST_FPERIOD_OVERRIDE=FQ","FILING_STATUS=MR","SCALING_FORMAT=MLN","Sort=A","Dates=H","DateFormat=P","Fill=—","Direction=H","UseDPDF=Y")</f>
        <v>1142</v>
      </c>
      <c r="J14" s="13">
        <f>_xll.BDH("GILD US Equity","INVTRY_RAW_MATERIALS","FQ3 2020","FQ3 2020","Currency=USD","Period=FQ","BEST_FPERIOD_OVERRIDE=FQ","FILING_STATUS=MR","SCALING_FORMAT=MLN","Sort=A","Dates=H","DateFormat=P","Fill=—","Direction=H","UseDPDF=Y")</f>
        <v>1061</v>
      </c>
      <c r="K14" s="13">
        <f>_xll.BDH("GILD US Equity","INVTRY_RAW_MATERIALS","FQ4 2020","FQ4 2020","Currency=USD","Period=FQ","BEST_FPERIOD_OVERRIDE=FQ","FILING_STATUS=MR","SCALING_FORMAT=MLN","Sort=A","Dates=H","DateFormat=P","Fill=—","Direction=H","UseDPDF=Y")</f>
        <v>1080</v>
      </c>
      <c r="L14" s="13">
        <f>_xll.BDH("GILD US Equity","INVTRY_RAW_MATERIALS","FQ1 2021","FQ1 2021","Currency=USD","Period=FQ","BEST_FPERIOD_OVERRIDE=FQ","FILING_STATUS=MR","SCALING_FORMAT=MLN","Sort=A","Dates=H","DateFormat=P","Fill=—","Direction=H","UseDPDF=Y")</f>
        <v>1023</v>
      </c>
      <c r="M14" s="13">
        <f>_xll.BDH("GILD US Equity","INVTRY_RAW_MATERIALS","FQ2 2021","FQ2 2021","Currency=USD","Period=FQ","BEST_FPERIOD_OVERRIDE=FQ","FILING_STATUS=MR","SCALING_FORMAT=MLN","Sort=A","Dates=H","DateFormat=P","Fill=—","Direction=H","UseDPDF=Y")</f>
        <v>1021</v>
      </c>
      <c r="N14" s="13">
        <f>_xll.BDH("GILD US Equity","INVTRY_RAW_MATERIALS","FQ3 2021","FQ3 2021","Currency=USD","Period=FQ","BEST_FPERIOD_OVERRIDE=FQ","FILING_STATUS=MR","SCALING_FORMAT=MLN","Sort=A","Dates=H","DateFormat=P","Fill=—","Direction=H","UseDPDF=Y")</f>
        <v>1067</v>
      </c>
      <c r="O14" s="13">
        <f>_xll.BDH("GILD US Equity","INVTRY_RAW_MATERIALS","FQ4 2021","FQ4 2021","Currency=USD","Period=FQ","BEST_FPERIOD_OVERRIDE=FQ","FILING_STATUS=MR","SCALING_FORMAT=MLN","Sort=A","Dates=H","DateFormat=P","Fill=—","Direction=H","UseDPDF=Y")</f>
        <v>1112</v>
      </c>
      <c r="P14" s="13">
        <f>_xll.BDH("GILD US Equity","INVTRY_RAW_MATERIALS","FQ1 2022","FQ1 2022","Currency=USD","Period=FQ","BEST_FPERIOD_OVERRIDE=FQ","FILING_STATUS=MR","SCALING_FORMAT=MLN","Sort=A","Dates=H","DateFormat=P","Fill=—","Direction=H","UseDPDF=Y")</f>
        <v>1091</v>
      </c>
      <c r="Q14" s="13">
        <f>_xll.BDH("GILD US Equity","INVTRY_RAW_MATERIALS","FQ2 2022","FQ2 2022","Currency=USD","Period=FQ","BEST_FPERIOD_OVERRIDE=FQ","FILING_STATUS=MR","SCALING_FORMAT=MLN","Sort=A","Dates=H","DateFormat=P","Fill=—","Direction=H","UseDPDF=Y")</f>
        <v>1067</v>
      </c>
      <c r="R14" s="13">
        <f>_xll.BDH("GILD US Equity","INVTRY_RAW_MATERIALS","FQ3 2022","FQ3 2022","Currency=USD","Period=FQ","BEST_FPERIOD_OVERRIDE=FQ","FILING_STATUS=MR","SCALING_FORMAT=MLN","Sort=A","Dates=H","DateFormat=P","Fill=—","Direction=H","UseDPDF=Y")</f>
        <v>1133</v>
      </c>
      <c r="S14" s="13">
        <f>_xll.BDH("GILD US Equity","INVTRY_RAW_MATERIALS","FQ4 2022","FQ4 2022","Currency=USD","Period=FQ","BEST_FPERIOD_OVERRIDE=FQ","FILING_STATUS=MR","SCALING_FORMAT=MLN","Sort=A","Dates=H","DateFormat=P","Fill=—","Direction=H","UseDPDF=Y")</f>
        <v>1177</v>
      </c>
      <c r="T14" s="13">
        <f>_xll.BDH("GILD US Equity","INVTRY_RAW_MATERIALS","FQ1 2023","FQ1 2023","Currency=USD","Period=FQ","BEST_FPERIOD_OVERRIDE=FQ","FILING_STATUS=MR","SCALING_FORMAT=MLN","Sort=A","Dates=H","DateFormat=P","Fill=—","Direction=H","UseDPDF=Y")</f>
        <v>1157</v>
      </c>
      <c r="U14" s="13">
        <f>_xll.BDH("GILD US Equity","INVTRY_RAW_MATERIALS","FQ2 2023","FQ2 2023","Currency=USD","Period=FQ","BEST_FPERIOD_OVERRIDE=FQ","FILING_STATUS=MR","SCALING_FORMAT=MLN","Sort=A","Dates=H","DateFormat=P","Fill=—","Direction=H","UseDPDF=Y")</f>
        <v>1231</v>
      </c>
      <c r="V14" s="13">
        <f>_xll.BDH("GILD US Equity","INVTRY_RAW_MATERIALS","FQ3 2023","FQ3 2023","Currency=USD","Period=FQ","BEST_FPERIOD_OVERRIDE=FQ","FILING_STATUS=MR","SCALING_FORMAT=MLN","Sort=A","Dates=H","DateFormat=P","Fill=—","Direction=H","UseDPDF=Y")</f>
        <v>1266</v>
      </c>
      <c r="W14" s="13">
        <f>_xll.BDH("GILD US Equity","INVTRY_RAW_MATERIALS","FQ4 2023","FQ4 2023","Currency=USD","Period=FQ","BEST_FPERIOD_OVERRIDE=FQ","FILING_STATUS=MR","SCALING_FORMAT=MLN","Sort=A","Dates=H","DateFormat=P","Fill=—","Direction=H","UseDPDF=Y")</f>
        <v>1246</v>
      </c>
      <c r="X14" s="13">
        <f>_xll.BDH("GILD US Equity","INVTRY_RAW_MATERIALS","FQ1 2024","FQ1 2024","Currency=USD","Period=FQ","BEST_FPERIOD_OVERRIDE=FQ","FILING_STATUS=MR","SCALING_FORMAT=MLN","Sort=A","Dates=H","DateFormat=P","Fill=—","Direction=H","UseDPDF=Y")</f>
        <v>1237</v>
      </c>
      <c r="Y14" s="13">
        <f>_xll.BDH("GILD US Equity","INVTRY_RAW_MATERIALS","FQ2 2024","FQ2 2024","Currency=USD","Period=FQ","BEST_FPERIOD_OVERRIDE=FQ","FILING_STATUS=MR","SCALING_FORMAT=MLN","Sort=A","Dates=H","DateFormat=P","Fill=—","Direction=H","UseDPDF=Y")</f>
        <v>1259</v>
      </c>
      <c r="Z14" s="13">
        <f>_xll.BDH("GILD US Equity","INVTRY_RAW_MATERIALS","FQ3 2024","FQ3 2024","Currency=USD","Period=FQ","BEST_FPERIOD_OVERRIDE=FQ","FILING_STATUS=MR","SCALING_FORMAT=MLN","Sort=A","Dates=H","DateFormat=P","Fill=—","Direction=H","UseDPDF=Y")</f>
        <v>1332</v>
      </c>
      <c r="AA14" s="13">
        <f>_xll.BDH("GILD US Equity","INVTRY_RAW_MATERIALS","FQ4 2024","FQ4 2024","Currency=USD","Period=FQ","BEST_FPERIOD_OVERRIDE=FQ","FILING_STATUS=MR","SCALING_FORMAT=MLN","Sort=A","Dates=H","DateFormat=P","Fill=—","Direction=H","UseDPDF=Y")</f>
        <v>1295</v>
      </c>
    </row>
    <row r="15" spans="1:27" x14ac:dyDescent="0.25">
      <c r="A15" s="10" t="s">
        <v>760</v>
      </c>
      <c r="B15" s="10" t="s">
        <v>761</v>
      </c>
      <c r="C15" s="13">
        <f>_xll.BDH("GILD US Equity","INVTRY_IN_PROGRESS","FQ4 2018","FQ4 2018","Currency=USD","Period=FQ","BEST_FPERIOD_OVERRIDE=FQ","FILING_STATUS=MR","SCALING_FORMAT=MLN","Sort=A","Dates=H","DateFormat=P","Fill=—","Direction=H","UseDPDF=Y")</f>
        <v>235</v>
      </c>
      <c r="D15" s="13">
        <f>_xll.BDH("GILD US Equity","INVTRY_IN_PROGRESS","FQ1 2019","FQ1 2019","Currency=USD","Period=FQ","BEST_FPERIOD_OVERRIDE=FQ","FILING_STATUS=MR","SCALING_FORMAT=MLN","Sort=A","Dates=H","DateFormat=P","Fill=—","Direction=H","UseDPDF=Y")</f>
        <v>267</v>
      </c>
      <c r="E15" s="13">
        <f>_xll.BDH("GILD US Equity","INVTRY_IN_PROGRESS","FQ2 2019","FQ2 2019","Currency=USD","Period=FQ","BEST_FPERIOD_OVERRIDE=FQ","FILING_STATUS=MR","SCALING_FORMAT=MLN","Sort=A","Dates=H","DateFormat=P","Fill=—","Direction=H","UseDPDF=Y")</f>
        <v>265</v>
      </c>
      <c r="F15" s="13">
        <f>_xll.BDH("GILD US Equity","INVTRY_IN_PROGRESS","FQ3 2019","FQ3 2019","Currency=USD","Period=FQ","BEST_FPERIOD_OVERRIDE=FQ","FILING_STATUS=MR","SCALING_FORMAT=MLN","Sort=A","Dates=H","DateFormat=P","Fill=—","Direction=H","UseDPDF=Y")</f>
        <v>257</v>
      </c>
      <c r="G15" s="13">
        <f>_xll.BDH("GILD US Equity","INVTRY_IN_PROGRESS","FQ4 2019","FQ4 2019","Currency=USD","Period=FQ","BEST_FPERIOD_OVERRIDE=FQ","FILING_STATUS=MR","SCALING_FORMAT=MLN","Sort=A","Dates=H","DateFormat=P","Fill=—","Direction=H","UseDPDF=Y")</f>
        <v>170</v>
      </c>
      <c r="H15" s="13">
        <f>_xll.BDH("GILD US Equity","INVTRY_IN_PROGRESS","FQ1 2020","FQ1 2020","Currency=USD","Period=FQ","BEST_FPERIOD_OVERRIDE=FQ","FILING_STATUS=MR","SCALING_FORMAT=MLN","Sort=A","Dates=H","DateFormat=P","Fill=—","Direction=H","UseDPDF=Y")</f>
        <v>188</v>
      </c>
      <c r="I15" s="13">
        <f>_xll.BDH("GILD US Equity","INVTRY_IN_PROGRESS","FQ2 2020","FQ2 2020","Currency=USD","Period=FQ","BEST_FPERIOD_OVERRIDE=FQ","FILING_STATUS=MR","SCALING_FORMAT=MLN","Sort=A","Dates=H","DateFormat=P","Fill=—","Direction=H","UseDPDF=Y")</f>
        <v>180</v>
      </c>
      <c r="J15" s="13">
        <f>_xll.BDH("GILD US Equity","INVTRY_IN_PROGRESS","FQ3 2020","FQ3 2020","Currency=USD","Period=FQ","BEST_FPERIOD_OVERRIDE=FQ","FILING_STATUS=MR","SCALING_FORMAT=MLN","Sort=A","Dates=H","DateFormat=P","Fill=—","Direction=H","UseDPDF=Y")</f>
        <v>182</v>
      </c>
      <c r="K15" s="13">
        <f>_xll.BDH("GILD US Equity","INVTRY_IN_PROGRESS","FQ4 2020","FQ4 2020","Currency=USD","Period=FQ","BEST_FPERIOD_OVERRIDE=FQ","FILING_STATUS=MR","SCALING_FORMAT=MLN","Sort=A","Dates=H","DateFormat=P","Fill=—","Direction=H","UseDPDF=Y")</f>
        <v>976</v>
      </c>
      <c r="L15" s="13">
        <f>_xll.BDH("GILD US Equity","INVTRY_IN_PROGRESS","FQ1 2021","FQ1 2021","Currency=USD","Period=FQ","BEST_FPERIOD_OVERRIDE=FQ","FILING_STATUS=MR","SCALING_FORMAT=MLN","Sort=A","Dates=H","DateFormat=P","Fill=—","Direction=H","UseDPDF=Y")</f>
        <v>856</v>
      </c>
      <c r="M15" s="13">
        <f>_xll.BDH("GILD US Equity","INVTRY_IN_PROGRESS","FQ2 2021","FQ2 2021","Currency=USD","Period=FQ","BEST_FPERIOD_OVERRIDE=FQ","FILING_STATUS=MR","SCALING_FORMAT=MLN","Sort=A","Dates=H","DateFormat=P","Fill=—","Direction=H","UseDPDF=Y")</f>
        <v>924</v>
      </c>
      <c r="N15" s="13">
        <f>_xll.BDH("GILD US Equity","INVTRY_IN_PROGRESS","FQ3 2021","FQ3 2021","Currency=USD","Period=FQ","BEST_FPERIOD_OVERRIDE=FQ","FILING_STATUS=MR","SCALING_FORMAT=MLN","Sort=A","Dates=H","DateFormat=P","Fill=—","Direction=H","UseDPDF=Y")</f>
        <v>727</v>
      </c>
      <c r="O15" s="13">
        <f>_xll.BDH("GILD US Equity","INVTRY_IN_PROGRESS","FQ4 2021","FQ4 2021","Currency=USD","Period=FQ","BEST_FPERIOD_OVERRIDE=FQ","FILING_STATUS=MR","SCALING_FORMAT=MLN","Sort=A","Dates=H","DateFormat=P","Fill=—","Direction=H","UseDPDF=Y")</f>
        <v>590</v>
      </c>
      <c r="P15" s="13">
        <f>_xll.BDH("GILD US Equity","INVTRY_IN_PROGRESS","FQ1 2022","FQ1 2022","Currency=USD","Period=FQ","BEST_FPERIOD_OVERRIDE=FQ","FILING_STATUS=MR","SCALING_FORMAT=MLN","Sort=A","Dates=H","DateFormat=P","Fill=—","Direction=H","UseDPDF=Y")</f>
        <v>540</v>
      </c>
      <c r="Q15" s="13">
        <f>_xll.BDH("GILD US Equity","INVTRY_IN_PROGRESS","FQ2 2022","FQ2 2022","Currency=USD","Period=FQ","BEST_FPERIOD_OVERRIDE=FQ","FILING_STATUS=MR","SCALING_FORMAT=MLN","Sort=A","Dates=H","DateFormat=P","Fill=—","Direction=H","UseDPDF=Y")</f>
        <v>484</v>
      </c>
      <c r="R15" s="13">
        <f>_xll.BDH("GILD US Equity","INVTRY_IN_PROGRESS","FQ3 2022","FQ3 2022","Currency=USD","Period=FQ","BEST_FPERIOD_OVERRIDE=FQ","FILING_STATUS=MR","SCALING_FORMAT=MLN","Sort=A","Dates=H","DateFormat=P","Fill=—","Direction=H","UseDPDF=Y")</f>
        <v>430</v>
      </c>
      <c r="S15" s="13">
        <f>_xll.BDH("GILD US Equity","INVTRY_IN_PROGRESS","FQ4 2022","FQ4 2022","Currency=USD","Period=FQ","BEST_FPERIOD_OVERRIDE=FQ","FILING_STATUS=MR","SCALING_FORMAT=MLN","Sort=A","Dates=H","DateFormat=P","Fill=—","Direction=H","UseDPDF=Y")</f>
        <v>577</v>
      </c>
      <c r="T15" s="13">
        <f>_xll.BDH("GILD US Equity","INVTRY_IN_PROGRESS","FQ1 2023","FQ1 2023","Currency=USD","Period=FQ","BEST_FPERIOD_OVERRIDE=FQ","FILING_STATUS=MR","SCALING_FORMAT=MLN","Sort=A","Dates=H","DateFormat=P","Fill=—","Direction=H","UseDPDF=Y")</f>
        <v>570</v>
      </c>
      <c r="U15" s="13">
        <f>_xll.BDH("GILD US Equity","INVTRY_IN_PROGRESS","FQ2 2023","FQ2 2023","Currency=USD","Period=FQ","BEST_FPERIOD_OVERRIDE=FQ","FILING_STATUS=MR","SCALING_FORMAT=MLN","Sort=A","Dates=H","DateFormat=P","Fill=—","Direction=H","UseDPDF=Y")</f>
        <v>622</v>
      </c>
      <c r="V15" s="13">
        <f>_xll.BDH("GILD US Equity","INVTRY_IN_PROGRESS","FQ3 2023","FQ3 2023","Currency=USD","Period=FQ","BEST_FPERIOD_OVERRIDE=FQ","FILING_STATUS=MR","SCALING_FORMAT=MLN","Sort=A","Dates=H","DateFormat=P","Fill=—","Direction=H","UseDPDF=Y")</f>
        <v>614</v>
      </c>
      <c r="W15" s="13">
        <f>_xll.BDH("GILD US Equity","INVTRY_IN_PROGRESS","FQ4 2023","FQ4 2023","Currency=USD","Period=FQ","BEST_FPERIOD_OVERRIDE=FQ","FILING_STATUS=MR","SCALING_FORMAT=MLN","Sort=A","Dates=H","DateFormat=P","Fill=—","Direction=H","UseDPDF=Y")</f>
        <v>847</v>
      </c>
      <c r="X15" s="13">
        <f>_xll.BDH("GILD US Equity","INVTRY_IN_PROGRESS","FQ1 2024","FQ1 2024","Currency=USD","Period=FQ","BEST_FPERIOD_OVERRIDE=FQ","FILING_STATUS=MR","SCALING_FORMAT=MLN","Sort=A","Dates=H","DateFormat=P","Fill=—","Direction=H","UseDPDF=Y")</f>
        <v>778</v>
      </c>
      <c r="Y15" s="13">
        <f>_xll.BDH("GILD US Equity","INVTRY_IN_PROGRESS","FQ2 2024","FQ2 2024","Currency=USD","Period=FQ","BEST_FPERIOD_OVERRIDE=FQ","FILING_STATUS=MR","SCALING_FORMAT=MLN","Sort=A","Dates=H","DateFormat=P","Fill=—","Direction=H","UseDPDF=Y")</f>
        <v>803</v>
      </c>
      <c r="Z15" s="13">
        <f>_xll.BDH("GILD US Equity","INVTRY_IN_PROGRESS","FQ3 2024","FQ3 2024","Currency=USD","Period=FQ","BEST_FPERIOD_OVERRIDE=FQ","FILING_STATUS=MR","SCALING_FORMAT=MLN","Sort=A","Dates=H","DateFormat=P","Fill=—","Direction=H","UseDPDF=Y")</f>
        <v>684</v>
      </c>
      <c r="AA15" s="13">
        <f>_xll.BDH("GILD US Equity","INVTRY_IN_PROGRESS","FQ4 2024","FQ4 2024","Currency=USD","Period=FQ","BEST_FPERIOD_OVERRIDE=FQ","FILING_STATUS=MR","SCALING_FORMAT=MLN","Sort=A","Dates=H","DateFormat=P","Fill=—","Direction=H","UseDPDF=Y")</f>
        <v>847</v>
      </c>
    </row>
    <row r="16" spans="1:27" x14ac:dyDescent="0.25">
      <c r="A16" s="10" t="s">
        <v>762</v>
      </c>
      <c r="B16" s="10" t="s">
        <v>763</v>
      </c>
      <c r="C16" s="13">
        <f>_xll.BDH("GILD US Equity","INVTRY_FINISHED_GOODS","FQ4 2018","FQ4 2018","Currency=USD","Period=FQ","BEST_FPERIOD_OVERRIDE=FQ","FILING_STATUS=MR","SCALING_FORMAT=MLN","Sort=A","Dates=H","DateFormat=P","Fill=—","Direction=H","UseDPDF=Y")</f>
        <v>507</v>
      </c>
      <c r="D16" s="13">
        <f>_xll.BDH("GILD US Equity","INVTRY_FINISHED_GOODS","FQ1 2019","FQ1 2019","Currency=USD","Period=FQ","BEST_FPERIOD_OVERRIDE=FQ","FILING_STATUS=MR","SCALING_FORMAT=MLN","Sort=A","Dates=H","DateFormat=P","Fill=—","Direction=H","UseDPDF=Y")</f>
        <v>501</v>
      </c>
      <c r="E16" s="13">
        <f>_xll.BDH("GILD US Equity","INVTRY_FINISHED_GOODS","FQ2 2019","FQ2 2019","Currency=USD","Period=FQ","BEST_FPERIOD_OVERRIDE=FQ","FILING_STATUS=MR","SCALING_FORMAT=MLN","Sort=A","Dates=H","DateFormat=P","Fill=—","Direction=H","UseDPDF=Y")</f>
        <v>498</v>
      </c>
      <c r="F16" s="13">
        <f>_xll.BDH("GILD US Equity","INVTRY_FINISHED_GOODS","FQ3 2019","FQ3 2019","Currency=USD","Period=FQ","BEST_FPERIOD_OVERRIDE=FQ","FILING_STATUS=MR","SCALING_FORMAT=MLN","Sort=A","Dates=H","DateFormat=P","Fill=—","Direction=H","UseDPDF=Y")</f>
        <v>524</v>
      </c>
      <c r="G16" s="13">
        <f>_xll.BDH("GILD US Equity","INVTRY_FINISHED_GOODS","FQ4 2019","FQ4 2019","Currency=USD","Period=FQ","BEST_FPERIOD_OVERRIDE=FQ","FILING_STATUS=MR","SCALING_FORMAT=MLN","Sort=A","Dates=H","DateFormat=P","Fill=—","Direction=H","UseDPDF=Y")</f>
        <v>549</v>
      </c>
      <c r="H16" s="13">
        <f>_xll.BDH("GILD US Equity","INVTRY_FINISHED_GOODS","FQ1 2020","FQ1 2020","Currency=USD","Period=FQ","BEST_FPERIOD_OVERRIDE=FQ","FILING_STATUS=MR","SCALING_FORMAT=MLN","Sort=A","Dates=H","DateFormat=P","Fill=—","Direction=H","UseDPDF=Y")</f>
        <v>596</v>
      </c>
      <c r="I16" s="13">
        <f>_xll.BDH("GILD US Equity","INVTRY_FINISHED_GOODS","FQ2 2020","FQ2 2020","Currency=USD","Period=FQ","BEST_FPERIOD_OVERRIDE=FQ","FILING_STATUS=MR","SCALING_FORMAT=MLN","Sort=A","Dates=H","DateFormat=P","Fill=—","Direction=H","UseDPDF=Y")</f>
        <v>645</v>
      </c>
      <c r="J16" s="13">
        <f>_xll.BDH("GILD US Equity","INVTRY_FINISHED_GOODS","FQ3 2020","FQ3 2020","Currency=USD","Period=FQ","BEST_FPERIOD_OVERRIDE=FQ","FILING_STATUS=MR","SCALING_FORMAT=MLN","Sort=A","Dates=H","DateFormat=P","Fill=—","Direction=H","UseDPDF=Y")</f>
        <v>710</v>
      </c>
      <c r="K16" s="13">
        <f>_xll.BDH("GILD US Equity","INVTRY_FINISHED_GOODS","FQ4 2020","FQ4 2020","Currency=USD","Period=FQ","BEST_FPERIOD_OVERRIDE=FQ","FILING_STATUS=MR","SCALING_FORMAT=MLN","Sort=A","Dates=H","DateFormat=P","Fill=—","Direction=H","UseDPDF=Y")</f>
        <v>958</v>
      </c>
      <c r="L16" s="13">
        <f>_xll.BDH("GILD US Equity","INVTRY_FINISHED_GOODS","FQ1 2021","FQ1 2021","Currency=USD","Period=FQ","BEST_FPERIOD_OVERRIDE=FQ","FILING_STATUS=MR","SCALING_FORMAT=MLN","Sort=A","Dates=H","DateFormat=P","Fill=—","Direction=H","UseDPDF=Y")</f>
        <v>1117</v>
      </c>
      <c r="M16" s="13">
        <f>_xll.BDH("GILD US Equity","INVTRY_FINISHED_GOODS","FQ2 2021","FQ2 2021","Currency=USD","Period=FQ","BEST_FPERIOD_OVERRIDE=FQ","FILING_STATUS=MR","SCALING_FORMAT=MLN","Sort=A","Dates=H","DateFormat=P","Fill=—","Direction=H","UseDPDF=Y")</f>
        <v>1043</v>
      </c>
      <c r="N16" s="13">
        <f>_xll.BDH("GILD US Equity","INVTRY_FINISHED_GOODS","FQ3 2021","FQ3 2021","Currency=USD","Period=FQ","BEST_FPERIOD_OVERRIDE=FQ","FILING_STATUS=MR","SCALING_FORMAT=MLN","Sort=A","Dates=H","DateFormat=P","Fill=—","Direction=H","UseDPDF=Y")</f>
        <v>1003</v>
      </c>
      <c r="O16" s="13">
        <f>_xll.BDH("GILD US Equity","INVTRY_FINISHED_GOODS","FQ4 2021","FQ4 2021","Currency=USD","Period=FQ","BEST_FPERIOD_OVERRIDE=FQ","FILING_STATUS=MR","SCALING_FORMAT=MLN","Sort=A","Dates=H","DateFormat=P","Fill=—","Direction=H","UseDPDF=Y")</f>
        <v>1032</v>
      </c>
      <c r="P16" s="13">
        <f>_xll.BDH("GILD US Equity","INVTRY_FINISHED_GOODS","FQ1 2022","FQ1 2022","Currency=USD","Period=FQ","BEST_FPERIOD_OVERRIDE=FQ","FILING_STATUS=MR","SCALING_FORMAT=MLN","Sort=A","Dates=H","DateFormat=P","Fill=—","Direction=H","UseDPDF=Y")</f>
        <v>1044</v>
      </c>
      <c r="Q16" s="13">
        <f>_xll.BDH("GILD US Equity","INVTRY_FINISHED_GOODS","FQ2 2022","FQ2 2022","Currency=USD","Period=FQ","BEST_FPERIOD_OVERRIDE=FQ","FILING_STATUS=MR","SCALING_FORMAT=MLN","Sort=A","Dates=H","DateFormat=P","Fill=—","Direction=H","UseDPDF=Y")</f>
        <v>1036</v>
      </c>
      <c r="R16" s="13">
        <f>_xll.BDH("GILD US Equity","INVTRY_FINISHED_GOODS","FQ3 2022","FQ3 2022","Currency=USD","Period=FQ","BEST_FPERIOD_OVERRIDE=FQ","FILING_STATUS=MR","SCALING_FORMAT=MLN","Sort=A","Dates=H","DateFormat=P","Fill=—","Direction=H","UseDPDF=Y")</f>
        <v>1039</v>
      </c>
      <c r="S16" s="13">
        <f>_xll.BDH("GILD US Equity","INVTRY_FINISHED_GOODS","FQ4 2022","FQ4 2022","Currency=USD","Period=FQ","BEST_FPERIOD_OVERRIDE=FQ","FILING_STATUS=MR","SCALING_FORMAT=MLN","Sort=A","Dates=H","DateFormat=P","Fill=—","Direction=H","UseDPDF=Y")</f>
        <v>1066</v>
      </c>
      <c r="T16" s="13">
        <f>_xll.BDH("GILD US Equity","INVTRY_FINISHED_GOODS","FQ1 2023","FQ1 2023","Currency=USD","Period=FQ","BEST_FPERIOD_OVERRIDE=FQ","FILING_STATUS=MR","SCALING_FORMAT=MLN","Sort=A","Dates=H","DateFormat=P","Fill=—","Direction=H","UseDPDF=Y")</f>
        <v>1283</v>
      </c>
      <c r="U16" s="13">
        <f>_xll.BDH("GILD US Equity","INVTRY_FINISHED_GOODS","FQ2 2023","FQ2 2023","Currency=USD","Period=FQ","BEST_FPERIOD_OVERRIDE=FQ","FILING_STATUS=MR","SCALING_FORMAT=MLN","Sort=A","Dates=H","DateFormat=P","Fill=—","Direction=H","UseDPDF=Y")</f>
        <v>1327</v>
      </c>
      <c r="V16" s="13">
        <f>_xll.BDH("GILD US Equity","INVTRY_FINISHED_GOODS","FQ3 2023","FQ3 2023","Currency=USD","Period=FQ","BEST_FPERIOD_OVERRIDE=FQ","FILING_STATUS=MR","SCALING_FORMAT=MLN","Sort=A","Dates=H","DateFormat=P","Fill=—","Direction=H","UseDPDF=Y")</f>
        <v>1323</v>
      </c>
      <c r="W16" s="13">
        <f>_xll.BDH("GILD US Equity","INVTRY_FINISHED_GOODS","FQ4 2023","FQ4 2023","Currency=USD","Period=FQ","BEST_FPERIOD_OVERRIDE=FQ","FILING_STATUS=MR","SCALING_FORMAT=MLN","Sort=A","Dates=H","DateFormat=P","Fill=—","Direction=H","UseDPDF=Y")</f>
        <v>1272</v>
      </c>
      <c r="X16" s="13">
        <f>_xll.BDH("GILD US Equity","INVTRY_FINISHED_GOODS","FQ1 2024","FQ1 2024","Currency=USD","Period=FQ","BEST_FPERIOD_OVERRIDE=FQ","FILING_STATUS=MR","SCALING_FORMAT=MLN","Sort=A","Dates=H","DateFormat=P","Fill=—","Direction=H","UseDPDF=Y")</f>
        <v>1348</v>
      </c>
      <c r="Y16" s="13">
        <f>_xll.BDH("GILD US Equity","INVTRY_FINISHED_GOODS","FQ2 2024","FQ2 2024","Currency=USD","Period=FQ","BEST_FPERIOD_OVERRIDE=FQ","FILING_STATUS=MR","SCALING_FORMAT=MLN","Sort=A","Dates=H","DateFormat=P","Fill=—","Direction=H","UseDPDF=Y")</f>
        <v>1326</v>
      </c>
      <c r="Z16" s="13">
        <f>_xll.BDH("GILD US Equity","INVTRY_FINISHED_GOODS","FQ3 2024","FQ3 2024","Currency=USD","Period=FQ","BEST_FPERIOD_OVERRIDE=FQ","FILING_STATUS=MR","SCALING_FORMAT=MLN","Sort=A","Dates=H","DateFormat=P","Fill=—","Direction=H","UseDPDF=Y")</f>
        <v>1419</v>
      </c>
      <c r="AA16" s="13">
        <f>_xll.BDH("GILD US Equity","INVTRY_FINISHED_GOODS","FQ4 2024","FQ4 2024","Currency=USD","Period=FQ","BEST_FPERIOD_OVERRIDE=FQ","FILING_STATUS=MR","SCALING_FORMAT=MLN","Sort=A","Dates=H","DateFormat=P","Fill=—","Direction=H","UseDPDF=Y")</f>
        <v>1447</v>
      </c>
    </row>
    <row r="17" spans="1:27" x14ac:dyDescent="0.25">
      <c r="A17" s="10" t="s">
        <v>764</v>
      </c>
      <c r="B17" s="10" t="s">
        <v>765</v>
      </c>
      <c r="C17" s="13">
        <f>_xll.BDH("GILD US Equity","BS_OTHER_INV","FQ4 2018","FQ4 2018","Currency=USD","Period=FQ","BEST_FPERIOD_OVERRIDE=FQ","FILING_STATUS=MR","SCALING_FORMAT=MLN","Sort=A","Dates=H","DateFormat=P","Fill=—","Direction=H","UseDPDF=Y")</f>
        <v>-1816</v>
      </c>
      <c r="D17" s="13">
        <f>_xll.BDH("GILD US Equity","BS_OTHER_INV","FQ1 2019","FQ1 2019","Currency=USD","Period=FQ","BEST_FPERIOD_OVERRIDE=FQ","FILING_STATUS=MR","SCALING_FORMAT=MLN","Sort=A","Dates=H","DateFormat=P","Fill=—","Direction=H","UseDPDF=Y")</f>
        <v>-1730</v>
      </c>
      <c r="E17" s="13">
        <f>_xll.BDH("GILD US Equity","BS_OTHER_INV","FQ2 2019","FQ2 2019","Currency=USD","Period=FQ","BEST_FPERIOD_OVERRIDE=FQ","FILING_STATUS=MR","SCALING_FORMAT=MLN","Sort=A","Dates=H","DateFormat=P","Fill=—","Direction=H","UseDPDF=Y")</f>
        <v>-1711</v>
      </c>
      <c r="F17" s="13">
        <f>_xll.BDH("GILD US Equity","BS_OTHER_INV","FQ3 2019","FQ3 2019","Currency=USD","Period=FQ","BEST_FPERIOD_OVERRIDE=FQ","FILING_STATUS=MR","SCALING_FORMAT=MLN","Sort=A","Dates=H","DateFormat=P","Fill=—","Direction=H","UseDPDF=Y")</f>
        <v>-1675</v>
      </c>
      <c r="G17" s="13">
        <f>_xll.BDH("GILD US Equity","BS_OTHER_INV","FQ4 2019","FQ4 2019","Currency=USD","Period=FQ","BEST_FPERIOD_OVERRIDE=FQ","FILING_STATUS=MR","SCALING_FORMAT=MLN","Sort=A","Dates=H","DateFormat=P","Fill=—","Direction=H","UseDPDF=Y")</f>
        <v>-1145</v>
      </c>
      <c r="H17" s="13">
        <f>_xll.BDH("GILD US Equity","BS_OTHER_INV","FQ1 2020","FQ1 2020","Currency=USD","Period=FQ","BEST_FPERIOD_OVERRIDE=FQ","FILING_STATUS=MR","SCALING_FORMAT=MLN","Sort=A","Dates=H","DateFormat=P","Fill=—","Direction=H","UseDPDF=Y")</f>
        <v>-1035</v>
      </c>
      <c r="I17" s="13">
        <f>_xll.BDH("GILD US Equity","BS_OTHER_INV","FQ2 2020","FQ2 2020","Currency=USD","Period=FQ","BEST_FPERIOD_OVERRIDE=FQ","FILING_STATUS=MR","SCALING_FORMAT=MLN","Sort=A","Dates=H","DateFormat=P","Fill=—","Direction=H","UseDPDF=Y")</f>
        <v>-915</v>
      </c>
      <c r="J17" s="13">
        <f>_xll.BDH("GILD US Equity","BS_OTHER_INV","FQ3 2020","FQ3 2020","Currency=USD","Period=FQ","BEST_FPERIOD_OVERRIDE=FQ","FILING_STATUS=MR","SCALING_FORMAT=MLN","Sort=A","Dates=H","DateFormat=P","Fill=—","Direction=H","UseDPDF=Y")</f>
        <v>-945</v>
      </c>
      <c r="K17" s="13">
        <f>_xll.BDH("GILD US Equity","BS_OTHER_INV","FQ4 2020","FQ4 2020","Currency=USD","Period=FQ","BEST_FPERIOD_OVERRIDE=FQ","FILING_STATUS=MR","SCALING_FORMAT=MLN","Sort=A","Dates=H","DateFormat=P","Fill=—","Direction=H","UseDPDF=Y")</f>
        <v>-1331</v>
      </c>
      <c r="L17" s="13">
        <f>_xll.BDH("GILD US Equity","BS_OTHER_INV","FQ1 2021","FQ1 2021","Currency=USD","Period=FQ","BEST_FPERIOD_OVERRIDE=FQ","FILING_STATUS=MR","SCALING_FORMAT=MLN","Sort=A","Dates=H","DateFormat=P","Fill=—","Direction=H","UseDPDF=Y")</f>
        <v>-1217</v>
      </c>
      <c r="M17" s="13">
        <f>_xll.BDH("GILD US Equity","BS_OTHER_INV","FQ2 2021","FQ2 2021","Currency=USD","Period=FQ","BEST_FPERIOD_OVERRIDE=FQ","FILING_STATUS=MR","SCALING_FORMAT=MLN","Sort=A","Dates=H","DateFormat=P","Fill=—","Direction=H","UseDPDF=Y")</f>
        <v>-1216</v>
      </c>
      <c r="N17" s="13">
        <f>_xll.BDH("GILD US Equity","BS_OTHER_INV","FQ3 2021","FQ3 2021","Currency=USD","Period=FQ","BEST_FPERIOD_OVERRIDE=FQ","FILING_STATUS=MR","SCALING_FORMAT=MLN","Sort=A","Dates=H","DateFormat=P","Fill=—","Direction=H","UseDPDF=Y")</f>
        <v>-1121</v>
      </c>
      <c r="O17" s="13">
        <f>_xll.BDH("GILD US Equity","BS_OTHER_INV","FQ4 2021","FQ4 2021","Currency=USD","Period=FQ","BEST_FPERIOD_OVERRIDE=FQ","FILING_STATUS=MR","SCALING_FORMAT=MLN","Sort=A","Dates=H","DateFormat=P","Fill=—","Direction=H","UseDPDF=Y")</f>
        <v>-1116</v>
      </c>
      <c r="P17" s="13">
        <f>_xll.BDH("GILD US Equity","BS_OTHER_INV","FQ1 2022","FQ1 2022","Currency=USD","Period=FQ","BEST_FPERIOD_OVERRIDE=FQ","FILING_STATUS=MR","SCALING_FORMAT=MLN","Sort=A","Dates=H","DateFormat=P","Fill=—","Direction=H","UseDPDF=Y")</f>
        <v>-1193</v>
      </c>
      <c r="Q17" s="13">
        <f>_xll.BDH("GILD US Equity","BS_OTHER_INV","FQ2 2022","FQ2 2022","Currency=USD","Period=FQ","BEST_FPERIOD_OVERRIDE=FQ","FILING_STATUS=MR","SCALING_FORMAT=MLN","Sort=A","Dates=H","DateFormat=P","Fill=—","Direction=H","UseDPDF=Y")</f>
        <v>-1094</v>
      </c>
      <c r="R17" s="13">
        <f>_xll.BDH("GILD US Equity","BS_OTHER_INV","FQ3 2022","FQ3 2022","Currency=USD","Period=FQ","BEST_FPERIOD_OVERRIDE=FQ","FILING_STATUS=MR","SCALING_FORMAT=MLN","Sort=A","Dates=H","DateFormat=P","Fill=—","Direction=H","UseDPDF=Y")</f>
        <v>-1139</v>
      </c>
      <c r="S17" s="13">
        <f>_xll.BDH("GILD US Equity","BS_OTHER_INV","FQ4 2022","FQ4 2022","Currency=USD","Period=FQ","BEST_FPERIOD_OVERRIDE=FQ","FILING_STATUS=MR","SCALING_FORMAT=MLN","Sort=A","Dates=H","DateFormat=P","Fill=—","Direction=H","UseDPDF=Y")</f>
        <v>-1313</v>
      </c>
      <c r="T17" s="13">
        <f>_xll.BDH("GILD US Equity","BS_OTHER_INV","FQ1 2023","FQ1 2023","Currency=USD","Period=FQ","BEST_FPERIOD_OVERRIDE=FQ","FILING_STATUS=MR","SCALING_FORMAT=MLN","Sort=A","Dates=H","DateFormat=P","Fill=—","Direction=H","UseDPDF=Y")</f>
        <v>-1434</v>
      </c>
      <c r="U17" s="13">
        <f>_xll.BDH("GILD US Equity","BS_OTHER_INV","FQ2 2023","FQ2 2023","Currency=USD","Period=FQ","BEST_FPERIOD_OVERRIDE=FQ","FILING_STATUS=MR","SCALING_FORMAT=MLN","Sort=A","Dates=H","DateFormat=P","Fill=—","Direction=H","UseDPDF=Y")</f>
        <v>-1547</v>
      </c>
      <c r="V17" s="13">
        <f>_xll.BDH("GILD US Equity","BS_OTHER_INV","FQ3 2023","FQ3 2023","Currency=USD","Period=FQ","BEST_FPERIOD_OVERRIDE=FQ","FILING_STATUS=MR","SCALING_FORMAT=MLN","Sort=A","Dates=H","DateFormat=P","Fill=—","Direction=H","UseDPDF=Y")</f>
        <v>-1539</v>
      </c>
      <c r="W17" s="13">
        <f>_xll.BDH("GILD US Equity","BS_OTHER_INV","FQ4 2023","FQ4 2023","Currency=USD","Period=FQ","BEST_FPERIOD_OVERRIDE=FQ","FILING_STATUS=MR","SCALING_FORMAT=MLN","Sort=A","Dates=H","DateFormat=P","Fill=—","Direction=H","UseDPDF=Y")</f>
        <v>-1578</v>
      </c>
      <c r="X17" s="13">
        <f>_xll.BDH("GILD US Equity","BS_OTHER_INV","FQ1 2024","FQ1 2024","Currency=USD","Period=FQ","BEST_FPERIOD_OVERRIDE=FQ","FILING_STATUS=MR","SCALING_FORMAT=MLN","Sort=A","Dates=H","DateFormat=P","Fill=—","Direction=H","UseDPDF=Y")</f>
        <v>-1510</v>
      </c>
      <c r="Y17" s="13">
        <f>_xll.BDH("GILD US Equity","BS_OTHER_INV","FQ2 2024","FQ2 2024","Currency=USD","Period=FQ","BEST_FPERIOD_OVERRIDE=FQ","FILING_STATUS=MR","SCALING_FORMAT=MLN","Sort=A","Dates=H","DateFormat=P","Fill=—","Direction=H","UseDPDF=Y")</f>
        <v>-1362</v>
      </c>
      <c r="Z17" s="13">
        <f>_xll.BDH("GILD US Equity","BS_OTHER_INV","FQ3 2024","FQ3 2024","Currency=USD","Period=FQ","BEST_FPERIOD_OVERRIDE=FQ","FILING_STATUS=MR","SCALING_FORMAT=MLN","Sort=A","Dates=H","DateFormat=P","Fill=—","Direction=H","UseDPDF=Y")</f>
        <v>-1566</v>
      </c>
      <c r="AA17" s="13">
        <f>_xll.BDH("GILD US Equity","BS_OTHER_INV","FQ4 2024","FQ4 2024","Currency=USD","Period=FQ","BEST_FPERIOD_OVERRIDE=FQ","FILING_STATUS=MR","SCALING_FORMAT=MLN","Sort=A","Dates=H","DateFormat=P","Fill=—","Direction=H","UseDPDF=Y")</f>
        <v>-1879</v>
      </c>
    </row>
    <row r="18" spans="1:27" x14ac:dyDescent="0.25">
      <c r="A18" s="10" t="s">
        <v>766</v>
      </c>
      <c r="B18" s="10" t="s">
        <v>767</v>
      </c>
      <c r="C18" s="13">
        <f>_xll.BDH("GILD US Equity","OTHER_CURRENT_ASSETS_DETAILED","FQ4 2018","FQ4 2018","Currency=USD","Period=FQ","BEST_FPERIOD_OVERRIDE=FQ","FILING_STATUS=MR","SCALING_FORMAT=MLN","Sort=A","Dates=H","DateFormat=P","Fill=—","Direction=H","UseDPDF=Y")</f>
        <v>1606</v>
      </c>
      <c r="D18" s="13">
        <f>_xll.BDH("GILD US Equity","OTHER_CURRENT_ASSETS_DETAILED","FQ1 2019","FQ1 2019","Currency=USD","Period=FQ","BEST_FPERIOD_OVERRIDE=FQ","FILING_STATUS=MR","SCALING_FORMAT=MLN","Sort=A","Dates=H","DateFormat=P","Fill=—","Direction=H","UseDPDF=Y")</f>
        <v>1939</v>
      </c>
      <c r="E18" s="13">
        <f>_xll.BDH("GILD US Equity","OTHER_CURRENT_ASSETS_DETAILED","FQ2 2019","FQ2 2019","Currency=USD","Period=FQ","BEST_FPERIOD_OVERRIDE=FQ","FILING_STATUS=MR","SCALING_FORMAT=MLN","Sort=A","Dates=H","DateFormat=P","Fill=—","Direction=H","UseDPDF=Y")</f>
        <v>2264</v>
      </c>
      <c r="F18" s="13">
        <f>_xll.BDH("GILD US Equity","OTHER_CURRENT_ASSETS_DETAILED","FQ3 2019","FQ3 2019","Currency=USD","Period=FQ","BEST_FPERIOD_OVERRIDE=FQ","FILING_STATUS=MR","SCALING_FORMAT=MLN","Sort=A","Dates=H","DateFormat=P","Fill=—","Direction=H","UseDPDF=Y")</f>
        <v>1308</v>
      </c>
      <c r="G18" s="13">
        <f>_xll.BDH("GILD US Equity","OTHER_CURRENT_ASSETS_DETAILED","FQ4 2019","FQ4 2019","Currency=USD","Period=FQ","BEST_FPERIOD_OVERRIDE=FQ","FILING_STATUS=MR","SCALING_FORMAT=MLN","Sort=A","Dates=H","DateFormat=P","Fill=—","Direction=H","UseDPDF=Y")</f>
        <v>1440</v>
      </c>
      <c r="H18" s="13">
        <f>_xll.BDH("GILD US Equity","OTHER_CURRENT_ASSETS_DETAILED","FQ1 2020","FQ1 2020","Currency=USD","Period=FQ","BEST_FPERIOD_OVERRIDE=FQ","FILING_STATUS=MR","SCALING_FORMAT=MLN","Sort=A","Dates=H","DateFormat=P","Fill=—","Direction=H","UseDPDF=Y")</f>
        <v>1272</v>
      </c>
      <c r="I18" s="13">
        <f>_xll.BDH("GILD US Equity","OTHER_CURRENT_ASSETS_DETAILED","FQ2 2020","FQ2 2020","Currency=USD","Period=FQ","BEST_FPERIOD_OVERRIDE=FQ","FILING_STATUS=MR","SCALING_FORMAT=MLN","Sort=A","Dates=H","DateFormat=P","Fill=—","Direction=H","UseDPDF=Y")</f>
        <v>1483</v>
      </c>
      <c r="J18" s="13">
        <f>_xll.BDH("GILD US Equity","OTHER_CURRENT_ASSETS_DETAILED","FQ3 2020","FQ3 2020","Currency=USD","Period=FQ","BEST_FPERIOD_OVERRIDE=FQ","FILING_STATUS=MR","SCALING_FORMAT=MLN","Sort=A","Dates=H","DateFormat=P","Fill=—","Direction=H","UseDPDF=Y")</f>
        <v>2030</v>
      </c>
      <c r="K18" s="13">
        <f>_xll.BDH("GILD US Equity","OTHER_CURRENT_ASSETS_DETAILED","FQ4 2020","FQ4 2020","Currency=USD","Period=FQ","BEST_FPERIOD_OVERRIDE=FQ","FILING_STATUS=MR","SCALING_FORMAT=MLN","Sort=A","Dates=H","DateFormat=P","Fill=—","Direction=H","UseDPDF=Y")</f>
        <v>2013</v>
      </c>
      <c r="L18" s="13">
        <f>_xll.BDH("GILD US Equity","OTHER_CURRENT_ASSETS_DETAILED","FQ1 2021","FQ1 2021","Currency=USD","Period=FQ","BEST_FPERIOD_OVERRIDE=FQ","FILING_STATUS=MR","SCALING_FORMAT=MLN","Sort=A","Dates=H","DateFormat=P","Fill=—","Direction=H","UseDPDF=Y")</f>
        <v>1908</v>
      </c>
      <c r="M18" s="13">
        <f>_xll.BDH("GILD US Equity","OTHER_CURRENT_ASSETS_DETAILED","FQ2 2021","FQ2 2021","Currency=USD","Period=FQ","BEST_FPERIOD_OVERRIDE=FQ","FILING_STATUS=MR","SCALING_FORMAT=MLN","Sort=A","Dates=H","DateFormat=P","Fill=—","Direction=H","UseDPDF=Y")</f>
        <v>1479</v>
      </c>
      <c r="N18" s="13">
        <f>_xll.BDH("GILD US Equity","OTHER_CURRENT_ASSETS_DETAILED","FQ3 2021","FQ3 2021","Currency=USD","Period=FQ","BEST_FPERIOD_OVERRIDE=FQ","FILING_STATUS=MR","SCALING_FORMAT=MLN","Sort=A","Dates=H","DateFormat=P","Fill=—","Direction=H","UseDPDF=Y")</f>
        <v>2011</v>
      </c>
      <c r="O18" s="13">
        <f>_xll.BDH("GILD US Equity","OTHER_CURRENT_ASSETS_DETAILED","FQ4 2021","FQ4 2021","Currency=USD","Period=FQ","BEST_FPERIOD_OVERRIDE=FQ","FILING_STATUS=MR","SCALING_FORMAT=MLN","Sort=A","Dates=H","DateFormat=P","Fill=—","Direction=H","UseDPDF=Y")</f>
        <v>2141</v>
      </c>
      <c r="P18" s="13">
        <f>_xll.BDH("GILD US Equity","OTHER_CURRENT_ASSETS_DETAILED","FQ1 2022","FQ1 2022","Currency=USD","Period=FQ","BEST_FPERIOD_OVERRIDE=FQ","FILING_STATUS=MR","SCALING_FORMAT=MLN","Sort=A","Dates=H","DateFormat=P","Fill=—","Direction=H","UseDPDF=Y")</f>
        <v>2035</v>
      </c>
      <c r="Q18" s="13">
        <f>_xll.BDH("GILD US Equity","OTHER_CURRENT_ASSETS_DETAILED","FQ2 2022","FQ2 2022","Currency=USD","Period=FQ","BEST_FPERIOD_OVERRIDE=FQ","FILING_STATUS=MR","SCALING_FORMAT=MLN","Sort=A","Dates=H","DateFormat=P","Fill=—","Direction=H","UseDPDF=Y")</f>
        <v>1901</v>
      </c>
      <c r="R18" s="13">
        <f>_xll.BDH("GILD US Equity","OTHER_CURRENT_ASSETS_DETAILED","FQ3 2022","FQ3 2022","Currency=USD","Period=FQ","BEST_FPERIOD_OVERRIDE=FQ","FILING_STATUS=MR","SCALING_FORMAT=MLN","Sort=A","Dates=H","DateFormat=P","Fill=—","Direction=H","UseDPDF=Y")</f>
        <v>2077</v>
      </c>
      <c r="S18" s="13">
        <f>_xll.BDH("GILD US Equity","OTHER_CURRENT_ASSETS_DETAILED","FQ4 2022","FQ4 2022","Currency=USD","Period=FQ","BEST_FPERIOD_OVERRIDE=FQ","FILING_STATUS=MR","SCALING_FORMAT=MLN","Sort=A","Dates=H","DateFormat=P","Fill=—","Direction=H","UseDPDF=Y")</f>
        <v>1774</v>
      </c>
      <c r="T18" s="13">
        <f>_xll.BDH("GILD US Equity","OTHER_CURRENT_ASSETS_DETAILED","FQ1 2023","FQ1 2023","Currency=USD","Period=FQ","BEST_FPERIOD_OVERRIDE=FQ","FILING_STATUS=MR","SCALING_FORMAT=MLN","Sort=A","Dates=H","DateFormat=P","Fill=—","Direction=H","UseDPDF=Y")</f>
        <v>1846</v>
      </c>
      <c r="U18" s="13">
        <f>_xll.BDH("GILD US Equity","OTHER_CURRENT_ASSETS_DETAILED","FQ2 2023","FQ2 2023","Currency=USD","Period=FQ","BEST_FPERIOD_OVERRIDE=FQ","FILING_STATUS=MR","SCALING_FORMAT=MLN","Sort=A","Dates=H","DateFormat=P","Fill=—","Direction=H","UseDPDF=Y")</f>
        <v>1758</v>
      </c>
      <c r="V18" s="13">
        <f>_xll.BDH("GILD US Equity","OTHER_CURRENT_ASSETS_DETAILED","FQ3 2023","FQ3 2023","Currency=USD","Period=FQ","BEST_FPERIOD_OVERRIDE=FQ","FILING_STATUS=MR","SCALING_FORMAT=MLN","Sort=A","Dates=H","DateFormat=P","Fill=—","Direction=H","UseDPDF=Y")</f>
        <v>2662</v>
      </c>
      <c r="W18" s="13">
        <f>_xll.BDH("GILD US Equity","OTHER_CURRENT_ASSETS_DETAILED","FQ4 2023","FQ4 2023","Currency=USD","Period=FQ","BEST_FPERIOD_OVERRIDE=FQ","FILING_STATUS=MR","SCALING_FORMAT=MLN","Sort=A","Dates=H","DateFormat=P","Fill=—","Direction=H","UseDPDF=Y")</f>
        <v>2374</v>
      </c>
      <c r="X18" s="13">
        <f>_xll.BDH("GILD US Equity","OTHER_CURRENT_ASSETS_DETAILED","FQ1 2024","FQ1 2024","Currency=USD","Period=FQ","BEST_FPERIOD_OVERRIDE=FQ","FILING_STATUS=MR","SCALING_FORMAT=MLN","Sort=A","Dates=H","DateFormat=P","Fill=—","Direction=H","UseDPDF=Y")</f>
        <v>2801</v>
      </c>
      <c r="Y18" s="13">
        <f>_xll.BDH("GILD US Equity","OTHER_CURRENT_ASSETS_DETAILED","FQ2 2024","FQ2 2024","Currency=USD","Period=FQ","BEST_FPERIOD_OVERRIDE=FQ","FILING_STATUS=MR","SCALING_FORMAT=MLN","Sort=A","Dates=H","DateFormat=P","Fill=—","Direction=H","UseDPDF=Y")</f>
        <v>2856</v>
      </c>
      <c r="Z18" s="13">
        <f>_xll.BDH("GILD US Equity","OTHER_CURRENT_ASSETS_DETAILED","FQ3 2024","FQ3 2024","Currency=USD","Period=FQ","BEST_FPERIOD_OVERRIDE=FQ","FILING_STATUS=MR","SCALING_FORMAT=MLN","Sort=A","Dates=H","DateFormat=P","Fill=—","Direction=H","UseDPDF=Y")</f>
        <v>3286</v>
      </c>
      <c r="AA18" s="13">
        <f>_xll.BDH("GILD US Equity","OTHER_CURRENT_ASSETS_DETAILED","FQ4 2024","FQ4 2024","Currency=USD","Period=FQ","BEST_FPERIOD_OVERRIDE=FQ","FILING_STATUS=MR","SCALING_FORMAT=MLN","Sort=A","Dates=H","DateFormat=P","Fill=—","Direction=H","UseDPDF=Y")</f>
        <v>3052</v>
      </c>
    </row>
    <row r="19" spans="1:27" x14ac:dyDescent="0.25">
      <c r="A19" s="10" t="s">
        <v>768</v>
      </c>
      <c r="B19" s="10" t="s">
        <v>769</v>
      </c>
      <c r="C19" s="13">
        <f>_xll.BDH("GILD US Equity","BS_DERIV_HEDGING_ASST_ST","FQ4 2018","FQ4 2018","Currency=USD","Period=FQ","BEST_FPERIOD_OVERRIDE=FQ","FILING_STATUS=MR","SCALING_FORMAT=MLN","Sort=A","Dates=H","DateFormat=P","Fill=—","Direction=H","UseDPDF=Y")</f>
        <v>73</v>
      </c>
      <c r="D19" s="13">
        <f>_xll.BDH("GILD US Equity","BS_DERIV_HEDGING_ASST_ST","FQ1 2019","FQ1 2019","Currency=USD","Period=FQ","BEST_FPERIOD_OVERRIDE=FQ","FILING_STATUS=MR","SCALING_FORMAT=MLN","Sort=A","Dates=H","DateFormat=P","Fill=—","Direction=H","UseDPDF=Y")</f>
        <v>74</v>
      </c>
      <c r="E19" s="13">
        <f>_xll.BDH("GILD US Equity","BS_DERIV_HEDGING_ASST_ST","FQ2 2019","FQ2 2019","Currency=USD","Period=FQ","BEST_FPERIOD_OVERRIDE=FQ","FILING_STATUS=MR","SCALING_FORMAT=MLN","Sort=A","Dates=H","DateFormat=P","Fill=—","Direction=H","UseDPDF=Y")</f>
        <v>47</v>
      </c>
      <c r="F19" s="13">
        <f>_xll.BDH("GILD US Equity","BS_DERIV_HEDGING_ASST_ST","FQ3 2019","FQ3 2019","Currency=USD","Period=FQ","BEST_FPERIOD_OVERRIDE=FQ","FILING_STATUS=MR","SCALING_FORMAT=MLN","Sort=A","Dates=H","DateFormat=P","Fill=—","Direction=H","UseDPDF=Y")</f>
        <v>75</v>
      </c>
      <c r="G19" s="13">
        <f>_xll.BDH("GILD US Equity","BS_DERIV_HEDGING_ASST_ST","FQ4 2019","FQ4 2019","Currency=USD","Period=FQ","BEST_FPERIOD_OVERRIDE=FQ","FILING_STATUS=MR","SCALING_FORMAT=MLN","Sort=A","Dates=H","DateFormat=P","Fill=—","Direction=H","UseDPDF=Y")</f>
        <v>37</v>
      </c>
      <c r="H19" s="13">
        <f>_xll.BDH("GILD US Equity","BS_DERIV_HEDGING_ASST_ST","FQ1 2020","FQ1 2020","Currency=USD","Period=FQ","BEST_FPERIOD_OVERRIDE=FQ","FILING_STATUS=MR","SCALING_FORMAT=MLN","Sort=A","Dates=H","DateFormat=P","Fill=—","Direction=H","UseDPDF=Y")</f>
        <v>69</v>
      </c>
      <c r="I19" s="13">
        <f>_xll.BDH("GILD US Equity","BS_DERIV_HEDGING_ASST_ST","FQ2 2020","FQ2 2020","Currency=USD","Period=FQ","BEST_FPERIOD_OVERRIDE=FQ","FILING_STATUS=MR","SCALING_FORMAT=MLN","Sort=A","Dates=H","DateFormat=P","Fill=—","Direction=H","UseDPDF=Y")</f>
        <v>20</v>
      </c>
      <c r="J19" s="13">
        <f>_xll.BDH("GILD US Equity","BS_DERIV_HEDGING_ASST_ST","FQ3 2020","FQ3 2020","Currency=USD","Period=FQ","BEST_FPERIOD_OVERRIDE=FQ","FILING_STATUS=MR","SCALING_FORMAT=MLN","Sort=A","Dates=H","DateFormat=P","Fill=—","Direction=H","UseDPDF=Y")</f>
        <v>4</v>
      </c>
      <c r="K19" s="13">
        <f>_xll.BDH("GILD US Equity","BS_DERIV_HEDGING_ASST_ST","FQ4 2020","FQ4 2020","Currency=USD","Period=FQ","BEST_FPERIOD_OVERRIDE=FQ","FILING_STATUS=MR","SCALING_FORMAT=MLN","Sort=A","Dates=H","DateFormat=P","Fill=—","Direction=H","UseDPDF=Y")</f>
        <v>12</v>
      </c>
      <c r="L19" s="13">
        <f>_xll.BDH("GILD US Equity","BS_DERIV_HEDGING_ASST_ST","FQ1 2021","FQ1 2021","Currency=USD","Period=FQ","BEST_FPERIOD_OVERRIDE=FQ","FILING_STATUS=MR","SCALING_FORMAT=MLN","Sort=A","Dates=H","DateFormat=P","Fill=—","Direction=H","UseDPDF=Y")</f>
        <v>32</v>
      </c>
      <c r="M19" s="13">
        <f>_xll.BDH("GILD US Equity","BS_DERIV_HEDGING_ASST_ST","FQ2 2021","FQ2 2021","Currency=USD","Period=FQ","BEST_FPERIOD_OVERRIDE=FQ","FILING_STATUS=MR","SCALING_FORMAT=MLN","Sort=A","Dates=H","DateFormat=P","Fill=—","Direction=H","UseDPDF=Y")</f>
        <v>28</v>
      </c>
      <c r="N19" s="13">
        <f>_xll.BDH("GILD US Equity","BS_DERIV_HEDGING_ASST_ST","FQ3 2021","FQ3 2021","Currency=USD","Period=FQ","BEST_FPERIOD_OVERRIDE=FQ","FILING_STATUS=MR","SCALING_FORMAT=MLN","Sort=A","Dates=H","DateFormat=P","Fill=—","Direction=H","UseDPDF=Y")</f>
        <v>55</v>
      </c>
      <c r="O19" s="13">
        <f>_xll.BDH("GILD US Equity","BS_DERIV_HEDGING_ASST_ST","FQ4 2021","FQ4 2021","Currency=USD","Period=FQ","BEST_FPERIOD_OVERRIDE=FQ","FILING_STATUS=MR","SCALING_FORMAT=MLN","Sort=A","Dates=H","DateFormat=P","Fill=—","Direction=H","UseDPDF=Y")</f>
        <v>80</v>
      </c>
      <c r="P19" s="13">
        <f>_xll.BDH("GILD US Equity","BS_DERIV_HEDGING_ASST_ST","FQ1 2022","FQ1 2022","Currency=USD","Period=FQ","BEST_FPERIOD_OVERRIDE=FQ","FILING_STATUS=MR","SCALING_FORMAT=MLN","Sort=A","Dates=H","DateFormat=P","Fill=—","Direction=H","UseDPDF=Y")</f>
        <v>80</v>
      </c>
      <c r="Q19" s="13">
        <f>_xll.BDH("GILD US Equity","BS_DERIV_HEDGING_ASST_ST","FQ2 2022","FQ2 2022","Currency=USD","Period=FQ","BEST_FPERIOD_OVERRIDE=FQ","FILING_STATUS=MR","SCALING_FORMAT=MLN","Sort=A","Dates=H","DateFormat=P","Fill=—","Direction=H","UseDPDF=Y")</f>
        <v>132</v>
      </c>
      <c r="R19" s="13">
        <f>_xll.BDH("GILD US Equity","BS_DERIV_HEDGING_ASST_ST","FQ3 2022","FQ3 2022","Currency=USD","Period=FQ","BEST_FPERIOD_OVERRIDE=FQ","FILING_STATUS=MR","SCALING_FORMAT=MLN","Sort=A","Dates=H","DateFormat=P","Fill=—","Direction=H","UseDPDF=Y")</f>
        <v>232</v>
      </c>
      <c r="S19" s="13">
        <f>_xll.BDH("GILD US Equity","BS_DERIV_HEDGING_ASST_ST","FQ4 2022","FQ4 2022","Currency=USD","Period=FQ","BEST_FPERIOD_OVERRIDE=FQ","FILING_STATUS=MR","SCALING_FORMAT=MLN","Sort=A","Dates=H","DateFormat=P","Fill=—","Direction=H","UseDPDF=Y")</f>
        <v>59</v>
      </c>
      <c r="T19" s="13" t="str">
        <f>_xll.BDH("GILD US Equity","BS_DERIV_HEDGING_ASST_ST","FQ1 2023","FQ1 2023","Currency=USD","Period=FQ","BEST_FPERIOD_OVERRIDE=FQ","FILING_STATUS=MR","SCALING_FORMAT=MLN","Sort=A","Dates=H","DateFormat=P","Fill=—","Direction=H","UseDPDF=Y")</f>
        <v>—</v>
      </c>
      <c r="U19" s="13" t="str">
        <f>_xll.BDH("GILD US Equity","BS_DERIV_HEDGING_ASST_ST","FQ2 2023","FQ2 2023","Currency=USD","Period=FQ","BEST_FPERIOD_OVERRIDE=FQ","FILING_STATUS=MR","SCALING_FORMAT=MLN","Sort=A","Dates=H","DateFormat=P","Fill=—","Direction=H","UseDPDF=Y")</f>
        <v>—</v>
      </c>
      <c r="V19" s="13">
        <f>_xll.BDH("GILD US Equity","BS_DERIV_HEDGING_ASST_ST","FQ3 2023","FQ3 2023","Currency=USD","Period=FQ","BEST_FPERIOD_OVERRIDE=FQ","FILING_STATUS=MR","SCALING_FORMAT=MLN","Sort=A","Dates=H","DateFormat=P","Fill=—","Direction=H","UseDPDF=Y")</f>
        <v>57</v>
      </c>
      <c r="W19" s="13">
        <f>_xll.BDH("GILD US Equity","BS_DERIV_HEDGING_ASST_ST","FQ4 2023","FQ4 2023","Currency=USD","Period=FQ","BEST_FPERIOD_OVERRIDE=FQ","FILING_STATUS=MR","SCALING_FORMAT=MLN","Sort=A","Dates=H","DateFormat=P","Fill=—","Direction=H","UseDPDF=Y")</f>
        <v>6</v>
      </c>
      <c r="X19" s="13" t="str">
        <f>_xll.BDH("GILD US Equity","BS_DERIV_HEDGING_ASST_ST","FQ1 2024","FQ1 2024","Currency=USD","Period=FQ","BEST_FPERIOD_OVERRIDE=FQ","FILING_STATUS=MR","SCALING_FORMAT=MLN","Sort=A","Dates=H","DateFormat=P","Fill=—","Direction=H","UseDPDF=Y")</f>
        <v>—</v>
      </c>
      <c r="Y19" s="13" t="str">
        <f>_xll.BDH("GILD US Equity","BS_DERIV_HEDGING_ASST_ST","FQ2 2024","FQ2 2024","Currency=USD","Period=FQ","BEST_FPERIOD_OVERRIDE=FQ","FILING_STATUS=MR","SCALING_FORMAT=MLN","Sort=A","Dates=H","DateFormat=P","Fill=—","Direction=H","UseDPDF=Y")</f>
        <v>—</v>
      </c>
      <c r="Z19" s="13">
        <f>_xll.BDH("GILD US Equity","BS_DERIV_HEDGING_ASST_ST","FQ3 2024","FQ3 2024","Currency=USD","Period=FQ","BEST_FPERIOD_OVERRIDE=FQ","FILING_STATUS=MR","SCALING_FORMAT=MLN","Sort=A","Dates=H","DateFormat=P","Fill=—","Direction=H","UseDPDF=Y")</f>
        <v>7</v>
      </c>
      <c r="AA19" s="13">
        <f>_xll.BDH("GILD US Equity","BS_DERIV_HEDGING_ASST_ST","FQ4 2024","FQ4 2024","Currency=USD","Period=FQ","BEST_FPERIOD_OVERRIDE=FQ","FILING_STATUS=MR","SCALING_FORMAT=MLN","Sort=A","Dates=H","DateFormat=P","Fill=—","Direction=H","UseDPDF=Y")</f>
        <v>128</v>
      </c>
    </row>
    <row r="20" spans="1:27" x14ac:dyDescent="0.25">
      <c r="A20" s="10" t="s">
        <v>770</v>
      </c>
      <c r="B20" s="10" t="s">
        <v>771</v>
      </c>
      <c r="C20" s="13" t="str">
        <f>_xll.BDH("GILD US Equity","BS_DEFERRED_TAX_ASSETS_ST","FQ4 2018","FQ4 2018","Currency=USD","Period=FQ","BEST_FPERIOD_OVERRIDE=FQ","FILING_STATUS=MR","SCALING_FORMAT=MLN","Sort=A","Dates=H","DateFormat=P","Fill=—","Direction=H","UseDPDF=Y")</f>
        <v>—</v>
      </c>
      <c r="D20" s="13" t="str">
        <f>_xll.BDH("GILD US Equity","BS_DEFERRED_TAX_ASSETS_ST","FQ1 2019","FQ1 2019","Currency=USD","Period=FQ","BEST_FPERIOD_OVERRIDE=FQ","FILING_STATUS=MR","SCALING_FORMAT=MLN","Sort=A","Dates=H","DateFormat=P","Fill=—","Direction=H","UseDPDF=Y")</f>
        <v>—</v>
      </c>
      <c r="E20" s="13" t="str">
        <f>_xll.BDH("GILD US Equity","BS_DEFERRED_TAX_ASSETS_ST","FQ2 2019","FQ2 2019","Currency=USD","Period=FQ","BEST_FPERIOD_OVERRIDE=FQ","FILING_STATUS=MR","SCALING_FORMAT=MLN","Sort=A","Dates=H","DateFormat=P","Fill=—","Direction=H","UseDPDF=Y")</f>
        <v>—</v>
      </c>
      <c r="F20" s="13">
        <f>_xll.BDH("GILD US Equity","BS_DEFERRED_TAX_ASSETS_ST","FQ3 2019","FQ3 2019","Currency=USD","Period=FQ","BEST_FPERIOD_OVERRIDE=FQ","FILING_STATUS=MR","SCALING_FORMAT=MLN","Sort=A","Dates=H","DateFormat=P","Fill=—","Direction=H","UseDPDF=Y")</f>
        <v>0</v>
      </c>
      <c r="G20" s="13" t="str">
        <f>_xll.BDH("GILD US Equity","BS_DEFERRED_TAX_ASSETS_ST","FQ4 2019","FQ4 2019","Currency=USD","Period=FQ","BEST_FPERIOD_OVERRIDE=FQ","FILING_STATUS=MR","SCALING_FORMAT=MLN","Sort=A","Dates=H","DateFormat=P","Fill=—","Direction=H","UseDPDF=Y")</f>
        <v>—</v>
      </c>
      <c r="H20" s="13" t="str">
        <f>_xll.BDH("GILD US Equity","BS_DEFERRED_TAX_ASSETS_ST","FQ1 2020","FQ1 2020","Currency=USD","Period=FQ","BEST_FPERIOD_OVERRIDE=FQ","FILING_STATUS=MR","SCALING_FORMAT=MLN","Sort=A","Dates=H","DateFormat=P","Fill=—","Direction=H","UseDPDF=Y")</f>
        <v>—</v>
      </c>
      <c r="I20" s="13" t="str">
        <f>_xll.BDH("GILD US Equity","BS_DEFERRED_TAX_ASSETS_ST","FQ2 2020","FQ2 2020","Currency=USD","Period=FQ","BEST_FPERIOD_OVERRIDE=FQ","FILING_STATUS=MR","SCALING_FORMAT=MLN","Sort=A","Dates=H","DateFormat=P","Fill=—","Direction=H","UseDPDF=Y")</f>
        <v>—</v>
      </c>
      <c r="J20" s="13">
        <f>_xll.BDH("GILD US Equity","BS_DEFERRED_TAX_ASSETS_ST","FQ3 2020","FQ3 2020","Currency=USD","Period=FQ","BEST_FPERIOD_OVERRIDE=FQ","FILING_STATUS=MR","SCALING_FORMAT=MLN","Sort=A","Dates=H","DateFormat=P","Fill=—","Direction=H","UseDPDF=Y")</f>
        <v>0</v>
      </c>
      <c r="K20" s="13">
        <f>_xll.BDH("GILD US Equity","BS_DEFERRED_TAX_ASSETS_ST","FQ4 2020","FQ4 2020","Currency=USD","Period=FQ","BEST_FPERIOD_OVERRIDE=FQ","FILING_STATUS=MR","SCALING_FORMAT=MLN","Sort=A","Dates=H","DateFormat=P","Fill=—","Direction=H","UseDPDF=Y")</f>
        <v>0</v>
      </c>
      <c r="L20" s="13" t="str">
        <f>_xll.BDH("GILD US Equity","BS_DEFERRED_TAX_ASSETS_ST","FQ1 2021","FQ1 2021","Currency=USD","Period=FQ","BEST_FPERIOD_OVERRIDE=FQ","FILING_STATUS=MR","SCALING_FORMAT=MLN","Sort=A","Dates=H","DateFormat=P","Fill=—","Direction=H","UseDPDF=Y")</f>
        <v>—</v>
      </c>
      <c r="M20" s="13" t="str">
        <f>_xll.BDH("GILD US Equity","BS_DEFERRED_TAX_ASSETS_ST","FQ2 2021","FQ2 2021","Currency=USD","Period=FQ","BEST_FPERIOD_OVERRIDE=FQ","FILING_STATUS=MR","SCALING_FORMAT=MLN","Sort=A","Dates=H","DateFormat=P","Fill=—","Direction=H","UseDPDF=Y")</f>
        <v>—</v>
      </c>
      <c r="N20" s="13">
        <f>_xll.BDH("GILD US Equity","BS_DEFERRED_TAX_ASSETS_ST","FQ3 2021","FQ3 2021","Currency=USD","Period=FQ","BEST_FPERIOD_OVERRIDE=FQ","FILING_STATUS=MR","SCALING_FORMAT=MLN","Sort=A","Dates=H","DateFormat=P","Fill=—","Direction=H","UseDPDF=Y")</f>
        <v>0</v>
      </c>
      <c r="O20" s="13">
        <f>_xll.BDH("GILD US Equity","BS_DEFERRED_TAX_ASSETS_ST","FQ4 2021","FQ4 2021","Currency=USD","Period=FQ","BEST_FPERIOD_OVERRIDE=FQ","FILING_STATUS=MR","SCALING_FORMAT=MLN","Sort=A","Dates=H","DateFormat=P","Fill=—","Direction=H","UseDPDF=Y")</f>
        <v>0</v>
      </c>
      <c r="P20" s="13" t="str">
        <f>_xll.BDH("GILD US Equity","BS_DEFERRED_TAX_ASSETS_ST","FQ1 2022","FQ1 2022","Currency=USD","Period=FQ","BEST_FPERIOD_OVERRIDE=FQ","FILING_STATUS=MR","SCALING_FORMAT=MLN","Sort=A","Dates=H","DateFormat=P","Fill=—","Direction=H","UseDPDF=Y")</f>
        <v>—</v>
      </c>
      <c r="Q20" s="13" t="str">
        <f>_xll.BDH("GILD US Equity","BS_DEFERRED_TAX_ASSETS_ST","FQ2 2022","FQ2 2022","Currency=USD","Period=FQ","BEST_FPERIOD_OVERRIDE=FQ","FILING_STATUS=MR","SCALING_FORMAT=MLN","Sort=A","Dates=H","DateFormat=P","Fill=—","Direction=H","UseDPDF=Y")</f>
        <v>—</v>
      </c>
      <c r="R20" s="13">
        <f>_xll.BDH("GILD US Equity","BS_DEFERRED_TAX_ASSETS_ST","FQ3 2022","FQ3 2022","Currency=USD","Period=FQ","BEST_FPERIOD_OVERRIDE=FQ","FILING_STATUS=MR","SCALING_FORMAT=MLN","Sort=A","Dates=H","DateFormat=P","Fill=—","Direction=H","UseDPDF=Y")</f>
        <v>0</v>
      </c>
      <c r="S20" s="13" t="str">
        <f>_xll.BDH("GILD US Equity","BS_DEFERRED_TAX_ASSETS_ST","FQ4 2022","FQ4 2022","Currency=USD","Period=FQ","BEST_FPERIOD_OVERRIDE=FQ","FILING_STATUS=MR","SCALING_FORMAT=MLN","Sort=A","Dates=H","DateFormat=P","Fill=—","Direction=H","UseDPDF=Y")</f>
        <v>—</v>
      </c>
      <c r="T20" s="13" t="str">
        <f>_xll.BDH("GILD US Equity","BS_DEFERRED_TAX_ASSETS_ST","FQ1 2023","FQ1 2023","Currency=USD","Period=FQ","BEST_FPERIOD_OVERRIDE=FQ","FILING_STATUS=MR","SCALING_FORMAT=MLN","Sort=A","Dates=H","DateFormat=P","Fill=—","Direction=H","UseDPDF=Y")</f>
        <v>—</v>
      </c>
      <c r="U20" s="13" t="str">
        <f>_xll.BDH("GILD US Equity","BS_DEFERRED_TAX_ASSETS_ST","FQ2 2023","FQ2 2023","Currency=USD","Period=FQ","BEST_FPERIOD_OVERRIDE=FQ","FILING_STATUS=MR","SCALING_FORMAT=MLN","Sort=A","Dates=H","DateFormat=P","Fill=—","Direction=H","UseDPDF=Y")</f>
        <v>—</v>
      </c>
      <c r="V20" s="13" t="str">
        <f>_xll.BDH("GILD US Equity","BS_DEFERRED_TAX_ASSETS_ST","FQ3 2023","FQ3 2023","Currency=USD","Period=FQ","BEST_FPERIOD_OVERRIDE=FQ","FILING_STATUS=MR","SCALING_FORMAT=MLN","Sort=A","Dates=H","DateFormat=P","Fill=—","Direction=H","UseDPDF=Y")</f>
        <v>—</v>
      </c>
      <c r="W20" s="13" t="str">
        <f>_xll.BDH("GILD US Equity","BS_DEFERRED_TAX_ASSETS_ST","FQ4 2023","FQ4 2023","Currency=USD","Period=FQ","BEST_FPERIOD_OVERRIDE=FQ","FILING_STATUS=MR","SCALING_FORMAT=MLN","Sort=A","Dates=H","DateFormat=P","Fill=—","Direction=H","UseDPDF=Y")</f>
        <v>—</v>
      </c>
      <c r="X20" s="13" t="str">
        <f>_xll.BDH("GILD US Equity","BS_DEFERRED_TAX_ASSETS_ST","FQ1 2024","FQ1 2024","Currency=USD","Period=FQ","BEST_FPERIOD_OVERRIDE=FQ","FILING_STATUS=MR","SCALING_FORMAT=MLN","Sort=A","Dates=H","DateFormat=P","Fill=—","Direction=H","UseDPDF=Y")</f>
        <v>—</v>
      </c>
      <c r="Y20" s="13" t="str">
        <f>_xll.BDH("GILD US Equity","BS_DEFERRED_TAX_ASSETS_ST","FQ2 2024","FQ2 2024","Currency=USD","Period=FQ","BEST_FPERIOD_OVERRIDE=FQ","FILING_STATUS=MR","SCALING_FORMAT=MLN","Sort=A","Dates=H","DateFormat=P","Fill=—","Direction=H","UseDPDF=Y")</f>
        <v>—</v>
      </c>
      <c r="Z20" s="13" t="str">
        <f>_xll.BDH("GILD US Equity","BS_DEFERRED_TAX_ASSETS_ST","FQ3 2024","FQ3 2024","Currency=USD","Period=FQ","BEST_FPERIOD_OVERRIDE=FQ","FILING_STATUS=MR","SCALING_FORMAT=MLN","Sort=A","Dates=H","DateFormat=P","Fill=—","Direction=H","UseDPDF=Y")</f>
        <v>—</v>
      </c>
      <c r="AA20" s="13" t="str">
        <f>_xll.BDH("GILD US Equity","BS_DEFERRED_TAX_ASSETS_ST","FQ4 2024","FQ4 2024","Currency=USD","Period=FQ","BEST_FPERIOD_OVERRIDE=FQ","FILING_STATUS=MR","SCALING_FORMAT=MLN","Sort=A","Dates=H","DateFormat=P","Fill=—","Direction=H","UseDPDF=Y")</f>
        <v>—</v>
      </c>
    </row>
    <row r="21" spans="1:27" x14ac:dyDescent="0.25">
      <c r="A21" s="10" t="s">
        <v>772</v>
      </c>
      <c r="B21" s="10" t="s">
        <v>773</v>
      </c>
      <c r="C21" s="13">
        <f>_xll.BDH("GILD US Equity","BS_OTHER_CUR_ASSET_LESS_PREPAY","FQ4 2018","FQ4 2018","Currency=USD","Period=FQ","BEST_FPERIOD_OVERRIDE=FQ","FILING_STATUS=MR","SCALING_FORMAT=MLN","Sort=A","Dates=H","DateFormat=P","Fill=—","Direction=H","UseDPDF=Y")</f>
        <v>1533</v>
      </c>
      <c r="D21" s="13">
        <f>_xll.BDH("GILD US Equity","BS_OTHER_CUR_ASSET_LESS_PREPAY","FQ1 2019","FQ1 2019","Currency=USD","Period=FQ","BEST_FPERIOD_OVERRIDE=FQ","FILING_STATUS=MR","SCALING_FORMAT=MLN","Sort=A","Dates=H","DateFormat=P","Fill=—","Direction=H","UseDPDF=Y")</f>
        <v>1865</v>
      </c>
      <c r="E21" s="13">
        <f>_xll.BDH("GILD US Equity","BS_OTHER_CUR_ASSET_LESS_PREPAY","FQ2 2019","FQ2 2019","Currency=USD","Period=FQ","BEST_FPERIOD_OVERRIDE=FQ","FILING_STATUS=MR","SCALING_FORMAT=MLN","Sort=A","Dates=H","DateFormat=P","Fill=—","Direction=H","UseDPDF=Y")</f>
        <v>2217</v>
      </c>
      <c r="F21" s="13">
        <f>_xll.BDH("GILD US Equity","BS_OTHER_CUR_ASSET_LESS_PREPAY","FQ3 2019","FQ3 2019","Currency=USD","Period=FQ","BEST_FPERIOD_OVERRIDE=FQ","FILING_STATUS=MR","SCALING_FORMAT=MLN","Sort=A","Dates=H","DateFormat=P","Fill=—","Direction=H","UseDPDF=Y")</f>
        <v>1233</v>
      </c>
      <c r="G21" s="13">
        <f>_xll.BDH("GILD US Equity","BS_OTHER_CUR_ASSET_LESS_PREPAY","FQ4 2019","FQ4 2019","Currency=USD","Period=FQ","BEST_FPERIOD_OVERRIDE=FQ","FILING_STATUS=MR","SCALING_FORMAT=MLN","Sort=A","Dates=H","DateFormat=P","Fill=—","Direction=H","UseDPDF=Y")</f>
        <v>1403</v>
      </c>
      <c r="H21" s="13">
        <f>_xll.BDH("GILD US Equity","BS_OTHER_CUR_ASSET_LESS_PREPAY","FQ1 2020","FQ1 2020","Currency=USD","Period=FQ","BEST_FPERIOD_OVERRIDE=FQ","FILING_STATUS=MR","SCALING_FORMAT=MLN","Sort=A","Dates=H","DateFormat=P","Fill=—","Direction=H","UseDPDF=Y")</f>
        <v>1203</v>
      </c>
      <c r="I21" s="13">
        <f>_xll.BDH("GILD US Equity","BS_OTHER_CUR_ASSET_LESS_PREPAY","FQ2 2020","FQ2 2020","Currency=USD","Period=FQ","BEST_FPERIOD_OVERRIDE=FQ","FILING_STATUS=MR","SCALING_FORMAT=MLN","Sort=A","Dates=H","DateFormat=P","Fill=—","Direction=H","UseDPDF=Y")</f>
        <v>1463</v>
      </c>
      <c r="J21" s="13">
        <f>_xll.BDH("GILD US Equity","BS_OTHER_CUR_ASSET_LESS_PREPAY","FQ3 2020","FQ3 2020","Currency=USD","Period=FQ","BEST_FPERIOD_OVERRIDE=FQ","FILING_STATUS=MR","SCALING_FORMAT=MLN","Sort=A","Dates=H","DateFormat=P","Fill=—","Direction=H","UseDPDF=Y")</f>
        <v>2026</v>
      </c>
      <c r="K21" s="13">
        <f>_xll.BDH("GILD US Equity","BS_OTHER_CUR_ASSET_LESS_PREPAY","FQ4 2020","FQ4 2020","Currency=USD","Period=FQ","BEST_FPERIOD_OVERRIDE=FQ","FILING_STATUS=MR","SCALING_FORMAT=MLN","Sort=A","Dates=H","DateFormat=P","Fill=—","Direction=H","UseDPDF=Y")</f>
        <v>2001</v>
      </c>
      <c r="L21" s="13">
        <f>_xll.BDH("GILD US Equity","BS_OTHER_CUR_ASSET_LESS_PREPAY","FQ1 2021","FQ1 2021","Currency=USD","Period=FQ","BEST_FPERIOD_OVERRIDE=FQ","FILING_STATUS=MR","SCALING_FORMAT=MLN","Sort=A","Dates=H","DateFormat=P","Fill=—","Direction=H","UseDPDF=Y")</f>
        <v>1876</v>
      </c>
      <c r="M21" s="13">
        <f>_xll.BDH("GILD US Equity","BS_OTHER_CUR_ASSET_LESS_PREPAY","FQ2 2021","FQ2 2021","Currency=USD","Period=FQ","BEST_FPERIOD_OVERRIDE=FQ","FILING_STATUS=MR","SCALING_FORMAT=MLN","Sort=A","Dates=H","DateFormat=P","Fill=—","Direction=H","UseDPDF=Y")</f>
        <v>1451</v>
      </c>
      <c r="N21" s="13">
        <f>_xll.BDH("GILD US Equity","BS_OTHER_CUR_ASSET_LESS_PREPAY","FQ3 2021","FQ3 2021","Currency=USD","Period=FQ","BEST_FPERIOD_OVERRIDE=FQ","FILING_STATUS=MR","SCALING_FORMAT=MLN","Sort=A","Dates=H","DateFormat=P","Fill=—","Direction=H","UseDPDF=Y")</f>
        <v>1956</v>
      </c>
      <c r="O21" s="13">
        <f>_xll.BDH("GILD US Equity","BS_OTHER_CUR_ASSET_LESS_PREPAY","FQ4 2021","FQ4 2021","Currency=USD","Period=FQ","BEST_FPERIOD_OVERRIDE=FQ","FILING_STATUS=MR","SCALING_FORMAT=MLN","Sort=A","Dates=H","DateFormat=P","Fill=—","Direction=H","UseDPDF=Y")</f>
        <v>2061</v>
      </c>
      <c r="P21" s="13">
        <f>_xll.BDH("GILD US Equity","BS_OTHER_CUR_ASSET_LESS_PREPAY","FQ1 2022","FQ1 2022","Currency=USD","Period=FQ","BEST_FPERIOD_OVERRIDE=FQ","FILING_STATUS=MR","SCALING_FORMAT=MLN","Sort=A","Dates=H","DateFormat=P","Fill=—","Direction=H","UseDPDF=Y")</f>
        <v>1955</v>
      </c>
      <c r="Q21" s="13">
        <f>_xll.BDH("GILD US Equity","BS_OTHER_CUR_ASSET_LESS_PREPAY","FQ2 2022","FQ2 2022","Currency=USD","Period=FQ","BEST_FPERIOD_OVERRIDE=FQ","FILING_STATUS=MR","SCALING_FORMAT=MLN","Sort=A","Dates=H","DateFormat=P","Fill=—","Direction=H","UseDPDF=Y")</f>
        <v>1769</v>
      </c>
      <c r="R21" s="13">
        <f>_xll.BDH("GILD US Equity","BS_OTHER_CUR_ASSET_LESS_PREPAY","FQ3 2022","FQ3 2022","Currency=USD","Period=FQ","BEST_FPERIOD_OVERRIDE=FQ","FILING_STATUS=MR","SCALING_FORMAT=MLN","Sort=A","Dates=H","DateFormat=P","Fill=—","Direction=H","UseDPDF=Y")</f>
        <v>1845</v>
      </c>
      <c r="S21" s="13">
        <f>_xll.BDH("GILD US Equity","BS_OTHER_CUR_ASSET_LESS_PREPAY","FQ4 2022","FQ4 2022","Currency=USD","Period=FQ","BEST_FPERIOD_OVERRIDE=FQ","FILING_STATUS=MR","SCALING_FORMAT=MLN","Sort=A","Dates=H","DateFormat=P","Fill=—","Direction=H","UseDPDF=Y")</f>
        <v>1715</v>
      </c>
      <c r="T21" s="13">
        <f>_xll.BDH("GILD US Equity","BS_OTHER_CUR_ASSET_LESS_PREPAY","FQ1 2023","FQ1 2023","Currency=USD","Period=FQ","BEST_FPERIOD_OVERRIDE=FQ","FILING_STATUS=MR","SCALING_FORMAT=MLN","Sort=A","Dates=H","DateFormat=P","Fill=—","Direction=H","UseDPDF=Y")</f>
        <v>1846</v>
      </c>
      <c r="U21" s="13">
        <f>_xll.BDH("GILD US Equity","BS_OTHER_CUR_ASSET_LESS_PREPAY","FQ2 2023","FQ2 2023","Currency=USD","Period=FQ","BEST_FPERIOD_OVERRIDE=FQ","FILING_STATUS=MR","SCALING_FORMAT=MLN","Sort=A","Dates=H","DateFormat=P","Fill=—","Direction=H","UseDPDF=Y")</f>
        <v>1758</v>
      </c>
      <c r="V21" s="13">
        <f>_xll.BDH("GILD US Equity","BS_OTHER_CUR_ASSET_LESS_PREPAY","FQ3 2023","FQ3 2023","Currency=USD","Period=FQ","BEST_FPERIOD_OVERRIDE=FQ","FILING_STATUS=MR","SCALING_FORMAT=MLN","Sort=A","Dates=H","DateFormat=P","Fill=—","Direction=H","UseDPDF=Y")</f>
        <v>2605</v>
      </c>
      <c r="W21" s="13">
        <f>_xll.BDH("GILD US Equity","BS_OTHER_CUR_ASSET_LESS_PREPAY","FQ4 2023","FQ4 2023","Currency=USD","Period=FQ","BEST_FPERIOD_OVERRIDE=FQ","FILING_STATUS=MR","SCALING_FORMAT=MLN","Sort=A","Dates=H","DateFormat=P","Fill=—","Direction=H","UseDPDF=Y")</f>
        <v>2368</v>
      </c>
      <c r="X21" s="13">
        <f>_xll.BDH("GILD US Equity","BS_OTHER_CUR_ASSET_LESS_PREPAY","FQ1 2024","FQ1 2024","Currency=USD","Period=FQ","BEST_FPERIOD_OVERRIDE=FQ","FILING_STATUS=MR","SCALING_FORMAT=MLN","Sort=A","Dates=H","DateFormat=P","Fill=—","Direction=H","UseDPDF=Y")</f>
        <v>2801</v>
      </c>
      <c r="Y21" s="13">
        <f>_xll.BDH("GILD US Equity","BS_OTHER_CUR_ASSET_LESS_PREPAY","FQ2 2024","FQ2 2024","Currency=USD","Period=FQ","BEST_FPERIOD_OVERRIDE=FQ","FILING_STATUS=MR","SCALING_FORMAT=MLN","Sort=A","Dates=H","DateFormat=P","Fill=—","Direction=H","UseDPDF=Y")</f>
        <v>2856</v>
      </c>
      <c r="Z21" s="13">
        <f>_xll.BDH("GILD US Equity","BS_OTHER_CUR_ASSET_LESS_PREPAY","FQ3 2024","FQ3 2024","Currency=USD","Period=FQ","BEST_FPERIOD_OVERRIDE=FQ","FILING_STATUS=MR","SCALING_FORMAT=MLN","Sort=A","Dates=H","DateFormat=P","Fill=—","Direction=H","UseDPDF=Y")</f>
        <v>3279</v>
      </c>
      <c r="AA21" s="13">
        <f>_xll.BDH("GILD US Equity","BS_OTHER_CUR_ASSET_LESS_PREPAY","FQ4 2024","FQ4 2024","Currency=USD","Period=FQ","BEST_FPERIOD_OVERRIDE=FQ","FILING_STATUS=MR","SCALING_FORMAT=MLN","Sort=A","Dates=H","DateFormat=P","Fill=—","Direction=H","UseDPDF=Y")</f>
        <v>2924</v>
      </c>
    </row>
    <row r="22" spans="1:27" x14ac:dyDescent="0.25">
      <c r="A22" s="6" t="s">
        <v>110</v>
      </c>
      <c r="B22" s="6" t="s">
        <v>111</v>
      </c>
      <c r="C22" s="19">
        <f>_xll.BDH("GILD US Equity","BS_CUR_ASSET_REPORT","FQ4 2018","FQ4 2018","Currency=USD","Period=FQ","BEST_FPERIOD_OVERRIDE=FQ","FILING_STATUS=MR","SCALING_FORMAT=MLN","Sort=A","Dates=H","DateFormat=P","Fill=—","Direction=H","UseDPDF=Y")</f>
        <v>35836</v>
      </c>
      <c r="D22" s="19">
        <f>_xll.BDH("GILD US Equity","BS_CUR_ASSET_REPORT","FQ1 2019","FQ1 2019","Currency=USD","Period=FQ","BEST_FPERIOD_OVERRIDE=FQ","FILING_STATUS=MR","SCALING_FORMAT=MLN","Sort=A","Dates=H","DateFormat=P","Fill=—","Direction=H","UseDPDF=Y")</f>
        <v>34024</v>
      </c>
      <c r="E22" s="19">
        <f>_xll.BDH("GILD US Equity","BS_CUR_ASSET_REPORT","FQ2 2019","FQ2 2019","Currency=USD","Period=FQ","BEST_FPERIOD_OVERRIDE=FQ","FILING_STATUS=MR","SCALING_FORMAT=MLN","Sort=A","Dates=H","DateFormat=P","Fill=—","Direction=H","UseDPDF=Y")</f>
        <v>33727</v>
      </c>
      <c r="F22" s="19">
        <f>_xll.BDH("GILD US Equity","BS_CUR_ASSET_REPORT","FQ3 2019","FQ3 2019","Currency=USD","Period=FQ","BEST_FPERIOD_OVERRIDE=FQ","FILING_STATUS=MR","SCALING_FORMAT=MLN","Sort=A","Dates=H","DateFormat=P","Fill=—","Direction=H","UseDPDF=Y")</f>
        <v>28361</v>
      </c>
      <c r="G22" s="19">
        <f>_xll.BDH("GILD US Equity","BS_CUR_ASSET_REPORT","FQ4 2019","FQ4 2019","Currency=USD","Period=FQ","BEST_FPERIOD_OVERRIDE=FQ","FILING_STATUS=MR","SCALING_FORMAT=MLN","Sort=A","Dates=H","DateFormat=P","Fill=—","Direction=H","UseDPDF=Y")</f>
        <v>30296</v>
      </c>
      <c r="H22" s="19">
        <f>_xll.BDH("GILD US Equity","BS_CUR_ASSET_REPORT","FQ1 2020","FQ1 2020","Currency=USD","Period=FQ","BEST_FPERIOD_OVERRIDE=FQ","FILING_STATUS=MR","SCALING_FORMAT=MLN","Sort=A","Dates=H","DateFormat=P","Fill=—","Direction=H","UseDPDF=Y")</f>
        <v>26950</v>
      </c>
      <c r="I22" s="19">
        <f>_xll.BDH("GILD US Equity","BS_CUR_ASSET_REPORT","FQ2 2020","FQ2 2020","Currency=USD","Period=FQ","BEST_FPERIOD_OVERRIDE=FQ","FILING_STATUS=MR","SCALING_FORMAT=MLN","Sort=A","Dates=H","DateFormat=P","Fill=—","Direction=H","UseDPDF=Y")</f>
        <v>24643</v>
      </c>
      <c r="J22" s="19">
        <f>_xll.BDH("GILD US Equity","BS_CUR_ASSET_REPORT","FQ3 2020","FQ3 2020","Currency=USD","Period=FQ","BEST_FPERIOD_OVERRIDE=FQ","FILING_STATUS=MR","SCALING_FORMAT=MLN","Sort=A","Dates=H","DateFormat=P","Fill=—","Direction=H","UseDPDF=Y")</f>
        <v>30926</v>
      </c>
      <c r="K22" s="19">
        <f>_xll.BDH("GILD US Equity","BS_CUR_ASSET_REPORT","FQ4 2020","FQ4 2020","Currency=USD","Period=FQ","BEST_FPERIOD_OVERRIDE=FQ","FILING_STATUS=MR","SCALING_FORMAT=MLN","Sort=A","Dates=H","DateFormat=P","Fill=—","Direction=H","UseDPDF=Y")</f>
        <v>15996</v>
      </c>
      <c r="L22" s="19">
        <f>_xll.BDH("GILD US Equity","BS_CUR_ASSET_REPORT","FQ1 2021","FQ1 2021","Currency=USD","Period=FQ","BEST_FPERIOD_OVERRIDE=FQ","FILING_STATUS=MR","SCALING_FORMAT=MLN","Sort=A","Dates=H","DateFormat=P","Fill=—","Direction=H","UseDPDF=Y")</f>
        <v>13278</v>
      </c>
      <c r="M22" s="19">
        <f>_xll.BDH("GILD US Equity","BS_CUR_ASSET_REPORT","FQ2 2021","FQ2 2021","Currency=USD","Period=FQ","BEST_FPERIOD_OVERRIDE=FQ","FILING_STATUS=MR","SCALING_FORMAT=MLN","Sort=A","Dates=H","DateFormat=P","Fill=—","Direction=H","UseDPDF=Y")</f>
        <v>13925</v>
      </c>
      <c r="N22" s="19">
        <f>_xll.BDH("GILD US Equity","BS_CUR_ASSET_REPORT","FQ3 2021","FQ3 2021","Currency=USD","Period=FQ","BEST_FPERIOD_OVERRIDE=FQ","FILING_STATUS=MR","SCALING_FORMAT=MLN","Sort=A","Dates=H","DateFormat=P","Fill=—","Direction=H","UseDPDF=Y")</f>
        <v>13991</v>
      </c>
      <c r="O22" s="19">
        <f>_xll.BDH("GILD US Equity","BS_CUR_ASSET_REPORT","FQ4 2021","FQ4 2021","Currency=USD","Period=FQ","BEST_FPERIOD_OVERRIDE=FQ","FILING_STATUS=MR","SCALING_FORMAT=MLN","Sort=A","Dates=H","DateFormat=P","Fill=—","Direction=H","UseDPDF=Y")</f>
        <v>14772</v>
      </c>
      <c r="P22" s="19">
        <f>_xll.BDH("GILD US Equity","BS_CUR_ASSET_REPORT","FQ1 2022","FQ1 2022","Currency=USD","Period=FQ","BEST_FPERIOD_OVERRIDE=FQ","FILING_STATUS=MR","SCALING_FORMAT=MLN","Sort=A","Dates=H","DateFormat=P","Fill=—","Direction=H","UseDPDF=Y")</f>
        <v>12629</v>
      </c>
      <c r="Q22" s="19">
        <f>_xll.BDH("GILD US Equity","BS_CUR_ASSET_REPORT","FQ2 2022","FQ2 2022","Currency=USD","Period=FQ","BEST_FPERIOD_OVERRIDE=FQ","FILING_STATUS=MR","SCALING_FORMAT=MLN","Sort=A","Dates=H","DateFormat=P","Fill=—","Direction=H","UseDPDF=Y")</f>
        <v>13175</v>
      </c>
      <c r="R22" s="19">
        <f>_xll.BDH("GILD US Equity","BS_CUR_ASSET_REPORT","FQ3 2022","FQ3 2022","Currency=USD","Period=FQ","BEST_FPERIOD_OVERRIDE=FQ","FILING_STATUS=MR","SCALING_FORMAT=MLN","Sort=A","Dates=H","DateFormat=P","Fill=—","Direction=H","UseDPDF=Y")</f>
        <v>13554</v>
      </c>
      <c r="S22" s="19">
        <f>_xll.BDH("GILD US Equity","BS_CUR_ASSET_REPORT","FQ4 2022","FQ4 2022","Currency=USD","Period=FQ","BEST_FPERIOD_OVERRIDE=FQ","FILING_STATUS=MR","SCALING_FORMAT=MLN","Sort=A","Dates=H","DateFormat=P","Fill=—","Direction=H","UseDPDF=Y")</f>
        <v>14443</v>
      </c>
      <c r="T22" s="19">
        <f>_xll.BDH("GILD US Equity","BS_CUR_ASSET_REPORT","FQ1 2023","FQ1 2023","Currency=USD","Period=FQ","BEST_FPERIOD_OVERRIDE=FQ","FILING_STATUS=MR","SCALING_FORMAT=MLN","Sort=A","Dates=H","DateFormat=P","Fill=—","Direction=H","UseDPDF=Y")</f>
        <v>13456</v>
      </c>
      <c r="U22" s="19">
        <f>_xll.BDH("GILD US Equity","BS_CUR_ASSET_REPORT","FQ2 2023","FQ2 2023","Currency=USD","Period=FQ","BEST_FPERIOD_OVERRIDE=FQ","FILING_STATUS=MR","SCALING_FORMAT=MLN","Sort=A","Dates=H","DateFormat=P","Fill=—","Direction=H","UseDPDF=Y")</f>
        <v>14287</v>
      </c>
      <c r="V22" s="19">
        <f>_xll.BDH("GILD US Equity","BS_CUR_ASSET_REPORT","FQ3 2023","FQ3 2023","Currency=USD","Period=FQ","BEST_FPERIOD_OVERRIDE=FQ","FILING_STATUS=MR","SCALING_FORMAT=MLN","Sort=A","Dates=H","DateFormat=P","Fill=—","Direction=H","UseDPDF=Y")</f>
        <v>15980</v>
      </c>
      <c r="W22" s="19">
        <f>_xll.BDH("GILD US Equity","BS_CUR_ASSET_REPORT","FQ4 2023","FQ4 2023","Currency=USD","Period=FQ","BEST_FPERIOD_OVERRIDE=FQ","FILING_STATUS=MR","SCALING_FORMAT=MLN","Sort=A","Dates=H","DateFormat=P","Fill=—","Direction=H","UseDPDF=Y")</f>
        <v>16085</v>
      </c>
      <c r="X22" s="19">
        <f>_xll.BDH("GILD US Equity","BS_CUR_ASSET_REPORT","FQ1 2024","FQ1 2024","Currency=USD","Period=FQ","BEST_FPERIOD_OVERRIDE=FQ","FILING_STATUS=MR","SCALING_FORMAT=MLN","Sort=A","Dates=H","DateFormat=P","Fill=—","Direction=H","UseDPDF=Y")</f>
        <v>14041</v>
      </c>
      <c r="Y22" s="19">
        <f>_xll.BDH("GILD US Equity","BS_CUR_ASSET_REPORT","FQ2 2024","FQ2 2024","Currency=USD","Period=FQ","BEST_FPERIOD_OVERRIDE=FQ","FILING_STATUS=MR","SCALING_FORMAT=MLN","Sort=A","Dates=H","DateFormat=P","Fill=—","Direction=H","UseDPDF=Y")</f>
        <v>12317</v>
      </c>
      <c r="Z22" s="19">
        <f>_xll.BDH("GILD US Equity","BS_CUR_ASSET_REPORT","FQ3 2024","FQ3 2024","Currency=USD","Period=FQ","BEST_FPERIOD_OVERRIDE=FQ","FILING_STATUS=MR","SCALING_FORMAT=MLN","Sort=A","Dates=H","DateFormat=P","Fill=—","Direction=H","UseDPDF=Y")</f>
        <v>14779</v>
      </c>
      <c r="AA22" s="19">
        <f>_xll.BDH("GILD US Equity","BS_CUR_ASSET_REPORT","FQ4 2024","FQ4 2024","Currency=USD","Period=FQ","BEST_FPERIOD_OVERRIDE=FQ","FILING_STATUS=MR","SCALING_FORMAT=MLN","Sort=A","Dates=H","DateFormat=P","Fill=—","Direction=H","UseDPDF=Y")</f>
        <v>19173</v>
      </c>
    </row>
    <row r="23" spans="1:27" x14ac:dyDescent="0.25">
      <c r="A23" s="10" t="s">
        <v>774</v>
      </c>
      <c r="B23" s="10" t="s">
        <v>775</v>
      </c>
      <c r="C23" s="13">
        <f>_xll.BDH("GILD US Equity","BS_NET_FIX_ASSET","FQ4 2018","FQ4 2018","Currency=USD","Period=FQ","BEST_FPERIOD_OVERRIDE=FQ","FILING_STATUS=MR","SCALING_FORMAT=MLN","Sort=A","Dates=H","DateFormat=P","Fill=—","Direction=H","UseDPDF=Y")</f>
        <v>4006</v>
      </c>
      <c r="D23" s="13">
        <f>_xll.BDH("GILD US Equity","BS_NET_FIX_ASSET","FQ1 2019","FQ1 2019","Currency=USD","Period=FQ","BEST_FPERIOD_OVERRIDE=FQ","FILING_STATUS=MR","SCALING_FORMAT=MLN","Sort=A","Dates=H","DateFormat=P","Fill=—","Direction=H","UseDPDF=Y")</f>
        <v>4571</v>
      </c>
      <c r="E23" s="13">
        <f>_xll.BDH("GILD US Equity","BS_NET_FIX_ASSET","FQ2 2019","FQ2 2019","Currency=USD","Period=FQ","BEST_FPERIOD_OVERRIDE=FQ","FILING_STATUS=MR","SCALING_FORMAT=MLN","Sort=A","Dates=H","DateFormat=P","Fill=—","Direction=H","UseDPDF=Y")</f>
        <v>4753</v>
      </c>
      <c r="F23" s="13">
        <f>_xll.BDH("GILD US Equity","BS_NET_FIX_ASSET","FQ3 2019","FQ3 2019","Currency=USD","Period=FQ","BEST_FPERIOD_OVERRIDE=FQ","FILING_STATUS=MR","SCALING_FORMAT=MLN","Sort=A","Dates=H","DateFormat=P","Fill=—","Direction=H","UseDPDF=Y")</f>
        <v>5037</v>
      </c>
      <c r="G23" s="13">
        <f>_xll.BDH("GILD US Equity","BS_NET_FIX_ASSET","FQ4 2019","FQ4 2019","Currency=USD","Period=FQ","BEST_FPERIOD_OVERRIDE=FQ","FILING_STATUS=MR","SCALING_FORMAT=MLN","Sort=A","Dates=H","DateFormat=P","Fill=—","Direction=H","UseDPDF=Y")</f>
        <v>5170</v>
      </c>
      <c r="H23" s="13">
        <f>_xll.BDH("GILD US Equity","BS_NET_FIX_ASSET","FQ1 2020","FQ1 2020","Currency=USD","Period=FQ","BEST_FPERIOD_OVERRIDE=FQ","FILING_STATUS=MR","SCALING_FORMAT=MLN","Sort=A","Dates=H","DateFormat=P","Fill=—","Direction=H","UseDPDF=Y")</f>
        <v>4564</v>
      </c>
      <c r="I23" s="13">
        <f>_xll.BDH("GILD US Equity","BS_NET_FIX_ASSET","FQ2 2020","FQ2 2020","Currency=USD","Period=FQ","BEST_FPERIOD_OVERRIDE=FQ","FILING_STATUS=MR","SCALING_FORMAT=MLN","Sort=A","Dates=H","DateFormat=P","Fill=—","Direction=H","UseDPDF=Y")</f>
        <v>4653</v>
      </c>
      <c r="J23" s="13">
        <f>_xll.BDH("GILD US Equity","BS_NET_FIX_ASSET","FQ3 2020","FQ3 2020","Currency=USD","Period=FQ","BEST_FPERIOD_OVERRIDE=FQ","FILING_STATUS=MR","SCALING_FORMAT=MLN","Sort=A","Dates=H","DateFormat=P","Fill=—","Direction=H","UseDPDF=Y")</f>
        <v>4810</v>
      </c>
      <c r="K23" s="13">
        <f>_xll.BDH("GILD US Equity","BS_NET_FIX_ASSET","FQ4 2020","FQ4 2020","Currency=USD","Period=FQ","BEST_FPERIOD_OVERRIDE=FQ","FILING_STATUS=MR","SCALING_FORMAT=MLN","Sort=A","Dates=H","DateFormat=P","Fill=—","Direction=H","UseDPDF=Y")</f>
        <v>5613</v>
      </c>
      <c r="L23" s="13">
        <f>_xll.BDH("GILD US Equity","BS_NET_FIX_ASSET","FQ1 2021","FQ1 2021","Currency=USD","Period=FQ","BEST_FPERIOD_OVERRIDE=FQ","FILING_STATUS=MR","SCALING_FORMAT=MLN","Sort=A","Dates=H","DateFormat=P","Fill=—","Direction=H","UseDPDF=Y")</f>
        <v>4990</v>
      </c>
      <c r="M23" s="13">
        <f>_xll.BDH("GILD US Equity","BS_NET_FIX_ASSET","FQ2 2021","FQ2 2021","Currency=USD","Period=FQ","BEST_FPERIOD_OVERRIDE=FQ","FILING_STATUS=MR","SCALING_FORMAT=MLN","Sort=A","Dates=H","DateFormat=P","Fill=—","Direction=H","UseDPDF=Y")</f>
        <v>4996</v>
      </c>
      <c r="N23" s="13">
        <f>_xll.BDH("GILD US Equity","BS_NET_FIX_ASSET","FQ3 2021","FQ3 2021","Currency=USD","Period=FQ","BEST_FPERIOD_OVERRIDE=FQ","FILING_STATUS=MR","SCALING_FORMAT=MLN","Sort=A","Dates=H","DateFormat=P","Fill=—","Direction=H","UseDPDF=Y")</f>
        <v>5037</v>
      </c>
      <c r="O23" s="13">
        <f>_xll.BDH("GILD US Equity","BS_NET_FIX_ASSET","FQ4 2021","FQ4 2021","Currency=USD","Period=FQ","BEST_FPERIOD_OVERRIDE=FQ","FILING_STATUS=MR","SCALING_FORMAT=MLN","Sort=A","Dates=H","DateFormat=P","Fill=—","Direction=H","UseDPDF=Y")</f>
        <v>5663</v>
      </c>
      <c r="P23" s="13">
        <f>_xll.BDH("GILD US Equity","BS_NET_FIX_ASSET","FQ1 2022","FQ1 2022","Currency=USD","Period=FQ","BEST_FPERIOD_OVERRIDE=FQ","FILING_STATUS=MR","SCALING_FORMAT=MLN","Sort=A","Dates=H","DateFormat=P","Fill=—","Direction=H","UseDPDF=Y")</f>
        <v>5253</v>
      </c>
      <c r="Q23" s="13">
        <f>_xll.BDH("GILD US Equity","BS_NET_FIX_ASSET","FQ2 2022","FQ2 2022","Currency=USD","Period=FQ","BEST_FPERIOD_OVERRIDE=FQ","FILING_STATUS=MR","SCALING_FORMAT=MLN","Sort=A","Dates=H","DateFormat=P","Fill=—","Direction=H","UseDPDF=Y")</f>
        <v>5299</v>
      </c>
      <c r="R23" s="13">
        <f>_xll.BDH("GILD US Equity","BS_NET_FIX_ASSET","FQ3 2022","FQ3 2022","Currency=USD","Period=FQ","BEST_FPERIOD_OVERRIDE=FQ","FILING_STATUS=MR","SCALING_FORMAT=MLN","Sort=A","Dates=H","DateFormat=P","Fill=—","Direction=H","UseDPDF=Y")</f>
        <v>5349</v>
      </c>
      <c r="S23" s="13">
        <f>_xll.BDH("GILD US Equity","BS_NET_FIX_ASSET","FQ4 2022","FQ4 2022","Currency=USD","Period=FQ","BEST_FPERIOD_OVERRIDE=FQ","FILING_STATUS=MR","SCALING_FORMAT=MLN","Sort=A","Dates=H","DateFormat=P","Fill=—","Direction=H","UseDPDF=Y")</f>
        <v>5980</v>
      </c>
      <c r="T23" s="13">
        <f>_xll.BDH("GILD US Equity","BS_NET_FIX_ASSET","FQ1 2023","FQ1 2023","Currency=USD","Period=FQ","BEST_FPERIOD_OVERRIDE=FQ","FILING_STATUS=MR","SCALING_FORMAT=MLN","Sort=A","Dates=H","DateFormat=P","Fill=—","Direction=H","UseDPDF=Y")</f>
        <v>5479</v>
      </c>
      <c r="U23" s="13">
        <f>_xll.BDH("GILD US Equity","BS_NET_FIX_ASSET","FQ2 2023","FQ2 2023","Currency=USD","Period=FQ","BEST_FPERIOD_OVERRIDE=FQ","FILING_STATUS=MR","SCALING_FORMAT=MLN","Sort=A","Dates=H","DateFormat=P","Fill=—","Direction=H","UseDPDF=Y")</f>
        <v>5540</v>
      </c>
      <c r="V23" s="13">
        <f>_xll.BDH("GILD US Equity","BS_NET_FIX_ASSET","FQ3 2023","FQ3 2023","Currency=USD","Period=FQ","BEST_FPERIOD_OVERRIDE=FQ","FILING_STATUS=MR","SCALING_FORMAT=MLN","Sort=A","Dates=H","DateFormat=P","Fill=—","Direction=H","UseDPDF=Y")</f>
        <v>5572</v>
      </c>
      <c r="W23" s="13">
        <f>_xll.BDH("GILD US Equity","BS_NET_FIX_ASSET","FQ4 2023","FQ4 2023","Currency=USD","Period=FQ","BEST_FPERIOD_OVERRIDE=FQ","FILING_STATUS=MR","SCALING_FORMAT=MLN","Sort=A","Dates=H","DateFormat=P","Fill=—","Direction=H","UseDPDF=Y")</f>
        <v>5898</v>
      </c>
      <c r="X23" s="13">
        <f>_xll.BDH("GILD US Equity","BS_NET_FIX_ASSET","FQ1 2024","FQ1 2024","Currency=USD","Period=FQ","BEST_FPERIOD_OVERRIDE=FQ","FILING_STATUS=MR","SCALING_FORMAT=MLN","Sort=A","Dates=H","DateFormat=P","Fill=—","Direction=H","UseDPDF=Y")</f>
        <v>5321</v>
      </c>
      <c r="Y23" s="13">
        <f>_xll.BDH("GILD US Equity","BS_NET_FIX_ASSET","FQ2 2024","FQ2 2024","Currency=USD","Period=FQ","BEST_FPERIOD_OVERRIDE=FQ","FILING_STATUS=MR","SCALING_FORMAT=MLN","Sort=A","Dates=H","DateFormat=P","Fill=—","Direction=H","UseDPDF=Y")</f>
        <v>5346</v>
      </c>
      <c r="Z23" s="13">
        <f>_xll.BDH("GILD US Equity","BS_NET_FIX_ASSET","FQ3 2024","FQ3 2024","Currency=USD","Period=FQ","BEST_FPERIOD_OVERRIDE=FQ","FILING_STATUS=MR","SCALING_FORMAT=MLN","Sort=A","Dates=H","DateFormat=P","Fill=—","Direction=H","UseDPDF=Y")</f>
        <v>5391</v>
      </c>
      <c r="AA23" s="13">
        <f>_xll.BDH("GILD US Equity","BS_NET_FIX_ASSET","FQ4 2024","FQ4 2024","Currency=USD","Period=FQ","BEST_FPERIOD_OVERRIDE=FQ","FILING_STATUS=MR","SCALING_FORMAT=MLN","Sort=A","Dates=H","DateFormat=P","Fill=—","Direction=H","UseDPDF=Y")</f>
        <v>5928</v>
      </c>
    </row>
    <row r="24" spans="1:27" x14ac:dyDescent="0.25">
      <c r="A24" s="10" t="s">
        <v>776</v>
      </c>
      <c r="B24" s="10" t="s">
        <v>777</v>
      </c>
      <c r="C24" s="13">
        <f>_xll.BDH("GILD US Equity","BS_GROSS_FIX_ASSET","FQ4 2018","FQ4 2018","Currency=USD","Period=FQ","BEST_FPERIOD_OVERRIDE=FQ","FILING_STATUS=MR","SCALING_FORMAT=MLN","Sort=A","Dates=H","DateFormat=P","Fill=—","Direction=H","UseDPDF=Y")</f>
        <v>5197</v>
      </c>
      <c r="D24" s="13" t="str">
        <f>_xll.BDH("GILD US Equity","BS_GROSS_FIX_ASSET","FQ1 2019","FQ1 2019","Currency=USD","Period=FQ","BEST_FPERIOD_OVERRIDE=FQ","FILING_STATUS=MR","SCALING_FORMAT=MLN","Sort=A","Dates=H","DateFormat=P","Fill=—","Direction=H","UseDPDF=Y")</f>
        <v>—</v>
      </c>
      <c r="E24" s="13" t="str">
        <f>_xll.BDH("GILD US Equity","BS_GROSS_FIX_ASSET","FQ2 2019","FQ2 2019","Currency=USD","Period=FQ","BEST_FPERIOD_OVERRIDE=FQ","FILING_STATUS=MR","SCALING_FORMAT=MLN","Sort=A","Dates=H","DateFormat=P","Fill=—","Direction=H","UseDPDF=Y")</f>
        <v>—</v>
      </c>
      <c r="F24" s="13" t="str">
        <f>_xll.BDH("GILD US Equity","BS_GROSS_FIX_ASSET","FQ3 2019","FQ3 2019","Currency=USD","Period=FQ","BEST_FPERIOD_OVERRIDE=FQ","FILING_STATUS=MR","SCALING_FORMAT=MLN","Sort=A","Dates=H","DateFormat=P","Fill=—","Direction=H","UseDPDF=Y")</f>
        <v>—</v>
      </c>
      <c r="G24" s="13">
        <f>_xll.BDH("GILD US Equity","BS_GROSS_FIX_ASSET","FQ4 2019","FQ4 2019","Currency=USD","Period=FQ","BEST_FPERIOD_OVERRIDE=FQ","FILING_STATUS=MR","SCALING_FORMAT=MLN","Sort=A","Dates=H","DateFormat=P","Fill=—","Direction=H","UseDPDF=Y")</f>
        <v>6592</v>
      </c>
      <c r="H24" s="13" t="str">
        <f>_xll.BDH("GILD US Equity","BS_GROSS_FIX_ASSET","FQ1 2020","FQ1 2020","Currency=USD","Period=FQ","BEST_FPERIOD_OVERRIDE=FQ","FILING_STATUS=MR","SCALING_FORMAT=MLN","Sort=A","Dates=H","DateFormat=P","Fill=—","Direction=H","UseDPDF=Y")</f>
        <v>—</v>
      </c>
      <c r="I24" s="13" t="str">
        <f>_xll.BDH("GILD US Equity","BS_GROSS_FIX_ASSET","FQ2 2020","FQ2 2020","Currency=USD","Period=FQ","BEST_FPERIOD_OVERRIDE=FQ","FILING_STATUS=MR","SCALING_FORMAT=MLN","Sort=A","Dates=H","DateFormat=P","Fill=—","Direction=H","UseDPDF=Y")</f>
        <v>—</v>
      </c>
      <c r="J24" s="13" t="str">
        <f>_xll.BDH("GILD US Equity","BS_GROSS_FIX_ASSET","FQ3 2020","FQ3 2020","Currency=USD","Period=FQ","BEST_FPERIOD_OVERRIDE=FQ","FILING_STATUS=MR","SCALING_FORMAT=MLN","Sort=A","Dates=H","DateFormat=P","Fill=—","Direction=H","UseDPDF=Y")</f>
        <v>—</v>
      </c>
      <c r="K24" s="13">
        <f>_xll.BDH("GILD US Equity","BS_GROSS_FIX_ASSET","FQ4 2020","FQ4 2020","Currency=USD","Period=FQ","BEST_FPERIOD_OVERRIDE=FQ","FILING_STATUS=MR","SCALING_FORMAT=MLN","Sort=A","Dates=H","DateFormat=P","Fill=—","Direction=H","UseDPDF=Y")</f>
        <v>7281</v>
      </c>
      <c r="L24" s="13" t="str">
        <f>_xll.BDH("GILD US Equity","BS_GROSS_FIX_ASSET","FQ1 2021","FQ1 2021","Currency=USD","Period=FQ","BEST_FPERIOD_OVERRIDE=FQ","FILING_STATUS=MR","SCALING_FORMAT=MLN","Sort=A","Dates=H","DateFormat=P","Fill=—","Direction=H","UseDPDF=Y")</f>
        <v>—</v>
      </c>
      <c r="M24" s="13" t="str">
        <f>_xll.BDH("GILD US Equity","BS_GROSS_FIX_ASSET","FQ2 2021","FQ2 2021","Currency=USD","Period=FQ","BEST_FPERIOD_OVERRIDE=FQ","FILING_STATUS=MR","SCALING_FORMAT=MLN","Sort=A","Dates=H","DateFormat=P","Fill=—","Direction=H","UseDPDF=Y")</f>
        <v>—</v>
      </c>
      <c r="N24" s="13" t="str">
        <f>_xll.BDH("GILD US Equity","BS_GROSS_FIX_ASSET","FQ3 2021","FQ3 2021","Currency=USD","Period=FQ","BEST_FPERIOD_OVERRIDE=FQ","FILING_STATUS=MR","SCALING_FORMAT=MLN","Sort=A","Dates=H","DateFormat=P","Fill=—","Direction=H","UseDPDF=Y")</f>
        <v>—</v>
      </c>
      <c r="O24" s="13">
        <f>_xll.BDH("GILD US Equity","BS_GROSS_FIX_ASSET","FQ4 2021","FQ4 2021","Currency=USD","Period=FQ","BEST_FPERIOD_OVERRIDE=FQ","FILING_STATUS=MR","SCALING_FORMAT=MLN","Sort=A","Dates=H","DateFormat=P","Fill=—","Direction=H","UseDPDF=Y")</f>
        <v>7556</v>
      </c>
      <c r="P24" s="13" t="str">
        <f>_xll.BDH("GILD US Equity","BS_GROSS_FIX_ASSET","FQ1 2022","FQ1 2022","Currency=USD","Period=FQ","BEST_FPERIOD_OVERRIDE=FQ","FILING_STATUS=MR","SCALING_FORMAT=MLN","Sort=A","Dates=H","DateFormat=P","Fill=—","Direction=H","UseDPDF=Y")</f>
        <v>—</v>
      </c>
      <c r="Q24" s="13" t="str">
        <f>_xll.BDH("GILD US Equity","BS_GROSS_FIX_ASSET","FQ2 2022","FQ2 2022","Currency=USD","Period=FQ","BEST_FPERIOD_OVERRIDE=FQ","FILING_STATUS=MR","SCALING_FORMAT=MLN","Sort=A","Dates=H","DateFormat=P","Fill=—","Direction=H","UseDPDF=Y")</f>
        <v>—</v>
      </c>
      <c r="R24" s="13" t="str">
        <f>_xll.BDH("GILD US Equity","BS_GROSS_FIX_ASSET","FQ3 2022","FQ3 2022","Currency=USD","Period=FQ","BEST_FPERIOD_OVERRIDE=FQ","FILING_STATUS=MR","SCALING_FORMAT=MLN","Sort=A","Dates=H","DateFormat=P","Fill=—","Direction=H","UseDPDF=Y")</f>
        <v>—</v>
      </c>
      <c r="S24" s="13">
        <f>_xll.BDH("GILD US Equity","BS_GROSS_FIX_ASSET","FQ4 2022","FQ4 2022","Currency=USD","Period=FQ","BEST_FPERIOD_OVERRIDE=FQ","FILING_STATUS=MR","SCALING_FORMAT=MLN","Sort=A","Dates=H","DateFormat=P","Fill=—","Direction=H","UseDPDF=Y")</f>
        <v>8166</v>
      </c>
      <c r="T24" s="13" t="str">
        <f>_xll.BDH("GILD US Equity","BS_GROSS_FIX_ASSET","FQ1 2023","FQ1 2023","Currency=USD","Period=FQ","BEST_FPERIOD_OVERRIDE=FQ","FILING_STATUS=MR","SCALING_FORMAT=MLN","Sort=A","Dates=H","DateFormat=P","Fill=—","Direction=H","UseDPDF=Y")</f>
        <v>—</v>
      </c>
      <c r="U24" s="13" t="str">
        <f>_xll.BDH("GILD US Equity","BS_GROSS_FIX_ASSET","FQ2 2023","FQ2 2023","Currency=USD","Period=FQ","BEST_FPERIOD_OVERRIDE=FQ","FILING_STATUS=MR","SCALING_FORMAT=MLN","Sort=A","Dates=H","DateFormat=P","Fill=—","Direction=H","UseDPDF=Y")</f>
        <v>—</v>
      </c>
      <c r="V24" s="13" t="str">
        <f>_xll.BDH("GILD US Equity","BS_GROSS_FIX_ASSET","FQ3 2023","FQ3 2023","Currency=USD","Period=FQ","BEST_FPERIOD_OVERRIDE=FQ","FILING_STATUS=MR","SCALING_FORMAT=MLN","Sort=A","Dates=H","DateFormat=P","Fill=—","Direction=H","UseDPDF=Y")</f>
        <v>—</v>
      </c>
      <c r="W24" s="13">
        <f>_xll.BDH("GILD US Equity","BS_GROSS_FIX_ASSET","FQ4 2023","FQ4 2023","Currency=USD","Period=FQ","BEST_FPERIOD_OVERRIDE=FQ","FILING_STATUS=MR","SCALING_FORMAT=MLN","Sort=A","Dates=H","DateFormat=P","Fill=—","Direction=H","UseDPDF=Y")</f>
        <v>8347</v>
      </c>
      <c r="X24" s="13" t="str">
        <f>_xll.BDH("GILD US Equity","BS_GROSS_FIX_ASSET","FQ1 2024","FQ1 2024","Currency=USD","Period=FQ","BEST_FPERIOD_OVERRIDE=FQ","FILING_STATUS=MR","SCALING_FORMAT=MLN","Sort=A","Dates=H","DateFormat=P","Fill=—","Direction=H","UseDPDF=Y")</f>
        <v>—</v>
      </c>
      <c r="Y24" s="13" t="str">
        <f>_xll.BDH("GILD US Equity","BS_GROSS_FIX_ASSET","FQ2 2024","FQ2 2024","Currency=USD","Period=FQ","BEST_FPERIOD_OVERRIDE=FQ","FILING_STATUS=MR","SCALING_FORMAT=MLN","Sort=A","Dates=H","DateFormat=P","Fill=—","Direction=H","UseDPDF=Y")</f>
        <v>—</v>
      </c>
      <c r="Z24" s="13" t="str">
        <f>_xll.BDH("GILD US Equity","BS_GROSS_FIX_ASSET","FQ3 2024","FQ3 2024","Currency=USD","Period=FQ","BEST_FPERIOD_OVERRIDE=FQ","FILING_STATUS=MR","SCALING_FORMAT=MLN","Sort=A","Dates=H","DateFormat=P","Fill=—","Direction=H","UseDPDF=Y")</f>
        <v>—</v>
      </c>
      <c r="AA24" s="13">
        <f>_xll.BDH("GILD US Equity","BS_GROSS_FIX_ASSET","FQ4 2024","FQ4 2024","Currency=USD","Period=FQ","BEST_FPERIOD_OVERRIDE=FQ","FILING_STATUS=MR","SCALING_FORMAT=MLN","Sort=A","Dates=H","DateFormat=P","Fill=—","Direction=H","UseDPDF=Y")</f>
        <v>8398</v>
      </c>
    </row>
    <row r="25" spans="1:27" x14ac:dyDescent="0.25">
      <c r="A25" s="10" t="s">
        <v>778</v>
      </c>
      <c r="B25" s="10" t="s">
        <v>779</v>
      </c>
      <c r="C25" s="13">
        <f>_xll.BDH("GILD US Equity","BS_ACCUM_DEPR","FQ4 2018","FQ4 2018","Currency=USD","Period=FQ","BEST_FPERIOD_OVERRIDE=FQ","FILING_STATUS=MR","SCALING_FORMAT=MLN","Sort=A","Dates=H","DateFormat=P","Fill=—","Direction=H","UseDPDF=Y")</f>
        <v>1191</v>
      </c>
      <c r="D25" s="13" t="str">
        <f>_xll.BDH("GILD US Equity","BS_ACCUM_DEPR","FQ1 2019","FQ1 2019","Currency=USD","Period=FQ","BEST_FPERIOD_OVERRIDE=FQ","FILING_STATUS=MR","SCALING_FORMAT=MLN","Sort=A","Dates=H","DateFormat=P","Fill=—","Direction=H","UseDPDF=Y")</f>
        <v>—</v>
      </c>
      <c r="E25" s="13" t="str">
        <f>_xll.BDH("GILD US Equity","BS_ACCUM_DEPR","FQ2 2019","FQ2 2019","Currency=USD","Period=FQ","BEST_FPERIOD_OVERRIDE=FQ","FILING_STATUS=MR","SCALING_FORMAT=MLN","Sort=A","Dates=H","DateFormat=P","Fill=—","Direction=H","UseDPDF=Y")</f>
        <v>—</v>
      </c>
      <c r="F25" s="13" t="str">
        <f>_xll.BDH("GILD US Equity","BS_ACCUM_DEPR","FQ3 2019","FQ3 2019","Currency=USD","Period=FQ","BEST_FPERIOD_OVERRIDE=FQ","FILING_STATUS=MR","SCALING_FORMAT=MLN","Sort=A","Dates=H","DateFormat=P","Fill=—","Direction=H","UseDPDF=Y")</f>
        <v>—</v>
      </c>
      <c r="G25" s="13">
        <f>_xll.BDH("GILD US Equity","BS_ACCUM_DEPR","FQ4 2019","FQ4 2019","Currency=USD","Period=FQ","BEST_FPERIOD_OVERRIDE=FQ","FILING_STATUS=MR","SCALING_FORMAT=MLN","Sort=A","Dates=H","DateFormat=P","Fill=—","Direction=H","UseDPDF=Y")</f>
        <v>1422</v>
      </c>
      <c r="H25" s="13" t="str">
        <f>_xll.BDH("GILD US Equity","BS_ACCUM_DEPR","FQ1 2020","FQ1 2020","Currency=USD","Period=FQ","BEST_FPERIOD_OVERRIDE=FQ","FILING_STATUS=MR","SCALING_FORMAT=MLN","Sort=A","Dates=H","DateFormat=P","Fill=—","Direction=H","UseDPDF=Y")</f>
        <v>—</v>
      </c>
      <c r="I25" s="13" t="str">
        <f>_xll.BDH("GILD US Equity","BS_ACCUM_DEPR","FQ2 2020","FQ2 2020","Currency=USD","Period=FQ","BEST_FPERIOD_OVERRIDE=FQ","FILING_STATUS=MR","SCALING_FORMAT=MLN","Sort=A","Dates=H","DateFormat=P","Fill=—","Direction=H","UseDPDF=Y")</f>
        <v>—</v>
      </c>
      <c r="J25" s="13" t="str">
        <f>_xll.BDH("GILD US Equity","BS_ACCUM_DEPR","FQ3 2020","FQ3 2020","Currency=USD","Period=FQ","BEST_FPERIOD_OVERRIDE=FQ","FILING_STATUS=MR","SCALING_FORMAT=MLN","Sort=A","Dates=H","DateFormat=P","Fill=—","Direction=H","UseDPDF=Y")</f>
        <v>—</v>
      </c>
      <c r="K25" s="13">
        <f>_xll.BDH("GILD US Equity","BS_ACCUM_DEPR","FQ4 2020","FQ4 2020","Currency=USD","Period=FQ","BEST_FPERIOD_OVERRIDE=FQ","FILING_STATUS=MR","SCALING_FORMAT=MLN","Sort=A","Dates=H","DateFormat=P","Fill=—","Direction=H","UseDPDF=Y")</f>
        <v>1668</v>
      </c>
      <c r="L25" s="13" t="str">
        <f>_xll.BDH("GILD US Equity","BS_ACCUM_DEPR","FQ1 2021","FQ1 2021","Currency=USD","Period=FQ","BEST_FPERIOD_OVERRIDE=FQ","FILING_STATUS=MR","SCALING_FORMAT=MLN","Sort=A","Dates=H","DateFormat=P","Fill=—","Direction=H","UseDPDF=Y")</f>
        <v>—</v>
      </c>
      <c r="M25" s="13" t="str">
        <f>_xll.BDH("GILD US Equity","BS_ACCUM_DEPR","FQ2 2021","FQ2 2021","Currency=USD","Period=FQ","BEST_FPERIOD_OVERRIDE=FQ","FILING_STATUS=MR","SCALING_FORMAT=MLN","Sort=A","Dates=H","DateFormat=P","Fill=—","Direction=H","UseDPDF=Y")</f>
        <v>—</v>
      </c>
      <c r="N25" s="13" t="str">
        <f>_xll.BDH("GILD US Equity","BS_ACCUM_DEPR","FQ3 2021","FQ3 2021","Currency=USD","Period=FQ","BEST_FPERIOD_OVERRIDE=FQ","FILING_STATUS=MR","SCALING_FORMAT=MLN","Sort=A","Dates=H","DateFormat=P","Fill=—","Direction=H","UseDPDF=Y")</f>
        <v>—</v>
      </c>
      <c r="O25" s="13">
        <f>_xll.BDH("GILD US Equity","BS_ACCUM_DEPR","FQ4 2021","FQ4 2021","Currency=USD","Period=FQ","BEST_FPERIOD_OVERRIDE=FQ","FILING_STATUS=MR","SCALING_FORMAT=MLN","Sort=A","Dates=H","DateFormat=P","Fill=—","Direction=H","UseDPDF=Y")</f>
        <v>1893</v>
      </c>
      <c r="P25" s="13" t="str">
        <f>_xll.BDH("GILD US Equity","BS_ACCUM_DEPR","FQ1 2022","FQ1 2022","Currency=USD","Period=FQ","BEST_FPERIOD_OVERRIDE=FQ","FILING_STATUS=MR","SCALING_FORMAT=MLN","Sort=A","Dates=H","DateFormat=P","Fill=—","Direction=H","UseDPDF=Y")</f>
        <v>—</v>
      </c>
      <c r="Q25" s="13" t="str">
        <f>_xll.BDH("GILD US Equity","BS_ACCUM_DEPR","FQ2 2022","FQ2 2022","Currency=USD","Period=FQ","BEST_FPERIOD_OVERRIDE=FQ","FILING_STATUS=MR","SCALING_FORMAT=MLN","Sort=A","Dates=H","DateFormat=P","Fill=—","Direction=H","UseDPDF=Y")</f>
        <v>—</v>
      </c>
      <c r="R25" s="13" t="str">
        <f>_xll.BDH("GILD US Equity","BS_ACCUM_DEPR","FQ3 2022","FQ3 2022","Currency=USD","Period=FQ","BEST_FPERIOD_OVERRIDE=FQ","FILING_STATUS=MR","SCALING_FORMAT=MLN","Sort=A","Dates=H","DateFormat=P","Fill=—","Direction=H","UseDPDF=Y")</f>
        <v>—</v>
      </c>
      <c r="S25" s="13">
        <f>_xll.BDH("GILD US Equity","BS_ACCUM_DEPR","FQ4 2022","FQ4 2022","Currency=USD","Period=FQ","BEST_FPERIOD_OVERRIDE=FQ","FILING_STATUS=MR","SCALING_FORMAT=MLN","Sort=A","Dates=H","DateFormat=P","Fill=—","Direction=H","UseDPDF=Y")</f>
        <v>2186</v>
      </c>
      <c r="T25" s="13" t="str">
        <f>_xll.BDH("GILD US Equity","BS_ACCUM_DEPR","FQ1 2023","FQ1 2023","Currency=USD","Period=FQ","BEST_FPERIOD_OVERRIDE=FQ","FILING_STATUS=MR","SCALING_FORMAT=MLN","Sort=A","Dates=H","DateFormat=P","Fill=—","Direction=H","UseDPDF=Y")</f>
        <v>—</v>
      </c>
      <c r="U25" s="13" t="str">
        <f>_xll.BDH("GILD US Equity","BS_ACCUM_DEPR","FQ2 2023","FQ2 2023","Currency=USD","Period=FQ","BEST_FPERIOD_OVERRIDE=FQ","FILING_STATUS=MR","SCALING_FORMAT=MLN","Sort=A","Dates=H","DateFormat=P","Fill=—","Direction=H","UseDPDF=Y")</f>
        <v>—</v>
      </c>
      <c r="V25" s="13" t="str">
        <f>_xll.BDH("GILD US Equity","BS_ACCUM_DEPR","FQ3 2023","FQ3 2023","Currency=USD","Period=FQ","BEST_FPERIOD_OVERRIDE=FQ","FILING_STATUS=MR","SCALING_FORMAT=MLN","Sort=A","Dates=H","DateFormat=P","Fill=—","Direction=H","UseDPDF=Y")</f>
        <v>—</v>
      </c>
      <c r="W25" s="13">
        <f>_xll.BDH("GILD US Equity","BS_ACCUM_DEPR","FQ4 2023","FQ4 2023","Currency=USD","Period=FQ","BEST_FPERIOD_OVERRIDE=FQ","FILING_STATUS=MR","SCALING_FORMAT=MLN","Sort=A","Dates=H","DateFormat=P","Fill=—","Direction=H","UseDPDF=Y")</f>
        <v>2449</v>
      </c>
      <c r="X25" s="13" t="str">
        <f>_xll.BDH("GILD US Equity","BS_ACCUM_DEPR","FQ1 2024","FQ1 2024","Currency=USD","Period=FQ","BEST_FPERIOD_OVERRIDE=FQ","FILING_STATUS=MR","SCALING_FORMAT=MLN","Sort=A","Dates=H","DateFormat=P","Fill=—","Direction=H","UseDPDF=Y")</f>
        <v>—</v>
      </c>
      <c r="Y25" s="13" t="str">
        <f>_xll.BDH("GILD US Equity","BS_ACCUM_DEPR","FQ2 2024","FQ2 2024","Currency=USD","Period=FQ","BEST_FPERIOD_OVERRIDE=FQ","FILING_STATUS=MR","SCALING_FORMAT=MLN","Sort=A","Dates=H","DateFormat=P","Fill=—","Direction=H","UseDPDF=Y")</f>
        <v>—</v>
      </c>
      <c r="Z25" s="13" t="str">
        <f>_xll.BDH("GILD US Equity","BS_ACCUM_DEPR","FQ3 2024","FQ3 2024","Currency=USD","Period=FQ","BEST_FPERIOD_OVERRIDE=FQ","FILING_STATUS=MR","SCALING_FORMAT=MLN","Sort=A","Dates=H","DateFormat=P","Fill=—","Direction=H","UseDPDF=Y")</f>
        <v>—</v>
      </c>
      <c r="AA25" s="13">
        <f>_xll.BDH("GILD US Equity","BS_ACCUM_DEPR","FQ4 2024","FQ4 2024","Currency=USD","Period=FQ","BEST_FPERIOD_OVERRIDE=FQ","FILING_STATUS=MR","SCALING_FORMAT=MLN","Sort=A","Dates=H","DateFormat=P","Fill=—","Direction=H","UseDPDF=Y")</f>
        <v>2470</v>
      </c>
    </row>
    <row r="26" spans="1:27" x14ac:dyDescent="0.25">
      <c r="A26" s="10" t="s">
        <v>780</v>
      </c>
      <c r="B26" s="10" t="s">
        <v>781</v>
      </c>
      <c r="C26" s="13">
        <f>_xll.BDH("GILD US Equity","BS_LT_INVEST","FQ4 2018","FQ4 2018","Currency=USD","Period=FQ","BEST_FPERIOD_OVERRIDE=FQ","FILING_STATUS=MR","SCALING_FORMAT=MLN","Sort=A","Dates=H","DateFormat=P","Fill=—","Direction=H","UseDPDF=Y")</f>
        <v>1423</v>
      </c>
      <c r="D26" s="13">
        <f>_xll.BDH("GILD US Equity","BS_LT_INVEST","FQ1 2019","FQ1 2019","Currency=USD","Period=FQ","BEST_FPERIOD_OVERRIDE=FQ","FILING_STATUS=MR","SCALING_FORMAT=MLN","Sort=A","Dates=H","DateFormat=P","Fill=—","Direction=H","UseDPDF=Y")</f>
        <v>2221</v>
      </c>
      <c r="E26" s="13">
        <f>_xll.BDH("GILD US Equity","BS_LT_INVEST","FQ2 2019","FQ2 2019","Currency=USD","Period=FQ","BEST_FPERIOD_OVERRIDE=FQ","FILING_STATUS=MR","SCALING_FORMAT=MLN","Sort=A","Dates=H","DateFormat=P","Fill=—","Direction=H","UseDPDF=Y")</f>
        <v>3051</v>
      </c>
      <c r="F26" s="13">
        <f>_xll.BDH("GILD US Equity","BS_LT_INVEST","FQ3 2019","FQ3 2019","Currency=USD","Period=FQ","BEST_FPERIOD_OVERRIDE=FQ","FILING_STATUS=MR","SCALING_FORMAT=MLN","Sort=A","Dates=H","DateFormat=P","Fill=—","Direction=H","UseDPDF=Y")</f>
        <v>2195</v>
      </c>
      <c r="G26" s="13">
        <f>_xll.BDH("GILD US Equity","BS_LT_INVEST","FQ4 2019","FQ4 2019","Currency=USD","Period=FQ","BEST_FPERIOD_OVERRIDE=FQ","FILING_STATUS=MR","SCALING_FORMAT=MLN","Sort=A","Dates=H","DateFormat=P","Fill=—","Direction=H","UseDPDF=Y")</f>
        <v>1488</v>
      </c>
      <c r="H26" s="13">
        <f>_xll.BDH("GILD US Equity","BS_LT_INVEST","FQ1 2020","FQ1 2020","Currency=USD","Period=FQ","BEST_FPERIOD_OVERRIDE=FQ","FILING_STATUS=MR","SCALING_FORMAT=MLN","Sort=A","Dates=H","DateFormat=P","Fill=—","Direction=H","UseDPDF=Y")</f>
        <v>3529</v>
      </c>
      <c r="I26" s="13">
        <f>_xll.BDH("GILD US Equity","BS_LT_INVEST","FQ2 2020","FQ2 2020","Currency=USD","Period=FQ","BEST_FPERIOD_OVERRIDE=FQ","FILING_STATUS=MR","SCALING_FORMAT=MLN","Sort=A","Dates=H","DateFormat=P","Fill=—","Direction=H","UseDPDF=Y")</f>
        <v>2276</v>
      </c>
      <c r="J26" s="13">
        <f>_xll.BDH("GILD US Equity","BS_LT_INVEST","FQ3 2020","FQ3 2020","Currency=USD","Period=FQ","BEST_FPERIOD_OVERRIDE=FQ","FILING_STATUS=MR","SCALING_FORMAT=MLN","Sort=A","Dates=H","DateFormat=P","Fill=—","Direction=H","UseDPDF=Y")</f>
        <v>2074</v>
      </c>
      <c r="K26" s="13">
        <f>_xll.BDH("GILD US Equity","BS_LT_INVEST","FQ4 2020","FQ4 2020","Currency=USD","Period=FQ","BEST_FPERIOD_OVERRIDE=FQ","FILING_STATUS=MR","SCALING_FORMAT=MLN","Sort=A","Dates=H","DateFormat=P","Fill=—","Direction=H","UseDPDF=Y")</f>
        <v>502</v>
      </c>
      <c r="L26" s="13">
        <f>_xll.BDH("GILD US Equity","BS_LT_INVEST","FQ1 2021","FQ1 2021","Currency=USD","Period=FQ","BEST_FPERIOD_OVERRIDE=FQ","FILING_STATUS=MR","SCALING_FORMAT=MLN","Sort=A","Dates=H","DateFormat=P","Fill=—","Direction=H","UseDPDF=Y")</f>
        <v>579</v>
      </c>
      <c r="M26" s="13">
        <f>_xll.BDH("GILD US Equity","BS_LT_INVEST","FQ2 2021","FQ2 2021","Currency=USD","Period=FQ","BEST_FPERIOD_OVERRIDE=FQ","FILING_STATUS=MR","SCALING_FORMAT=MLN","Sort=A","Dates=H","DateFormat=P","Fill=—","Direction=H","UseDPDF=Y")</f>
        <v>836</v>
      </c>
      <c r="N26" s="13">
        <f>_xll.BDH("GILD US Equity","BS_LT_INVEST","FQ3 2021","FQ3 2021","Currency=USD","Period=FQ","BEST_FPERIOD_OVERRIDE=FQ","FILING_STATUS=MR","SCALING_FORMAT=MLN","Sort=A","Dates=H","DateFormat=P","Fill=—","Direction=H","UseDPDF=Y")</f>
        <v>1099</v>
      </c>
      <c r="O26" s="13">
        <f>_xll.BDH("GILD US Equity","BS_LT_INVEST","FQ4 2021","FQ4 2021","Currency=USD","Period=FQ","BEST_FPERIOD_OVERRIDE=FQ","FILING_STATUS=MR","SCALING_FORMAT=MLN","Sort=A","Dates=H","DateFormat=P","Fill=—","Direction=H","UseDPDF=Y")</f>
        <v>1309</v>
      </c>
      <c r="P26" s="13">
        <f>_xll.BDH("GILD US Equity","BS_LT_INVEST","FQ1 2022","FQ1 2022","Currency=USD","Period=FQ","BEST_FPERIOD_OVERRIDE=FQ","FILING_STATUS=MR","SCALING_FORMAT=MLN","Sort=A","Dates=H","DateFormat=P","Fill=—","Direction=H","UseDPDF=Y")</f>
        <v>1427</v>
      </c>
      <c r="Q26" s="13">
        <f>_xll.BDH("GILD US Equity","BS_LT_INVEST","FQ2 2022","FQ2 2022","Currency=USD","Period=FQ","BEST_FPERIOD_OVERRIDE=FQ","FILING_STATUS=MR","SCALING_FORMAT=MLN","Sort=A","Dates=H","DateFormat=P","Fill=—","Direction=H","UseDPDF=Y")</f>
        <v>1337</v>
      </c>
      <c r="R26" s="13">
        <f>_xll.BDH("GILD US Equity","BS_LT_INVEST","FQ3 2022","FQ3 2022","Currency=USD","Period=FQ","BEST_FPERIOD_OVERRIDE=FQ","FILING_STATUS=MR","SCALING_FORMAT=MLN","Sort=A","Dates=H","DateFormat=P","Fill=—","Direction=H","UseDPDF=Y")</f>
        <v>1282</v>
      </c>
      <c r="S26" s="13">
        <f>_xll.BDH("GILD US Equity","BS_LT_INVEST","FQ4 2022","FQ4 2022","Currency=USD","Period=FQ","BEST_FPERIOD_OVERRIDE=FQ","FILING_STATUS=MR","SCALING_FORMAT=MLN","Sort=A","Dates=H","DateFormat=P","Fill=—","Direction=H","UseDPDF=Y")</f>
        <v>1245</v>
      </c>
      <c r="T26" s="13">
        <f>_xll.BDH("GILD US Equity","BS_LT_INVEST","FQ1 2023","FQ1 2023","Currency=USD","Period=FQ","BEST_FPERIOD_OVERRIDE=FQ","FILING_STATUS=MR","SCALING_FORMAT=MLN","Sort=A","Dates=H","DateFormat=P","Fill=—","Direction=H","UseDPDF=Y")</f>
        <v>1327</v>
      </c>
      <c r="U26" s="13">
        <f>_xll.BDH("GILD US Equity","BS_LT_INVEST","FQ2 2023","FQ2 2023","Currency=USD","Period=FQ","BEST_FPERIOD_OVERRIDE=FQ","FILING_STATUS=MR","SCALING_FORMAT=MLN","Sort=A","Dates=H","DateFormat=P","Fill=—","Direction=H","UseDPDF=Y")</f>
        <v>1334</v>
      </c>
      <c r="V26" s="13">
        <f>_xll.BDH("GILD US Equity","BS_LT_INVEST","FQ3 2023","FQ3 2023","Currency=USD","Period=FQ","BEST_FPERIOD_OVERRIDE=FQ","FILING_STATUS=MR","SCALING_FORMAT=MLN","Sort=A","Dates=H","DateFormat=P","Fill=—","Direction=H","UseDPDF=Y")</f>
        <v>1156</v>
      </c>
      <c r="W26" s="13">
        <f>_xll.BDH("GILD US Equity","BS_LT_INVEST","FQ4 2023","FQ4 2023","Currency=USD","Period=FQ","BEST_FPERIOD_OVERRIDE=FQ","FILING_STATUS=MR","SCALING_FORMAT=MLN","Sort=A","Dates=H","DateFormat=P","Fill=—","Direction=H","UseDPDF=Y")</f>
        <v>1163</v>
      </c>
      <c r="X26" s="13">
        <f>_xll.BDH("GILD US Equity","BS_LT_INVEST","FQ1 2024","FQ1 2024","Currency=USD","Period=FQ","BEST_FPERIOD_OVERRIDE=FQ","FILING_STATUS=MR","SCALING_FORMAT=MLN","Sort=A","Dates=H","DateFormat=P","Fill=—","Direction=H","UseDPDF=Y")</f>
        <v>0</v>
      </c>
      <c r="Y26" s="13">
        <f>_xll.BDH("GILD US Equity","BS_LT_INVEST","FQ2 2024","FQ2 2024","Currency=USD","Period=FQ","BEST_FPERIOD_OVERRIDE=FQ","FILING_STATUS=MR","SCALING_FORMAT=MLN","Sort=A","Dates=H","DateFormat=P","Fill=—","Direction=H","UseDPDF=Y")</f>
        <v>0</v>
      </c>
      <c r="Z26" s="13">
        <f>_xll.BDH("GILD US Equity","BS_LT_INVEST","FQ3 2024","FQ3 2024","Currency=USD","Period=FQ","BEST_FPERIOD_OVERRIDE=FQ","FILING_STATUS=MR","SCALING_FORMAT=MLN","Sort=A","Dates=H","DateFormat=P","Fill=—","Direction=H","UseDPDF=Y")</f>
        <v>0</v>
      </c>
      <c r="AA26" s="13">
        <f>_xll.BDH("GILD US Equity","BS_LT_INVEST","FQ4 2024","FQ4 2024","Currency=USD","Period=FQ","BEST_FPERIOD_OVERRIDE=FQ","FILING_STATUS=MR","SCALING_FORMAT=MLN","Sort=A","Dates=H","DateFormat=P","Fill=—","Direction=H","UseDPDF=Y")</f>
        <v>0</v>
      </c>
    </row>
    <row r="27" spans="1:27" x14ac:dyDescent="0.25">
      <c r="A27" s="10" t="s">
        <v>782</v>
      </c>
      <c r="B27" s="10" t="s">
        <v>783</v>
      </c>
      <c r="C27" s="13">
        <f>_xll.BDH("GILD US Equity","BS_LT_MARKETABLE_SECURITIES","FQ4 2018","FQ4 2018","Currency=USD","Period=FQ","BEST_FPERIOD_OVERRIDE=FQ","FILING_STATUS=MR","SCALING_FORMAT=MLN","Sort=A","Dates=H","DateFormat=P","Fill=—","Direction=H","UseDPDF=Y")</f>
        <v>1423</v>
      </c>
      <c r="D27" s="13">
        <f>_xll.BDH("GILD US Equity","BS_LT_MARKETABLE_SECURITIES","FQ1 2019","FQ1 2019","Currency=USD","Period=FQ","BEST_FPERIOD_OVERRIDE=FQ","FILING_STATUS=MR","SCALING_FORMAT=MLN","Sort=A","Dates=H","DateFormat=P","Fill=—","Direction=H","UseDPDF=Y")</f>
        <v>2221</v>
      </c>
      <c r="E27" s="13">
        <f>_xll.BDH("GILD US Equity","BS_LT_MARKETABLE_SECURITIES","FQ2 2019","FQ2 2019","Currency=USD","Period=FQ","BEST_FPERIOD_OVERRIDE=FQ","FILING_STATUS=MR","SCALING_FORMAT=MLN","Sort=A","Dates=H","DateFormat=P","Fill=—","Direction=H","UseDPDF=Y")</f>
        <v>3051</v>
      </c>
      <c r="F27" s="13">
        <f>_xll.BDH("GILD US Equity","BS_LT_MARKETABLE_SECURITIES","FQ3 2019","FQ3 2019","Currency=USD","Period=FQ","BEST_FPERIOD_OVERRIDE=FQ","FILING_STATUS=MR","SCALING_FORMAT=MLN","Sort=A","Dates=H","DateFormat=P","Fill=—","Direction=H","UseDPDF=Y")</f>
        <v>2195</v>
      </c>
      <c r="G27" s="13">
        <f>_xll.BDH("GILD US Equity","BS_LT_MARKETABLE_SECURITIES","FQ4 2019","FQ4 2019","Currency=USD","Period=FQ","BEST_FPERIOD_OVERRIDE=FQ","FILING_STATUS=MR","SCALING_FORMAT=MLN","Sort=A","Dates=H","DateFormat=P","Fill=—","Direction=H","UseDPDF=Y")</f>
        <v>1488</v>
      </c>
      <c r="H27" s="13">
        <f>_xll.BDH("GILD US Equity","BS_LT_MARKETABLE_SECURITIES","FQ1 2020","FQ1 2020","Currency=USD","Period=FQ","BEST_FPERIOD_OVERRIDE=FQ","FILING_STATUS=MR","SCALING_FORMAT=MLN","Sort=A","Dates=H","DateFormat=P","Fill=—","Direction=H","UseDPDF=Y")</f>
        <v>3529</v>
      </c>
      <c r="I27" s="13">
        <f>_xll.BDH("GILD US Equity","BS_LT_MARKETABLE_SECURITIES","FQ2 2020","FQ2 2020","Currency=USD","Period=FQ","BEST_FPERIOD_OVERRIDE=FQ","FILING_STATUS=MR","SCALING_FORMAT=MLN","Sort=A","Dates=H","DateFormat=P","Fill=—","Direction=H","UseDPDF=Y")</f>
        <v>2276</v>
      </c>
      <c r="J27" s="13">
        <f>_xll.BDH("GILD US Equity","BS_LT_MARKETABLE_SECURITIES","FQ3 2020","FQ3 2020","Currency=USD","Period=FQ","BEST_FPERIOD_OVERRIDE=FQ","FILING_STATUS=MR","SCALING_FORMAT=MLN","Sort=A","Dates=H","DateFormat=P","Fill=—","Direction=H","UseDPDF=Y")</f>
        <v>2074</v>
      </c>
      <c r="K27" s="13">
        <f>_xll.BDH("GILD US Equity","BS_LT_MARKETABLE_SECURITIES","FQ4 2020","FQ4 2020","Currency=USD","Period=FQ","BEST_FPERIOD_OVERRIDE=FQ","FILING_STATUS=MR","SCALING_FORMAT=MLN","Sort=A","Dates=H","DateFormat=P","Fill=—","Direction=H","UseDPDF=Y")</f>
        <v>502</v>
      </c>
      <c r="L27" s="13">
        <f>_xll.BDH("GILD US Equity","BS_LT_MARKETABLE_SECURITIES","FQ1 2021","FQ1 2021","Currency=USD","Period=FQ","BEST_FPERIOD_OVERRIDE=FQ","FILING_STATUS=MR","SCALING_FORMAT=MLN","Sort=A","Dates=H","DateFormat=P","Fill=—","Direction=H","UseDPDF=Y")</f>
        <v>579</v>
      </c>
      <c r="M27" s="13">
        <f>_xll.BDH("GILD US Equity","BS_LT_MARKETABLE_SECURITIES","FQ2 2021","FQ2 2021","Currency=USD","Period=FQ","BEST_FPERIOD_OVERRIDE=FQ","FILING_STATUS=MR","SCALING_FORMAT=MLN","Sort=A","Dates=H","DateFormat=P","Fill=—","Direction=H","UseDPDF=Y")</f>
        <v>836</v>
      </c>
      <c r="N27" s="13">
        <f>_xll.BDH("GILD US Equity","BS_LT_MARKETABLE_SECURITIES","FQ3 2021","FQ3 2021","Currency=USD","Period=FQ","BEST_FPERIOD_OVERRIDE=FQ","FILING_STATUS=MR","SCALING_FORMAT=MLN","Sort=A","Dates=H","DateFormat=P","Fill=—","Direction=H","UseDPDF=Y")</f>
        <v>1099</v>
      </c>
      <c r="O27" s="13">
        <f>_xll.BDH("GILD US Equity","BS_LT_MARKETABLE_SECURITIES","FQ4 2021","FQ4 2021","Currency=USD","Period=FQ","BEST_FPERIOD_OVERRIDE=FQ","FILING_STATUS=MR","SCALING_FORMAT=MLN","Sort=A","Dates=H","DateFormat=P","Fill=—","Direction=H","UseDPDF=Y")</f>
        <v>1309</v>
      </c>
      <c r="P27" s="13">
        <f>_xll.BDH("GILD US Equity","BS_LT_MARKETABLE_SECURITIES","FQ1 2022","FQ1 2022","Currency=USD","Period=FQ","BEST_FPERIOD_OVERRIDE=FQ","FILING_STATUS=MR","SCALING_FORMAT=MLN","Sort=A","Dates=H","DateFormat=P","Fill=—","Direction=H","UseDPDF=Y")</f>
        <v>1427</v>
      </c>
      <c r="Q27" s="13">
        <f>_xll.BDH("GILD US Equity","BS_LT_MARKETABLE_SECURITIES","FQ2 2022","FQ2 2022","Currency=USD","Period=FQ","BEST_FPERIOD_OVERRIDE=FQ","FILING_STATUS=MR","SCALING_FORMAT=MLN","Sort=A","Dates=H","DateFormat=P","Fill=—","Direction=H","UseDPDF=Y")</f>
        <v>1337</v>
      </c>
      <c r="R27" s="13">
        <f>_xll.BDH("GILD US Equity","BS_LT_MARKETABLE_SECURITIES","FQ3 2022","FQ3 2022","Currency=USD","Period=FQ","BEST_FPERIOD_OVERRIDE=FQ","FILING_STATUS=MR","SCALING_FORMAT=MLN","Sort=A","Dates=H","DateFormat=P","Fill=—","Direction=H","UseDPDF=Y")</f>
        <v>1282</v>
      </c>
      <c r="S27" s="13">
        <f>_xll.BDH("GILD US Equity","BS_LT_MARKETABLE_SECURITIES","FQ4 2022","FQ4 2022","Currency=USD","Period=FQ","BEST_FPERIOD_OVERRIDE=FQ","FILING_STATUS=MR","SCALING_FORMAT=MLN","Sort=A","Dates=H","DateFormat=P","Fill=—","Direction=H","UseDPDF=Y")</f>
        <v>1245</v>
      </c>
      <c r="T27" s="13">
        <f>_xll.BDH("GILD US Equity","BS_LT_MARKETABLE_SECURITIES","FQ1 2023","FQ1 2023","Currency=USD","Period=FQ","BEST_FPERIOD_OVERRIDE=FQ","FILING_STATUS=MR","SCALING_FORMAT=MLN","Sort=A","Dates=H","DateFormat=P","Fill=—","Direction=H","UseDPDF=Y")</f>
        <v>1327</v>
      </c>
      <c r="U27" s="13">
        <f>_xll.BDH("GILD US Equity","BS_LT_MARKETABLE_SECURITIES","FQ2 2023","FQ2 2023","Currency=USD","Period=FQ","BEST_FPERIOD_OVERRIDE=FQ","FILING_STATUS=MR","SCALING_FORMAT=MLN","Sort=A","Dates=H","DateFormat=P","Fill=—","Direction=H","UseDPDF=Y")</f>
        <v>1334</v>
      </c>
      <c r="V27" s="13">
        <f>_xll.BDH("GILD US Equity","BS_LT_MARKETABLE_SECURITIES","FQ3 2023","FQ3 2023","Currency=USD","Period=FQ","BEST_FPERIOD_OVERRIDE=FQ","FILING_STATUS=MR","SCALING_FORMAT=MLN","Sort=A","Dates=H","DateFormat=P","Fill=—","Direction=H","UseDPDF=Y")</f>
        <v>1156</v>
      </c>
      <c r="W27" s="13">
        <f>_xll.BDH("GILD US Equity","BS_LT_MARKETABLE_SECURITIES","FQ4 2023","FQ4 2023","Currency=USD","Period=FQ","BEST_FPERIOD_OVERRIDE=FQ","FILING_STATUS=MR","SCALING_FORMAT=MLN","Sort=A","Dates=H","DateFormat=P","Fill=—","Direction=H","UseDPDF=Y")</f>
        <v>1163</v>
      </c>
      <c r="X27" s="13">
        <f>_xll.BDH("GILD US Equity","BS_LT_MARKETABLE_SECURITIES","FQ1 2024","FQ1 2024","Currency=USD","Period=FQ","BEST_FPERIOD_OVERRIDE=FQ","FILING_STATUS=MR","SCALING_FORMAT=MLN","Sort=A","Dates=H","DateFormat=P","Fill=—","Direction=H","UseDPDF=Y")</f>
        <v>0</v>
      </c>
      <c r="Y27" s="13">
        <f>_xll.BDH("GILD US Equity","BS_LT_MARKETABLE_SECURITIES","FQ2 2024","FQ2 2024","Currency=USD","Period=FQ","BEST_FPERIOD_OVERRIDE=FQ","FILING_STATUS=MR","SCALING_FORMAT=MLN","Sort=A","Dates=H","DateFormat=P","Fill=—","Direction=H","UseDPDF=Y")</f>
        <v>0</v>
      </c>
      <c r="Z27" s="13" t="str">
        <f>_xll.BDH("GILD US Equity","BS_LT_MARKETABLE_SECURITIES","FQ3 2024","FQ3 2024","Currency=USD","Period=FQ","BEST_FPERIOD_OVERRIDE=FQ","FILING_STATUS=MR","SCALING_FORMAT=MLN","Sort=A","Dates=H","DateFormat=P","Fill=—","Direction=H","UseDPDF=Y")</f>
        <v>—</v>
      </c>
      <c r="AA27" s="13">
        <f>_xll.BDH("GILD US Equity","BS_LT_MARKETABLE_SECURITIES","FQ4 2024","FQ4 2024","Currency=USD","Period=FQ","BEST_FPERIOD_OVERRIDE=FQ","FILING_STATUS=MR","SCALING_FORMAT=MLN","Sort=A","Dates=H","DateFormat=P","Fill=—","Direction=H","UseDPDF=Y")</f>
        <v>0</v>
      </c>
    </row>
    <row r="28" spans="1:27" x14ac:dyDescent="0.25">
      <c r="A28" s="10" t="s">
        <v>784</v>
      </c>
      <c r="B28" s="10" t="s">
        <v>785</v>
      </c>
      <c r="C28" s="13">
        <f>_xll.BDH("GILD US Equity","BS_OTHER_ASSETS_DEF_CHRG_OTHER","FQ4 2018","FQ4 2018","Currency=USD","Period=FQ","BEST_FPERIOD_OVERRIDE=FQ","FILING_STATUS=MR","SCALING_FORMAT=MLN","Sort=A","Dates=H","DateFormat=P","Fill=—","Direction=H","UseDPDF=Y")</f>
        <v>22410</v>
      </c>
      <c r="D28" s="13">
        <f>_xll.BDH("GILD US Equity","BS_OTHER_ASSETS_DEF_CHRG_OTHER","FQ1 2019","FQ1 2019","Currency=USD","Period=FQ","BEST_FPERIOD_OVERRIDE=FQ","FILING_STATUS=MR","SCALING_FORMAT=MLN","Sort=A","Dates=H","DateFormat=P","Fill=—","Direction=H","UseDPDF=Y")</f>
        <v>22021</v>
      </c>
      <c r="E28" s="13">
        <f>_xll.BDH("GILD US Equity","BS_OTHER_ASSETS_DEF_CHRG_OTHER","FQ2 2019","FQ2 2019","Currency=USD","Period=FQ","BEST_FPERIOD_OVERRIDE=FQ","FILING_STATUS=MR","SCALING_FORMAT=MLN","Sort=A","Dates=H","DateFormat=P","Fill=—","Direction=H","UseDPDF=Y")</f>
        <v>21679</v>
      </c>
      <c r="F28" s="13">
        <f>_xll.BDH("GILD US Equity","BS_OTHER_ASSETS_DEF_CHRG_OTHER","FQ3 2019","FQ3 2019","Currency=USD","Period=FQ","BEST_FPERIOD_OVERRIDE=FQ","FILING_STATUS=MR","SCALING_FORMAT=MLN","Sort=A","Dates=H","DateFormat=P","Fill=—","Direction=H","UseDPDF=Y")</f>
        <v>23553</v>
      </c>
      <c r="G28" s="13">
        <f>_xll.BDH("GILD US Equity","BS_OTHER_ASSETS_DEF_CHRG_OTHER","FQ4 2019","FQ4 2019","Currency=USD","Period=FQ","BEST_FPERIOD_OVERRIDE=FQ","FILING_STATUS=MR","SCALING_FORMAT=MLN","Sort=A","Dates=H","DateFormat=P","Fill=—","Direction=H","UseDPDF=Y")</f>
        <v>24673</v>
      </c>
      <c r="H28" s="13">
        <f>_xll.BDH("GILD US Equity","BS_OTHER_ASSETS_DEF_CHRG_OTHER","FQ1 2020","FQ1 2020","Currency=USD","Period=FQ","BEST_FPERIOD_OVERRIDE=FQ","FILING_STATUS=MR","SCALING_FORMAT=MLN","Sort=A","Dates=H","DateFormat=P","Fill=—","Direction=H","UseDPDF=Y")</f>
        <v>24698</v>
      </c>
      <c r="I28" s="13">
        <f>_xll.BDH("GILD US Equity","BS_OTHER_ASSETS_DEF_CHRG_OTHER","FQ2 2020","FQ2 2020","Currency=USD","Period=FQ","BEST_FPERIOD_OVERRIDE=FQ","FILING_STATUS=MR","SCALING_FORMAT=MLN","Sort=A","Dates=H","DateFormat=P","Fill=—","Direction=H","UseDPDF=Y")</f>
        <v>24362</v>
      </c>
      <c r="J28" s="13">
        <f>_xll.BDH("GILD US Equity","BS_OTHER_ASSETS_DEF_CHRG_OTHER","FQ3 2020","FQ3 2020","Currency=USD","Period=FQ","BEST_FPERIOD_OVERRIDE=FQ","FILING_STATUS=MR","SCALING_FORMAT=MLN","Sort=A","Dates=H","DateFormat=P","Fill=—","Direction=H","UseDPDF=Y")</f>
        <v>23068</v>
      </c>
      <c r="K28" s="13">
        <f>_xll.BDH("GILD US Equity","BS_OTHER_ASSETS_DEF_CHRG_OTHER","FQ4 2020","FQ4 2020","Currency=USD","Period=FQ","BEST_FPERIOD_OVERRIDE=FQ","FILING_STATUS=MR","SCALING_FORMAT=MLN","Sort=A","Dates=H","DateFormat=P","Fill=—","Direction=H","UseDPDF=Y")</f>
        <v>46296</v>
      </c>
      <c r="L28" s="13">
        <f>_xll.BDH("GILD US Equity","BS_OTHER_ASSETS_DEF_CHRG_OTHER","FQ1 2021","FQ1 2021","Currency=USD","Period=FQ","BEST_FPERIOD_OVERRIDE=FQ","FILING_STATUS=MR","SCALING_FORMAT=MLN","Sort=A","Dates=H","DateFormat=P","Fill=—","Direction=H","UseDPDF=Y")</f>
        <v>48645</v>
      </c>
      <c r="M28" s="13">
        <f>_xll.BDH("GILD US Equity","BS_OTHER_ASSETS_DEF_CHRG_OTHER","FQ2 2021","FQ2 2021","Currency=USD","Period=FQ","BEST_FPERIOD_OVERRIDE=FQ","FILING_STATUS=MR","SCALING_FORMAT=MLN","Sort=A","Dates=H","DateFormat=P","Fill=—","Direction=H","UseDPDF=Y")</f>
        <v>48227</v>
      </c>
      <c r="N28" s="13">
        <f>_xll.BDH("GILD US Equity","BS_OTHER_ASSETS_DEF_CHRG_OTHER","FQ3 2021","FQ3 2021","Currency=USD","Period=FQ","BEST_FPERIOD_OVERRIDE=FQ","FILING_STATUS=MR","SCALING_FORMAT=MLN","Sort=A","Dates=H","DateFormat=P","Fill=—","Direction=H","UseDPDF=Y")</f>
        <v>46971</v>
      </c>
      <c r="O28" s="13">
        <f>_xll.BDH("GILD US Equity","BS_OTHER_ASSETS_DEF_CHRG_OTHER","FQ4 2021","FQ4 2021","Currency=USD","Period=FQ","BEST_FPERIOD_OVERRIDE=FQ","FILING_STATUS=MR","SCALING_FORMAT=MLN","Sort=A","Dates=H","DateFormat=P","Fill=—","Direction=H","UseDPDF=Y")</f>
        <v>46208</v>
      </c>
      <c r="P28" s="13">
        <f>_xll.BDH("GILD US Equity","BS_OTHER_ASSETS_DEF_CHRG_OTHER","FQ1 2022","FQ1 2022","Currency=USD","Period=FQ","BEST_FPERIOD_OVERRIDE=FQ","FILING_STATUS=MR","SCALING_FORMAT=MLN","Sort=A","Dates=H","DateFormat=P","Fill=—","Direction=H","UseDPDF=Y")</f>
        <v>43771</v>
      </c>
      <c r="Q28" s="13">
        <f>_xll.BDH("GILD US Equity","BS_OTHER_ASSETS_DEF_CHRG_OTHER","FQ2 2022","FQ2 2022","Currency=USD","Period=FQ","BEST_FPERIOD_OVERRIDE=FQ","FILING_STATUS=MR","SCALING_FORMAT=MLN","Sort=A","Dates=H","DateFormat=P","Fill=—","Direction=H","UseDPDF=Y")</f>
        <v>43059</v>
      </c>
      <c r="R28" s="13">
        <f>_xll.BDH("GILD US Equity","BS_OTHER_ASSETS_DEF_CHRG_OTHER","FQ3 2022","FQ3 2022","Currency=USD","Period=FQ","BEST_FPERIOD_OVERRIDE=FQ","FILING_STATUS=MR","SCALING_FORMAT=MLN","Sort=A","Dates=H","DateFormat=P","Fill=—","Direction=H","UseDPDF=Y")</f>
        <v>42372</v>
      </c>
      <c r="S28" s="13">
        <f>_xll.BDH("GILD US Equity","BS_OTHER_ASSETS_DEF_CHRG_OTHER","FQ4 2022","FQ4 2022","Currency=USD","Period=FQ","BEST_FPERIOD_OVERRIDE=FQ","FILING_STATUS=MR","SCALING_FORMAT=MLN","Sort=A","Dates=H","DateFormat=P","Fill=—","Direction=H","UseDPDF=Y")</f>
        <v>41503</v>
      </c>
      <c r="T28" s="13">
        <f>_xll.BDH("GILD US Equity","BS_OTHER_ASSETS_DEF_CHRG_OTHER","FQ1 2023","FQ1 2023","Currency=USD","Period=FQ","BEST_FPERIOD_OVERRIDE=FQ","FILING_STATUS=MR","SCALING_FORMAT=MLN","Sort=A","Dates=H","DateFormat=P","Fill=—","Direction=H","UseDPDF=Y")</f>
        <v>41614</v>
      </c>
      <c r="U28" s="13">
        <f>_xll.BDH("GILD US Equity","BS_OTHER_ASSETS_DEF_CHRG_OTHER","FQ2 2023","FQ2 2023","Currency=USD","Period=FQ","BEST_FPERIOD_OVERRIDE=FQ","FILING_STATUS=MR","SCALING_FORMAT=MLN","Sort=A","Dates=H","DateFormat=P","Fill=—","Direction=H","UseDPDF=Y")</f>
        <v>41176</v>
      </c>
      <c r="V28" s="13">
        <f>_xll.BDH("GILD US Equity","BS_OTHER_ASSETS_DEF_CHRG_OTHER","FQ3 2023","FQ3 2023","Currency=USD","Period=FQ","BEST_FPERIOD_OVERRIDE=FQ","FILING_STATUS=MR","SCALING_FORMAT=MLN","Sort=A","Dates=H","DateFormat=P","Fill=—","Direction=H","UseDPDF=Y")</f>
        <v>39665</v>
      </c>
      <c r="W28" s="13">
        <f>_xll.BDH("GILD US Equity","BS_OTHER_ASSETS_DEF_CHRG_OTHER","FQ4 2023","FQ4 2023","Currency=USD","Period=FQ","BEST_FPERIOD_OVERRIDE=FQ","FILING_STATUS=MR","SCALING_FORMAT=MLN","Sort=A","Dates=H","DateFormat=P","Fill=—","Direction=H","UseDPDF=Y")</f>
        <v>38979</v>
      </c>
      <c r="X28" s="13">
        <f>_xll.BDH("GILD US Equity","BS_OTHER_ASSETS_DEF_CHRG_OTHER","FQ1 2024","FQ1 2024","Currency=USD","Period=FQ","BEST_FPERIOD_OVERRIDE=FQ","FILING_STATUS=MR","SCALING_FORMAT=MLN","Sort=A","Dates=H","DateFormat=P","Fill=—","Direction=H","UseDPDF=Y")</f>
        <v>36930</v>
      </c>
      <c r="Y28" s="13">
        <f>_xll.BDH("GILD US Equity","BS_OTHER_ASSETS_DEF_CHRG_OTHER","FQ2 2024","FQ2 2024","Currency=USD","Period=FQ","BEST_FPERIOD_OVERRIDE=FQ","FILING_STATUS=MR","SCALING_FORMAT=MLN","Sort=A","Dates=H","DateFormat=P","Fill=—","Direction=H","UseDPDF=Y")</f>
        <v>35916</v>
      </c>
      <c r="Z28" s="13">
        <f>_xll.BDH("GILD US Equity","BS_OTHER_ASSETS_DEF_CHRG_OTHER","FQ3 2024","FQ3 2024","Currency=USD","Period=FQ","BEST_FPERIOD_OVERRIDE=FQ","FILING_STATUS=MR","SCALING_FORMAT=MLN","Sort=A","Dates=H","DateFormat=P","Fill=—","Direction=H","UseDPDF=Y")</f>
        <v>34355</v>
      </c>
      <c r="AA28" s="13">
        <f>_xll.BDH("GILD US Equity","BS_OTHER_ASSETS_DEF_CHRG_OTHER","FQ4 2024","FQ4 2024","Currency=USD","Period=FQ","BEST_FPERIOD_OVERRIDE=FQ","FILING_STATUS=MR","SCALING_FORMAT=MLN","Sort=A","Dates=H","DateFormat=P","Fill=—","Direction=H","UseDPDF=Y")</f>
        <v>33894</v>
      </c>
    </row>
    <row r="29" spans="1:27" x14ac:dyDescent="0.25">
      <c r="A29" s="10" t="s">
        <v>786</v>
      </c>
      <c r="B29" s="10" t="s">
        <v>787</v>
      </c>
      <c r="C29" s="13">
        <f>_xll.BDH("GILD US Equity","BS_DISCLOSED_INTANGIBLES","FQ4 2018","FQ4 2018","Currency=USD","Period=FQ","BEST_FPERIOD_OVERRIDE=FQ","FILING_STATUS=MR","SCALING_FORMAT=MLN","Sort=A","Dates=H","DateFormat=P","Fill=—","Direction=H","UseDPDF=Y")</f>
        <v>19855</v>
      </c>
      <c r="D29" s="13">
        <f>_xll.BDH("GILD US Equity","BS_DISCLOSED_INTANGIBLES","FQ1 2019","FQ1 2019","Currency=USD","Period=FQ","BEST_FPERIOD_OVERRIDE=FQ","FILING_STATUS=MR","SCALING_FORMAT=MLN","Sort=A","Dates=H","DateFormat=P","Fill=—","Direction=H","UseDPDF=Y")</f>
        <v>19555</v>
      </c>
      <c r="E29" s="13">
        <f>_xll.BDH("GILD US Equity","BS_DISCLOSED_INTANGIBLES","FQ2 2019","FQ2 2019","Currency=USD","Period=FQ","BEST_FPERIOD_OVERRIDE=FQ","FILING_STATUS=MR","SCALING_FORMAT=MLN","Sort=A","Dates=H","DateFormat=P","Fill=—","Direction=H","UseDPDF=Y")</f>
        <v>19269</v>
      </c>
      <c r="F29" s="13">
        <f>_xll.BDH("GILD US Equity","BS_DISCLOSED_INTANGIBLES","FQ3 2019","FQ3 2019","Currency=USD","Period=FQ","BEST_FPERIOD_OVERRIDE=FQ","FILING_STATUS=MR","SCALING_FORMAT=MLN","Sort=A","Dates=H","DateFormat=P","Fill=—","Direction=H","UseDPDF=Y")</f>
        <v>18981</v>
      </c>
      <c r="G29" s="13">
        <f>_xll.BDH("GILD US Equity","BS_DISCLOSED_INTANGIBLES","FQ4 2019","FQ4 2019","Currency=USD","Period=FQ","BEST_FPERIOD_OVERRIDE=FQ","FILING_STATUS=MR","SCALING_FORMAT=MLN","Sort=A","Dates=H","DateFormat=P","Fill=—","Direction=H","UseDPDF=Y")</f>
        <v>17903</v>
      </c>
      <c r="H29" s="13">
        <f>_xll.BDH("GILD US Equity","BS_DISCLOSED_INTANGIBLES","FQ1 2020","FQ1 2020","Currency=USD","Period=FQ","BEST_FPERIOD_OVERRIDE=FQ","FILING_STATUS=MR","SCALING_FORMAT=MLN","Sort=A","Dates=H","DateFormat=P","Fill=—","Direction=H","UseDPDF=Y")</f>
        <v>17619</v>
      </c>
      <c r="I29" s="13">
        <f>_xll.BDH("GILD US Equity","BS_DISCLOSED_INTANGIBLES","FQ2 2020","FQ2 2020","Currency=USD","Period=FQ","BEST_FPERIOD_OVERRIDE=FQ","FILING_STATUS=MR","SCALING_FORMAT=MLN","Sort=A","Dates=H","DateFormat=P","Fill=—","Direction=H","UseDPDF=Y")</f>
        <v>17342</v>
      </c>
      <c r="J29" s="13">
        <f>_xll.BDH("GILD US Equity","BS_DISCLOSED_INTANGIBLES","FQ3 2020","FQ3 2020","Currency=USD","Period=FQ","BEST_FPERIOD_OVERRIDE=FQ","FILING_STATUS=MR","SCALING_FORMAT=MLN","Sort=A","Dates=H","DateFormat=P","Fill=—","Direction=H","UseDPDF=Y")</f>
        <v>17056</v>
      </c>
      <c r="K29" s="13">
        <f>_xll.BDH("GILD US Equity","BS_DISCLOSED_INTANGIBLES","FQ4 2020","FQ4 2020","Currency=USD","Period=FQ","BEST_FPERIOD_OVERRIDE=FQ","FILING_STATUS=MR","SCALING_FORMAT=MLN","Sort=A","Dates=H","DateFormat=P","Fill=—","Direction=H","UseDPDF=Y")</f>
        <v>41234</v>
      </c>
      <c r="L29" s="13">
        <f>_xll.BDH("GILD US Equity","BS_DISCLOSED_INTANGIBLES","FQ1 2021","FQ1 2021","Currency=USD","Period=FQ","BEST_FPERIOD_OVERRIDE=FQ","FILING_STATUS=MR","SCALING_FORMAT=MLN","Sort=A","Dates=H","DateFormat=P","Fill=—","Direction=H","UseDPDF=Y")</f>
        <v>43115</v>
      </c>
      <c r="M29" s="13">
        <f>_xll.BDH("GILD US Equity","BS_DISCLOSED_INTANGIBLES","FQ2 2021","FQ2 2021","Currency=USD","Period=FQ","BEST_FPERIOD_OVERRIDE=FQ","FILING_STATUS=MR","SCALING_FORMAT=MLN","Sort=A","Dates=H","DateFormat=P","Fill=—","Direction=H","UseDPDF=Y")</f>
        <v>42675</v>
      </c>
      <c r="N29" s="13">
        <f>_xll.BDH("GILD US Equity","BS_DISCLOSED_INTANGIBLES","FQ3 2021","FQ3 2021","Currency=USD","Period=FQ","BEST_FPERIOD_OVERRIDE=FQ","FILING_STATUS=MR","SCALING_FORMAT=MLN","Sort=A","Dates=H","DateFormat=P","Fill=—","Direction=H","UseDPDF=Y")</f>
        <v>42232</v>
      </c>
      <c r="O29" s="13">
        <f>_xll.BDH("GILD US Equity","BS_DISCLOSED_INTANGIBLES","FQ4 2021","FQ4 2021","Currency=USD","Period=FQ","BEST_FPERIOD_OVERRIDE=FQ","FILING_STATUS=MR","SCALING_FORMAT=MLN","Sort=A","Dates=H","DateFormat=P","Fill=—","Direction=H","UseDPDF=Y")</f>
        <v>41787</v>
      </c>
      <c r="P29" s="13">
        <f>_xll.BDH("GILD US Equity","BS_DISCLOSED_INTANGIBLES","FQ1 2022","FQ1 2022","Currency=USD","Period=FQ","BEST_FPERIOD_OVERRIDE=FQ","FILING_STATUS=MR","SCALING_FORMAT=MLN","Sort=A","Dates=H","DateFormat=P","Fill=—","Direction=H","UseDPDF=Y")</f>
        <v>38645</v>
      </c>
      <c r="Q29" s="13">
        <f>_xll.BDH("GILD US Equity","BS_DISCLOSED_INTANGIBLES","FQ2 2022","FQ2 2022","Currency=USD","Period=FQ","BEST_FPERIOD_OVERRIDE=FQ","FILING_STATUS=MR","SCALING_FORMAT=MLN","Sort=A","Dates=H","DateFormat=P","Fill=—","Direction=H","UseDPDF=Y")</f>
        <v>38199</v>
      </c>
      <c r="R29" s="13">
        <f>_xll.BDH("GILD US Equity","BS_DISCLOSED_INTANGIBLES","FQ3 2022","FQ3 2022","Currency=USD","Period=FQ","BEST_FPERIOD_OVERRIDE=FQ","FILING_STATUS=MR","SCALING_FORMAT=MLN","Sort=A","Dates=H","DateFormat=P","Fill=—","Direction=H","UseDPDF=Y")</f>
        <v>37754</v>
      </c>
      <c r="S29" s="13">
        <f>_xll.BDH("GILD US Equity","BS_DISCLOSED_INTANGIBLES","FQ4 2022","FQ4 2022","Currency=USD","Period=FQ","BEST_FPERIOD_OVERRIDE=FQ","FILING_STATUS=MR","SCALING_FORMAT=MLN","Sort=A","Dates=H","DateFormat=P","Fill=—","Direction=H","UseDPDF=Y")</f>
        <v>37208</v>
      </c>
      <c r="T29" s="13">
        <f>_xll.BDH("GILD US Equity","BS_DISCLOSED_INTANGIBLES","FQ1 2023","FQ1 2023","Currency=USD","Period=FQ","BEST_FPERIOD_OVERRIDE=FQ","FILING_STATUS=MR","SCALING_FORMAT=MLN","Sort=A","Dates=H","DateFormat=P","Fill=—","Direction=H","UseDPDF=Y")</f>
        <v>36662</v>
      </c>
      <c r="U29" s="13">
        <f>_xll.BDH("GILD US Equity","BS_DISCLOSED_INTANGIBLES","FQ2 2023","FQ2 2023","Currency=USD","Period=FQ","BEST_FPERIOD_OVERRIDE=FQ","FILING_STATUS=MR","SCALING_FORMAT=MLN","Sort=A","Dates=H","DateFormat=P","Fill=—","Direction=H","UseDPDF=Y")</f>
        <v>36064</v>
      </c>
      <c r="V29" s="13">
        <f>_xll.BDH("GILD US Equity","BS_DISCLOSED_INTANGIBLES","FQ3 2023","FQ3 2023","Currency=USD","Period=FQ","BEST_FPERIOD_OVERRIDE=FQ","FILING_STATUS=MR","SCALING_FORMAT=MLN","Sort=A","Dates=H","DateFormat=P","Fill=—","Direction=H","UseDPDF=Y")</f>
        <v>35466</v>
      </c>
      <c r="W29" s="13">
        <f>_xll.BDH("GILD US Equity","BS_DISCLOSED_INTANGIBLES","FQ4 2023","FQ4 2023","Currency=USD","Period=FQ","BEST_FPERIOD_OVERRIDE=FQ","FILING_STATUS=MR","SCALING_FORMAT=MLN","Sort=A","Dates=H","DateFormat=P","Fill=—","Direction=H","UseDPDF=Y")</f>
        <v>34768</v>
      </c>
      <c r="X29" s="13">
        <f>_xll.BDH("GILD US Equity","BS_DISCLOSED_INTANGIBLES","FQ1 2024","FQ1 2024","Currency=USD","Period=FQ","BEST_FPERIOD_OVERRIDE=FQ","FILING_STATUS=MR","SCALING_FORMAT=MLN","Sort=A","Dates=H","DateFormat=P","Fill=—","Direction=H","UseDPDF=Y")</f>
        <v>31742</v>
      </c>
      <c r="Y29" s="13">
        <f>_xll.BDH("GILD US Equity","BS_DISCLOSED_INTANGIBLES","FQ2 2024","FQ2 2024","Currency=USD","Period=FQ","BEST_FPERIOD_OVERRIDE=FQ","FILING_STATUS=MR","SCALING_FORMAT=MLN","Sort=A","Dates=H","DateFormat=P","Fill=—","Direction=H","UseDPDF=Y")</f>
        <v>31146</v>
      </c>
      <c r="Z29" s="13">
        <f>_xll.BDH("GILD US Equity","BS_DISCLOSED_INTANGIBLES","FQ3 2024","FQ3 2024","Currency=USD","Period=FQ","BEST_FPERIOD_OVERRIDE=FQ","FILING_STATUS=MR","SCALING_FORMAT=MLN","Sort=A","Dates=H","DateFormat=P","Fill=—","Direction=H","UseDPDF=Y")</f>
        <v>28860</v>
      </c>
      <c r="AA29" s="13">
        <f>_xll.BDH("GILD US Equity","BS_DISCLOSED_INTANGIBLES","FQ4 2024","FQ4 2024","Currency=USD","Period=FQ","BEST_FPERIOD_OVERRIDE=FQ","FILING_STATUS=MR","SCALING_FORMAT=MLN","Sort=A","Dates=H","DateFormat=P","Fill=—","Direction=H","UseDPDF=Y")</f>
        <v>28262</v>
      </c>
    </row>
    <row r="30" spans="1:27" x14ac:dyDescent="0.25">
      <c r="A30" s="11" t="s">
        <v>788</v>
      </c>
      <c r="B30" s="11" t="s">
        <v>789</v>
      </c>
      <c r="C30" s="25">
        <f>_xll.BDH("GILD US Equity","BS_GOODWILL","FQ4 2018","FQ4 2018","Currency=USD","Period=FQ","BEST_FPERIOD_OVERRIDE=FQ","FILING_STATUS=MR","SCALING_FORMAT=MLN","Sort=A","Dates=H","DateFormat=P","Fill=—","Direction=H","UseDPDF=Y")</f>
        <v>4117</v>
      </c>
      <c r="D30" s="25">
        <f>_xll.BDH("GILD US Equity","BS_GOODWILL","FQ1 2019","FQ1 2019","Currency=USD","Period=FQ","BEST_FPERIOD_OVERRIDE=FQ","FILING_STATUS=MR","SCALING_FORMAT=MLN","Sort=A","Dates=H","DateFormat=P","Fill=—","Direction=H","UseDPDF=Y")</f>
        <v>4117</v>
      </c>
      <c r="E30" s="25">
        <f>_xll.BDH("GILD US Equity","BS_GOODWILL","FQ2 2019","FQ2 2019","Currency=USD","Period=FQ","BEST_FPERIOD_OVERRIDE=FQ","FILING_STATUS=MR","SCALING_FORMAT=MLN","Sort=A","Dates=H","DateFormat=P","Fill=—","Direction=H","UseDPDF=Y")</f>
        <v>4117</v>
      </c>
      <c r="F30" s="25">
        <f>_xll.BDH("GILD US Equity","BS_GOODWILL","FQ3 2019","FQ3 2019","Currency=USD","Period=FQ","BEST_FPERIOD_OVERRIDE=FQ","FILING_STATUS=MR","SCALING_FORMAT=MLN","Sort=A","Dates=H","DateFormat=P","Fill=—","Direction=H","UseDPDF=Y")</f>
        <v>4117</v>
      </c>
      <c r="G30" s="25">
        <f>_xll.BDH("GILD US Equity","BS_GOODWILL","FQ4 2019","FQ4 2019","Currency=USD","Period=FQ","BEST_FPERIOD_OVERRIDE=FQ","FILING_STATUS=MR","SCALING_FORMAT=MLN","Sort=A","Dates=H","DateFormat=P","Fill=—","Direction=H","UseDPDF=Y")</f>
        <v>4117</v>
      </c>
      <c r="H30" s="25">
        <f>_xll.BDH("GILD US Equity","BS_GOODWILL","FQ1 2020","FQ1 2020","Currency=USD","Period=FQ","BEST_FPERIOD_OVERRIDE=FQ","FILING_STATUS=MR","SCALING_FORMAT=MLN","Sort=A","Dates=H","DateFormat=P","Fill=—","Direction=H","UseDPDF=Y")</f>
        <v>4117</v>
      </c>
      <c r="I30" s="25">
        <f>_xll.BDH("GILD US Equity","BS_GOODWILL","FQ2 2020","FQ2 2020","Currency=USD","Period=FQ","BEST_FPERIOD_OVERRIDE=FQ","FILING_STATUS=MR","SCALING_FORMAT=MLN","Sort=A","Dates=H","DateFormat=P","Fill=—","Direction=H","UseDPDF=Y")</f>
        <v>4117</v>
      </c>
      <c r="J30" s="25">
        <f>_xll.BDH("GILD US Equity","BS_GOODWILL","FQ3 2020","FQ3 2020","Currency=USD","Period=FQ","BEST_FPERIOD_OVERRIDE=FQ","FILING_STATUS=MR","SCALING_FORMAT=MLN","Sort=A","Dates=H","DateFormat=P","Fill=—","Direction=H","UseDPDF=Y")</f>
        <v>4117</v>
      </c>
      <c r="K30" s="25">
        <f>_xll.BDH("GILD US Equity","BS_GOODWILL","FQ4 2020","FQ4 2020","Currency=USD","Period=FQ","BEST_FPERIOD_OVERRIDE=FQ","FILING_STATUS=MR","SCALING_FORMAT=MLN","Sort=A","Dates=H","DateFormat=P","Fill=—","Direction=H","UseDPDF=Y")</f>
        <v>8108</v>
      </c>
      <c r="L30" s="25">
        <f>_xll.BDH("GILD US Equity","BS_GOODWILL","FQ1 2021","FQ1 2021","Currency=USD","Period=FQ","BEST_FPERIOD_OVERRIDE=FQ","FILING_STATUS=MR","SCALING_FORMAT=MLN","Sort=A","Dates=H","DateFormat=P","Fill=—","Direction=H","UseDPDF=Y")</f>
        <v>8334</v>
      </c>
      <c r="M30" s="25">
        <f>_xll.BDH("GILD US Equity","BS_GOODWILL","FQ2 2021","FQ2 2021","Currency=USD","Period=FQ","BEST_FPERIOD_OVERRIDE=FQ","FILING_STATUS=MR","SCALING_FORMAT=MLN","Sort=A","Dates=H","DateFormat=P","Fill=—","Direction=H","UseDPDF=Y")</f>
        <v>8334</v>
      </c>
      <c r="N30" s="25">
        <f>_xll.BDH("GILD US Equity","BS_GOODWILL","FQ3 2021","FQ3 2021","Currency=USD","Period=FQ","BEST_FPERIOD_OVERRIDE=FQ","FILING_STATUS=MR","SCALING_FORMAT=MLN","Sort=A","Dates=H","DateFormat=P","Fill=—","Direction=H","UseDPDF=Y")</f>
        <v>8332</v>
      </c>
      <c r="O30" s="25">
        <f>_xll.BDH("GILD US Equity","BS_GOODWILL","FQ4 2021","FQ4 2021","Currency=USD","Period=FQ","BEST_FPERIOD_OVERRIDE=FQ","FILING_STATUS=MR","SCALING_FORMAT=MLN","Sort=A","Dates=H","DateFormat=P","Fill=—","Direction=H","UseDPDF=Y")</f>
        <v>8332</v>
      </c>
      <c r="P30" s="25">
        <f>_xll.BDH("GILD US Equity","BS_GOODWILL","FQ1 2022","FQ1 2022","Currency=USD","Period=FQ","BEST_FPERIOD_OVERRIDE=FQ","FILING_STATUS=MR","SCALING_FORMAT=MLN","Sort=A","Dates=H","DateFormat=P","Fill=—","Direction=H","UseDPDF=Y")</f>
        <v>8314</v>
      </c>
      <c r="Q30" s="25">
        <f>_xll.BDH("GILD US Equity","BS_GOODWILL","FQ2 2022","FQ2 2022","Currency=USD","Period=FQ","BEST_FPERIOD_OVERRIDE=FQ","FILING_STATUS=MR","SCALING_FORMAT=MLN","Sort=A","Dates=H","DateFormat=P","Fill=—","Direction=H","UseDPDF=Y")</f>
        <v>8314</v>
      </c>
      <c r="R30" s="25">
        <f>_xll.BDH("GILD US Equity","BS_GOODWILL","FQ3 2022","FQ3 2022","Currency=USD","Period=FQ","BEST_FPERIOD_OVERRIDE=FQ","FILING_STATUS=MR","SCALING_FORMAT=MLN","Sort=A","Dates=H","DateFormat=P","Fill=—","Direction=H","UseDPDF=Y")</f>
        <v>8314</v>
      </c>
      <c r="S30" s="25">
        <f>_xll.BDH("GILD US Equity","BS_GOODWILL","FQ4 2022","FQ4 2022","Currency=USD","Period=FQ","BEST_FPERIOD_OVERRIDE=FQ","FILING_STATUS=MR","SCALING_FORMAT=MLN","Sort=A","Dates=H","DateFormat=P","Fill=—","Direction=H","UseDPDF=Y")</f>
        <v>8314</v>
      </c>
      <c r="T30" s="25">
        <f>_xll.BDH("GILD US Equity","BS_GOODWILL","FQ1 2023","FQ1 2023","Currency=USD","Period=FQ","BEST_FPERIOD_OVERRIDE=FQ","FILING_STATUS=MR","SCALING_FORMAT=MLN","Sort=A","Dates=H","DateFormat=P","Fill=—","Direction=H","UseDPDF=Y")</f>
        <v>8314</v>
      </c>
      <c r="U30" s="25">
        <f>_xll.BDH("GILD US Equity","BS_GOODWILL","FQ2 2023","FQ2 2023","Currency=USD","Period=FQ","BEST_FPERIOD_OVERRIDE=FQ","FILING_STATUS=MR","SCALING_FORMAT=MLN","Sort=A","Dates=H","DateFormat=P","Fill=—","Direction=H","UseDPDF=Y")</f>
        <v>8314</v>
      </c>
      <c r="V30" s="25">
        <f>_xll.BDH("GILD US Equity","BS_GOODWILL","FQ3 2023","FQ3 2023","Currency=USD","Period=FQ","BEST_FPERIOD_OVERRIDE=FQ","FILING_STATUS=MR","SCALING_FORMAT=MLN","Sort=A","Dates=H","DateFormat=P","Fill=—","Direction=H","UseDPDF=Y")</f>
        <v>8314</v>
      </c>
      <c r="W30" s="25">
        <f>_xll.BDH("GILD US Equity","BS_GOODWILL","FQ4 2023","FQ4 2023","Currency=USD","Period=FQ","BEST_FPERIOD_OVERRIDE=FQ","FILING_STATUS=MR","SCALING_FORMAT=MLN","Sort=A","Dates=H","DateFormat=P","Fill=—","Direction=H","UseDPDF=Y")</f>
        <v>8314</v>
      </c>
      <c r="X30" s="25">
        <f>_xll.BDH("GILD US Equity","BS_GOODWILL","FQ1 2024","FQ1 2024","Currency=USD","Period=FQ","BEST_FPERIOD_OVERRIDE=FQ","FILING_STATUS=MR","SCALING_FORMAT=MLN","Sort=A","Dates=H","DateFormat=P","Fill=—","Direction=H","UseDPDF=Y")</f>
        <v>8314</v>
      </c>
      <c r="Y30" s="25">
        <f>_xll.BDH("GILD US Equity","BS_GOODWILL","FQ2 2024","FQ2 2024","Currency=USD","Period=FQ","BEST_FPERIOD_OVERRIDE=FQ","FILING_STATUS=MR","SCALING_FORMAT=MLN","Sort=A","Dates=H","DateFormat=P","Fill=—","Direction=H","UseDPDF=Y")</f>
        <v>8314</v>
      </c>
      <c r="Z30" s="25">
        <f>_xll.BDH("GILD US Equity","BS_GOODWILL","FQ3 2024","FQ3 2024","Currency=USD","Period=FQ","BEST_FPERIOD_OVERRIDE=FQ","FILING_STATUS=MR","SCALING_FORMAT=MLN","Sort=A","Dates=H","DateFormat=P","Fill=—","Direction=H","UseDPDF=Y")</f>
        <v>8314</v>
      </c>
      <c r="AA30" s="25">
        <f>_xll.BDH("GILD US Equity","BS_GOODWILL","FQ4 2024","FQ4 2024","Currency=USD","Period=FQ","BEST_FPERIOD_OVERRIDE=FQ","FILING_STATUS=MR","SCALING_FORMAT=MLN","Sort=A","Dates=H","DateFormat=P","Fill=—","Direction=H","UseDPDF=Y")</f>
        <v>8314</v>
      </c>
    </row>
    <row r="31" spans="1:27" x14ac:dyDescent="0.25">
      <c r="A31" s="11" t="s">
        <v>790</v>
      </c>
      <c r="B31" s="11" t="s">
        <v>791</v>
      </c>
      <c r="C31" s="25">
        <f>_xll.BDH("GILD US Equity","OTHER_INTANGIBLE_ASSETS_DETAILED","FQ4 2018","FQ4 2018","Currency=USD","Period=FQ","BEST_FPERIOD_OVERRIDE=FQ","FILING_STATUS=MR","SCALING_FORMAT=MLN","Sort=A","Dates=H","DateFormat=P","Fill=—","Direction=H","UseDPDF=Y")</f>
        <v>15738</v>
      </c>
      <c r="D31" s="25">
        <f>_xll.BDH("GILD US Equity","OTHER_INTANGIBLE_ASSETS_DETAILED","FQ1 2019","FQ1 2019","Currency=USD","Period=FQ","BEST_FPERIOD_OVERRIDE=FQ","FILING_STATUS=MR","SCALING_FORMAT=MLN","Sort=A","Dates=H","DateFormat=P","Fill=—","Direction=H","UseDPDF=Y")</f>
        <v>15438</v>
      </c>
      <c r="E31" s="25">
        <f>_xll.BDH("GILD US Equity","OTHER_INTANGIBLE_ASSETS_DETAILED","FQ2 2019","FQ2 2019","Currency=USD","Period=FQ","BEST_FPERIOD_OVERRIDE=FQ","FILING_STATUS=MR","SCALING_FORMAT=MLN","Sort=A","Dates=H","DateFormat=P","Fill=—","Direction=H","UseDPDF=Y")</f>
        <v>15152</v>
      </c>
      <c r="F31" s="25">
        <f>_xll.BDH("GILD US Equity","OTHER_INTANGIBLE_ASSETS_DETAILED","FQ3 2019","FQ3 2019","Currency=USD","Period=FQ","BEST_FPERIOD_OVERRIDE=FQ","FILING_STATUS=MR","SCALING_FORMAT=MLN","Sort=A","Dates=H","DateFormat=P","Fill=—","Direction=H","UseDPDF=Y")</f>
        <v>14864</v>
      </c>
      <c r="G31" s="25">
        <f>_xll.BDH("GILD US Equity","OTHER_INTANGIBLE_ASSETS_DETAILED","FQ4 2019","FQ4 2019","Currency=USD","Period=FQ","BEST_FPERIOD_OVERRIDE=FQ","FILING_STATUS=MR","SCALING_FORMAT=MLN","Sort=A","Dates=H","DateFormat=P","Fill=—","Direction=H","UseDPDF=Y")</f>
        <v>13786</v>
      </c>
      <c r="H31" s="25">
        <f>_xll.BDH("GILD US Equity","OTHER_INTANGIBLE_ASSETS_DETAILED","FQ1 2020","FQ1 2020","Currency=USD","Period=FQ","BEST_FPERIOD_OVERRIDE=FQ","FILING_STATUS=MR","SCALING_FORMAT=MLN","Sort=A","Dates=H","DateFormat=P","Fill=—","Direction=H","UseDPDF=Y")</f>
        <v>13502</v>
      </c>
      <c r="I31" s="25">
        <f>_xll.BDH("GILD US Equity","OTHER_INTANGIBLE_ASSETS_DETAILED","FQ2 2020","FQ2 2020","Currency=USD","Period=FQ","BEST_FPERIOD_OVERRIDE=FQ","FILING_STATUS=MR","SCALING_FORMAT=MLN","Sort=A","Dates=H","DateFormat=P","Fill=—","Direction=H","UseDPDF=Y")</f>
        <v>13225</v>
      </c>
      <c r="J31" s="25">
        <f>_xll.BDH("GILD US Equity","OTHER_INTANGIBLE_ASSETS_DETAILED","FQ3 2020","FQ3 2020","Currency=USD","Period=FQ","BEST_FPERIOD_OVERRIDE=FQ","FILING_STATUS=MR","SCALING_FORMAT=MLN","Sort=A","Dates=H","DateFormat=P","Fill=—","Direction=H","UseDPDF=Y")</f>
        <v>12939</v>
      </c>
      <c r="K31" s="25">
        <f>_xll.BDH("GILD US Equity","OTHER_INTANGIBLE_ASSETS_DETAILED","FQ4 2020","FQ4 2020","Currency=USD","Period=FQ","BEST_FPERIOD_OVERRIDE=FQ","FILING_STATUS=MR","SCALING_FORMAT=MLN","Sort=A","Dates=H","DateFormat=P","Fill=—","Direction=H","UseDPDF=Y")</f>
        <v>33126</v>
      </c>
      <c r="L31" s="25">
        <f>_xll.BDH("GILD US Equity","OTHER_INTANGIBLE_ASSETS_DETAILED","FQ1 2021","FQ1 2021","Currency=USD","Period=FQ","BEST_FPERIOD_OVERRIDE=FQ","FILING_STATUS=MR","SCALING_FORMAT=MLN","Sort=A","Dates=H","DateFormat=P","Fill=—","Direction=H","UseDPDF=Y")</f>
        <v>34781</v>
      </c>
      <c r="M31" s="25">
        <f>_xll.BDH("GILD US Equity","OTHER_INTANGIBLE_ASSETS_DETAILED","FQ2 2021","FQ2 2021","Currency=USD","Period=FQ","BEST_FPERIOD_OVERRIDE=FQ","FILING_STATUS=MR","SCALING_FORMAT=MLN","Sort=A","Dates=H","DateFormat=P","Fill=—","Direction=H","UseDPDF=Y")</f>
        <v>34341</v>
      </c>
      <c r="N31" s="25">
        <f>_xll.BDH("GILD US Equity","OTHER_INTANGIBLE_ASSETS_DETAILED","FQ3 2021","FQ3 2021","Currency=USD","Period=FQ","BEST_FPERIOD_OVERRIDE=FQ","FILING_STATUS=MR","SCALING_FORMAT=MLN","Sort=A","Dates=H","DateFormat=P","Fill=—","Direction=H","UseDPDF=Y")</f>
        <v>33900</v>
      </c>
      <c r="O31" s="25">
        <f>_xll.BDH("GILD US Equity","OTHER_INTANGIBLE_ASSETS_DETAILED","FQ4 2021","FQ4 2021","Currency=USD","Period=FQ","BEST_FPERIOD_OVERRIDE=FQ","FILING_STATUS=MR","SCALING_FORMAT=MLN","Sort=A","Dates=H","DateFormat=P","Fill=—","Direction=H","UseDPDF=Y")</f>
        <v>33455</v>
      </c>
      <c r="P31" s="25">
        <f>_xll.BDH("GILD US Equity","OTHER_INTANGIBLE_ASSETS_DETAILED","FQ1 2022","FQ1 2022","Currency=USD","Period=FQ","BEST_FPERIOD_OVERRIDE=FQ","FILING_STATUS=MR","SCALING_FORMAT=MLN","Sort=A","Dates=H","DateFormat=P","Fill=—","Direction=H","UseDPDF=Y")</f>
        <v>30331</v>
      </c>
      <c r="Q31" s="25">
        <f>_xll.BDH("GILD US Equity","OTHER_INTANGIBLE_ASSETS_DETAILED","FQ2 2022","FQ2 2022","Currency=USD","Period=FQ","BEST_FPERIOD_OVERRIDE=FQ","FILING_STATUS=MR","SCALING_FORMAT=MLN","Sort=A","Dates=H","DateFormat=P","Fill=—","Direction=H","UseDPDF=Y")</f>
        <v>29885</v>
      </c>
      <c r="R31" s="25">
        <f>_xll.BDH("GILD US Equity","OTHER_INTANGIBLE_ASSETS_DETAILED","FQ3 2022","FQ3 2022","Currency=USD","Period=FQ","BEST_FPERIOD_OVERRIDE=FQ","FILING_STATUS=MR","SCALING_FORMAT=MLN","Sort=A","Dates=H","DateFormat=P","Fill=—","Direction=H","UseDPDF=Y")</f>
        <v>29440</v>
      </c>
      <c r="S31" s="25">
        <f>_xll.BDH("GILD US Equity","OTHER_INTANGIBLE_ASSETS_DETAILED","FQ4 2022","FQ4 2022","Currency=USD","Period=FQ","BEST_FPERIOD_OVERRIDE=FQ","FILING_STATUS=MR","SCALING_FORMAT=MLN","Sort=A","Dates=H","DateFormat=P","Fill=—","Direction=H","UseDPDF=Y")</f>
        <v>28894</v>
      </c>
      <c r="T31" s="25">
        <f>_xll.BDH("GILD US Equity","OTHER_INTANGIBLE_ASSETS_DETAILED","FQ1 2023","FQ1 2023","Currency=USD","Period=FQ","BEST_FPERIOD_OVERRIDE=FQ","FILING_STATUS=MR","SCALING_FORMAT=MLN","Sort=A","Dates=H","DateFormat=P","Fill=—","Direction=H","UseDPDF=Y")</f>
        <v>28348</v>
      </c>
      <c r="U31" s="25">
        <f>_xll.BDH("GILD US Equity","OTHER_INTANGIBLE_ASSETS_DETAILED","FQ2 2023","FQ2 2023","Currency=USD","Period=FQ","BEST_FPERIOD_OVERRIDE=FQ","FILING_STATUS=MR","SCALING_FORMAT=MLN","Sort=A","Dates=H","DateFormat=P","Fill=—","Direction=H","UseDPDF=Y")</f>
        <v>27750</v>
      </c>
      <c r="V31" s="25">
        <f>_xll.BDH("GILD US Equity","OTHER_INTANGIBLE_ASSETS_DETAILED","FQ3 2023","FQ3 2023","Currency=USD","Period=FQ","BEST_FPERIOD_OVERRIDE=FQ","FILING_STATUS=MR","SCALING_FORMAT=MLN","Sort=A","Dates=H","DateFormat=P","Fill=—","Direction=H","UseDPDF=Y")</f>
        <v>27152</v>
      </c>
      <c r="W31" s="25">
        <f>_xll.BDH("GILD US Equity","OTHER_INTANGIBLE_ASSETS_DETAILED","FQ4 2023","FQ4 2023","Currency=USD","Period=FQ","BEST_FPERIOD_OVERRIDE=FQ","FILING_STATUS=MR","SCALING_FORMAT=MLN","Sort=A","Dates=H","DateFormat=P","Fill=—","Direction=H","UseDPDF=Y")</f>
        <v>26454</v>
      </c>
      <c r="X31" s="25">
        <f>_xll.BDH("GILD US Equity","OTHER_INTANGIBLE_ASSETS_DETAILED","FQ1 2024","FQ1 2024","Currency=USD","Period=FQ","BEST_FPERIOD_OVERRIDE=FQ","FILING_STATUS=MR","SCALING_FORMAT=MLN","Sort=A","Dates=H","DateFormat=P","Fill=—","Direction=H","UseDPDF=Y")</f>
        <v>23428</v>
      </c>
      <c r="Y31" s="25">
        <f>_xll.BDH("GILD US Equity","OTHER_INTANGIBLE_ASSETS_DETAILED","FQ2 2024","FQ2 2024","Currency=USD","Period=FQ","BEST_FPERIOD_OVERRIDE=FQ","FILING_STATUS=MR","SCALING_FORMAT=MLN","Sort=A","Dates=H","DateFormat=P","Fill=—","Direction=H","UseDPDF=Y")</f>
        <v>22832</v>
      </c>
      <c r="Z31" s="25">
        <f>_xll.BDH("GILD US Equity","OTHER_INTANGIBLE_ASSETS_DETAILED","FQ3 2024","FQ3 2024","Currency=USD","Period=FQ","BEST_FPERIOD_OVERRIDE=FQ","FILING_STATUS=MR","SCALING_FORMAT=MLN","Sort=A","Dates=H","DateFormat=P","Fill=—","Direction=H","UseDPDF=Y")</f>
        <v>20546</v>
      </c>
      <c r="AA31" s="25">
        <f>_xll.BDH("GILD US Equity","OTHER_INTANGIBLE_ASSETS_DETAILED","FQ4 2024","FQ4 2024","Currency=USD","Period=FQ","BEST_FPERIOD_OVERRIDE=FQ","FILING_STATUS=MR","SCALING_FORMAT=MLN","Sort=A","Dates=H","DateFormat=P","Fill=—","Direction=H","UseDPDF=Y")</f>
        <v>19948</v>
      </c>
    </row>
    <row r="32" spans="1:27" x14ac:dyDescent="0.25">
      <c r="A32" s="10" t="s">
        <v>792</v>
      </c>
      <c r="B32" s="10" t="s">
        <v>793</v>
      </c>
      <c r="C32" s="13" t="str">
        <f>_xll.BDH("GILD US Equity","BS_PREPAID_EXPENSE_LT","FQ4 2018","FQ4 2018","Currency=USD","Period=FQ","BEST_FPERIOD_OVERRIDE=FQ","FILING_STATUS=MR","SCALING_FORMAT=MLN","Sort=A","Dates=H","DateFormat=P","Fill=—","Direction=H","UseDPDF=Y")</f>
        <v>—</v>
      </c>
      <c r="D32" s="13" t="str">
        <f>_xll.BDH("GILD US Equity","BS_PREPAID_EXPENSE_LT","FQ1 2019","FQ1 2019","Currency=USD","Period=FQ","BEST_FPERIOD_OVERRIDE=FQ","FILING_STATUS=MR","SCALING_FORMAT=MLN","Sort=A","Dates=H","DateFormat=P","Fill=—","Direction=H","UseDPDF=Y")</f>
        <v>—</v>
      </c>
      <c r="E32" s="13" t="str">
        <f>_xll.BDH("GILD US Equity","BS_PREPAID_EXPENSE_LT","FQ2 2019","FQ2 2019","Currency=USD","Period=FQ","BEST_FPERIOD_OVERRIDE=FQ","FILING_STATUS=MR","SCALING_FORMAT=MLN","Sort=A","Dates=H","DateFormat=P","Fill=—","Direction=H","UseDPDF=Y")</f>
        <v>—</v>
      </c>
      <c r="F32" s="13">
        <f>_xll.BDH("GILD US Equity","BS_PREPAID_EXPENSE_LT","FQ3 2019","FQ3 2019","Currency=USD","Period=FQ","BEST_FPERIOD_OVERRIDE=FQ","FILING_STATUS=MR","SCALING_FORMAT=MLN","Sort=A","Dates=H","DateFormat=P","Fill=—","Direction=H","UseDPDF=Y")</f>
        <v>0</v>
      </c>
      <c r="G32" s="13" t="str">
        <f>_xll.BDH("GILD US Equity","BS_PREPAID_EXPENSE_LT","FQ4 2019","FQ4 2019","Currency=USD","Period=FQ","BEST_FPERIOD_OVERRIDE=FQ","FILING_STATUS=MR","SCALING_FORMAT=MLN","Sort=A","Dates=H","DateFormat=P","Fill=—","Direction=H","UseDPDF=Y")</f>
        <v>—</v>
      </c>
      <c r="H32" s="13" t="str">
        <f>_xll.BDH("GILD US Equity","BS_PREPAID_EXPENSE_LT","FQ1 2020","FQ1 2020","Currency=USD","Period=FQ","BEST_FPERIOD_OVERRIDE=FQ","FILING_STATUS=MR","SCALING_FORMAT=MLN","Sort=A","Dates=H","DateFormat=P","Fill=—","Direction=H","UseDPDF=Y")</f>
        <v>—</v>
      </c>
      <c r="I32" s="13" t="str">
        <f>_xll.BDH("GILD US Equity","BS_PREPAID_EXPENSE_LT","FQ2 2020","FQ2 2020","Currency=USD","Period=FQ","BEST_FPERIOD_OVERRIDE=FQ","FILING_STATUS=MR","SCALING_FORMAT=MLN","Sort=A","Dates=H","DateFormat=P","Fill=—","Direction=H","UseDPDF=Y")</f>
        <v>—</v>
      </c>
      <c r="J32" s="13">
        <f>_xll.BDH("GILD US Equity","BS_PREPAID_EXPENSE_LT","FQ3 2020","FQ3 2020","Currency=USD","Period=FQ","BEST_FPERIOD_OVERRIDE=FQ","FILING_STATUS=MR","SCALING_FORMAT=MLN","Sort=A","Dates=H","DateFormat=P","Fill=—","Direction=H","UseDPDF=Y")</f>
        <v>0</v>
      </c>
      <c r="K32" s="13">
        <f>_xll.BDH("GILD US Equity","BS_PREPAID_EXPENSE_LT","FQ4 2020","FQ4 2020","Currency=USD","Period=FQ","BEST_FPERIOD_OVERRIDE=FQ","FILING_STATUS=MR","SCALING_FORMAT=MLN","Sort=A","Dates=H","DateFormat=P","Fill=—","Direction=H","UseDPDF=Y")</f>
        <v>0</v>
      </c>
      <c r="L32" s="13" t="str">
        <f>_xll.BDH("GILD US Equity","BS_PREPAID_EXPENSE_LT","FQ1 2021","FQ1 2021","Currency=USD","Period=FQ","BEST_FPERIOD_OVERRIDE=FQ","FILING_STATUS=MR","SCALING_FORMAT=MLN","Sort=A","Dates=H","DateFormat=P","Fill=—","Direction=H","UseDPDF=Y")</f>
        <v>—</v>
      </c>
      <c r="M32" s="13" t="str">
        <f>_xll.BDH("GILD US Equity","BS_PREPAID_EXPENSE_LT","FQ2 2021","FQ2 2021","Currency=USD","Period=FQ","BEST_FPERIOD_OVERRIDE=FQ","FILING_STATUS=MR","SCALING_FORMAT=MLN","Sort=A","Dates=H","DateFormat=P","Fill=—","Direction=H","UseDPDF=Y")</f>
        <v>—</v>
      </c>
      <c r="N32" s="13">
        <f>_xll.BDH("GILD US Equity","BS_PREPAID_EXPENSE_LT","FQ3 2021","FQ3 2021","Currency=USD","Period=FQ","BEST_FPERIOD_OVERRIDE=FQ","FILING_STATUS=MR","SCALING_FORMAT=MLN","Sort=A","Dates=H","DateFormat=P","Fill=—","Direction=H","UseDPDF=Y")</f>
        <v>0</v>
      </c>
      <c r="O32" s="13">
        <f>_xll.BDH("GILD US Equity","BS_PREPAID_EXPENSE_LT","FQ4 2021","FQ4 2021","Currency=USD","Period=FQ","BEST_FPERIOD_OVERRIDE=FQ","FILING_STATUS=MR","SCALING_FORMAT=MLN","Sort=A","Dates=H","DateFormat=P","Fill=—","Direction=H","UseDPDF=Y")</f>
        <v>0</v>
      </c>
      <c r="P32" s="13" t="str">
        <f>_xll.BDH("GILD US Equity","BS_PREPAID_EXPENSE_LT","FQ1 2022","FQ1 2022","Currency=USD","Period=FQ","BEST_FPERIOD_OVERRIDE=FQ","FILING_STATUS=MR","SCALING_FORMAT=MLN","Sort=A","Dates=H","DateFormat=P","Fill=—","Direction=H","UseDPDF=Y")</f>
        <v>—</v>
      </c>
      <c r="Q32" s="13" t="str">
        <f>_xll.BDH("GILD US Equity","BS_PREPAID_EXPENSE_LT","FQ2 2022","FQ2 2022","Currency=USD","Period=FQ","BEST_FPERIOD_OVERRIDE=FQ","FILING_STATUS=MR","SCALING_FORMAT=MLN","Sort=A","Dates=H","DateFormat=P","Fill=—","Direction=H","UseDPDF=Y")</f>
        <v>—</v>
      </c>
      <c r="R32" s="13">
        <f>_xll.BDH("GILD US Equity","BS_PREPAID_EXPENSE_LT","FQ3 2022","FQ3 2022","Currency=USD","Period=FQ","BEST_FPERIOD_OVERRIDE=FQ","FILING_STATUS=MR","SCALING_FORMAT=MLN","Sort=A","Dates=H","DateFormat=P","Fill=—","Direction=H","UseDPDF=Y")</f>
        <v>0</v>
      </c>
      <c r="S32" s="13" t="str">
        <f>_xll.BDH("GILD US Equity","BS_PREPAID_EXPENSE_LT","FQ4 2022","FQ4 2022","Currency=USD","Period=FQ","BEST_FPERIOD_OVERRIDE=FQ","FILING_STATUS=MR","SCALING_FORMAT=MLN","Sort=A","Dates=H","DateFormat=P","Fill=—","Direction=H","UseDPDF=Y")</f>
        <v>—</v>
      </c>
      <c r="T32" s="13" t="str">
        <f>_xll.BDH("GILD US Equity","BS_PREPAID_EXPENSE_LT","FQ1 2023","FQ1 2023","Currency=USD","Period=FQ","BEST_FPERIOD_OVERRIDE=FQ","FILING_STATUS=MR","SCALING_FORMAT=MLN","Sort=A","Dates=H","DateFormat=P","Fill=—","Direction=H","UseDPDF=Y")</f>
        <v>—</v>
      </c>
      <c r="U32" s="13" t="str">
        <f>_xll.BDH("GILD US Equity","BS_PREPAID_EXPENSE_LT","FQ2 2023","FQ2 2023","Currency=USD","Period=FQ","BEST_FPERIOD_OVERRIDE=FQ","FILING_STATUS=MR","SCALING_FORMAT=MLN","Sort=A","Dates=H","DateFormat=P","Fill=—","Direction=H","UseDPDF=Y")</f>
        <v>—</v>
      </c>
      <c r="V32" s="13" t="str">
        <f>_xll.BDH("GILD US Equity","BS_PREPAID_EXPENSE_LT","FQ3 2023","FQ3 2023","Currency=USD","Period=FQ","BEST_FPERIOD_OVERRIDE=FQ","FILING_STATUS=MR","SCALING_FORMAT=MLN","Sort=A","Dates=H","DateFormat=P","Fill=—","Direction=H","UseDPDF=Y")</f>
        <v>—</v>
      </c>
      <c r="W32" s="13" t="str">
        <f>_xll.BDH("GILD US Equity","BS_PREPAID_EXPENSE_LT","FQ4 2023","FQ4 2023","Currency=USD","Period=FQ","BEST_FPERIOD_OVERRIDE=FQ","FILING_STATUS=MR","SCALING_FORMAT=MLN","Sort=A","Dates=H","DateFormat=P","Fill=—","Direction=H","UseDPDF=Y")</f>
        <v>—</v>
      </c>
      <c r="X32" s="13" t="str">
        <f>_xll.BDH("GILD US Equity","BS_PREPAID_EXPENSE_LT","FQ1 2024","FQ1 2024","Currency=USD","Period=FQ","BEST_FPERIOD_OVERRIDE=FQ","FILING_STATUS=MR","SCALING_FORMAT=MLN","Sort=A","Dates=H","DateFormat=P","Fill=—","Direction=H","UseDPDF=Y")</f>
        <v>—</v>
      </c>
      <c r="Y32" s="13" t="str">
        <f>_xll.BDH("GILD US Equity","BS_PREPAID_EXPENSE_LT","FQ2 2024","FQ2 2024","Currency=USD","Period=FQ","BEST_FPERIOD_OVERRIDE=FQ","FILING_STATUS=MR","SCALING_FORMAT=MLN","Sort=A","Dates=H","DateFormat=P","Fill=—","Direction=H","UseDPDF=Y")</f>
        <v>—</v>
      </c>
      <c r="Z32" s="13" t="str">
        <f>_xll.BDH("GILD US Equity","BS_PREPAID_EXPENSE_LT","FQ3 2024","FQ3 2024","Currency=USD","Period=FQ","BEST_FPERIOD_OVERRIDE=FQ","FILING_STATUS=MR","SCALING_FORMAT=MLN","Sort=A","Dates=H","DateFormat=P","Fill=—","Direction=H","UseDPDF=Y")</f>
        <v>—</v>
      </c>
      <c r="AA32" s="13" t="str">
        <f>_xll.BDH("GILD US Equity","BS_PREPAID_EXPENSE_LT","FQ4 2024","FQ4 2024","Currency=USD","Period=FQ","BEST_FPERIOD_OVERRIDE=FQ","FILING_STATUS=MR","SCALING_FORMAT=MLN","Sort=A","Dates=H","DateFormat=P","Fill=—","Direction=H","UseDPDF=Y")</f>
        <v>—</v>
      </c>
    </row>
    <row r="33" spans="1:27" x14ac:dyDescent="0.25">
      <c r="A33" s="10" t="s">
        <v>770</v>
      </c>
      <c r="B33" s="10" t="s">
        <v>794</v>
      </c>
      <c r="C33" s="13" t="str">
        <f>_xll.BDH("GILD US Equity","BS_DEFERRED_TAX_ASSETS_LT","FQ4 2018","FQ4 2018","Currency=USD","Period=FQ","BEST_FPERIOD_OVERRIDE=FQ","FILING_STATUS=MR","SCALING_FORMAT=MLN","Sort=A","Dates=H","DateFormat=P","Fill=—","Direction=H","UseDPDF=Y")</f>
        <v>—</v>
      </c>
      <c r="D33" s="13" t="str">
        <f>_xll.BDH("GILD US Equity","BS_DEFERRED_TAX_ASSETS_LT","FQ1 2019","FQ1 2019","Currency=USD","Period=FQ","BEST_FPERIOD_OVERRIDE=FQ","FILING_STATUS=MR","SCALING_FORMAT=MLN","Sort=A","Dates=H","DateFormat=P","Fill=—","Direction=H","UseDPDF=Y")</f>
        <v>—</v>
      </c>
      <c r="E33" s="13" t="str">
        <f>_xll.BDH("GILD US Equity","BS_DEFERRED_TAX_ASSETS_LT","FQ2 2019","FQ2 2019","Currency=USD","Period=FQ","BEST_FPERIOD_OVERRIDE=FQ","FILING_STATUS=MR","SCALING_FORMAT=MLN","Sort=A","Dates=H","DateFormat=P","Fill=—","Direction=H","UseDPDF=Y")</f>
        <v>—</v>
      </c>
      <c r="F33" s="13">
        <f>_xll.BDH("GILD US Equity","BS_DEFERRED_TAX_ASSETS_LT","FQ3 2019","FQ3 2019","Currency=USD","Period=FQ","BEST_FPERIOD_OVERRIDE=FQ","FILING_STATUS=MR","SCALING_FORMAT=MLN","Sort=A","Dates=H","DateFormat=P","Fill=—","Direction=H","UseDPDF=Y")</f>
        <v>0</v>
      </c>
      <c r="G33" s="13" t="str">
        <f>_xll.BDH("GILD US Equity","BS_DEFERRED_TAX_ASSETS_LT","FQ4 2019","FQ4 2019","Currency=USD","Period=FQ","BEST_FPERIOD_OVERRIDE=FQ","FILING_STATUS=MR","SCALING_FORMAT=MLN","Sort=A","Dates=H","DateFormat=P","Fill=—","Direction=H","UseDPDF=Y")</f>
        <v>—</v>
      </c>
      <c r="H33" s="13" t="str">
        <f>_xll.BDH("GILD US Equity","BS_DEFERRED_TAX_ASSETS_LT","FQ1 2020","FQ1 2020","Currency=USD","Period=FQ","BEST_FPERIOD_OVERRIDE=FQ","FILING_STATUS=MR","SCALING_FORMAT=MLN","Sort=A","Dates=H","DateFormat=P","Fill=—","Direction=H","UseDPDF=Y")</f>
        <v>—</v>
      </c>
      <c r="I33" s="13" t="str">
        <f>_xll.BDH("GILD US Equity","BS_DEFERRED_TAX_ASSETS_LT","FQ2 2020","FQ2 2020","Currency=USD","Period=FQ","BEST_FPERIOD_OVERRIDE=FQ","FILING_STATUS=MR","SCALING_FORMAT=MLN","Sort=A","Dates=H","DateFormat=P","Fill=—","Direction=H","UseDPDF=Y")</f>
        <v>—</v>
      </c>
      <c r="J33" s="13">
        <f>_xll.BDH("GILD US Equity","BS_DEFERRED_TAX_ASSETS_LT","FQ3 2020","FQ3 2020","Currency=USD","Period=FQ","BEST_FPERIOD_OVERRIDE=FQ","FILING_STATUS=MR","SCALING_FORMAT=MLN","Sort=A","Dates=H","DateFormat=P","Fill=—","Direction=H","UseDPDF=Y")</f>
        <v>0</v>
      </c>
      <c r="K33" s="13">
        <f>_xll.BDH("GILD US Equity","BS_DEFERRED_TAX_ASSETS_LT","FQ4 2020","FQ4 2020","Currency=USD","Period=FQ","BEST_FPERIOD_OVERRIDE=FQ","FILING_STATUS=MR","SCALING_FORMAT=MLN","Sort=A","Dates=H","DateFormat=P","Fill=—","Direction=H","UseDPDF=Y")</f>
        <v>0</v>
      </c>
      <c r="L33" s="13" t="str">
        <f>_xll.BDH("GILD US Equity","BS_DEFERRED_TAX_ASSETS_LT","FQ1 2021","FQ1 2021","Currency=USD","Period=FQ","BEST_FPERIOD_OVERRIDE=FQ","FILING_STATUS=MR","SCALING_FORMAT=MLN","Sort=A","Dates=H","DateFormat=P","Fill=—","Direction=H","UseDPDF=Y")</f>
        <v>—</v>
      </c>
      <c r="M33" s="13" t="str">
        <f>_xll.BDH("GILD US Equity","BS_DEFERRED_TAX_ASSETS_LT","FQ2 2021","FQ2 2021","Currency=USD","Period=FQ","BEST_FPERIOD_OVERRIDE=FQ","FILING_STATUS=MR","SCALING_FORMAT=MLN","Sort=A","Dates=H","DateFormat=P","Fill=—","Direction=H","UseDPDF=Y")</f>
        <v>—</v>
      </c>
      <c r="N33" s="13">
        <f>_xll.BDH("GILD US Equity","BS_DEFERRED_TAX_ASSETS_LT","FQ3 2021","FQ3 2021","Currency=USD","Period=FQ","BEST_FPERIOD_OVERRIDE=FQ","FILING_STATUS=MR","SCALING_FORMAT=MLN","Sort=A","Dates=H","DateFormat=P","Fill=—","Direction=H","UseDPDF=Y")</f>
        <v>0</v>
      </c>
      <c r="O33" s="13">
        <f>_xll.BDH("GILD US Equity","BS_DEFERRED_TAX_ASSETS_LT","FQ4 2021","FQ4 2021","Currency=USD","Period=FQ","BEST_FPERIOD_OVERRIDE=FQ","FILING_STATUS=MR","SCALING_FORMAT=MLN","Sort=A","Dates=H","DateFormat=P","Fill=—","Direction=H","UseDPDF=Y")</f>
        <v>0</v>
      </c>
      <c r="P33" s="13" t="str">
        <f>_xll.BDH("GILD US Equity","BS_DEFERRED_TAX_ASSETS_LT","FQ1 2022","FQ1 2022","Currency=USD","Period=FQ","BEST_FPERIOD_OVERRIDE=FQ","FILING_STATUS=MR","SCALING_FORMAT=MLN","Sort=A","Dates=H","DateFormat=P","Fill=—","Direction=H","UseDPDF=Y")</f>
        <v>—</v>
      </c>
      <c r="Q33" s="13" t="str">
        <f>_xll.BDH("GILD US Equity","BS_DEFERRED_TAX_ASSETS_LT","FQ2 2022","FQ2 2022","Currency=USD","Period=FQ","BEST_FPERIOD_OVERRIDE=FQ","FILING_STATUS=MR","SCALING_FORMAT=MLN","Sort=A","Dates=H","DateFormat=P","Fill=—","Direction=H","UseDPDF=Y")</f>
        <v>—</v>
      </c>
      <c r="R33" s="13">
        <f>_xll.BDH("GILD US Equity","BS_DEFERRED_TAX_ASSETS_LT","FQ3 2022","FQ3 2022","Currency=USD","Period=FQ","BEST_FPERIOD_OVERRIDE=FQ","FILING_STATUS=MR","SCALING_FORMAT=MLN","Sort=A","Dates=H","DateFormat=P","Fill=—","Direction=H","UseDPDF=Y")</f>
        <v>0</v>
      </c>
      <c r="S33" s="13" t="str">
        <f>_xll.BDH("GILD US Equity","BS_DEFERRED_TAX_ASSETS_LT","FQ4 2022","FQ4 2022","Currency=USD","Period=FQ","BEST_FPERIOD_OVERRIDE=FQ","FILING_STATUS=MR","SCALING_FORMAT=MLN","Sort=A","Dates=H","DateFormat=P","Fill=—","Direction=H","UseDPDF=Y")</f>
        <v>—</v>
      </c>
      <c r="T33" s="13" t="str">
        <f>_xll.BDH("GILD US Equity","BS_DEFERRED_TAX_ASSETS_LT","FQ1 2023","FQ1 2023","Currency=USD","Period=FQ","BEST_FPERIOD_OVERRIDE=FQ","FILING_STATUS=MR","SCALING_FORMAT=MLN","Sort=A","Dates=H","DateFormat=P","Fill=—","Direction=H","UseDPDF=Y")</f>
        <v>—</v>
      </c>
      <c r="U33" s="13" t="str">
        <f>_xll.BDH("GILD US Equity","BS_DEFERRED_TAX_ASSETS_LT","FQ2 2023","FQ2 2023","Currency=USD","Period=FQ","BEST_FPERIOD_OVERRIDE=FQ","FILING_STATUS=MR","SCALING_FORMAT=MLN","Sort=A","Dates=H","DateFormat=P","Fill=—","Direction=H","UseDPDF=Y")</f>
        <v>—</v>
      </c>
      <c r="V33" s="13" t="str">
        <f>_xll.BDH("GILD US Equity","BS_DEFERRED_TAX_ASSETS_LT","FQ3 2023","FQ3 2023","Currency=USD","Period=FQ","BEST_FPERIOD_OVERRIDE=FQ","FILING_STATUS=MR","SCALING_FORMAT=MLN","Sort=A","Dates=H","DateFormat=P","Fill=—","Direction=H","UseDPDF=Y")</f>
        <v>—</v>
      </c>
      <c r="W33" s="13" t="str">
        <f>_xll.BDH("GILD US Equity","BS_DEFERRED_TAX_ASSETS_LT","FQ4 2023","FQ4 2023","Currency=USD","Period=FQ","BEST_FPERIOD_OVERRIDE=FQ","FILING_STATUS=MR","SCALING_FORMAT=MLN","Sort=A","Dates=H","DateFormat=P","Fill=—","Direction=H","UseDPDF=Y")</f>
        <v>—</v>
      </c>
      <c r="X33" s="13" t="str">
        <f>_xll.BDH("GILD US Equity","BS_DEFERRED_TAX_ASSETS_LT","FQ1 2024","FQ1 2024","Currency=USD","Period=FQ","BEST_FPERIOD_OVERRIDE=FQ","FILING_STATUS=MR","SCALING_FORMAT=MLN","Sort=A","Dates=H","DateFormat=P","Fill=—","Direction=H","UseDPDF=Y")</f>
        <v>—</v>
      </c>
      <c r="Y33" s="13" t="str">
        <f>_xll.BDH("GILD US Equity","BS_DEFERRED_TAX_ASSETS_LT","FQ2 2024","FQ2 2024","Currency=USD","Period=FQ","BEST_FPERIOD_OVERRIDE=FQ","FILING_STATUS=MR","SCALING_FORMAT=MLN","Sort=A","Dates=H","DateFormat=P","Fill=—","Direction=H","UseDPDF=Y")</f>
        <v>—</v>
      </c>
      <c r="Z33" s="13" t="str">
        <f>_xll.BDH("GILD US Equity","BS_DEFERRED_TAX_ASSETS_LT","FQ3 2024","FQ3 2024","Currency=USD","Period=FQ","BEST_FPERIOD_OVERRIDE=FQ","FILING_STATUS=MR","SCALING_FORMAT=MLN","Sort=A","Dates=H","DateFormat=P","Fill=—","Direction=H","UseDPDF=Y")</f>
        <v>—</v>
      </c>
      <c r="AA33" s="13" t="str">
        <f>_xll.BDH("GILD US Equity","BS_DEFERRED_TAX_ASSETS_LT","FQ4 2024","FQ4 2024","Currency=USD","Period=FQ","BEST_FPERIOD_OVERRIDE=FQ","FILING_STATUS=MR","SCALING_FORMAT=MLN","Sort=A","Dates=H","DateFormat=P","Fill=—","Direction=H","UseDPDF=Y")</f>
        <v>—</v>
      </c>
    </row>
    <row r="34" spans="1:27" x14ac:dyDescent="0.25">
      <c r="A34" s="10" t="s">
        <v>768</v>
      </c>
      <c r="B34" s="10" t="s">
        <v>795</v>
      </c>
      <c r="C34" s="13">
        <f>_xll.BDH("GILD US Equity","BS_DERIV_HEDGING_ASST_LT","FQ4 2018","FQ4 2018","Currency=USD","Period=FQ","BEST_FPERIOD_OVERRIDE=FQ","FILING_STATUS=MR","SCALING_FORMAT=MLN","Sort=A","Dates=H","DateFormat=P","Fill=—","Direction=H","UseDPDF=Y")</f>
        <v>5</v>
      </c>
      <c r="D34" s="13">
        <f>_xll.BDH("GILD US Equity","BS_DERIV_HEDGING_ASST_LT","FQ1 2019","FQ1 2019","Currency=USD","Period=FQ","BEST_FPERIOD_OVERRIDE=FQ","FILING_STATUS=MR","SCALING_FORMAT=MLN","Sort=A","Dates=H","DateFormat=P","Fill=—","Direction=H","UseDPDF=Y")</f>
        <v>3</v>
      </c>
      <c r="E34" s="13">
        <f>_xll.BDH("GILD US Equity","BS_DERIV_HEDGING_ASST_LT","FQ2 2019","FQ2 2019","Currency=USD","Period=FQ","BEST_FPERIOD_OVERRIDE=FQ","FILING_STATUS=MR","SCALING_FORMAT=MLN","Sort=A","Dates=H","DateFormat=P","Fill=—","Direction=H","UseDPDF=Y")</f>
        <v>1</v>
      </c>
      <c r="F34" s="13">
        <f>_xll.BDH("GILD US Equity","BS_DERIV_HEDGING_ASST_LT","FQ3 2019","FQ3 2019","Currency=USD","Period=FQ","BEST_FPERIOD_OVERRIDE=FQ","FILING_STATUS=MR","SCALING_FORMAT=MLN","Sort=A","Dates=H","DateFormat=P","Fill=—","Direction=H","UseDPDF=Y")</f>
        <v>5</v>
      </c>
      <c r="G34" s="13">
        <f>_xll.BDH("GILD US Equity","BS_DERIV_HEDGING_ASST_LT","FQ4 2019","FQ4 2019","Currency=USD","Period=FQ","BEST_FPERIOD_OVERRIDE=FQ","FILING_STATUS=MR","SCALING_FORMAT=MLN","Sort=A","Dates=H","DateFormat=P","Fill=—","Direction=H","UseDPDF=Y")</f>
        <v>0</v>
      </c>
      <c r="H34" s="13">
        <f>_xll.BDH("GILD US Equity","BS_DERIV_HEDGING_ASST_LT","FQ1 2020","FQ1 2020","Currency=USD","Period=FQ","BEST_FPERIOD_OVERRIDE=FQ","FILING_STATUS=MR","SCALING_FORMAT=MLN","Sort=A","Dates=H","DateFormat=P","Fill=—","Direction=H","UseDPDF=Y")</f>
        <v>7</v>
      </c>
      <c r="I34" s="13">
        <f>_xll.BDH("GILD US Equity","BS_DERIV_HEDGING_ASST_LT","FQ2 2020","FQ2 2020","Currency=USD","Period=FQ","BEST_FPERIOD_OVERRIDE=FQ","FILING_STATUS=MR","SCALING_FORMAT=MLN","Sort=A","Dates=H","DateFormat=P","Fill=—","Direction=H","UseDPDF=Y")</f>
        <v>1</v>
      </c>
      <c r="J34" s="13">
        <f>_xll.BDH("GILD US Equity","BS_DERIV_HEDGING_ASST_LT","FQ3 2020","FQ3 2020","Currency=USD","Period=FQ","BEST_FPERIOD_OVERRIDE=FQ","FILING_STATUS=MR","SCALING_FORMAT=MLN","Sort=A","Dates=H","DateFormat=P","Fill=—","Direction=H","UseDPDF=Y")</f>
        <v>2</v>
      </c>
      <c r="K34" s="13">
        <f>_xll.BDH("GILD US Equity","BS_DERIV_HEDGING_ASST_LT","FQ4 2020","FQ4 2020","Currency=USD","Period=FQ","BEST_FPERIOD_OVERRIDE=FQ","FILING_STATUS=MR","SCALING_FORMAT=MLN","Sort=A","Dates=H","DateFormat=P","Fill=—","Direction=H","UseDPDF=Y")</f>
        <v>0</v>
      </c>
      <c r="L34" s="13">
        <f>_xll.BDH("GILD US Equity","BS_DERIV_HEDGING_ASST_LT","FQ1 2021","FQ1 2021","Currency=USD","Period=FQ","BEST_FPERIOD_OVERRIDE=FQ","FILING_STATUS=MR","SCALING_FORMAT=MLN","Sort=A","Dates=H","DateFormat=P","Fill=—","Direction=H","UseDPDF=Y")</f>
        <v>0</v>
      </c>
      <c r="M34" s="13">
        <f>_xll.BDH("GILD US Equity","BS_DERIV_HEDGING_ASST_LT","FQ2 2021","FQ2 2021","Currency=USD","Period=FQ","BEST_FPERIOD_OVERRIDE=FQ","FILING_STATUS=MR","SCALING_FORMAT=MLN","Sort=A","Dates=H","DateFormat=P","Fill=—","Direction=H","UseDPDF=Y")</f>
        <v>0</v>
      </c>
      <c r="N34" s="13">
        <f>_xll.BDH("GILD US Equity","BS_DERIV_HEDGING_ASST_LT","FQ3 2021","FQ3 2021","Currency=USD","Period=FQ","BEST_FPERIOD_OVERRIDE=FQ","FILING_STATUS=MR","SCALING_FORMAT=MLN","Sort=A","Dates=H","DateFormat=P","Fill=—","Direction=H","UseDPDF=Y")</f>
        <v>0</v>
      </c>
      <c r="O34" s="13">
        <f>_xll.BDH("GILD US Equity","BS_DERIV_HEDGING_ASST_LT","FQ4 2021","FQ4 2021","Currency=USD","Period=FQ","BEST_FPERIOD_OVERRIDE=FQ","FILING_STATUS=MR","SCALING_FORMAT=MLN","Sort=A","Dates=H","DateFormat=P","Fill=—","Direction=H","UseDPDF=Y")</f>
        <v>0</v>
      </c>
      <c r="P34" s="13">
        <f>_xll.BDH("GILD US Equity","BS_DERIV_HEDGING_ASST_LT","FQ1 2022","FQ1 2022","Currency=USD","Period=FQ","BEST_FPERIOD_OVERRIDE=FQ","FILING_STATUS=MR","SCALING_FORMAT=MLN","Sort=A","Dates=H","DateFormat=P","Fill=—","Direction=H","UseDPDF=Y")</f>
        <v>3</v>
      </c>
      <c r="Q34" s="13">
        <f>_xll.BDH("GILD US Equity","BS_DERIV_HEDGING_ASST_LT","FQ2 2022","FQ2 2022","Currency=USD","Period=FQ","BEST_FPERIOD_OVERRIDE=FQ","FILING_STATUS=MR","SCALING_FORMAT=MLN","Sort=A","Dates=H","DateFormat=P","Fill=—","Direction=H","UseDPDF=Y")</f>
        <v>4</v>
      </c>
      <c r="R34" s="13">
        <f>_xll.BDH("GILD US Equity","BS_DERIV_HEDGING_ASST_LT","FQ3 2022","FQ3 2022","Currency=USD","Period=FQ","BEST_FPERIOD_OVERRIDE=FQ","FILING_STATUS=MR","SCALING_FORMAT=MLN","Sort=A","Dates=H","DateFormat=P","Fill=—","Direction=H","UseDPDF=Y")</f>
        <v>10</v>
      </c>
      <c r="S34" s="13">
        <f>_xll.BDH("GILD US Equity","BS_DERIV_HEDGING_ASST_LT","FQ4 2022","FQ4 2022","Currency=USD","Period=FQ","BEST_FPERIOD_OVERRIDE=FQ","FILING_STATUS=MR","SCALING_FORMAT=MLN","Sort=A","Dates=H","DateFormat=P","Fill=—","Direction=H","UseDPDF=Y")</f>
        <v>1</v>
      </c>
      <c r="T34" s="13" t="str">
        <f>_xll.BDH("GILD US Equity","BS_DERIV_HEDGING_ASST_LT","FQ1 2023","FQ1 2023","Currency=USD","Period=FQ","BEST_FPERIOD_OVERRIDE=FQ","FILING_STATUS=MR","SCALING_FORMAT=MLN","Sort=A","Dates=H","DateFormat=P","Fill=—","Direction=H","UseDPDF=Y")</f>
        <v>—</v>
      </c>
      <c r="U34" s="13" t="str">
        <f>_xll.BDH("GILD US Equity","BS_DERIV_HEDGING_ASST_LT","FQ2 2023","FQ2 2023","Currency=USD","Period=FQ","BEST_FPERIOD_OVERRIDE=FQ","FILING_STATUS=MR","SCALING_FORMAT=MLN","Sort=A","Dates=H","DateFormat=P","Fill=—","Direction=H","UseDPDF=Y")</f>
        <v>—</v>
      </c>
      <c r="V34" s="13">
        <f>_xll.BDH("GILD US Equity","BS_DERIV_HEDGING_ASST_LT","FQ3 2023","FQ3 2023","Currency=USD","Period=FQ","BEST_FPERIOD_OVERRIDE=FQ","FILING_STATUS=MR","SCALING_FORMAT=MLN","Sort=A","Dates=H","DateFormat=P","Fill=—","Direction=H","UseDPDF=Y")</f>
        <v>10</v>
      </c>
      <c r="W34" s="13">
        <f>_xll.BDH("GILD US Equity","BS_DERIV_HEDGING_ASST_LT","FQ4 2023","FQ4 2023","Currency=USD","Period=FQ","BEST_FPERIOD_OVERRIDE=FQ","FILING_STATUS=MR","SCALING_FORMAT=MLN","Sort=A","Dates=H","DateFormat=P","Fill=—","Direction=H","UseDPDF=Y")</f>
        <v>1</v>
      </c>
      <c r="X34" s="13" t="str">
        <f>_xll.BDH("GILD US Equity","BS_DERIV_HEDGING_ASST_LT","FQ1 2024","FQ1 2024","Currency=USD","Period=FQ","BEST_FPERIOD_OVERRIDE=FQ","FILING_STATUS=MR","SCALING_FORMAT=MLN","Sort=A","Dates=H","DateFormat=P","Fill=—","Direction=H","UseDPDF=Y")</f>
        <v>—</v>
      </c>
      <c r="Y34" s="13" t="str">
        <f>_xll.BDH("GILD US Equity","BS_DERIV_HEDGING_ASST_LT","FQ2 2024","FQ2 2024","Currency=USD","Period=FQ","BEST_FPERIOD_OVERRIDE=FQ","FILING_STATUS=MR","SCALING_FORMAT=MLN","Sort=A","Dates=H","DateFormat=P","Fill=—","Direction=H","UseDPDF=Y")</f>
        <v>—</v>
      </c>
      <c r="Z34" s="13">
        <f>_xll.BDH("GILD US Equity","BS_DERIV_HEDGING_ASST_LT","FQ3 2024","FQ3 2024","Currency=USD","Period=FQ","BEST_FPERIOD_OVERRIDE=FQ","FILING_STATUS=MR","SCALING_FORMAT=MLN","Sort=A","Dates=H","DateFormat=P","Fill=—","Direction=H","UseDPDF=Y")</f>
        <v>0</v>
      </c>
      <c r="AA34" s="13" t="str">
        <f>_xll.BDH("GILD US Equity","BS_DERIV_HEDGING_ASST_LT","FQ4 2024","FQ4 2024","Currency=USD","Period=FQ","BEST_FPERIOD_OVERRIDE=FQ","FILING_STATUS=MR","SCALING_FORMAT=MLN","Sort=A","Dates=H","DateFormat=P","Fill=—","Direction=H","UseDPDF=Y")</f>
        <v>—</v>
      </c>
    </row>
    <row r="35" spans="1:27" x14ac:dyDescent="0.25">
      <c r="A35" s="10" t="s">
        <v>796</v>
      </c>
      <c r="B35" s="10" t="s">
        <v>797</v>
      </c>
      <c r="C35" s="13">
        <f>_xll.BDH("GILD US Equity","OTHER_NONCURRENT_ASSETS_DETAILED","FQ4 2018","FQ4 2018","Currency=USD","Period=FQ","BEST_FPERIOD_OVERRIDE=FQ","FILING_STATUS=MR","SCALING_FORMAT=MLN","Sort=A","Dates=H","DateFormat=P","Fill=—","Direction=H","UseDPDF=Y")</f>
        <v>2550</v>
      </c>
      <c r="D35" s="13">
        <f>_xll.BDH("GILD US Equity","OTHER_NONCURRENT_ASSETS_DETAILED","FQ1 2019","FQ1 2019","Currency=USD","Period=FQ","BEST_FPERIOD_OVERRIDE=FQ","FILING_STATUS=MR","SCALING_FORMAT=MLN","Sort=A","Dates=H","DateFormat=P","Fill=—","Direction=H","UseDPDF=Y")</f>
        <v>2463</v>
      </c>
      <c r="E35" s="13">
        <f>_xll.BDH("GILD US Equity","OTHER_NONCURRENT_ASSETS_DETAILED","FQ2 2019","FQ2 2019","Currency=USD","Period=FQ","BEST_FPERIOD_OVERRIDE=FQ","FILING_STATUS=MR","SCALING_FORMAT=MLN","Sort=A","Dates=H","DateFormat=P","Fill=—","Direction=H","UseDPDF=Y")</f>
        <v>2409</v>
      </c>
      <c r="F35" s="13">
        <f>_xll.BDH("GILD US Equity","OTHER_NONCURRENT_ASSETS_DETAILED","FQ3 2019","FQ3 2019","Currency=USD","Period=FQ","BEST_FPERIOD_OVERRIDE=FQ","FILING_STATUS=MR","SCALING_FORMAT=MLN","Sort=A","Dates=H","DateFormat=P","Fill=—","Direction=H","UseDPDF=Y")</f>
        <v>4567</v>
      </c>
      <c r="G35" s="13">
        <f>_xll.BDH("GILD US Equity","OTHER_NONCURRENT_ASSETS_DETAILED","FQ4 2019","FQ4 2019","Currency=USD","Period=FQ","BEST_FPERIOD_OVERRIDE=FQ","FILING_STATUS=MR","SCALING_FORMAT=MLN","Sort=A","Dates=H","DateFormat=P","Fill=—","Direction=H","UseDPDF=Y")</f>
        <v>6770</v>
      </c>
      <c r="H35" s="13">
        <f>_xll.BDH("GILD US Equity","OTHER_NONCURRENT_ASSETS_DETAILED","FQ1 2020","FQ1 2020","Currency=USD","Period=FQ","BEST_FPERIOD_OVERRIDE=FQ","FILING_STATUS=MR","SCALING_FORMAT=MLN","Sort=A","Dates=H","DateFormat=P","Fill=—","Direction=H","UseDPDF=Y")</f>
        <v>7072</v>
      </c>
      <c r="I35" s="13">
        <f>_xll.BDH("GILD US Equity","OTHER_NONCURRENT_ASSETS_DETAILED","FQ2 2020","FQ2 2020","Currency=USD","Period=FQ","BEST_FPERIOD_OVERRIDE=FQ","FILING_STATUS=MR","SCALING_FORMAT=MLN","Sort=A","Dates=H","DateFormat=P","Fill=—","Direction=H","UseDPDF=Y")</f>
        <v>7019</v>
      </c>
      <c r="J35" s="13">
        <f>_xll.BDH("GILD US Equity","OTHER_NONCURRENT_ASSETS_DETAILED","FQ3 2020","FQ3 2020","Currency=USD","Period=FQ","BEST_FPERIOD_OVERRIDE=FQ","FILING_STATUS=MR","SCALING_FORMAT=MLN","Sort=A","Dates=H","DateFormat=P","Fill=—","Direction=H","UseDPDF=Y")</f>
        <v>6010</v>
      </c>
      <c r="K35" s="13">
        <f>_xll.BDH("GILD US Equity","OTHER_NONCURRENT_ASSETS_DETAILED","FQ4 2020","FQ4 2020","Currency=USD","Period=FQ","BEST_FPERIOD_OVERRIDE=FQ","FILING_STATUS=MR","SCALING_FORMAT=MLN","Sort=A","Dates=H","DateFormat=P","Fill=—","Direction=H","UseDPDF=Y")</f>
        <v>5062</v>
      </c>
      <c r="L35" s="13">
        <f>_xll.BDH("GILD US Equity","OTHER_NONCURRENT_ASSETS_DETAILED","FQ1 2021","FQ1 2021","Currency=USD","Period=FQ","BEST_FPERIOD_OVERRIDE=FQ","FILING_STATUS=MR","SCALING_FORMAT=MLN","Sort=A","Dates=H","DateFormat=P","Fill=—","Direction=H","UseDPDF=Y")</f>
        <v>5530</v>
      </c>
      <c r="M35" s="13">
        <f>_xll.BDH("GILD US Equity","OTHER_NONCURRENT_ASSETS_DETAILED","FQ2 2021","FQ2 2021","Currency=USD","Period=FQ","BEST_FPERIOD_OVERRIDE=FQ","FILING_STATUS=MR","SCALING_FORMAT=MLN","Sort=A","Dates=H","DateFormat=P","Fill=—","Direction=H","UseDPDF=Y")</f>
        <v>5552</v>
      </c>
      <c r="N35" s="13">
        <f>_xll.BDH("GILD US Equity","OTHER_NONCURRENT_ASSETS_DETAILED","FQ3 2021","FQ3 2021","Currency=USD","Period=FQ","BEST_FPERIOD_OVERRIDE=FQ","FILING_STATUS=MR","SCALING_FORMAT=MLN","Sort=A","Dates=H","DateFormat=P","Fill=—","Direction=H","UseDPDF=Y")</f>
        <v>4739</v>
      </c>
      <c r="O35" s="13">
        <f>_xll.BDH("GILD US Equity","OTHER_NONCURRENT_ASSETS_DETAILED","FQ4 2021","FQ4 2021","Currency=USD","Period=FQ","BEST_FPERIOD_OVERRIDE=FQ","FILING_STATUS=MR","SCALING_FORMAT=MLN","Sort=A","Dates=H","DateFormat=P","Fill=—","Direction=H","UseDPDF=Y")</f>
        <v>4421</v>
      </c>
      <c r="P35" s="13">
        <f>_xll.BDH("GILD US Equity","OTHER_NONCURRENT_ASSETS_DETAILED","FQ1 2022","FQ1 2022","Currency=USD","Period=FQ","BEST_FPERIOD_OVERRIDE=FQ","FILING_STATUS=MR","SCALING_FORMAT=MLN","Sort=A","Dates=H","DateFormat=P","Fill=—","Direction=H","UseDPDF=Y")</f>
        <v>5123</v>
      </c>
      <c r="Q35" s="13">
        <f>_xll.BDH("GILD US Equity","OTHER_NONCURRENT_ASSETS_DETAILED","FQ2 2022","FQ2 2022","Currency=USD","Period=FQ","BEST_FPERIOD_OVERRIDE=FQ","FILING_STATUS=MR","SCALING_FORMAT=MLN","Sort=A","Dates=H","DateFormat=P","Fill=—","Direction=H","UseDPDF=Y")</f>
        <v>4856</v>
      </c>
      <c r="R35" s="13">
        <f>_xll.BDH("GILD US Equity","OTHER_NONCURRENT_ASSETS_DETAILED","FQ3 2022","FQ3 2022","Currency=USD","Period=FQ","BEST_FPERIOD_OVERRIDE=FQ","FILING_STATUS=MR","SCALING_FORMAT=MLN","Sort=A","Dates=H","DateFormat=P","Fill=—","Direction=H","UseDPDF=Y")</f>
        <v>4608</v>
      </c>
      <c r="S35" s="13">
        <f>_xll.BDH("GILD US Equity","OTHER_NONCURRENT_ASSETS_DETAILED","FQ4 2022","FQ4 2022","Currency=USD","Period=FQ","BEST_FPERIOD_OVERRIDE=FQ","FILING_STATUS=MR","SCALING_FORMAT=MLN","Sort=A","Dates=H","DateFormat=P","Fill=—","Direction=H","UseDPDF=Y")</f>
        <v>4294</v>
      </c>
      <c r="T35" s="13">
        <f>_xll.BDH("GILD US Equity","OTHER_NONCURRENT_ASSETS_DETAILED","FQ1 2023","FQ1 2023","Currency=USD","Period=FQ","BEST_FPERIOD_OVERRIDE=FQ","FILING_STATUS=MR","SCALING_FORMAT=MLN","Sort=A","Dates=H","DateFormat=P","Fill=—","Direction=H","UseDPDF=Y")</f>
        <v>4952</v>
      </c>
      <c r="U35" s="13">
        <f>_xll.BDH("GILD US Equity","OTHER_NONCURRENT_ASSETS_DETAILED","FQ2 2023","FQ2 2023","Currency=USD","Period=FQ","BEST_FPERIOD_OVERRIDE=FQ","FILING_STATUS=MR","SCALING_FORMAT=MLN","Sort=A","Dates=H","DateFormat=P","Fill=—","Direction=H","UseDPDF=Y")</f>
        <v>5112</v>
      </c>
      <c r="V35" s="13">
        <f>_xll.BDH("GILD US Equity","OTHER_NONCURRENT_ASSETS_DETAILED","FQ3 2023","FQ3 2023","Currency=USD","Period=FQ","BEST_FPERIOD_OVERRIDE=FQ","FILING_STATUS=MR","SCALING_FORMAT=MLN","Sort=A","Dates=H","DateFormat=P","Fill=—","Direction=H","UseDPDF=Y")</f>
        <v>4189</v>
      </c>
      <c r="W35" s="13">
        <f>_xll.BDH("GILD US Equity","OTHER_NONCURRENT_ASSETS_DETAILED","FQ4 2023","FQ4 2023","Currency=USD","Period=FQ","BEST_FPERIOD_OVERRIDE=FQ","FILING_STATUS=MR","SCALING_FORMAT=MLN","Sort=A","Dates=H","DateFormat=P","Fill=—","Direction=H","UseDPDF=Y")</f>
        <v>4210</v>
      </c>
      <c r="X35" s="13">
        <f>_xll.BDH("GILD US Equity","OTHER_NONCURRENT_ASSETS_DETAILED","FQ1 2024","FQ1 2024","Currency=USD","Period=FQ","BEST_FPERIOD_OVERRIDE=FQ","FILING_STATUS=MR","SCALING_FORMAT=MLN","Sort=A","Dates=H","DateFormat=P","Fill=—","Direction=H","UseDPDF=Y")</f>
        <v>5188</v>
      </c>
      <c r="Y35" s="13">
        <f>_xll.BDH("GILD US Equity","OTHER_NONCURRENT_ASSETS_DETAILED","FQ2 2024","FQ2 2024","Currency=USD","Period=FQ","BEST_FPERIOD_OVERRIDE=FQ","FILING_STATUS=MR","SCALING_FORMAT=MLN","Sort=A","Dates=H","DateFormat=P","Fill=—","Direction=H","UseDPDF=Y")</f>
        <v>4770</v>
      </c>
      <c r="Z35" s="13">
        <f>_xll.BDH("GILD US Equity","OTHER_NONCURRENT_ASSETS_DETAILED","FQ3 2024","FQ3 2024","Currency=USD","Period=FQ","BEST_FPERIOD_OVERRIDE=FQ","FILING_STATUS=MR","SCALING_FORMAT=MLN","Sort=A","Dates=H","DateFormat=P","Fill=—","Direction=H","UseDPDF=Y")</f>
        <v>5495</v>
      </c>
      <c r="AA35" s="13">
        <f>_xll.BDH("GILD US Equity","OTHER_NONCURRENT_ASSETS_DETAILED","FQ4 2024","FQ4 2024","Currency=USD","Period=FQ","BEST_FPERIOD_OVERRIDE=FQ","FILING_STATUS=MR","SCALING_FORMAT=MLN","Sort=A","Dates=H","DateFormat=P","Fill=—","Direction=H","UseDPDF=Y")</f>
        <v>5632</v>
      </c>
    </row>
    <row r="36" spans="1:27" x14ac:dyDescent="0.25">
      <c r="A36" s="6" t="s">
        <v>798</v>
      </c>
      <c r="B36" s="6" t="s">
        <v>799</v>
      </c>
      <c r="C36" s="19">
        <f>_xll.BDH("GILD US Equity","BS_TOT_NON_CUR_ASSET","FQ4 2018","FQ4 2018","Currency=USD","Period=FQ","BEST_FPERIOD_OVERRIDE=FQ","FILING_STATUS=MR","SCALING_FORMAT=MLN","Sort=A","Dates=H","DateFormat=P","Fill=—","Direction=H","UseDPDF=Y")</f>
        <v>27839</v>
      </c>
      <c r="D36" s="19">
        <f>_xll.BDH("GILD US Equity","BS_TOT_NON_CUR_ASSET","FQ1 2019","FQ1 2019","Currency=USD","Period=FQ","BEST_FPERIOD_OVERRIDE=FQ","FILING_STATUS=MR","SCALING_FORMAT=MLN","Sort=A","Dates=H","DateFormat=P","Fill=—","Direction=H","UseDPDF=Y")</f>
        <v>28813</v>
      </c>
      <c r="E36" s="19">
        <f>_xll.BDH("GILD US Equity","BS_TOT_NON_CUR_ASSET","FQ2 2019","FQ2 2019","Currency=USD","Period=FQ","BEST_FPERIOD_OVERRIDE=FQ","FILING_STATUS=MR","SCALING_FORMAT=MLN","Sort=A","Dates=H","DateFormat=P","Fill=—","Direction=H","UseDPDF=Y")</f>
        <v>29483</v>
      </c>
      <c r="F36" s="19">
        <f>_xll.BDH("GILD US Equity","BS_TOT_NON_CUR_ASSET","FQ3 2019","FQ3 2019","Currency=USD","Period=FQ","BEST_FPERIOD_OVERRIDE=FQ","FILING_STATUS=MR","SCALING_FORMAT=MLN","Sort=A","Dates=H","DateFormat=P","Fill=—","Direction=H","UseDPDF=Y")</f>
        <v>30785</v>
      </c>
      <c r="G36" s="19">
        <f>_xll.BDH("GILD US Equity","BS_TOT_NON_CUR_ASSET","FQ4 2019","FQ4 2019","Currency=USD","Period=FQ","BEST_FPERIOD_OVERRIDE=FQ","FILING_STATUS=MR","SCALING_FORMAT=MLN","Sort=A","Dates=H","DateFormat=P","Fill=—","Direction=H","UseDPDF=Y")</f>
        <v>31331</v>
      </c>
      <c r="H36" s="19">
        <f>_xll.BDH("GILD US Equity","BS_TOT_NON_CUR_ASSET","FQ1 2020","FQ1 2020","Currency=USD","Period=FQ","BEST_FPERIOD_OVERRIDE=FQ","FILING_STATUS=MR","SCALING_FORMAT=MLN","Sort=A","Dates=H","DateFormat=P","Fill=—","Direction=H","UseDPDF=Y")</f>
        <v>32791</v>
      </c>
      <c r="I36" s="19">
        <f>_xll.BDH("GILD US Equity","BS_TOT_NON_CUR_ASSET","FQ2 2020","FQ2 2020","Currency=USD","Period=FQ","BEST_FPERIOD_OVERRIDE=FQ","FILING_STATUS=MR","SCALING_FORMAT=MLN","Sort=A","Dates=H","DateFormat=P","Fill=—","Direction=H","UseDPDF=Y")</f>
        <v>31291</v>
      </c>
      <c r="J36" s="19">
        <f>_xll.BDH("GILD US Equity","BS_TOT_NON_CUR_ASSET","FQ3 2020","FQ3 2020","Currency=USD","Period=FQ","BEST_FPERIOD_OVERRIDE=FQ","FILING_STATUS=MR","SCALING_FORMAT=MLN","Sort=A","Dates=H","DateFormat=P","Fill=—","Direction=H","UseDPDF=Y")</f>
        <v>29952</v>
      </c>
      <c r="K36" s="19">
        <f>_xll.BDH("GILD US Equity","BS_TOT_NON_CUR_ASSET","FQ4 2020","FQ4 2020","Currency=USD","Period=FQ","BEST_FPERIOD_OVERRIDE=FQ","FILING_STATUS=MR","SCALING_FORMAT=MLN","Sort=A","Dates=H","DateFormat=P","Fill=—","Direction=H","UseDPDF=Y")</f>
        <v>52411</v>
      </c>
      <c r="L36" s="19">
        <f>_xll.BDH("GILD US Equity","BS_TOT_NON_CUR_ASSET","FQ1 2021","FQ1 2021","Currency=USD","Period=FQ","BEST_FPERIOD_OVERRIDE=FQ","FILING_STATUS=MR","SCALING_FORMAT=MLN","Sort=A","Dates=H","DateFormat=P","Fill=—","Direction=H","UseDPDF=Y")</f>
        <v>54214</v>
      </c>
      <c r="M36" s="19">
        <f>_xll.BDH("GILD US Equity","BS_TOT_NON_CUR_ASSET","FQ2 2021","FQ2 2021","Currency=USD","Period=FQ","BEST_FPERIOD_OVERRIDE=FQ","FILING_STATUS=MR","SCALING_FORMAT=MLN","Sort=A","Dates=H","DateFormat=P","Fill=—","Direction=H","UseDPDF=Y")</f>
        <v>54059</v>
      </c>
      <c r="N36" s="19">
        <f>_xll.BDH("GILD US Equity","BS_TOT_NON_CUR_ASSET","FQ3 2021","FQ3 2021","Currency=USD","Period=FQ","BEST_FPERIOD_OVERRIDE=FQ","FILING_STATUS=MR","SCALING_FORMAT=MLN","Sort=A","Dates=H","DateFormat=P","Fill=—","Direction=H","UseDPDF=Y")</f>
        <v>53107</v>
      </c>
      <c r="O36" s="19">
        <f>_xll.BDH("GILD US Equity","BS_TOT_NON_CUR_ASSET","FQ4 2021","FQ4 2021","Currency=USD","Period=FQ","BEST_FPERIOD_OVERRIDE=FQ","FILING_STATUS=MR","SCALING_FORMAT=MLN","Sort=A","Dates=H","DateFormat=P","Fill=—","Direction=H","UseDPDF=Y")</f>
        <v>53180</v>
      </c>
      <c r="P36" s="19">
        <f>_xll.BDH("GILD US Equity","BS_TOT_NON_CUR_ASSET","FQ1 2022","FQ1 2022","Currency=USD","Period=FQ","BEST_FPERIOD_OVERRIDE=FQ","FILING_STATUS=MR","SCALING_FORMAT=MLN","Sort=A","Dates=H","DateFormat=P","Fill=—","Direction=H","UseDPDF=Y")</f>
        <v>50451</v>
      </c>
      <c r="Q36" s="19">
        <f>_xll.BDH("GILD US Equity","BS_TOT_NON_CUR_ASSET","FQ2 2022","FQ2 2022","Currency=USD","Period=FQ","BEST_FPERIOD_OVERRIDE=FQ","FILING_STATUS=MR","SCALING_FORMAT=MLN","Sort=A","Dates=H","DateFormat=P","Fill=—","Direction=H","UseDPDF=Y")</f>
        <v>49695</v>
      </c>
      <c r="R36" s="19">
        <f>_xll.BDH("GILD US Equity","BS_TOT_NON_CUR_ASSET","FQ3 2022","FQ3 2022","Currency=USD","Period=FQ","BEST_FPERIOD_OVERRIDE=FQ","FILING_STATUS=MR","SCALING_FORMAT=MLN","Sort=A","Dates=H","DateFormat=P","Fill=—","Direction=H","UseDPDF=Y")</f>
        <v>49003</v>
      </c>
      <c r="S36" s="19">
        <f>_xll.BDH("GILD US Equity","BS_TOT_NON_CUR_ASSET","FQ4 2022","FQ4 2022","Currency=USD","Period=FQ","BEST_FPERIOD_OVERRIDE=FQ","FILING_STATUS=MR","SCALING_FORMAT=MLN","Sort=A","Dates=H","DateFormat=P","Fill=—","Direction=H","UseDPDF=Y")</f>
        <v>48728</v>
      </c>
      <c r="T36" s="19">
        <f>_xll.BDH("GILD US Equity","BS_TOT_NON_CUR_ASSET","FQ1 2023","FQ1 2023","Currency=USD","Period=FQ","BEST_FPERIOD_OVERRIDE=FQ","FILING_STATUS=MR","SCALING_FORMAT=MLN","Sort=A","Dates=H","DateFormat=P","Fill=—","Direction=H","UseDPDF=Y")</f>
        <v>48420</v>
      </c>
      <c r="U36" s="19">
        <f>_xll.BDH("GILD US Equity","BS_TOT_NON_CUR_ASSET","FQ2 2023","FQ2 2023","Currency=USD","Period=FQ","BEST_FPERIOD_OVERRIDE=FQ","FILING_STATUS=MR","SCALING_FORMAT=MLN","Sort=A","Dates=H","DateFormat=P","Fill=—","Direction=H","UseDPDF=Y")</f>
        <v>48050</v>
      </c>
      <c r="V36" s="19">
        <f>_xll.BDH("GILD US Equity","BS_TOT_NON_CUR_ASSET","FQ3 2023","FQ3 2023","Currency=USD","Period=FQ","BEST_FPERIOD_OVERRIDE=FQ","FILING_STATUS=MR","SCALING_FORMAT=MLN","Sort=A","Dates=H","DateFormat=P","Fill=—","Direction=H","UseDPDF=Y")</f>
        <v>46393</v>
      </c>
      <c r="W36" s="19">
        <f>_xll.BDH("GILD US Equity","BS_TOT_NON_CUR_ASSET","FQ4 2023","FQ4 2023","Currency=USD","Period=FQ","BEST_FPERIOD_OVERRIDE=FQ","FILING_STATUS=MR","SCALING_FORMAT=MLN","Sort=A","Dates=H","DateFormat=P","Fill=—","Direction=H","UseDPDF=Y")</f>
        <v>46040</v>
      </c>
      <c r="X36" s="19">
        <f>_xll.BDH("GILD US Equity","BS_TOT_NON_CUR_ASSET","FQ1 2024","FQ1 2024","Currency=USD","Period=FQ","BEST_FPERIOD_OVERRIDE=FQ","FILING_STATUS=MR","SCALING_FORMAT=MLN","Sort=A","Dates=H","DateFormat=P","Fill=—","Direction=H","UseDPDF=Y")</f>
        <v>42251</v>
      </c>
      <c r="Y36" s="19">
        <f>_xll.BDH("GILD US Equity","BS_TOT_NON_CUR_ASSET","FQ2 2024","FQ2 2024","Currency=USD","Period=FQ","BEST_FPERIOD_OVERRIDE=FQ","FILING_STATUS=MR","SCALING_FORMAT=MLN","Sort=A","Dates=H","DateFormat=P","Fill=—","Direction=H","UseDPDF=Y")</f>
        <v>41262</v>
      </c>
      <c r="Z36" s="19">
        <f>_xll.BDH("GILD US Equity","BS_TOT_NON_CUR_ASSET","FQ3 2024","FQ3 2024","Currency=USD","Period=FQ","BEST_FPERIOD_OVERRIDE=FQ","FILING_STATUS=MR","SCALING_FORMAT=MLN","Sort=A","Dates=H","DateFormat=P","Fill=—","Direction=H","UseDPDF=Y")</f>
        <v>39746</v>
      </c>
      <c r="AA36" s="19">
        <f>_xll.BDH("GILD US Equity","BS_TOT_NON_CUR_ASSET","FQ4 2024","FQ4 2024","Currency=USD","Period=FQ","BEST_FPERIOD_OVERRIDE=FQ","FILING_STATUS=MR","SCALING_FORMAT=MLN","Sort=A","Dates=H","DateFormat=P","Fill=—","Direction=H","UseDPDF=Y")</f>
        <v>39822</v>
      </c>
    </row>
    <row r="37" spans="1:27" x14ac:dyDescent="0.25">
      <c r="A37" s="6" t="s">
        <v>112</v>
      </c>
      <c r="B37" s="6" t="s">
        <v>113</v>
      </c>
      <c r="C37" s="19">
        <f>_xll.BDH("GILD US Equity","BS_TOT_ASSET","FQ4 2018","FQ4 2018","Currency=USD","Period=FQ","BEST_FPERIOD_OVERRIDE=FQ","FILING_STATUS=MR","SCALING_FORMAT=MLN","Sort=A","Dates=H","DateFormat=P","Fill=—","Direction=H","UseDPDF=Y")</f>
        <v>63675</v>
      </c>
      <c r="D37" s="19">
        <f>_xll.BDH("GILD US Equity","BS_TOT_ASSET","FQ1 2019","FQ1 2019","Currency=USD","Period=FQ","BEST_FPERIOD_OVERRIDE=FQ","FILING_STATUS=MR","SCALING_FORMAT=MLN","Sort=A","Dates=H","DateFormat=P","Fill=—","Direction=H","UseDPDF=Y")</f>
        <v>62837</v>
      </c>
      <c r="E37" s="19">
        <f>_xll.BDH("GILD US Equity","BS_TOT_ASSET","FQ2 2019","FQ2 2019","Currency=USD","Period=FQ","BEST_FPERIOD_OVERRIDE=FQ","FILING_STATUS=MR","SCALING_FORMAT=MLN","Sort=A","Dates=H","DateFormat=P","Fill=—","Direction=H","UseDPDF=Y")</f>
        <v>63210</v>
      </c>
      <c r="F37" s="19">
        <f>_xll.BDH("GILD US Equity","BS_TOT_ASSET","FQ3 2019","FQ3 2019","Currency=USD","Period=FQ","BEST_FPERIOD_OVERRIDE=FQ","FILING_STATUS=MR","SCALING_FORMAT=MLN","Sort=A","Dates=H","DateFormat=P","Fill=—","Direction=H","UseDPDF=Y")</f>
        <v>59146</v>
      </c>
      <c r="G37" s="19">
        <f>_xll.BDH("GILD US Equity","BS_TOT_ASSET","FQ4 2019","FQ4 2019","Currency=USD","Period=FQ","BEST_FPERIOD_OVERRIDE=FQ","FILING_STATUS=MR","SCALING_FORMAT=MLN","Sort=A","Dates=H","DateFormat=P","Fill=—","Direction=H","UseDPDF=Y")</f>
        <v>61627</v>
      </c>
      <c r="H37" s="19">
        <f>_xll.BDH("GILD US Equity","BS_TOT_ASSET","FQ1 2020","FQ1 2020","Currency=USD","Period=FQ","BEST_FPERIOD_OVERRIDE=FQ","FILING_STATUS=MR","SCALING_FORMAT=MLN","Sort=A","Dates=H","DateFormat=P","Fill=—","Direction=H","UseDPDF=Y")</f>
        <v>59741</v>
      </c>
      <c r="I37" s="19">
        <f>_xll.BDH("GILD US Equity","BS_TOT_ASSET","FQ2 2020","FQ2 2020","Currency=USD","Period=FQ","BEST_FPERIOD_OVERRIDE=FQ","FILING_STATUS=MR","SCALING_FORMAT=MLN","Sort=A","Dates=H","DateFormat=P","Fill=—","Direction=H","UseDPDF=Y")</f>
        <v>55934</v>
      </c>
      <c r="J37" s="19">
        <f>_xll.BDH("GILD US Equity","BS_TOT_ASSET","FQ3 2020","FQ3 2020","Currency=USD","Period=FQ","BEST_FPERIOD_OVERRIDE=FQ","FILING_STATUS=MR","SCALING_FORMAT=MLN","Sort=A","Dates=H","DateFormat=P","Fill=—","Direction=H","UseDPDF=Y")</f>
        <v>60878</v>
      </c>
      <c r="K37" s="19">
        <f>_xll.BDH("GILD US Equity","BS_TOT_ASSET","FQ4 2020","FQ4 2020","Currency=USD","Period=FQ","BEST_FPERIOD_OVERRIDE=FQ","FILING_STATUS=MR","SCALING_FORMAT=MLN","Sort=A","Dates=H","DateFormat=P","Fill=—","Direction=H","UseDPDF=Y")</f>
        <v>68407</v>
      </c>
      <c r="L37" s="19">
        <f>_xll.BDH("GILD US Equity","BS_TOT_ASSET","FQ1 2021","FQ1 2021","Currency=USD","Period=FQ","BEST_FPERIOD_OVERRIDE=FQ","FILING_STATUS=MR","SCALING_FORMAT=MLN","Sort=A","Dates=H","DateFormat=P","Fill=—","Direction=H","UseDPDF=Y")</f>
        <v>67492</v>
      </c>
      <c r="M37" s="19">
        <f>_xll.BDH("GILD US Equity","BS_TOT_ASSET","FQ2 2021","FQ2 2021","Currency=USD","Period=FQ","BEST_FPERIOD_OVERRIDE=FQ","FILING_STATUS=MR","SCALING_FORMAT=MLN","Sort=A","Dates=H","DateFormat=P","Fill=—","Direction=H","UseDPDF=Y")</f>
        <v>67984</v>
      </c>
      <c r="N37" s="19">
        <f>_xll.BDH("GILD US Equity","BS_TOT_ASSET","FQ3 2021","FQ3 2021","Currency=USD","Period=FQ","BEST_FPERIOD_OVERRIDE=FQ","FILING_STATUS=MR","SCALING_FORMAT=MLN","Sort=A","Dates=H","DateFormat=P","Fill=—","Direction=H","UseDPDF=Y")</f>
        <v>67098</v>
      </c>
      <c r="O37" s="19">
        <f>_xll.BDH("GILD US Equity","BS_TOT_ASSET","FQ4 2021","FQ4 2021","Currency=USD","Period=FQ","BEST_FPERIOD_OVERRIDE=FQ","FILING_STATUS=MR","SCALING_FORMAT=MLN","Sort=A","Dates=H","DateFormat=P","Fill=—","Direction=H","UseDPDF=Y")</f>
        <v>67952</v>
      </c>
      <c r="P37" s="19">
        <f>_xll.BDH("GILD US Equity","BS_TOT_ASSET","FQ1 2022","FQ1 2022","Currency=USD","Period=FQ","BEST_FPERIOD_OVERRIDE=FQ","FILING_STATUS=MR","SCALING_FORMAT=MLN","Sort=A","Dates=H","DateFormat=P","Fill=—","Direction=H","UseDPDF=Y")</f>
        <v>63080</v>
      </c>
      <c r="Q37" s="19">
        <f>_xll.BDH("GILD US Equity","BS_TOT_ASSET","FQ2 2022","FQ2 2022","Currency=USD","Period=FQ","BEST_FPERIOD_OVERRIDE=FQ","FILING_STATUS=MR","SCALING_FORMAT=MLN","Sort=A","Dates=H","DateFormat=P","Fill=—","Direction=H","UseDPDF=Y")</f>
        <v>62870</v>
      </c>
      <c r="R37" s="19">
        <f>_xll.BDH("GILD US Equity","BS_TOT_ASSET","FQ3 2022","FQ3 2022","Currency=USD","Period=FQ","BEST_FPERIOD_OVERRIDE=FQ","FILING_STATUS=MR","SCALING_FORMAT=MLN","Sort=A","Dates=H","DateFormat=P","Fill=—","Direction=H","UseDPDF=Y")</f>
        <v>62557</v>
      </c>
      <c r="S37" s="19">
        <f>_xll.BDH("GILD US Equity","BS_TOT_ASSET","FQ4 2022","FQ4 2022","Currency=USD","Period=FQ","BEST_FPERIOD_OVERRIDE=FQ","FILING_STATUS=MR","SCALING_FORMAT=MLN","Sort=A","Dates=H","DateFormat=P","Fill=—","Direction=H","UseDPDF=Y")</f>
        <v>63171</v>
      </c>
      <c r="T37" s="19">
        <f>_xll.BDH("GILD US Equity","BS_TOT_ASSET","FQ1 2023","FQ1 2023","Currency=USD","Period=FQ","BEST_FPERIOD_OVERRIDE=FQ","FILING_STATUS=MR","SCALING_FORMAT=MLN","Sort=A","Dates=H","DateFormat=P","Fill=—","Direction=H","UseDPDF=Y")</f>
        <v>61876</v>
      </c>
      <c r="U37" s="19">
        <f>_xll.BDH("GILD US Equity","BS_TOT_ASSET","FQ2 2023","FQ2 2023","Currency=USD","Period=FQ","BEST_FPERIOD_OVERRIDE=FQ","FILING_STATUS=MR","SCALING_FORMAT=MLN","Sort=A","Dates=H","DateFormat=P","Fill=—","Direction=H","UseDPDF=Y")</f>
        <v>62337</v>
      </c>
      <c r="V37" s="19">
        <f>_xll.BDH("GILD US Equity","BS_TOT_ASSET","FQ3 2023","FQ3 2023","Currency=USD","Period=FQ","BEST_FPERIOD_OVERRIDE=FQ","FILING_STATUS=MR","SCALING_FORMAT=MLN","Sort=A","Dates=H","DateFormat=P","Fill=—","Direction=H","UseDPDF=Y")</f>
        <v>62373</v>
      </c>
      <c r="W37" s="19">
        <f>_xll.BDH("GILD US Equity","BS_TOT_ASSET","FQ4 2023","FQ4 2023","Currency=USD","Period=FQ","BEST_FPERIOD_OVERRIDE=FQ","FILING_STATUS=MR","SCALING_FORMAT=MLN","Sort=A","Dates=H","DateFormat=P","Fill=—","Direction=H","UseDPDF=Y")</f>
        <v>62125</v>
      </c>
      <c r="X37" s="19">
        <f>_xll.BDH("GILD US Equity","BS_TOT_ASSET","FQ1 2024","FQ1 2024","Currency=USD","Period=FQ","BEST_FPERIOD_OVERRIDE=FQ","FILING_STATUS=MR","SCALING_FORMAT=MLN","Sort=A","Dates=H","DateFormat=P","Fill=—","Direction=H","UseDPDF=Y")</f>
        <v>56292</v>
      </c>
      <c r="Y37" s="19">
        <f>_xll.BDH("GILD US Equity","BS_TOT_ASSET","FQ2 2024","FQ2 2024","Currency=USD","Period=FQ","BEST_FPERIOD_OVERRIDE=FQ","FILING_STATUS=MR","SCALING_FORMAT=MLN","Sort=A","Dates=H","DateFormat=P","Fill=—","Direction=H","UseDPDF=Y")</f>
        <v>53579</v>
      </c>
      <c r="Z37" s="19">
        <f>_xll.BDH("GILD US Equity","BS_TOT_ASSET","FQ3 2024","FQ3 2024","Currency=USD","Period=FQ","BEST_FPERIOD_OVERRIDE=FQ","FILING_STATUS=MR","SCALING_FORMAT=MLN","Sort=A","Dates=H","DateFormat=P","Fill=—","Direction=H","UseDPDF=Y")</f>
        <v>54525</v>
      </c>
      <c r="AA37" s="19">
        <f>_xll.BDH("GILD US Equity","BS_TOT_ASSET","FQ4 2024","FQ4 2024","Currency=USD","Period=FQ","BEST_FPERIOD_OVERRIDE=FQ","FILING_STATUS=MR","SCALING_FORMAT=MLN","Sort=A","Dates=H","DateFormat=P","Fill=—","Direction=H","UseDPDF=Y")</f>
        <v>58995</v>
      </c>
    </row>
    <row r="38" spans="1:27" x14ac:dyDescent="0.25">
      <c r="A38" s="6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x14ac:dyDescent="0.25">
      <c r="A39" s="6" t="s">
        <v>800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x14ac:dyDescent="0.25">
      <c r="A40" s="10" t="s">
        <v>801</v>
      </c>
      <c r="B40" s="10" t="s">
        <v>802</v>
      </c>
      <c r="C40" s="13">
        <f>_xll.BDH("GILD US Equity","ACCT_PAYABLE_ACCRUALS_DETAILED","FQ4 2018","FQ4 2018","Currency=USD","Period=FQ","BEST_FPERIOD_OVERRIDE=FQ","FILING_STATUS=MR","SCALING_FORMAT=MLN","Sort=A","Dates=H","DateFormat=P","Fill=—","Direction=H","UseDPDF=Y")</f>
        <v>7856</v>
      </c>
      <c r="D40" s="13">
        <f>_xll.BDH("GILD US Equity","ACCT_PAYABLE_ACCRUALS_DETAILED","FQ1 2019","FQ1 2019","Currency=USD","Period=FQ","BEST_FPERIOD_OVERRIDE=FQ","FILING_STATUS=MR","SCALING_FORMAT=MLN","Sort=A","Dates=H","DateFormat=P","Fill=—","Direction=H","UseDPDF=Y")</f>
        <v>6823</v>
      </c>
      <c r="E40" s="13">
        <f>_xll.BDH("GILD US Equity","ACCT_PAYABLE_ACCRUALS_DETAILED","FQ2 2019","FQ2 2019","Currency=USD","Period=FQ","BEST_FPERIOD_OVERRIDE=FQ","FILING_STATUS=MR","SCALING_FORMAT=MLN","Sort=A","Dates=H","DateFormat=P","Fill=—","Direction=H","UseDPDF=Y")</f>
        <v>6885</v>
      </c>
      <c r="F40" s="13">
        <f>_xll.BDH("GILD US Equity","ACCT_PAYABLE_ACCRUALS_DETAILED","FQ3 2019","FQ3 2019","Currency=USD","Period=FQ","BEST_FPERIOD_OVERRIDE=FQ","FILING_STATUS=MR","SCALING_FORMAT=MLN","Sort=A","Dates=H","DateFormat=P","Fill=—","Direction=H","UseDPDF=Y")</f>
        <v>6975</v>
      </c>
      <c r="G40" s="13">
        <f>_xll.BDH("GILD US Equity","ACCT_PAYABLE_ACCRUALS_DETAILED","FQ4 2019","FQ4 2019","Currency=USD","Period=FQ","BEST_FPERIOD_OVERRIDE=FQ","FILING_STATUS=MR","SCALING_FORMAT=MLN","Sort=A","Dates=H","DateFormat=P","Fill=—","Direction=H","UseDPDF=Y")</f>
        <v>7155</v>
      </c>
      <c r="H40" s="13">
        <f>_xll.BDH("GILD US Equity","ACCT_PAYABLE_ACCRUALS_DETAILED","FQ1 2020","FQ1 2020","Currency=USD","Period=FQ","BEST_FPERIOD_OVERRIDE=FQ","FILING_STATUS=MR","SCALING_FORMAT=MLN","Sort=A","Dates=H","DateFormat=P","Fill=—","Direction=H","UseDPDF=Y")</f>
        <v>6876</v>
      </c>
      <c r="I40" s="13">
        <f>_xll.BDH("GILD US Equity","ACCT_PAYABLE_ACCRUALS_DETAILED","FQ2 2020","FQ2 2020","Currency=USD","Period=FQ","BEST_FPERIOD_OVERRIDE=FQ","FILING_STATUS=MR","SCALING_FORMAT=MLN","Sort=A","Dates=H","DateFormat=P","Fill=—","Direction=H","UseDPDF=Y")</f>
        <v>7552</v>
      </c>
      <c r="J40" s="13">
        <f>_xll.BDH("GILD US Equity","ACCT_PAYABLE_ACCRUALS_DETAILED","FQ3 2020","FQ3 2020","Currency=USD","Period=FQ","BEST_FPERIOD_OVERRIDE=FQ","FILING_STATUS=MR","SCALING_FORMAT=MLN","Sort=A","Dates=H","DateFormat=P","Fill=—","Direction=H","UseDPDF=Y")</f>
        <v>7966</v>
      </c>
      <c r="K40" s="13">
        <f>_xll.BDH("GILD US Equity","ACCT_PAYABLE_ACCRUALS_DETAILED","FQ4 2020","FQ4 2020","Currency=USD","Period=FQ","BEST_FPERIOD_OVERRIDE=FQ","FILING_STATUS=MR","SCALING_FORMAT=MLN","Sort=A","Dates=H","DateFormat=P","Fill=—","Direction=H","UseDPDF=Y")</f>
        <v>8419</v>
      </c>
      <c r="L40" s="13">
        <f>_xll.BDH("GILD US Equity","ACCT_PAYABLE_ACCRUALS_DETAILED","FQ1 2021","FQ1 2021","Currency=USD","Period=FQ","BEST_FPERIOD_OVERRIDE=FQ","FILING_STATUS=MR","SCALING_FORMAT=MLN","Sort=A","Dates=H","DateFormat=P","Fill=—","Direction=H","UseDPDF=Y")</f>
        <v>7405</v>
      </c>
      <c r="M40" s="13">
        <f>_xll.BDH("GILD US Equity","ACCT_PAYABLE_ACCRUALS_DETAILED","FQ2 2021","FQ2 2021","Currency=USD","Period=FQ","BEST_FPERIOD_OVERRIDE=FQ","FILING_STATUS=MR","SCALING_FORMAT=MLN","Sort=A","Dates=H","DateFormat=P","Fill=—","Direction=H","UseDPDF=Y")</f>
        <v>7923</v>
      </c>
      <c r="N40" s="13">
        <f>_xll.BDH("GILD US Equity","ACCT_PAYABLE_ACCRUALS_DETAILED","FQ3 2021","FQ3 2021","Currency=USD","Period=FQ","BEST_FPERIOD_OVERRIDE=FQ","FILING_STATUS=MR","SCALING_FORMAT=MLN","Sort=A","Dates=H","DateFormat=P","Fill=—","Direction=H","UseDPDF=Y")</f>
        <v>7726</v>
      </c>
      <c r="O40" s="13">
        <f>_xll.BDH("GILD US Equity","ACCT_PAYABLE_ACCRUALS_DETAILED","FQ4 2021","FQ4 2021","Currency=USD","Period=FQ","BEST_FPERIOD_OVERRIDE=FQ","FILING_STATUS=MR","SCALING_FORMAT=MLN","Sort=A","Dates=H","DateFormat=P","Fill=—","Direction=H","UseDPDF=Y")</f>
        <v>9989</v>
      </c>
      <c r="P40" s="13">
        <f>_xll.BDH("GILD US Equity","ACCT_PAYABLE_ACCRUALS_DETAILED","FQ1 2022","FQ1 2022","Currency=USD","Period=FQ","BEST_FPERIOD_OVERRIDE=FQ","FILING_STATUS=MR","SCALING_FORMAT=MLN","Sort=A","Dates=H","DateFormat=P","Fill=—","Direction=H","UseDPDF=Y")</f>
        <v>7527</v>
      </c>
      <c r="Q40" s="13">
        <f>_xll.BDH("GILD US Equity","ACCT_PAYABLE_ACCRUALS_DETAILED","FQ2 2022","FQ2 2022","Currency=USD","Period=FQ","BEST_FPERIOD_OVERRIDE=FQ","FILING_STATUS=MR","SCALING_FORMAT=MLN","Sort=A","Dates=H","DateFormat=P","Fill=—","Direction=H","UseDPDF=Y")</f>
        <v>8197</v>
      </c>
      <c r="R40" s="13">
        <f>_xll.BDH("GILD US Equity","ACCT_PAYABLE_ACCRUALS_DETAILED","FQ3 2022","FQ3 2022","Currency=USD","Period=FQ","BEST_FPERIOD_OVERRIDE=FQ","FILING_STATUS=MR","SCALING_FORMAT=MLN","Sort=A","Dates=H","DateFormat=P","Fill=—","Direction=H","UseDPDF=Y")</f>
        <v>8153</v>
      </c>
      <c r="S40" s="13">
        <f>_xll.BDH("GILD US Equity","ACCT_PAYABLE_ACCRUALS_DETAILED","FQ4 2022","FQ4 2022","Currency=USD","Period=FQ","BEST_FPERIOD_OVERRIDE=FQ","FILING_STATUS=MR","SCALING_FORMAT=MLN","Sort=A","Dates=H","DateFormat=P","Fill=—","Direction=H","UseDPDF=Y")</f>
        <v>8820</v>
      </c>
      <c r="T40" s="13">
        <f>_xll.BDH("GILD US Equity","ACCT_PAYABLE_ACCRUALS_DETAILED","FQ1 2023","FQ1 2023","Currency=USD","Period=FQ","BEST_FPERIOD_OVERRIDE=FQ","FILING_STATUS=MR","SCALING_FORMAT=MLN","Sort=A","Dates=H","DateFormat=P","Fill=—","Direction=H","UseDPDF=Y")</f>
        <v>8244</v>
      </c>
      <c r="U40" s="13">
        <f>_xll.BDH("GILD US Equity","ACCT_PAYABLE_ACCRUALS_DETAILED","FQ2 2023","FQ2 2023","Currency=USD","Period=FQ","BEST_FPERIOD_OVERRIDE=FQ","FILING_STATUS=MR","SCALING_FORMAT=MLN","Sort=A","Dates=H","DateFormat=P","Fill=—","Direction=H","UseDPDF=Y")</f>
        <v>9926</v>
      </c>
      <c r="V40" s="13">
        <f>_xll.BDH("GILD US Equity","ACCT_PAYABLE_ACCRUALS_DETAILED","FQ3 2023","FQ3 2023","Currency=USD","Period=FQ","BEST_FPERIOD_OVERRIDE=FQ","FILING_STATUS=MR","SCALING_FORMAT=MLN","Sort=A","Dates=H","DateFormat=P","Fill=—","Direction=H","UseDPDF=Y")</f>
        <v>4292</v>
      </c>
      <c r="W40" s="13">
        <f>_xll.BDH("GILD US Equity","ACCT_PAYABLE_ACCRUALS_DETAILED","FQ4 2023","FQ4 2023","Currency=USD","Period=FQ","BEST_FPERIOD_OVERRIDE=FQ","FILING_STATUS=MR","SCALING_FORMAT=MLN","Sort=A","Dates=H","DateFormat=P","Fill=—","Direction=H","UseDPDF=Y")</f>
        <v>9312</v>
      </c>
      <c r="X40" s="13">
        <f>_xll.BDH("GILD US Equity","ACCT_PAYABLE_ACCRUALS_DETAILED","FQ1 2024","FQ1 2024","Currency=USD","Period=FQ","BEST_FPERIOD_OVERRIDE=FQ","FILING_STATUS=MR","SCALING_FORMAT=MLN","Sort=A","Dates=H","DateFormat=P","Fill=—","Direction=H","UseDPDF=Y")</f>
        <v>9348</v>
      </c>
      <c r="Y40" s="13">
        <f>_xll.BDH("GILD US Equity","ACCT_PAYABLE_ACCRUALS_DETAILED","FQ2 2024","FQ2 2024","Currency=USD","Period=FQ","BEST_FPERIOD_OVERRIDE=FQ","FILING_STATUS=MR","SCALING_FORMAT=MLN","Sort=A","Dates=H","DateFormat=P","Fill=—","Direction=H","UseDPDF=Y")</f>
        <v>4460</v>
      </c>
      <c r="Z40" s="13">
        <f>_xll.BDH("GILD US Equity","ACCT_PAYABLE_ACCRUALS_DETAILED","FQ3 2024","FQ3 2024","Currency=USD","Period=FQ","BEST_FPERIOD_OVERRIDE=FQ","FILING_STATUS=MR","SCALING_FORMAT=MLN","Sort=A","Dates=H","DateFormat=P","Fill=—","Direction=H","UseDPDF=Y")</f>
        <v>6543</v>
      </c>
      <c r="AA40" s="13">
        <f>_xll.BDH("GILD US Equity","ACCT_PAYABLE_ACCRUALS_DETAILED","FQ4 2024","FQ4 2024","Currency=USD","Period=FQ","BEST_FPERIOD_OVERRIDE=FQ","FILING_STATUS=MR","SCALING_FORMAT=MLN","Sort=A","Dates=H","DateFormat=P","Fill=—","Direction=H","UseDPDF=Y")</f>
        <v>6258</v>
      </c>
    </row>
    <row r="41" spans="1:27" x14ac:dyDescent="0.25">
      <c r="A41" s="10" t="s">
        <v>803</v>
      </c>
      <c r="B41" s="10" t="s">
        <v>804</v>
      </c>
      <c r="C41" s="13">
        <f>_xll.BDH("GILD US Equity","BS_ACCT_PAYABLE","FQ4 2018","FQ4 2018","Currency=USD","Period=FQ","BEST_FPERIOD_OVERRIDE=FQ","FILING_STATUS=MR","SCALING_FORMAT=MLN","Sort=A","Dates=H","DateFormat=P","Fill=—","Direction=H","UseDPDF=Y")</f>
        <v>790</v>
      </c>
      <c r="D41" s="13">
        <f>_xll.BDH("GILD US Equity","BS_ACCT_PAYABLE","FQ1 2019","FQ1 2019","Currency=USD","Period=FQ","BEST_FPERIOD_OVERRIDE=FQ","FILING_STATUS=MR","SCALING_FORMAT=MLN","Sort=A","Dates=H","DateFormat=P","Fill=—","Direction=H","UseDPDF=Y")</f>
        <v>577</v>
      </c>
      <c r="E41" s="13">
        <f>_xll.BDH("GILD US Equity","BS_ACCT_PAYABLE","FQ2 2019","FQ2 2019","Currency=USD","Period=FQ","BEST_FPERIOD_OVERRIDE=FQ","FILING_STATUS=MR","SCALING_FORMAT=MLN","Sort=A","Dates=H","DateFormat=P","Fill=—","Direction=H","UseDPDF=Y")</f>
        <v>617</v>
      </c>
      <c r="F41" s="13">
        <f>_xll.BDH("GILD US Equity","BS_ACCT_PAYABLE","FQ3 2019","FQ3 2019","Currency=USD","Period=FQ","BEST_FPERIOD_OVERRIDE=FQ","FILING_STATUS=MR","SCALING_FORMAT=MLN","Sort=A","Dates=H","DateFormat=P","Fill=—","Direction=H","UseDPDF=Y")</f>
        <v>632</v>
      </c>
      <c r="G41" s="13">
        <f>_xll.BDH("GILD US Equity","BS_ACCT_PAYABLE","FQ4 2019","FQ4 2019","Currency=USD","Period=FQ","BEST_FPERIOD_OVERRIDE=FQ","FILING_STATUS=MR","SCALING_FORMAT=MLN","Sort=A","Dates=H","DateFormat=P","Fill=—","Direction=H","UseDPDF=Y")</f>
        <v>713</v>
      </c>
      <c r="H41" s="13">
        <f>_xll.BDH("GILD US Equity","BS_ACCT_PAYABLE","FQ1 2020","FQ1 2020","Currency=USD","Period=FQ","BEST_FPERIOD_OVERRIDE=FQ","FILING_STATUS=MR","SCALING_FORMAT=MLN","Sort=A","Dates=H","DateFormat=P","Fill=—","Direction=H","UseDPDF=Y")</f>
        <v>590</v>
      </c>
      <c r="I41" s="13">
        <f>_xll.BDH("GILD US Equity","BS_ACCT_PAYABLE","FQ2 2020","FQ2 2020","Currency=USD","Period=FQ","BEST_FPERIOD_OVERRIDE=FQ","FILING_STATUS=MR","SCALING_FORMAT=MLN","Sort=A","Dates=H","DateFormat=P","Fill=—","Direction=H","UseDPDF=Y")</f>
        <v>532</v>
      </c>
      <c r="J41" s="13">
        <f>_xll.BDH("GILD US Equity","BS_ACCT_PAYABLE","FQ3 2020","FQ3 2020","Currency=USD","Period=FQ","BEST_FPERIOD_OVERRIDE=FQ","FILING_STATUS=MR","SCALING_FORMAT=MLN","Sort=A","Dates=H","DateFormat=P","Fill=—","Direction=H","UseDPDF=Y")</f>
        <v>527</v>
      </c>
      <c r="K41" s="13">
        <f>_xll.BDH("GILD US Equity","BS_ACCT_PAYABLE","FQ4 2020","FQ4 2020","Currency=USD","Period=FQ","BEST_FPERIOD_OVERRIDE=FQ","FILING_STATUS=MR","SCALING_FORMAT=MLN","Sort=A","Dates=H","DateFormat=P","Fill=—","Direction=H","UseDPDF=Y")</f>
        <v>844</v>
      </c>
      <c r="L41" s="13">
        <f>_xll.BDH("GILD US Equity","BS_ACCT_PAYABLE","FQ1 2021","FQ1 2021","Currency=USD","Period=FQ","BEST_FPERIOD_OVERRIDE=FQ","FILING_STATUS=MR","SCALING_FORMAT=MLN","Sort=A","Dates=H","DateFormat=P","Fill=—","Direction=H","UseDPDF=Y")</f>
        <v>570</v>
      </c>
      <c r="M41" s="13">
        <f>_xll.BDH("GILD US Equity","BS_ACCT_PAYABLE","FQ2 2021","FQ2 2021","Currency=USD","Period=FQ","BEST_FPERIOD_OVERRIDE=FQ","FILING_STATUS=MR","SCALING_FORMAT=MLN","Sort=A","Dates=H","DateFormat=P","Fill=—","Direction=H","UseDPDF=Y")</f>
        <v>608</v>
      </c>
      <c r="N41" s="13">
        <f>_xll.BDH("GILD US Equity","BS_ACCT_PAYABLE","FQ3 2021","FQ3 2021","Currency=USD","Period=FQ","BEST_FPERIOD_OVERRIDE=FQ","FILING_STATUS=MR","SCALING_FORMAT=MLN","Sort=A","Dates=H","DateFormat=P","Fill=—","Direction=H","UseDPDF=Y")</f>
        <v>585</v>
      </c>
      <c r="O41" s="13">
        <f>_xll.BDH("GILD US Equity","BS_ACCT_PAYABLE","FQ4 2021","FQ4 2021","Currency=USD","Period=FQ","BEST_FPERIOD_OVERRIDE=FQ","FILING_STATUS=MR","SCALING_FORMAT=MLN","Sort=A","Dates=H","DateFormat=P","Fill=—","Direction=H","UseDPDF=Y")</f>
        <v>705</v>
      </c>
      <c r="P41" s="13">
        <f>_xll.BDH("GILD US Equity","BS_ACCT_PAYABLE","FQ1 2022","FQ1 2022","Currency=USD","Period=FQ","BEST_FPERIOD_OVERRIDE=FQ","FILING_STATUS=MR","SCALING_FORMAT=MLN","Sort=A","Dates=H","DateFormat=P","Fill=—","Direction=H","UseDPDF=Y")</f>
        <v>583</v>
      </c>
      <c r="Q41" s="13">
        <f>_xll.BDH("GILD US Equity","BS_ACCT_PAYABLE","FQ2 2022","FQ2 2022","Currency=USD","Period=FQ","BEST_FPERIOD_OVERRIDE=FQ","FILING_STATUS=MR","SCALING_FORMAT=MLN","Sort=A","Dates=H","DateFormat=P","Fill=—","Direction=H","UseDPDF=Y")</f>
        <v>565</v>
      </c>
      <c r="R41" s="13">
        <f>_xll.BDH("GILD US Equity","BS_ACCT_PAYABLE","FQ3 2022","FQ3 2022","Currency=USD","Period=FQ","BEST_FPERIOD_OVERRIDE=FQ","FILING_STATUS=MR","SCALING_FORMAT=MLN","Sort=A","Dates=H","DateFormat=P","Fill=—","Direction=H","UseDPDF=Y")</f>
        <v>614</v>
      </c>
      <c r="S41" s="13">
        <f>_xll.BDH("GILD US Equity","BS_ACCT_PAYABLE","FQ4 2022","FQ4 2022","Currency=USD","Period=FQ","BEST_FPERIOD_OVERRIDE=FQ","FILING_STATUS=MR","SCALING_FORMAT=MLN","Sort=A","Dates=H","DateFormat=P","Fill=—","Direction=H","UseDPDF=Y")</f>
        <v>905</v>
      </c>
      <c r="T41" s="13">
        <f>_xll.BDH("GILD US Equity","BS_ACCT_PAYABLE","FQ1 2023","FQ1 2023","Currency=USD","Period=FQ","BEST_FPERIOD_OVERRIDE=FQ","FILING_STATUS=MR","SCALING_FORMAT=MLN","Sort=A","Dates=H","DateFormat=P","Fill=—","Direction=H","UseDPDF=Y")</f>
        <v>627</v>
      </c>
      <c r="U41" s="13">
        <f>_xll.BDH("GILD US Equity","BS_ACCT_PAYABLE","FQ2 2023","FQ2 2023","Currency=USD","Period=FQ","BEST_FPERIOD_OVERRIDE=FQ","FILING_STATUS=MR","SCALING_FORMAT=MLN","Sort=A","Dates=H","DateFormat=P","Fill=—","Direction=H","UseDPDF=Y")</f>
        <v>622</v>
      </c>
      <c r="V41" s="13">
        <f>_xll.BDH("GILD US Equity","BS_ACCT_PAYABLE","FQ3 2023","FQ3 2023","Currency=USD","Period=FQ","BEST_FPERIOD_OVERRIDE=FQ","FILING_STATUS=MR","SCALING_FORMAT=MLN","Sort=A","Dates=H","DateFormat=P","Fill=—","Direction=H","UseDPDF=Y")</f>
        <v>586</v>
      </c>
      <c r="W41" s="13">
        <f>_xll.BDH("GILD US Equity","BS_ACCT_PAYABLE","FQ4 2023","FQ4 2023","Currency=USD","Period=FQ","BEST_FPERIOD_OVERRIDE=FQ","FILING_STATUS=MR","SCALING_FORMAT=MLN","Sort=A","Dates=H","DateFormat=P","Fill=—","Direction=H","UseDPDF=Y")</f>
        <v>550</v>
      </c>
      <c r="X41" s="13">
        <f>_xll.BDH("GILD US Equity","BS_ACCT_PAYABLE","FQ1 2024","FQ1 2024","Currency=USD","Period=FQ","BEST_FPERIOD_OVERRIDE=FQ","FILING_STATUS=MR","SCALING_FORMAT=MLN","Sort=A","Dates=H","DateFormat=P","Fill=—","Direction=H","UseDPDF=Y")</f>
        <v>622</v>
      </c>
      <c r="Y41" s="13">
        <f>_xll.BDH("GILD US Equity","BS_ACCT_PAYABLE","FQ2 2024","FQ2 2024","Currency=USD","Period=FQ","BEST_FPERIOD_OVERRIDE=FQ","FILING_STATUS=MR","SCALING_FORMAT=MLN","Sort=A","Dates=H","DateFormat=P","Fill=—","Direction=H","UseDPDF=Y")</f>
        <v>537</v>
      </c>
      <c r="Z41" s="13">
        <f>_xll.BDH("GILD US Equity","BS_ACCT_PAYABLE","FQ3 2024","FQ3 2024","Currency=USD","Period=FQ","BEST_FPERIOD_OVERRIDE=FQ","FILING_STATUS=MR","SCALING_FORMAT=MLN","Sort=A","Dates=H","DateFormat=P","Fill=—","Direction=H","UseDPDF=Y")</f>
        <v>903</v>
      </c>
      <c r="AA41" s="13">
        <f>_xll.BDH("GILD US Equity","BS_ACCT_PAYABLE","FQ4 2024","FQ4 2024","Currency=USD","Period=FQ","BEST_FPERIOD_OVERRIDE=FQ","FILING_STATUS=MR","SCALING_FORMAT=MLN","Sort=A","Dates=H","DateFormat=P","Fill=—","Direction=H","UseDPDF=Y")</f>
        <v>833</v>
      </c>
    </row>
    <row r="42" spans="1:27" x14ac:dyDescent="0.25">
      <c r="A42" s="10" t="s">
        <v>805</v>
      </c>
      <c r="B42" s="10" t="s">
        <v>806</v>
      </c>
      <c r="C42" s="13" t="str">
        <f>_xll.BDH("GILD US Equity","BS_TAXES_PAYABLE","FQ4 2018","FQ4 2018","Currency=USD","Period=FQ","BEST_FPERIOD_OVERRIDE=FQ","FILING_STATUS=MR","SCALING_FORMAT=MLN","Sort=A","Dates=H","DateFormat=P","Fill=—","Direction=H","UseDPDF=Y")</f>
        <v>—</v>
      </c>
      <c r="D42" s="13" t="str">
        <f>_xll.BDH("GILD US Equity","BS_TAXES_PAYABLE","FQ1 2019","FQ1 2019","Currency=USD","Period=FQ","BEST_FPERIOD_OVERRIDE=FQ","FILING_STATUS=MR","SCALING_FORMAT=MLN","Sort=A","Dates=H","DateFormat=P","Fill=—","Direction=H","UseDPDF=Y")</f>
        <v>—</v>
      </c>
      <c r="E42" s="13" t="str">
        <f>_xll.BDH("GILD US Equity","BS_TAXES_PAYABLE","FQ2 2019","FQ2 2019","Currency=USD","Period=FQ","BEST_FPERIOD_OVERRIDE=FQ","FILING_STATUS=MR","SCALING_FORMAT=MLN","Sort=A","Dates=H","DateFormat=P","Fill=—","Direction=H","UseDPDF=Y")</f>
        <v>—</v>
      </c>
      <c r="F42" s="13" t="str">
        <f>_xll.BDH("GILD US Equity","BS_TAXES_PAYABLE","FQ3 2019","FQ3 2019","Currency=USD","Period=FQ","BEST_FPERIOD_OVERRIDE=FQ","FILING_STATUS=MR","SCALING_FORMAT=MLN","Sort=A","Dates=H","DateFormat=P","Fill=—","Direction=H","UseDPDF=Y")</f>
        <v>—</v>
      </c>
      <c r="G42" s="13" t="str">
        <f>_xll.BDH("GILD US Equity","BS_TAXES_PAYABLE","FQ4 2019","FQ4 2019","Currency=USD","Period=FQ","BEST_FPERIOD_OVERRIDE=FQ","FILING_STATUS=MR","SCALING_FORMAT=MLN","Sort=A","Dates=H","DateFormat=P","Fill=—","Direction=H","UseDPDF=Y")</f>
        <v>—</v>
      </c>
      <c r="H42" s="13" t="str">
        <f>_xll.BDH("GILD US Equity","BS_TAXES_PAYABLE","FQ1 2020","FQ1 2020","Currency=USD","Period=FQ","BEST_FPERIOD_OVERRIDE=FQ","FILING_STATUS=MR","SCALING_FORMAT=MLN","Sort=A","Dates=H","DateFormat=P","Fill=—","Direction=H","UseDPDF=Y")</f>
        <v>—</v>
      </c>
      <c r="I42" s="13" t="str">
        <f>_xll.BDH("GILD US Equity","BS_TAXES_PAYABLE","FQ2 2020","FQ2 2020","Currency=USD","Period=FQ","BEST_FPERIOD_OVERRIDE=FQ","FILING_STATUS=MR","SCALING_FORMAT=MLN","Sort=A","Dates=H","DateFormat=P","Fill=—","Direction=H","UseDPDF=Y")</f>
        <v>—</v>
      </c>
      <c r="J42" s="13" t="str">
        <f>_xll.BDH("GILD US Equity","BS_TAXES_PAYABLE","FQ3 2020","FQ3 2020","Currency=USD","Period=FQ","BEST_FPERIOD_OVERRIDE=FQ","FILING_STATUS=MR","SCALING_FORMAT=MLN","Sort=A","Dates=H","DateFormat=P","Fill=—","Direction=H","UseDPDF=Y")</f>
        <v>—</v>
      </c>
      <c r="K42" s="13" t="str">
        <f>_xll.BDH("GILD US Equity","BS_TAXES_PAYABLE","FQ4 2020","FQ4 2020","Currency=USD","Period=FQ","BEST_FPERIOD_OVERRIDE=FQ","FILING_STATUS=MR","SCALING_FORMAT=MLN","Sort=A","Dates=H","DateFormat=P","Fill=—","Direction=H","UseDPDF=Y")</f>
        <v>—</v>
      </c>
      <c r="L42" s="13" t="str">
        <f>_xll.BDH("GILD US Equity","BS_TAXES_PAYABLE","FQ1 2021","FQ1 2021","Currency=USD","Period=FQ","BEST_FPERIOD_OVERRIDE=FQ","FILING_STATUS=MR","SCALING_FORMAT=MLN","Sort=A","Dates=H","DateFormat=P","Fill=—","Direction=H","UseDPDF=Y")</f>
        <v>—</v>
      </c>
      <c r="M42" s="13">
        <f>_xll.BDH("GILD US Equity","BS_TAXES_PAYABLE","FQ2 2021","FQ2 2021","Currency=USD","Period=FQ","BEST_FPERIOD_OVERRIDE=FQ","FILING_STATUS=MR","SCALING_FORMAT=MLN","Sort=A","Dates=H","DateFormat=P","Fill=—","Direction=H","UseDPDF=Y")</f>
        <v>439</v>
      </c>
      <c r="N42" s="13">
        <f>_xll.BDH("GILD US Equity","BS_TAXES_PAYABLE","FQ3 2021","FQ3 2021","Currency=USD","Period=FQ","BEST_FPERIOD_OVERRIDE=FQ","FILING_STATUS=MR","SCALING_FORMAT=MLN","Sort=A","Dates=H","DateFormat=P","Fill=—","Direction=H","UseDPDF=Y")</f>
        <v>447</v>
      </c>
      <c r="O42" s="13">
        <f>_xll.BDH("GILD US Equity","BS_TAXES_PAYABLE","FQ4 2021","FQ4 2021","Currency=USD","Period=FQ","BEST_FPERIOD_OVERRIDE=FQ","FILING_STATUS=MR","SCALING_FORMAT=MLN","Sort=A","Dates=H","DateFormat=P","Fill=—","Direction=H","UseDPDF=Y")</f>
        <v>539</v>
      </c>
      <c r="P42" s="13" t="str">
        <f>_xll.BDH("GILD US Equity","BS_TAXES_PAYABLE","FQ1 2022","FQ1 2022","Currency=USD","Period=FQ","BEST_FPERIOD_OVERRIDE=FQ","FILING_STATUS=MR","SCALING_FORMAT=MLN","Sort=A","Dates=H","DateFormat=P","Fill=—","Direction=H","UseDPDF=Y")</f>
        <v>—</v>
      </c>
      <c r="Q42" s="13">
        <f>_xll.BDH("GILD US Equity","BS_TAXES_PAYABLE","FQ2 2022","FQ2 2022","Currency=USD","Period=FQ","BEST_FPERIOD_OVERRIDE=FQ","FILING_STATUS=MR","SCALING_FORMAT=MLN","Sort=A","Dates=H","DateFormat=P","Fill=—","Direction=H","UseDPDF=Y")</f>
        <v>902</v>
      </c>
      <c r="R42" s="13">
        <f>_xll.BDH("GILD US Equity","BS_TAXES_PAYABLE","FQ3 2022","FQ3 2022","Currency=USD","Period=FQ","BEST_FPERIOD_OVERRIDE=FQ","FILING_STATUS=MR","SCALING_FORMAT=MLN","Sort=A","Dates=H","DateFormat=P","Fill=—","Direction=H","UseDPDF=Y")</f>
        <v>902</v>
      </c>
      <c r="S42" s="13">
        <f>_xll.BDH("GILD US Equity","BS_TAXES_PAYABLE","FQ4 2022","FQ4 2022","Currency=USD","Period=FQ","BEST_FPERIOD_OVERRIDE=FQ","FILING_STATUS=MR","SCALING_FORMAT=MLN","Sort=A","Dates=H","DateFormat=P","Fill=—","Direction=H","UseDPDF=Y")</f>
        <v>959</v>
      </c>
      <c r="T42" s="13">
        <f>_xll.BDH("GILD US Equity","BS_TAXES_PAYABLE","FQ1 2023","FQ1 2023","Currency=USD","Period=FQ","BEST_FPERIOD_OVERRIDE=FQ","FILING_STATUS=MR","SCALING_FORMAT=MLN","Sort=A","Dates=H","DateFormat=P","Fill=—","Direction=H","UseDPDF=Y")</f>
        <v>1138</v>
      </c>
      <c r="U42" s="13">
        <f>_xll.BDH("GILD US Equity","BS_TAXES_PAYABLE","FQ2 2023","FQ2 2023","Currency=USD","Period=FQ","BEST_FPERIOD_OVERRIDE=FQ","FILING_STATUS=MR","SCALING_FORMAT=MLN","Sort=A","Dates=H","DateFormat=P","Fill=—","Direction=H","UseDPDF=Y")</f>
        <v>2226</v>
      </c>
      <c r="V42" s="13">
        <f>_xll.BDH("GILD US Equity","BS_TAXES_PAYABLE","FQ3 2023","FQ3 2023","Currency=USD","Period=FQ","BEST_FPERIOD_OVERRIDE=FQ","FILING_STATUS=MR","SCALING_FORMAT=MLN","Sort=A","Dates=H","DateFormat=P","Fill=—","Direction=H","UseDPDF=Y")</f>
        <v>2086</v>
      </c>
      <c r="W42" s="13">
        <f>_xll.BDH("GILD US Equity","BS_TAXES_PAYABLE","FQ4 2023","FQ4 2023","Currency=USD","Period=FQ","BEST_FPERIOD_OVERRIDE=FQ","FILING_STATUS=MR","SCALING_FORMAT=MLN","Sort=A","Dates=H","DateFormat=P","Fill=—","Direction=H","UseDPDF=Y")</f>
        <v>1208</v>
      </c>
      <c r="X42" s="13">
        <f>_xll.BDH("GILD US Equity","BS_TAXES_PAYABLE","FQ1 2024","FQ1 2024","Currency=USD","Period=FQ","BEST_FPERIOD_OVERRIDE=FQ","FILING_STATUS=MR","SCALING_FORMAT=MLN","Sort=A","Dates=H","DateFormat=P","Fill=—","Direction=H","UseDPDF=Y")</f>
        <v>1198</v>
      </c>
      <c r="Y42" s="13">
        <f>_xll.BDH("GILD US Equity","BS_TAXES_PAYABLE","FQ2 2024","FQ2 2024","Currency=USD","Period=FQ","BEST_FPERIOD_OVERRIDE=FQ","FILING_STATUS=MR","SCALING_FORMAT=MLN","Sort=A","Dates=H","DateFormat=P","Fill=—","Direction=H","UseDPDF=Y")</f>
        <v>1265</v>
      </c>
      <c r="Z42" s="13">
        <f>_xll.BDH("GILD US Equity","BS_TAXES_PAYABLE","FQ3 2024","FQ3 2024","Currency=USD","Period=FQ","BEST_FPERIOD_OVERRIDE=FQ","FILING_STATUS=MR","SCALING_FORMAT=MLN","Sort=A","Dates=H","DateFormat=P","Fill=—","Direction=H","UseDPDF=Y")</f>
        <v>1536</v>
      </c>
      <c r="AA42" s="13">
        <f>_xll.BDH("GILD US Equity","BS_TAXES_PAYABLE","FQ4 2024","FQ4 2024","Currency=USD","Period=FQ","BEST_FPERIOD_OVERRIDE=FQ","FILING_STATUS=MR","SCALING_FORMAT=MLN","Sort=A","Dates=H","DateFormat=P","Fill=—","Direction=H","UseDPDF=Y")</f>
        <v>1646</v>
      </c>
    </row>
    <row r="43" spans="1:27" x14ac:dyDescent="0.25">
      <c r="A43" s="10" t="s">
        <v>807</v>
      </c>
      <c r="B43" s="10" t="s">
        <v>808</v>
      </c>
      <c r="C43" s="13">
        <f>_xll.BDH("GILD US Equity","BS_ACCRUAL","FQ4 2018","FQ4 2018","Currency=USD","Period=FQ","BEST_FPERIOD_OVERRIDE=FQ","FILING_STATUS=MR","SCALING_FORMAT=MLN","Sort=A","Dates=H","DateFormat=P","Fill=—","Direction=H","UseDPDF=Y")</f>
        <v>7066</v>
      </c>
      <c r="D43" s="13">
        <f>_xll.BDH("GILD US Equity","BS_ACCRUAL","FQ1 2019","FQ1 2019","Currency=USD","Period=FQ","BEST_FPERIOD_OVERRIDE=FQ","FILING_STATUS=MR","SCALING_FORMAT=MLN","Sort=A","Dates=H","DateFormat=P","Fill=—","Direction=H","UseDPDF=Y")</f>
        <v>6246</v>
      </c>
      <c r="E43" s="13">
        <f>_xll.BDH("GILD US Equity","BS_ACCRUAL","FQ2 2019","FQ2 2019","Currency=USD","Period=FQ","BEST_FPERIOD_OVERRIDE=FQ","FILING_STATUS=MR","SCALING_FORMAT=MLN","Sort=A","Dates=H","DateFormat=P","Fill=—","Direction=H","UseDPDF=Y")</f>
        <v>6268</v>
      </c>
      <c r="F43" s="13">
        <f>_xll.BDH("GILD US Equity","BS_ACCRUAL","FQ3 2019","FQ3 2019","Currency=USD","Period=FQ","BEST_FPERIOD_OVERRIDE=FQ","FILING_STATUS=MR","SCALING_FORMAT=MLN","Sort=A","Dates=H","DateFormat=P","Fill=—","Direction=H","UseDPDF=Y")</f>
        <v>6343</v>
      </c>
      <c r="G43" s="13">
        <f>_xll.BDH("GILD US Equity","BS_ACCRUAL","FQ4 2019","FQ4 2019","Currency=USD","Period=FQ","BEST_FPERIOD_OVERRIDE=FQ","FILING_STATUS=MR","SCALING_FORMAT=MLN","Sort=A","Dates=H","DateFormat=P","Fill=—","Direction=H","UseDPDF=Y")</f>
        <v>6442</v>
      </c>
      <c r="H43" s="13">
        <f>_xll.BDH("GILD US Equity","BS_ACCRUAL","FQ1 2020","FQ1 2020","Currency=USD","Period=FQ","BEST_FPERIOD_OVERRIDE=FQ","FILING_STATUS=MR","SCALING_FORMAT=MLN","Sort=A","Dates=H","DateFormat=P","Fill=—","Direction=H","UseDPDF=Y")</f>
        <v>6286</v>
      </c>
      <c r="I43" s="13">
        <f>_xll.BDH("GILD US Equity","BS_ACCRUAL","FQ2 2020","FQ2 2020","Currency=USD","Period=FQ","BEST_FPERIOD_OVERRIDE=FQ","FILING_STATUS=MR","SCALING_FORMAT=MLN","Sort=A","Dates=H","DateFormat=P","Fill=—","Direction=H","UseDPDF=Y")</f>
        <v>7020</v>
      </c>
      <c r="J43" s="13">
        <f>_xll.BDH("GILD US Equity","BS_ACCRUAL","FQ3 2020","FQ3 2020","Currency=USD","Period=FQ","BEST_FPERIOD_OVERRIDE=FQ","FILING_STATUS=MR","SCALING_FORMAT=MLN","Sort=A","Dates=H","DateFormat=P","Fill=—","Direction=H","UseDPDF=Y")</f>
        <v>7439</v>
      </c>
      <c r="K43" s="13">
        <f>_xll.BDH("GILD US Equity","BS_ACCRUAL","FQ4 2020","FQ4 2020","Currency=USD","Period=FQ","BEST_FPERIOD_OVERRIDE=FQ","FILING_STATUS=MR","SCALING_FORMAT=MLN","Sort=A","Dates=H","DateFormat=P","Fill=—","Direction=H","UseDPDF=Y")</f>
        <v>7575</v>
      </c>
      <c r="L43" s="13">
        <f>_xll.BDH("GILD US Equity","BS_ACCRUAL","FQ1 2021","FQ1 2021","Currency=USD","Period=FQ","BEST_FPERIOD_OVERRIDE=FQ","FILING_STATUS=MR","SCALING_FORMAT=MLN","Sort=A","Dates=H","DateFormat=P","Fill=—","Direction=H","UseDPDF=Y")</f>
        <v>6835</v>
      </c>
      <c r="M43" s="13">
        <f>_xll.BDH("GILD US Equity","BS_ACCRUAL","FQ2 2021","FQ2 2021","Currency=USD","Period=FQ","BEST_FPERIOD_OVERRIDE=FQ","FILING_STATUS=MR","SCALING_FORMAT=MLN","Sort=A","Dates=H","DateFormat=P","Fill=—","Direction=H","UseDPDF=Y")</f>
        <v>6876</v>
      </c>
      <c r="N43" s="13">
        <f>_xll.BDH("GILD US Equity","BS_ACCRUAL","FQ3 2021","FQ3 2021","Currency=USD","Period=FQ","BEST_FPERIOD_OVERRIDE=FQ","FILING_STATUS=MR","SCALING_FORMAT=MLN","Sort=A","Dates=H","DateFormat=P","Fill=—","Direction=H","UseDPDF=Y")</f>
        <v>6694</v>
      </c>
      <c r="O43" s="13">
        <f>_xll.BDH("GILD US Equity","BS_ACCRUAL","FQ4 2021","FQ4 2021","Currency=USD","Period=FQ","BEST_FPERIOD_OVERRIDE=FQ","FILING_STATUS=MR","SCALING_FORMAT=MLN","Sort=A","Dates=H","DateFormat=P","Fill=—","Direction=H","UseDPDF=Y")</f>
        <v>8745</v>
      </c>
      <c r="P43" s="13">
        <f>_xll.BDH("GILD US Equity","BS_ACCRUAL","FQ1 2022","FQ1 2022","Currency=USD","Period=FQ","BEST_FPERIOD_OVERRIDE=FQ","FILING_STATUS=MR","SCALING_FORMAT=MLN","Sort=A","Dates=H","DateFormat=P","Fill=—","Direction=H","UseDPDF=Y")</f>
        <v>6944</v>
      </c>
      <c r="Q43" s="13">
        <f>_xll.BDH("GILD US Equity","BS_ACCRUAL","FQ2 2022","FQ2 2022","Currency=USD","Period=FQ","BEST_FPERIOD_OVERRIDE=FQ","FILING_STATUS=MR","SCALING_FORMAT=MLN","Sort=A","Dates=H","DateFormat=P","Fill=—","Direction=H","UseDPDF=Y")</f>
        <v>6730</v>
      </c>
      <c r="R43" s="13">
        <f>_xll.BDH("GILD US Equity","BS_ACCRUAL","FQ3 2022","FQ3 2022","Currency=USD","Period=FQ","BEST_FPERIOD_OVERRIDE=FQ","FILING_STATUS=MR","SCALING_FORMAT=MLN","Sort=A","Dates=H","DateFormat=P","Fill=—","Direction=H","UseDPDF=Y")</f>
        <v>6637</v>
      </c>
      <c r="S43" s="13">
        <f>_xll.BDH("GILD US Equity","BS_ACCRUAL","FQ4 2022","FQ4 2022","Currency=USD","Period=FQ","BEST_FPERIOD_OVERRIDE=FQ","FILING_STATUS=MR","SCALING_FORMAT=MLN","Sort=A","Dates=H","DateFormat=P","Fill=—","Direction=H","UseDPDF=Y")</f>
        <v>6956</v>
      </c>
      <c r="T43" s="13">
        <f>_xll.BDH("GILD US Equity","BS_ACCRUAL","FQ1 2023","FQ1 2023","Currency=USD","Period=FQ","BEST_FPERIOD_OVERRIDE=FQ","FILING_STATUS=MR","SCALING_FORMAT=MLN","Sort=A","Dates=H","DateFormat=P","Fill=—","Direction=H","UseDPDF=Y")</f>
        <v>6479</v>
      </c>
      <c r="U43" s="13">
        <f>_xll.BDH("GILD US Equity","BS_ACCRUAL","FQ2 2023","FQ2 2023","Currency=USD","Period=FQ","BEST_FPERIOD_OVERRIDE=FQ","FILING_STATUS=MR","SCALING_FORMAT=MLN","Sort=A","Dates=H","DateFormat=P","Fill=—","Direction=H","UseDPDF=Y")</f>
        <v>7078</v>
      </c>
      <c r="V43" s="13">
        <f>_xll.BDH("GILD US Equity","BS_ACCRUAL","FQ3 2023","FQ3 2023","Currency=USD","Period=FQ","BEST_FPERIOD_OVERRIDE=FQ","FILING_STATUS=MR","SCALING_FORMAT=MLN","Sort=A","Dates=H","DateFormat=P","Fill=—","Direction=H","UseDPDF=Y")</f>
        <v>1620</v>
      </c>
      <c r="W43" s="13">
        <f>_xll.BDH("GILD US Equity","BS_ACCRUAL","FQ4 2023","FQ4 2023","Currency=USD","Period=FQ","BEST_FPERIOD_OVERRIDE=FQ","FILING_STATUS=MR","SCALING_FORMAT=MLN","Sort=A","Dates=H","DateFormat=P","Fill=—","Direction=H","UseDPDF=Y")</f>
        <v>7554</v>
      </c>
      <c r="X43" s="13">
        <f>_xll.BDH("GILD US Equity","BS_ACCRUAL","FQ1 2024","FQ1 2024","Currency=USD","Period=FQ","BEST_FPERIOD_OVERRIDE=FQ","FILING_STATUS=MR","SCALING_FORMAT=MLN","Sort=A","Dates=H","DateFormat=P","Fill=—","Direction=H","UseDPDF=Y")</f>
        <v>7528</v>
      </c>
      <c r="Y43" s="13">
        <f>_xll.BDH("GILD US Equity","BS_ACCRUAL","FQ2 2024","FQ2 2024","Currency=USD","Period=FQ","BEST_FPERIOD_OVERRIDE=FQ","FILING_STATUS=MR","SCALING_FORMAT=MLN","Sort=A","Dates=H","DateFormat=P","Fill=—","Direction=H","UseDPDF=Y")</f>
        <v>2658</v>
      </c>
      <c r="Z43" s="13">
        <f>_xll.BDH("GILD US Equity","BS_ACCRUAL","FQ3 2024","FQ3 2024","Currency=USD","Period=FQ","BEST_FPERIOD_OVERRIDE=FQ","FILING_STATUS=MR","SCALING_FORMAT=MLN","Sort=A","Dates=H","DateFormat=P","Fill=—","Direction=H","UseDPDF=Y")</f>
        <v>4104</v>
      </c>
      <c r="AA43" s="13">
        <f>_xll.BDH("GILD US Equity","BS_ACCRUAL","FQ4 2024","FQ4 2024","Currency=USD","Period=FQ","BEST_FPERIOD_OVERRIDE=FQ","FILING_STATUS=MR","SCALING_FORMAT=MLN","Sort=A","Dates=H","DateFormat=P","Fill=—","Direction=H","UseDPDF=Y")</f>
        <v>3779</v>
      </c>
    </row>
    <row r="44" spans="1:27" x14ac:dyDescent="0.25">
      <c r="A44" s="10" t="s">
        <v>809</v>
      </c>
      <c r="B44" s="10" t="s">
        <v>810</v>
      </c>
      <c r="C44" s="13">
        <f>_xll.BDH("GILD US Equity","BS_ST_BORROW","FQ4 2018","FQ4 2018","Currency=USD","Period=FQ","BEST_FPERIOD_OVERRIDE=FQ","FILING_STATUS=MR","SCALING_FORMAT=MLN","Sort=A","Dates=H","DateFormat=P","Fill=—","Direction=H","UseDPDF=Y")</f>
        <v>2748</v>
      </c>
      <c r="D44" s="13">
        <f>_xll.BDH("GILD US Equity","BS_ST_BORROW","FQ1 2019","FQ1 2019","Currency=USD","Period=FQ","BEST_FPERIOD_OVERRIDE=FQ","FILING_STATUS=MR","SCALING_FORMAT=MLN","Sort=A","Dates=H","DateFormat=P","Fill=—","Direction=H","UseDPDF=Y")</f>
        <v>2573</v>
      </c>
      <c r="E44" s="13">
        <f>_xll.BDH("GILD US Equity","BS_ST_BORROW","FQ2 2019","FQ2 2019","Currency=USD","Period=FQ","BEST_FPERIOD_OVERRIDE=FQ","FILING_STATUS=MR","SCALING_FORMAT=MLN","Sort=A","Dates=H","DateFormat=P","Fill=—","Direction=H","UseDPDF=Y")</f>
        <v>2072</v>
      </c>
      <c r="F44" s="13">
        <f>_xll.BDH("GILD US Equity","BS_ST_BORROW","FQ3 2019","FQ3 2019","Currency=USD","Period=FQ","BEST_FPERIOD_OVERRIDE=FQ","FILING_STATUS=MR","SCALING_FORMAT=MLN","Sort=A","Dates=H","DateFormat=P","Fill=—","Direction=H","UseDPDF=Y")</f>
        <v>2591</v>
      </c>
      <c r="G44" s="13">
        <f>_xll.BDH("GILD US Equity","BS_ST_BORROW","FQ4 2019","FQ4 2019","Currency=USD","Period=FQ","BEST_FPERIOD_OVERRIDE=FQ","FILING_STATUS=MR","SCALING_FORMAT=MLN","Sort=A","Dates=H","DateFormat=P","Fill=—","Direction=H","UseDPDF=Y")</f>
        <v>2598</v>
      </c>
      <c r="H44" s="13">
        <f>_xll.BDH("GILD US Equity","BS_ST_BORROW","FQ1 2020","FQ1 2020","Currency=USD","Period=FQ","BEST_FPERIOD_OVERRIDE=FQ","FILING_STATUS=MR","SCALING_FORMAT=MLN","Sort=A","Dates=H","DateFormat=P","Fill=—","Direction=H","UseDPDF=Y")</f>
        <v>1999</v>
      </c>
      <c r="I44" s="13">
        <f>_xll.BDH("GILD US Equity","BS_ST_BORROW","FQ2 2020","FQ2 2020","Currency=USD","Period=FQ","BEST_FPERIOD_OVERRIDE=FQ","FILING_STATUS=MR","SCALING_FORMAT=MLN","Sort=A","Dates=H","DateFormat=P","Fill=—","Direction=H","UseDPDF=Y")</f>
        <v>2999</v>
      </c>
      <c r="J44" s="13">
        <f>_xll.BDH("GILD US Equity","BS_ST_BORROW","FQ3 2020","FQ3 2020","Currency=USD","Period=FQ","BEST_FPERIOD_OVERRIDE=FQ","FILING_STATUS=MR","SCALING_FORMAT=MLN","Sort=A","Dates=H","DateFormat=P","Fill=—","Direction=H","UseDPDF=Y")</f>
        <v>1498</v>
      </c>
      <c r="K44" s="13">
        <f>_xll.BDH("GILD US Equity","BS_ST_BORROW","FQ4 2020","FQ4 2020","Currency=USD","Period=FQ","BEST_FPERIOD_OVERRIDE=FQ","FILING_STATUS=MR","SCALING_FORMAT=MLN","Sort=A","Dates=H","DateFormat=P","Fill=—","Direction=H","UseDPDF=Y")</f>
        <v>2864</v>
      </c>
      <c r="L44" s="13">
        <f>_xll.BDH("GILD US Equity","BS_ST_BORROW","FQ1 2021","FQ1 2021","Currency=USD","Period=FQ","BEST_FPERIOD_OVERRIDE=FQ","FILING_STATUS=MR","SCALING_FORMAT=MLN","Sort=A","Dates=H","DateFormat=P","Fill=—","Direction=H","UseDPDF=Y")</f>
        <v>2259</v>
      </c>
      <c r="M44" s="13">
        <f>_xll.BDH("GILD US Equity","BS_ST_BORROW","FQ2 2021","FQ2 2021","Currency=USD","Period=FQ","BEST_FPERIOD_OVERRIDE=FQ","FILING_STATUS=MR","SCALING_FORMAT=MLN","Sort=A","Dates=H","DateFormat=P","Fill=—","Direction=H","UseDPDF=Y")</f>
        <v>2261</v>
      </c>
      <c r="N44" s="13">
        <f>_xll.BDH("GILD US Equity","BS_ST_BORROW","FQ3 2021","FQ3 2021","Currency=USD","Period=FQ","BEST_FPERIOD_OVERRIDE=FQ","FILING_STATUS=MR","SCALING_FORMAT=MLN","Sort=A","Dates=H","DateFormat=P","Fill=—","Direction=H","UseDPDF=Y")</f>
        <v>2511</v>
      </c>
      <c r="O44" s="13">
        <f>_xll.BDH("GILD US Equity","BS_ST_BORROW","FQ4 2021","FQ4 2021","Currency=USD","Period=FQ","BEST_FPERIOD_OVERRIDE=FQ","FILING_STATUS=MR","SCALING_FORMAT=MLN","Sort=A","Dates=H","DateFormat=P","Fill=—","Direction=H","UseDPDF=Y")</f>
        <v>1617</v>
      </c>
      <c r="P44" s="13">
        <f>_xll.BDH("GILD US Equity","BS_ST_BORROW","FQ1 2022","FQ1 2022","Currency=USD","Period=FQ","BEST_FPERIOD_OVERRIDE=FQ","FILING_STATUS=MR","SCALING_FORMAT=MLN","Sort=A","Dates=H","DateFormat=P","Fill=—","Direction=H","UseDPDF=Y")</f>
        <v>1025</v>
      </c>
      <c r="Q44" s="13">
        <f>_xll.BDH("GILD US Equity","BS_ST_BORROW","FQ2 2022","FQ2 2022","Currency=USD","Period=FQ","BEST_FPERIOD_OVERRIDE=FQ","FILING_STATUS=MR","SCALING_FORMAT=MLN","Sort=A","Dates=H","DateFormat=P","Fill=—","Direction=H","UseDPDF=Y")</f>
        <v>1021</v>
      </c>
      <c r="R44" s="13">
        <f>_xll.BDH("GILD US Equity","BS_ST_BORROW","FQ3 2022","FQ3 2022","Currency=USD","Period=FQ","BEST_FPERIOD_OVERRIDE=FQ","FILING_STATUS=MR","SCALING_FORMAT=MLN","Sort=A","Dates=H","DateFormat=P","Fill=—","Direction=H","UseDPDF=Y")</f>
        <v>2270</v>
      </c>
      <c r="S44" s="13">
        <f>_xll.BDH("GILD US Equity","BS_ST_BORROW","FQ4 2022","FQ4 2022","Currency=USD","Period=FQ","BEST_FPERIOD_OVERRIDE=FQ","FILING_STATUS=MR","SCALING_FORMAT=MLN","Sort=A","Dates=H","DateFormat=P","Fill=—","Direction=H","UseDPDF=Y")</f>
        <v>2384</v>
      </c>
      <c r="T44" s="13">
        <f>_xll.BDH("GILD US Equity","BS_ST_BORROW","FQ1 2023","FQ1 2023","Currency=USD","Period=FQ","BEST_FPERIOD_OVERRIDE=FQ","FILING_STATUS=MR","SCALING_FORMAT=MLN","Sort=A","Dates=H","DateFormat=P","Fill=—","Direction=H","UseDPDF=Y")</f>
        <v>2283</v>
      </c>
      <c r="U44" s="13">
        <f>_xll.BDH("GILD US Equity","BS_ST_BORROW","FQ2 2023","FQ2 2023","Currency=USD","Period=FQ","BEST_FPERIOD_OVERRIDE=FQ","FILING_STATUS=MR","SCALING_FORMAT=MLN","Sort=A","Dates=H","DateFormat=P","Fill=—","Direction=H","UseDPDF=Y")</f>
        <v>4037</v>
      </c>
      <c r="V44" s="13">
        <f>_xll.BDH("GILD US Equity","BS_ST_BORROW","FQ3 2023","FQ3 2023","Currency=USD","Period=FQ","BEST_FPERIOD_OVERRIDE=FQ","FILING_STATUS=MR","SCALING_FORMAT=MLN","Sort=A","Dates=H","DateFormat=P","Fill=—","Direction=H","UseDPDF=Y")</f>
        <v>1793</v>
      </c>
      <c r="W44" s="13">
        <f>_xll.BDH("GILD US Equity","BS_ST_BORROW","FQ4 2023","FQ4 2023","Currency=USD","Period=FQ","BEST_FPERIOD_OVERRIDE=FQ","FILING_STATUS=MR","SCALING_FORMAT=MLN","Sort=A","Dates=H","DateFormat=P","Fill=—","Direction=H","UseDPDF=Y")</f>
        <v>1923</v>
      </c>
      <c r="X44" s="13">
        <f>_xll.BDH("GILD US Equity","BS_ST_BORROW","FQ1 2024","FQ1 2024","Currency=USD","Period=FQ","BEST_FPERIOD_OVERRIDE=FQ","FILING_STATUS=MR","SCALING_FORMAT=MLN","Sort=A","Dates=H","DateFormat=P","Fill=—","Direction=H","UseDPDF=Y")</f>
        <v>3667</v>
      </c>
      <c r="Y44" s="13">
        <f>_xll.BDH("GILD US Equity","BS_ST_BORROW","FQ2 2024","FQ2 2024","Currency=USD","Period=FQ","BEST_FPERIOD_OVERRIDE=FQ","FILING_STATUS=MR","SCALING_FORMAT=MLN","Sort=A","Dates=H","DateFormat=P","Fill=—","Direction=H","UseDPDF=Y")</f>
        <v>1810</v>
      </c>
      <c r="Z44" s="13">
        <f>_xll.BDH("GILD US Equity","BS_ST_BORROW","FQ3 2024","FQ3 2024","Currency=USD","Period=FQ","BEST_FPERIOD_OVERRIDE=FQ","FILING_STATUS=MR","SCALING_FORMAT=MLN","Sort=A","Dates=H","DateFormat=P","Fill=—","Direction=H","UseDPDF=Y")</f>
        <v>1812</v>
      </c>
      <c r="AA44" s="13">
        <f>_xll.BDH("GILD US Equity","BS_ST_BORROW","FQ4 2024","FQ4 2024","Currency=USD","Period=FQ","BEST_FPERIOD_OVERRIDE=FQ","FILING_STATUS=MR","SCALING_FORMAT=MLN","Sort=A","Dates=H","DateFormat=P","Fill=—","Direction=H","UseDPDF=Y")</f>
        <v>1928</v>
      </c>
    </row>
    <row r="45" spans="1:27" x14ac:dyDescent="0.25">
      <c r="A45" s="10" t="s">
        <v>811</v>
      </c>
      <c r="B45" s="10" t="s">
        <v>812</v>
      </c>
      <c r="C45" s="13">
        <f>_xll.BDH("GILD US Equity","SHORT_TERM_DEBT_DETAILED","FQ4 2018","FQ4 2018","Currency=USD","Period=FQ","BEST_FPERIOD_OVERRIDE=FQ","FILING_STATUS=MR","SCALING_FORMAT=MLN","Sort=A","Dates=H","DateFormat=P","Fill=—","Direction=H","UseDPDF=Y")</f>
        <v>0</v>
      </c>
      <c r="D45" s="13">
        <f>_xll.BDH("GILD US Equity","SHORT_TERM_DEBT_DETAILED","FQ1 2019","FQ1 2019","Currency=USD","Period=FQ","BEST_FPERIOD_OVERRIDE=FQ","FILING_STATUS=MR","SCALING_FORMAT=MLN","Sort=A","Dates=H","DateFormat=P","Fill=—","Direction=H","UseDPDF=Y")</f>
        <v>0</v>
      </c>
      <c r="E45" s="13">
        <f>_xll.BDH("GILD US Equity","SHORT_TERM_DEBT_DETAILED","FQ2 2019","FQ2 2019","Currency=USD","Period=FQ","BEST_FPERIOD_OVERRIDE=FQ","FILING_STATUS=MR","SCALING_FORMAT=MLN","Sort=A","Dates=H","DateFormat=P","Fill=—","Direction=H","UseDPDF=Y")</f>
        <v>0</v>
      </c>
      <c r="F45" s="13">
        <f>_xll.BDH("GILD US Equity","SHORT_TERM_DEBT_DETAILED","FQ3 2019","FQ3 2019","Currency=USD","Period=FQ","BEST_FPERIOD_OVERRIDE=FQ","FILING_STATUS=MR","SCALING_FORMAT=MLN","Sort=A","Dates=H","DateFormat=P","Fill=—","Direction=H","UseDPDF=Y")</f>
        <v>0</v>
      </c>
      <c r="G45" s="13">
        <f>_xll.BDH("GILD US Equity","SHORT_TERM_DEBT_DETAILED","FQ4 2019","FQ4 2019","Currency=USD","Period=FQ","BEST_FPERIOD_OVERRIDE=FQ","FILING_STATUS=MR","SCALING_FORMAT=MLN","Sort=A","Dates=H","DateFormat=P","Fill=—","Direction=H","UseDPDF=Y")</f>
        <v>0</v>
      </c>
      <c r="H45" s="13">
        <f>_xll.BDH("GILD US Equity","SHORT_TERM_DEBT_DETAILED","FQ1 2020","FQ1 2020","Currency=USD","Period=FQ","BEST_FPERIOD_OVERRIDE=FQ","FILING_STATUS=MR","SCALING_FORMAT=MLN","Sort=A","Dates=H","DateFormat=P","Fill=—","Direction=H","UseDPDF=Y")</f>
        <v>0</v>
      </c>
      <c r="I45" s="13">
        <f>_xll.BDH("GILD US Equity","SHORT_TERM_DEBT_DETAILED","FQ2 2020","FQ2 2020","Currency=USD","Period=FQ","BEST_FPERIOD_OVERRIDE=FQ","FILING_STATUS=MR","SCALING_FORMAT=MLN","Sort=A","Dates=H","DateFormat=P","Fill=—","Direction=H","UseDPDF=Y")</f>
        <v>0</v>
      </c>
      <c r="J45" s="13">
        <f>_xll.BDH("GILD US Equity","SHORT_TERM_DEBT_DETAILED","FQ3 2020","FQ3 2020","Currency=USD","Period=FQ","BEST_FPERIOD_OVERRIDE=FQ","FILING_STATUS=MR","SCALING_FORMAT=MLN","Sort=A","Dates=H","DateFormat=P","Fill=—","Direction=H","UseDPDF=Y")</f>
        <v>0</v>
      </c>
      <c r="K45" s="13">
        <f>_xll.BDH("GILD US Equity","SHORT_TERM_DEBT_DETAILED","FQ4 2020","FQ4 2020","Currency=USD","Period=FQ","BEST_FPERIOD_OVERRIDE=FQ","FILING_STATUS=MR","SCALING_FORMAT=MLN","Sort=A","Dates=H","DateFormat=P","Fill=—","Direction=H","UseDPDF=Y")</f>
        <v>0</v>
      </c>
      <c r="L45" s="13">
        <f>_xll.BDH("GILD US Equity","SHORT_TERM_DEBT_DETAILED","FQ1 2021","FQ1 2021","Currency=USD","Period=FQ","BEST_FPERIOD_OVERRIDE=FQ","FILING_STATUS=MR","SCALING_FORMAT=MLN","Sort=A","Dates=H","DateFormat=P","Fill=—","Direction=H","UseDPDF=Y")</f>
        <v>0</v>
      </c>
      <c r="M45" s="13">
        <f>_xll.BDH("GILD US Equity","SHORT_TERM_DEBT_DETAILED","FQ2 2021","FQ2 2021","Currency=USD","Period=FQ","BEST_FPERIOD_OVERRIDE=FQ","FILING_STATUS=MR","SCALING_FORMAT=MLN","Sort=A","Dates=H","DateFormat=P","Fill=—","Direction=H","UseDPDF=Y")</f>
        <v>0</v>
      </c>
      <c r="N45" s="13">
        <f>_xll.BDH("GILD US Equity","SHORT_TERM_DEBT_DETAILED","FQ3 2021","FQ3 2021","Currency=USD","Period=FQ","BEST_FPERIOD_OVERRIDE=FQ","FILING_STATUS=MR","SCALING_FORMAT=MLN","Sort=A","Dates=H","DateFormat=P","Fill=—","Direction=H","UseDPDF=Y")</f>
        <v>0</v>
      </c>
      <c r="O45" s="13">
        <f>_xll.BDH("GILD US Equity","SHORT_TERM_DEBT_DETAILED","FQ4 2021","FQ4 2021","Currency=USD","Period=FQ","BEST_FPERIOD_OVERRIDE=FQ","FILING_STATUS=MR","SCALING_FORMAT=MLN","Sort=A","Dates=H","DateFormat=P","Fill=—","Direction=H","UseDPDF=Y")</f>
        <v>0</v>
      </c>
      <c r="P45" s="13">
        <f>_xll.BDH("GILD US Equity","SHORT_TERM_DEBT_DETAILED","FQ1 2022","FQ1 2022","Currency=USD","Period=FQ","BEST_FPERIOD_OVERRIDE=FQ","FILING_STATUS=MR","SCALING_FORMAT=MLN","Sort=A","Dates=H","DateFormat=P","Fill=—","Direction=H","UseDPDF=Y")</f>
        <v>0</v>
      </c>
      <c r="Q45" s="13">
        <f>_xll.BDH("GILD US Equity","SHORT_TERM_DEBT_DETAILED","FQ2 2022","FQ2 2022","Currency=USD","Period=FQ","BEST_FPERIOD_OVERRIDE=FQ","FILING_STATUS=MR","SCALING_FORMAT=MLN","Sort=A","Dates=H","DateFormat=P","Fill=—","Direction=H","UseDPDF=Y")</f>
        <v>0</v>
      </c>
      <c r="R45" s="13">
        <f>_xll.BDH("GILD US Equity","SHORT_TERM_DEBT_DETAILED","FQ3 2022","FQ3 2022","Currency=USD","Period=FQ","BEST_FPERIOD_OVERRIDE=FQ","FILING_STATUS=MR","SCALING_FORMAT=MLN","Sort=A","Dates=H","DateFormat=P","Fill=—","Direction=H","UseDPDF=Y")</f>
        <v>0</v>
      </c>
      <c r="S45" s="13">
        <f>_xll.BDH("GILD US Equity","SHORT_TERM_DEBT_DETAILED","FQ4 2022","FQ4 2022","Currency=USD","Period=FQ","BEST_FPERIOD_OVERRIDE=FQ","FILING_STATUS=MR","SCALING_FORMAT=MLN","Sort=A","Dates=H","DateFormat=P","Fill=—","Direction=H","UseDPDF=Y")</f>
        <v>0</v>
      </c>
      <c r="T45" s="13">
        <f>_xll.BDH("GILD US Equity","SHORT_TERM_DEBT_DETAILED","FQ1 2023","FQ1 2023","Currency=USD","Period=FQ","BEST_FPERIOD_OVERRIDE=FQ","FILING_STATUS=MR","SCALING_FORMAT=MLN","Sort=A","Dates=H","DateFormat=P","Fill=—","Direction=H","UseDPDF=Y")</f>
        <v>0</v>
      </c>
      <c r="U45" s="13">
        <f>_xll.BDH("GILD US Equity","SHORT_TERM_DEBT_DETAILED","FQ2 2023","FQ2 2023","Currency=USD","Period=FQ","BEST_FPERIOD_OVERRIDE=FQ","FILING_STATUS=MR","SCALING_FORMAT=MLN","Sort=A","Dates=H","DateFormat=P","Fill=—","Direction=H","UseDPDF=Y")</f>
        <v>0</v>
      </c>
      <c r="V45" s="13">
        <f>_xll.BDH("GILD US Equity","SHORT_TERM_DEBT_DETAILED","FQ3 2023","FQ3 2023","Currency=USD","Period=FQ","BEST_FPERIOD_OVERRIDE=FQ","FILING_STATUS=MR","SCALING_FORMAT=MLN","Sort=A","Dates=H","DateFormat=P","Fill=—","Direction=H","UseDPDF=Y")</f>
        <v>0</v>
      </c>
      <c r="W45" s="13">
        <f>_xll.BDH("GILD US Equity","SHORT_TERM_DEBT_DETAILED","FQ4 2023","FQ4 2023","Currency=USD","Period=FQ","BEST_FPERIOD_OVERRIDE=FQ","FILING_STATUS=MR","SCALING_FORMAT=MLN","Sort=A","Dates=H","DateFormat=P","Fill=—","Direction=H","UseDPDF=Y")</f>
        <v>0</v>
      </c>
      <c r="X45" s="13">
        <f>_xll.BDH("GILD US Equity","SHORT_TERM_DEBT_DETAILED","FQ1 2024","FQ1 2024","Currency=USD","Period=FQ","BEST_FPERIOD_OVERRIDE=FQ","FILING_STATUS=MR","SCALING_FORMAT=MLN","Sort=A","Dates=H","DateFormat=P","Fill=—","Direction=H","UseDPDF=Y")</f>
        <v>0</v>
      </c>
      <c r="Y45" s="13">
        <f>_xll.BDH("GILD US Equity","SHORT_TERM_DEBT_DETAILED","FQ2 2024","FQ2 2024","Currency=USD","Period=FQ","BEST_FPERIOD_OVERRIDE=FQ","FILING_STATUS=MR","SCALING_FORMAT=MLN","Sort=A","Dates=H","DateFormat=P","Fill=—","Direction=H","UseDPDF=Y")</f>
        <v>0</v>
      </c>
      <c r="Z45" s="13">
        <f>_xll.BDH("GILD US Equity","SHORT_TERM_DEBT_DETAILED","FQ3 2024","FQ3 2024","Currency=USD","Period=FQ","BEST_FPERIOD_OVERRIDE=FQ","FILING_STATUS=MR","SCALING_FORMAT=MLN","Sort=A","Dates=H","DateFormat=P","Fill=—","Direction=H","UseDPDF=Y")</f>
        <v>0</v>
      </c>
      <c r="AA45" s="13">
        <f>_xll.BDH("GILD US Equity","SHORT_TERM_DEBT_DETAILED","FQ4 2024","FQ4 2024","Currency=USD","Period=FQ","BEST_FPERIOD_OVERRIDE=FQ","FILING_STATUS=MR","SCALING_FORMAT=MLN","Sort=A","Dates=H","DateFormat=P","Fill=—","Direction=H","UseDPDF=Y")</f>
        <v>0</v>
      </c>
    </row>
    <row r="46" spans="1:27" x14ac:dyDescent="0.25">
      <c r="A46" s="10" t="s">
        <v>813</v>
      </c>
      <c r="B46" s="10" t="s">
        <v>814</v>
      </c>
      <c r="C46" s="13" t="str">
        <f>_xll.BDH("GILD US Equity","ST_CAPITALIZED_LEASE_LIABILITIES","FQ4 2018","FQ4 2018","Currency=USD","Period=FQ","BEST_FPERIOD_OVERRIDE=FQ","FILING_STATUS=MR","SCALING_FORMAT=MLN","Sort=A","Dates=H","DateFormat=P","Fill=—","Direction=H","UseDPDF=Y")</f>
        <v>—</v>
      </c>
      <c r="D46" s="13">
        <f>_xll.BDH("GILD US Equity","ST_CAPITALIZED_LEASE_LIABILITIES","FQ1 2019","FQ1 2019","Currency=USD","Period=FQ","BEST_FPERIOD_OVERRIDE=FQ","FILING_STATUS=MR","SCALING_FORMAT=MLN","Sort=A","Dates=H","DateFormat=P","Fill=—","Direction=H","UseDPDF=Y")</f>
        <v>75</v>
      </c>
      <c r="E46" s="13">
        <f>_xll.BDH("GILD US Equity","ST_CAPITALIZED_LEASE_LIABILITIES","FQ2 2019","FQ2 2019","Currency=USD","Period=FQ","BEST_FPERIOD_OVERRIDE=FQ","FILING_STATUS=MR","SCALING_FORMAT=MLN","Sort=A","Dates=H","DateFormat=P","Fill=—","Direction=H","UseDPDF=Y")</f>
        <v>73</v>
      </c>
      <c r="F46" s="13">
        <f>_xll.BDH("GILD US Equity","ST_CAPITALIZED_LEASE_LIABILITIES","FQ3 2019","FQ3 2019","Currency=USD","Period=FQ","BEST_FPERIOD_OVERRIDE=FQ","FILING_STATUS=MR","SCALING_FORMAT=MLN","Sort=A","Dates=H","DateFormat=P","Fill=—","Direction=H","UseDPDF=Y")</f>
        <v>93</v>
      </c>
      <c r="G46" s="13">
        <f>_xll.BDH("GILD US Equity","ST_CAPITALIZED_LEASE_LIABILITIES","FQ4 2019","FQ4 2019","Currency=USD","Period=FQ","BEST_FPERIOD_OVERRIDE=FQ","FILING_STATUS=MR","SCALING_FORMAT=MLN","Sort=A","Dates=H","DateFormat=P","Fill=—","Direction=H","UseDPDF=Y")</f>
        <v>99</v>
      </c>
      <c r="H46" s="13" t="str">
        <f>_xll.BDH("GILD US Equity","ST_CAPITALIZED_LEASE_LIABILITIES","FQ1 2020","FQ1 2020","Currency=USD","Period=FQ","BEST_FPERIOD_OVERRIDE=FQ","FILING_STATUS=MR","SCALING_FORMAT=MLN","Sort=A","Dates=H","DateFormat=P","Fill=—","Direction=H","UseDPDF=Y")</f>
        <v>—</v>
      </c>
      <c r="I46" s="13" t="str">
        <f>_xll.BDH("GILD US Equity","ST_CAPITALIZED_LEASE_LIABILITIES","FQ2 2020","FQ2 2020","Currency=USD","Period=FQ","BEST_FPERIOD_OVERRIDE=FQ","FILING_STATUS=MR","SCALING_FORMAT=MLN","Sort=A","Dates=H","DateFormat=P","Fill=—","Direction=H","UseDPDF=Y")</f>
        <v>—</v>
      </c>
      <c r="J46" s="13" t="str">
        <f>_xll.BDH("GILD US Equity","ST_CAPITALIZED_LEASE_LIABILITIES","FQ3 2020","FQ3 2020","Currency=USD","Period=FQ","BEST_FPERIOD_OVERRIDE=FQ","FILING_STATUS=MR","SCALING_FORMAT=MLN","Sort=A","Dates=H","DateFormat=P","Fill=—","Direction=H","UseDPDF=Y")</f>
        <v>—</v>
      </c>
      <c r="K46" s="13">
        <f>_xll.BDH("GILD US Equity","ST_CAPITALIZED_LEASE_LIABILITIES","FQ4 2020","FQ4 2020","Currency=USD","Period=FQ","BEST_FPERIOD_OVERRIDE=FQ","FILING_STATUS=MR","SCALING_FORMAT=MLN","Sort=A","Dates=H","DateFormat=P","Fill=—","Direction=H","UseDPDF=Y")</f>
        <v>107</v>
      </c>
      <c r="L46" s="13" t="str">
        <f>_xll.BDH("GILD US Equity","ST_CAPITALIZED_LEASE_LIABILITIES","FQ1 2021","FQ1 2021","Currency=USD","Period=FQ","BEST_FPERIOD_OVERRIDE=FQ","FILING_STATUS=MR","SCALING_FORMAT=MLN","Sort=A","Dates=H","DateFormat=P","Fill=—","Direction=H","UseDPDF=Y")</f>
        <v>—</v>
      </c>
      <c r="M46" s="13" t="str">
        <f>_xll.BDH("GILD US Equity","ST_CAPITALIZED_LEASE_LIABILITIES","FQ2 2021","FQ2 2021","Currency=USD","Period=FQ","BEST_FPERIOD_OVERRIDE=FQ","FILING_STATUS=MR","SCALING_FORMAT=MLN","Sort=A","Dates=H","DateFormat=P","Fill=—","Direction=H","UseDPDF=Y")</f>
        <v>—</v>
      </c>
      <c r="N46" s="13" t="str">
        <f>_xll.BDH("GILD US Equity","ST_CAPITALIZED_LEASE_LIABILITIES","FQ3 2021","FQ3 2021","Currency=USD","Period=FQ","BEST_FPERIOD_OVERRIDE=FQ","FILING_STATUS=MR","SCALING_FORMAT=MLN","Sort=A","Dates=H","DateFormat=P","Fill=—","Direction=H","UseDPDF=Y")</f>
        <v>—</v>
      </c>
      <c r="O46" s="13">
        <f>_xll.BDH("GILD US Equity","ST_CAPITALIZED_LEASE_LIABILITIES","FQ4 2021","FQ4 2021","Currency=USD","Period=FQ","BEST_FPERIOD_OVERRIDE=FQ","FILING_STATUS=MR","SCALING_FORMAT=MLN","Sort=A","Dates=H","DateFormat=P","Fill=—","Direction=H","UseDPDF=Y")</f>
        <v>101</v>
      </c>
      <c r="P46" s="13" t="str">
        <f>_xll.BDH("GILD US Equity","ST_CAPITALIZED_LEASE_LIABILITIES","FQ1 2022","FQ1 2022","Currency=USD","Period=FQ","BEST_FPERIOD_OVERRIDE=FQ","FILING_STATUS=MR","SCALING_FORMAT=MLN","Sort=A","Dates=H","DateFormat=P","Fill=—","Direction=H","UseDPDF=Y")</f>
        <v>—</v>
      </c>
      <c r="Q46" s="13" t="str">
        <f>_xll.BDH("GILD US Equity","ST_CAPITALIZED_LEASE_LIABILITIES","FQ2 2022","FQ2 2022","Currency=USD","Period=FQ","BEST_FPERIOD_OVERRIDE=FQ","FILING_STATUS=MR","SCALING_FORMAT=MLN","Sort=A","Dates=H","DateFormat=P","Fill=—","Direction=H","UseDPDF=Y")</f>
        <v>—</v>
      </c>
      <c r="R46" s="13" t="str">
        <f>_xll.BDH("GILD US Equity","ST_CAPITALIZED_LEASE_LIABILITIES","FQ3 2022","FQ3 2022","Currency=USD","Period=FQ","BEST_FPERIOD_OVERRIDE=FQ","FILING_STATUS=MR","SCALING_FORMAT=MLN","Sort=A","Dates=H","DateFormat=P","Fill=—","Direction=H","UseDPDF=Y")</f>
        <v>—</v>
      </c>
      <c r="S46" s="13">
        <f>_xll.BDH("GILD US Equity","ST_CAPITALIZED_LEASE_LIABILITIES","FQ4 2022","FQ4 2022","Currency=USD","Period=FQ","BEST_FPERIOD_OVERRIDE=FQ","FILING_STATUS=MR","SCALING_FORMAT=MLN","Sort=A","Dates=H","DateFormat=P","Fill=—","Direction=H","UseDPDF=Y")</f>
        <v>111</v>
      </c>
      <c r="T46" s="13" t="str">
        <f>_xll.BDH("GILD US Equity","ST_CAPITALIZED_LEASE_LIABILITIES","FQ1 2023","FQ1 2023","Currency=USD","Period=FQ","BEST_FPERIOD_OVERRIDE=FQ","FILING_STATUS=MR","SCALING_FORMAT=MLN","Sort=A","Dates=H","DateFormat=P","Fill=—","Direction=H","UseDPDF=Y")</f>
        <v>—</v>
      </c>
      <c r="U46" s="13" t="str">
        <f>_xll.BDH("GILD US Equity","ST_CAPITALIZED_LEASE_LIABILITIES","FQ2 2023","FQ2 2023","Currency=USD","Period=FQ","BEST_FPERIOD_OVERRIDE=FQ","FILING_STATUS=MR","SCALING_FORMAT=MLN","Sort=A","Dates=H","DateFormat=P","Fill=—","Direction=H","UseDPDF=Y")</f>
        <v>—</v>
      </c>
      <c r="V46" s="13" t="str">
        <f>_xll.BDH("GILD US Equity","ST_CAPITALIZED_LEASE_LIABILITIES","FQ3 2023","FQ3 2023","Currency=USD","Period=FQ","BEST_FPERIOD_OVERRIDE=FQ","FILING_STATUS=MR","SCALING_FORMAT=MLN","Sort=A","Dates=H","DateFormat=P","Fill=—","Direction=H","UseDPDF=Y")</f>
        <v>—</v>
      </c>
      <c r="W46" s="13">
        <f>_xll.BDH("GILD US Equity","ST_CAPITALIZED_LEASE_LIABILITIES","FQ4 2023","FQ4 2023","Currency=USD","Period=FQ","BEST_FPERIOD_OVERRIDE=FQ","FILING_STATUS=MR","SCALING_FORMAT=MLN","Sort=A","Dates=H","DateFormat=P","Fill=—","Direction=H","UseDPDF=Y")</f>
        <v>125</v>
      </c>
      <c r="X46" s="13" t="str">
        <f>_xll.BDH("GILD US Equity","ST_CAPITALIZED_LEASE_LIABILITIES","FQ1 2024","FQ1 2024","Currency=USD","Period=FQ","BEST_FPERIOD_OVERRIDE=FQ","FILING_STATUS=MR","SCALING_FORMAT=MLN","Sort=A","Dates=H","DateFormat=P","Fill=—","Direction=H","UseDPDF=Y")</f>
        <v>—</v>
      </c>
      <c r="Y46" s="13" t="str">
        <f>_xll.BDH("GILD US Equity","ST_CAPITALIZED_LEASE_LIABILITIES","FQ2 2024","FQ2 2024","Currency=USD","Period=FQ","BEST_FPERIOD_OVERRIDE=FQ","FILING_STATUS=MR","SCALING_FORMAT=MLN","Sort=A","Dates=H","DateFormat=P","Fill=—","Direction=H","UseDPDF=Y")</f>
        <v>—</v>
      </c>
      <c r="Z46" s="13" t="str">
        <f>_xll.BDH("GILD US Equity","ST_CAPITALIZED_LEASE_LIABILITIES","FQ3 2024","FQ3 2024","Currency=USD","Period=FQ","BEST_FPERIOD_OVERRIDE=FQ","FILING_STATUS=MR","SCALING_FORMAT=MLN","Sort=A","Dates=H","DateFormat=P","Fill=—","Direction=H","UseDPDF=Y")</f>
        <v>—</v>
      </c>
      <c r="AA46" s="13">
        <f>_xll.BDH("GILD US Equity","ST_CAPITALIZED_LEASE_LIABILITIES","FQ4 2024","FQ4 2024","Currency=USD","Period=FQ","BEST_FPERIOD_OVERRIDE=FQ","FILING_STATUS=MR","SCALING_FORMAT=MLN","Sort=A","Dates=H","DateFormat=P","Fill=—","Direction=H","UseDPDF=Y")</f>
        <v>113</v>
      </c>
    </row>
    <row r="47" spans="1:27" x14ac:dyDescent="0.25">
      <c r="A47" s="11" t="s">
        <v>815</v>
      </c>
      <c r="B47" s="11" t="s">
        <v>816</v>
      </c>
      <c r="C47" s="25" t="str">
        <f>_xll.BDH("GILD US Equity","ST_CAPITAL_LEASE_OBLIGATIONS","FQ4 2018","FQ4 2018","Currency=USD","Period=FQ","BEST_FPERIOD_OVERRIDE=FQ","FILING_STATUS=MR","SCALING_FORMAT=MLN","Sort=A","Dates=H","DateFormat=P","Fill=—","Direction=H","UseDPDF=Y")</f>
        <v>—</v>
      </c>
      <c r="D47" s="25" t="str">
        <f>_xll.BDH("GILD US Equity","ST_CAPITAL_LEASE_OBLIGATIONS","FQ1 2019","FQ1 2019","Currency=USD","Period=FQ","BEST_FPERIOD_OVERRIDE=FQ","FILING_STATUS=MR","SCALING_FORMAT=MLN","Sort=A","Dates=H","DateFormat=P","Fill=—","Direction=H","UseDPDF=Y")</f>
        <v>—</v>
      </c>
      <c r="E47" s="25" t="str">
        <f>_xll.BDH("GILD US Equity","ST_CAPITAL_LEASE_OBLIGATIONS","FQ2 2019","FQ2 2019","Currency=USD","Period=FQ","BEST_FPERIOD_OVERRIDE=FQ","FILING_STATUS=MR","SCALING_FORMAT=MLN","Sort=A","Dates=H","DateFormat=P","Fill=—","Direction=H","UseDPDF=Y")</f>
        <v>—</v>
      </c>
      <c r="F47" s="25" t="str">
        <f>_xll.BDH("GILD US Equity","ST_CAPITAL_LEASE_OBLIGATIONS","FQ3 2019","FQ3 2019","Currency=USD","Period=FQ","BEST_FPERIOD_OVERRIDE=FQ","FILING_STATUS=MR","SCALING_FORMAT=MLN","Sort=A","Dates=H","DateFormat=P","Fill=—","Direction=H","UseDPDF=Y")</f>
        <v>—</v>
      </c>
      <c r="G47" s="25">
        <f>_xll.BDH("GILD US Equity","ST_CAPITAL_LEASE_OBLIGATIONS","FQ4 2019","FQ4 2019","Currency=USD","Period=FQ","BEST_FPERIOD_OVERRIDE=FQ","FILING_STATUS=MR","SCALING_FORMAT=MLN","Sort=A","Dates=H","DateFormat=P","Fill=—","Direction=H","UseDPDF=Y")</f>
        <v>0</v>
      </c>
      <c r="H47" s="25" t="str">
        <f>_xll.BDH("GILD US Equity","ST_CAPITAL_LEASE_OBLIGATIONS","FQ1 2020","FQ1 2020","Currency=USD","Period=FQ","BEST_FPERIOD_OVERRIDE=FQ","FILING_STATUS=MR","SCALING_FORMAT=MLN","Sort=A","Dates=H","DateFormat=P","Fill=—","Direction=H","UseDPDF=Y")</f>
        <v>—</v>
      </c>
      <c r="I47" s="25" t="str">
        <f>_xll.BDH("GILD US Equity","ST_CAPITAL_LEASE_OBLIGATIONS","FQ2 2020","FQ2 2020","Currency=USD","Period=FQ","BEST_FPERIOD_OVERRIDE=FQ","FILING_STATUS=MR","SCALING_FORMAT=MLN","Sort=A","Dates=H","DateFormat=P","Fill=—","Direction=H","UseDPDF=Y")</f>
        <v>—</v>
      </c>
      <c r="J47" s="25" t="str">
        <f>_xll.BDH("GILD US Equity","ST_CAPITAL_LEASE_OBLIGATIONS","FQ3 2020","FQ3 2020","Currency=USD","Period=FQ","BEST_FPERIOD_OVERRIDE=FQ","FILING_STATUS=MR","SCALING_FORMAT=MLN","Sort=A","Dates=H","DateFormat=P","Fill=—","Direction=H","UseDPDF=Y")</f>
        <v>—</v>
      </c>
      <c r="K47" s="25">
        <f>_xll.BDH("GILD US Equity","ST_CAPITAL_LEASE_OBLIGATIONS","FQ4 2020","FQ4 2020","Currency=USD","Period=FQ","BEST_FPERIOD_OVERRIDE=FQ","FILING_STATUS=MR","SCALING_FORMAT=MLN","Sort=A","Dates=H","DateFormat=P","Fill=—","Direction=H","UseDPDF=Y")</f>
        <v>0</v>
      </c>
      <c r="L47" s="25" t="str">
        <f>_xll.BDH("GILD US Equity","ST_CAPITAL_LEASE_OBLIGATIONS","FQ1 2021","FQ1 2021","Currency=USD","Period=FQ","BEST_FPERIOD_OVERRIDE=FQ","FILING_STATUS=MR","SCALING_FORMAT=MLN","Sort=A","Dates=H","DateFormat=P","Fill=—","Direction=H","UseDPDF=Y")</f>
        <v>—</v>
      </c>
      <c r="M47" s="25" t="str">
        <f>_xll.BDH("GILD US Equity","ST_CAPITAL_LEASE_OBLIGATIONS","FQ2 2021","FQ2 2021","Currency=USD","Period=FQ","BEST_FPERIOD_OVERRIDE=FQ","FILING_STATUS=MR","SCALING_FORMAT=MLN","Sort=A","Dates=H","DateFormat=P","Fill=—","Direction=H","UseDPDF=Y")</f>
        <v>—</v>
      </c>
      <c r="N47" s="25" t="str">
        <f>_xll.BDH("GILD US Equity","ST_CAPITAL_LEASE_OBLIGATIONS","FQ3 2021","FQ3 2021","Currency=USD","Period=FQ","BEST_FPERIOD_OVERRIDE=FQ","FILING_STATUS=MR","SCALING_FORMAT=MLN","Sort=A","Dates=H","DateFormat=P","Fill=—","Direction=H","UseDPDF=Y")</f>
        <v>—</v>
      </c>
      <c r="O47" s="25">
        <f>_xll.BDH("GILD US Equity","ST_CAPITAL_LEASE_OBLIGATIONS","FQ4 2021","FQ4 2021","Currency=USD","Period=FQ","BEST_FPERIOD_OVERRIDE=FQ","FILING_STATUS=MR","SCALING_FORMAT=MLN","Sort=A","Dates=H","DateFormat=P","Fill=—","Direction=H","UseDPDF=Y")</f>
        <v>0</v>
      </c>
      <c r="P47" s="25" t="str">
        <f>_xll.BDH("GILD US Equity","ST_CAPITAL_LEASE_OBLIGATIONS","FQ1 2022","FQ1 2022","Currency=USD","Period=FQ","BEST_FPERIOD_OVERRIDE=FQ","FILING_STATUS=MR","SCALING_FORMAT=MLN","Sort=A","Dates=H","DateFormat=P","Fill=—","Direction=H","UseDPDF=Y")</f>
        <v>—</v>
      </c>
      <c r="Q47" s="25" t="str">
        <f>_xll.BDH("GILD US Equity","ST_CAPITAL_LEASE_OBLIGATIONS","FQ2 2022","FQ2 2022","Currency=USD","Period=FQ","BEST_FPERIOD_OVERRIDE=FQ","FILING_STATUS=MR","SCALING_FORMAT=MLN","Sort=A","Dates=H","DateFormat=P","Fill=—","Direction=H","UseDPDF=Y")</f>
        <v>—</v>
      </c>
      <c r="R47" s="25" t="str">
        <f>_xll.BDH("GILD US Equity","ST_CAPITAL_LEASE_OBLIGATIONS","FQ3 2022","FQ3 2022","Currency=USD","Period=FQ","BEST_FPERIOD_OVERRIDE=FQ","FILING_STATUS=MR","SCALING_FORMAT=MLN","Sort=A","Dates=H","DateFormat=P","Fill=—","Direction=H","UseDPDF=Y")</f>
        <v>—</v>
      </c>
      <c r="S47" s="25">
        <f>_xll.BDH("GILD US Equity","ST_CAPITAL_LEASE_OBLIGATIONS","FQ4 2022","FQ4 2022","Currency=USD","Period=FQ","BEST_FPERIOD_OVERRIDE=FQ","FILING_STATUS=MR","SCALING_FORMAT=MLN","Sort=A","Dates=H","DateFormat=P","Fill=—","Direction=H","UseDPDF=Y")</f>
        <v>0</v>
      </c>
      <c r="T47" s="25" t="str">
        <f>_xll.BDH("GILD US Equity","ST_CAPITAL_LEASE_OBLIGATIONS","FQ1 2023","FQ1 2023","Currency=USD","Period=FQ","BEST_FPERIOD_OVERRIDE=FQ","FILING_STATUS=MR","SCALING_FORMAT=MLN","Sort=A","Dates=H","DateFormat=P","Fill=—","Direction=H","UseDPDF=Y")</f>
        <v>—</v>
      </c>
      <c r="U47" s="25" t="str">
        <f>_xll.BDH("GILD US Equity","ST_CAPITAL_LEASE_OBLIGATIONS","FQ2 2023","FQ2 2023","Currency=USD","Period=FQ","BEST_FPERIOD_OVERRIDE=FQ","FILING_STATUS=MR","SCALING_FORMAT=MLN","Sort=A","Dates=H","DateFormat=P","Fill=—","Direction=H","UseDPDF=Y")</f>
        <v>—</v>
      </c>
      <c r="V47" s="25" t="str">
        <f>_xll.BDH("GILD US Equity","ST_CAPITAL_LEASE_OBLIGATIONS","FQ3 2023","FQ3 2023","Currency=USD","Period=FQ","BEST_FPERIOD_OVERRIDE=FQ","FILING_STATUS=MR","SCALING_FORMAT=MLN","Sort=A","Dates=H","DateFormat=P","Fill=—","Direction=H","UseDPDF=Y")</f>
        <v>—</v>
      </c>
      <c r="W47" s="25">
        <f>_xll.BDH("GILD US Equity","ST_CAPITAL_LEASE_OBLIGATIONS","FQ4 2023","FQ4 2023","Currency=USD","Period=FQ","BEST_FPERIOD_OVERRIDE=FQ","FILING_STATUS=MR","SCALING_FORMAT=MLN","Sort=A","Dates=H","DateFormat=P","Fill=—","Direction=H","UseDPDF=Y")</f>
        <v>0</v>
      </c>
      <c r="X47" s="25" t="str">
        <f>_xll.BDH("GILD US Equity","ST_CAPITAL_LEASE_OBLIGATIONS","FQ1 2024","FQ1 2024","Currency=USD","Period=FQ","BEST_FPERIOD_OVERRIDE=FQ","FILING_STATUS=MR","SCALING_FORMAT=MLN","Sort=A","Dates=H","DateFormat=P","Fill=—","Direction=H","UseDPDF=Y")</f>
        <v>—</v>
      </c>
      <c r="Y47" s="25" t="str">
        <f>_xll.BDH("GILD US Equity","ST_CAPITAL_LEASE_OBLIGATIONS","FQ2 2024","FQ2 2024","Currency=USD","Period=FQ","BEST_FPERIOD_OVERRIDE=FQ","FILING_STATUS=MR","SCALING_FORMAT=MLN","Sort=A","Dates=H","DateFormat=P","Fill=—","Direction=H","UseDPDF=Y")</f>
        <v>—</v>
      </c>
      <c r="Z47" s="25" t="str">
        <f>_xll.BDH("GILD US Equity","ST_CAPITAL_LEASE_OBLIGATIONS","FQ3 2024","FQ3 2024","Currency=USD","Period=FQ","BEST_FPERIOD_OVERRIDE=FQ","FILING_STATUS=MR","SCALING_FORMAT=MLN","Sort=A","Dates=H","DateFormat=P","Fill=—","Direction=H","UseDPDF=Y")</f>
        <v>—</v>
      </c>
      <c r="AA47" s="25">
        <f>_xll.BDH("GILD US Equity","ST_CAPITAL_LEASE_OBLIGATIONS","FQ4 2024","FQ4 2024","Currency=USD","Period=FQ","BEST_FPERIOD_OVERRIDE=FQ","FILING_STATUS=MR","SCALING_FORMAT=MLN","Sort=A","Dates=H","DateFormat=P","Fill=—","Direction=H","UseDPDF=Y")</f>
        <v>0</v>
      </c>
    </row>
    <row r="48" spans="1:27" x14ac:dyDescent="0.25">
      <c r="A48" s="11" t="s">
        <v>817</v>
      </c>
      <c r="B48" s="11" t="s">
        <v>818</v>
      </c>
      <c r="C48" s="25" t="str">
        <f>_xll.BDH("GILD US Equity","BS_ST_OPERATING_LEASE_LIABS","FQ4 2018","FQ4 2018","Currency=USD","Period=FQ","BEST_FPERIOD_OVERRIDE=FQ","FILING_STATUS=MR","SCALING_FORMAT=MLN","Sort=A","Dates=H","DateFormat=P","Fill=—","Direction=H","UseDPDF=Y")</f>
        <v>—</v>
      </c>
      <c r="D48" s="25">
        <f>_xll.BDH("GILD US Equity","BS_ST_OPERATING_LEASE_LIABS","FQ1 2019","FQ1 2019","Currency=USD","Period=FQ","BEST_FPERIOD_OVERRIDE=FQ","FILING_STATUS=MR","SCALING_FORMAT=MLN","Sort=A","Dates=H","DateFormat=P","Fill=—","Direction=H","UseDPDF=Y")</f>
        <v>75</v>
      </c>
      <c r="E48" s="25">
        <f>_xll.BDH("GILD US Equity","BS_ST_OPERATING_LEASE_LIABS","FQ2 2019","FQ2 2019","Currency=USD","Period=FQ","BEST_FPERIOD_OVERRIDE=FQ","FILING_STATUS=MR","SCALING_FORMAT=MLN","Sort=A","Dates=H","DateFormat=P","Fill=—","Direction=H","UseDPDF=Y")</f>
        <v>73</v>
      </c>
      <c r="F48" s="25">
        <f>_xll.BDH("GILD US Equity","BS_ST_OPERATING_LEASE_LIABS","FQ3 2019","FQ3 2019","Currency=USD","Period=FQ","BEST_FPERIOD_OVERRIDE=FQ","FILING_STATUS=MR","SCALING_FORMAT=MLN","Sort=A","Dates=H","DateFormat=P","Fill=—","Direction=H","UseDPDF=Y")</f>
        <v>93</v>
      </c>
      <c r="G48" s="25">
        <f>_xll.BDH("GILD US Equity","BS_ST_OPERATING_LEASE_LIABS","FQ4 2019","FQ4 2019","Currency=USD","Period=FQ","BEST_FPERIOD_OVERRIDE=FQ","FILING_STATUS=MR","SCALING_FORMAT=MLN","Sort=A","Dates=H","DateFormat=P","Fill=—","Direction=H","UseDPDF=Y")</f>
        <v>99</v>
      </c>
      <c r="H48" s="25" t="str">
        <f>_xll.BDH("GILD US Equity","BS_ST_OPERATING_LEASE_LIABS","FQ1 2020","FQ1 2020","Currency=USD","Period=FQ","BEST_FPERIOD_OVERRIDE=FQ","FILING_STATUS=MR","SCALING_FORMAT=MLN","Sort=A","Dates=H","DateFormat=P","Fill=—","Direction=H","UseDPDF=Y")</f>
        <v>—</v>
      </c>
      <c r="I48" s="25" t="str">
        <f>_xll.BDH("GILD US Equity","BS_ST_OPERATING_LEASE_LIABS","FQ2 2020","FQ2 2020","Currency=USD","Period=FQ","BEST_FPERIOD_OVERRIDE=FQ","FILING_STATUS=MR","SCALING_FORMAT=MLN","Sort=A","Dates=H","DateFormat=P","Fill=—","Direction=H","UseDPDF=Y")</f>
        <v>—</v>
      </c>
      <c r="J48" s="25" t="str">
        <f>_xll.BDH("GILD US Equity","BS_ST_OPERATING_LEASE_LIABS","FQ3 2020","FQ3 2020","Currency=USD","Period=FQ","BEST_FPERIOD_OVERRIDE=FQ","FILING_STATUS=MR","SCALING_FORMAT=MLN","Sort=A","Dates=H","DateFormat=P","Fill=—","Direction=H","UseDPDF=Y")</f>
        <v>—</v>
      </c>
      <c r="K48" s="25">
        <f>_xll.BDH("GILD US Equity","BS_ST_OPERATING_LEASE_LIABS","FQ4 2020","FQ4 2020","Currency=USD","Period=FQ","BEST_FPERIOD_OVERRIDE=FQ","FILING_STATUS=MR","SCALING_FORMAT=MLN","Sort=A","Dates=H","DateFormat=P","Fill=—","Direction=H","UseDPDF=Y")</f>
        <v>107</v>
      </c>
      <c r="L48" s="25" t="str">
        <f>_xll.BDH("GILD US Equity","BS_ST_OPERATING_LEASE_LIABS","FQ1 2021","FQ1 2021","Currency=USD","Period=FQ","BEST_FPERIOD_OVERRIDE=FQ","FILING_STATUS=MR","SCALING_FORMAT=MLN","Sort=A","Dates=H","DateFormat=P","Fill=—","Direction=H","UseDPDF=Y")</f>
        <v>—</v>
      </c>
      <c r="M48" s="25" t="str">
        <f>_xll.BDH("GILD US Equity","BS_ST_OPERATING_LEASE_LIABS","FQ2 2021","FQ2 2021","Currency=USD","Period=FQ","BEST_FPERIOD_OVERRIDE=FQ","FILING_STATUS=MR","SCALING_FORMAT=MLN","Sort=A","Dates=H","DateFormat=P","Fill=—","Direction=H","UseDPDF=Y")</f>
        <v>—</v>
      </c>
      <c r="N48" s="25" t="str">
        <f>_xll.BDH("GILD US Equity","BS_ST_OPERATING_LEASE_LIABS","FQ3 2021","FQ3 2021","Currency=USD","Period=FQ","BEST_FPERIOD_OVERRIDE=FQ","FILING_STATUS=MR","SCALING_FORMAT=MLN","Sort=A","Dates=H","DateFormat=P","Fill=—","Direction=H","UseDPDF=Y")</f>
        <v>—</v>
      </c>
      <c r="O48" s="25">
        <f>_xll.BDH("GILD US Equity","BS_ST_OPERATING_LEASE_LIABS","FQ4 2021","FQ4 2021","Currency=USD","Period=FQ","BEST_FPERIOD_OVERRIDE=FQ","FILING_STATUS=MR","SCALING_FORMAT=MLN","Sort=A","Dates=H","DateFormat=P","Fill=—","Direction=H","UseDPDF=Y")</f>
        <v>101</v>
      </c>
      <c r="P48" s="25" t="str">
        <f>_xll.BDH("GILD US Equity","BS_ST_OPERATING_LEASE_LIABS","FQ1 2022","FQ1 2022","Currency=USD","Period=FQ","BEST_FPERIOD_OVERRIDE=FQ","FILING_STATUS=MR","SCALING_FORMAT=MLN","Sort=A","Dates=H","DateFormat=P","Fill=—","Direction=H","UseDPDF=Y")</f>
        <v>—</v>
      </c>
      <c r="Q48" s="25" t="str">
        <f>_xll.BDH("GILD US Equity","BS_ST_OPERATING_LEASE_LIABS","FQ2 2022","FQ2 2022","Currency=USD","Period=FQ","BEST_FPERIOD_OVERRIDE=FQ","FILING_STATUS=MR","SCALING_FORMAT=MLN","Sort=A","Dates=H","DateFormat=P","Fill=—","Direction=H","UseDPDF=Y")</f>
        <v>—</v>
      </c>
      <c r="R48" s="25" t="str">
        <f>_xll.BDH("GILD US Equity","BS_ST_OPERATING_LEASE_LIABS","FQ3 2022","FQ3 2022","Currency=USD","Period=FQ","BEST_FPERIOD_OVERRIDE=FQ","FILING_STATUS=MR","SCALING_FORMAT=MLN","Sort=A","Dates=H","DateFormat=P","Fill=—","Direction=H","UseDPDF=Y")</f>
        <v>—</v>
      </c>
      <c r="S48" s="25">
        <f>_xll.BDH("GILD US Equity","BS_ST_OPERATING_LEASE_LIABS","FQ4 2022","FQ4 2022","Currency=USD","Period=FQ","BEST_FPERIOD_OVERRIDE=FQ","FILING_STATUS=MR","SCALING_FORMAT=MLN","Sort=A","Dates=H","DateFormat=P","Fill=—","Direction=H","UseDPDF=Y")</f>
        <v>111</v>
      </c>
      <c r="T48" s="25" t="str">
        <f>_xll.BDH("GILD US Equity","BS_ST_OPERATING_LEASE_LIABS","FQ1 2023","FQ1 2023","Currency=USD","Period=FQ","BEST_FPERIOD_OVERRIDE=FQ","FILING_STATUS=MR","SCALING_FORMAT=MLN","Sort=A","Dates=H","DateFormat=P","Fill=—","Direction=H","UseDPDF=Y")</f>
        <v>—</v>
      </c>
      <c r="U48" s="25" t="str">
        <f>_xll.BDH("GILD US Equity","BS_ST_OPERATING_LEASE_LIABS","FQ2 2023","FQ2 2023","Currency=USD","Period=FQ","BEST_FPERIOD_OVERRIDE=FQ","FILING_STATUS=MR","SCALING_FORMAT=MLN","Sort=A","Dates=H","DateFormat=P","Fill=—","Direction=H","UseDPDF=Y")</f>
        <v>—</v>
      </c>
      <c r="V48" s="25" t="str">
        <f>_xll.BDH("GILD US Equity","BS_ST_OPERATING_LEASE_LIABS","FQ3 2023","FQ3 2023","Currency=USD","Period=FQ","BEST_FPERIOD_OVERRIDE=FQ","FILING_STATUS=MR","SCALING_FORMAT=MLN","Sort=A","Dates=H","DateFormat=P","Fill=—","Direction=H","UseDPDF=Y")</f>
        <v>—</v>
      </c>
      <c r="W48" s="25">
        <f>_xll.BDH("GILD US Equity","BS_ST_OPERATING_LEASE_LIABS","FQ4 2023","FQ4 2023","Currency=USD","Period=FQ","BEST_FPERIOD_OVERRIDE=FQ","FILING_STATUS=MR","SCALING_FORMAT=MLN","Sort=A","Dates=H","DateFormat=P","Fill=—","Direction=H","UseDPDF=Y")</f>
        <v>125</v>
      </c>
      <c r="X48" s="25" t="str">
        <f>_xll.BDH("GILD US Equity","BS_ST_OPERATING_LEASE_LIABS","FQ1 2024","FQ1 2024","Currency=USD","Period=FQ","BEST_FPERIOD_OVERRIDE=FQ","FILING_STATUS=MR","SCALING_FORMAT=MLN","Sort=A","Dates=H","DateFormat=P","Fill=—","Direction=H","UseDPDF=Y")</f>
        <v>—</v>
      </c>
      <c r="Y48" s="25" t="str">
        <f>_xll.BDH("GILD US Equity","BS_ST_OPERATING_LEASE_LIABS","FQ2 2024","FQ2 2024","Currency=USD","Period=FQ","BEST_FPERIOD_OVERRIDE=FQ","FILING_STATUS=MR","SCALING_FORMAT=MLN","Sort=A","Dates=H","DateFormat=P","Fill=—","Direction=H","UseDPDF=Y")</f>
        <v>—</v>
      </c>
      <c r="Z48" s="25" t="str">
        <f>_xll.BDH("GILD US Equity","BS_ST_OPERATING_LEASE_LIABS","FQ3 2024","FQ3 2024","Currency=USD","Period=FQ","BEST_FPERIOD_OVERRIDE=FQ","FILING_STATUS=MR","SCALING_FORMAT=MLN","Sort=A","Dates=H","DateFormat=P","Fill=—","Direction=H","UseDPDF=Y")</f>
        <v>—</v>
      </c>
      <c r="AA48" s="25">
        <f>_xll.BDH("GILD US Equity","BS_ST_OPERATING_LEASE_LIABS","FQ4 2024","FQ4 2024","Currency=USD","Period=FQ","BEST_FPERIOD_OVERRIDE=FQ","FILING_STATUS=MR","SCALING_FORMAT=MLN","Sort=A","Dates=H","DateFormat=P","Fill=—","Direction=H","UseDPDF=Y")</f>
        <v>113</v>
      </c>
    </row>
    <row r="49" spans="1:27" x14ac:dyDescent="0.25">
      <c r="A49" s="10" t="s">
        <v>819</v>
      </c>
      <c r="B49" s="10" t="s">
        <v>820</v>
      </c>
      <c r="C49" s="13">
        <f>_xll.BDH("GILD US Equity","BS_CURR_PORTION_LT_DEBT","FQ4 2018","FQ4 2018","Currency=USD","Period=FQ","BEST_FPERIOD_OVERRIDE=FQ","FILING_STATUS=MR","SCALING_FORMAT=MLN","Sort=A","Dates=H","DateFormat=P","Fill=—","Direction=H","UseDPDF=Y")</f>
        <v>2748</v>
      </c>
      <c r="D49" s="13">
        <f>_xll.BDH("GILD US Equity","BS_CURR_PORTION_LT_DEBT","FQ1 2019","FQ1 2019","Currency=USD","Period=FQ","BEST_FPERIOD_OVERRIDE=FQ","FILING_STATUS=MR","SCALING_FORMAT=MLN","Sort=A","Dates=H","DateFormat=P","Fill=—","Direction=H","UseDPDF=Y")</f>
        <v>2498</v>
      </c>
      <c r="E49" s="13">
        <f>_xll.BDH("GILD US Equity","BS_CURR_PORTION_LT_DEBT","FQ2 2019","FQ2 2019","Currency=USD","Period=FQ","BEST_FPERIOD_OVERRIDE=FQ","FILING_STATUS=MR","SCALING_FORMAT=MLN","Sort=A","Dates=H","DateFormat=P","Fill=—","Direction=H","UseDPDF=Y")</f>
        <v>1999</v>
      </c>
      <c r="F49" s="13">
        <f>_xll.BDH("GILD US Equity","BS_CURR_PORTION_LT_DEBT","FQ3 2019","FQ3 2019","Currency=USD","Period=FQ","BEST_FPERIOD_OVERRIDE=FQ","FILING_STATUS=MR","SCALING_FORMAT=MLN","Sort=A","Dates=H","DateFormat=P","Fill=—","Direction=H","UseDPDF=Y")</f>
        <v>2498</v>
      </c>
      <c r="G49" s="13">
        <f>_xll.BDH("GILD US Equity","BS_CURR_PORTION_LT_DEBT","FQ4 2019","FQ4 2019","Currency=USD","Period=FQ","BEST_FPERIOD_OVERRIDE=FQ","FILING_STATUS=MR","SCALING_FORMAT=MLN","Sort=A","Dates=H","DateFormat=P","Fill=—","Direction=H","UseDPDF=Y")</f>
        <v>2499</v>
      </c>
      <c r="H49" s="13">
        <f>_xll.BDH("GILD US Equity","BS_CURR_PORTION_LT_DEBT","FQ1 2020","FQ1 2020","Currency=USD","Period=FQ","BEST_FPERIOD_OVERRIDE=FQ","FILING_STATUS=MR","SCALING_FORMAT=MLN","Sort=A","Dates=H","DateFormat=P","Fill=—","Direction=H","UseDPDF=Y")</f>
        <v>1999</v>
      </c>
      <c r="I49" s="13">
        <f>_xll.BDH("GILD US Equity","BS_CURR_PORTION_LT_DEBT","FQ2 2020","FQ2 2020","Currency=USD","Period=FQ","BEST_FPERIOD_OVERRIDE=FQ","FILING_STATUS=MR","SCALING_FORMAT=MLN","Sort=A","Dates=H","DateFormat=P","Fill=—","Direction=H","UseDPDF=Y")</f>
        <v>2999</v>
      </c>
      <c r="J49" s="13">
        <f>_xll.BDH("GILD US Equity","BS_CURR_PORTION_LT_DEBT","FQ3 2020","FQ3 2020","Currency=USD","Period=FQ","BEST_FPERIOD_OVERRIDE=FQ","FILING_STATUS=MR","SCALING_FORMAT=MLN","Sort=A","Dates=H","DateFormat=P","Fill=—","Direction=H","UseDPDF=Y")</f>
        <v>1498</v>
      </c>
      <c r="K49" s="13">
        <f>_xll.BDH("GILD US Equity","BS_CURR_PORTION_LT_DEBT","FQ4 2020","FQ4 2020","Currency=USD","Period=FQ","BEST_FPERIOD_OVERRIDE=FQ","FILING_STATUS=MR","SCALING_FORMAT=MLN","Sort=A","Dates=H","DateFormat=P","Fill=—","Direction=H","UseDPDF=Y")</f>
        <v>2757</v>
      </c>
      <c r="L49" s="13">
        <f>_xll.BDH("GILD US Equity","BS_CURR_PORTION_LT_DEBT","FQ1 2021","FQ1 2021","Currency=USD","Period=FQ","BEST_FPERIOD_OVERRIDE=FQ","FILING_STATUS=MR","SCALING_FORMAT=MLN","Sort=A","Dates=H","DateFormat=P","Fill=—","Direction=H","UseDPDF=Y")</f>
        <v>2259</v>
      </c>
      <c r="M49" s="13">
        <f>_xll.BDH("GILD US Equity","BS_CURR_PORTION_LT_DEBT","FQ2 2021","FQ2 2021","Currency=USD","Period=FQ","BEST_FPERIOD_OVERRIDE=FQ","FILING_STATUS=MR","SCALING_FORMAT=MLN","Sort=A","Dates=H","DateFormat=P","Fill=—","Direction=H","UseDPDF=Y")</f>
        <v>2261</v>
      </c>
      <c r="N49" s="13">
        <f>_xll.BDH("GILD US Equity","BS_CURR_PORTION_LT_DEBT","FQ3 2021","FQ3 2021","Currency=USD","Period=FQ","BEST_FPERIOD_OVERRIDE=FQ","FILING_STATUS=MR","SCALING_FORMAT=MLN","Sort=A","Dates=H","DateFormat=P","Fill=—","Direction=H","UseDPDF=Y")</f>
        <v>2511</v>
      </c>
      <c r="O49" s="13">
        <f>_xll.BDH("GILD US Equity","BS_CURR_PORTION_LT_DEBT","FQ4 2021","FQ4 2021","Currency=USD","Period=FQ","BEST_FPERIOD_OVERRIDE=FQ","FILING_STATUS=MR","SCALING_FORMAT=MLN","Sort=A","Dates=H","DateFormat=P","Fill=—","Direction=H","UseDPDF=Y")</f>
        <v>1516</v>
      </c>
      <c r="P49" s="13">
        <f>_xll.BDH("GILD US Equity","BS_CURR_PORTION_LT_DEBT","FQ1 2022","FQ1 2022","Currency=USD","Period=FQ","BEST_FPERIOD_OVERRIDE=FQ","FILING_STATUS=MR","SCALING_FORMAT=MLN","Sort=A","Dates=H","DateFormat=P","Fill=—","Direction=H","UseDPDF=Y")</f>
        <v>1025</v>
      </c>
      <c r="Q49" s="13">
        <f>_xll.BDH("GILD US Equity","BS_CURR_PORTION_LT_DEBT","FQ2 2022","FQ2 2022","Currency=USD","Period=FQ","BEST_FPERIOD_OVERRIDE=FQ","FILING_STATUS=MR","SCALING_FORMAT=MLN","Sort=A","Dates=H","DateFormat=P","Fill=—","Direction=H","UseDPDF=Y")</f>
        <v>1021</v>
      </c>
      <c r="R49" s="13">
        <f>_xll.BDH("GILD US Equity","BS_CURR_PORTION_LT_DEBT","FQ3 2022","FQ3 2022","Currency=USD","Period=FQ","BEST_FPERIOD_OVERRIDE=FQ","FILING_STATUS=MR","SCALING_FORMAT=MLN","Sort=A","Dates=H","DateFormat=P","Fill=—","Direction=H","UseDPDF=Y")</f>
        <v>2270</v>
      </c>
      <c r="S49" s="13">
        <f>_xll.BDH("GILD US Equity","BS_CURR_PORTION_LT_DEBT","FQ4 2022","FQ4 2022","Currency=USD","Period=FQ","BEST_FPERIOD_OVERRIDE=FQ","FILING_STATUS=MR","SCALING_FORMAT=MLN","Sort=A","Dates=H","DateFormat=P","Fill=—","Direction=H","UseDPDF=Y")</f>
        <v>2273</v>
      </c>
      <c r="T49" s="13">
        <f>_xll.BDH("GILD US Equity","BS_CURR_PORTION_LT_DEBT","FQ1 2023","FQ1 2023","Currency=USD","Period=FQ","BEST_FPERIOD_OVERRIDE=FQ","FILING_STATUS=MR","SCALING_FORMAT=MLN","Sort=A","Dates=H","DateFormat=P","Fill=—","Direction=H","UseDPDF=Y")</f>
        <v>2283</v>
      </c>
      <c r="U49" s="13">
        <f>_xll.BDH("GILD US Equity","BS_CURR_PORTION_LT_DEBT","FQ2 2023","FQ2 2023","Currency=USD","Period=FQ","BEST_FPERIOD_OVERRIDE=FQ","FILING_STATUS=MR","SCALING_FORMAT=MLN","Sort=A","Dates=H","DateFormat=P","Fill=—","Direction=H","UseDPDF=Y")</f>
        <v>4037</v>
      </c>
      <c r="V49" s="13">
        <f>_xll.BDH("GILD US Equity","BS_CURR_PORTION_LT_DEBT","FQ3 2023","FQ3 2023","Currency=USD","Period=FQ","BEST_FPERIOD_OVERRIDE=FQ","FILING_STATUS=MR","SCALING_FORMAT=MLN","Sort=A","Dates=H","DateFormat=P","Fill=—","Direction=H","UseDPDF=Y")</f>
        <v>1793</v>
      </c>
      <c r="W49" s="13">
        <f>_xll.BDH("GILD US Equity","BS_CURR_PORTION_LT_DEBT","FQ4 2023","FQ4 2023","Currency=USD","Period=FQ","BEST_FPERIOD_OVERRIDE=FQ","FILING_STATUS=MR","SCALING_FORMAT=MLN","Sort=A","Dates=H","DateFormat=P","Fill=—","Direction=H","UseDPDF=Y")</f>
        <v>1798</v>
      </c>
      <c r="X49" s="13">
        <f>_xll.BDH("GILD US Equity","BS_CURR_PORTION_LT_DEBT","FQ1 2024","FQ1 2024","Currency=USD","Period=FQ","BEST_FPERIOD_OVERRIDE=FQ","FILING_STATUS=MR","SCALING_FORMAT=MLN","Sort=A","Dates=H","DateFormat=P","Fill=—","Direction=H","UseDPDF=Y")</f>
        <v>3667</v>
      </c>
      <c r="Y49" s="13">
        <f>_xll.BDH("GILD US Equity","BS_CURR_PORTION_LT_DEBT","FQ2 2024","FQ2 2024","Currency=USD","Period=FQ","BEST_FPERIOD_OVERRIDE=FQ","FILING_STATUS=MR","SCALING_FORMAT=MLN","Sort=A","Dates=H","DateFormat=P","Fill=—","Direction=H","UseDPDF=Y")</f>
        <v>1810</v>
      </c>
      <c r="Z49" s="13">
        <f>_xll.BDH("GILD US Equity","BS_CURR_PORTION_LT_DEBT","FQ3 2024","FQ3 2024","Currency=USD","Period=FQ","BEST_FPERIOD_OVERRIDE=FQ","FILING_STATUS=MR","SCALING_FORMAT=MLN","Sort=A","Dates=H","DateFormat=P","Fill=—","Direction=H","UseDPDF=Y")</f>
        <v>1812</v>
      </c>
      <c r="AA49" s="13">
        <f>_xll.BDH("GILD US Equity","BS_CURR_PORTION_LT_DEBT","FQ4 2024","FQ4 2024","Currency=USD","Period=FQ","BEST_FPERIOD_OVERRIDE=FQ","FILING_STATUS=MR","SCALING_FORMAT=MLN","Sort=A","Dates=H","DateFormat=P","Fill=—","Direction=H","UseDPDF=Y")</f>
        <v>1815</v>
      </c>
    </row>
    <row r="50" spans="1:27" x14ac:dyDescent="0.25">
      <c r="A50" s="10" t="s">
        <v>821</v>
      </c>
      <c r="B50" s="10" t="s">
        <v>822</v>
      </c>
      <c r="C50" s="13">
        <f>_xll.BDH("GILD US Equity","OTHER_CURRENT_LIABS_SUB_DETAILED","FQ4 2018","FQ4 2018","Currency=USD","Period=FQ","BEST_FPERIOD_OVERRIDE=FQ","FILING_STATUS=MR","SCALING_FORMAT=MLN","Sort=A","Dates=H","DateFormat=P","Fill=—","Direction=H","UseDPDF=Y")</f>
        <v>1</v>
      </c>
      <c r="D50" s="13">
        <f>_xll.BDH("GILD US Equity","OTHER_CURRENT_LIABS_SUB_DETAILED","FQ1 2019","FQ1 2019","Currency=USD","Period=FQ","BEST_FPERIOD_OVERRIDE=FQ","FILING_STATUS=MR","SCALING_FORMAT=MLN","Sort=A","Dates=H","DateFormat=P","Fill=—","Direction=H","UseDPDF=Y")</f>
        <v>1</v>
      </c>
      <c r="E50" s="13">
        <f>_xll.BDH("GILD US Equity","OTHER_CURRENT_LIABS_SUB_DETAILED","FQ2 2019","FQ2 2019","Currency=USD","Period=FQ","BEST_FPERIOD_OVERRIDE=FQ","FILING_STATUS=MR","SCALING_FORMAT=MLN","Sort=A","Dates=H","DateFormat=P","Fill=—","Direction=H","UseDPDF=Y")</f>
        <v>4</v>
      </c>
      <c r="F50" s="13">
        <f>_xll.BDH("GILD US Equity","OTHER_CURRENT_LIABS_SUB_DETAILED","FQ3 2019","FQ3 2019","Currency=USD","Period=FQ","BEST_FPERIOD_OVERRIDE=FQ","FILING_STATUS=MR","SCALING_FORMAT=MLN","Sort=A","Dates=H","DateFormat=P","Fill=—","Direction=H","UseDPDF=Y")</f>
        <v>1</v>
      </c>
      <c r="G50" s="13">
        <f>_xll.BDH("GILD US Equity","OTHER_CURRENT_LIABS_SUB_DETAILED","FQ4 2019","FQ4 2019","Currency=USD","Period=FQ","BEST_FPERIOD_OVERRIDE=FQ","FILING_STATUS=MR","SCALING_FORMAT=MLN","Sort=A","Dates=H","DateFormat=P","Fill=—","Direction=H","UseDPDF=Y")</f>
        <v>6</v>
      </c>
      <c r="H50" s="13">
        <f>_xll.BDH("GILD US Equity","OTHER_CURRENT_LIABS_SUB_DETAILED","FQ1 2020","FQ1 2020","Currency=USD","Period=FQ","BEST_FPERIOD_OVERRIDE=FQ","FILING_STATUS=MR","SCALING_FORMAT=MLN","Sort=A","Dates=H","DateFormat=P","Fill=—","Direction=H","UseDPDF=Y")</f>
        <v>4</v>
      </c>
      <c r="I50" s="13">
        <f>_xll.BDH("GILD US Equity","OTHER_CURRENT_LIABS_SUB_DETAILED","FQ2 2020","FQ2 2020","Currency=USD","Period=FQ","BEST_FPERIOD_OVERRIDE=FQ","FILING_STATUS=MR","SCALING_FORMAT=MLN","Sort=A","Dates=H","DateFormat=P","Fill=—","Direction=H","UseDPDF=Y")</f>
        <v>13</v>
      </c>
      <c r="J50" s="13">
        <f>_xll.BDH("GILD US Equity","OTHER_CURRENT_LIABS_SUB_DETAILED","FQ3 2020","FQ3 2020","Currency=USD","Period=FQ","BEST_FPERIOD_OVERRIDE=FQ","FILING_STATUS=MR","SCALING_FORMAT=MLN","Sort=A","Dates=H","DateFormat=P","Fill=—","Direction=H","UseDPDF=Y")</f>
        <v>45</v>
      </c>
      <c r="K50" s="13">
        <f>_xll.BDH("GILD US Equity","OTHER_CURRENT_LIABS_SUB_DETAILED","FQ4 2020","FQ4 2020","Currency=USD","Period=FQ","BEST_FPERIOD_OVERRIDE=FQ","FILING_STATUS=MR","SCALING_FORMAT=MLN","Sort=A","Dates=H","DateFormat=P","Fill=—","Direction=H","UseDPDF=Y")</f>
        <v>114</v>
      </c>
      <c r="L50" s="13">
        <f>_xll.BDH("GILD US Equity","OTHER_CURRENT_LIABS_SUB_DETAILED","FQ1 2021","FQ1 2021","Currency=USD","Period=FQ","BEST_FPERIOD_OVERRIDE=FQ","FILING_STATUS=MR","SCALING_FORMAT=MLN","Sort=A","Dates=H","DateFormat=P","Fill=—","Direction=H","UseDPDF=Y")</f>
        <v>41</v>
      </c>
      <c r="M50" s="13">
        <f>_xll.BDH("GILD US Equity","OTHER_CURRENT_LIABS_SUB_DETAILED","FQ2 2021","FQ2 2021","Currency=USD","Period=FQ","BEST_FPERIOD_OVERRIDE=FQ","FILING_STATUS=MR","SCALING_FORMAT=MLN","Sort=A","Dates=H","DateFormat=P","Fill=—","Direction=H","UseDPDF=Y")</f>
        <v>30</v>
      </c>
      <c r="N50" s="13">
        <f>_xll.BDH("GILD US Equity","OTHER_CURRENT_LIABS_SUB_DETAILED","FQ3 2021","FQ3 2021","Currency=USD","Period=FQ","BEST_FPERIOD_OVERRIDE=FQ","FILING_STATUS=MR","SCALING_FORMAT=MLN","Sort=A","Dates=H","DateFormat=P","Fill=—","Direction=H","UseDPDF=Y")</f>
        <v>8</v>
      </c>
      <c r="O50" s="13">
        <f>_xll.BDH("GILD US Equity","OTHER_CURRENT_LIABS_SUB_DETAILED","FQ4 2021","FQ4 2021","Currency=USD","Period=FQ","BEST_FPERIOD_OVERRIDE=FQ","FILING_STATUS=MR","SCALING_FORMAT=MLN","Sort=A","Dates=H","DateFormat=P","Fill=—","Direction=H","UseDPDF=Y")</f>
        <v>4</v>
      </c>
      <c r="P50" s="13">
        <f>_xll.BDH("GILD US Equity","OTHER_CURRENT_LIABS_SUB_DETAILED","FQ1 2022","FQ1 2022","Currency=USD","Period=FQ","BEST_FPERIOD_OVERRIDE=FQ","FILING_STATUS=MR","SCALING_FORMAT=MLN","Sort=A","Dates=H","DateFormat=P","Fill=—","Direction=H","UseDPDF=Y")</f>
        <v>6</v>
      </c>
      <c r="Q50" s="13">
        <f>_xll.BDH("GILD US Equity","OTHER_CURRENT_LIABS_SUB_DETAILED","FQ2 2022","FQ2 2022","Currency=USD","Period=FQ","BEST_FPERIOD_OVERRIDE=FQ","FILING_STATUS=MR","SCALING_FORMAT=MLN","Sort=A","Dates=H","DateFormat=P","Fill=—","Direction=H","UseDPDF=Y")</f>
        <v>2</v>
      </c>
      <c r="R50" s="13">
        <f>_xll.BDH("GILD US Equity","OTHER_CURRENT_LIABS_SUB_DETAILED","FQ3 2022","FQ3 2022","Currency=USD","Period=FQ","BEST_FPERIOD_OVERRIDE=FQ","FILING_STATUS=MR","SCALING_FORMAT=MLN","Sort=A","Dates=H","DateFormat=P","Fill=—","Direction=H","UseDPDF=Y")</f>
        <v>0</v>
      </c>
      <c r="S50" s="13">
        <f>_xll.BDH("GILD US Equity","OTHER_CURRENT_LIABS_SUB_DETAILED","FQ4 2022","FQ4 2022","Currency=USD","Period=FQ","BEST_FPERIOD_OVERRIDE=FQ","FILING_STATUS=MR","SCALING_FORMAT=MLN","Sort=A","Dates=H","DateFormat=P","Fill=—","Direction=H","UseDPDF=Y")</f>
        <v>33</v>
      </c>
      <c r="T50" s="13">
        <f>_xll.BDH("GILD US Equity","OTHER_CURRENT_LIABS_SUB_DETAILED","FQ1 2023","FQ1 2023","Currency=USD","Period=FQ","BEST_FPERIOD_OVERRIDE=FQ","FILING_STATUS=MR","SCALING_FORMAT=MLN","Sort=A","Dates=H","DateFormat=P","Fill=—","Direction=H","UseDPDF=Y")</f>
        <v>1</v>
      </c>
      <c r="U50" s="13">
        <f>_xll.BDH("GILD US Equity","OTHER_CURRENT_LIABS_SUB_DETAILED","FQ2 2023","FQ2 2023","Currency=USD","Period=FQ","BEST_FPERIOD_OVERRIDE=FQ","FILING_STATUS=MR","SCALING_FORMAT=MLN","Sort=A","Dates=H","DateFormat=P","Fill=—","Direction=H","UseDPDF=Y")</f>
        <v>1</v>
      </c>
      <c r="V50" s="13">
        <f>_xll.BDH("GILD US Equity","OTHER_CURRENT_LIABS_SUB_DETAILED","FQ3 2023","FQ3 2023","Currency=USD","Period=FQ","BEST_FPERIOD_OVERRIDE=FQ","FILING_STATUS=MR","SCALING_FORMAT=MLN","Sort=A","Dates=H","DateFormat=P","Fill=—","Direction=H","UseDPDF=Y")</f>
        <v>5860</v>
      </c>
      <c r="W50" s="13">
        <f>_xll.BDH("GILD US Equity","OTHER_CURRENT_LIABS_SUB_DETAILED","FQ4 2023","FQ4 2023","Currency=USD","Period=FQ","BEST_FPERIOD_OVERRIDE=FQ","FILING_STATUS=MR","SCALING_FORMAT=MLN","Sort=A","Dates=H","DateFormat=P","Fill=—","Direction=H","UseDPDF=Y")</f>
        <v>45</v>
      </c>
      <c r="X50" s="13">
        <f>_xll.BDH("GILD US Equity","OTHER_CURRENT_LIABS_SUB_DETAILED","FQ1 2024","FQ1 2024","Currency=USD","Period=FQ","BEST_FPERIOD_OVERRIDE=FQ","FILING_STATUS=MR","SCALING_FORMAT=MLN","Sort=A","Dates=H","DateFormat=P","Fill=—","Direction=H","UseDPDF=Y")</f>
        <v>0</v>
      </c>
      <c r="Y50" s="13">
        <f>_xll.BDH("GILD US Equity","OTHER_CURRENT_LIABS_SUB_DETAILED","FQ2 2024","FQ2 2024","Currency=USD","Period=FQ","BEST_FPERIOD_OVERRIDE=FQ","FILING_STATUS=MR","SCALING_FORMAT=MLN","Sort=A","Dates=H","DateFormat=P","Fill=—","Direction=H","UseDPDF=Y")</f>
        <v>4511</v>
      </c>
      <c r="Z50" s="13">
        <f>_xll.BDH("GILD US Equity","OTHER_CURRENT_LIABS_SUB_DETAILED","FQ3 2024","FQ3 2024","Currency=USD","Period=FQ","BEST_FPERIOD_OVERRIDE=FQ","FILING_STATUS=MR","SCALING_FORMAT=MLN","Sort=A","Dates=H","DateFormat=P","Fill=—","Direction=H","UseDPDF=Y")</f>
        <v>3370</v>
      </c>
      <c r="AA50" s="13">
        <f>_xll.BDH("GILD US Equity","OTHER_CURRENT_LIABS_SUB_DETAILED","FQ4 2024","FQ4 2024","Currency=USD","Period=FQ","BEST_FPERIOD_OVERRIDE=FQ","FILING_STATUS=MR","SCALING_FORMAT=MLN","Sort=A","Dates=H","DateFormat=P","Fill=—","Direction=H","UseDPDF=Y")</f>
        <v>3818</v>
      </c>
    </row>
    <row r="51" spans="1:27" x14ac:dyDescent="0.25">
      <c r="A51" s="10" t="s">
        <v>823</v>
      </c>
      <c r="B51" s="10" t="s">
        <v>824</v>
      </c>
      <c r="C51" s="13">
        <f>_xll.BDH("GILD US Equity","ST_DEFERRED_REVENUE","FQ4 2018","FQ4 2018","Currency=USD","Period=FQ","BEST_FPERIOD_OVERRIDE=FQ","FILING_STATUS=MR","SCALING_FORMAT=MLN","Sort=A","Dates=H","DateFormat=P","Fill=—","Direction=H","UseDPDF=Y")</f>
        <v>0</v>
      </c>
      <c r="D51" s="13" t="str">
        <f>_xll.BDH("GILD US Equity","ST_DEFERRED_REVENUE","FQ1 2019","FQ1 2019","Currency=USD","Period=FQ","BEST_FPERIOD_OVERRIDE=FQ","FILING_STATUS=MR","SCALING_FORMAT=MLN","Sort=A","Dates=H","DateFormat=P","Fill=—","Direction=H","UseDPDF=Y")</f>
        <v>—</v>
      </c>
      <c r="E51" s="13" t="str">
        <f>_xll.BDH("GILD US Equity","ST_DEFERRED_REVENUE","FQ2 2019","FQ2 2019","Currency=USD","Period=FQ","BEST_FPERIOD_OVERRIDE=FQ","FILING_STATUS=MR","SCALING_FORMAT=MLN","Sort=A","Dates=H","DateFormat=P","Fill=—","Direction=H","UseDPDF=Y")</f>
        <v>—</v>
      </c>
      <c r="F51" s="13">
        <f>_xll.BDH("GILD US Equity","ST_DEFERRED_REVENUE","FQ3 2019","FQ3 2019","Currency=USD","Period=FQ","BEST_FPERIOD_OVERRIDE=FQ","FILING_STATUS=MR","SCALING_FORMAT=MLN","Sort=A","Dates=H","DateFormat=P","Fill=—","Direction=H","UseDPDF=Y")</f>
        <v>0</v>
      </c>
      <c r="G51" s="13">
        <f>_xll.BDH("GILD US Equity","ST_DEFERRED_REVENUE","FQ4 2019","FQ4 2019","Currency=USD","Period=FQ","BEST_FPERIOD_OVERRIDE=FQ","FILING_STATUS=MR","SCALING_FORMAT=MLN","Sort=A","Dates=H","DateFormat=P","Fill=—","Direction=H","UseDPDF=Y")</f>
        <v>0</v>
      </c>
      <c r="H51" s="13" t="str">
        <f>_xll.BDH("GILD US Equity","ST_DEFERRED_REVENUE","FQ1 2020","FQ1 2020","Currency=USD","Period=FQ","BEST_FPERIOD_OVERRIDE=FQ","FILING_STATUS=MR","SCALING_FORMAT=MLN","Sort=A","Dates=H","DateFormat=P","Fill=—","Direction=H","UseDPDF=Y")</f>
        <v>—</v>
      </c>
      <c r="I51" s="13" t="str">
        <f>_xll.BDH("GILD US Equity","ST_DEFERRED_REVENUE","FQ2 2020","FQ2 2020","Currency=USD","Period=FQ","BEST_FPERIOD_OVERRIDE=FQ","FILING_STATUS=MR","SCALING_FORMAT=MLN","Sort=A","Dates=H","DateFormat=P","Fill=—","Direction=H","UseDPDF=Y")</f>
        <v>—</v>
      </c>
      <c r="J51" s="13">
        <f>_xll.BDH("GILD US Equity","ST_DEFERRED_REVENUE","FQ3 2020","FQ3 2020","Currency=USD","Period=FQ","BEST_FPERIOD_OVERRIDE=FQ","FILING_STATUS=MR","SCALING_FORMAT=MLN","Sort=A","Dates=H","DateFormat=P","Fill=—","Direction=H","UseDPDF=Y")</f>
        <v>0</v>
      </c>
      <c r="K51" s="13">
        <f>_xll.BDH("GILD US Equity","ST_DEFERRED_REVENUE","FQ4 2020","FQ4 2020","Currency=USD","Period=FQ","BEST_FPERIOD_OVERRIDE=FQ","FILING_STATUS=MR","SCALING_FORMAT=MLN","Sort=A","Dates=H","DateFormat=P","Fill=—","Direction=H","UseDPDF=Y")</f>
        <v>0</v>
      </c>
      <c r="L51" s="13" t="str">
        <f>_xll.BDH("GILD US Equity","ST_DEFERRED_REVENUE","FQ1 2021","FQ1 2021","Currency=USD","Period=FQ","BEST_FPERIOD_OVERRIDE=FQ","FILING_STATUS=MR","SCALING_FORMAT=MLN","Sort=A","Dates=H","DateFormat=P","Fill=—","Direction=H","UseDPDF=Y")</f>
        <v>—</v>
      </c>
      <c r="M51" s="13" t="str">
        <f>_xll.BDH("GILD US Equity","ST_DEFERRED_REVENUE","FQ2 2021","FQ2 2021","Currency=USD","Period=FQ","BEST_FPERIOD_OVERRIDE=FQ","FILING_STATUS=MR","SCALING_FORMAT=MLN","Sort=A","Dates=H","DateFormat=P","Fill=—","Direction=H","UseDPDF=Y")</f>
        <v>—</v>
      </c>
      <c r="N51" s="13">
        <f>_xll.BDH("GILD US Equity","ST_DEFERRED_REVENUE","FQ3 2021","FQ3 2021","Currency=USD","Period=FQ","BEST_FPERIOD_OVERRIDE=FQ","FILING_STATUS=MR","SCALING_FORMAT=MLN","Sort=A","Dates=H","DateFormat=P","Fill=—","Direction=H","UseDPDF=Y")</f>
        <v>0</v>
      </c>
      <c r="O51" s="13">
        <f>_xll.BDH("GILD US Equity","ST_DEFERRED_REVENUE","FQ4 2021","FQ4 2021","Currency=USD","Period=FQ","BEST_FPERIOD_OVERRIDE=FQ","FILING_STATUS=MR","SCALING_FORMAT=MLN","Sort=A","Dates=H","DateFormat=P","Fill=—","Direction=H","UseDPDF=Y")</f>
        <v>0</v>
      </c>
      <c r="P51" s="13" t="str">
        <f>_xll.BDH("GILD US Equity","ST_DEFERRED_REVENUE","FQ1 2022","FQ1 2022","Currency=USD","Period=FQ","BEST_FPERIOD_OVERRIDE=FQ","FILING_STATUS=MR","SCALING_FORMAT=MLN","Sort=A","Dates=H","DateFormat=P","Fill=—","Direction=H","UseDPDF=Y")</f>
        <v>—</v>
      </c>
      <c r="Q51" s="13" t="str">
        <f>_xll.BDH("GILD US Equity","ST_DEFERRED_REVENUE","FQ2 2022","FQ2 2022","Currency=USD","Period=FQ","BEST_FPERIOD_OVERRIDE=FQ","FILING_STATUS=MR","SCALING_FORMAT=MLN","Sort=A","Dates=H","DateFormat=P","Fill=—","Direction=H","UseDPDF=Y")</f>
        <v>—</v>
      </c>
      <c r="R51" s="13">
        <f>_xll.BDH("GILD US Equity","ST_DEFERRED_REVENUE","FQ3 2022","FQ3 2022","Currency=USD","Period=FQ","BEST_FPERIOD_OVERRIDE=FQ","FILING_STATUS=MR","SCALING_FORMAT=MLN","Sort=A","Dates=H","DateFormat=P","Fill=—","Direction=H","UseDPDF=Y")</f>
        <v>0</v>
      </c>
      <c r="S51" s="13">
        <f>_xll.BDH("GILD US Equity","ST_DEFERRED_REVENUE","FQ4 2022","FQ4 2022","Currency=USD","Period=FQ","BEST_FPERIOD_OVERRIDE=FQ","FILING_STATUS=MR","SCALING_FORMAT=MLN","Sort=A","Dates=H","DateFormat=P","Fill=—","Direction=H","UseDPDF=Y")</f>
        <v>0</v>
      </c>
      <c r="T51" s="13" t="str">
        <f>_xll.BDH("GILD US Equity","ST_DEFERRED_REVENUE","FQ1 2023","FQ1 2023","Currency=USD","Period=FQ","BEST_FPERIOD_OVERRIDE=FQ","FILING_STATUS=MR","SCALING_FORMAT=MLN","Sort=A","Dates=H","DateFormat=P","Fill=—","Direction=H","UseDPDF=Y")</f>
        <v>—</v>
      </c>
      <c r="U51" s="13" t="str">
        <f>_xll.BDH("GILD US Equity","ST_DEFERRED_REVENUE","FQ2 2023","FQ2 2023","Currency=USD","Period=FQ","BEST_FPERIOD_OVERRIDE=FQ","FILING_STATUS=MR","SCALING_FORMAT=MLN","Sort=A","Dates=H","DateFormat=P","Fill=—","Direction=H","UseDPDF=Y")</f>
        <v>—</v>
      </c>
      <c r="V51" s="13" t="str">
        <f>_xll.BDH("GILD US Equity","ST_DEFERRED_REVENUE","FQ3 2023","FQ3 2023","Currency=USD","Period=FQ","BEST_FPERIOD_OVERRIDE=FQ","FILING_STATUS=MR","SCALING_FORMAT=MLN","Sort=A","Dates=H","DateFormat=P","Fill=—","Direction=H","UseDPDF=Y")</f>
        <v>—</v>
      </c>
      <c r="W51" s="13">
        <f>_xll.BDH("GILD US Equity","ST_DEFERRED_REVENUE","FQ4 2023","FQ4 2023","Currency=USD","Period=FQ","BEST_FPERIOD_OVERRIDE=FQ","FILING_STATUS=MR","SCALING_FORMAT=MLN","Sort=A","Dates=H","DateFormat=P","Fill=—","Direction=H","UseDPDF=Y")</f>
        <v>0</v>
      </c>
      <c r="X51" s="13" t="str">
        <f>_xll.BDH("GILD US Equity","ST_DEFERRED_REVENUE","FQ1 2024","FQ1 2024","Currency=USD","Period=FQ","BEST_FPERIOD_OVERRIDE=FQ","FILING_STATUS=MR","SCALING_FORMAT=MLN","Sort=A","Dates=H","DateFormat=P","Fill=—","Direction=H","UseDPDF=Y")</f>
        <v>—</v>
      </c>
      <c r="Y51" s="13" t="str">
        <f>_xll.BDH("GILD US Equity","ST_DEFERRED_REVENUE","FQ2 2024","FQ2 2024","Currency=USD","Period=FQ","BEST_FPERIOD_OVERRIDE=FQ","FILING_STATUS=MR","SCALING_FORMAT=MLN","Sort=A","Dates=H","DateFormat=P","Fill=—","Direction=H","UseDPDF=Y")</f>
        <v>—</v>
      </c>
      <c r="Z51" s="13" t="str">
        <f>_xll.BDH("GILD US Equity","ST_DEFERRED_REVENUE","FQ3 2024","FQ3 2024","Currency=USD","Period=FQ","BEST_FPERIOD_OVERRIDE=FQ","FILING_STATUS=MR","SCALING_FORMAT=MLN","Sort=A","Dates=H","DateFormat=P","Fill=—","Direction=H","UseDPDF=Y")</f>
        <v>—</v>
      </c>
      <c r="AA51" s="13">
        <f>_xll.BDH("GILD US Equity","ST_DEFERRED_REVENUE","FQ4 2024","FQ4 2024","Currency=USD","Period=FQ","BEST_FPERIOD_OVERRIDE=FQ","FILING_STATUS=MR","SCALING_FORMAT=MLN","Sort=A","Dates=H","DateFormat=P","Fill=—","Direction=H","UseDPDF=Y")</f>
        <v>0</v>
      </c>
    </row>
    <row r="52" spans="1:27" x14ac:dyDescent="0.25">
      <c r="A52" s="10" t="s">
        <v>825</v>
      </c>
      <c r="B52" s="10" t="s">
        <v>826</v>
      </c>
      <c r="C52" s="13">
        <f>_xll.BDH("GILD US Equity","BS_DERIV_HEDGING_LIAB_ST","FQ4 2018","FQ4 2018","Currency=USD","Period=FQ","BEST_FPERIOD_OVERRIDE=FQ","FILING_STATUS=MR","SCALING_FORMAT=MLN","Sort=A","Dates=H","DateFormat=P","Fill=—","Direction=H","UseDPDF=Y")</f>
        <v>1</v>
      </c>
      <c r="D52" s="13">
        <f>_xll.BDH("GILD US Equity","BS_DERIV_HEDGING_LIAB_ST","FQ1 2019","FQ1 2019","Currency=USD","Period=FQ","BEST_FPERIOD_OVERRIDE=FQ","FILING_STATUS=MR","SCALING_FORMAT=MLN","Sort=A","Dates=H","DateFormat=P","Fill=—","Direction=H","UseDPDF=Y")</f>
        <v>1</v>
      </c>
      <c r="E52" s="13">
        <f>_xll.BDH("GILD US Equity","BS_DERIV_HEDGING_LIAB_ST","FQ2 2019","FQ2 2019","Currency=USD","Period=FQ","BEST_FPERIOD_OVERRIDE=FQ","FILING_STATUS=MR","SCALING_FORMAT=MLN","Sort=A","Dates=H","DateFormat=P","Fill=—","Direction=H","UseDPDF=Y")</f>
        <v>4</v>
      </c>
      <c r="F52" s="13">
        <f>_xll.BDH("GILD US Equity","BS_DERIV_HEDGING_LIAB_ST","FQ3 2019","FQ3 2019","Currency=USD","Period=FQ","BEST_FPERIOD_OVERRIDE=FQ","FILING_STATUS=MR","SCALING_FORMAT=MLN","Sort=A","Dates=H","DateFormat=P","Fill=—","Direction=H","UseDPDF=Y")</f>
        <v>1</v>
      </c>
      <c r="G52" s="13">
        <f>_xll.BDH("GILD US Equity","BS_DERIV_HEDGING_LIAB_ST","FQ4 2019","FQ4 2019","Currency=USD","Period=FQ","BEST_FPERIOD_OVERRIDE=FQ","FILING_STATUS=MR","SCALING_FORMAT=MLN","Sort=A","Dates=H","DateFormat=P","Fill=—","Direction=H","UseDPDF=Y")</f>
        <v>6</v>
      </c>
      <c r="H52" s="13">
        <f>_xll.BDH("GILD US Equity","BS_DERIV_HEDGING_LIAB_ST","FQ1 2020","FQ1 2020","Currency=USD","Period=FQ","BEST_FPERIOD_OVERRIDE=FQ","FILING_STATUS=MR","SCALING_FORMAT=MLN","Sort=A","Dates=H","DateFormat=P","Fill=—","Direction=H","UseDPDF=Y")</f>
        <v>4</v>
      </c>
      <c r="I52" s="13">
        <f>_xll.BDH("GILD US Equity","BS_DERIV_HEDGING_LIAB_ST","FQ2 2020","FQ2 2020","Currency=USD","Period=FQ","BEST_FPERIOD_OVERRIDE=FQ","FILING_STATUS=MR","SCALING_FORMAT=MLN","Sort=A","Dates=H","DateFormat=P","Fill=—","Direction=H","UseDPDF=Y")</f>
        <v>13</v>
      </c>
      <c r="J52" s="13">
        <f>_xll.BDH("GILD US Equity","BS_DERIV_HEDGING_LIAB_ST","FQ3 2020","FQ3 2020","Currency=USD","Period=FQ","BEST_FPERIOD_OVERRIDE=FQ","FILING_STATUS=MR","SCALING_FORMAT=MLN","Sort=A","Dates=H","DateFormat=P","Fill=—","Direction=H","UseDPDF=Y")</f>
        <v>45</v>
      </c>
      <c r="K52" s="13">
        <f>_xll.BDH("GILD US Equity","BS_DERIV_HEDGING_LIAB_ST","FQ4 2020","FQ4 2020","Currency=USD","Period=FQ","BEST_FPERIOD_OVERRIDE=FQ","FILING_STATUS=MR","SCALING_FORMAT=MLN","Sort=A","Dates=H","DateFormat=P","Fill=—","Direction=H","UseDPDF=Y")</f>
        <v>114</v>
      </c>
      <c r="L52" s="13">
        <f>_xll.BDH("GILD US Equity","BS_DERIV_HEDGING_LIAB_ST","FQ1 2021","FQ1 2021","Currency=USD","Period=FQ","BEST_FPERIOD_OVERRIDE=FQ","FILING_STATUS=MR","SCALING_FORMAT=MLN","Sort=A","Dates=H","DateFormat=P","Fill=—","Direction=H","UseDPDF=Y")</f>
        <v>41</v>
      </c>
      <c r="M52" s="13">
        <f>_xll.BDH("GILD US Equity","BS_DERIV_HEDGING_LIAB_ST","FQ2 2021","FQ2 2021","Currency=USD","Period=FQ","BEST_FPERIOD_OVERRIDE=FQ","FILING_STATUS=MR","SCALING_FORMAT=MLN","Sort=A","Dates=H","DateFormat=P","Fill=—","Direction=H","UseDPDF=Y")</f>
        <v>30</v>
      </c>
      <c r="N52" s="13">
        <f>_xll.BDH("GILD US Equity","BS_DERIV_HEDGING_LIAB_ST","FQ3 2021","FQ3 2021","Currency=USD","Period=FQ","BEST_FPERIOD_OVERRIDE=FQ","FILING_STATUS=MR","SCALING_FORMAT=MLN","Sort=A","Dates=H","DateFormat=P","Fill=—","Direction=H","UseDPDF=Y")</f>
        <v>8</v>
      </c>
      <c r="O52" s="13">
        <f>_xll.BDH("GILD US Equity","BS_DERIV_HEDGING_LIAB_ST","FQ4 2021","FQ4 2021","Currency=USD","Period=FQ","BEST_FPERIOD_OVERRIDE=FQ","FILING_STATUS=MR","SCALING_FORMAT=MLN","Sort=A","Dates=H","DateFormat=P","Fill=—","Direction=H","UseDPDF=Y")</f>
        <v>4</v>
      </c>
      <c r="P52" s="13">
        <f>_xll.BDH("GILD US Equity","BS_DERIV_HEDGING_LIAB_ST","FQ1 2022","FQ1 2022","Currency=USD","Period=FQ","BEST_FPERIOD_OVERRIDE=FQ","FILING_STATUS=MR","SCALING_FORMAT=MLN","Sort=A","Dates=H","DateFormat=P","Fill=—","Direction=H","UseDPDF=Y")</f>
        <v>6</v>
      </c>
      <c r="Q52" s="13">
        <f>_xll.BDH("GILD US Equity","BS_DERIV_HEDGING_LIAB_ST","FQ2 2022","FQ2 2022","Currency=USD","Period=FQ","BEST_FPERIOD_OVERRIDE=FQ","FILING_STATUS=MR","SCALING_FORMAT=MLN","Sort=A","Dates=H","DateFormat=P","Fill=—","Direction=H","UseDPDF=Y")</f>
        <v>2</v>
      </c>
      <c r="R52" s="13">
        <f>_xll.BDH("GILD US Equity","BS_DERIV_HEDGING_LIAB_ST","FQ3 2022","FQ3 2022","Currency=USD","Period=FQ","BEST_FPERIOD_OVERRIDE=FQ","FILING_STATUS=MR","SCALING_FORMAT=MLN","Sort=A","Dates=H","DateFormat=P","Fill=—","Direction=H","UseDPDF=Y")</f>
        <v>0</v>
      </c>
      <c r="S52" s="13">
        <f>_xll.BDH("GILD US Equity","BS_DERIV_HEDGING_LIAB_ST","FQ4 2022","FQ4 2022","Currency=USD","Period=FQ","BEST_FPERIOD_OVERRIDE=FQ","FILING_STATUS=MR","SCALING_FORMAT=MLN","Sort=A","Dates=H","DateFormat=P","Fill=—","Direction=H","UseDPDF=Y")</f>
        <v>33</v>
      </c>
      <c r="T52" s="13" t="str">
        <f>_xll.BDH("GILD US Equity","BS_DERIV_HEDGING_LIAB_ST","FQ1 2023","FQ1 2023","Currency=USD","Period=FQ","BEST_FPERIOD_OVERRIDE=FQ","FILING_STATUS=MR","SCALING_FORMAT=MLN","Sort=A","Dates=H","DateFormat=P","Fill=—","Direction=H","UseDPDF=Y")</f>
        <v>—</v>
      </c>
      <c r="U52" s="13" t="str">
        <f>_xll.BDH("GILD US Equity","BS_DERIV_HEDGING_LIAB_ST","FQ2 2023","FQ2 2023","Currency=USD","Period=FQ","BEST_FPERIOD_OVERRIDE=FQ","FILING_STATUS=MR","SCALING_FORMAT=MLN","Sort=A","Dates=H","DateFormat=P","Fill=—","Direction=H","UseDPDF=Y")</f>
        <v>—</v>
      </c>
      <c r="V52" s="13">
        <f>_xll.BDH("GILD US Equity","BS_DERIV_HEDGING_LIAB_ST","FQ3 2023","FQ3 2023","Currency=USD","Period=FQ","BEST_FPERIOD_OVERRIDE=FQ","FILING_STATUS=MR","SCALING_FORMAT=MLN","Sort=A","Dates=H","DateFormat=P","Fill=—","Direction=H","UseDPDF=Y")</f>
        <v>8</v>
      </c>
      <c r="W52" s="13">
        <f>_xll.BDH("GILD US Equity","BS_DERIV_HEDGING_LIAB_ST","FQ4 2023","FQ4 2023","Currency=USD","Period=FQ","BEST_FPERIOD_OVERRIDE=FQ","FILING_STATUS=MR","SCALING_FORMAT=MLN","Sort=A","Dates=H","DateFormat=P","Fill=—","Direction=H","UseDPDF=Y")</f>
        <v>45</v>
      </c>
      <c r="X52" s="13" t="str">
        <f>_xll.BDH("GILD US Equity","BS_DERIV_HEDGING_LIAB_ST","FQ1 2024","FQ1 2024","Currency=USD","Period=FQ","BEST_FPERIOD_OVERRIDE=FQ","FILING_STATUS=MR","SCALING_FORMAT=MLN","Sort=A","Dates=H","DateFormat=P","Fill=—","Direction=H","UseDPDF=Y")</f>
        <v>—</v>
      </c>
      <c r="Y52" s="13" t="str">
        <f>_xll.BDH("GILD US Equity","BS_DERIV_HEDGING_LIAB_ST","FQ2 2024","FQ2 2024","Currency=USD","Period=FQ","BEST_FPERIOD_OVERRIDE=FQ","FILING_STATUS=MR","SCALING_FORMAT=MLN","Sort=A","Dates=H","DateFormat=P","Fill=—","Direction=H","UseDPDF=Y")</f>
        <v>—</v>
      </c>
      <c r="Z52" s="13">
        <f>_xll.BDH("GILD US Equity","BS_DERIV_HEDGING_LIAB_ST","FQ3 2024","FQ3 2024","Currency=USD","Period=FQ","BEST_FPERIOD_OVERRIDE=FQ","FILING_STATUS=MR","SCALING_FORMAT=MLN","Sort=A","Dates=H","DateFormat=P","Fill=—","Direction=H","UseDPDF=Y")</f>
        <v>43</v>
      </c>
      <c r="AA52" s="13" t="str">
        <f>_xll.BDH("GILD US Equity","BS_DERIV_HEDGING_LIAB_ST","FQ4 2024","FQ4 2024","Currency=USD","Period=FQ","BEST_FPERIOD_OVERRIDE=FQ","FILING_STATUS=MR","SCALING_FORMAT=MLN","Sort=A","Dates=H","DateFormat=P","Fill=—","Direction=H","UseDPDF=Y")</f>
        <v>—</v>
      </c>
    </row>
    <row r="53" spans="1:27" x14ac:dyDescent="0.25">
      <c r="A53" s="10" t="s">
        <v>827</v>
      </c>
      <c r="B53" s="10" t="s">
        <v>828</v>
      </c>
      <c r="C53" s="13">
        <f>_xll.BDH("GILD US Equity","OTHER_CURRENT_LIABS_DETAILED","FQ4 2018","FQ4 2018","Currency=USD","Period=FQ","BEST_FPERIOD_OVERRIDE=FQ","FILING_STATUS=MR","SCALING_FORMAT=MLN","Sort=A","Dates=H","DateFormat=P","Fill=—","Direction=H","UseDPDF=Y")</f>
        <v>0</v>
      </c>
      <c r="D53" s="13">
        <f>_xll.BDH("GILD US Equity","OTHER_CURRENT_LIABS_DETAILED","FQ1 2019","FQ1 2019","Currency=USD","Period=FQ","BEST_FPERIOD_OVERRIDE=FQ","FILING_STATUS=MR","SCALING_FORMAT=MLN","Sort=A","Dates=H","DateFormat=P","Fill=—","Direction=H","UseDPDF=Y")</f>
        <v>0</v>
      </c>
      <c r="E53" s="13">
        <f>_xll.BDH("GILD US Equity","OTHER_CURRENT_LIABS_DETAILED","FQ2 2019","FQ2 2019","Currency=USD","Period=FQ","BEST_FPERIOD_OVERRIDE=FQ","FILING_STATUS=MR","SCALING_FORMAT=MLN","Sort=A","Dates=H","DateFormat=P","Fill=—","Direction=H","UseDPDF=Y")</f>
        <v>0</v>
      </c>
      <c r="F53" s="13">
        <f>_xll.BDH("GILD US Equity","OTHER_CURRENT_LIABS_DETAILED","FQ3 2019","FQ3 2019","Currency=USD","Period=FQ","BEST_FPERIOD_OVERRIDE=FQ","FILING_STATUS=MR","SCALING_FORMAT=MLN","Sort=A","Dates=H","DateFormat=P","Fill=—","Direction=H","UseDPDF=Y")</f>
        <v>0</v>
      </c>
      <c r="G53" s="13">
        <f>_xll.BDH("GILD US Equity","OTHER_CURRENT_LIABS_DETAILED","FQ4 2019","FQ4 2019","Currency=USD","Period=FQ","BEST_FPERIOD_OVERRIDE=FQ","FILING_STATUS=MR","SCALING_FORMAT=MLN","Sort=A","Dates=H","DateFormat=P","Fill=—","Direction=H","UseDPDF=Y")</f>
        <v>0</v>
      </c>
      <c r="H53" s="13">
        <f>_xll.BDH("GILD US Equity","OTHER_CURRENT_LIABS_DETAILED","FQ1 2020","FQ1 2020","Currency=USD","Period=FQ","BEST_FPERIOD_OVERRIDE=FQ","FILING_STATUS=MR","SCALING_FORMAT=MLN","Sort=A","Dates=H","DateFormat=P","Fill=—","Direction=H","UseDPDF=Y")</f>
        <v>0</v>
      </c>
      <c r="I53" s="13">
        <f>_xll.BDH("GILD US Equity","OTHER_CURRENT_LIABS_DETAILED","FQ2 2020","FQ2 2020","Currency=USD","Period=FQ","BEST_FPERIOD_OVERRIDE=FQ","FILING_STATUS=MR","SCALING_FORMAT=MLN","Sort=A","Dates=H","DateFormat=P","Fill=—","Direction=H","UseDPDF=Y")</f>
        <v>0</v>
      </c>
      <c r="J53" s="13">
        <f>_xll.BDH("GILD US Equity","OTHER_CURRENT_LIABS_DETAILED","FQ3 2020","FQ3 2020","Currency=USD","Period=FQ","BEST_FPERIOD_OVERRIDE=FQ","FILING_STATUS=MR","SCALING_FORMAT=MLN","Sort=A","Dates=H","DateFormat=P","Fill=—","Direction=H","UseDPDF=Y")</f>
        <v>0</v>
      </c>
      <c r="K53" s="13">
        <f>_xll.BDH("GILD US Equity","OTHER_CURRENT_LIABS_DETAILED","FQ4 2020","FQ4 2020","Currency=USD","Period=FQ","BEST_FPERIOD_OVERRIDE=FQ","FILING_STATUS=MR","SCALING_FORMAT=MLN","Sort=A","Dates=H","DateFormat=P","Fill=—","Direction=H","UseDPDF=Y")</f>
        <v>0</v>
      </c>
      <c r="L53" s="13">
        <f>_xll.BDH("GILD US Equity","OTHER_CURRENT_LIABS_DETAILED","FQ1 2021","FQ1 2021","Currency=USD","Period=FQ","BEST_FPERIOD_OVERRIDE=FQ","FILING_STATUS=MR","SCALING_FORMAT=MLN","Sort=A","Dates=H","DateFormat=P","Fill=—","Direction=H","UseDPDF=Y")</f>
        <v>0</v>
      </c>
      <c r="M53" s="13">
        <f>_xll.BDH("GILD US Equity","OTHER_CURRENT_LIABS_DETAILED","FQ2 2021","FQ2 2021","Currency=USD","Period=FQ","BEST_FPERIOD_OVERRIDE=FQ","FILING_STATUS=MR","SCALING_FORMAT=MLN","Sort=A","Dates=H","DateFormat=P","Fill=—","Direction=H","UseDPDF=Y")</f>
        <v>0</v>
      </c>
      <c r="N53" s="13">
        <f>_xll.BDH("GILD US Equity","OTHER_CURRENT_LIABS_DETAILED","FQ3 2021","FQ3 2021","Currency=USD","Period=FQ","BEST_FPERIOD_OVERRIDE=FQ","FILING_STATUS=MR","SCALING_FORMAT=MLN","Sort=A","Dates=H","DateFormat=P","Fill=—","Direction=H","UseDPDF=Y")</f>
        <v>0</v>
      </c>
      <c r="O53" s="13">
        <f>_xll.BDH("GILD US Equity","OTHER_CURRENT_LIABS_DETAILED","FQ4 2021","FQ4 2021","Currency=USD","Period=FQ","BEST_FPERIOD_OVERRIDE=FQ","FILING_STATUS=MR","SCALING_FORMAT=MLN","Sort=A","Dates=H","DateFormat=P","Fill=—","Direction=H","UseDPDF=Y")</f>
        <v>0</v>
      </c>
      <c r="P53" s="13">
        <f>_xll.BDH("GILD US Equity","OTHER_CURRENT_LIABS_DETAILED","FQ1 2022","FQ1 2022","Currency=USD","Period=FQ","BEST_FPERIOD_OVERRIDE=FQ","FILING_STATUS=MR","SCALING_FORMAT=MLN","Sort=A","Dates=H","DateFormat=P","Fill=—","Direction=H","UseDPDF=Y")</f>
        <v>0</v>
      </c>
      <c r="Q53" s="13">
        <f>_xll.BDH("GILD US Equity","OTHER_CURRENT_LIABS_DETAILED","FQ2 2022","FQ2 2022","Currency=USD","Period=FQ","BEST_FPERIOD_OVERRIDE=FQ","FILING_STATUS=MR","SCALING_FORMAT=MLN","Sort=A","Dates=H","DateFormat=P","Fill=—","Direction=H","UseDPDF=Y")</f>
        <v>0</v>
      </c>
      <c r="R53" s="13">
        <f>_xll.BDH("GILD US Equity","OTHER_CURRENT_LIABS_DETAILED","FQ3 2022","FQ3 2022","Currency=USD","Period=FQ","BEST_FPERIOD_OVERRIDE=FQ","FILING_STATUS=MR","SCALING_FORMAT=MLN","Sort=A","Dates=H","DateFormat=P","Fill=—","Direction=H","UseDPDF=Y")</f>
        <v>0</v>
      </c>
      <c r="S53" s="13">
        <f>_xll.BDH("GILD US Equity","OTHER_CURRENT_LIABS_DETAILED","FQ4 2022","FQ4 2022","Currency=USD","Period=FQ","BEST_FPERIOD_OVERRIDE=FQ","FILING_STATUS=MR","SCALING_FORMAT=MLN","Sort=A","Dates=H","DateFormat=P","Fill=—","Direction=H","UseDPDF=Y")</f>
        <v>0</v>
      </c>
      <c r="T53" s="13">
        <f>_xll.BDH("GILD US Equity","OTHER_CURRENT_LIABS_DETAILED","FQ1 2023","FQ1 2023","Currency=USD","Period=FQ","BEST_FPERIOD_OVERRIDE=FQ","FILING_STATUS=MR","SCALING_FORMAT=MLN","Sort=A","Dates=H","DateFormat=P","Fill=—","Direction=H","UseDPDF=Y")</f>
        <v>1</v>
      </c>
      <c r="U53" s="13">
        <f>_xll.BDH("GILD US Equity","OTHER_CURRENT_LIABS_DETAILED","FQ2 2023","FQ2 2023","Currency=USD","Period=FQ","BEST_FPERIOD_OVERRIDE=FQ","FILING_STATUS=MR","SCALING_FORMAT=MLN","Sort=A","Dates=H","DateFormat=P","Fill=—","Direction=H","UseDPDF=Y")</f>
        <v>1</v>
      </c>
      <c r="V53" s="13">
        <f>_xll.BDH("GILD US Equity","OTHER_CURRENT_LIABS_DETAILED","FQ3 2023","FQ3 2023","Currency=USD","Period=FQ","BEST_FPERIOD_OVERRIDE=FQ","FILING_STATUS=MR","SCALING_FORMAT=MLN","Sort=A","Dates=H","DateFormat=P","Fill=—","Direction=H","UseDPDF=Y")</f>
        <v>5852</v>
      </c>
      <c r="W53" s="13">
        <f>_xll.BDH("GILD US Equity","OTHER_CURRENT_LIABS_DETAILED","FQ4 2023","FQ4 2023","Currency=USD","Period=FQ","BEST_FPERIOD_OVERRIDE=FQ","FILING_STATUS=MR","SCALING_FORMAT=MLN","Sort=A","Dates=H","DateFormat=P","Fill=—","Direction=H","UseDPDF=Y")</f>
        <v>0</v>
      </c>
      <c r="X53" s="13">
        <f>_xll.BDH("GILD US Equity","OTHER_CURRENT_LIABS_DETAILED","FQ1 2024","FQ1 2024","Currency=USD","Period=FQ","BEST_FPERIOD_OVERRIDE=FQ","FILING_STATUS=MR","SCALING_FORMAT=MLN","Sort=A","Dates=H","DateFormat=P","Fill=—","Direction=H","UseDPDF=Y")</f>
        <v>0</v>
      </c>
      <c r="Y53" s="13">
        <f>_xll.BDH("GILD US Equity","OTHER_CURRENT_LIABS_DETAILED","FQ2 2024","FQ2 2024","Currency=USD","Period=FQ","BEST_FPERIOD_OVERRIDE=FQ","FILING_STATUS=MR","SCALING_FORMAT=MLN","Sort=A","Dates=H","DateFormat=P","Fill=—","Direction=H","UseDPDF=Y")</f>
        <v>4511</v>
      </c>
      <c r="Z53" s="13">
        <f>_xll.BDH("GILD US Equity","OTHER_CURRENT_LIABS_DETAILED","FQ3 2024","FQ3 2024","Currency=USD","Period=FQ","BEST_FPERIOD_OVERRIDE=FQ","FILING_STATUS=MR","SCALING_FORMAT=MLN","Sort=A","Dates=H","DateFormat=P","Fill=—","Direction=H","UseDPDF=Y")</f>
        <v>3327</v>
      </c>
      <c r="AA53" s="13">
        <f>_xll.BDH("GILD US Equity","OTHER_CURRENT_LIABS_DETAILED","FQ4 2024","FQ4 2024","Currency=USD","Period=FQ","BEST_FPERIOD_OVERRIDE=FQ","FILING_STATUS=MR","SCALING_FORMAT=MLN","Sort=A","Dates=H","DateFormat=P","Fill=—","Direction=H","UseDPDF=Y")</f>
        <v>3818</v>
      </c>
    </row>
    <row r="54" spans="1:27" x14ac:dyDescent="0.25">
      <c r="A54" s="6" t="s">
        <v>114</v>
      </c>
      <c r="B54" s="6" t="s">
        <v>115</v>
      </c>
      <c r="C54" s="19">
        <f>_xll.BDH("GILD US Equity","BS_CUR_LIAB","FQ4 2018","FQ4 2018","Currency=USD","Period=FQ","BEST_FPERIOD_OVERRIDE=FQ","FILING_STATUS=MR","SCALING_FORMAT=MLN","Sort=A","Dates=H","DateFormat=P","Fill=—","Direction=H","UseDPDF=Y")</f>
        <v>10605</v>
      </c>
      <c r="D54" s="19">
        <f>_xll.BDH("GILD US Equity","BS_CUR_LIAB","FQ1 2019","FQ1 2019","Currency=USD","Period=FQ","BEST_FPERIOD_OVERRIDE=FQ","FILING_STATUS=MR","SCALING_FORMAT=MLN","Sort=A","Dates=H","DateFormat=P","Fill=—","Direction=H","UseDPDF=Y")</f>
        <v>9397</v>
      </c>
      <c r="E54" s="19">
        <f>_xll.BDH("GILD US Equity","BS_CUR_LIAB","FQ2 2019","FQ2 2019","Currency=USD","Period=FQ","BEST_FPERIOD_OVERRIDE=FQ","FILING_STATUS=MR","SCALING_FORMAT=MLN","Sort=A","Dates=H","DateFormat=P","Fill=—","Direction=H","UseDPDF=Y")</f>
        <v>8961</v>
      </c>
      <c r="F54" s="19">
        <f>_xll.BDH("GILD US Equity","BS_CUR_LIAB","FQ3 2019","FQ3 2019","Currency=USD","Period=FQ","BEST_FPERIOD_OVERRIDE=FQ","FILING_STATUS=MR","SCALING_FORMAT=MLN","Sort=A","Dates=H","DateFormat=P","Fill=—","Direction=H","UseDPDF=Y")</f>
        <v>9567</v>
      </c>
      <c r="G54" s="19">
        <f>_xll.BDH("GILD US Equity","BS_CUR_LIAB","FQ4 2019","FQ4 2019","Currency=USD","Period=FQ","BEST_FPERIOD_OVERRIDE=FQ","FILING_STATUS=MR","SCALING_FORMAT=MLN","Sort=A","Dates=H","DateFormat=P","Fill=—","Direction=H","UseDPDF=Y")</f>
        <v>9759</v>
      </c>
      <c r="H54" s="19">
        <f>_xll.BDH("GILD US Equity","BS_CUR_LIAB","FQ1 2020","FQ1 2020","Currency=USD","Period=FQ","BEST_FPERIOD_OVERRIDE=FQ","FILING_STATUS=MR","SCALING_FORMAT=MLN","Sort=A","Dates=H","DateFormat=P","Fill=—","Direction=H","UseDPDF=Y")</f>
        <v>8879</v>
      </c>
      <c r="I54" s="19">
        <f>_xll.BDH("GILD US Equity","BS_CUR_LIAB","FQ2 2020","FQ2 2020","Currency=USD","Period=FQ","BEST_FPERIOD_OVERRIDE=FQ","FILING_STATUS=MR","SCALING_FORMAT=MLN","Sort=A","Dates=H","DateFormat=P","Fill=—","Direction=H","UseDPDF=Y")</f>
        <v>10564</v>
      </c>
      <c r="J54" s="19">
        <f>_xll.BDH("GILD US Equity","BS_CUR_LIAB","FQ3 2020","FQ3 2020","Currency=USD","Period=FQ","BEST_FPERIOD_OVERRIDE=FQ","FILING_STATUS=MR","SCALING_FORMAT=MLN","Sort=A","Dates=H","DateFormat=P","Fill=—","Direction=H","UseDPDF=Y")</f>
        <v>9509</v>
      </c>
      <c r="K54" s="19">
        <f>_xll.BDH("GILD US Equity","BS_CUR_LIAB","FQ4 2020","FQ4 2020","Currency=USD","Period=FQ","BEST_FPERIOD_OVERRIDE=FQ","FILING_STATUS=MR","SCALING_FORMAT=MLN","Sort=A","Dates=H","DateFormat=P","Fill=—","Direction=H","UseDPDF=Y")</f>
        <v>11397</v>
      </c>
      <c r="L54" s="19">
        <f>_xll.BDH("GILD US Equity","BS_CUR_LIAB","FQ1 2021","FQ1 2021","Currency=USD","Period=FQ","BEST_FPERIOD_OVERRIDE=FQ","FILING_STATUS=MR","SCALING_FORMAT=MLN","Sort=A","Dates=H","DateFormat=P","Fill=—","Direction=H","UseDPDF=Y")</f>
        <v>9705</v>
      </c>
      <c r="M54" s="19">
        <f>_xll.BDH("GILD US Equity","BS_CUR_LIAB","FQ2 2021","FQ2 2021","Currency=USD","Period=FQ","BEST_FPERIOD_OVERRIDE=FQ","FILING_STATUS=MR","SCALING_FORMAT=MLN","Sort=A","Dates=H","DateFormat=P","Fill=—","Direction=H","UseDPDF=Y")</f>
        <v>10214</v>
      </c>
      <c r="N54" s="19">
        <f>_xll.BDH("GILD US Equity","BS_CUR_LIAB","FQ3 2021","FQ3 2021","Currency=USD","Period=FQ","BEST_FPERIOD_OVERRIDE=FQ","FILING_STATUS=MR","SCALING_FORMAT=MLN","Sort=A","Dates=H","DateFormat=P","Fill=—","Direction=H","UseDPDF=Y")</f>
        <v>10245</v>
      </c>
      <c r="O54" s="19">
        <f>_xll.BDH("GILD US Equity","BS_CUR_LIAB","FQ4 2021","FQ4 2021","Currency=USD","Period=FQ","BEST_FPERIOD_OVERRIDE=FQ","FILING_STATUS=MR","SCALING_FORMAT=MLN","Sort=A","Dates=H","DateFormat=P","Fill=—","Direction=H","UseDPDF=Y")</f>
        <v>11610</v>
      </c>
      <c r="P54" s="19">
        <f>_xll.BDH("GILD US Equity","BS_CUR_LIAB","FQ1 2022","FQ1 2022","Currency=USD","Period=FQ","BEST_FPERIOD_OVERRIDE=FQ","FILING_STATUS=MR","SCALING_FORMAT=MLN","Sort=A","Dates=H","DateFormat=P","Fill=—","Direction=H","UseDPDF=Y")</f>
        <v>8558</v>
      </c>
      <c r="Q54" s="19">
        <f>_xll.BDH("GILD US Equity","BS_CUR_LIAB","FQ2 2022","FQ2 2022","Currency=USD","Period=FQ","BEST_FPERIOD_OVERRIDE=FQ","FILING_STATUS=MR","SCALING_FORMAT=MLN","Sort=A","Dates=H","DateFormat=P","Fill=—","Direction=H","UseDPDF=Y")</f>
        <v>9220</v>
      </c>
      <c r="R54" s="19">
        <f>_xll.BDH("GILD US Equity","BS_CUR_LIAB","FQ3 2022","FQ3 2022","Currency=USD","Period=FQ","BEST_FPERIOD_OVERRIDE=FQ","FILING_STATUS=MR","SCALING_FORMAT=MLN","Sort=A","Dates=H","DateFormat=P","Fill=—","Direction=H","UseDPDF=Y")</f>
        <v>10423</v>
      </c>
      <c r="S54" s="19">
        <f>_xll.BDH("GILD US Equity","BS_CUR_LIAB","FQ4 2022","FQ4 2022","Currency=USD","Period=FQ","BEST_FPERIOD_OVERRIDE=FQ","FILING_STATUS=MR","SCALING_FORMAT=MLN","Sort=A","Dates=H","DateFormat=P","Fill=—","Direction=H","UseDPDF=Y")</f>
        <v>11237</v>
      </c>
      <c r="T54" s="19">
        <f>_xll.BDH("GILD US Equity","BS_CUR_LIAB","FQ1 2023","FQ1 2023","Currency=USD","Period=FQ","BEST_FPERIOD_OVERRIDE=FQ","FILING_STATUS=MR","SCALING_FORMAT=MLN","Sort=A","Dates=H","DateFormat=P","Fill=—","Direction=H","UseDPDF=Y")</f>
        <v>10528</v>
      </c>
      <c r="U54" s="19">
        <f>_xll.BDH("GILD US Equity","BS_CUR_LIAB","FQ2 2023","FQ2 2023","Currency=USD","Period=FQ","BEST_FPERIOD_OVERRIDE=FQ","FILING_STATUS=MR","SCALING_FORMAT=MLN","Sort=A","Dates=H","DateFormat=P","Fill=—","Direction=H","UseDPDF=Y")</f>
        <v>13964</v>
      </c>
      <c r="V54" s="19">
        <f>_xll.BDH("GILD US Equity","BS_CUR_LIAB","FQ3 2023","FQ3 2023","Currency=USD","Period=FQ","BEST_FPERIOD_OVERRIDE=FQ","FILING_STATUS=MR","SCALING_FORMAT=MLN","Sort=A","Dates=H","DateFormat=P","Fill=—","Direction=H","UseDPDF=Y")</f>
        <v>11945</v>
      </c>
      <c r="W54" s="19">
        <f>_xll.BDH("GILD US Equity","BS_CUR_LIAB","FQ4 2023","FQ4 2023","Currency=USD","Period=FQ","BEST_FPERIOD_OVERRIDE=FQ","FILING_STATUS=MR","SCALING_FORMAT=MLN","Sort=A","Dates=H","DateFormat=P","Fill=—","Direction=H","UseDPDF=Y")</f>
        <v>11280</v>
      </c>
      <c r="X54" s="19">
        <f>_xll.BDH("GILD US Equity","BS_CUR_LIAB","FQ1 2024","FQ1 2024","Currency=USD","Period=FQ","BEST_FPERIOD_OVERRIDE=FQ","FILING_STATUS=MR","SCALING_FORMAT=MLN","Sort=A","Dates=H","DateFormat=P","Fill=—","Direction=H","UseDPDF=Y")</f>
        <v>13015</v>
      </c>
      <c r="Y54" s="19">
        <f>_xll.BDH("GILD US Equity","BS_CUR_LIAB","FQ2 2024","FQ2 2024","Currency=USD","Period=FQ","BEST_FPERIOD_OVERRIDE=FQ","FILING_STATUS=MR","SCALING_FORMAT=MLN","Sort=A","Dates=H","DateFormat=P","Fill=—","Direction=H","UseDPDF=Y")</f>
        <v>10781</v>
      </c>
      <c r="Z54" s="19">
        <f>_xll.BDH("GILD US Equity","BS_CUR_LIAB","FQ3 2024","FQ3 2024","Currency=USD","Period=FQ","BEST_FPERIOD_OVERRIDE=FQ","FILING_STATUS=MR","SCALING_FORMAT=MLN","Sort=A","Dates=H","DateFormat=P","Fill=—","Direction=H","UseDPDF=Y")</f>
        <v>11725</v>
      </c>
      <c r="AA54" s="19">
        <f>_xll.BDH("GILD US Equity","BS_CUR_LIAB","FQ4 2024","FQ4 2024","Currency=USD","Period=FQ","BEST_FPERIOD_OVERRIDE=FQ","FILING_STATUS=MR","SCALING_FORMAT=MLN","Sort=A","Dates=H","DateFormat=P","Fill=—","Direction=H","UseDPDF=Y")</f>
        <v>12004</v>
      </c>
    </row>
    <row r="55" spans="1:27" x14ac:dyDescent="0.25">
      <c r="A55" s="10" t="s">
        <v>829</v>
      </c>
      <c r="B55" s="10" t="s">
        <v>830</v>
      </c>
      <c r="C55" s="13">
        <f>_xll.BDH("GILD US Equity","BS_LT_BORROW","FQ4 2018","FQ4 2018","Currency=USD","Period=FQ","BEST_FPERIOD_OVERRIDE=FQ","FILING_STATUS=MR","SCALING_FORMAT=MLN","Sort=A","Dates=H","DateFormat=P","Fill=—","Direction=H","UseDPDF=Y")</f>
        <v>24574</v>
      </c>
      <c r="D55" s="13">
        <f>_xll.BDH("GILD US Equity","BS_LT_BORROW","FQ1 2019","FQ1 2019","Currency=USD","Period=FQ","BEST_FPERIOD_OVERRIDE=FQ","FILING_STATUS=MR","SCALING_FORMAT=MLN","Sort=A","Dates=H","DateFormat=P","Fill=—","Direction=H","UseDPDF=Y")</f>
        <v>24509</v>
      </c>
      <c r="E55" s="13">
        <f>_xll.BDH("GILD US Equity","BS_LT_BORROW","FQ2 2019","FQ2 2019","Currency=USD","Period=FQ","BEST_FPERIOD_OVERRIDE=FQ","FILING_STATUS=MR","SCALING_FORMAT=MLN","Sort=A","Dates=H","DateFormat=P","Fill=—","Direction=H","UseDPDF=Y")</f>
        <v>24565</v>
      </c>
      <c r="F55" s="13">
        <f>_xll.BDH("GILD US Equity","BS_LT_BORROW","FQ3 2019","FQ3 2019","Currency=USD","Period=FQ","BEST_FPERIOD_OVERRIDE=FQ","FILING_STATUS=MR","SCALING_FORMAT=MLN","Sort=A","Dates=H","DateFormat=P","Fill=—","Direction=H","UseDPDF=Y")</f>
        <v>22709</v>
      </c>
      <c r="G55" s="13">
        <f>_xll.BDH("GILD US Equity","BS_LT_BORROW","FQ4 2019","FQ4 2019","Currency=USD","Period=FQ","BEST_FPERIOD_OVERRIDE=FQ","FILING_STATUS=MR","SCALING_FORMAT=MLN","Sort=A","Dates=H","DateFormat=P","Fill=—","Direction=H","UseDPDF=Y")</f>
        <v>22720</v>
      </c>
      <c r="H55" s="13">
        <f>_xll.BDH("GILD US Equity","BS_LT_BORROW","FQ1 2020","FQ1 2020","Currency=USD","Period=FQ","BEST_FPERIOD_OVERRIDE=FQ","FILING_STATUS=MR","SCALING_FORMAT=MLN","Sort=A","Dates=H","DateFormat=P","Fill=—","Direction=H","UseDPDF=Y")</f>
        <v>22098</v>
      </c>
      <c r="I55" s="13">
        <f>_xll.BDH("GILD US Equity","BS_LT_BORROW","FQ2 2020","FQ2 2020","Currency=USD","Period=FQ","BEST_FPERIOD_OVERRIDE=FQ","FILING_STATUS=MR","SCALING_FORMAT=MLN","Sort=A","Dates=H","DateFormat=P","Fill=—","Direction=H","UseDPDF=Y")</f>
        <v>21103</v>
      </c>
      <c r="J55" s="13">
        <f>_xll.BDH("GILD US Equity","BS_LT_BORROW","FQ3 2020","FQ3 2020","Currency=USD","Period=FQ","BEST_FPERIOD_OVERRIDE=FQ","FILING_STATUS=MR","SCALING_FORMAT=MLN","Sort=A","Dates=H","DateFormat=P","Fill=—","Direction=H","UseDPDF=Y")</f>
        <v>27792</v>
      </c>
      <c r="K55" s="13">
        <f>_xll.BDH("GILD US Equity","BS_LT_BORROW","FQ4 2020","FQ4 2020","Currency=USD","Period=FQ","BEST_FPERIOD_OVERRIDE=FQ","FILING_STATUS=MR","SCALING_FORMAT=MLN","Sort=A","Dates=H","DateFormat=P","Fill=—","Direction=H","UseDPDF=Y")</f>
        <v>29253</v>
      </c>
      <c r="L55" s="13">
        <f>_xll.BDH("GILD US Equity","BS_LT_BORROW","FQ1 2021","FQ1 2021","Currency=USD","Period=FQ","BEST_FPERIOD_OVERRIDE=FQ","FILING_STATUS=MR","SCALING_FORMAT=MLN","Sort=A","Dates=H","DateFormat=P","Fill=—","Direction=H","UseDPDF=Y")</f>
        <v>27907</v>
      </c>
      <c r="M55" s="13">
        <f>_xll.BDH("GILD US Equity","BS_LT_BORROW","FQ2 2021","FQ2 2021","Currency=USD","Period=FQ","BEST_FPERIOD_OVERRIDE=FQ","FILING_STATUS=MR","SCALING_FORMAT=MLN","Sort=A","Dates=H","DateFormat=P","Fill=—","Direction=H","UseDPDF=Y")</f>
        <v>27914</v>
      </c>
      <c r="N55" s="13">
        <f>_xll.BDH("GILD US Equity","BS_LT_BORROW","FQ3 2021","FQ3 2021","Currency=USD","Period=FQ","BEST_FPERIOD_OVERRIDE=FQ","FILING_STATUS=MR","SCALING_FORMAT=MLN","Sort=A","Dates=H","DateFormat=P","Fill=—","Direction=H","UseDPDF=Y")</f>
        <v>25175</v>
      </c>
      <c r="O55" s="13">
        <f>_xll.BDH("GILD US Equity","BS_LT_BORROW","FQ4 2021","FQ4 2021","Currency=USD","Period=FQ","BEST_FPERIOD_OVERRIDE=FQ","FILING_STATUS=MR","SCALING_FORMAT=MLN","Sort=A","Dates=H","DateFormat=P","Fill=—","Direction=H","UseDPDF=Y")</f>
        <v>25668</v>
      </c>
      <c r="P55" s="13">
        <f>_xll.BDH("GILD US Equity","BS_LT_BORROW","FQ1 2022","FQ1 2022","Currency=USD","Period=FQ","BEST_FPERIOD_OVERRIDE=FQ","FILING_STATUS=MR","SCALING_FORMAT=MLN","Sort=A","Dates=H","DateFormat=P","Fill=—","Direction=H","UseDPDF=Y")</f>
        <v>25183</v>
      </c>
      <c r="Q55" s="13">
        <f>_xll.BDH("GILD US Equity","BS_LT_BORROW","FQ2 2022","FQ2 2022","Currency=USD","Period=FQ","BEST_FPERIOD_OVERRIDE=FQ","FILING_STATUS=MR","SCALING_FORMAT=MLN","Sort=A","Dates=H","DateFormat=P","Fill=—","Direction=H","UseDPDF=Y")</f>
        <v>25195</v>
      </c>
      <c r="R55" s="13">
        <f>_xll.BDH("GILD US Equity","BS_LT_BORROW","FQ3 2022","FQ3 2022","Currency=USD","Period=FQ","BEST_FPERIOD_OVERRIDE=FQ","FILING_STATUS=MR","SCALING_FORMAT=MLN","Sort=A","Dates=H","DateFormat=P","Fill=—","Direction=H","UseDPDF=Y")</f>
        <v>22953</v>
      </c>
      <c r="S55" s="13">
        <f>_xll.BDH("GILD US Equity","BS_LT_BORROW","FQ4 2022","FQ4 2022","Currency=USD","Period=FQ","BEST_FPERIOD_OVERRIDE=FQ","FILING_STATUS=MR","SCALING_FORMAT=MLN","Sort=A","Dates=H","DateFormat=P","Fill=—","Direction=H","UseDPDF=Y")</f>
        <v>23424</v>
      </c>
      <c r="T55" s="13">
        <f>_xll.BDH("GILD US Equity","BS_LT_BORROW","FQ1 2023","FQ1 2023","Currency=USD","Period=FQ","BEST_FPERIOD_OVERRIDE=FQ","FILING_STATUS=MR","SCALING_FORMAT=MLN","Sort=A","Dates=H","DateFormat=P","Fill=—","Direction=H","UseDPDF=Y")</f>
        <v>22956</v>
      </c>
      <c r="U55" s="13">
        <f>_xll.BDH("GILD US Equity","BS_LT_BORROW","FQ2 2023","FQ2 2023","Currency=USD","Period=FQ","BEST_FPERIOD_OVERRIDE=FQ","FILING_STATUS=MR","SCALING_FORMAT=MLN","Sort=A","Dates=H","DateFormat=P","Fill=—","Direction=H","UseDPDF=Y")</f>
        <v>21209</v>
      </c>
      <c r="V55" s="13">
        <f>_xll.BDH("GILD US Equity","BS_LT_BORROW","FQ3 2023","FQ3 2023","Currency=USD","Period=FQ","BEST_FPERIOD_OVERRIDE=FQ","FILING_STATUS=MR","SCALING_FORMAT=MLN","Sort=A","Dates=H","DateFormat=P","Fill=—","Direction=H","UseDPDF=Y")</f>
        <v>23189</v>
      </c>
      <c r="W55" s="13">
        <f>_xll.BDH("GILD US Equity","BS_LT_BORROW","FQ4 2023","FQ4 2023","Currency=USD","Period=FQ","BEST_FPERIOD_OVERRIDE=FQ","FILING_STATUS=MR","SCALING_FORMAT=MLN","Sort=A","Dates=H","DateFormat=P","Fill=—","Direction=H","UseDPDF=Y")</f>
        <v>23735</v>
      </c>
      <c r="X55" s="13">
        <f>_xll.BDH("GILD US Equity","BS_LT_BORROW","FQ1 2024","FQ1 2024","Currency=USD","Period=FQ","BEST_FPERIOD_OVERRIDE=FQ","FILING_STATUS=MR","SCALING_FORMAT=MLN","Sort=A","Dates=H","DateFormat=P","Fill=—","Direction=H","UseDPDF=Y")</f>
        <v>21527</v>
      </c>
      <c r="Y55" s="13">
        <f>_xll.BDH("GILD US Equity","BS_LT_BORROW","FQ2 2024","FQ2 2024","Currency=USD","Period=FQ","BEST_FPERIOD_OVERRIDE=FQ","FILING_STATUS=MR","SCALING_FORMAT=MLN","Sort=A","Dates=H","DateFormat=P","Fill=—","Direction=H","UseDPDF=Y")</f>
        <v>21540</v>
      </c>
      <c r="Z55" s="13">
        <f>_xll.BDH("GILD US Equity","BS_LT_BORROW","FQ3 2024","FQ3 2024","Currency=USD","Period=FQ","BEST_FPERIOD_OVERRIDE=FQ","FILING_STATUS=MR","SCALING_FORMAT=MLN","Sort=A","Dates=H","DateFormat=P","Fill=—","Direction=H","UseDPDF=Y")</f>
        <v>21437</v>
      </c>
      <c r="AA55" s="13">
        <f>_xll.BDH("GILD US Equity","BS_LT_BORROW","FQ4 2024","FQ4 2024","Currency=USD","Period=FQ","BEST_FPERIOD_OVERRIDE=FQ","FILING_STATUS=MR","SCALING_FORMAT=MLN","Sort=A","Dates=H","DateFormat=P","Fill=—","Direction=H","UseDPDF=Y")</f>
        <v>25394</v>
      </c>
    </row>
    <row r="56" spans="1:27" x14ac:dyDescent="0.25">
      <c r="A56" s="10" t="s">
        <v>831</v>
      </c>
      <c r="B56" s="10" t="s">
        <v>832</v>
      </c>
      <c r="C56" s="13">
        <f>_xll.BDH("GILD US Equity","LONG_TERM_BORROWINGS_DETAILED","FQ4 2018","FQ4 2018","Currency=USD","Period=FQ","BEST_FPERIOD_OVERRIDE=FQ","FILING_STATUS=MR","SCALING_FORMAT=MLN","Sort=A","Dates=H","DateFormat=P","Fill=—","Direction=H","UseDPDF=Y")</f>
        <v>24574</v>
      </c>
      <c r="D56" s="13">
        <f>_xll.BDH("GILD US Equity","LONG_TERM_BORROWINGS_DETAILED","FQ1 2019","FQ1 2019","Currency=USD","Period=FQ","BEST_FPERIOD_OVERRIDE=FQ","FILING_STATUS=MR","SCALING_FORMAT=MLN","Sort=A","Dates=H","DateFormat=P","Fill=—","Direction=H","UseDPDF=Y")</f>
        <v>24080</v>
      </c>
      <c r="E56" s="13">
        <f>_xll.BDH("GILD US Equity","LONG_TERM_BORROWINGS_DETAILED","FQ2 2019","FQ2 2019","Currency=USD","Period=FQ","BEST_FPERIOD_OVERRIDE=FQ","FILING_STATUS=MR","SCALING_FORMAT=MLN","Sort=A","Dates=H","DateFormat=P","Fill=—","Direction=H","UseDPDF=Y")</f>
        <v>24084</v>
      </c>
      <c r="F56" s="13">
        <f>_xll.BDH("GILD US Equity","LONG_TERM_BORROWINGS_DETAILED","FQ3 2019","FQ3 2019","Currency=USD","Period=FQ","BEST_FPERIOD_OVERRIDE=FQ","FILING_STATUS=MR","SCALING_FORMAT=MLN","Sort=A","Dates=H","DateFormat=P","Fill=—","Direction=H","UseDPDF=Y")</f>
        <v>22090</v>
      </c>
      <c r="G56" s="13">
        <f>_xll.BDH("GILD US Equity","LONG_TERM_BORROWINGS_DETAILED","FQ4 2019","FQ4 2019","Currency=USD","Period=FQ","BEST_FPERIOD_OVERRIDE=FQ","FILING_STATUS=MR","SCALING_FORMAT=MLN","Sort=A","Dates=H","DateFormat=P","Fill=—","Direction=H","UseDPDF=Y")</f>
        <v>22094</v>
      </c>
      <c r="H56" s="13">
        <f>_xll.BDH("GILD US Equity","LONG_TERM_BORROWINGS_DETAILED","FQ1 2020","FQ1 2020","Currency=USD","Period=FQ","BEST_FPERIOD_OVERRIDE=FQ","FILING_STATUS=MR","SCALING_FORMAT=MLN","Sort=A","Dates=H","DateFormat=P","Fill=—","Direction=H","UseDPDF=Y")</f>
        <v>22098</v>
      </c>
      <c r="I56" s="13">
        <f>_xll.BDH("GILD US Equity","LONG_TERM_BORROWINGS_DETAILED","FQ2 2020","FQ2 2020","Currency=USD","Period=FQ","BEST_FPERIOD_OVERRIDE=FQ","FILING_STATUS=MR","SCALING_FORMAT=MLN","Sort=A","Dates=H","DateFormat=P","Fill=—","Direction=H","UseDPDF=Y")</f>
        <v>21103</v>
      </c>
      <c r="J56" s="13">
        <f>_xll.BDH("GILD US Equity","LONG_TERM_BORROWINGS_DETAILED","FQ3 2020","FQ3 2020","Currency=USD","Period=FQ","BEST_FPERIOD_OVERRIDE=FQ","FILING_STATUS=MR","SCALING_FORMAT=MLN","Sort=A","Dates=H","DateFormat=P","Fill=—","Direction=H","UseDPDF=Y")</f>
        <v>27792</v>
      </c>
      <c r="K56" s="13">
        <f>_xll.BDH("GILD US Equity","LONG_TERM_BORROWINGS_DETAILED","FQ4 2020","FQ4 2020","Currency=USD","Period=FQ","BEST_FPERIOD_OVERRIDE=FQ","FILING_STATUS=MR","SCALING_FORMAT=MLN","Sort=A","Dates=H","DateFormat=P","Fill=—","Direction=H","UseDPDF=Y")</f>
        <v>28645</v>
      </c>
      <c r="L56" s="13">
        <f>_xll.BDH("GILD US Equity","LONG_TERM_BORROWINGS_DETAILED","FQ1 2021","FQ1 2021","Currency=USD","Period=FQ","BEST_FPERIOD_OVERRIDE=FQ","FILING_STATUS=MR","SCALING_FORMAT=MLN","Sort=A","Dates=H","DateFormat=P","Fill=—","Direction=H","UseDPDF=Y")</f>
        <v>27907</v>
      </c>
      <c r="M56" s="13">
        <f>_xll.BDH("GILD US Equity","LONG_TERM_BORROWINGS_DETAILED","FQ2 2021","FQ2 2021","Currency=USD","Period=FQ","BEST_FPERIOD_OVERRIDE=FQ","FILING_STATUS=MR","SCALING_FORMAT=MLN","Sort=A","Dates=H","DateFormat=P","Fill=—","Direction=H","UseDPDF=Y")</f>
        <v>27914</v>
      </c>
      <c r="N56" s="13">
        <f>_xll.BDH("GILD US Equity","LONG_TERM_BORROWINGS_DETAILED","FQ3 2021","FQ3 2021","Currency=USD","Period=FQ","BEST_FPERIOD_OVERRIDE=FQ","FILING_STATUS=MR","SCALING_FORMAT=MLN","Sort=A","Dates=H","DateFormat=P","Fill=—","Direction=H","UseDPDF=Y")</f>
        <v>25175</v>
      </c>
      <c r="O56" s="13">
        <f>_xll.BDH("GILD US Equity","LONG_TERM_BORROWINGS_DETAILED","FQ4 2021","FQ4 2021","Currency=USD","Period=FQ","BEST_FPERIOD_OVERRIDE=FQ","FILING_STATUS=MR","SCALING_FORMAT=MLN","Sort=A","Dates=H","DateFormat=P","Fill=—","Direction=H","UseDPDF=Y")</f>
        <v>25179</v>
      </c>
      <c r="P56" s="13">
        <f>_xll.BDH("GILD US Equity","LONG_TERM_BORROWINGS_DETAILED","FQ1 2022","FQ1 2022","Currency=USD","Period=FQ","BEST_FPERIOD_OVERRIDE=FQ","FILING_STATUS=MR","SCALING_FORMAT=MLN","Sort=A","Dates=H","DateFormat=P","Fill=—","Direction=H","UseDPDF=Y")</f>
        <v>25183</v>
      </c>
      <c r="Q56" s="13">
        <f>_xll.BDH("GILD US Equity","LONG_TERM_BORROWINGS_DETAILED","FQ2 2022","FQ2 2022","Currency=USD","Period=FQ","BEST_FPERIOD_OVERRIDE=FQ","FILING_STATUS=MR","SCALING_FORMAT=MLN","Sort=A","Dates=H","DateFormat=P","Fill=—","Direction=H","UseDPDF=Y")</f>
        <v>25195</v>
      </c>
      <c r="R56" s="13">
        <f>_xll.BDH("GILD US Equity","LONG_TERM_BORROWINGS_DETAILED","FQ3 2022","FQ3 2022","Currency=USD","Period=FQ","BEST_FPERIOD_OVERRIDE=FQ","FILING_STATUS=MR","SCALING_FORMAT=MLN","Sort=A","Dates=H","DateFormat=P","Fill=—","Direction=H","UseDPDF=Y")</f>
        <v>22953</v>
      </c>
      <c r="S56" s="13">
        <f>_xll.BDH("GILD US Equity","LONG_TERM_BORROWINGS_DETAILED","FQ4 2022","FQ4 2022","Currency=USD","Period=FQ","BEST_FPERIOD_OVERRIDE=FQ","FILING_STATUS=MR","SCALING_FORMAT=MLN","Sort=A","Dates=H","DateFormat=P","Fill=—","Direction=H","UseDPDF=Y")</f>
        <v>22957</v>
      </c>
      <c r="T56" s="13">
        <f>_xll.BDH("GILD US Equity","LONG_TERM_BORROWINGS_DETAILED","FQ1 2023","FQ1 2023","Currency=USD","Period=FQ","BEST_FPERIOD_OVERRIDE=FQ","FILING_STATUS=MR","SCALING_FORMAT=MLN","Sort=A","Dates=H","DateFormat=P","Fill=—","Direction=H","UseDPDF=Y")</f>
        <v>22956</v>
      </c>
      <c r="U56" s="13">
        <f>_xll.BDH("GILD US Equity","LONG_TERM_BORROWINGS_DETAILED","FQ2 2023","FQ2 2023","Currency=USD","Period=FQ","BEST_FPERIOD_OVERRIDE=FQ","FILING_STATUS=MR","SCALING_FORMAT=MLN","Sort=A","Dates=H","DateFormat=P","Fill=—","Direction=H","UseDPDF=Y")</f>
        <v>21209</v>
      </c>
      <c r="V56" s="13">
        <f>_xll.BDH("GILD US Equity","LONG_TERM_BORROWINGS_DETAILED","FQ3 2023","FQ3 2023","Currency=USD","Period=FQ","BEST_FPERIOD_OVERRIDE=FQ","FILING_STATUS=MR","SCALING_FORMAT=MLN","Sort=A","Dates=H","DateFormat=P","Fill=—","Direction=H","UseDPDF=Y")</f>
        <v>23189</v>
      </c>
      <c r="W56" s="13">
        <f>_xll.BDH("GILD US Equity","LONG_TERM_BORROWINGS_DETAILED","FQ4 2023","FQ4 2023","Currency=USD","Period=FQ","BEST_FPERIOD_OVERRIDE=FQ","FILING_STATUS=MR","SCALING_FORMAT=MLN","Sort=A","Dates=H","DateFormat=P","Fill=—","Direction=H","UseDPDF=Y")</f>
        <v>23189</v>
      </c>
      <c r="X56" s="13">
        <f>_xll.BDH("GILD US Equity","LONG_TERM_BORROWINGS_DETAILED","FQ1 2024","FQ1 2024","Currency=USD","Period=FQ","BEST_FPERIOD_OVERRIDE=FQ","FILING_STATUS=MR","SCALING_FORMAT=MLN","Sort=A","Dates=H","DateFormat=P","Fill=—","Direction=H","UseDPDF=Y")</f>
        <v>21527</v>
      </c>
      <c r="Y56" s="13">
        <f>_xll.BDH("GILD US Equity","LONG_TERM_BORROWINGS_DETAILED","FQ2 2024","FQ2 2024","Currency=USD","Period=FQ","BEST_FPERIOD_OVERRIDE=FQ","FILING_STATUS=MR","SCALING_FORMAT=MLN","Sort=A","Dates=H","DateFormat=P","Fill=—","Direction=H","UseDPDF=Y")</f>
        <v>21540</v>
      </c>
      <c r="Z56" s="13">
        <f>_xll.BDH("GILD US Equity","LONG_TERM_BORROWINGS_DETAILED","FQ3 2024","FQ3 2024","Currency=USD","Period=FQ","BEST_FPERIOD_OVERRIDE=FQ","FILING_STATUS=MR","SCALING_FORMAT=MLN","Sort=A","Dates=H","DateFormat=P","Fill=—","Direction=H","UseDPDF=Y")</f>
        <v>21437</v>
      </c>
      <c r="AA56" s="13">
        <f>_xll.BDH("GILD US Equity","LONG_TERM_BORROWINGS_DETAILED","FQ4 2024","FQ4 2024","Currency=USD","Period=FQ","BEST_FPERIOD_OVERRIDE=FQ","FILING_STATUS=MR","SCALING_FORMAT=MLN","Sort=A","Dates=H","DateFormat=P","Fill=—","Direction=H","UseDPDF=Y")</f>
        <v>24896</v>
      </c>
    </row>
    <row r="57" spans="1:27" x14ac:dyDescent="0.25">
      <c r="A57" s="10" t="s">
        <v>833</v>
      </c>
      <c r="B57" s="10" t="s">
        <v>834</v>
      </c>
      <c r="C57" s="13" t="str">
        <f>_xll.BDH("GILD US Equity","LT_CAPITALIZED_LEASE_LIABILITIES","FQ4 2018","FQ4 2018","Currency=USD","Period=FQ","BEST_FPERIOD_OVERRIDE=FQ","FILING_STATUS=MR","SCALING_FORMAT=MLN","Sort=A","Dates=H","DateFormat=P","Fill=—","Direction=H","UseDPDF=Y")</f>
        <v>—</v>
      </c>
      <c r="D57" s="13">
        <f>_xll.BDH("GILD US Equity","LT_CAPITALIZED_LEASE_LIABILITIES","FQ1 2019","FQ1 2019","Currency=USD","Period=FQ","BEST_FPERIOD_OVERRIDE=FQ","FILING_STATUS=MR","SCALING_FORMAT=MLN","Sort=A","Dates=H","DateFormat=P","Fill=—","Direction=H","UseDPDF=Y")</f>
        <v>429</v>
      </c>
      <c r="E57" s="13">
        <f>_xll.BDH("GILD US Equity","LT_CAPITALIZED_LEASE_LIABILITIES","FQ2 2019","FQ2 2019","Currency=USD","Period=FQ","BEST_FPERIOD_OVERRIDE=FQ","FILING_STATUS=MR","SCALING_FORMAT=MLN","Sort=A","Dates=H","DateFormat=P","Fill=—","Direction=H","UseDPDF=Y")</f>
        <v>481</v>
      </c>
      <c r="F57" s="13">
        <f>_xll.BDH("GILD US Equity","LT_CAPITALIZED_LEASE_LIABILITIES","FQ3 2019","FQ3 2019","Currency=USD","Period=FQ","BEST_FPERIOD_OVERRIDE=FQ","FILING_STATUS=MR","SCALING_FORMAT=MLN","Sort=A","Dates=H","DateFormat=P","Fill=—","Direction=H","UseDPDF=Y")</f>
        <v>619</v>
      </c>
      <c r="G57" s="13">
        <f>_xll.BDH("GILD US Equity","LT_CAPITALIZED_LEASE_LIABILITIES","FQ4 2019","FQ4 2019","Currency=USD","Period=FQ","BEST_FPERIOD_OVERRIDE=FQ","FILING_STATUS=MR","SCALING_FORMAT=MLN","Sort=A","Dates=H","DateFormat=P","Fill=—","Direction=H","UseDPDF=Y")</f>
        <v>626</v>
      </c>
      <c r="H57" s="13" t="str">
        <f>_xll.BDH("GILD US Equity","LT_CAPITALIZED_LEASE_LIABILITIES","FQ1 2020","FQ1 2020","Currency=USD","Period=FQ","BEST_FPERIOD_OVERRIDE=FQ","FILING_STATUS=MR","SCALING_FORMAT=MLN","Sort=A","Dates=H","DateFormat=P","Fill=—","Direction=H","UseDPDF=Y")</f>
        <v>—</v>
      </c>
      <c r="I57" s="13" t="str">
        <f>_xll.BDH("GILD US Equity","LT_CAPITALIZED_LEASE_LIABILITIES","FQ2 2020","FQ2 2020","Currency=USD","Period=FQ","BEST_FPERIOD_OVERRIDE=FQ","FILING_STATUS=MR","SCALING_FORMAT=MLN","Sort=A","Dates=H","DateFormat=P","Fill=—","Direction=H","UseDPDF=Y")</f>
        <v>—</v>
      </c>
      <c r="J57" s="13" t="str">
        <f>_xll.BDH("GILD US Equity","LT_CAPITALIZED_LEASE_LIABILITIES","FQ3 2020","FQ3 2020","Currency=USD","Period=FQ","BEST_FPERIOD_OVERRIDE=FQ","FILING_STATUS=MR","SCALING_FORMAT=MLN","Sort=A","Dates=H","DateFormat=P","Fill=—","Direction=H","UseDPDF=Y")</f>
        <v>—</v>
      </c>
      <c r="K57" s="13">
        <f>_xll.BDH("GILD US Equity","LT_CAPITALIZED_LEASE_LIABILITIES","FQ4 2020","FQ4 2020","Currency=USD","Period=FQ","BEST_FPERIOD_OVERRIDE=FQ","FILING_STATUS=MR","SCALING_FORMAT=MLN","Sort=A","Dates=H","DateFormat=P","Fill=—","Direction=H","UseDPDF=Y")</f>
        <v>608</v>
      </c>
      <c r="L57" s="13" t="str">
        <f>_xll.BDH("GILD US Equity","LT_CAPITALIZED_LEASE_LIABILITIES","FQ1 2021","FQ1 2021","Currency=USD","Period=FQ","BEST_FPERIOD_OVERRIDE=FQ","FILING_STATUS=MR","SCALING_FORMAT=MLN","Sort=A","Dates=H","DateFormat=P","Fill=—","Direction=H","UseDPDF=Y")</f>
        <v>—</v>
      </c>
      <c r="M57" s="13" t="str">
        <f>_xll.BDH("GILD US Equity","LT_CAPITALIZED_LEASE_LIABILITIES","FQ2 2021","FQ2 2021","Currency=USD","Period=FQ","BEST_FPERIOD_OVERRIDE=FQ","FILING_STATUS=MR","SCALING_FORMAT=MLN","Sort=A","Dates=H","DateFormat=P","Fill=—","Direction=H","UseDPDF=Y")</f>
        <v>—</v>
      </c>
      <c r="N57" s="13" t="str">
        <f>_xll.BDH("GILD US Equity","LT_CAPITALIZED_LEASE_LIABILITIES","FQ3 2021","FQ3 2021","Currency=USD","Period=FQ","BEST_FPERIOD_OVERRIDE=FQ","FILING_STATUS=MR","SCALING_FORMAT=MLN","Sort=A","Dates=H","DateFormat=P","Fill=—","Direction=H","UseDPDF=Y")</f>
        <v>—</v>
      </c>
      <c r="O57" s="13">
        <f>_xll.BDH("GILD US Equity","LT_CAPITALIZED_LEASE_LIABILITIES","FQ4 2021","FQ4 2021","Currency=USD","Period=FQ","BEST_FPERIOD_OVERRIDE=FQ","FILING_STATUS=MR","SCALING_FORMAT=MLN","Sort=A","Dates=H","DateFormat=P","Fill=—","Direction=H","UseDPDF=Y")</f>
        <v>489</v>
      </c>
      <c r="P57" s="13" t="str">
        <f>_xll.BDH("GILD US Equity","LT_CAPITALIZED_LEASE_LIABILITIES","FQ1 2022","FQ1 2022","Currency=USD","Period=FQ","BEST_FPERIOD_OVERRIDE=FQ","FILING_STATUS=MR","SCALING_FORMAT=MLN","Sort=A","Dates=H","DateFormat=P","Fill=—","Direction=H","UseDPDF=Y")</f>
        <v>—</v>
      </c>
      <c r="Q57" s="13" t="str">
        <f>_xll.BDH("GILD US Equity","LT_CAPITALIZED_LEASE_LIABILITIES","FQ2 2022","FQ2 2022","Currency=USD","Period=FQ","BEST_FPERIOD_OVERRIDE=FQ","FILING_STATUS=MR","SCALING_FORMAT=MLN","Sort=A","Dates=H","DateFormat=P","Fill=—","Direction=H","UseDPDF=Y")</f>
        <v>—</v>
      </c>
      <c r="R57" s="13" t="str">
        <f>_xll.BDH("GILD US Equity","LT_CAPITALIZED_LEASE_LIABILITIES","FQ3 2022","FQ3 2022","Currency=USD","Period=FQ","BEST_FPERIOD_OVERRIDE=FQ","FILING_STATUS=MR","SCALING_FORMAT=MLN","Sort=A","Dates=H","DateFormat=P","Fill=—","Direction=H","UseDPDF=Y")</f>
        <v>—</v>
      </c>
      <c r="S57" s="13">
        <f>_xll.BDH("GILD US Equity","LT_CAPITALIZED_LEASE_LIABILITIES","FQ4 2022","FQ4 2022","Currency=USD","Period=FQ","BEST_FPERIOD_OVERRIDE=FQ","FILING_STATUS=MR","SCALING_FORMAT=MLN","Sort=A","Dates=H","DateFormat=P","Fill=—","Direction=H","UseDPDF=Y")</f>
        <v>467</v>
      </c>
      <c r="T57" s="13" t="str">
        <f>_xll.BDH("GILD US Equity","LT_CAPITALIZED_LEASE_LIABILITIES","FQ1 2023","FQ1 2023","Currency=USD","Period=FQ","BEST_FPERIOD_OVERRIDE=FQ","FILING_STATUS=MR","SCALING_FORMAT=MLN","Sort=A","Dates=H","DateFormat=P","Fill=—","Direction=H","UseDPDF=Y")</f>
        <v>—</v>
      </c>
      <c r="U57" s="13" t="str">
        <f>_xll.BDH("GILD US Equity","LT_CAPITALIZED_LEASE_LIABILITIES","FQ2 2023","FQ2 2023","Currency=USD","Period=FQ","BEST_FPERIOD_OVERRIDE=FQ","FILING_STATUS=MR","SCALING_FORMAT=MLN","Sort=A","Dates=H","DateFormat=P","Fill=—","Direction=H","UseDPDF=Y")</f>
        <v>—</v>
      </c>
      <c r="V57" s="13" t="str">
        <f>_xll.BDH("GILD US Equity","LT_CAPITALIZED_LEASE_LIABILITIES","FQ3 2023","FQ3 2023","Currency=USD","Period=FQ","BEST_FPERIOD_OVERRIDE=FQ","FILING_STATUS=MR","SCALING_FORMAT=MLN","Sort=A","Dates=H","DateFormat=P","Fill=—","Direction=H","UseDPDF=Y")</f>
        <v>—</v>
      </c>
      <c r="W57" s="13">
        <f>_xll.BDH("GILD US Equity","LT_CAPITALIZED_LEASE_LIABILITIES","FQ4 2023","FQ4 2023","Currency=USD","Period=FQ","BEST_FPERIOD_OVERRIDE=FQ","FILING_STATUS=MR","SCALING_FORMAT=MLN","Sort=A","Dates=H","DateFormat=P","Fill=—","Direction=H","UseDPDF=Y")</f>
        <v>546</v>
      </c>
      <c r="X57" s="13" t="str">
        <f>_xll.BDH("GILD US Equity","LT_CAPITALIZED_LEASE_LIABILITIES","FQ1 2024","FQ1 2024","Currency=USD","Period=FQ","BEST_FPERIOD_OVERRIDE=FQ","FILING_STATUS=MR","SCALING_FORMAT=MLN","Sort=A","Dates=H","DateFormat=P","Fill=—","Direction=H","UseDPDF=Y")</f>
        <v>—</v>
      </c>
      <c r="Y57" s="13" t="str">
        <f>_xll.BDH("GILD US Equity","LT_CAPITALIZED_LEASE_LIABILITIES","FQ2 2024","FQ2 2024","Currency=USD","Period=FQ","BEST_FPERIOD_OVERRIDE=FQ","FILING_STATUS=MR","SCALING_FORMAT=MLN","Sort=A","Dates=H","DateFormat=P","Fill=—","Direction=H","UseDPDF=Y")</f>
        <v>—</v>
      </c>
      <c r="Z57" s="13" t="str">
        <f>_xll.BDH("GILD US Equity","LT_CAPITALIZED_LEASE_LIABILITIES","FQ3 2024","FQ3 2024","Currency=USD","Period=FQ","BEST_FPERIOD_OVERRIDE=FQ","FILING_STATUS=MR","SCALING_FORMAT=MLN","Sort=A","Dates=H","DateFormat=P","Fill=—","Direction=H","UseDPDF=Y")</f>
        <v>—</v>
      </c>
      <c r="AA57" s="13">
        <f>_xll.BDH("GILD US Equity","LT_CAPITALIZED_LEASE_LIABILITIES","FQ4 2024","FQ4 2024","Currency=USD","Period=FQ","BEST_FPERIOD_OVERRIDE=FQ","FILING_STATUS=MR","SCALING_FORMAT=MLN","Sort=A","Dates=H","DateFormat=P","Fill=—","Direction=H","UseDPDF=Y")</f>
        <v>498</v>
      </c>
    </row>
    <row r="58" spans="1:27" x14ac:dyDescent="0.25">
      <c r="A58" s="11" t="s">
        <v>835</v>
      </c>
      <c r="B58" s="11" t="s">
        <v>836</v>
      </c>
      <c r="C58" s="25" t="str">
        <f>_xll.BDH("GILD US Equity","LT_CAPITAL_LEASE_OBLIGATIONS","FQ4 2018","FQ4 2018","Currency=USD","Period=FQ","BEST_FPERIOD_OVERRIDE=FQ","FILING_STATUS=MR","SCALING_FORMAT=MLN","Sort=A","Dates=H","DateFormat=P","Fill=—","Direction=H","UseDPDF=Y")</f>
        <v>—</v>
      </c>
      <c r="D58" s="25" t="str">
        <f>_xll.BDH("GILD US Equity","LT_CAPITAL_LEASE_OBLIGATIONS","FQ1 2019","FQ1 2019","Currency=USD","Period=FQ","BEST_FPERIOD_OVERRIDE=FQ","FILING_STATUS=MR","SCALING_FORMAT=MLN","Sort=A","Dates=H","DateFormat=P","Fill=—","Direction=H","UseDPDF=Y")</f>
        <v>—</v>
      </c>
      <c r="E58" s="25" t="str">
        <f>_xll.BDH("GILD US Equity","LT_CAPITAL_LEASE_OBLIGATIONS","FQ2 2019","FQ2 2019","Currency=USD","Period=FQ","BEST_FPERIOD_OVERRIDE=FQ","FILING_STATUS=MR","SCALING_FORMAT=MLN","Sort=A","Dates=H","DateFormat=P","Fill=—","Direction=H","UseDPDF=Y")</f>
        <v>—</v>
      </c>
      <c r="F58" s="25" t="str">
        <f>_xll.BDH("GILD US Equity","LT_CAPITAL_LEASE_OBLIGATIONS","FQ3 2019","FQ3 2019","Currency=USD","Period=FQ","BEST_FPERIOD_OVERRIDE=FQ","FILING_STATUS=MR","SCALING_FORMAT=MLN","Sort=A","Dates=H","DateFormat=P","Fill=—","Direction=H","UseDPDF=Y")</f>
        <v>—</v>
      </c>
      <c r="G58" s="25">
        <f>_xll.BDH("GILD US Equity","LT_CAPITAL_LEASE_OBLIGATIONS","FQ4 2019","FQ4 2019","Currency=USD","Period=FQ","BEST_FPERIOD_OVERRIDE=FQ","FILING_STATUS=MR","SCALING_FORMAT=MLN","Sort=A","Dates=H","DateFormat=P","Fill=—","Direction=H","UseDPDF=Y")</f>
        <v>0</v>
      </c>
      <c r="H58" s="25" t="str">
        <f>_xll.BDH("GILD US Equity","LT_CAPITAL_LEASE_OBLIGATIONS","FQ1 2020","FQ1 2020","Currency=USD","Period=FQ","BEST_FPERIOD_OVERRIDE=FQ","FILING_STATUS=MR","SCALING_FORMAT=MLN","Sort=A","Dates=H","DateFormat=P","Fill=—","Direction=H","UseDPDF=Y")</f>
        <v>—</v>
      </c>
      <c r="I58" s="25" t="str">
        <f>_xll.BDH("GILD US Equity","LT_CAPITAL_LEASE_OBLIGATIONS","FQ2 2020","FQ2 2020","Currency=USD","Period=FQ","BEST_FPERIOD_OVERRIDE=FQ","FILING_STATUS=MR","SCALING_FORMAT=MLN","Sort=A","Dates=H","DateFormat=P","Fill=—","Direction=H","UseDPDF=Y")</f>
        <v>—</v>
      </c>
      <c r="J58" s="25" t="str">
        <f>_xll.BDH("GILD US Equity","LT_CAPITAL_LEASE_OBLIGATIONS","FQ3 2020","FQ3 2020","Currency=USD","Period=FQ","BEST_FPERIOD_OVERRIDE=FQ","FILING_STATUS=MR","SCALING_FORMAT=MLN","Sort=A","Dates=H","DateFormat=P","Fill=—","Direction=H","UseDPDF=Y")</f>
        <v>—</v>
      </c>
      <c r="K58" s="25">
        <f>_xll.BDH("GILD US Equity","LT_CAPITAL_LEASE_OBLIGATIONS","FQ4 2020","FQ4 2020","Currency=USD","Period=FQ","BEST_FPERIOD_OVERRIDE=FQ","FILING_STATUS=MR","SCALING_FORMAT=MLN","Sort=A","Dates=H","DateFormat=P","Fill=—","Direction=H","UseDPDF=Y")</f>
        <v>0</v>
      </c>
      <c r="L58" s="25" t="str">
        <f>_xll.BDH("GILD US Equity","LT_CAPITAL_LEASE_OBLIGATIONS","FQ1 2021","FQ1 2021","Currency=USD","Period=FQ","BEST_FPERIOD_OVERRIDE=FQ","FILING_STATUS=MR","SCALING_FORMAT=MLN","Sort=A","Dates=H","DateFormat=P","Fill=—","Direction=H","UseDPDF=Y")</f>
        <v>—</v>
      </c>
      <c r="M58" s="25" t="str">
        <f>_xll.BDH("GILD US Equity","LT_CAPITAL_LEASE_OBLIGATIONS","FQ2 2021","FQ2 2021","Currency=USD","Period=FQ","BEST_FPERIOD_OVERRIDE=FQ","FILING_STATUS=MR","SCALING_FORMAT=MLN","Sort=A","Dates=H","DateFormat=P","Fill=—","Direction=H","UseDPDF=Y")</f>
        <v>—</v>
      </c>
      <c r="N58" s="25" t="str">
        <f>_xll.BDH("GILD US Equity","LT_CAPITAL_LEASE_OBLIGATIONS","FQ3 2021","FQ3 2021","Currency=USD","Period=FQ","BEST_FPERIOD_OVERRIDE=FQ","FILING_STATUS=MR","SCALING_FORMAT=MLN","Sort=A","Dates=H","DateFormat=P","Fill=—","Direction=H","UseDPDF=Y")</f>
        <v>—</v>
      </c>
      <c r="O58" s="25">
        <f>_xll.BDH("GILD US Equity","LT_CAPITAL_LEASE_OBLIGATIONS","FQ4 2021","FQ4 2021","Currency=USD","Period=FQ","BEST_FPERIOD_OVERRIDE=FQ","FILING_STATUS=MR","SCALING_FORMAT=MLN","Sort=A","Dates=H","DateFormat=P","Fill=—","Direction=H","UseDPDF=Y")</f>
        <v>0</v>
      </c>
      <c r="P58" s="25" t="str">
        <f>_xll.BDH("GILD US Equity","LT_CAPITAL_LEASE_OBLIGATIONS","FQ1 2022","FQ1 2022","Currency=USD","Period=FQ","BEST_FPERIOD_OVERRIDE=FQ","FILING_STATUS=MR","SCALING_FORMAT=MLN","Sort=A","Dates=H","DateFormat=P","Fill=—","Direction=H","UseDPDF=Y")</f>
        <v>—</v>
      </c>
      <c r="Q58" s="25" t="str">
        <f>_xll.BDH("GILD US Equity","LT_CAPITAL_LEASE_OBLIGATIONS","FQ2 2022","FQ2 2022","Currency=USD","Period=FQ","BEST_FPERIOD_OVERRIDE=FQ","FILING_STATUS=MR","SCALING_FORMAT=MLN","Sort=A","Dates=H","DateFormat=P","Fill=—","Direction=H","UseDPDF=Y")</f>
        <v>—</v>
      </c>
      <c r="R58" s="25" t="str">
        <f>_xll.BDH("GILD US Equity","LT_CAPITAL_LEASE_OBLIGATIONS","FQ3 2022","FQ3 2022","Currency=USD","Period=FQ","BEST_FPERIOD_OVERRIDE=FQ","FILING_STATUS=MR","SCALING_FORMAT=MLN","Sort=A","Dates=H","DateFormat=P","Fill=—","Direction=H","UseDPDF=Y")</f>
        <v>—</v>
      </c>
      <c r="S58" s="25">
        <f>_xll.BDH("GILD US Equity","LT_CAPITAL_LEASE_OBLIGATIONS","FQ4 2022","FQ4 2022","Currency=USD","Period=FQ","BEST_FPERIOD_OVERRIDE=FQ","FILING_STATUS=MR","SCALING_FORMAT=MLN","Sort=A","Dates=H","DateFormat=P","Fill=—","Direction=H","UseDPDF=Y")</f>
        <v>0</v>
      </c>
      <c r="T58" s="25" t="str">
        <f>_xll.BDH("GILD US Equity","LT_CAPITAL_LEASE_OBLIGATIONS","FQ1 2023","FQ1 2023","Currency=USD","Period=FQ","BEST_FPERIOD_OVERRIDE=FQ","FILING_STATUS=MR","SCALING_FORMAT=MLN","Sort=A","Dates=H","DateFormat=P","Fill=—","Direction=H","UseDPDF=Y")</f>
        <v>—</v>
      </c>
      <c r="U58" s="25" t="str">
        <f>_xll.BDH("GILD US Equity","LT_CAPITAL_LEASE_OBLIGATIONS","FQ2 2023","FQ2 2023","Currency=USD","Period=FQ","BEST_FPERIOD_OVERRIDE=FQ","FILING_STATUS=MR","SCALING_FORMAT=MLN","Sort=A","Dates=H","DateFormat=P","Fill=—","Direction=H","UseDPDF=Y")</f>
        <v>—</v>
      </c>
      <c r="V58" s="25" t="str">
        <f>_xll.BDH("GILD US Equity","LT_CAPITAL_LEASE_OBLIGATIONS","FQ3 2023","FQ3 2023","Currency=USD","Period=FQ","BEST_FPERIOD_OVERRIDE=FQ","FILING_STATUS=MR","SCALING_FORMAT=MLN","Sort=A","Dates=H","DateFormat=P","Fill=—","Direction=H","UseDPDF=Y")</f>
        <v>—</v>
      </c>
      <c r="W58" s="25">
        <f>_xll.BDH("GILD US Equity","LT_CAPITAL_LEASE_OBLIGATIONS","FQ4 2023","FQ4 2023","Currency=USD","Period=FQ","BEST_FPERIOD_OVERRIDE=FQ","FILING_STATUS=MR","SCALING_FORMAT=MLN","Sort=A","Dates=H","DateFormat=P","Fill=—","Direction=H","UseDPDF=Y")</f>
        <v>0</v>
      </c>
      <c r="X58" s="25" t="str">
        <f>_xll.BDH("GILD US Equity","LT_CAPITAL_LEASE_OBLIGATIONS","FQ1 2024","FQ1 2024","Currency=USD","Period=FQ","BEST_FPERIOD_OVERRIDE=FQ","FILING_STATUS=MR","SCALING_FORMAT=MLN","Sort=A","Dates=H","DateFormat=P","Fill=—","Direction=H","UseDPDF=Y")</f>
        <v>—</v>
      </c>
      <c r="Y58" s="25" t="str">
        <f>_xll.BDH("GILD US Equity","LT_CAPITAL_LEASE_OBLIGATIONS","FQ2 2024","FQ2 2024","Currency=USD","Period=FQ","BEST_FPERIOD_OVERRIDE=FQ","FILING_STATUS=MR","SCALING_FORMAT=MLN","Sort=A","Dates=H","DateFormat=P","Fill=—","Direction=H","UseDPDF=Y")</f>
        <v>—</v>
      </c>
      <c r="Z58" s="25" t="str">
        <f>_xll.BDH("GILD US Equity","LT_CAPITAL_LEASE_OBLIGATIONS","FQ3 2024","FQ3 2024","Currency=USD","Period=FQ","BEST_FPERIOD_OVERRIDE=FQ","FILING_STATUS=MR","SCALING_FORMAT=MLN","Sort=A","Dates=H","DateFormat=P","Fill=—","Direction=H","UseDPDF=Y")</f>
        <v>—</v>
      </c>
      <c r="AA58" s="25">
        <f>_xll.BDH("GILD US Equity","LT_CAPITAL_LEASE_OBLIGATIONS","FQ4 2024","FQ4 2024","Currency=USD","Period=FQ","BEST_FPERIOD_OVERRIDE=FQ","FILING_STATUS=MR","SCALING_FORMAT=MLN","Sort=A","Dates=H","DateFormat=P","Fill=—","Direction=H","UseDPDF=Y")</f>
        <v>0</v>
      </c>
    </row>
    <row r="59" spans="1:27" x14ac:dyDescent="0.25">
      <c r="A59" s="11" t="s">
        <v>837</v>
      </c>
      <c r="B59" s="11" t="s">
        <v>838</v>
      </c>
      <c r="C59" s="25" t="str">
        <f>_xll.BDH("GILD US Equity","BS_LT_OPERATING_LEASE_LIABS","FQ4 2018","FQ4 2018","Currency=USD","Period=FQ","BEST_FPERIOD_OVERRIDE=FQ","FILING_STATUS=MR","SCALING_FORMAT=MLN","Sort=A","Dates=H","DateFormat=P","Fill=—","Direction=H","UseDPDF=Y")</f>
        <v>—</v>
      </c>
      <c r="D59" s="25">
        <f>_xll.BDH("GILD US Equity","BS_LT_OPERATING_LEASE_LIABS","FQ1 2019","FQ1 2019","Currency=USD","Period=FQ","BEST_FPERIOD_OVERRIDE=FQ","FILING_STATUS=MR","SCALING_FORMAT=MLN","Sort=A","Dates=H","DateFormat=P","Fill=—","Direction=H","UseDPDF=Y")</f>
        <v>429</v>
      </c>
      <c r="E59" s="25">
        <f>_xll.BDH("GILD US Equity","BS_LT_OPERATING_LEASE_LIABS","FQ2 2019","FQ2 2019","Currency=USD","Period=FQ","BEST_FPERIOD_OVERRIDE=FQ","FILING_STATUS=MR","SCALING_FORMAT=MLN","Sort=A","Dates=H","DateFormat=P","Fill=—","Direction=H","UseDPDF=Y")</f>
        <v>481</v>
      </c>
      <c r="F59" s="25">
        <f>_xll.BDH("GILD US Equity","BS_LT_OPERATING_LEASE_LIABS","FQ3 2019","FQ3 2019","Currency=USD","Period=FQ","BEST_FPERIOD_OVERRIDE=FQ","FILING_STATUS=MR","SCALING_FORMAT=MLN","Sort=A","Dates=H","DateFormat=P","Fill=—","Direction=H","UseDPDF=Y")</f>
        <v>619</v>
      </c>
      <c r="G59" s="25">
        <f>_xll.BDH("GILD US Equity","BS_LT_OPERATING_LEASE_LIABS","FQ4 2019","FQ4 2019","Currency=USD","Period=FQ","BEST_FPERIOD_OVERRIDE=FQ","FILING_STATUS=MR","SCALING_FORMAT=MLN","Sort=A","Dates=H","DateFormat=P","Fill=—","Direction=H","UseDPDF=Y")</f>
        <v>626</v>
      </c>
      <c r="H59" s="25" t="str">
        <f>_xll.BDH("GILD US Equity","BS_LT_OPERATING_LEASE_LIABS","FQ1 2020","FQ1 2020","Currency=USD","Period=FQ","BEST_FPERIOD_OVERRIDE=FQ","FILING_STATUS=MR","SCALING_FORMAT=MLN","Sort=A","Dates=H","DateFormat=P","Fill=—","Direction=H","UseDPDF=Y")</f>
        <v>—</v>
      </c>
      <c r="I59" s="25" t="str">
        <f>_xll.BDH("GILD US Equity","BS_LT_OPERATING_LEASE_LIABS","FQ2 2020","FQ2 2020","Currency=USD","Period=FQ","BEST_FPERIOD_OVERRIDE=FQ","FILING_STATUS=MR","SCALING_FORMAT=MLN","Sort=A","Dates=H","DateFormat=P","Fill=—","Direction=H","UseDPDF=Y")</f>
        <v>—</v>
      </c>
      <c r="J59" s="25" t="str">
        <f>_xll.BDH("GILD US Equity","BS_LT_OPERATING_LEASE_LIABS","FQ3 2020","FQ3 2020","Currency=USD","Period=FQ","BEST_FPERIOD_OVERRIDE=FQ","FILING_STATUS=MR","SCALING_FORMAT=MLN","Sort=A","Dates=H","DateFormat=P","Fill=—","Direction=H","UseDPDF=Y")</f>
        <v>—</v>
      </c>
      <c r="K59" s="25">
        <f>_xll.BDH("GILD US Equity","BS_LT_OPERATING_LEASE_LIABS","FQ4 2020","FQ4 2020","Currency=USD","Period=FQ","BEST_FPERIOD_OVERRIDE=FQ","FILING_STATUS=MR","SCALING_FORMAT=MLN","Sort=A","Dates=H","DateFormat=P","Fill=—","Direction=H","UseDPDF=Y")</f>
        <v>608</v>
      </c>
      <c r="L59" s="25" t="str">
        <f>_xll.BDH("GILD US Equity","BS_LT_OPERATING_LEASE_LIABS","FQ1 2021","FQ1 2021","Currency=USD","Period=FQ","BEST_FPERIOD_OVERRIDE=FQ","FILING_STATUS=MR","SCALING_FORMAT=MLN","Sort=A","Dates=H","DateFormat=P","Fill=—","Direction=H","UseDPDF=Y")</f>
        <v>—</v>
      </c>
      <c r="M59" s="25" t="str">
        <f>_xll.BDH("GILD US Equity","BS_LT_OPERATING_LEASE_LIABS","FQ2 2021","FQ2 2021","Currency=USD","Period=FQ","BEST_FPERIOD_OVERRIDE=FQ","FILING_STATUS=MR","SCALING_FORMAT=MLN","Sort=A","Dates=H","DateFormat=P","Fill=—","Direction=H","UseDPDF=Y")</f>
        <v>—</v>
      </c>
      <c r="N59" s="25" t="str">
        <f>_xll.BDH("GILD US Equity","BS_LT_OPERATING_LEASE_LIABS","FQ3 2021","FQ3 2021","Currency=USD","Period=FQ","BEST_FPERIOD_OVERRIDE=FQ","FILING_STATUS=MR","SCALING_FORMAT=MLN","Sort=A","Dates=H","DateFormat=P","Fill=—","Direction=H","UseDPDF=Y")</f>
        <v>—</v>
      </c>
      <c r="O59" s="25">
        <f>_xll.BDH("GILD US Equity","BS_LT_OPERATING_LEASE_LIABS","FQ4 2021","FQ4 2021","Currency=USD","Period=FQ","BEST_FPERIOD_OVERRIDE=FQ","FILING_STATUS=MR","SCALING_FORMAT=MLN","Sort=A","Dates=H","DateFormat=P","Fill=—","Direction=H","UseDPDF=Y")</f>
        <v>489</v>
      </c>
      <c r="P59" s="25" t="str">
        <f>_xll.BDH("GILD US Equity","BS_LT_OPERATING_LEASE_LIABS","FQ1 2022","FQ1 2022","Currency=USD","Period=FQ","BEST_FPERIOD_OVERRIDE=FQ","FILING_STATUS=MR","SCALING_FORMAT=MLN","Sort=A","Dates=H","DateFormat=P","Fill=—","Direction=H","UseDPDF=Y")</f>
        <v>—</v>
      </c>
      <c r="Q59" s="25" t="str">
        <f>_xll.BDH("GILD US Equity","BS_LT_OPERATING_LEASE_LIABS","FQ2 2022","FQ2 2022","Currency=USD","Period=FQ","BEST_FPERIOD_OVERRIDE=FQ","FILING_STATUS=MR","SCALING_FORMAT=MLN","Sort=A","Dates=H","DateFormat=P","Fill=—","Direction=H","UseDPDF=Y")</f>
        <v>—</v>
      </c>
      <c r="R59" s="25" t="str">
        <f>_xll.BDH("GILD US Equity","BS_LT_OPERATING_LEASE_LIABS","FQ3 2022","FQ3 2022","Currency=USD","Period=FQ","BEST_FPERIOD_OVERRIDE=FQ","FILING_STATUS=MR","SCALING_FORMAT=MLN","Sort=A","Dates=H","DateFormat=P","Fill=—","Direction=H","UseDPDF=Y")</f>
        <v>—</v>
      </c>
      <c r="S59" s="25">
        <f>_xll.BDH("GILD US Equity","BS_LT_OPERATING_LEASE_LIABS","FQ4 2022","FQ4 2022","Currency=USD","Period=FQ","BEST_FPERIOD_OVERRIDE=FQ","FILING_STATUS=MR","SCALING_FORMAT=MLN","Sort=A","Dates=H","DateFormat=P","Fill=—","Direction=H","UseDPDF=Y")</f>
        <v>467</v>
      </c>
      <c r="T59" s="25" t="str">
        <f>_xll.BDH("GILD US Equity","BS_LT_OPERATING_LEASE_LIABS","FQ1 2023","FQ1 2023","Currency=USD","Period=FQ","BEST_FPERIOD_OVERRIDE=FQ","FILING_STATUS=MR","SCALING_FORMAT=MLN","Sort=A","Dates=H","DateFormat=P","Fill=—","Direction=H","UseDPDF=Y")</f>
        <v>—</v>
      </c>
      <c r="U59" s="25" t="str">
        <f>_xll.BDH("GILD US Equity","BS_LT_OPERATING_LEASE_LIABS","FQ2 2023","FQ2 2023","Currency=USD","Period=FQ","BEST_FPERIOD_OVERRIDE=FQ","FILING_STATUS=MR","SCALING_FORMAT=MLN","Sort=A","Dates=H","DateFormat=P","Fill=—","Direction=H","UseDPDF=Y")</f>
        <v>—</v>
      </c>
      <c r="V59" s="25" t="str">
        <f>_xll.BDH("GILD US Equity","BS_LT_OPERATING_LEASE_LIABS","FQ3 2023","FQ3 2023","Currency=USD","Period=FQ","BEST_FPERIOD_OVERRIDE=FQ","FILING_STATUS=MR","SCALING_FORMAT=MLN","Sort=A","Dates=H","DateFormat=P","Fill=—","Direction=H","UseDPDF=Y")</f>
        <v>—</v>
      </c>
      <c r="W59" s="25">
        <f>_xll.BDH("GILD US Equity","BS_LT_OPERATING_LEASE_LIABS","FQ4 2023","FQ4 2023","Currency=USD","Period=FQ","BEST_FPERIOD_OVERRIDE=FQ","FILING_STATUS=MR","SCALING_FORMAT=MLN","Sort=A","Dates=H","DateFormat=P","Fill=—","Direction=H","UseDPDF=Y")</f>
        <v>546</v>
      </c>
      <c r="X59" s="25" t="str">
        <f>_xll.BDH("GILD US Equity","BS_LT_OPERATING_LEASE_LIABS","FQ1 2024","FQ1 2024","Currency=USD","Period=FQ","BEST_FPERIOD_OVERRIDE=FQ","FILING_STATUS=MR","SCALING_FORMAT=MLN","Sort=A","Dates=H","DateFormat=P","Fill=—","Direction=H","UseDPDF=Y")</f>
        <v>—</v>
      </c>
      <c r="Y59" s="25" t="str">
        <f>_xll.BDH("GILD US Equity","BS_LT_OPERATING_LEASE_LIABS","FQ2 2024","FQ2 2024","Currency=USD","Period=FQ","BEST_FPERIOD_OVERRIDE=FQ","FILING_STATUS=MR","SCALING_FORMAT=MLN","Sort=A","Dates=H","DateFormat=P","Fill=—","Direction=H","UseDPDF=Y")</f>
        <v>—</v>
      </c>
      <c r="Z59" s="25" t="str">
        <f>_xll.BDH("GILD US Equity","BS_LT_OPERATING_LEASE_LIABS","FQ3 2024","FQ3 2024","Currency=USD","Period=FQ","BEST_FPERIOD_OVERRIDE=FQ","FILING_STATUS=MR","SCALING_FORMAT=MLN","Sort=A","Dates=H","DateFormat=P","Fill=—","Direction=H","UseDPDF=Y")</f>
        <v>—</v>
      </c>
      <c r="AA59" s="25">
        <f>_xll.BDH("GILD US Equity","BS_LT_OPERATING_LEASE_LIABS","FQ4 2024","FQ4 2024","Currency=USD","Period=FQ","BEST_FPERIOD_OVERRIDE=FQ","FILING_STATUS=MR","SCALING_FORMAT=MLN","Sort=A","Dates=H","DateFormat=P","Fill=—","Direction=H","UseDPDF=Y")</f>
        <v>498</v>
      </c>
    </row>
    <row r="60" spans="1:27" x14ac:dyDescent="0.25">
      <c r="A60" s="10" t="s">
        <v>839</v>
      </c>
      <c r="B60" s="10" t="s">
        <v>840</v>
      </c>
      <c r="C60" s="13">
        <f>_xll.BDH("GILD US Equity","OTHER_NONCUR_LIABS_SUB_DETAILED","FQ4 2018","FQ4 2018","Currency=USD","Period=FQ","BEST_FPERIOD_OVERRIDE=FQ","FILING_STATUS=MR","SCALING_FORMAT=MLN","Sort=A","Dates=H","DateFormat=P","Fill=—","Direction=H","UseDPDF=Y")</f>
        <v>6962</v>
      </c>
      <c r="D60" s="13">
        <f>_xll.BDH("GILD US Equity","OTHER_NONCUR_LIABS_SUB_DETAILED","FQ1 2019","FQ1 2019","Currency=USD","Period=FQ","BEST_FPERIOD_OVERRIDE=FQ","FILING_STATUS=MR","SCALING_FORMAT=MLN","Sort=A","Dates=H","DateFormat=P","Fill=—","Direction=H","UseDPDF=Y")</f>
        <v>6840</v>
      </c>
      <c r="E60" s="13">
        <f>_xll.BDH("GILD US Equity","OTHER_NONCUR_LIABS_SUB_DETAILED","FQ2 2019","FQ2 2019","Currency=USD","Period=FQ","BEST_FPERIOD_OVERRIDE=FQ","FILING_STATUS=MR","SCALING_FORMAT=MLN","Sort=A","Dates=H","DateFormat=P","Fill=—","Direction=H","UseDPDF=Y")</f>
        <v>6933</v>
      </c>
      <c r="F60" s="13">
        <f>_xll.BDH("GILD US Equity","OTHER_NONCUR_LIABS_SUB_DETAILED","FQ3 2019","FQ3 2019","Currency=USD","Period=FQ","BEST_FPERIOD_OVERRIDE=FQ","FILING_STATUS=MR","SCALING_FORMAT=MLN","Sort=A","Dates=H","DateFormat=P","Fill=—","Direction=H","UseDPDF=Y")</f>
        <v>6134</v>
      </c>
      <c r="G60" s="13">
        <f>_xll.BDH("GILD US Equity","OTHER_NONCUR_LIABS_SUB_DETAILED","FQ4 2019","FQ4 2019","Currency=USD","Period=FQ","BEST_FPERIOD_OVERRIDE=FQ","FILING_STATUS=MR","SCALING_FORMAT=MLN","Sort=A","Dates=H","DateFormat=P","Fill=—","Direction=H","UseDPDF=Y")</f>
        <v>6498</v>
      </c>
      <c r="H60" s="13">
        <f>_xll.BDH("GILD US Equity","OTHER_NONCUR_LIABS_SUB_DETAILED","FQ1 2020","FQ1 2020","Currency=USD","Period=FQ","BEST_FPERIOD_OVERRIDE=FQ","FILING_STATUS=MR","SCALING_FORMAT=MLN","Sort=A","Dates=H","DateFormat=P","Fill=—","Direction=H","UseDPDF=Y")</f>
        <v>6585</v>
      </c>
      <c r="I60" s="13">
        <f>_xll.BDH("GILD US Equity","OTHER_NONCUR_LIABS_SUB_DETAILED","FQ2 2020","FQ2 2020","Currency=USD","Period=FQ","BEST_FPERIOD_OVERRIDE=FQ","FILING_STATUS=MR","SCALING_FORMAT=MLN","Sort=A","Dates=H","DateFormat=P","Fill=—","Direction=H","UseDPDF=Y")</f>
        <v>6125</v>
      </c>
      <c r="J60" s="13">
        <f>_xll.BDH("GILD US Equity","OTHER_NONCUR_LIABS_SUB_DETAILED","FQ3 2020","FQ3 2020","Currency=USD","Period=FQ","BEST_FPERIOD_OVERRIDE=FQ","FILING_STATUS=MR","SCALING_FORMAT=MLN","Sort=A","Dates=H","DateFormat=P","Fill=—","Direction=H","UseDPDF=Y")</f>
        <v>6106</v>
      </c>
      <c r="K60" s="13">
        <f>_xll.BDH("GILD US Equity","OTHER_NONCUR_LIABS_SUB_DETAILED","FQ4 2020","FQ4 2020","Currency=USD","Period=FQ","BEST_FPERIOD_OVERRIDE=FQ","FILING_STATUS=MR","SCALING_FORMAT=MLN","Sort=A","Dates=H","DateFormat=P","Fill=—","Direction=H","UseDPDF=Y")</f>
        <v>9536</v>
      </c>
      <c r="L60" s="13">
        <f>_xll.BDH("GILD US Equity","OTHER_NONCUR_LIABS_SUB_DETAILED","FQ1 2021","FQ1 2021","Currency=USD","Period=FQ","BEST_FPERIOD_OVERRIDE=FQ","FILING_STATUS=MR","SCALING_FORMAT=MLN","Sort=A","Dates=H","DateFormat=P","Fill=—","Direction=H","UseDPDF=Y")</f>
        <v>10916</v>
      </c>
      <c r="M60" s="13">
        <f>_xll.BDH("GILD US Equity","OTHER_NONCUR_LIABS_SUB_DETAILED","FQ2 2021","FQ2 2021","Currency=USD","Period=FQ","BEST_FPERIOD_OVERRIDE=FQ","FILING_STATUS=MR","SCALING_FORMAT=MLN","Sort=A","Dates=H","DateFormat=P","Fill=—","Direction=H","UseDPDF=Y")</f>
        <v>10146</v>
      </c>
      <c r="N60" s="13">
        <f>_xll.BDH("GILD US Equity","OTHER_NONCUR_LIABS_SUB_DETAILED","FQ3 2021","FQ3 2021","Currency=USD","Period=FQ","BEST_FPERIOD_OVERRIDE=FQ","FILING_STATUS=MR","SCALING_FORMAT=MLN","Sort=A","Dates=H","DateFormat=P","Fill=—","Direction=H","UseDPDF=Y")</f>
        <v>10207</v>
      </c>
      <c r="O60" s="13">
        <f>_xll.BDH("GILD US Equity","OTHER_NONCUR_LIABS_SUB_DETAILED","FQ4 2021","FQ4 2021","Currency=USD","Period=FQ","BEST_FPERIOD_OVERRIDE=FQ","FILING_STATUS=MR","SCALING_FORMAT=MLN","Sort=A","Dates=H","DateFormat=P","Fill=—","Direction=H","UseDPDF=Y")</f>
        <v>9610</v>
      </c>
      <c r="P60" s="13">
        <f>_xll.BDH("GILD US Equity","OTHER_NONCUR_LIABS_SUB_DETAILED","FQ1 2022","FQ1 2022","Currency=USD","Period=FQ","BEST_FPERIOD_OVERRIDE=FQ","FILING_STATUS=MR","SCALING_FORMAT=MLN","Sort=A","Dates=H","DateFormat=P","Fill=—","Direction=H","UseDPDF=Y")</f>
        <v>9424</v>
      </c>
      <c r="Q60" s="13">
        <f>_xll.BDH("GILD US Equity","OTHER_NONCUR_LIABS_SUB_DETAILED","FQ2 2022","FQ2 2022","Currency=USD","Period=FQ","BEST_FPERIOD_OVERRIDE=FQ","FILING_STATUS=MR","SCALING_FORMAT=MLN","Sort=A","Dates=H","DateFormat=P","Fill=—","Direction=H","UseDPDF=Y")</f>
        <v>8240</v>
      </c>
      <c r="R60" s="13">
        <f>_xll.BDH("GILD US Equity","OTHER_NONCUR_LIABS_SUB_DETAILED","FQ3 2022","FQ3 2022","Currency=USD","Period=FQ","BEST_FPERIOD_OVERRIDE=FQ","FILING_STATUS=MR","SCALING_FORMAT=MLN","Sort=A","Dates=H","DateFormat=P","Fill=—","Direction=H","UseDPDF=Y")</f>
        <v>8124</v>
      </c>
      <c r="S60" s="13">
        <f>_xll.BDH("GILD US Equity","OTHER_NONCUR_LIABS_SUB_DETAILED","FQ4 2022","FQ4 2022","Currency=USD","Period=FQ","BEST_FPERIOD_OVERRIDE=FQ","FILING_STATUS=MR","SCALING_FORMAT=MLN","Sort=A","Dates=H","DateFormat=P","Fill=—","Direction=H","UseDPDF=Y")</f>
        <v>7301</v>
      </c>
      <c r="T60" s="13">
        <f>_xll.BDH("GILD US Equity","OTHER_NONCUR_LIABS_SUB_DETAILED","FQ1 2023","FQ1 2023","Currency=USD","Period=FQ","BEST_FPERIOD_OVERRIDE=FQ","FILING_STATUS=MR","SCALING_FORMAT=MLN","Sort=A","Dates=H","DateFormat=P","Fill=—","Direction=H","UseDPDF=Y")</f>
        <v>7453</v>
      </c>
      <c r="U60" s="13">
        <f>_xll.BDH("GILD US Equity","OTHER_NONCUR_LIABS_SUB_DETAILED","FQ2 2023","FQ2 2023","Currency=USD","Period=FQ","BEST_FPERIOD_OVERRIDE=FQ","FILING_STATUS=MR","SCALING_FORMAT=MLN","Sort=A","Dates=H","DateFormat=P","Fill=—","Direction=H","UseDPDF=Y")</f>
        <v>6070</v>
      </c>
      <c r="V60" s="13">
        <f>_xll.BDH("GILD US Equity","OTHER_NONCUR_LIABS_SUB_DETAILED","FQ3 2023","FQ3 2023","Currency=USD","Period=FQ","BEST_FPERIOD_OVERRIDE=FQ","FILING_STATUS=MR","SCALING_FORMAT=MLN","Sort=A","Dates=H","DateFormat=P","Fill=—","Direction=H","UseDPDF=Y")</f>
        <v>4996</v>
      </c>
      <c r="W60" s="13">
        <f>_xll.BDH("GILD US Equity","OTHER_NONCUR_LIABS_SUB_DETAILED","FQ4 2023","FQ4 2023","Currency=USD","Period=FQ","BEST_FPERIOD_OVERRIDE=FQ","FILING_STATUS=MR","SCALING_FORMAT=MLN","Sort=A","Dates=H","DateFormat=P","Fill=—","Direction=H","UseDPDF=Y")</f>
        <v>4361</v>
      </c>
      <c r="X60" s="13">
        <f>_xll.BDH("GILD US Equity","OTHER_NONCUR_LIABS_SUB_DETAILED","FQ1 2024","FQ1 2024","Currency=USD","Period=FQ","BEST_FPERIOD_OVERRIDE=FQ","FILING_STATUS=MR","SCALING_FORMAT=MLN","Sort=A","Dates=H","DateFormat=P","Fill=—","Direction=H","UseDPDF=Y")</f>
        <v>4295</v>
      </c>
      <c r="Y60" s="13">
        <f>_xll.BDH("GILD US Equity","OTHER_NONCUR_LIABS_SUB_DETAILED","FQ2 2024","FQ2 2024","Currency=USD","Period=FQ","BEST_FPERIOD_OVERRIDE=FQ","FILING_STATUS=MR","SCALING_FORMAT=MLN","Sort=A","Dates=H","DateFormat=P","Fill=—","Direction=H","UseDPDF=Y")</f>
        <v>3061</v>
      </c>
      <c r="Z60" s="13">
        <f>_xll.BDH("GILD US Equity","OTHER_NONCUR_LIABS_SUB_DETAILED","FQ3 2024","FQ3 2024","Currency=USD","Period=FQ","BEST_FPERIOD_OVERRIDE=FQ","FILING_STATUS=MR","SCALING_FORMAT=MLN","Sort=A","Dates=H","DateFormat=P","Fill=—","Direction=H","UseDPDF=Y")</f>
        <v>2973</v>
      </c>
      <c r="AA60" s="13">
        <f>_xll.BDH("GILD US Equity","OTHER_NONCUR_LIABS_SUB_DETAILED","FQ4 2024","FQ4 2024","Currency=USD","Period=FQ","BEST_FPERIOD_OVERRIDE=FQ","FILING_STATUS=MR","SCALING_FORMAT=MLN","Sort=A","Dates=H","DateFormat=P","Fill=—","Direction=H","UseDPDF=Y")</f>
        <v>2351</v>
      </c>
    </row>
    <row r="61" spans="1:27" x14ac:dyDescent="0.25">
      <c r="A61" s="10" t="s">
        <v>841</v>
      </c>
      <c r="B61" s="10" t="s">
        <v>842</v>
      </c>
      <c r="C61" s="13">
        <f>_xll.BDH("GILD US Equity","BS_ACCRUED_LIABILITIES","FQ4 2018","FQ4 2018","Currency=USD","Period=FQ","BEST_FPERIOD_OVERRIDE=FQ","FILING_STATUS=MR","SCALING_FORMAT=MLN","Sort=A","Dates=H","DateFormat=P","Fill=—","Direction=H","UseDPDF=Y")</f>
        <v>0</v>
      </c>
      <c r="D61" s="13" t="str">
        <f>_xll.BDH("GILD US Equity","BS_ACCRUED_LIABILITIES","FQ1 2019","FQ1 2019","Currency=USD","Period=FQ","BEST_FPERIOD_OVERRIDE=FQ","FILING_STATUS=MR","SCALING_FORMAT=MLN","Sort=A","Dates=H","DateFormat=P","Fill=—","Direction=H","UseDPDF=Y")</f>
        <v>—</v>
      </c>
      <c r="E61" s="13" t="str">
        <f>_xll.BDH("GILD US Equity","BS_ACCRUED_LIABILITIES","FQ2 2019","FQ2 2019","Currency=USD","Period=FQ","BEST_FPERIOD_OVERRIDE=FQ","FILING_STATUS=MR","SCALING_FORMAT=MLN","Sort=A","Dates=H","DateFormat=P","Fill=—","Direction=H","UseDPDF=Y")</f>
        <v>—</v>
      </c>
      <c r="F61" s="13" t="str">
        <f>_xll.BDH("GILD US Equity","BS_ACCRUED_LIABILITIES","FQ3 2019","FQ3 2019","Currency=USD","Period=FQ","BEST_FPERIOD_OVERRIDE=FQ","FILING_STATUS=MR","SCALING_FORMAT=MLN","Sort=A","Dates=H","DateFormat=P","Fill=—","Direction=H","UseDPDF=Y")</f>
        <v>—</v>
      </c>
      <c r="G61" s="13">
        <f>_xll.BDH("GILD US Equity","BS_ACCRUED_LIABILITIES","FQ4 2019","FQ4 2019","Currency=USD","Period=FQ","BEST_FPERIOD_OVERRIDE=FQ","FILING_STATUS=MR","SCALING_FORMAT=MLN","Sort=A","Dates=H","DateFormat=P","Fill=—","Direction=H","UseDPDF=Y")</f>
        <v>0</v>
      </c>
      <c r="H61" s="13" t="str">
        <f>_xll.BDH("GILD US Equity","BS_ACCRUED_LIABILITIES","FQ1 2020","FQ1 2020","Currency=USD","Period=FQ","BEST_FPERIOD_OVERRIDE=FQ","FILING_STATUS=MR","SCALING_FORMAT=MLN","Sort=A","Dates=H","DateFormat=P","Fill=—","Direction=H","UseDPDF=Y")</f>
        <v>—</v>
      </c>
      <c r="I61" s="13" t="str">
        <f>_xll.BDH("GILD US Equity","BS_ACCRUED_LIABILITIES","FQ2 2020","FQ2 2020","Currency=USD","Period=FQ","BEST_FPERIOD_OVERRIDE=FQ","FILING_STATUS=MR","SCALING_FORMAT=MLN","Sort=A","Dates=H","DateFormat=P","Fill=—","Direction=H","UseDPDF=Y")</f>
        <v>—</v>
      </c>
      <c r="J61" s="13" t="str">
        <f>_xll.BDH("GILD US Equity","BS_ACCRUED_LIABILITIES","FQ3 2020","FQ3 2020","Currency=USD","Period=FQ","BEST_FPERIOD_OVERRIDE=FQ","FILING_STATUS=MR","SCALING_FORMAT=MLN","Sort=A","Dates=H","DateFormat=P","Fill=—","Direction=H","UseDPDF=Y")</f>
        <v>—</v>
      </c>
      <c r="K61" s="13">
        <f>_xll.BDH("GILD US Equity","BS_ACCRUED_LIABILITIES","FQ4 2020","FQ4 2020","Currency=USD","Period=FQ","BEST_FPERIOD_OVERRIDE=FQ","FILING_STATUS=MR","SCALING_FORMAT=MLN","Sort=A","Dates=H","DateFormat=P","Fill=—","Direction=H","UseDPDF=Y")</f>
        <v>0</v>
      </c>
      <c r="L61" s="13" t="str">
        <f>_xll.BDH("GILD US Equity","BS_ACCRUED_LIABILITIES","FQ1 2021","FQ1 2021","Currency=USD","Period=FQ","BEST_FPERIOD_OVERRIDE=FQ","FILING_STATUS=MR","SCALING_FORMAT=MLN","Sort=A","Dates=H","DateFormat=P","Fill=—","Direction=H","UseDPDF=Y")</f>
        <v>—</v>
      </c>
      <c r="M61" s="13" t="str">
        <f>_xll.BDH("GILD US Equity","BS_ACCRUED_LIABILITIES","FQ2 2021","FQ2 2021","Currency=USD","Period=FQ","BEST_FPERIOD_OVERRIDE=FQ","FILING_STATUS=MR","SCALING_FORMAT=MLN","Sort=A","Dates=H","DateFormat=P","Fill=—","Direction=H","UseDPDF=Y")</f>
        <v>—</v>
      </c>
      <c r="N61" s="13" t="str">
        <f>_xll.BDH("GILD US Equity","BS_ACCRUED_LIABILITIES","FQ3 2021","FQ3 2021","Currency=USD","Period=FQ","BEST_FPERIOD_OVERRIDE=FQ","FILING_STATUS=MR","SCALING_FORMAT=MLN","Sort=A","Dates=H","DateFormat=P","Fill=—","Direction=H","UseDPDF=Y")</f>
        <v>—</v>
      </c>
      <c r="O61" s="13">
        <f>_xll.BDH("GILD US Equity","BS_ACCRUED_LIABILITIES","FQ4 2021","FQ4 2021","Currency=USD","Period=FQ","BEST_FPERIOD_OVERRIDE=FQ","FILING_STATUS=MR","SCALING_FORMAT=MLN","Sort=A","Dates=H","DateFormat=P","Fill=—","Direction=H","UseDPDF=Y")</f>
        <v>0</v>
      </c>
      <c r="P61" s="13" t="str">
        <f>_xll.BDH("GILD US Equity","BS_ACCRUED_LIABILITIES","FQ1 2022","FQ1 2022","Currency=USD","Period=FQ","BEST_FPERIOD_OVERRIDE=FQ","FILING_STATUS=MR","SCALING_FORMAT=MLN","Sort=A","Dates=H","DateFormat=P","Fill=—","Direction=H","UseDPDF=Y")</f>
        <v>—</v>
      </c>
      <c r="Q61" s="13" t="str">
        <f>_xll.BDH("GILD US Equity","BS_ACCRUED_LIABILITIES","FQ2 2022","FQ2 2022","Currency=USD","Period=FQ","BEST_FPERIOD_OVERRIDE=FQ","FILING_STATUS=MR","SCALING_FORMAT=MLN","Sort=A","Dates=H","DateFormat=P","Fill=—","Direction=H","UseDPDF=Y")</f>
        <v>—</v>
      </c>
      <c r="R61" s="13" t="str">
        <f>_xll.BDH("GILD US Equity","BS_ACCRUED_LIABILITIES","FQ3 2022","FQ3 2022","Currency=USD","Period=FQ","BEST_FPERIOD_OVERRIDE=FQ","FILING_STATUS=MR","SCALING_FORMAT=MLN","Sort=A","Dates=H","DateFormat=P","Fill=—","Direction=H","UseDPDF=Y")</f>
        <v>—</v>
      </c>
      <c r="S61" s="13">
        <f>_xll.BDH("GILD US Equity","BS_ACCRUED_LIABILITIES","FQ4 2022","FQ4 2022","Currency=USD","Period=FQ","BEST_FPERIOD_OVERRIDE=FQ","FILING_STATUS=MR","SCALING_FORMAT=MLN","Sort=A","Dates=H","DateFormat=P","Fill=—","Direction=H","UseDPDF=Y")</f>
        <v>0</v>
      </c>
      <c r="T61" s="13" t="str">
        <f>_xll.BDH("GILD US Equity","BS_ACCRUED_LIABILITIES","FQ1 2023","FQ1 2023","Currency=USD","Period=FQ","BEST_FPERIOD_OVERRIDE=FQ","FILING_STATUS=MR","SCALING_FORMAT=MLN","Sort=A","Dates=H","DateFormat=P","Fill=—","Direction=H","UseDPDF=Y")</f>
        <v>—</v>
      </c>
      <c r="U61" s="13" t="str">
        <f>_xll.BDH("GILD US Equity","BS_ACCRUED_LIABILITIES","FQ2 2023","FQ2 2023","Currency=USD","Period=FQ","BEST_FPERIOD_OVERRIDE=FQ","FILING_STATUS=MR","SCALING_FORMAT=MLN","Sort=A","Dates=H","DateFormat=P","Fill=—","Direction=H","UseDPDF=Y")</f>
        <v>—</v>
      </c>
      <c r="V61" s="13" t="str">
        <f>_xll.BDH("GILD US Equity","BS_ACCRUED_LIABILITIES","FQ3 2023","FQ3 2023","Currency=USD","Period=FQ","BEST_FPERIOD_OVERRIDE=FQ","FILING_STATUS=MR","SCALING_FORMAT=MLN","Sort=A","Dates=H","DateFormat=P","Fill=—","Direction=H","UseDPDF=Y")</f>
        <v>—</v>
      </c>
      <c r="W61" s="13">
        <f>_xll.BDH("GILD US Equity","BS_ACCRUED_LIABILITIES","FQ4 2023","FQ4 2023","Currency=USD","Period=FQ","BEST_FPERIOD_OVERRIDE=FQ","FILING_STATUS=MR","SCALING_FORMAT=MLN","Sort=A","Dates=H","DateFormat=P","Fill=—","Direction=H","UseDPDF=Y")</f>
        <v>0</v>
      </c>
      <c r="X61" s="13" t="str">
        <f>_xll.BDH("GILD US Equity","BS_ACCRUED_LIABILITIES","FQ1 2024","FQ1 2024","Currency=USD","Period=FQ","BEST_FPERIOD_OVERRIDE=FQ","FILING_STATUS=MR","SCALING_FORMAT=MLN","Sort=A","Dates=H","DateFormat=P","Fill=—","Direction=H","UseDPDF=Y")</f>
        <v>—</v>
      </c>
      <c r="Y61" s="13" t="str">
        <f>_xll.BDH("GILD US Equity","BS_ACCRUED_LIABILITIES","FQ2 2024","FQ2 2024","Currency=USD","Period=FQ","BEST_FPERIOD_OVERRIDE=FQ","FILING_STATUS=MR","SCALING_FORMAT=MLN","Sort=A","Dates=H","DateFormat=P","Fill=—","Direction=H","UseDPDF=Y")</f>
        <v>—</v>
      </c>
      <c r="Z61" s="13" t="str">
        <f>_xll.BDH("GILD US Equity","BS_ACCRUED_LIABILITIES","FQ3 2024","FQ3 2024","Currency=USD","Period=FQ","BEST_FPERIOD_OVERRIDE=FQ","FILING_STATUS=MR","SCALING_FORMAT=MLN","Sort=A","Dates=H","DateFormat=P","Fill=—","Direction=H","UseDPDF=Y")</f>
        <v>—</v>
      </c>
      <c r="AA61" s="13">
        <f>_xll.BDH("GILD US Equity","BS_ACCRUED_LIABILITIES","FQ4 2024","FQ4 2024","Currency=USD","Period=FQ","BEST_FPERIOD_OVERRIDE=FQ","FILING_STATUS=MR","SCALING_FORMAT=MLN","Sort=A","Dates=H","DateFormat=P","Fill=—","Direction=H","UseDPDF=Y")</f>
        <v>0</v>
      </c>
    </row>
    <row r="62" spans="1:27" x14ac:dyDescent="0.25">
      <c r="A62" s="10" t="s">
        <v>843</v>
      </c>
      <c r="B62" s="10" t="s">
        <v>844</v>
      </c>
      <c r="C62" s="13">
        <f>_xll.BDH("GILD US Equity","PENSION_LIABILITIES","FQ4 2018","FQ4 2018","Currency=USD","Period=FQ","BEST_FPERIOD_OVERRIDE=FQ","FILING_STATUS=MR","SCALING_FORMAT=MLN","Sort=A","Dates=H","DateFormat=P","Fill=—","Direction=H","UseDPDF=Y")</f>
        <v>0</v>
      </c>
      <c r="D62" s="13" t="str">
        <f>_xll.BDH("GILD US Equity","PENSION_LIABILITIES","FQ1 2019","FQ1 2019","Currency=USD","Period=FQ","BEST_FPERIOD_OVERRIDE=FQ","FILING_STATUS=MR","SCALING_FORMAT=MLN","Sort=A","Dates=H","DateFormat=P","Fill=—","Direction=H","UseDPDF=Y")</f>
        <v>—</v>
      </c>
      <c r="E62" s="13" t="str">
        <f>_xll.BDH("GILD US Equity","PENSION_LIABILITIES","FQ2 2019","FQ2 2019","Currency=USD","Period=FQ","BEST_FPERIOD_OVERRIDE=FQ","FILING_STATUS=MR","SCALING_FORMAT=MLN","Sort=A","Dates=H","DateFormat=P","Fill=—","Direction=H","UseDPDF=Y")</f>
        <v>—</v>
      </c>
      <c r="F62" s="13" t="str">
        <f>_xll.BDH("GILD US Equity","PENSION_LIABILITIES","FQ3 2019","FQ3 2019","Currency=USD","Period=FQ","BEST_FPERIOD_OVERRIDE=FQ","FILING_STATUS=MR","SCALING_FORMAT=MLN","Sort=A","Dates=H","DateFormat=P","Fill=—","Direction=H","UseDPDF=Y")</f>
        <v>—</v>
      </c>
      <c r="G62" s="13">
        <f>_xll.BDH("GILD US Equity","PENSION_LIABILITIES","FQ4 2019","FQ4 2019","Currency=USD","Period=FQ","BEST_FPERIOD_OVERRIDE=FQ","FILING_STATUS=MR","SCALING_FORMAT=MLN","Sort=A","Dates=H","DateFormat=P","Fill=—","Direction=H","UseDPDF=Y")</f>
        <v>0</v>
      </c>
      <c r="H62" s="13" t="str">
        <f>_xll.BDH("GILD US Equity","PENSION_LIABILITIES","FQ1 2020","FQ1 2020","Currency=USD","Period=FQ","BEST_FPERIOD_OVERRIDE=FQ","FILING_STATUS=MR","SCALING_FORMAT=MLN","Sort=A","Dates=H","DateFormat=P","Fill=—","Direction=H","UseDPDF=Y")</f>
        <v>—</v>
      </c>
      <c r="I62" s="13" t="str">
        <f>_xll.BDH("GILD US Equity","PENSION_LIABILITIES","FQ2 2020","FQ2 2020","Currency=USD","Period=FQ","BEST_FPERIOD_OVERRIDE=FQ","FILING_STATUS=MR","SCALING_FORMAT=MLN","Sort=A","Dates=H","DateFormat=P","Fill=—","Direction=H","UseDPDF=Y")</f>
        <v>—</v>
      </c>
      <c r="J62" s="13" t="str">
        <f>_xll.BDH("GILD US Equity","PENSION_LIABILITIES","FQ3 2020","FQ3 2020","Currency=USD","Period=FQ","BEST_FPERIOD_OVERRIDE=FQ","FILING_STATUS=MR","SCALING_FORMAT=MLN","Sort=A","Dates=H","DateFormat=P","Fill=—","Direction=H","UseDPDF=Y")</f>
        <v>—</v>
      </c>
      <c r="K62" s="13">
        <f>_xll.BDH("GILD US Equity","PENSION_LIABILITIES","FQ4 2020","FQ4 2020","Currency=USD","Period=FQ","BEST_FPERIOD_OVERRIDE=FQ","FILING_STATUS=MR","SCALING_FORMAT=MLN","Sort=A","Dates=H","DateFormat=P","Fill=—","Direction=H","UseDPDF=Y")</f>
        <v>0</v>
      </c>
      <c r="L62" s="13" t="str">
        <f>_xll.BDH("GILD US Equity","PENSION_LIABILITIES","FQ1 2021","FQ1 2021","Currency=USD","Period=FQ","BEST_FPERIOD_OVERRIDE=FQ","FILING_STATUS=MR","SCALING_FORMAT=MLN","Sort=A","Dates=H","DateFormat=P","Fill=—","Direction=H","UseDPDF=Y")</f>
        <v>—</v>
      </c>
      <c r="M62" s="13" t="str">
        <f>_xll.BDH("GILD US Equity","PENSION_LIABILITIES","FQ2 2021","FQ2 2021","Currency=USD","Period=FQ","BEST_FPERIOD_OVERRIDE=FQ","FILING_STATUS=MR","SCALING_FORMAT=MLN","Sort=A","Dates=H","DateFormat=P","Fill=—","Direction=H","UseDPDF=Y")</f>
        <v>—</v>
      </c>
      <c r="N62" s="13" t="str">
        <f>_xll.BDH("GILD US Equity","PENSION_LIABILITIES","FQ3 2021","FQ3 2021","Currency=USD","Period=FQ","BEST_FPERIOD_OVERRIDE=FQ","FILING_STATUS=MR","SCALING_FORMAT=MLN","Sort=A","Dates=H","DateFormat=P","Fill=—","Direction=H","UseDPDF=Y")</f>
        <v>—</v>
      </c>
      <c r="O62" s="13">
        <f>_xll.BDH("GILD US Equity","PENSION_LIABILITIES","FQ4 2021","FQ4 2021","Currency=USD","Period=FQ","BEST_FPERIOD_OVERRIDE=FQ","FILING_STATUS=MR","SCALING_FORMAT=MLN","Sort=A","Dates=H","DateFormat=P","Fill=—","Direction=H","UseDPDF=Y")</f>
        <v>0</v>
      </c>
      <c r="P62" s="13" t="str">
        <f>_xll.BDH("GILD US Equity","PENSION_LIABILITIES","FQ1 2022","FQ1 2022","Currency=USD","Period=FQ","BEST_FPERIOD_OVERRIDE=FQ","FILING_STATUS=MR","SCALING_FORMAT=MLN","Sort=A","Dates=H","DateFormat=P","Fill=—","Direction=H","UseDPDF=Y")</f>
        <v>—</v>
      </c>
      <c r="Q62" s="13" t="str">
        <f>_xll.BDH("GILD US Equity","PENSION_LIABILITIES","FQ2 2022","FQ2 2022","Currency=USD","Period=FQ","BEST_FPERIOD_OVERRIDE=FQ","FILING_STATUS=MR","SCALING_FORMAT=MLN","Sort=A","Dates=H","DateFormat=P","Fill=—","Direction=H","UseDPDF=Y")</f>
        <v>—</v>
      </c>
      <c r="R62" s="13" t="str">
        <f>_xll.BDH("GILD US Equity","PENSION_LIABILITIES","FQ3 2022","FQ3 2022","Currency=USD","Period=FQ","BEST_FPERIOD_OVERRIDE=FQ","FILING_STATUS=MR","SCALING_FORMAT=MLN","Sort=A","Dates=H","DateFormat=P","Fill=—","Direction=H","UseDPDF=Y")</f>
        <v>—</v>
      </c>
      <c r="S62" s="13">
        <f>_xll.BDH("GILD US Equity","PENSION_LIABILITIES","FQ4 2022","FQ4 2022","Currency=USD","Period=FQ","BEST_FPERIOD_OVERRIDE=FQ","FILING_STATUS=MR","SCALING_FORMAT=MLN","Sort=A","Dates=H","DateFormat=P","Fill=—","Direction=H","UseDPDF=Y")</f>
        <v>0</v>
      </c>
      <c r="T62" s="13" t="str">
        <f>_xll.BDH("GILD US Equity","PENSION_LIABILITIES","FQ1 2023","FQ1 2023","Currency=USD","Period=FQ","BEST_FPERIOD_OVERRIDE=FQ","FILING_STATUS=MR","SCALING_FORMAT=MLN","Sort=A","Dates=H","DateFormat=P","Fill=—","Direction=H","UseDPDF=Y")</f>
        <v>—</v>
      </c>
      <c r="U62" s="13" t="str">
        <f>_xll.BDH("GILD US Equity","PENSION_LIABILITIES","FQ2 2023","FQ2 2023","Currency=USD","Period=FQ","BEST_FPERIOD_OVERRIDE=FQ","FILING_STATUS=MR","SCALING_FORMAT=MLN","Sort=A","Dates=H","DateFormat=P","Fill=—","Direction=H","UseDPDF=Y")</f>
        <v>—</v>
      </c>
      <c r="V62" s="13" t="str">
        <f>_xll.BDH("GILD US Equity","PENSION_LIABILITIES","FQ3 2023","FQ3 2023","Currency=USD","Period=FQ","BEST_FPERIOD_OVERRIDE=FQ","FILING_STATUS=MR","SCALING_FORMAT=MLN","Sort=A","Dates=H","DateFormat=P","Fill=—","Direction=H","UseDPDF=Y")</f>
        <v>—</v>
      </c>
      <c r="W62" s="13">
        <f>_xll.BDH("GILD US Equity","PENSION_LIABILITIES","FQ4 2023","FQ4 2023","Currency=USD","Period=FQ","BEST_FPERIOD_OVERRIDE=FQ","FILING_STATUS=MR","SCALING_FORMAT=MLN","Sort=A","Dates=H","DateFormat=P","Fill=—","Direction=H","UseDPDF=Y")</f>
        <v>0</v>
      </c>
      <c r="X62" s="13" t="str">
        <f>_xll.BDH("GILD US Equity","PENSION_LIABILITIES","FQ1 2024","FQ1 2024","Currency=USD","Period=FQ","BEST_FPERIOD_OVERRIDE=FQ","FILING_STATUS=MR","SCALING_FORMAT=MLN","Sort=A","Dates=H","DateFormat=P","Fill=—","Direction=H","UseDPDF=Y")</f>
        <v>—</v>
      </c>
      <c r="Y62" s="13" t="str">
        <f>_xll.BDH("GILD US Equity","PENSION_LIABILITIES","FQ2 2024","FQ2 2024","Currency=USD","Period=FQ","BEST_FPERIOD_OVERRIDE=FQ","FILING_STATUS=MR","SCALING_FORMAT=MLN","Sort=A","Dates=H","DateFormat=P","Fill=—","Direction=H","UseDPDF=Y")</f>
        <v>—</v>
      </c>
      <c r="Z62" s="13" t="str">
        <f>_xll.BDH("GILD US Equity","PENSION_LIABILITIES","FQ3 2024","FQ3 2024","Currency=USD","Period=FQ","BEST_FPERIOD_OVERRIDE=FQ","FILING_STATUS=MR","SCALING_FORMAT=MLN","Sort=A","Dates=H","DateFormat=P","Fill=—","Direction=H","UseDPDF=Y")</f>
        <v>—</v>
      </c>
      <c r="AA62" s="13">
        <f>_xll.BDH("GILD US Equity","PENSION_LIABILITIES","FQ4 2024","FQ4 2024","Currency=USD","Period=FQ","BEST_FPERIOD_OVERRIDE=FQ","FILING_STATUS=MR","SCALING_FORMAT=MLN","Sort=A","Dates=H","DateFormat=P","Fill=—","Direction=H","UseDPDF=Y")</f>
        <v>0</v>
      </c>
    </row>
    <row r="63" spans="1:27" x14ac:dyDescent="0.25">
      <c r="A63" s="11" t="s">
        <v>845</v>
      </c>
      <c r="B63" s="11" t="s">
        <v>846</v>
      </c>
      <c r="C63" s="25">
        <f>_xll.BDH("GILD US Equity","BS_PENSIONS_LT_LIABS","FQ4 2018","FQ4 2018","Currency=USD","Period=FQ","BEST_FPERIOD_OVERRIDE=FQ","FILING_STATUS=MR","SCALING_FORMAT=MLN","Sort=A","Dates=H","DateFormat=P","Fill=—","Direction=H","UseDPDF=Y")</f>
        <v>0</v>
      </c>
      <c r="D63" s="25" t="str">
        <f>_xll.BDH("GILD US Equity","BS_PENSIONS_LT_LIABS","FQ1 2019","FQ1 2019","Currency=USD","Period=FQ","BEST_FPERIOD_OVERRIDE=FQ","FILING_STATUS=MR","SCALING_FORMAT=MLN","Sort=A","Dates=H","DateFormat=P","Fill=—","Direction=H","UseDPDF=Y")</f>
        <v>—</v>
      </c>
      <c r="E63" s="25" t="str">
        <f>_xll.BDH("GILD US Equity","BS_PENSIONS_LT_LIABS","FQ2 2019","FQ2 2019","Currency=USD","Period=FQ","BEST_FPERIOD_OVERRIDE=FQ","FILING_STATUS=MR","SCALING_FORMAT=MLN","Sort=A","Dates=H","DateFormat=P","Fill=—","Direction=H","UseDPDF=Y")</f>
        <v>—</v>
      </c>
      <c r="F63" s="25" t="str">
        <f>_xll.BDH("GILD US Equity","BS_PENSIONS_LT_LIABS","FQ3 2019","FQ3 2019","Currency=USD","Period=FQ","BEST_FPERIOD_OVERRIDE=FQ","FILING_STATUS=MR","SCALING_FORMAT=MLN","Sort=A","Dates=H","DateFormat=P","Fill=—","Direction=H","UseDPDF=Y")</f>
        <v>—</v>
      </c>
      <c r="G63" s="25">
        <f>_xll.BDH("GILD US Equity","BS_PENSIONS_LT_LIABS","FQ4 2019","FQ4 2019","Currency=USD","Period=FQ","BEST_FPERIOD_OVERRIDE=FQ","FILING_STATUS=MR","SCALING_FORMAT=MLN","Sort=A","Dates=H","DateFormat=P","Fill=—","Direction=H","UseDPDF=Y")</f>
        <v>0</v>
      </c>
      <c r="H63" s="25" t="str">
        <f>_xll.BDH("GILD US Equity","BS_PENSIONS_LT_LIABS","FQ1 2020","FQ1 2020","Currency=USD","Period=FQ","BEST_FPERIOD_OVERRIDE=FQ","FILING_STATUS=MR","SCALING_FORMAT=MLN","Sort=A","Dates=H","DateFormat=P","Fill=—","Direction=H","UseDPDF=Y")</f>
        <v>—</v>
      </c>
      <c r="I63" s="25" t="str">
        <f>_xll.BDH("GILD US Equity","BS_PENSIONS_LT_LIABS","FQ2 2020","FQ2 2020","Currency=USD","Period=FQ","BEST_FPERIOD_OVERRIDE=FQ","FILING_STATUS=MR","SCALING_FORMAT=MLN","Sort=A","Dates=H","DateFormat=P","Fill=—","Direction=H","UseDPDF=Y")</f>
        <v>—</v>
      </c>
      <c r="J63" s="25" t="str">
        <f>_xll.BDH("GILD US Equity","BS_PENSIONS_LT_LIABS","FQ3 2020","FQ3 2020","Currency=USD","Period=FQ","BEST_FPERIOD_OVERRIDE=FQ","FILING_STATUS=MR","SCALING_FORMAT=MLN","Sort=A","Dates=H","DateFormat=P","Fill=—","Direction=H","UseDPDF=Y")</f>
        <v>—</v>
      </c>
      <c r="K63" s="25">
        <f>_xll.BDH("GILD US Equity","BS_PENSIONS_LT_LIABS","FQ4 2020","FQ4 2020","Currency=USD","Period=FQ","BEST_FPERIOD_OVERRIDE=FQ","FILING_STATUS=MR","SCALING_FORMAT=MLN","Sort=A","Dates=H","DateFormat=P","Fill=—","Direction=H","UseDPDF=Y")</f>
        <v>0</v>
      </c>
      <c r="L63" s="25" t="str">
        <f>_xll.BDH("GILD US Equity","BS_PENSIONS_LT_LIABS","FQ1 2021","FQ1 2021","Currency=USD","Period=FQ","BEST_FPERIOD_OVERRIDE=FQ","FILING_STATUS=MR","SCALING_FORMAT=MLN","Sort=A","Dates=H","DateFormat=P","Fill=—","Direction=H","UseDPDF=Y")</f>
        <v>—</v>
      </c>
      <c r="M63" s="25" t="str">
        <f>_xll.BDH("GILD US Equity","BS_PENSIONS_LT_LIABS","FQ2 2021","FQ2 2021","Currency=USD","Period=FQ","BEST_FPERIOD_OVERRIDE=FQ","FILING_STATUS=MR","SCALING_FORMAT=MLN","Sort=A","Dates=H","DateFormat=P","Fill=—","Direction=H","UseDPDF=Y")</f>
        <v>—</v>
      </c>
      <c r="N63" s="25" t="str">
        <f>_xll.BDH("GILD US Equity","BS_PENSIONS_LT_LIABS","FQ3 2021","FQ3 2021","Currency=USD","Period=FQ","BEST_FPERIOD_OVERRIDE=FQ","FILING_STATUS=MR","SCALING_FORMAT=MLN","Sort=A","Dates=H","DateFormat=P","Fill=—","Direction=H","UseDPDF=Y")</f>
        <v>—</v>
      </c>
      <c r="O63" s="25">
        <f>_xll.BDH("GILD US Equity","BS_PENSIONS_LT_LIABS","FQ4 2021","FQ4 2021","Currency=USD","Period=FQ","BEST_FPERIOD_OVERRIDE=FQ","FILING_STATUS=MR","SCALING_FORMAT=MLN","Sort=A","Dates=H","DateFormat=P","Fill=—","Direction=H","UseDPDF=Y")</f>
        <v>0</v>
      </c>
      <c r="P63" s="25" t="str">
        <f>_xll.BDH("GILD US Equity","BS_PENSIONS_LT_LIABS","FQ1 2022","FQ1 2022","Currency=USD","Period=FQ","BEST_FPERIOD_OVERRIDE=FQ","FILING_STATUS=MR","SCALING_FORMAT=MLN","Sort=A","Dates=H","DateFormat=P","Fill=—","Direction=H","UseDPDF=Y")</f>
        <v>—</v>
      </c>
      <c r="Q63" s="25" t="str">
        <f>_xll.BDH("GILD US Equity","BS_PENSIONS_LT_LIABS","FQ2 2022","FQ2 2022","Currency=USD","Period=FQ","BEST_FPERIOD_OVERRIDE=FQ","FILING_STATUS=MR","SCALING_FORMAT=MLN","Sort=A","Dates=H","DateFormat=P","Fill=—","Direction=H","UseDPDF=Y")</f>
        <v>—</v>
      </c>
      <c r="R63" s="25" t="str">
        <f>_xll.BDH("GILD US Equity","BS_PENSIONS_LT_LIABS","FQ3 2022","FQ3 2022","Currency=USD","Period=FQ","BEST_FPERIOD_OVERRIDE=FQ","FILING_STATUS=MR","SCALING_FORMAT=MLN","Sort=A","Dates=H","DateFormat=P","Fill=—","Direction=H","UseDPDF=Y")</f>
        <v>—</v>
      </c>
      <c r="S63" s="25">
        <f>_xll.BDH("GILD US Equity","BS_PENSIONS_LT_LIABS","FQ4 2022","FQ4 2022","Currency=USD","Period=FQ","BEST_FPERIOD_OVERRIDE=FQ","FILING_STATUS=MR","SCALING_FORMAT=MLN","Sort=A","Dates=H","DateFormat=P","Fill=—","Direction=H","UseDPDF=Y")</f>
        <v>0</v>
      </c>
      <c r="T63" s="25" t="str">
        <f>_xll.BDH("GILD US Equity","BS_PENSIONS_LT_LIABS","FQ1 2023","FQ1 2023","Currency=USD","Period=FQ","BEST_FPERIOD_OVERRIDE=FQ","FILING_STATUS=MR","SCALING_FORMAT=MLN","Sort=A","Dates=H","DateFormat=P","Fill=—","Direction=H","UseDPDF=Y")</f>
        <v>—</v>
      </c>
      <c r="U63" s="25" t="str">
        <f>_xll.BDH("GILD US Equity","BS_PENSIONS_LT_LIABS","FQ2 2023","FQ2 2023","Currency=USD","Period=FQ","BEST_FPERIOD_OVERRIDE=FQ","FILING_STATUS=MR","SCALING_FORMAT=MLN","Sort=A","Dates=H","DateFormat=P","Fill=—","Direction=H","UseDPDF=Y")</f>
        <v>—</v>
      </c>
      <c r="V63" s="25" t="str">
        <f>_xll.BDH("GILD US Equity","BS_PENSIONS_LT_LIABS","FQ3 2023","FQ3 2023","Currency=USD","Period=FQ","BEST_FPERIOD_OVERRIDE=FQ","FILING_STATUS=MR","SCALING_FORMAT=MLN","Sort=A","Dates=H","DateFormat=P","Fill=—","Direction=H","UseDPDF=Y")</f>
        <v>—</v>
      </c>
      <c r="W63" s="25">
        <f>_xll.BDH("GILD US Equity","BS_PENSIONS_LT_LIABS","FQ4 2023","FQ4 2023","Currency=USD","Period=FQ","BEST_FPERIOD_OVERRIDE=FQ","FILING_STATUS=MR","SCALING_FORMAT=MLN","Sort=A","Dates=H","DateFormat=P","Fill=—","Direction=H","UseDPDF=Y")</f>
        <v>0</v>
      </c>
      <c r="X63" s="25" t="str">
        <f>_xll.BDH("GILD US Equity","BS_PENSIONS_LT_LIABS","FQ1 2024","FQ1 2024","Currency=USD","Period=FQ","BEST_FPERIOD_OVERRIDE=FQ","FILING_STATUS=MR","SCALING_FORMAT=MLN","Sort=A","Dates=H","DateFormat=P","Fill=—","Direction=H","UseDPDF=Y")</f>
        <v>—</v>
      </c>
      <c r="Y63" s="25" t="str">
        <f>_xll.BDH("GILD US Equity","BS_PENSIONS_LT_LIABS","FQ2 2024","FQ2 2024","Currency=USD","Period=FQ","BEST_FPERIOD_OVERRIDE=FQ","FILING_STATUS=MR","SCALING_FORMAT=MLN","Sort=A","Dates=H","DateFormat=P","Fill=—","Direction=H","UseDPDF=Y")</f>
        <v>—</v>
      </c>
      <c r="Z63" s="25" t="str">
        <f>_xll.BDH("GILD US Equity","BS_PENSIONS_LT_LIABS","FQ3 2024","FQ3 2024","Currency=USD","Period=FQ","BEST_FPERIOD_OVERRIDE=FQ","FILING_STATUS=MR","SCALING_FORMAT=MLN","Sort=A","Dates=H","DateFormat=P","Fill=—","Direction=H","UseDPDF=Y")</f>
        <v>—</v>
      </c>
      <c r="AA63" s="25">
        <f>_xll.BDH("GILD US Equity","BS_PENSIONS_LT_LIABS","FQ4 2024","FQ4 2024","Currency=USD","Period=FQ","BEST_FPERIOD_OVERRIDE=FQ","FILING_STATUS=MR","SCALING_FORMAT=MLN","Sort=A","Dates=H","DateFormat=P","Fill=—","Direction=H","UseDPDF=Y")</f>
        <v>0</v>
      </c>
    </row>
    <row r="64" spans="1:27" x14ac:dyDescent="0.25">
      <c r="A64" s="11" t="s">
        <v>847</v>
      </c>
      <c r="B64" s="11" t="s">
        <v>848</v>
      </c>
      <c r="C64" s="25">
        <f>_xll.BDH("GILD US Equity","BS_OPRB_LT_LIABS","FQ4 2018","FQ4 2018","Currency=USD","Period=FQ","BEST_FPERIOD_OVERRIDE=FQ","FILING_STATUS=MR","SCALING_FORMAT=MLN","Sort=A","Dates=H","DateFormat=P","Fill=—","Direction=H","UseDPDF=Y")</f>
        <v>0</v>
      </c>
      <c r="D64" s="25" t="str">
        <f>_xll.BDH("GILD US Equity","BS_OPRB_LT_LIABS","FQ1 2019","FQ1 2019","Currency=USD","Period=FQ","BEST_FPERIOD_OVERRIDE=FQ","FILING_STATUS=MR","SCALING_FORMAT=MLN","Sort=A","Dates=H","DateFormat=P","Fill=—","Direction=H","UseDPDF=Y")</f>
        <v>—</v>
      </c>
      <c r="E64" s="25" t="str">
        <f>_xll.BDH("GILD US Equity","BS_OPRB_LT_LIABS","FQ2 2019","FQ2 2019","Currency=USD","Period=FQ","BEST_FPERIOD_OVERRIDE=FQ","FILING_STATUS=MR","SCALING_FORMAT=MLN","Sort=A","Dates=H","DateFormat=P","Fill=—","Direction=H","UseDPDF=Y")</f>
        <v>—</v>
      </c>
      <c r="F64" s="25" t="str">
        <f>_xll.BDH("GILD US Equity","BS_OPRB_LT_LIABS","FQ3 2019","FQ3 2019","Currency=USD","Period=FQ","BEST_FPERIOD_OVERRIDE=FQ","FILING_STATUS=MR","SCALING_FORMAT=MLN","Sort=A","Dates=H","DateFormat=P","Fill=—","Direction=H","UseDPDF=Y")</f>
        <v>—</v>
      </c>
      <c r="G64" s="25">
        <f>_xll.BDH("GILD US Equity","BS_OPRB_LT_LIABS","FQ4 2019","FQ4 2019","Currency=USD","Period=FQ","BEST_FPERIOD_OVERRIDE=FQ","FILING_STATUS=MR","SCALING_FORMAT=MLN","Sort=A","Dates=H","DateFormat=P","Fill=—","Direction=H","UseDPDF=Y")</f>
        <v>0</v>
      </c>
      <c r="H64" s="25" t="str">
        <f>_xll.BDH("GILD US Equity","BS_OPRB_LT_LIABS","FQ1 2020","FQ1 2020","Currency=USD","Period=FQ","BEST_FPERIOD_OVERRIDE=FQ","FILING_STATUS=MR","SCALING_FORMAT=MLN","Sort=A","Dates=H","DateFormat=P","Fill=—","Direction=H","UseDPDF=Y")</f>
        <v>—</v>
      </c>
      <c r="I64" s="25" t="str">
        <f>_xll.BDH("GILD US Equity","BS_OPRB_LT_LIABS","FQ2 2020","FQ2 2020","Currency=USD","Period=FQ","BEST_FPERIOD_OVERRIDE=FQ","FILING_STATUS=MR","SCALING_FORMAT=MLN","Sort=A","Dates=H","DateFormat=P","Fill=—","Direction=H","UseDPDF=Y")</f>
        <v>—</v>
      </c>
      <c r="J64" s="25" t="str">
        <f>_xll.BDH("GILD US Equity","BS_OPRB_LT_LIABS","FQ3 2020","FQ3 2020","Currency=USD","Period=FQ","BEST_FPERIOD_OVERRIDE=FQ","FILING_STATUS=MR","SCALING_FORMAT=MLN","Sort=A","Dates=H","DateFormat=P","Fill=—","Direction=H","UseDPDF=Y")</f>
        <v>—</v>
      </c>
      <c r="K64" s="25">
        <f>_xll.BDH("GILD US Equity","BS_OPRB_LT_LIABS","FQ4 2020","FQ4 2020","Currency=USD","Period=FQ","BEST_FPERIOD_OVERRIDE=FQ","FILING_STATUS=MR","SCALING_FORMAT=MLN","Sort=A","Dates=H","DateFormat=P","Fill=—","Direction=H","UseDPDF=Y")</f>
        <v>0</v>
      </c>
      <c r="L64" s="25" t="str">
        <f>_xll.BDH("GILD US Equity","BS_OPRB_LT_LIABS","FQ1 2021","FQ1 2021","Currency=USD","Period=FQ","BEST_FPERIOD_OVERRIDE=FQ","FILING_STATUS=MR","SCALING_FORMAT=MLN","Sort=A","Dates=H","DateFormat=P","Fill=—","Direction=H","UseDPDF=Y")</f>
        <v>—</v>
      </c>
      <c r="M64" s="25" t="str">
        <f>_xll.BDH("GILD US Equity","BS_OPRB_LT_LIABS","FQ2 2021","FQ2 2021","Currency=USD","Period=FQ","BEST_FPERIOD_OVERRIDE=FQ","FILING_STATUS=MR","SCALING_FORMAT=MLN","Sort=A","Dates=H","DateFormat=P","Fill=—","Direction=H","UseDPDF=Y")</f>
        <v>—</v>
      </c>
      <c r="N64" s="25" t="str">
        <f>_xll.BDH("GILD US Equity","BS_OPRB_LT_LIABS","FQ3 2021","FQ3 2021","Currency=USD","Period=FQ","BEST_FPERIOD_OVERRIDE=FQ","FILING_STATUS=MR","SCALING_FORMAT=MLN","Sort=A","Dates=H","DateFormat=P","Fill=—","Direction=H","UseDPDF=Y")</f>
        <v>—</v>
      </c>
      <c r="O64" s="25">
        <f>_xll.BDH("GILD US Equity","BS_OPRB_LT_LIABS","FQ4 2021","FQ4 2021","Currency=USD","Period=FQ","BEST_FPERIOD_OVERRIDE=FQ","FILING_STATUS=MR","SCALING_FORMAT=MLN","Sort=A","Dates=H","DateFormat=P","Fill=—","Direction=H","UseDPDF=Y")</f>
        <v>0</v>
      </c>
      <c r="P64" s="25" t="str">
        <f>_xll.BDH("GILD US Equity","BS_OPRB_LT_LIABS","FQ1 2022","FQ1 2022","Currency=USD","Period=FQ","BEST_FPERIOD_OVERRIDE=FQ","FILING_STATUS=MR","SCALING_FORMAT=MLN","Sort=A","Dates=H","DateFormat=P","Fill=—","Direction=H","UseDPDF=Y")</f>
        <v>—</v>
      </c>
      <c r="Q64" s="25" t="str">
        <f>_xll.BDH("GILD US Equity","BS_OPRB_LT_LIABS","FQ2 2022","FQ2 2022","Currency=USD","Period=FQ","BEST_FPERIOD_OVERRIDE=FQ","FILING_STATUS=MR","SCALING_FORMAT=MLN","Sort=A","Dates=H","DateFormat=P","Fill=—","Direction=H","UseDPDF=Y")</f>
        <v>—</v>
      </c>
      <c r="R64" s="25" t="str">
        <f>_xll.BDH("GILD US Equity","BS_OPRB_LT_LIABS","FQ3 2022","FQ3 2022","Currency=USD","Period=FQ","BEST_FPERIOD_OVERRIDE=FQ","FILING_STATUS=MR","SCALING_FORMAT=MLN","Sort=A","Dates=H","DateFormat=P","Fill=—","Direction=H","UseDPDF=Y")</f>
        <v>—</v>
      </c>
      <c r="S64" s="25">
        <f>_xll.BDH("GILD US Equity","BS_OPRB_LT_LIABS","FQ4 2022","FQ4 2022","Currency=USD","Period=FQ","BEST_FPERIOD_OVERRIDE=FQ","FILING_STATUS=MR","SCALING_FORMAT=MLN","Sort=A","Dates=H","DateFormat=P","Fill=—","Direction=H","UseDPDF=Y")</f>
        <v>0</v>
      </c>
      <c r="T64" s="25" t="str">
        <f>_xll.BDH("GILD US Equity","BS_OPRB_LT_LIABS","FQ1 2023","FQ1 2023","Currency=USD","Period=FQ","BEST_FPERIOD_OVERRIDE=FQ","FILING_STATUS=MR","SCALING_FORMAT=MLN","Sort=A","Dates=H","DateFormat=P","Fill=—","Direction=H","UseDPDF=Y")</f>
        <v>—</v>
      </c>
      <c r="U64" s="25" t="str">
        <f>_xll.BDH("GILD US Equity","BS_OPRB_LT_LIABS","FQ2 2023","FQ2 2023","Currency=USD","Period=FQ","BEST_FPERIOD_OVERRIDE=FQ","FILING_STATUS=MR","SCALING_FORMAT=MLN","Sort=A","Dates=H","DateFormat=P","Fill=—","Direction=H","UseDPDF=Y")</f>
        <v>—</v>
      </c>
      <c r="V64" s="25" t="str">
        <f>_xll.BDH("GILD US Equity","BS_OPRB_LT_LIABS","FQ3 2023","FQ3 2023","Currency=USD","Period=FQ","BEST_FPERIOD_OVERRIDE=FQ","FILING_STATUS=MR","SCALING_FORMAT=MLN","Sort=A","Dates=H","DateFormat=P","Fill=—","Direction=H","UseDPDF=Y")</f>
        <v>—</v>
      </c>
      <c r="W64" s="25">
        <f>_xll.BDH("GILD US Equity","BS_OPRB_LT_LIABS","FQ4 2023","FQ4 2023","Currency=USD","Period=FQ","BEST_FPERIOD_OVERRIDE=FQ","FILING_STATUS=MR","SCALING_FORMAT=MLN","Sort=A","Dates=H","DateFormat=P","Fill=—","Direction=H","UseDPDF=Y")</f>
        <v>0</v>
      </c>
      <c r="X64" s="25" t="str">
        <f>_xll.BDH("GILD US Equity","BS_OPRB_LT_LIABS","FQ1 2024","FQ1 2024","Currency=USD","Period=FQ","BEST_FPERIOD_OVERRIDE=FQ","FILING_STATUS=MR","SCALING_FORMAT=MLN","Sort=A","Dates=H","DateFormat=P","Fill=—","Direction=H","UseDPDF=Y")</f>
        <v>—</v>
      </c>
      <c r="Y64" s="25" t="str">
        <f>_xll.BDH("GILD US Equity","BS_OPRB_LT_LIABS","FQ2 2024","FQ2 2024","Currency=USD","Period=FQ","BEST_FPERIOD_OVERRIDE=FQ","FILING_STATUS=MR","SCALING_FORMAT=MLN","Sort=A","Dates=H","DateFormat=P","Fill=—","Direction=H","UseDPDF=Y")</f>
        <v>—</v>
      </c>
      <c r="Z64" s="25" t="str">
        <f>_xll.BDH("GILD US Equity","BS_OPRB_LT_LIABS","FQ3 2024","FQ3 2024","Currency=USD","Period=FQ","BEST_FPERIOD_OVERRIDE=FQ","FILING_STATUS=MR","SCALING_FORMAT=MLN","Sort=A","Dates=H","DateFormat=P","Fill=—","Direction=H","UseDPDF=Y")</f>
        <v>—</v>
      </c>
      <c r="AA64" s="25">
        <f>_xll.BDH("GILD US Equity","BS_OPRB_LT_LIABS","FQ4 2024","FQ4 2024","Currency=USD","Period=FQ","BEST_FPERIOD_OVERRIDE=FQ","FILING_STATUS=MR","SCALING_FORMAT=MLN","Sort=A","Dates=H","DateFormat=P","Fill=—","Direction=H","UseDPDF=Y")</f>
        <v>0</v>
      </c>
    </row>
    <row r="65" spans="1:27" x14ac:dyDescent="0.25">
      <c r="A65" s="10" t="s">
        <v>823</v>
      </c>
      <c r="B65" s="10" t="s">
        <v>849</v>
      </c>
      <c r="C65" s="13">
        <f>_xll.BDH("GILD US Equity","LT_DEFERRED_REVENUE","FQ4 2018","FQ4 2018","Currency=USD","Period=FQ","BEST_FPERIOD_OVERRIDE=FQ","FILING_STATUS=MR","SCALING_FORMAT=MLN","Sort=A","Dates=H","DateFormat=P","Fill=—","Direction=H","UseDPDF=Y")</f>
        <v>0</v>
      </c>
      <c r="D65" s="13" t="str">
        <f>_xll.BDH("GILD US Equity","LT_DEFERRED_REVENUE","FQ1 2019","FQ1 2019","Currency=USD","Period=FQ","BEST_FPERIOD_OVERRIDE=FQ","FILING_STATUS=MR","SCALING_FORMAT=MLN","Sort=A","Dates=H","DateFormat=P","Fill=—","Direction=H","UseDPDF=Y")</f>
        <v>—</v>
      </c>
      <c r="E65" s="13" t="str">
        <f>_xll.BDH("GILD US Equity","LT_DEFERRED_REVENUE","FQ2 2019","FQ2 2019","Currency=USD","Period=FQ","BEST_FPERIOD_OVERRIDE=FQ","FILING_STATUS=MR","SCALING_FORMAT=MLN","Sort=A","Dates=H","DateFormat=P","Fill=—","Direction=H","UseDPDF=Y")</f>
        <v>—</v>
      </c>
      <c r="F65" s="13" t="str">
        <f>_xll.BDH("GILD US Equity","LT_DEFERRED_REVENUE","FQ3 2019","FQ3 2019","Currency=USD","Period=FQ","BEST_FPERIOD_OVERRIDE=FQ","FILING_STATUS=MR","SCALING_FORMAT=MLN","Sort=A","Dates=H","DateFormat=P","Fill=—","Direction=H","UseDPDF=Y")</f>
        <v>—</v>
      </c>
      <c r="G65" s="13">
        <f>_xll.BDH("GILD US Equity","LT_DEFERRED_REVENUE","FQ4 2019","FQ4 2019","Currency=USD","Period=FQ","BEST_FPERIOD_OVERRIDE=FQ","FILING_STATUS=MR","SCALING_FORMAT=MLN","Sort=A","Dates=H","DateFormat=P","Fill=—","Direction=H","UseDPDF=Y")</f>
        <v>0</v>
      </c>
      <c r="H65" s="13" t="str">
        <f>_xll.BDH("GILD US Equity","LT_DEFERRED_REVENUE","FQ1 2020","FQ1 2020","Currency=USD","Period=FQ","BEST_FPERIOD_OVERRIDE=FQ","FILING_STATUS=MR","SCALING_FORMAT=MLN","Sort=A","Dates=H","DateFormat=P","Fill=—","Direction=H","UseDPDF=Y")</f>
        <v>—</v>
      </c>
      <c r="I65" s="13" t="str">
        <f>_xll.BDH("GILD US Equity","LT_DEFERRED_REVENUE","FQ2 2020","FQ2 2020","Currency=USD","Period=FQ","BEST_FPERIOD_OVERRIDE=FQ","FILING_STATUS=MR","SCALING_FORMAT=MLN","Sort=A","Dates=H","DateFormat=P","Fill=—","Direction=H","UseDPDF=Y")</f>
        <v>—</v>
      </c>
      <c r="J65" s="13" t="str">
        <f>_xll.BDH("GILD US Equity","LT_DEFERRED_REVENUE","FQ3 2020","FQ3 2020","Currency=USD","Period=FQ","BEST_FPERIOD_OVERRIDE=FQ","FILING_STATUS=MR","SCALING_FORMAT=MLN","Sort=A","Dates=H","DateFormat=P","Fill=—","Direction=H","UseDPDF=Y")</f>
        <v>—</v>
      </c>
      <c r="K65" s="13">
        <f>_xll.BDH("GILD US Equity","LT_DEFERRED_REVENUE","FQ4 2020","FQ4 2020","Currency=USD","Period=FQ","BEST_FPERIOD_OVERRIDE=FQ","FILING_STATUS=MR","SCALING_FORMAT=MLN","Sort=A","Dates=H","DateFormat=P","Fill=—","Direction=H","UseDPDF=Y")</f>
        <v>0</v>
      </c>
      <c r="L65" s="13" t="str">
        <f>_xll.BDH("GILD US Equity","LT_DEFERRED_REVENUE","FQ1 2021","FQ1 2021","Currency=USD","Period=FQ","BEST_FPERIOD_OVERRIDE=FQ","FILING_STATUS=MR","SCALING_FORMAT=MLN","Sort=A","Dates=H","DateFormat=P","Fill=—","Direction=H","UseDPDF=Y")</f>
        <v>—</v>
      </c>
      <c r="M65" s="13" t="str">
        <f>_xll.BDH("GILD US Equity","LT_DEFERRED_REVENUE","FQ2 2021","FQ2 2021","Currency=USD","Period=FQ","BEST_FPERIOD_OVERRIDE=FQ","FILING_STATUS=MR","SCALING_FORMAT=MLN","Sort=A","Dates=H","DateFormat=P","Fill=—","Direction=H","UseDPDF=Y")</f>
        <v>—</v>
      </c>
      <c r="N65" s="13" t="str">
        <f>_xll.BDH("GILD US Equity","LT_DEFERRED_REVENUE","FQ3 2021","FQ3 2021","Currency=USD","Period=FQ","BEST_FPERIOD_OVERRIDE=FQ","FILING_STATUS=MR","SCALING_FORMAT=MLN","Sort=A","Dates=H","DateFormat=P","Fill=—","Direction=H","UseDPDF=Y")</f>
        <v>—</v>
      </c>
      <c r="O65" s="13">
        <f>_xll.BDH("GILD US Equity","LT_DEFERRED_REVENUE","FQ4 2021","FQ4 2021","Currency=USD","Period=FQ","BEST_FPERIOD_OVERRIDE=FQ","FILING_STATUS=MR","SCALING_FORMAT=MLN","Sort=A","Dates=H","DateFormat=P","Fill=—","Direction=H","UseDPDF=Y")</f>
        <v>0</v>
      </c>
      <c r="P65" s="13" t="str">
        <f>_xll.BDH("GILD US Equity","LT_DEFERRED_REVENUE","FQ1 2022","FQ1 2022","Currency=USD","Period=FQ","BEST_FPERIOD_OVERRIDE=FQ","FILING_STATUS=MR","SCALING_FORMAT=MLN","Sort=A","Dates=H","DateFormat=P","Fill=—","Direction=H","UseDPDF=Y")</f>
        <v>—</v>
      </c>
      <c r="Q65" s="13" t="str">
        <f>_xll.BDH("GILD US Equity","LT_DEFERRED_REVENUE","FQ2 2022","FQ2 2022","Currency=USD","Period=FQ","BEST_FPERIOD_OVERRIDE=FQ","FILING_STATUS=MR","SCALING_FORMAT=MLN","Sort=A","Dates=H","DateFormat=P","Fill=—","Direction=H","UseDPDF=Y")</f>
        <v>—</v>
      </c>
      <c r="R65" s="13" t="str">
        <f>_xll.BDH("GILD US Equity","LT_DEFERRED_REVENUE","FQ3 2022","FQ3 2022","Currency=USD","Period=FQ","BEST_FPERIOD_OVERRIDE=FQ","FILING_STATUS=MR","SCALING_FORMAT=MLN","Sort=A","Dates=H","DateFormat=P","Fill=—","Direction=H","UseDPDF=Y")</f>
        <v>—</v>
      </c>
      <c r="S65" s="13">
        <f>_xll.BDH("GILD US Equity","LT_DEFERRED_REVENUE","FQ4 2022","FQ4 2022","Currency=USD","Period=FQ","BEST_FPERIOD_OVERRIDE=FQ","FILING_STATUS=MR","SCALING_FORMAT=MLN","Sort=A","Dates=H","DateFormat=P","Fill=—","Direction=H","UseDPDF=Y")</f>
        <v>0</v>
      </c>
      <c r="T65" s="13" t="str">
        <f>_xll.BDH("GILD US Equity","LT_DEFERRED_REVENUE","FQ1 2023","FQ1 2023","Currency=USD","Period=FQ","BEST_FPERIOD_OVERRIDE=FQ","FILING_STATUS=MR","SCALING_FORMAT=MLN","Sort=A","Dates=H","DateFormat=P","Fill=—","Direction=H","UseDPDF=Y")</f>
        <v>—</v>
      </c>
      <c r="U65" s="13" t="str">
        <f>_xll.BDH("GILD US Equity","LT_DEFERRED_REVENUE","FQ2 2023","FQ2 2023","Currency=USD","Period=FQ","BEST_FPERIOD_OVERRIDE=FQ","FILING_STATUS=MR","SCALING_FORMAT=MLN","Sort=A","Dates=H","DateFormat=P","Fill=—","Direction=H","UseDPDF=Y")</f>
        <v>—</v>
      </c>
      <c r="V65" s="13" t="str">
        <f>_xll.BDH("GILD US Equity","LT_DEFERRED_REVENUE","FQ3 2023","FQ3 2023","Currency=USD","Period=FQ","BEST_FPERIOD_OVERRIDE=FQ","FILING_STATUS=MR","SCALING_FORMAT=MLN","Sort=A","Dates=H","DateFormat=P","Fill=—","Direction=H","UseDPDF=Y")</f>
        <v>—</v>
      </c>
      <c r="W65" s="13" t="str">
        <f>_xll.BDH("GILD US Equity","LT_DEFERRED_REVENUE","FQ4 2023","FQ4 2023","Currency=USD","Period=FQ","BEST_FPERIOD_OVERRIDE=FQ","FILING_STATUS=MR","SCALING_FORMAT=MLN","Sort=A","Dates=H","DateFormat=P","Fill=—","Direction=H","UseDPDF=Y")</f>
        <v>—</v>
      </c>
      <c r="X65" s="13" t="str">
        <f>_xll.BDH("GILD US Equity","LT_DEFERRED_REVENUE","FQ1 2024","FQ1 2024","Currency=USD","Period=FQ","BEST_FPERIOD_OVERRIDE=FQ","FILING_STATUS=MR","SCALING_FORMAT=MLN","Sort=A","Dates=H","DateFormat=P","Fill=—","Direction=H","UseDPDF=Y")</f>
        <v>—</v>
      </c>
      <c r="Y65" s="13" t="str">
        <f>_xll.BDH("GILD US Equity","LT_DEFERRED_REVENUE","FQ2 2024","FQ2 2024","Currency=USD","Period=FQ","BEST_FPERIOD_OVERRIDE=FQ","FILING_STATUS=MR","SCALING_FORMAT=MLN","Sort=A","Dates=H","DateFormat=P","Fill=—","Direction=H","UseDPDF=Y")</f>
        <v>—</v>
      </c>
      <c r="Z65" s="13" t="str">
        <f>_xll.BDH("GILD US Equity","LT_DEFERRED_REVENUE","FQ3 2024","FQ3 2024","Currency=USD","Period=FQ","BEST_FPERIOD_OVERRIDE=FQ","FILING_STATUS=MR","SCALING_FORMAT=MLN","Sort=A","Dates=H","DateFormat=P","Fill=—","Direction=H","UseDPDF=Y")</f>
        <v>—</v>
      </c>
      <c r="AA65" s="13">
        <f>_xll.BDH("GILD US Equity","LT_DEFERRED_REVENUE","FQ4 2024","FQ4 2024","Currency=USD","Period=FQ","BEST_FPERIOD_OVERRIDE=FQ","FILING_STATUS=MR","SCALING_FORMAT=MLN","Sort=A","Dates=H","DateFormat=P","Fill=—","Direction=H","UseDPDF=Y")</f>
        <v>0</v>
      </c>
    </row>
    <row r="66" spans="1:27" x14ac:dyDescent="0.25">
      <c r="A66" s="10" t="s">
        <v>850</v>
      </c>
      <c r="B66" s="10" t="s">
        <v>851</v>
      </c>
      <c r="C66" s="13" t="str">
        <f>_xll.BDH("GILD US Equity","BS_DEFERRED_TAX_LIABILITIES_LT","FQ4 2018","FQ4 2018","Currency=USD","Period=FQ","BEST_FPERIOD_OVERRIDE=FQ","FILING_STATUS=MR","SCALING_FORMAT=MLN","Sort=A","Dates=H","DateFormat=P","Fill=—","Direction=H","UseDPDF=Y")</f>
        <v>—</v>
      </c>
      <c r="D66" s="13" t="str">
        <f>_xll.BDH("GILD US Equity","BS_DEFERRED_TAX_LIABILITIES_LT","FQ1 2019","FQ1 2019","Currency=USD","Period=FQ","BEST_FPERIOD_OVERRIDE=FQ","FILING_STATUS=MR","SCALING_FORMAT=MLN","Sort=A","Dates=H","DateFormat=P","Fill=—","Direction=H","UseDPDF=Y")</f>
        <v>—</v>
      </c>
      <c r="E66" s="13" t="str">
        <f>_xll.BDH("GILD US Equity","BS_DEFERRED_TAX_LIABILITIES_LT","FQ2 2019","FQ2 2019","Currency=USD","Period=FQ","BEST_FPERIOD_OVERRIDE=FQ","FILING_STATUS=MR","SCALING_FORMAT=MLN","Sort=A","Dates=H","DateFormat=P","Fill=—","Direction=H","UseDPDF=Y")</f>
        <v>—</v>
      </c>
      <c r="F66" s="13" t="str">
        <f>_xll.BDH("GILD US Equity","BS_DEFERRED_TAX_LIABILITIES_LT","FQ3 2019","FQ3 2019","Currency=USD","Period=FQ","BEST_FPERIOD_OVERRIDE=FQ","FILING_STATUS=MR","SCALING_FORMAT=MLN","Sort=A","Dates=H","DateFormat=P","Fill=—","Direction=H","UseDPDF=Y")</f>
        <v>—</v>
      </c>
      <c r="G66" s="13" t="str">
        <f>_xll.BDH("GILD US Equity","BS_DEFERRED_TAX_LIABILITIES_LT","FQ4 2019","FQ4 2019","Currency=USD","Period=FQ","BEST_FPERIOD_OVERRIDE=FQ","FILING_STATUS=MR","SCALING_FORMAT=MLN","Sort=A","Dates=H","DateFormat=P","Fill=—","Direction=H","UseDPDF=Y")</f>
        <v>—</v>
      </c>
      <c r="H66" s="13" t="str">
        <f>_xll.BDH("GILD US Equity","BS_DEFERRED_TAX_LIABILITIES_LT","FQ1 2020","FQ1 2020","Currency=USD","Period=FQ","BEST_FPERIOD_OVERRIDE=FQ","FILING_STATUS=MR","SCALING_FORMAT=MLN","Sort=A","Dates=H","DateFormat=P","Fill=—","Direction=H","UseDPDF=Y")</f>
        <v>—</v>
      </c>
      <c r="I66" s="13" t="str">
        <f>_xll.BDH("GILD US Equity","BS_DEFERRED_TAX_LIABILITIES_LT","FQ2 2020","FQ2 2020","Currency=USD","Period=FQ","BEST_FPERIOD_OVERRIDE=FQ","FILING_STATUS=MR","SCALING_FORMAT=MLN","Sort=A","Dates=H","DateFormat=P","Fill=—","Direction=H","UseDPDF=Y")</f>
        <v>—</v>
      </c>
      <c r="J66" s="13" t="str">
        <f>_xll.BDH("GILD US Equity","BS_DEFERRED_TAX_LIABILITIES_LT","FQ3 2020","FQ3 2020","Currency=USD","Period=FQ","BEST_FPERIOD_OVERRIDE=FQ","FILING_STATUS=MR","SCALING_FORMAT=MLN","Sort=A","Dates=H","DateFormat=P","Fill=—","Direction=H","UseDPDF=Y")</f>
        <v>—</v>
      </c>
      <c r="K66" s="13">
        <f>_xll.BDH("GILD US Equity","BS_DEFERRED_TAX_LIABILITIES_LT","FQ4 2020","FQ4 2020","Currency=USD","Period=FQ","BEST_FPERIOD_OVERRIDE=FQ","FILING_STATUS=MR","SCALING_FORMAT=MLN","Sort=A","Dates=H","DateFormat=P","Fill=—","Direction=H","UseDPDF=Y")</f>
        <v>3914</v>
      </c>
      <c r="L66" s="13">
        <f>_xll.BDH("GILD US Equity","BS_DEFERRED_TAX_LIABILITIES_LT","FQ1 2021","FQ1 2021","Currency=USD","Period=FQ","BEST_FPERIOD_OVERRIDE=FQ","FILING_STATUS=MR","SCALING_FORMAT=MLN","Sort=A","Dates=H","DateFormat=P","Fill=—","Direction=H","UseDPDF=Y")</f>
        <v>4464</v>
      </c>
      <c r="M66" s="13">
        <f>_xll.BDH("GILD US Equity","BS_DEFERRED_TAX_LIABILITIES_LT","FQ2 2021","FQ2 2021","Currency=USD","Period=FQ","BEST_FPERIOD_OVERRIDE=FQ","FILING_STATUS=MR","SCALING_FORMAT=MLN","Sort=A","Dates=H","DateFormat=P","Fill=—","Direction=H","UseDPDF=Y")</f>
        <v>4374</v>
      </c>
      <c r="N66" s="13">
        <f>_xll.BDH("GILD US Equity","BS_DEFERRED_TAX_LIABILITIES_LT","FQ3 2021","FQ3 2021","Currency=USD","Period=FQ","BEST_FPERIOD_OVERRIDE=FQ","FILING_STATUS=MR","SCALING_FORMAT=MLN","Sort=A","Dates=H","DateFormat=P","Fill=—","Direction=H","UseDPDF=Y")</f>
        <v>4603</v>
      </c>
      <c r="O66" s="13">
        <f>_xll.BDH("GILD US Equity","BS_DEFERRED_TAX_LIABILITIES_LT","FQ4 2021","FQ4 2021","Currency=USD","Period=FQ","BEST_FPERIOD_OVERRIDE=FQ","FILING_STATUS=MR","SCALING_FORMAT=MLN","Sort=A","Dates=H","DateFormat=P","Fill=—","Direction=H","UseDPDF=Y")</f>
        <v>4356</v>
      </c>
      <c r="P66" s="13">
        <f>_xll.BDH("GILD US Equity","BS_DEFERRED_TAX_LIABILITIES_LT","FQ1 2022","FQ1 2022","Currency=USD","Period=FQ","BEST_FPERIOD_OVERRIDE=FQ","FILING_STATUS=MR","SCALING_FORMAT=MLN","Sort=A","Dates=H","DateFormat=P","Fill=—","Direction=H","UseDPDF=Y")</f>
        <v>3687</v>
      </c>
      <c r="Q66" s="13">
        <f>_xll.BDH("GILD US Equity","BS_DEFERRED_TAX_LIABILITIES_LT","FQ2 2022","FQ2 2022","Currency=USD","Period=FQ","BEST_FPERIOD_OVERRIDE=FQ","FILING_STATUS=MR","SCALING_FORMAT=MLN","Sort=A","Dates=H","DateFormat=P","Fill=—","Direction=H","UseDPDF=Y")</f>
        <v>3364</v>
      </c>
      <c r="R66" s="13">
        <f>_xll.BDH("GILD US Equity","BS_DEFERRED_TAX_LIABILITIES_LT","FQ3 2022","FQ3 2022","Currency=USD","Period=FQ","BEST_FPERIOD_OVERRIDE=FQ","FILING_STATUS=MR","SCALING_FORMAT=MLN","Sort=A","Dates=H","DateFormat=P","Fill=—","Direction=H","UseDPDF=Y")</f>
        <v>3036</v>
      </c>
      <c r="S66" s="13">
        <f>_xll.BDH("GILD US Equity","BS_DEFERRED_TAX_LIABILITIES_LT","FQ4 2022","FQ4 2022","Currency=USD","Period=FQ","BEST_FPERIOD_OVERRIDE=FQ","FILING_STATUS=MR","SCALING_FORMAT=MLN","Sort=A","Dates=H","DateFormat=P","Fill=—","Direction=H","UseDPDF=Y")</f>
        <v>2673</v>
      </c>
      <c r="T66" s="13">
        <f>_xll.BDH("GILD US Equity","BS_DEFERRED_TAX_LIABILITIES_LT","FQ1 2023","FQ1 2023","Currency=USD","Period=FQ","BEST_FPERIOD_OVERRIDE=FQ","FILING_STATUS=MR","SCALING_FORMAT=MLN","Sort=A","Dates=H","DateFormat=P","Fill=—","Direction=H","UseDPDF=Y")</f>
        <v>2401</v>
      </c>
      <c r="U66" s="13">
        <f>_xll.BDH("GILD US Equity","BS_DEFERRED_TAX_LIABILITIES_LT","FQ2 2023","FQ2 2023","Currency=USD","Period=FQ","BEST_FPERIOD_OVERRIDE=FQ","FILING_STATUS=MR","SCALING_FORMAT=MLN","Sort=A","Dates=H","DateFormat=P","Fill=—","Direction=H","UseDPDF=Y")</f>
        <v>2106</v>
      </c>
      <c r="V66" s="13">
        <f>_xll.BDH("GILD US Equity","BS_DEFERRED_TAX_LIABILITIES_LT","FQ3 2023","FQ3 2023","Currency=USD","Period=FQ","BEST_FPERIOD_OVERRIDE=FQ","FILING_STATUS=MR","SCALING_FORMAT=MLN","Sort=A","Dates=H","DateFormat=P","Fill=—","Direction=H","UseDPDF=Y")</f>
        <v>1984</v>
      </c>
      <c r="W66" s="13">
        <f>_xll.BDH("GILD US Equity","BS_DEFERRED_TAX_LIABILITIES_LT","FQ4 2023","FQ4 2023","Currency=USD","Period=FQ","BEST_FPERIOD_OVERRIDE=FQ","FILING_STATUS=MR","SCALING_FORMAT=MLN","Sort=A","Dates=H","DateFormat=P","Fill=—","Direction=H","UseDPDF=Y")</f>
        <v>1588</v>
      </c>
      <c r="X66" s="13">
        <f>_xll.BDH("GILD US Equity","BS_DEFERRED_TAX_LIABILITIES_LT","FQ1 2024","FQ1 2024","Currency=USD","Period=FQ","BEST_FPERIOD_OVERRIDE=FQ","FILING_STATUS=MR","SCALING_FORMAT=MLN","Sort=A","Dates=H","DateFormat=P","Fill=—","Direction=H","UseDPDF=Y")</f>
        <v>933</v>
      </c>
      <c r="Y66" s="13">
        <f>_xll.BDH("GILD US Equity","BS_DEFERRED_TAX_LIABILITIES_LT","FQ2 2024","FQ2 2024","Currency=USD","Period=FQ","BEST_FPERIOD_OVERRIDE=FQ","FILING_STATUS=MR","SCALING_FORMAT=MLN","Sort=A","Dates=H","DateFormat=P","Fill=—","Direction=H","UseDPDF=Y")</f>
        <v>907</v>
      </c>
      <c r="Z66" s="13">
        <f>_xll.BDH("GILD US Equity","BS_DEFERRED_TAX_LIABILITIES_LT","FQ3 2024","FQ3 2024","Currency=USD","Period=FQ","BEST_FPERIOD_OVERRIDE=FQ","FILING_STATUS=MR","SCALING_FORMAT=MLN","Sort=A","Dates=H","DateFormat=P","Fill=—","Direction=H","UseDPDF=Y")</f>
        <v>794</v>
      </c>
      <c r="AA66" s="13">
        <f>_xll.BDH("GILD US Equity","BS_DEFERRED_TAX_LIABILITIES_LT","FQ4 2024","FQ4 2024","Currency=USD","Period=FQ","BEST_FPERIOD_OVERRIDE=FQ","FILING_STATUS=MR","SCALING_FORMAT=MLN","Sort=A","Dates=H","DateFormat=P","Fill=—","Direction=H","UseDPDF=Y")</f>
        <v>724</v>
      </c>
    </row>
    <row r="67" spans="1:27" x14ac:dyDescent="0.25">
      <c r="A67" s="10" t="s">
        <v>825</v>
      </c>
      <c r="B67" s="10" t="s">
        <v>852</v>
      </c>
      <c r="C67" s="13">
        <f>_xll.BDH("GILD US Equity","BS_DERIV_HEDGING_LIAB_LT","FQ4 2018","FQ4 2018","Currency=USD","Period=FQ","BEST_FPERIOD_OVERRIDE=FQ","FILING_STATUS=MR","SCALING_FORMAT=MLN","Sort=A","Dates=H","DateFormat=P","Fill=—","Direction=H","UseDPDF=Y")</f>
        <v>0</v>
      </c>
      <c r="D67" s="13">
        <f>_xll.BDH("GILD US Equity","BS_DERIV_HEDGING_LIAB_LT","FQ1 2019","FQ1 2019","Currency=USD","Period=FQ","BEST_FPERIOD_OVERRIDE=FQ","FILING_STATUS=MR","SCALING_FORMAT=MLN","Sort=A","Dates=H","DateFormat=P","Fill=—","Direction=H","UseDPDF=Y")</f>
        <v>1</v>
      </c>
      <c r="E67" s="13">
        <f>_xll.BDH("GILD US Equity","BS_DERIV_HEDGING_LIAB_LT","FQ2 2019","FQ2 2019","Currency=USD","Period=FQ","BEST_FPERIOD_OVERRIDE=FQ","FILING_STATUS=MR","SCALING_FORMAT=MLN","Sort=A","Dates=H","DateFormat=P","Fill=—","Direction=H","UseDPDF=Y")</f>
        <v>2</v>
      </c>
      <c r="F67" s="13">
        <f>_xll.BDH("GILD US Equity","BS_DERIV_HEDGING_LIAB_LT","FQ3 2019","FQ3 2019","Currency=USD","Period=FQ","BEST_FPERIOD_OVERRIDE=FQ","FILING_STATUS=MR","SCALING_FORMAT=MLN","Sort=A","Dates=H","DateFormat=P","Fill=—","Direction=H","UseDPDF=Y")</f>
        <v>0</v>
      </c>
      <c r="G67" s="13">
        <f>_xll.BDH("GILD US Equity","BS_DERIV_HEDGING_LIAB_LT","FQ4 2019","FQ4 2019","Currency=USD","Period=FQ","BEST_FPERIOD_OVERRIDE=FQ","FILING_STATUS=MR","SCALING_FORMAT=MLN","Sort=A","Dates=H","DateFormat=P","Fill=—","Direction=H","UseDPDF=Y")</f>
        <v>2</v>
      </c>
      <c r="H67" s="13">
        <f>_xll.BDH("GILD US Equity","BS_DERIV_HEDGING_LIAB_LT","FQ1 2020","FQ1 2020","Currency=USD","Period=FQ","BEST_FPERIOD_OVERRIDE=FQ","FILING_STATUS=MR","SCALING_FORMAT=MLN","Sort=A","Dates=H","DateFormat=P","Fill=—","Direction=H","UseDPDF=Y")</f>
        <v>1</v>
      </c>
      <c r="I67" s="13">
        <f>_xll.BDH("GILD US Equity","BS_DERIV_HEDGING_LIAB_LT","FQ2 2020","FQ2 2020","Currency=USD","Period=FQ","BEST_FPERIOD_OVERRIDE=FQ","FILING_STATUS=MR","SCALING_FORMAT=MLN","Sort=A","Dates=H","DateFormat=P","Fill=—","Direction=H","UseDPDF=Y")</f>
        <v>5</v>
      </c>
      <c r="J67" s="13">
        <f>_xll.BDH("GILD US Equity","BS_DERIV_HEDGING_LIAB_LT","FQ3 2020","FQ3 2020","Currency=USD","Period=FQ","BEST_FPERIOD_OVERRIDE=FQ","FILING_STATUS=MR","SCALING_FORMAT=MLN","Sort=A","Dates=H","DateFormat=P","Fill=—","Direction=H","UseDPDF=Y")</f>
        <v>5</v>
      </c>
      <c r="K67" s="13">
        <f>_xll.BDH("GILD US Equity","BS_DERIV_HEDGING_LIAB_LT","FQ4 2020","FQ4 2020","Currency=USD","Period=FQ","BEST_FPERIOD_OVERRIDE=FQ","FILING_STATUS=MR","SCALING_FORMAT=MLN","Sort=A","Dates=H","DateFormat=P","Fill=—","Direction=H","UseDPDF=Y")</f>
        <v>7</v>
      </c>
      <c r="L67" s="13">
        <f>_xll.BDH("GILD US Equity","BS_DERIV_HEDGING_LIAB_LT","FQ1 2021","FQ1 2021","Currency=USD","Period=FQ","BEST_FPERIOD_OVERRIDE=FQ","FILING_STATUS=MR","SCALING_FORMAT=MLN","Sort=A","Dates=H","DateFormat=P","Fill=—","Direction=H","UseDPDF=Y")</f>
        <v>0</v>
      </c>
      <c r="M67" s="13">
        <f>_xll.BDH("GILD US Equity","BS_DERIV_HEDGING_LIAB_LT","FQ2 2021","FQ2 2021","Currency=USD","Period=FQ","BEST_FPERIOD_OVERRIDE=FQ","FILING_STATUS=MR","SCALING_FORMAT=MLN","Sort=A","Dates=H","DateFormat=P","Fill=—","Direction=H","UseDPDF=Y")</f>
        <v>0</v>
      </c>
      <c r="N67" s="13">
        <f>_xll.BDH("GILD US Equity","BS_DERIV_HEDGING_LIAB_LT","FQ3 2021","FQ3 2021","Currency=USD","Period=FQ","BEST_FPERIOD_OVERRIDE=FQ","FILING_STATUS=MR","SCALING_FORMAT=MLN","Sort=A","Dates=H","DateFormat=P","Fill=—","Direction=H","UseDPDF=Y")</f>
        <v>0</v>
      </c>
      <c r="O67" s="13">
        <f>_xll.BDH("GILD US Equity","BS_DERIV_HEDGING_LIAB_LT","FQ4 2021","FQ4 2021","Currency=USD","Period=FQ","BEST_FPERIOD_OVERRIDE=FQ","FILING_STATUS=MR","SCALING_FORMAT=MLN","Sort=A","Dates=H","DateFormat=P","Fill=—","Direction=H","UseDPDF=Y")</f>
        <v>1</v>
      </c>
      <c r="P67" s="13">
        <f>_xll.BDH("GILD US Equity","BS_DERIV_HEDGING_LIAB_LT","FQ1 2022","FQ1 2022","Currency=USD","Period=FQ","BEST_FPERIOD_OVERRIDE=FQ","FILING_STATUS=MR","SCALING_FORMAT=MLN","Sort=A","Dates=H","DateFormat=P","Fill=—","Direction=H","UseDPDF=Y")</f>
        <v>6</v>
      </c>
      <c r="Q67" s="13">
        <f>_xll.BDH("GILD US Equity","BS_DERIV_HEDGING_LIAB_LT","FQ2 2022","FQ2 2022","Currency=USD","Period=FQ","BEST_FPERIOD_OVERRIDE=FQ","FILING_STATUS=MR","SCALING_FORMAT=MLN","Sort=A","Dates=H","DateFormat=P","Fill=—","Direction=H","UseDPDF=Y")</f>
        <v>0</v>
      </c>
      <c r="R67" s="13">
        <f>_xll.BDH("GILD US Equity","BS_DERIV_HEDGING_LIAB_LT","FQ3 2022","FQ3 2022","Currency=USD","Period=FQ","BEST_FPERIOD_OVERRIDE=FQ","FILING_STATUS=MR","SCALING_FORMAT=MLN","Sort=A","Dates=H","DateFormat=P","Fill=—","Direction=H","UseDPDF=Y")</f>
        <v>2</v>
      </c>
      <c r="S67" s="13">
        <f>_xll.BDH("GILD US Equity","BS_DERIV_HEDGING_LIAB_LT","FQ4 2022","FQ4 2022","Currency=USD","Period=FQ","BEST_FPERIOD_OVERRIDE=FQ","FILING_STATUS=MR","SCALING_FORMAT=MLN","Sort=A","Dates=H","DateFormat=P","Fill=—","Direction=H","UseDPDF=Y")</f>
        <v>9</v>
      </c>
      <c r="T67" s="13" t="str">
        <f>_xll.BDH("GILD US Equity","BS_DERIV_HEDGING_LIAB_LT","FQ1 2023","FQ1 2023","Currency=USD","Period=FQ","BEST_FPERIOD_OVERRIDE=FQ","FILING_STATUS=MR","SCALING_FORMAT=MLN","Sort=A","Dates=H","DateFormat=P","Fill=—","Direction=H","UseDPDF=Y")</f>
        <v>—</v>
      </c>
      <c r="U67" s="13" t="str">
        <f>_xll.BDH("GILD US Equity","BS_DERIV_HEDGING_LIAB_LT","FQ2 2023","FQ2 2023","Currency=USD","Period=FQ","BEST_FPERIOD_OVERRIDE=FQ","FILING_STATUS=MR","SCALING_FORMAT=MLN","Sort=A","Dates=H","DateFormat=P","Fill=—","Direction=H","UseDPDF=Y")</f>
        <v>—</v>
      </c>
      <c r="V67" s="13">
        <f>_xll.BDH("GILD US Equity","BS_DERIV_HEDGING_LIAB_LT","FQ3 2023","FQ3 2023","Currency=USD","Period=FQ","BEST_FPERIOD_OVERRIDE=FQ","FILING_STATUS=MR","SCALING_FORMAT=MLN","Sort=A","Dates=H","DateFormat=P","Fill=—","Direction=H","UseDPDF=Y")</f>
        <v>0</v>
      </c>
      <c r="W67" s="13">
        <f>_xll.BDH("GILD US Equity","BS_DERIV_HEDGING_LIAB_LT","FQ4 2023","FQ4 2023","Currency=USD","Period=FQ","BEST_FPERIOD_OVERRIDE=FQ","FILING_STATUS=MR","SCALING_FORMAT=MLN","Sort=A","Dates=H","DateFormat=P","Fill=—","Direction=H","UseDPDF=Y")</f>
        <v>7</v>
      </c>
      <c r="X67" s="13" t="str">
        <f>_xll.BDH("GILD US Equity","BS_DERIV_HEDGING_LIAB_LT","FQ1 2024","FQ1 2024","Currency=USD","Period=FQ","BEST_FPERIOD_OVERRIDE=FQ","FILING_STATUS=MR","SCALING_FORMAT=MLN","Sort=A","Dates=H","DateFormat=P","Fill=—","Direction=H","UseDPDF=Y")</f>
        <v>—</v>
      </c>
      <c r="Y67" s="13" t="str">
        <f>_xll.BDH("GILD US Equity","BS_DERIV_HEDGING_LIAB_LT","FQ2 2024","FQ2 2024","Currency=USD","Period=FQ","BEST_FPERIOD_OVERRIDE=FQ","FILING_STATUS=MR","SCALING_FORMAT=MLN","Sort=A","Dates=H","DateFormat=P","Fill=—","Direction=H","UseDPDF=Y")</f>
        <v>—</v>
      </c>
      <c r="Z67" s="13">
        <f>_xll.BDH("GILD US Equity","BS_DERIV_HEDGING_LIAB_LT","FQ3 2024","FQ3 2024","Currency=USD","Period=FQ","BEST_FPERIOD_OVERRIDE=FQ","FILING_STATUS=MR","SCALING_FORMAT=MLN","Sort=A","Dates=H","DateFormat=P","Fill=—","Direction=H","UseDPDF=Y")</f>
        <v>6</v>
      </c>
      <c r="AA67" s="13">
        <f>_xll.BDH("GILD US Equity","BS_DERIV_HEDGING_LIAB_LT","FQ4 2024","FQ4 2024","Currency=USD","Period=FQ","BEST_FPERIOD_OVERRIDE=FQ","FILING_STATUS=MR","SCALING_FORMAT=MLN","Sort=A","Dates=H","DateFormat=P","Fill=—","Direction=H","UseDPDF=Y")</f>
        <v>3</v>
      </c>
    </row>
    <row r="68" spans="1:27" x14ac:dyDescent="0.25">
      <c r="A68" s="10" t="s">
        <v>853</v>
      </c>
      <c r="B68" s="10" t="s">
        <v>854</v>
      </c>
      <c r="C68" s="13">
        <f>_xll.BDH("GILD US Equity","OTHER_NONCURRENT_LIABS_DETAILED","FQ4 2018","FQ4 2018","Currency=USD","Period=FQ","BEST_FPERIOD_OVERRIDE=FQ","FILING_STATUS=MR","SCALING_FORMAT=MLN","Sort=A","Dates=H","DateFormat=P","Fill=—","Direction=H","UseDPDF=Y")</f>
        <v>6962</v>
      </c>
      <c r="D68" s="13">
        <f>_xll.BDH("GILD US Equity","OTHER_NONCURRENT_LIABS_DETAILED","FQ1 2019","FQ1 2019","Currency=USD","Period=FQ","BEST_FPERIOD_OVERRIDE=FQ","FILING_STATUS=MR","SCALING_FORMAT=MLN","Sort=A","Dates=H","DateFormat=P","Fill=—","Direction=H","UseDPDF=Y")</f>
        <v>6839</v>
      </c>
      <c r="E68" s="13">
        <f>_xll.BDH("GILD US Equity","OTHER_NONCURRENT_LIABS_DETAILED","FQ2 2019","FQ2 2019","Currency=USD","Period=FQ","BEST_FPERIOD_OVERRIDE=FQ","FILING_STATUS=MR","SCALING_FORMAT=MLN","Sort=A","Dates=H","DateFormat=P","Fill=—","Direction=H","UseDPDF=Y")</f>
        <v>6931</v>
      </c>
      <c r="F68" s="13">
        <f>_xll.BDH("GILD US Equity","OTHER_NONCURRENT_LIABS_DETAILED","FQ3 2019","FQ3 2019","Currency=USD","Period=FQ","BEST_FPERIOD_OVERRIDE=FQ","FILING_STATUS=MR","SCALING_FORMAT=MLN","Sort=A","Dates=H","DateFormat=P","Fill=—","Direction=H","UseDPDF=Y")</f>
        <v>6134</v>
      </c>
      <c r="G68" s="13">
        <f>_xll.BDH("GILD US Equity","OTHER_NONCURRENT_LIABS_DETAILED","FQ4 2019","FQ4 2019","Currency=USD","Period=FQ","BEST_FPERIOD_OVERRIDE=FQ","FILING_STATUS=MR","SCALING_FORMAT=MLN","Sort=A","Dates=H","DateFormat=P","Fill=—","Direction=H","UseDPDF=Y")</f>
        <v>6496</v>
      </c>
      <c r="H68" s="13">
        <f>_xll.BDH("GILD US Equity","OTHER_NONCURRENT_LIABS_DETAILED","FQ1 2020","FQ1 2020","Currency=USD","Period=FQ","BEST_FPERIOD_OVERRIDE=FQ","FILING_STATUS=MR","SCALING_FORMAT=MLN","Sort=A","Dates=H","DateFormat=P","Fill=—","Direction=H","UseDPDF=Y")</f>
        <v>6584</v>
      </c>
      <c r="I68" s="13">
        <f>_xll.BDH("GILD US Equity","OTHER_NONCURRENT_LIABS_DETAILED","FQ2 2020","FQ2 2020","Currency=USD","Period=FQ","BEST_FPERIOD_OVERRIDE=FQ","FILING_STATUS=MR","SCALING_FORMAT=MLN","Sort=A","Dates=H","DateFormat=P","Fill=—","Direction=H","UseDPDF=Y")</f>
        <v>6120</v>
      </c>
      <c r="J68" s="13">
        <f>_xll.BDH("GILD US Equity","OTHER_NONCURRENT_LIABS_DETAILED","FQ3 2020","FQ3 2020","Currency=USD","Period=FQ","BEST_FPERIOD_OVERRIDE=FQ","FILING_STATUS=MR","SCALING_FORMAT=MLN","Sort=A","Dates=H","DateFormat=P","Fill=—","Direction=H","UseDPDF=Y")</f>
        <v>6101</v>
      </c>
      <c r="K68" s="13">
        <f>_xll.BDH("GILD US Equity","OTHER_NONCURRENT_LIABS_DETAILED","FQ4 2020","FQ4 2020","Currency=USD","Period=FQ","BEST_FPERIOD_OVERRIDE=FQ","FILING_STATUS=MR","SCALING_FORMAT=MLN","Sort=A","Dates=H","DateFormat=P","Fill=—","Direction=H","UseDPDF=Y")</f>
        <v>5615</v>
      </c>
      <c r="L68" s="13">
        <f>_xll.BDH("GILD US Equity","OTHER_NONCURRENT_LIABS_DETAILED","FQ1 2021","FQ1 2021","Currency=USD","Period=FQ","BEST_FPERIOD_OVERRIDE=FQ","FILING_STATUS=MR","SCALING_FORMAT=MLN","Sort=A","Dates=H","DateFormat=P","Fill=—","Direction=H","UseDPDF=Y")</f>
        <v>6452</v>
      </c>
      <c r="M68" s="13">
        <f>_xll.BDH("GILD US Equity","OTHER_NONCURRENT_LIABS_DETAILED","FQ2 2021","FQ2 2021","Currency=USD","Period=FQ","BEST_FPERIOD_OVERRIDE=FQ","FILING_STATUS=MR","SCALING_FORMAT=MLN","Sort=A","Dates=H","DateFormat=P","Fill=—","Direction=H","UseDPDF=Y")</f>
        <v>5772</v>
      </c>
      <c r="N68" s="13">
        <f>_xll.BDH("GILD US Equity","OTHER_NONCURRENT_LIABS_DETAILED","FQ3 2021","FQ3 2021","Currency=USD","Period=FQ","BEST_FPERIOD_OVERRIDE=FQ","FILING_STATUS=MR","SCALING_FORMAT=MLN","Sort=A","Dates=H","DateFormat=P","Fill=—","Direction=H","UseDPDF=Y")</f>
        <v>5604</v>
      </c>
      <c r="O68" s="13">
        <f>_xll.BDH("GILD US Equity","OTHER_NONCURRENT_LIABS_DETAILED","FQ4 2021","FQ4 2021","Currency=USD","Period=FQ","BEST_FPERIOD_OVERRIDE=FQ","FILING_STATUS=MR","SCALING_FORMAT=MLN","Sort=A","Dates=H","DateFormat=P","Fill=—","Direction=H","UseDPDF=Y")</f>
        <v>5253</v>
      </c>
      <c r="P68" s="13">
        <f>_xll.BDH("GILD US Equity","OTHER_NONCURRENT_LIABS_DETAILED","FQ1 2022","FQ1 2022","Currency=USD","Period=FQ","BEST_FPERIOD_OVERRIDE=FQ","FILING_STATUS=MR","SCALING_FORMAT=MLN","Sort=A","Dates=H","DateFormat=P","Fill=—","Direction=H","UseDPDF=Y")</f>
        <v>5731</v>
      </c>
      <c r="Q68" s="13">
        <f>_xll.BDH("GILD US Equity","OTHER_NONCURRENT_LIABS_DETAILED","FQ2 2022","FQ2 2022","Currency=USD","Period=FQ","BEST_FPERIOD_OVERRIDE=FQ","FILING_STATUS=MR","SCALING_FORMAT=MLN","Sort=A","Dates=H","DateFormat=P","Fill=—","Direction=H","UseDPDF=Y")</f>
        <v>4876</v>
      </c>
      <c r="R68" s="13">
        <f>_xll.BDH("GILD US Equity","OTHER_NONCURRENT_LIABS_DETAILED","FQ3 2022","FQ3 2022","Currency=USD","Period=FQ","BEST_FPERIOD_OVERRIDE=FQ","FILING_STATUS=MR","SCALING_FORMAT=MLN","Sort=A","Dates=H","DateFormat=P","Fill=—","Direction=H","UseDPDF=Y")</f>
        <v>5086</v>
      </c>
      <c r="S68" s="13">
        <f>_xll.BDH("GILD US Equity","OTHER_NONCURRENT_LIABS_DETAILED","FQ4 2022","FQ4 2022","Currency=USD","Period=FQ","BEST_FPERIOD_OVERRIDE=FQ","FILING_STATUS=MR","SCALING_FORMAT=MLN","Sort=A","Dates=H","DateFormat=P","Fill=—","Direction=H","UseDPDF=Y")</f>
        <v>4619</v>
      </c>
      <c r="T68" s="13">
        <f>_xll.BDH("GILD US Equity","OTHER_NONCURRENT_LIABS_DETAILED","FQ1 2023","FQ1 2023","Currency=USD","Period=FQ","BEST_FPERIOD_OVERRIDE=FQ","FILING_STATUS=MR","SCALING_FORMAT=MLN","Sort=A","Dates=H","DateFormat=P","Fill=—","Direction=H","UseDPDF=Y")</f>
        <v>5052</v>
      </c>
      <c r="U68" s="13">
        <f>_xll.BDH("GILD US Equity","OTHER_NONCURRENT_LIABS_DETAILED","FQ2 2023","FQ2 2023","Currency=USD","Period=FQ","BEST_FPERIOD_OVERRIDE=FQ","FILING_STATUS=MR","SCALING_FORMAT=MLN","Sort=A","Dates=H","DateFormat=P","Fill=—","Direction=H","UseDPDF=Y")</f>
        <v>3964</v>
      </c>
      <c r="V68" s="13">
        <f>_xll.BDH("GILD US Equity","OTHER_NONCURRENT_LIABS_DETAILED","FQ3 2023","FQ3 2023","Currency=USD","Period=FQ","BEST_FPERIOD_OVERRIDE=FQ","FILING_STATUS=MR","SCALING_FORMAT=MLN","Sort=A","Dates=H","DateFormat=P","Fill=—","Direction=H","UseDPDF=Y")</f>
        <v>3012</v>
      </c>
      <c r="W68" s="13">
        <f>_xll.BDH("GILD US Equity","OTHER_NONCURRENT_LIABS_DETAILED","FQ4 2023","FQ4 2023","Currency=USD","Period=FQ","BEST_FPERIOD_OVERRIDE=FQ","FILING_STATUS=MR","SCALING_FORMAT=MLN","Sort=A","Dates=H","DateFormat=P","Fill=—","Direction=H","UseDPDF=Y")</f>
        <v>2766</v>
      </c>
      <c r="X68" s="13">
        <f>_xll.BDH("GILD US Equity","OTHER_NONCURRENT_LIABS_DETAILED","FQ1 2024","FQ1 2024","Currency=USD","Period=FQ","BEST_FPERIOD_OVERRIDE=FQ","FILING_STATUS=MR","SCALING_FORMAT=MLN","Sort=A","Dates=H","DateFormat=P","Fill=—","Direction=H","UseDPDF=Y")</f>
        <v>3362</v>
      </c>
      <c r="Y68" s="13">
        <f>_xll.BDH("GILD US Equity","OTHER_NONCURRENT_LIABS_DETAILED","FQ2 2024","FQ2 2024","Currency=USD","Period=FQ","BEST_FPERIOD_OVERRIDE=FQ","FILING_STATUS=MR","SCALING_FORMAT=MLN","Sort=A","Dates=H","DateFormat=P","Fill=—","Direction=H","UseDPDF=Y")</f>
        <v>2154</v>
      </c>
      <c r="Z68" s="13">
        <f>_xll.BDH("GILD US Equity","OTHER_NONCURRENT_LIABS_DETAILED","FQ3 2024","FQ3 2024","Currency=USD","Period=FQ","BEST_FPERIOD_OVERRIDE=FQ","FILING_STATUS=MR","SCALING_FORMAT=MLN","Sort=A","Dates=H","DateFormat=P","Fill=—","Direction=H","UseDPDF=Y")</f>
        <v>2173</v>
      </c>
      <c r="AA68" s="13">
        <f>_xll.BDH("GILD US Equity","OTHER_NONCURRENT_LIABS_DETAILED","FQ4 2024","FQ4 2024","Currency=USD","Period=FQ","BEST_FPERIOD_OVERRIDE=FQ","FILING_STATUS=MR","SCALING_FORMAT=MLN","Sort=A","Dates=H","DateFormat=P","Fill=—","Direction=H","UseDPDF=Y")</f>
        <v>1624</v>
      </c>
    </row>
    <row r="69" spans="1:27" x14ac:dyDescent="0.25">
      <c r="A69" s="6" t="s">
        <v>855</v>
      </c>
      <c r="B69" s="6" t="s">
        <v>856</v>
      </c>
      <c r="C69" s="19">
        <f>_xll.BDH("GILD US Equity","NON_CUR_LIAB","FQ4 2018","FQ4 2018","Currency=USD","Period=FQ","BEST_FPERIOD_OVERRIDE=FQ","FILING_STATUS=MR","SCALING_FORMAT=MLN","Sort=A","Dates=H","DateFormat=P","Fill=—","Direction=H","UseDPDF=Y")</f>
        <v>31536</v>
      </c>
      <c r="D69" s="19">
        <f>_xll.BDH("GILD US Equity","NON_CUR_LIAB","FQ1 2019","FQ1 2019","Currency=USD","Period=FQ","BEST_FPERIOD_OVERRIDE=FQ","FILING_STATUS=MR","SCALING_FORMAT=MLN","Sort=A","Dates=H","DateFormat=P","Fill=—","Direction=H","UseDPDF=Y")</f>
        <v>31349</v>
      </c>
      <c r="E69" s="19">
        <f>_xll.BDH("GILD US Equity","NON_CUR_LIAB","FQ2 2019","FQ2 2019","Currency=USD","Period=FQ","BEST_FPERIOD_OVERRIDE=FQ","FILING_STATUS=MR","SCALING_FORMAT=MLN","Sort=A","Dates=H","DateFormat=P","Fill=—","Direction=H","UseDPDF=Y")</f>
        <v>31498</v>
      </c>
      <c r="F69" s="19">
        <f>_xll.BDH("GILD US Equity","NON_CUR_LIAB","FQ3 2019","FQ3 2019","Currency=USD","Period=FQ","BEST_FPERIOD_OVERRIDE=FQ","FILING_STATUS=MR","SCALING_FORMAT=MLN","Sort=A","Dates=H","DateFormat=P","Fill=—","Direction=H","UseDPDF=Y")</f>
        <v>28843</v>
      </c>
      <c r="G69" s="19">
        <f>_xll.BDH("GILD US Equity","NON_CUR_LIAB","FQ4 2019","FQ4 2019","Currency=USD","Period=FQ","BEST_FPERIOD_OVERRIDE=FQ","FILING_STATUS=MR","SCALING_FORMAT=MLN","Sort=A","Dates=H","DateFormat=P","Fill=—","Direction=H","UseDPDF=Y")</f>
        <v>29218</v>
      </c>
      <c r="H69" s="19">
        <f>_xll.BDH("GILD US Equity","NON_CUR_LIAB","FQ1 2020","FQ1 2020","Currency=USD","Period=FQ","BEST_FPERIOD_OVERRIDE=FQ","FILING_STATUS=MR","SCALING_FORMAT=MLN","Sort=A","Dates=H","DateFormat=P","Fill=—","Direction=H","UseDPDF=Y")</f>
        <v>28683</v>
      </c>
      <c r="I69" s="19">
        <f>_xll.BDH("GILD US Equity","NON_CUR_LIAB","FQ2 2020","FQ2 2020","Currency=USD","Period=FQ","BEST_FPERIOD_OVERRIDE=FQ","FILING_STATUS=MR","SCALING_FORMAT=MLN","Sort=A","Dates=H","DateFormat=P","Fill=—","Direction=H","UseDPDF=Y")</f>
        <v>27228</v>
      </c>
      <c r="J69" s="19">
        <f>_xll.BDH("GILD US Equity","NON_CUR_LIAB","FQ3 2020","FQ3 2020","Currency=USD","Period=FQ","BEST_FPERIOD_OVERRIDE=FQ","FILING_STATUS=MR","SCALING_FORMAT=MLN","Sort=A","Dates=H","DateFormat=P","Fill=—","Direction=H","UseDPDF=Y")</f>
        <v>33898</v>
      </c>
      <c r="K69" s="19">
        <f>_xll.BDH("GILD US Equity","NON_CUR_LIAB","FQ4 2020","FQ4 2020","Currency=USD","Period=FQ","BEST_FPERIOD_OVERRIDE=FQ","FILING_STATUS=MR","SCALING_FORMAT=MLN","Sort=A","Dates=H","DateFormat=P","Fill=—","Direction=H","UseDPDF=Y")</f>
        <v>38789</v>
      </c>
      <c r="L69" s="19">
        <f>_xll.BDH("GILD US Equity","NON_CUR_LIAB","FQ1 2021","FQ1 2021","Currency=USD","Period=FQ","BEST_FPERIOD_OVERRIDE=FQ","FILING_STATUS=MR","SCALING_FORMAT=MLN","Sort=A","Dates=H","DateFormat=P","Fill=—","Direction=H","UseDPDF=Y")</f>
        <v>38823</v>
      </c>
      <c r="M69" s="19">
        <f>_xll.BDH("GILD US Equity","NON_CUR_LIAB","FQ2 2021","FQ2 2021","Currency=USD","Period=FQ","BEST_FPERIOD_OVERRIDE=FQ","FILING_STATUS=MR","SCALING_FORMAT=MLN","Sort=A","Dates=H","DateFormat=P","Fill=—","Direction=H","UseDPDF=Y")</f>
        <v>38060</v>
      </c>
      <c r="N69" s="19">
        <f>_xll.BDH("GILD US Equity","NON_CUR_LIAB","FQ3 2021","FQ3 2021","Currency=USD","Period=FQ","BEST_FPERIOD_OVERRIDE=FQ","FILING_STATUS=MR","SCALING_FORMAT=MLN","Sort=A","Dates=H","DateFormat=P","Fill=—","Direction=H","UseDPDF=Y")</f>
        <v>35382</v>
      </c>
      <c r="O69" s="19">
        <f>_xll.BDH("GILD US Equity","NON_CUR_LIAB","FQ4 2021","FQ4 2021","Currency=USD","Period=FQ","BEST_FPERIOD_OVERRIDE=FQ","FILING_STATUS=MR","SCALING_FORMAT=MLN","Sort=A","Dates=H","DateFormat=P","Fill=—","Direction=H","UseDPDF=Y")</f>
        <v>35278</v>
      </c>
      <c r="P69" s="19">
        <f>_xll.BDH("GILD US Equity","NON_CUR_LIAB","FQ1 2022","FQ1 2022","Currency=USD","Period=FQ","BEST_FPERIOD_OVERRIDE=FQ","FILING_STATUS=MR","SCALING_FORMAT=MLN","Sort=A","Dates=H","DateFormat=P","Fill=—","Direction=H","UseDPDF=Y")</f>
        <v>34607</v>
      </c>
      <c r="Q69" s="19">
        <f>_xll.BDH("GILD US Equity","NON_CUR_LIAB","FQ2 2022","FQ2 2022","Currency=USD","Period=FQ","BEST_FPERIOD_OVERRIDE=FQ","FILING_STATUS=MR","SCALING_FORMAT=MLN","Sort=A","Dates=H","DateFormat=P","Fill=—","Direction=H","UseDPDF=Y")</f>
        <v>33435</v>
      </c>
      <c r="R69" s="19">
        <f>_xll.BDH("GILD US Equity","NON_CUR_LIAB","FQ3 2022","FQ3 2022","Currency=USD","Period=FQ","BEST_FPERIOD_OVERRIDE=FQ","FILING_STATUS=MR","SCALING_FORMAT=MLN","Sort=A","Dates=H","DateFormat=P","Fill=—","Direction=H","UseDPDF=Y")</f>
        <v>31077</v>
      </c>
      <c r="S69" s="19">
        <f>_xll.BDH("GILD US Equity","NON_CUR_LIAB","FQ4 2022","FQ4 2022","Currency=USD","Period=FQ","BEST_FPERIOD_OVERRIDE=FQ","FILING_STATUS=MR","SCALING_FORMAT=MLN","Sort=A","Dates=H","DateFormat=P","Fill=—","Direction=H","UseDPDF=Y")</f>
        <v>30725</v>
      </c>
      <c r="T69" s="19">
        <f>_xll.BDH("GILD US Equity","NON_CUR_LIAB","FQ1 2023","FQ1 2023","Currency=USD","Period=FQ","BEST_FPERIOD_OVERRIDE=FQ","FILING_STATUS=MR","SCALING_FORMAT=MLN","Sort=A","Dates=H","DateFormat=P","Fill=—","Direction=H","UseDPDF=Y")</f>
        <v>30409</v>
      </c>
      <c r="U69" s="19">
        <f>_xll.BDH("GILD US Equity","NON_CUR_LIAB","FQ2 2023","FQ2 2023","Currency=USD","Period=FQ","BEST_FPERIOD_OVERRIDE=FQ","FILING_STATUS=MR","SCALING_FORMAT=MLN","Sort=A","Dates=H","DateFormat=P","Fill=—","Direction=H","UseDPDF=Y")</f>
        <v>27279</v>
      </c>
      <c r="V69" s="19">
        <f>_xll.BDH("GILD US Equity","NON_CUR_LIAB","FQ3 2023","FQ3 2023","Currency=USD","Period=FQ","BEST_FPERIOD_OVERRIDE=FQ","FILING_STATUS=MR","SCALING_FORMAT=MLN","Sort=A","Dates=H","DateFormat=P","Fill=—","Direction=H","UseDPDF=Y")</f>
        <v>28185</v>
      </c>
      <c r="W69" s="19">
        <f>_xll.BDH("GILD US Equity","NON_CUR_LIAB","FQ4 2023","FQ4 2023","Currency=USD","Period=FQ","BEST_FPERIOD_OVERRIDE=FQ","FILING_STATUS=MR","SCALING_FORMAT=MLN","Sort=A","Dates=H","DateFormat=P","Fill=—","Direction=H","UseDPDF=Y")</f>
        <v>28096</v>
      </c>
      <c r="X69" s="19">
        <f>_xll.BDH("GILD US Equity","NON_CUR_LIAB","FQ1 2024","FQ1 2024","Currency=USD","Period=FQ","BEST_FPERIOD_OVERRIDE=FQ","FILING_STATUS=MR","SCALING_FORMAT=MLN","Sort=A","Dates=H","DateFormat=P","Fill=—","Direction=H","UseDPDF=Y")</f>
        <v>25822</v>
      </c>
      <c r="Y69" s="19">
        <f>_xll.BDH("GILD US Equity","NON_CUR_LIAB","FQ2 2024","FQ2 2024","Currency=USD","Period=FQ","BEST_FPERIOD_OVERRIDE=FQ","FILING_STATUS=MR","SCALING_FORMAT=MLN","Sort=A","Dates=H","DateFormat=P","Fill=—","Direction=H","UseDPDF=Y")</f>
        <v>24601</v>
      </c>
      <c r="Z69" s="19">
        <f>_xll.BDH("GILD US Equity","NON_CUR_LIAB","FQ3 2024","FQ3 2024","Currency=USD","Period=FQ","BEST_FPERIOD_OVERRIDE=FQ","FILING_STATUS=MR","SCALING_FORMAT=MLN","Sort=A","Dates=H","DateFormat=P","Fill=—","Direction=H","UseDPDF=Y")</f>
        <v>24410</v>
      </c>
      <c r="AA69" s="19">
        <f>_xll.BDH("GILD US Equity","NON_CUR_LIAB","FQ4 2024","FQ4 2024","Currency=USD","Period=FQ","BEST_FPERIOD_OVERRIDE=FQ","FILING_STATUS=MR","SCALING_FORMAT=MLN","Sort=A","Dates=H","DateFormat=P","Fill=—","Direction=H","UseDPDF=Y")</f>
        <v>27745</v>
      </c>
    </row>
    <row r="70" spans="1:27" x14ac:dyDescent="0.25">
      <c r="A70" s="6" t="s">
        <v>116</v>
      </c>
      <c r="B70" s="6" t="s">
        <v>117</v>
      </c>
      <c r="C70" s="19">
        <f>_xll.BDH("GILD US Equity","BS_TOT_LIAB2","FQ4 2018","FQ4 2018","Currency=USD","Period=FQ","BEST_FPERIOD_OVERRIDE=FQ","FILING_STATUS=MR","SCALING_FORMAT=MLN","Sort=A","Dates=H","DateFormat=P","Fill=—","Direction=H","UseDPDF=Y")</f>
        <v>42141</v>
      </c>
      <c r="D70" s="19">
        <f>_xll.BDH("GILD US Equity","BS_TOT_LIAB2","FQ1 2019","FQ1 2019","Currency=USD","Period=FQ","BEST_FPERIOD_OVERRIDE=FQ","FILING_STATUS=MR","SCALING_FORMAT=MLN","Sort=A","Dates=H","DateFormat=P","Fill=—","Direction=H","UseDPDF=Y")</f>
        <v>40746</v>
      </c>
      <c r="E70" s="19">
        <f>_xll.BDH("GILD US Equity","BS_TOT_LIAB2","FQ2 2019","FQ2 2019","Currency=USD","Period=FQ","BEST_FPERIOD_OVERRIDE=FQ","FILING_STATUS=MR","SCALING_FORMAT=MLN","Sort=A","Dates=H","DateFormat=P","Fill=—","Direction=H","UseDPDF=Y")</f>
        <v>40459</v>
      </c>
      <c r="F70" s="19">
        <f>_xll.BDH("GILD US Equity","BS_TOT_LIAB2","FQ3 2019","FQ3 2019","Currency=USD","Period=FQ","BEST_FPERIOD_OVERRIDE=FQ","FILING_STATUS=MR","SCALING_FORMAT=MLN","Sort=A","Dates=H","DateFormat=P","Fill=—","Direction=H","UseDPDF=Y")</f>
        <v>38410</v>
      </c>
      <c r="G70" s="19">
        <f>_xll.BDH("GILD US Equity","BS_TOT_LIAB2","FQ4 2019","FQ4 2019","Currency=USD","Period=FQ","BEST_FPERIOD_OVERRIDE=FQ","FILING_STATUS=MR","SCALING_FORMAT=MLN","Sort=A","Dates=H","DateFormat=P","Fill=—","Direction=H","UseDPDF=Y")</f>
        <v>38977</v>
      </c>
      <c r="H70" s="19">
        <f>_xll.BDH("GILD US Equity","BS_TOT_LIAB2","FQ1 2020","FQ1 2020","Currency=USD","Period=FQ","BEST_FPERIOD_OVERRIDE=FQ","FILING_STATUS=MR","SCALING_FORMAT=MLN","Sort=A","Dates=H","DateFormat=P","Fill=—","Direction=H","UseDPDF=Y")</f>
        <v>37562</v>
      </c>
      <c r="I70" s="19">
        <f>_xll.BDH("GILD US Equity","BS_TOT_LIAB2","FQ2 2020","FQ2 2020","Currency=USD","Period=FQ","BEST_FPERIOD_OVERRIDE=FQ","FILING_STATUS=MR","SCALING_FORMAT=MLN","Sort=A","Dates=H","DateFormat=P","Fill=—","Direction=H","UseDPDF=Y")</f>
        <v>37792</v>
      </c>
      <c r="J70" s="19">
        <f>_xll.BDH("GILD US Equity","BS_TOT_LIAB2","FQ3 2020","FQ3 2020","Currency=USD","Period=FQ","BEST_FPERIOD_OVERRIDE=FQ","FILING_STATUS=MR","SCALING_FORMAT=MLN","Sort=A","Dates=H","DateFormat=P","Fill=—","Direction=H","UseDPDF=Y")</f>
        <v>43407</v>
      </c>
      <c r="K70" s="19">
        <f>_xll.BDH("GILD US Equity","BS_TOT_LIAB2","FQ4 2020","FQ4 2020","Currency=USD","Period=FQ","BEST_FPERIOD_OVERRIDE=FQ","FILING_STATUS=MR","SCALING_FORMAT=MLN","Sort=A","Dates=H","DateFormat=P","Fill=—","Direction=H","UseDPDF=Y")</f>
        <v>50186</v>
      </c>
      <c r="L70" s="19">
        <f>_xll.BDH("GILD US Equity","BS_TOT_LIAB2","FQ1 2021","FQ1 2021","Currency=USD","Period=FQ","BEST_FPERIOD_OVERRIDE=FQ","FILING_STATUS=MR","SCALING_FORMAT=MLN","Sort=A","Dates=H","DateFormat=P","Fill=—","Direction=H","UseDPDF=Y")</f>
        <v>48528</v>
      </c>
      <c r="M70" s="19">
        <f>_xll.BDH("GILD US Equity","BS_TOT_LIAB2","FQ2 2021","FQ2 2021","Currency=USD","Period=FQ","BEST_FPERIOD_OVERRIDE=FQ","FILING_STATUS=MR","SCALING_FORMAT=MLN","Sort=A","Dates=H","DateFormat=P","Fill=—","Direction=H","UseDPDF=Y")</f>
        <v>48274</v>
      </c>
      <c r="N70" s="19">
        <f>_xll.BDH("GILD US Equity","BS_TOT_LIAB2","FQ3 2021","FQ3 2021","Currency=USD","Period=FQ","BEST_FPERIOD_OVERRIDE=FQ","FILING_STATUS=MR","SCALING_FORMAT=MLN","Sort=A","Dates=H","DateFormat=P","Fill=—","Direction=H","UseDPDF=Y")</f>
        <v>45627</v>
      </c>
      <c r="O70" s="19">
        <f>_xll.BDH("GILD US Equity","BS_TOT_LIAB2","FQ4 2021","FQ4 2021","Currency=USD","Period=FQ","BEST_FPERIOD_OVERRIDE=FQ","FILING_STATUS=MR","SCALING_FORMAT=MLN","Sort=A","Dates=H","DateFormat=P","Fill=—","Direction=H","UseDPDF=Y")</f>
        <v>46888</v>
      </c>
      <c r="P70" s="19">
        <f>_xll.BDH("GILD US Equity","BS_TOT_LIAB2","FQ1 2022","FQ1 2022","Currency=USD","Period=FQ","BEST_FPERIOD_OVERRIDE=FQ","FILING_STATUS=MR","SCALING_FORMAT=MLN","Sort=A","Dates=H","DateFormat=P","Fill=—","Direction=H","UseDPDF=Y")</f>
        <v>43165</v>
      </c>
      <c r="Q70" s="19">
        <f>_xll.BDH("GILD US Equity","BS_TOT_LIAB2","FQ2 2022","FQ2 2022","Currency=USD","Period=FQ","BEST_FPERIOD_OVERRIDE=FQ","FILING_STATUS=MR","SCALING_FORMAT=MLN","Sort=A","Dates=H","DateFormat=P","Fill=—","Direction=H","UseDPDF=Y")</f>
        <v>42655</v>
      </c>
      <c r="R70" s="19">
        <f>_xll.BDH("GILD US Equity","BS_TOT_LIAB2","FQ3 2022","FQ3 2022","Currency=USD","Period=FQ","BEST_FPERIOD_OVERRIDE=FQ","FILING_STATUS=MR","SCALING_FORMAT=MLN","Sort=A","Dates=H","DateFormat=P","Fill=—","Direction=H","UseDPDF=Y")</f>
        <v>41500</v>
      </c>
      <c r="S70" s="19">
        <f>_xll.BDH("GILD US Equity","BS_TOT_LIAB2","FQ4 2022","FQ4 2022","Currency=USD","Period=FQ","BEST_FPERIOD_OVERRIDE=FQ","FILING_STATUS=MR","SCALING_FORMAT=MLN","Sort=A","Dates=H","DateFormat=P","Fill=—","Direction=H","UseDPDF=Y")</f>
        <v>41962</v>
      </c>
      <c r="T70" s="19">
        <f>_xll.BDH("GILD US Equity","BS_TOT_LIAB2","FQ1 2023","FQ1 2023","Currency=USD","Period=FQ","BEST_FPERIOD_OVERRIDE=FQ","FILING_STATUS=MR","SCALING_FORMAT=MLN","Sort=A","Dates=H","DateFormat=P","Fill=—","Direction=H","UseDPDF=Y")</f>
        <v>40937</v>
      </c>
      <c r="U70" s="19">
        <f>_xll.BDH("GILD US Equity","BS_TOT_LIAB2","FQ2 2023","FQ2 2023","Currency=USD","Period=FQ","BEST_FPERIOD_OVERRIDE=FQ","FILING_STATUS=MR","SCALING_FORMAT=MLN","Sort=A","Dates=H","DateFormat=P","Fill=—","Direction=H","UseDPDF=Y")</f>
        <v>41243</v>
      </c>
      <c r="V70" s="19">
        <f>_xll.BDH("GILD US Equity","BS_TOT_LIAB2","FQ3 2023","FQ3 2023","Currency=USD","Period=FQ","BEST_FPERIOD_OVERRIDE=FQ","FILING_STATUS=MR","SCALING_FORMAT=MLN","Sort=A","Dates=H","DateFormat=P","Fill=—","Direction=H","UseDPDF=Y")</f>
        <v>40130</v>
      </c>
      <c r="W70" s="19">
        <f>_xll.BDH("GILD US Equity","BS_TOT_LIAB2","FQ4 2023","FQ4 2023","Currency=USD","Period=FQ","BEST_FPERIOD_OVERRIDE=FQ","FILING_STATUS=MR","SCALING_FORMAT=MLN","Sort=A","Dates=H","DateFormat=P","Fill=—","Direction=H","UseDPDF=Y")</f>
        <v>39376</v>
      </c>
      <c r="X70" s="19">
        <f>_xll.BDH("GILD US Equity","BS_TOT_LIAB2","FQ1 2024","FQ1 2024","Currency=USD","Period=FQ","BEST_FPERIOD_OVERRIDE=FQ","FILING_STATUS=MR","SCALING_FORMAT=MLN","Sort=A","Dates=H","DateFormat=P","Fill=—","Direction=H","UseDPDF=Y")</f>
        <v>38837</v>
      </c>
      <c r="Y70" s="19">
        <f>_xll.BDH("GILD US Equity","BS_TOT_LIAB2","FQ2 2024","FQ2 2024","Currency=USD","Period=FQ","BEST_FPERIOD_OVERRIDE=FQ","FILING_STATUS=MR","SCALING_FORMAT=MLN","Sort=A","Dates=H","DateFormat=P","Fill=—","Direction=H","UseDPDF=Y")</f>
        <v>35382</v>
      </c>
      <c r="Z70" s="19">
        <f>_xll.BDH("GILD US Equity","BS_TOT_LIAB2","FQ3 2024","FQ3 2024","Currency=USD","Period=FQ","BEST_FPERIOD_OVERRIDE=FQ","FILING_STATUS=MR","SCALING_FORMAT=MLN","Sort=A","Dates=H","DateFormat=P","Fill=—","Direction=H","UseDPDF=Y")</f>
        <v>36135</v>
      </c>
      <c r="AA70" s="19">
        <f>_xll.BDH("GILD US Equity","BS_TOT_LIAB2","FQ4 2024","FQ4 2024","Currency=USD","Period=FQ","BEST_FPERIOD_OVERRIDE=FQ","FILING_STATUS=MR","SCALING_FORMAT=MLN","Sort=A","Dates=H","DateFormat=P","Fill=—","Direction=H","UseDPDF=Y")</f>
        <v>39749</v>
      </c>
    </row>
    <row r="71" spans="1:27" x14ac:dyDescent="0.25">
      <c r="A71" s="10" t="s">
        <v>857</v>
      </c>
      <c r="B71" s="10" t="s">
        <v>168</v>
      </c>
      <c r="C71" s="13">
        <f>_xll.BDH("GILD US Equity","PFD_EQTY_HYBRID_CAPITAL","FQ4 2018","FQ4 2018","Currency=USD","Period=FQ","BEST_FPERIOD_OVERRIDE=FQ","FILING_STATUS=MR","SCALING_FORMAT=MLN","Sort=A","Dates=H","DateFormat=P","Fill=—","Direction=H","UseDPDF=Y")</f>
        <v>0</v>
      </c>
      <c r="D71" s="13">
        <f>_xll.BDH("GILD US Equity","PFD_EQTY_HYBRID_CAPITAL","FQ1 2019","FQ1 2019","Currency=USD","Period=FQ","BEST_FPERIOD_OVERRIDE=FQ","FILING_STATUS=MR","SCALING_FORMAT=MLN","Sort=A","Dates=H","DateFormat=P","Fill=—","Direction=H","UseDPDF=Y")</f>
        <v>0</v>
      </c>
      <c r="E71" s="13">
        <f>_xll.BDH("GILD US Equity","PFD_EQTY_HYBRID_CAPITAL","FQ2 2019","FQ2 2019","Currency=USD","Period=FQ","BEST_FPERIOD_OVERRIDE=FQ","FILING_STATUS=MR","SCALING_FORMAT=MLN","Sort=A","Dates=H","DateFormat=P","Fill=—","Direction=H","UseDPDF=Y")</f>
        <v>0</v>
      </c>
      <c r="F71" s="13">
        <f>_xll.BDH("GILD US Equity","PFD_EQTY_HYBRID_CAPITAL","FQ3 2019","FQ3 2019","Currency=USD","Period=FQ","BEST_FPERIOD_OVERRIDE=FQ","FILING_STATUS=MR","SCALING_FORMAT=MLN","Sort=A","Dates=H","DateFormat=P","Fill=—","Direction=H","UseDPDF=Y")</f>
        <v>0</v>
      </c>
      <c r="G71" s="13">
        <f>_xll.BDH("GILD US Equity","PFD_EQTY_HYBRID_CAPITAL","FQ4 2019","FQ4 2019","Currency=USD","Period=FQ","BEST_FPERIOD_OVERRIDE=FQ","FILING_STATUS=MR","SCALING_FORMAT=MLN","Sort=A","Dates=H","DateFormat=P","Fill=—","Direction=H","UseDPDF=Y")</f>
        <v>0</v>
      </c>
      <c r="H71" s="13">
        <f>_xll.BDH("GILD US Equity","PFD_EQTY_HYBRID_CAPITAL","FQ1 2020","FQ1 2020","Currency=USD","Period=FQ","BEST_FPERIOD_OVERRIDE=FQ","FILING_STATUS=MR","SCALING_FORMAT=MLN","Sort=A","Dates=H","DateFormat=P","Fill=—","Direction=H","UseDPDF=Y")</f>
        <v>0</v>
      </c>
      <c r="I71" s="13">
        <f>_xll.BDH("GILD US Equity","PFD_EQTY_HYBRID_CAPITAL","FQ2 2020","FQ2 2020","Currency=USD","Period=FQ","BEST_FPERIOD_OVERRIDE=FQ","FILING_STATUS=MR","SCALING_FORMAT=MLN","Sort=A","Dates=H","DateFormat=P","Fill=—","Direction=H","UseDPDF=Y")</f>
        <v>0</v>
      </c>
      <c r="J71" s="13">
        <f>_xll.BDH("GILD US Equity","PFD_EQTY_HYBRID_CAPITAL","FQ3 2020","FQ3 2020","Currency=USD","Period=FQ","BEST_FPERIOD_OVERRIDE=FQ","FILING_STATUS=MR","SCALING_FORMAT=MLN","Sort=A","Dates=H","DateFormat=P","Fill=—","Direction=H","UseDPDF=Y")</f>
        <v>0</v>
      </c>
      <c r="K71" s="13">
        <f>_xll.BDH("GILD US Equity","PFD_EQTY_HYBRID_CAPITAL","FQ4 2020","FQ4 2020","Currency=USD","Period=FQ","BEST_FPERIOD_OVERRIDE=FQ","FILING_STATUS=MR","SCALING_FORMAT=MLN","Sort=A","Dates=H","DateFormat=P","Fill=—","Direction=H","UseDPDF=Y")</f>
        <v>0</v>
      </c>
      <c r="L71" s="13">
        <f>_xll.BDH("GILD US Equity","PFD_EQTY_HYBRID_CAPITAL","FQ1 2021","FQ1 2021","Currency=USD","Period=FQ","BEST_FPERIOD_OVERRIDE=FQ","FILING_STATUS=MR","SCALING_FORMAT=MLN","Sort=A","Dates=H","DateFormat=P","Fill=—","Direction=H","UseDPDF=Y")</f>
        <v>0</v>
      </c>
      <c r="M71" s="13">
        <f>_xll.BDH("GILD US Equity","PFD_EQTY_HYBRID_CAPITAL","FQ2 2021","FQ2 2021","Currency=USD","Period=FQ","BEST_FPERIOD_OVERRIDE=FQ","FILING_STATUS=MR","SCALING_FORMAT=MLN","Sort=A","Dates=H","DateFormat=P","Fill=—","Direction=H","UseDPDF=Y")</f>
        <v>0</v>
      </c>
      <c r="N71" s="13">
        <f>_xll.BDH("GILD US Equity","PFD_EQTY_HYBRID_CAPITAL","FQ3 2021","FQ3 2021","Currency=USD","Period=FQ","BEST_FPERIOD_OVERRIDE=FQ","FILING_STATUS=MR","SCALING_FORMAT=MLN","Sort=A","Dates=H","DateFormat=P","Fill=—","Direction=H","UseDPDF=Y")</f>
        <v>0</v>
      </c>
      <c r="O71" s="13">
        <f>_xll.BDH("GILD US Equity","PFD_EQTY_HYBRID_CAPITAL","FQ4 2021","FQ4 2021","Currency=USD","Period=FQ","BEST_FPERIOD_OVERRIDE=FQ","FILING_STATUS=MR","SCALING_FORMAT=MLN","Sort=A","Dates=H","DateFormat=P","Fill=—","Direction=H","UseDPDF=Y")</f>
        <v>0</v>
      </c>
      <c r="P71" s="13">
        <f>_xll.BDH("GILD US Equity","PFD_EQTY_HYBRID_CAPITAL","FQ1 2022","FQ1 2022","Currency=USD","Period=FQ","BEST_FPERIOD_OVERRIDE=FQ","FILING_STATUS=MR","SCALING_FORMAT=MLN","Sort=A","Dates=H","DateFormat=P","Fill=—","Direction=H","UseDPDF=Y")</f>
        <v>0</v>
      </c>
      <c r="Q71" s="13">
        <f>_xll.BDH("GILD US Equity","PFD_EQTY_HYBRID_CAPITAL","FQ2 2022","FQ2 2022","Currency=USD","Period=FQ","BEST_FPERIOD_OVERRIDE=FQ","FILING_STATUS=MR","SCALING_FORMAT=MLN","Sort=A","Dates=H","DateFormat=P","Fill=—","Direction=H","UseDPDF=Y")</f>
        <v>0</v>
      </c>
      <c r="R71" s="13">
        <f>_xll.BDH("GILD US Equity","PFD_EQTY_HYBRID_CAPITAL","FQ3 2022","FQ3 2022","Currency=USD","Period=FQ","BEST_FPERIOD_OVERRIDE=FQ","FILING_STATUS=MR","SCALING_FORMAT=MLN","Sort=A","Dates=H","DateFormat=P","Fill=—","Direction=H","UseDPDF=Y")</f>
        <v>0</v>
      </c>
      <c r="S71" s="13">
        <f>_xll.BDH("GILD US Equity","PFD_EQTY_HYBRID_CAPITAL","FQ4 2022","FQ4 2022","Currency=USD","Period=FQ","BEST_FPERIOD_OVERRIDE=FQ","FILING_STATUS=MR","SCALING_FORMAT=MLN","Sort=A","Dates=H","DateFormat=P","Fill=—","Direction=H","UseDPDF=Y")</f>
        <v>0</v>
      </c>
      <c r="T71" s="13">
        <f>_xll.BDH("GILD US Equity","PFD_EQTY_HYBRID_CAPITAL","FQ1 2023","FQ1 2023","Currency=USD","Period=FQ","BEST_FPERIOD_OVERRIDE=FQ","FILING_STATUS=MR","SCALING_FORMAT=MLN","Sort=A","Dates=H","DateFormat=P","Fill=—","Direction=H","UseDPDF=Y")</f>
        <v>0</v>
      </c>
      <c r="U71" s="13">
        <f>_xll.BDH("GILD US Equity","PFD_EQTY_HYBRID_CAPITAL","FQ2 2023","FQ2 2023","Currency=USD","Period=FQ","BEST_FPERIOD_OVERRIDE=FQ","FILING_STATUS=MR","SCALING_FORMAT=MLN","Sort=A","Dates=H","DateFormat=P","Fill=—","Direction=H","UseDPDF=Y")</f>
        <v>0</v>
      </c>
      <c r="V71" s="13">
        <f>_xll.BDH("GILD US Equity","PFD_EQTY_HYBRID_CAPITAL","FQ3 2023","FQ3 2023","Currency=USD","Period=FQ","BEST_FPERIOD_OVERRIDE=FQ","FILING_STATUS=MR","SCALING_FORMAT=MLN","Sort=A","Dates=H","DateFormat=P","Fill=—","Direction=H","UseDPDF=Y")</f>
        <v>0</v>
      </c>
      <c r="W71" s="13">
        <f>_xll.BDH("GILD US Equity","PFD_EQTY_HYBRID_CAPITAL","FQ4 2023","FQ4 2023","Currency=USD","Period=FQ","BEST_FPERIOD_OVERRIDE=FQ","FILING_STATUS=MR","SCALING_FORMAT=MLN","Sort=A","Dates=H","DateFormat=P","Fill=—","Direction=H","UseDPDF=Y")</f>
        <v>0</v>
      </c>
      <c r="X71" s="13">
        <f>_xll.BDH("GILD US Equity","PFD_EQTY_HYBRID_CAPITAL","FQ1 2024","FQ1 2024","Currency=USD","Period=FQ","BEST_FPERIOD_OVERRIDE=FQ","FILING_STATUS=MR","SCALING_FORMAT=MLN","Sort=A","Dates=H","DateFormat=P","Fill=—","Direction=H","UseDPDF=Y")</f>
        <v>0</v>
      </c>
      <c r="Y71" s="13">
        <f>_xll.BDH("GILD US Equity","PFD_EQTY_HYBRID_CAPITAL","FQ2 2024","FQ2 2024","Currency=USD","Period=FQ","BEST_FPERIOD_OVERRIDE=FQ","FILING_STATUS=MR","SCALING_FORMAT=MLN","Sort=A","Dates=H","DateFormat=P","Fill=—","Direction=H","UseDPDF=Y")</f>
        <v>0</v>
      </c>
      <c r="Z71" s="13">
        <f>_xll.BDH("GILD US Equity","PFD_EQTY_HYBRID_CAPITAL","FQ3 2024","FQ3 2024","Currency=USD","Period=FQ","BEST_FPERIOD_OVERRIDE=FQ","FILING_STATUS=MR","SCALING_FORMAT=MLN","Sort=A","Dates=H","DateFormat=P","Fill=—","Direction=H","UseDPDF=Y")</f>
        <v>0</v>
      </c>
      <c r="AA71" s="13">
        <f>_xll.BDH("GILD US Equity","PFD_EQTY_HYBRID_CAPITAL","FQ4 2024","FQ4 2024","Currency=USD","Period=FQ","BEST_FPERIOD_OVERRIDE=FQ","FILING_STATUS=MR","SCALING_FORMAT=MLN","Sort=A","Dates=H","DateFormat=P","Fill=—","Direction=H","UseDPDF=Y")</f>
        <v>0</v>
      </c>
    </row>
    <row r="72" spans="1:27" x14ac:dyDescent="0.25">
      <c r="A72" s="10" t="s">
        <v>858</v>
      </c>
      <c r="B72" s="10" t="s">
        <v>859</v>
      </c>
      <c r="C72" s="13">
        <f>_xll.BDH("GILD US Equity","BS_SH_CAP_AND_APIC","FQ4 2018","FQ4 2018","Currency=USD","Period=FQ","BEST_FPERIOD_OVERRIDE=FQ","FILING_STATUS=MR","SCALING_FORMAT=MLN","Sort=A","Dates=H","DateFormat=P","Fill=—","Direction=H","UseDPDF=Y")</f>
        <v>2283</v>
      </c>
      <c r="D72" s="13">
        <f>_xll.BDH("GILD US Equity","BS_SH_CAP_AND_APIC","FQ1 2019","FQ1 2019","Currency=USD","Period=FQ","BEST_FPERIOD_OVERRIDE=FQ","FILING_STATUS=MR","SCALING_FORMAT=MLN","Sort=A","Dates=H","DateFormat=P","Fill=—","Direction=H","UseDPDF=Y")</f>
        <v>2495</v>
      </c>
      <c r="E72" s="13">
        <f>_xll.BDH("GILD US Equity","BS_SH_CAP_AND_APIC","FQ2 2019","FQ2 2019","Currency=USD","Period=FQ","BEST_FPERIOD_OVERRIDE=FQ","FILING_STATUS=MR","SCALING_FORMAT=MLN","Sort=A","Dates=H","DateFormat=P","Fill=—","Direction=H","UseDPDF=Y")</f>
        <v>2685</v>
      </c>
      <c r="F72" s="13">
        <f>_xll.BDH("GILD US Equity","BS_SH_CAP_AND_APIC","FQ3 2019","FQ3 2019","Currency=USD","Period=FQ","BEST_FPERIOD_OVERRIDE=FQ","FILING_STATUS=MR","SCALING_FORMAT=MLN","Sort=A","Dates=H","DateFormat=P","Fill=—","Direction=H","UseDPDF=Y")</f>
        <v>2871</v>
      </c>
      <c r="G72" s="13">
        <f>_xll.BDH("GILD US Equity","BS_SH_CAP_AND_APIC","FQ4 2019","FQ4 2019","Currency=USD","Period=FQ","BEST_FPERIOD_OVERRIDE=FQ","FILING_STATUS=MR","SCALING_FORMAT=MLN","Sort=A","Dates=H","DateFormat=P","Fill=—","Direction=H","UseDPDF=Y")</f>
        <v>3052</v>
      </c>
      <c r="H72" s="13">
        <f>_xll.BDH("GILD US Equity","BS_SH_CAP_AND_APIC","FQ1 2020","FQ1 2020","Currency=USD","Period=FQ","BEST_FPERIOD_OVERRIDE=FQ","FILING_STATUS=MR","SCALING_FORMAT=MLN","Sort=A","Dates=H","DateFormat=P","Fill=—","Direction=H","UseDPDF=Y")</f>
        <v>3312</v>
      </c>
      <c r="I72" s="13">
        <f>_xll.BDH("GILD US Equity","BS_SH_CAP_AND_APIC","FQ2 2020","FQ2 2020","Currency=USD","Period=FQ","BEST_FPERIOD_OVERRIDE=FQ","FILING_STATUS=MR","SCALING_FORMAT=MLN","Sort=A","Dates=H","DateFormat=P","Fill=—","Direction=H","UseDPDF=Y")</f>
        <v>3512</v>
      </c>
      <c r="J72" s="13">
        <f>_xll.BDH("GILD US Equity","BS_SH_CAP_AND_APIC","FQ3 2020","FQ3 2020","Currency=USD","Period=FQ","BEST_FPERIOD_OVERRIDE=FQ","FILING_STATUS=MR","SCALING_FORMAT=MLN","Sort=A","Dates=H","DateFormat=P","Fill=—","Direction=H","UseDPDF=Y")</f>
        <v>3713</v>
      </c>
      <c r="K72" s="13">
        <f>_xll.BDH("GILD US Equity","BS_SH_CAP_AND_APIC","FQ4 2020","FQ4 2020","Currency=USD","Period=FQ","BEST_FPERIOD_OVERRIDE=FQ","FILING_STATUS=MR","SCALING_FORMAT=MLN","Sort=A","Dates=H","DateFormat=P","Fill=—","Direction=H","UseDPDF=Y")</f>
        <v>3881</v>
      </c>
      <c r="L72" s="13">
        <f>_xll.BDH("GILD US Equity","BS_SH_CAP_AND_APIC","FQ1 2021","FQ1 2021","Currency=USD","Period=FQ","BEST_FPERIOD_OVERRIDE=FQ","FILING_STATUS=MR","SCALING_FORMAT=MLN","Sort=A","Dates=H","DateFormat=P","Fill=—","Direction=H","UseDPDF=Y")</f>
        <v>4093</v>
      </c>
      <c r="M72" s="13">
        <f>_xll.BDH("GILD US Equity","BS_SH_CAP_AND_APIC","FQ2 2021","FQ2 2021","Currency=USD","Period=FQ","BEST_FPERIOD_OVERRIDE=FQ","FILING_STATUS=MR","SCALING_FORMAT=MLN","Sort=A","Dates=H","DateFormat=P","Fill=—","Direction=H","UseDPDF=Y")</f>
        <v>4272</v>
      </c>
      <c r="N72" s="13">
        <f>_xll.BDH("GILD US Equity","BS_SH_CAP_AND_APIC","FQ3 2021","FQ3 2021","Currency=USD","Period=FQ","BEST_FPERIOD_OVERRIDE=FQ","FILING_STATUS=MR","SCALING_FORMAT=MLN","Sort=A","Dates=H","DateFormat=P","Fill=—","Direction=H","UseDPDF=Y")</f>
        <v>4493</v>
      </c>
      <c r="O72" s="13">
        <f>_xll.BDH("GILD US Equity","BS_SH_CAP_AND_APIC","FQ4 2021","FQ4 2021","Currency=USD","Period=FQ","BEST_FPERIOD_OVERRIDE=FQ","FILING_STATUS=MR","SCALING_FORMAT=MLN","Sort=A","Dates=H","DateFormat=P","Fill=—","Direction=H","UseDPDF=Y")</f>
        <v>4662</v>
      </c>
      <c r="P72" s="13">
        <f>_xll.BDH("GILD US Equity","BS_SH_CAP_AND_APIC","FQ1 2022","FQ1 2022","Currency=USD","Period=FQ","BEST_FPERIOD_OVERRIDE=FQ","FILING_STATUS=MR","SCALING_FORMAT=MLN","Sort=A","Dates=H","DateFormat=P","Fill=—","Direction=H","UseDPDF=Y")</f>
        <v>4868</v>
      </c>
      <c r="Q72" s="13">
        <f>_xll.BDH("GILD US Equity","BS_SH_CAP_AND_APIC","FQ2 2022","FQ2 2022","Currency=USD","Period=FQ","BEST_FPERIOD_OVERRIDE=FQ","FILING_STATUS=MR","SCALING_FORMAT=MLN","Sort=A","Dates=H","DateFormat=P","Fill=—","Direction=H","UseDPDF=Y")</f>
        <v>5032</v>
      </c>
      <c r="R72" s="13">
        <f>_xll.BDH("GILD US Equity","BS_SH_CAP_AND_APIC","FQ3 2022","FQ3 2022","Currency=USD","Period=FQ","BEST_FPERIOD_OVERRIDE=FQ","FILING_STATUS=MR","SCALING_FORMAT=MLN","Sort=A","Dates=H","DateFormat=P","Fill=—","Direction=H","UseDPDF=Y")</f>
        <v>5227</v>
      </c>
      <c r="S72" s="13">
        <f>_xll.BDH("GILD US Equity","BS_SH_CAP_AND_APIC","FQ4 2022","FQ4 2022","Currency=USD","Period=FQ","BEST_FPERIOD_OVERRIDE=FQ","FILING_STATUS=MR","SCALING_FORMAT=MLN","Sort=A","Dates=H","DateFormat=P","Fill=—","Direction=H","UseDPDF=Y")</f>
        <v>5551</v>
      </c>
      <c r="T72" s="13">
        <f>_xll.BDH("GILD US Equity","BS_SH_CAP_AND_APIC","FQ1 2023","FQ1 2023","Currency=USD","Period=FQ","BEST_FPERIOD_OVERRIDE=FQ","FILING_STATUS=MR","SCALING_FORMAT=MLN","Sort=A","Dates=H","DateFormat=P","Fill=—","Direction=H","UseDPDF=Y")</f>
        <v>5794</v>
      </c>
      <c r="U72" s="13">
        <f>_xll.BDH("GILD US Equity","BS_SH_CAP_AND_APIC","FQ2 2023","FQ2 2023","Currency=USD","Period=FQ","BEST_FPERIOD_OVERRIDE=FQ","FILING_STATUS=MR","SCALING_FORMAT=MLN","Sort=A","Dates=H","DateFormat=P","Fill=—","Direction=H","UseDPDF=Y")</f>
        <v>6009</v>
      </c>
      <c r="V72" s="13">
        <f>_xll.BDH("GILD US Equity","BS_SH_CAP_AND_APIC","FQ3 2023","FQ3 2023","Currency=USD","Period=FQ","BEST_FPERIOD_OVERRIDE=FQ","FILING_STATUS=MR","SCALING_FORMAT=MLN","Sort=A","Dates=H","DateFormat=P","Fill=—","Direction=H","UseDPDF=Y")</f>
        <v>6280</v>
      </c>
      <c r="W72" s="13">
        <f>_xll.BDH("GILD US Equity","BS_SH_CAP_AND_APIC","FQ4 2023","FQ4 2023","Currency=USD","Period=FQ","BEST_FPERIOD_OVERRIDE=FQ","FILING_STATUS=MR","SCALING_FORMAT=MLN","Sort=A","Dates=H","DateFormat=P","Fill=—","Direction=H","UseDPDF=Y")</f>
        <v>6501</v>
      </c>
      <c r="X72" s="13">
        <f>_xll.BDH("GILD US Equity","BS_SH_CAP_AND_APIC","FQ1 2024","FQ1 2024","Currency=USD","Period=FQ","BEST_FPERIOD_OVERRIDE=FQ","FILING_STATUS=MR","SCALING_FORMAT=MLN","Sort=A","Dates=H","DateFormat=P","Fill=—","Direction=H","UseDPDF=Y")</f>
        <v>6814</v>
      </c>
      <c r="Y72" s="13">
        <f>_xll.BDH("GILD US Equity","BS_SH_CAP_AND_APIC","FQ2 2024","FQ2 2024","Currency=USD","Period=FQ","BEST_FPERIOD_OVERRIDE=FQ","FILING_STATUS=MR","SCALING_FORMAT=MLN","Sort=A","Dates=H","DateFormat=P","Fill=—","Direction=H","UseDPDF=Y")</f>
        <v>7023</v>
      </c>
      <c r="Z72" s="13">
        <f>_xll.BDH("GILD US Equity","BS_SH_CAP_AND_APIC","FQ3 2024","FQ3 2024","Currency=USD","Period=FQ","BEST_FPERIOD_OVERRIDE=FQ","FILING_STATUS=MR","SCALING_FORMAT=MLN","Sort=A","Dates=H","DateFormat=P","Fill=—","Direction=H","UseDPDF=Y")</f>
        <v>7328</v>
      </c>
      <c r="AA72" s="13">
        <f>_xll.BDH("GILD US Equity","BS_SH_CAP_AND_APIC","FQ4 2024","FQ4 2024","Currency=USD","Period=FQ","BEST_FPERIOD_OVERRIDE=FQ","FILING_STATUS=MR","SCALING_FORMAT=MLN","Sort=A","Dates=H","DateFormat=P","Fill=—","Direction=H","UseDPDF=Y")</f>
        <v>7701</v>
      </c>
    </row>
    <row r="73" spans="1:27" x14ac:dyDescent="0.25">
      <c r="A73" s="10" t="s">
        <v>860</v>
      </c>
      <c r="B73" s="10" t="s">
        <v>861</v>
      </c>
      <c r="C73" s="13">
        <f>_xll.BDH("GILD US Equity","BS_COMMON_STOCK","FQ4 2018","FQ4 2018","Currency=USD","Period=FQ","BEST_FPERIOD_OVERRIDE=FQ","FILING_STATUS=MR","SCALING_FORMAT=MLN","Sort=A","Dates=H","DateFormat=P","Fill=—","Direction=H","UseDPDF=Y")</f>
        <v>1</v>
      </c>
      <c r="D73" s="13">
        <f>_xll.BDH("GILD US Equity","BS_COMMON_STOCK","FQ1 2019","FQ1 2019","Currency=USD","Period=FQ","BEST_FPERIOD_OVERRIDE=FQ","FILING_STATUS=MR","SCALING_FORMAT=MLN","Sort=A","Dates=H","DateFormat=P","Fill=—","Direction=H","UseDPDF=Y")</f>
        <v>1</v>
      </c>
      <c r="E73" s="13">
        <f>_xll.BDH("GILD US Equity","BS_COMMON_STOCK","FQ2 2019","FQ2 2019","Currency=USD","Period=FQ","BEST_FPERIOD_OVERRIDE=FQ","FILING_STATUS=MR","SCALING_FORMAT=MLN","Sort=A","Dates=H","DateFormat=P","Fill=—","Direction=H","UseDPDF=Y")</f>
        <v>1</v>
      </c>
      <c r="F73" s="13">
        <f>_xll.BDH("GILD US Equity","BS_COMMON_STOCK","FQ3 2019","FQ3 2019","Currency=USD","Period=FQ","BEST_FPERIOD_OVERRIDE=FQ","FILING_STATUS=MR","SCALING_FORMAT=MLN","Sort=A","Dates=H","DateFormat=P","Fill=—","Direction=H","UseDPDF=Y")</f>
        <v>1</v>
      </c>
      <c r="G73" s="13">
        <f>_xll.BDH("GILD US Equity","BS_COMMON_STOCK","FQ4 2019","FQ4 2019","Currency=USD","Period=FQ","BEST_FPERIOD_OVERRIDE=FQ","FILING_STATUS=MR","SCALING_FORMAT=MLN","Sort=A","Dates=H","DateFormat=P","Fill=—","Direction=H","UseDPDF=Y")</f>
        <v>1</v>
      </c>
      <c r="H73" s="13">
        <f>_xll.BDH("GILD US Equity","BS_COMMON_STOCK","FQ1 2020","FQ1 2020","Currency=USD","Period=FQ","BEST_FPERIOD_OVERRIDE=FQ","FILING_STATUS=MR","SCALING_FORMAT=MLN","Sort=A","Dates=H","DateFormat=P","Fill=—","Direction=H","UseDPDF=Y")</f>
        <v>1</v>
      </c>
      <c r="I73" s="13">
        <f>_xll.BDH("GILD US Equity","BS_COMMON_STOCK","FQ2 2020","FQ2 2020","Currency=USD","Period=FQ","BEST_FPERIOD_OVERRIDE=FQ","FILING_STATUS=MR","SCALING_FORMAT=MLN","Sort=A","Dates=H","DateFormat=P","Fill=—","Direction=H","UseDPDF=Y")</f>
        <v>1</v>
      </c>
      <c r="J73" s="13">
        <f>_xll.BDH("GILD US Equity","BS_COMMON_STOCK","FQ3 2020","FQ3 2020","Currency=USD","Period=FQ","BEST_FPERIOD_OVERRIDE=FQ","FILING_STATUS=MR","SCALING_FORMAT=MLN","Sort=A","Dates=H","DateFormat=P","Fill=—","Direction=H","UseDPDF=Y")</f>
        <v>1</v>
      </c>
      <c r="K73" s="13">
        <f>_xll.BDH("GILD US Equity","BS_COMMON_STOCK","FQ4 2020","FQ4 2020","Currency=USD","Period=FQ","BEST_FPERIOD_OVERRIDE=FQ","FILING_STATUS=MR","SCALING_FORMAT=MLN","Sort=A","Dates=H","DateFormat=P","Fill=—","Direction=H","UseDPDF=Y")</f>
        <v>1</v>
      </c>
      <c r="L73" s="13">
        <f>_xll.BDH("GILD US Equity","BS_COMMON_STOCK","FQ1 2021","FQ1 2021","Currency=USD","Period=FQ","BEST_FPERIOD_OVERRIDE=FQ","FILING_STATUS=MR","SCALING_FORMAT=MLN","Sort=A","Dates=H","DateFormat=P","Fill=—","Direction=H","UseDPDF=Y")</f>
        <v>1</v>
      </c>
      <c r="M73" s="13">
        <f>_xll.BDH("GILD US Equity","BS_COMMON_STOCK","FQ2 2021","FQ2 2021","Currency=USD","Period=FQ","BEST_FPERIOD_OVERRIDE=FQ","FILING_STATUS=MR","SCALING_FORMAT=MLN","Sort=A","Dates=H","DateFormat=P","Fill=—","Direction=H","UseDPDF=Y")</f>
        <v>1</v>
      </c>
      <c r="N73" s="13">
        <f>_xll.BDH("GILD US Equity","BS_COMMON_STOCK","FQ3 2021","FQ3 2021","Currency=USD","Period=FQ","BEST_FPERIOD_OVERRIDE=FQ","FILING_STATUS=MR","SCALING_FORMAT=MLN","Sort=A","Dates=H","DateFormat=P","Fill=—","Direction=H","UseDPDF=Y")</f>
        <v>1</v>
      </c>
      <c r="O73" s="13">
        <f>_xll.BDH("GILD US Equity","BS_COMMON_STOCK","FQ4 2021","FQ4 2021","Currency=USD","Period=FQ","BEST_FPERIOD_OVERRIDE=FQ","FILING_STATUS=MR","SCALING_FORMAT=MLN","Sort=A","Dates=H","DateFormat=P","Fill=—","Direction=H","UseDPDF=Y")</f>
        <v>1</v>
      </c>
      <c r="P73" s="13">
        <f>_xll.BDH("GILD US Equity","BS_COMMON_STOCK","FQ1 2022","FQ1 2022","Currency=USD","Period=FQ","BEST_FPERIOD_OVERRIDE=FQ","FILING_STATUS=MR","SCALING_FORMAT=MLN","Sort=A","Dates=H","DateFormat=P","Fill=—","Direction=H","UseDPDF=Y")</f>
        <v>1</v>
      </c>
      <c r="Q73" s="13">
        <f>_xll.BDH("GILD US Equity","BS_COMMON_STOCK","FQ2 2022","FQ2 2022","Currency=USD","Period=FQ","BEST_FPERIOD_OVERRIDE=FQ","FILING_STATUS=MR","SCALING_FORMAT=MLN","Sort=A","Dates=H","DateFormat=P","Fill=—","Direction=H","UseDPDF=Y")</f>
        <v>1</v>
      </c>
      <c r="R73" s="13">
        <f>_xll.BDH("GILD US Equity","BS_COMMON_STOCK","FQ3 2022","FQ3 2022","Currency=USD","Period=FQ","BEST_FPERIOD_OVERRIDE=FQ","FILING_STATUS=MR","SCALING_FORMAT=MLN","Sort=A","Dates=H","DateFormat=P","Fill=—","Direction=H","UseDPDF=Y")</f>
        <v>1</v>
      </c>
      <c r="S73" s="13">
        <f>_xll.BDH("GILD US Equity","BS_COMMON_STOCK","FQ4 2022","FQ4 2022","Currency=USD","Period=FQ","BEST_FPERIOD_OVERRIDE=FQ","FILING_STATUS=MR","SCALING_FORMAT=MLN","Sort=A","Dates=H","DateFormat=P","Fill=—","Direction=H","UseDPDF=Y")</f>
        <v>1</v>
      </c>
      <c r="T73" s="13">
        <f>_xll.BDH("GILD US Equity","BS_COMMON_STOCK","FQ1 2023","FQ1 2023","Currency=USD","Period=FQ","BEST_FPERIOD_OVERRIDE=FQ","FILING_STATUS=MR","SCALING_FORMAT=MLN","Sort=A","Dates=H","DateFormat=P","Fill=—","Direction=H","UseDPDF=Y")</f>
        <v>1</v>
      </c>
      <c r="U73" s="13">
        <f>_xll.BDH("GILD US Equity","BS_COMMON_STOCK","FQ2 2023","FQ2 2023","Currency=USD","Period=FQ","BEST_FPERIOD_OVERRIDE=FQ","FILING_STATUS=MR","SCALING_FORMAT=MLN","Sort=A","Dates=H","DateFormat=P","Fill=—","Direction=H","UseDPDF=Y")</f>
        <v>1</v>
      </c>
      <c r="V73" s="13">
        <f>_xll.BDH("GILD US Equity","BS_COMMON_STOCK","FQ3 2023","FQ3 2023","Currency=USD","Period=FQ","BEST_FPERIOD_OVERRIDE=FQ","FILING_STATUS=MR","SCALING_FORMAT=MLN","Sort=A","Dates=H","DateFormat=P","Fill=—","Direction=H","UseDPDF=Y")</f>
        <v>1</v>
      </c>
      <c r="W73" s="13">
        <f>_xll.BDH("GILD US Equity","BS_COMMON_STOCK","FQ4 2023","FQ4 2023","Currency=USD","Period=FQ","BEST_FPERIOD_OVERRIDE=FQ","FILING_STATUS=MR","SCALING_FORMAT=MLN","Sort=A","Dates=H","DateFormat=P","Fill=—","Direction=H","UseDPDF=Y")</f>
        <v>1</v>
      </c>
      <c r="X73" s="13">
        <f>_xll.BDH("GILD US Equity","BS_COMMON_STOCK","FQ1 2024","FQ1 2024","Currency=USD","Period=FQ","BEST_FPERIOD_OVERRIDE=FQ","FILING_STATUS=MR","SCALING_FORMAT=MLN","Sort=A","Dates=H","DateFormat=P","Fill=—","Direction=H","UseDPDF=Y")</f>
        <v>1</v>
      </c>
      <c r="Y73" s="13">
        <f>_xll.BDH("GILD US Equity","BS_COMMON_STOCK","FQ2 2024","FQ2 2024","Currency=USD","Period=FQ","BEST_FPERIOD_OVERRIDE=FQ","FILING_STATUS=MR","SCALING_FORMAT=MLN","Sort=A","Dates=H","DateFormat=P","Fill=—","Direction=H","UseDPDF=Y")</f>
        <v>1</v>
      </c>
      <c r="Z73" s="13">
        <f>_xll.BDH("GILD US Equity","BS_COMMON_STOCK","FQ3 2024","FQ3 2024","Currency=USD","Period=FQ","BEST_FPERIOD_OVERRIDE=FQ","FILING_STATUS=MR","SCALING_FORMAT=MLN","Sort=A","Dates=H","DateFormat=P","Fill=—","Direction=H","UseDPDF=Y")</f>
        <v>1</v>
      </c>
      <c r="AA73" s="13">
        <f>_xll.BDH("GILD US Equity","BS_COMMON_STOCK","FQ4 2024","FQ4 2024","Currency=USD","Period=FQ","BEST_FPERIOD_OVERRIDE=FQ","FILING_STATUS=MR","SCALING_FORMAT=MLN","Sort=A","Dates=H","DateFormat=P","Fill=—","Direction=H","UseDPDF=Y")</f>
        <v>1</v>
      </c>
    </row>
    <row r="74" spans="1:27" x14ac:dyDescent="0.25">
      <c r="A74" s="10" t="s">
        <v>862</v>
      </c>
      <c r="B74" s="10" t="s">
        <v>863</v>
      </c>
      <c r="C74" s="13">
        <f>_xll.BDH("GILD US Equity","BS_ADD_PAID_IN_CAP","FQ4 2018","FQ4 2018","Currency=USD","Period=FQ","BEST_FPERIOD_OVERRIDE=FQ","FILING_STATUS=MR","SCALING_FORMAT=MLN","Sort=A","Dates=H","DateFormat=P","Fill=—","Direction=H","UseDPDF=Y")</f>
        <v>2282</v>
      </c>
      <c r="D74" s="13">
        <f>_xll.BDH("GILD US Equity","BS_ADD_PAID_IN_CAP","FQ1 2019","FQ1 2019","Currency=USD","Period=FQ","BEST_FPERIOD_OVERRIDE=FQ","FILING_STATUS=MR","SCALING_FORMAT=MLN","Sort=A","Dates=H","DateFormat=P","Fill=—","Direction=H","UseDPDF=Y")</f>
        <v>2494</v>
      </c>
      <c r="E74" s="13">
        <f>_xll.BDH("GILD US Equity","BS_ADD_PAID_IN_CAP","FQ2 2019","FQ2 2019","Currency=USD","Period=FQ","BEST_FPERIOD_OVERRIDE=FQ","FILING_STATUS=MR","SCALING_FORMAT=MLN","Sort=A","Dates=H","DateFormat=P","Fill=—","Direction=H","UseDPDF=Y")</f>
        <v>2684</v>
      </c>
      <c r="F74" s="13">
        <f>_xll.BDH("GILD US Equity","BS_ADD_PAID_IN_CAP","FQ3 2019","FQ3 2019","Currency=USD","Period=FQ","BEST_FPERIOD_OVERRIDE=FQ","FILING_STATUS=MR","SCALING_FORMAT=MLN","Sort=A","Dates=H","DateFormat=P","Fill=—","Direction=H","UseDPDF=Y")</f>
        <v>2870</v>
      </c>
      <c r="G74" s="13">
        <f>_xll.BDH("GILD US Equity","BS_ADD_PAID_IN_CAP","FQ4 2019","FQ4 2019","Currency=USD","Period=FQ","BEST_FPERIOD_OVERRIDE=FQ","FILING_STATUS=MR","SCALING_FORMAT=MLN","Sort=A","Dates=H","DateFormat=P","Fill=—","Direction=H","UseDPDF=Y")</f>
        <v>3051</v>
      </c>
      <c r="H74" s="13">
        <f>_xll.BDH("GILD US Equity","BS_ADD_PAID_IN_CAP","FQ1 2020","FQ1 2020","Currency=USD","Period=FQ","BEST_FPERIOD_OVERRIDE=FQ","FILING_STATUS=MR","SCALING_FORMAT=MLN","Sort=A","Dates=H","DateFormat=P","Fill=—","Direction=H","UseDPDF=Y")</f>
        <v>3311</v>
      </c>
      <c r="I74" s="13">
        <f>_xll.BDH("GILD US Equity","BS_ADD_PAID_IN_CAP","FQ2 2020","FQ2 2020","Currency=USD","Period=FQ","BEST_FPERIOD_OVERRIDE=FQ","FILING_STATUS=MR","SCALING_FORMAT=MLN","Sort=A","Dates=H","DateFormat=P","Fill=—","Direction=H","UseDPDF=Y")</f>
        <v>3511</v>
      </c>
      <c r="J74" s="13">
        <f>_xll.BDH("GILD US Equity","BS_ADD_PAID_IN_CAP","FQ3 2020","FQ3 2020","Currency=USD","Period=FQ","BEST_FPERIOD_OVERRIDE=FQ","FILING_STATUS=MR","SCALING_FORMAT=MLN","Sort=A","Dates=H","DateFormat=P","Fill=—","Direction=H","UseDPDF=Y")</f>
        <v>3712</v>
      </c>
      <c r="K74" s="13">
        <f>_xll.BDH("GILD US Equity","BS_ADD_PAID_IN_CAP","FQ4 2020","FQ4 2020","Currency=USD","Period=FQ","BEST_FPERIOD_OVERRIDE=FQ","FILING_STATUS=MR","SCALING_FORMAT=MLN","Sort=A","Dates=H","DateFormat=P","Fill=—","Direction=H","UseDPDF=Y")</f>
        <v>3880</v>
      </c>
      <c r="L74" s="13">
        <f>_xll.BDH("GILD US Equity","BS_ADD_PAID_IN_CAP","FQ1 2021","FQ1 2021","Currency=USD","Period=FQ","BEST_FPERIOD_OVERRIDE=FQ","FILING_STATUS=MR","SCALING_FORMAT=MLN","Sort=A","Dates=H","DateFormat=P","Fill=—","Direction=H","UseDPDF=Y")</f>
        <v>4092</v>
      </c>
      <c r="M74" s="13">
        <f>_xll.BDH("GILD US Equity","BS_ADD_PAID_IN_CAP","FQ2 2021","FQ2 2021","Currency=USD","Period=FQ","BEST_FPERIOD_OVERRIDE=FQ","FILING_STATUS=MR","SCALING_FORMAT=MLN","Sort=A","Dates=H","DateFormat=P","Fill=—","Direction=H","UseDPDF=Y")</f>
        <v>4271</v>
      </c>
      <c r="N74" s="13">
        <f>_xll.BDH("GILD US Equity","BS_ADD_PAID_IN_CAP","FQ3 2021","FQ3 2021","Currency=USD","Period=FQ","BEST_FPERIOD_OVERRIDE=FQ","FILING_STATUS=MR","SCALING_FORMAT=MLN","Sort=A","Dates=H","DateFormat=P","Fill=—","Direction=H","UseDPDF=Y")</f>
        <v>4492</v>
      </c>
      <c r="O74" s="13">
        <f>_xll.BDH("GILD US Equity","BS_ADD_PAID_IN_CAP","FQ4 2021","FQ4 2021","Currency=USD","Period=FQ","BEST_FPERIOD_OVERRIDE=FQ","FILING_STATUS=MR","SCALING_FORMAT=MLN","Sort=A","Dates=H","DateFormat=P","Fill=—","Direction=H","UseDPDF=Y")</f>
        <v>4661</v>
      </c>
      <c r="P74" s="13">
        <f>_xll.BDH("GILD US Equity","BS_ADD_PAID_IN_CAP","FQ1 2022","FQ1 2022","Currency=USD","Period=FQ","BEST_FPERIOD_OVERRIDE=FQ","FILING_STATUS=MR","SCALING_FORMAT=MLN","Sort=A","Dates=H","DateFormat=P","Fill=—","Direction=H","UseDPDF=Y")</f>
        <v>4867</v>
      </c>
      <c r="Q74" s="13">
        <f>_xll.BDH("GILD US Equity","BS_ADD_PAID_IN_CAP","FQ2 2022","FQ2 2022","Currency=USD","Period=FQ","BEST_FPERIOD_OVERRIDE=FQ","FILING_STATUS=MR","SCALING_FORMAT=MLN","Sort=A","Dates=H","DateFormat=P","Fill=—","Direction=H","UseDPDF=Y")</f>
        <v>5031</v>
      </c>
      <c r="R74" s="13">
        <f>_xll.BDH("GILD US Equity","BS_ADD_PAID_IN_CAP","FQ3 2022","FQ3 2022","Currency=USD","Period=FQ","BEST_FPERIOD_OVERRIDE=FQ","FILING_STATUS=MR","SCALING_FORMAT=MLN","Sort=A","Dates=H","DateFormat=P","Fill=—","Direction=H","UseDPDF=Y")</f>
        <v>5226</v>
      </c>
      <c r="S74" s="13">
        <f>_xll.BDH("GILD US Equity","BS_ADD_PAID_IN_CAP","FQ4 2022","FQ4 2022","Currency=USD","Period=FQ","BEST_FPERIOD_OVERRIDE=FQ","FILING_STATUS=MR","SCALING_FORMAT=MLN","Sort=A","Dates=H","DateFormat=P","Fill=—","Direction=H","UseDPDF=Y")</f>
        <v>5550</v>
      </c>
      <c r="T74" s="13">
        <f>_xll.BDH("GILD US Equity","BS_ADD_PAID_IN_CAP","FQ1 2023","FQ1 2023","Currency=USD","Period=FQ","BEST_FPERIOD_OVERRIDE=FQ","FILING_STATUS=MR","SCALING_FORMAT=MLN","Sort=A","Dates=H","DateFormat=P","Fill=—","Direction=H","UseDPDF=Y")</f>
        <v>5793</v>
      </c>
      <c r="U74" s="13">
        <f>_xll.BDH("GILD US Equity","BS_ADD_PAID_IN_CAP","FQ2 2023","FQ2 2023","Currency=USD","Period=FQ","BEST_FPERIOD_OVERRIDE=FQ","FILING_STATUS=MR","SCALING_FORMAT=MLN","Sort=A","Dates=H","DateFormat=P","Fill=—","Direction=H","UseDPDF=Y")</f>
        <v>6008</v>
      </c>
      <c r="V74" s="13">
        <f>_xll.BDH("GILD US Equity","BS_ADD_PAID_IN_CAP","FQ3 2023","FQ3 2023","Currency=USD","Period=FQ","BEST_FPERIOD_OVERRIDE=FQ","FILING_STATUS=MR","SCALING_FORMAT=MLN","Sort=A","Dates=H","DateFormat=P","Fill=—","Direction=H","UseDPDF=Y")</f>
        <v>6279</v>
      </c>
      <c r="W74" s="13">
        <f>_xll.BDH("GILD US Equity","BS_ADD_PAID_IN_CAP","FQ4 2023","FQ4 2023","Currency=USD","Period=FQ","BEST_FPERIOD_OVERRIDE=FQ","FILING_STATUS=MR","SCALING_FORMAT=MLN","Sort=A","Dates=H","DateFormat=P","Fill=—","Direction=H","UseDPDF=Y")</f>
        <v>6500</v>
      </c>
      <c r="X74" s="13">
        <f>_xll.BDH("GILD US Equity","BS_ADD_PAID_IN_CAP","FQ1 2024","FQ1 2024","Currency=USD","Period=FQ","BEST_FPERIOD_OVERRIDE=FQ","FILING_STATUS=MR","SCALING_FORMAT=MLN","Sort=A","Dates=H","DateFormat=P","Fill=—","Direction=H","UseDPDF=Y")</f>
        <v>6813</v>
      </c>
      <c r="Y74" s="13">
        <f>_xll.BDH("GILD US Equity","BS_ADD_PAID_IN_CAP","FQ2 2024","FQ2 2024","Currency=USD","Period=FQ","BEST_FPERIOD_OVERRIDE=FQ","FILING_STATUS=MR","SCALING_FORMAT=MLN","Sort=A","Dates=H","DateFormat=P","Fill=—","Direction=H","UseDPDF=Y")</f>
        <v>7022</v>
      </c>
      <c r="Z74" s="13">
        <f>_xll.BDH("GILD US Equity","BS_ADD_PAID_IN_CAP","FQ3 2024","FQ3 2024","Currency=USD","Period=FQ","BEST_FPERIOD_OVERRIDE=FQ","FILING_STATUS=MR","SCALING_FORMAT=MLN","Sort=A","Dates=H","DateFormat=P","Fill=—","Direction=H","UseDPDF=Y")</f>
        <v>7327</v>
      </c>
      <c r="AA74" s="13">
        <f>_xll.BDH("GILD US Equity","BS_ADD_PAID_IN_CAP","FQ4 2024","FQ4 2024","Currency=USD","Period=FQ","BEST_FPERIOD_OVERRIDE=FQ","FILING_STATUS=MR","SCALING_FORMAT=MLN","Sort=A","Dates=H","DateFormat=P","Fill=—","Direction=H","UseDPDF=Y")</f>
        <v>7700</v>
      </c>
    </row>
    <row r="75" spans="1:27" x14ac:dyDescent="0.25">
      <c r="A75" s="10" t="s">
        <v>864</v>
      </c>
      <c r="B75" s="10" t="s">
        <v>865</v>
      </c>
      <c r="C75" s="13">
        <f>_xll.BDH("GILD US Equity","BS_AMT_OF_TSY_STOCK","FQ4 2018","FQ4 2018","Currency=USD","Period=FQ","BEST_FPERIOD_OVERRIDE=FQ","FILING_STATUS=MR","SCALING_FORMAT=MLN","Sort=A","Dates=H","DateFormat=P","Fill=—","Direction=H","UseDPDF=Y")</f>
        <v>0</v>
      </c>
      <c r="D75" s="13">
        <f>_xll.BDH("GILD US Equity","BS_AMT_OF_TSY_STOCK","FQ1 2019","FQ1 2019","Currency=USD","Period=FQ","BEST_FPERIOD_OVERRIDE=FQ","FILING_STATUS=MR","SCALING_FORMAT=MLN","Sort=A","Dates=H","DateFormat=P","Fill=—","Direction=H","UseDPDF=Y")</f>
        <v>0</v>
      </c>
      <c r="E75" s="13">
        <f>_xll.BDH("GILD US Equity","BS_AMT_OF_TSY_STOCK","FQ2 2019","FQ2 2019","Currency=USD","Period=FQ","BEST_FPERIOD_OVERRIDE=FQ","FILING_STATUS=MR","SCALING_FORMAT=MLN","Sort=A","Dates=H","DateFormat=P","Fill=—","Direction=H","UseDPDF=Y")</f>
        <v>0</v>
      </c>
      <c r="F75" s="13">
        <f>_xll.BDH("GILD US Equity","BS_AMT_OF_TSY_STOCK","FQ3 2019","FQ3 2019","Currency=USD","Period=FQ","BEST_FPERIOD_OVERRIDE=FQ","FILING_STATUS=MR","SCALING_FORMAT=MLN","Sort=A","Dates=H","DateFormat=P","Fill=—","Direction=H","UseDPDF=Y")</f>
        <v>0</v>
      </c>
      <c r="G75" s="13">
        <f>_xll.BDH("GILD US Equity","BS_AMT_OF_TSY_STOCK","FQ4 2019","FQ4 2019","Currency=USD","Period=FQ","BEST_FPERIOD_OVERRIDE=FQ","FILING_STATUS=MR","SCALING_FORMAT=MLN","Sort=A","Dates=H","DateFormat=P","Fill=—","Direction=H","UseDPDF=Y")</f>
        <v>0</v>
      </c>
      <c r="H75" s="13">
        <f>_xll.BDH("GILD US Equity","BS_AMT_OF_TSY_STOCK","FQ1 2020","FQ1 2020","Currency=USD","Period=FQ","BEST_FPERIOD_OVERRIDE=FQ","FILING_STATUS=MR","SCALING_FORMAT=MLN","Sort=A","Dates=H","DateFormat=P","Fill=—","Direction=H","UseDPDF=Y")</f>
        <v>0</v>
      </c>
      <c r="I75" s="13">
        <f>_xll.BDH("GILD US Equity","BS_AMT_OF_TSY_STOCK","FQ2 2020","FQ2 2020","Currency=USD","Period=FQ","BEST_FPERIOD_OVERRIDE=FQ","FILING_STATUS=MR","SCALING_FORMAT=MLN","Sort=A","Dates=H","DateFormat=P","Fill=—","Direction=H","UseDPDF=Y")</f>
        <v>0</v>
      </c>
      <c r="J75" s="13">
        <f>_xll.BDH("GILD US Equity","BS_AMT_OF_TSY_STOCK","FQ3 2020","FQ3 2020","Currency=USD","Period=FQ","BEST_FPERIOD_OVERRIDE=FQ","FILING_STATUS=MR","SCALING_FORMAT=MLN","Sort=A","Dates=H","DateFormat=P","Fill=—","Direction=H","UseDPDF=Y")</f>
        <v>0</v>
      </c>
      <c r="K75" s="13">
        <f>_xll.BDH("GILD US Equity","BS_AMT_OF_TSY_STOCK","FQ4 2020","FQ4 2020","Currency=USD","Period=FQ","BEST_FPERIOD_OVERRIDE=FQ","FILING_STATUS=MR","SCALING_FORMAT=MLN","Sort=A","Dates=H","DateFormat=P","Fill=—","Direction=H","UseDPDF=Y")</f>
        <v>0</v>
      </c>
      <c r="L75" s="13">
        <f>_xll.BDH("GILD US Equity","BS_AMT_OF_TSY_STOCK","FQ1 2021","FQ1 2021","Currency=USD","Period=FQ","BEST_FPERIOD_OVERRIDE=FQ","FILING_STATUS=MR","SCALING_FORMAT=MLN","Sort=A","Dates=H","DateFormat=P","Fill=—","Direction=H","UseDPDF=Y")</f>
        <v>0</v>
      </c>
      <c r="M75" s="13">
        <f>_xll.BDH("GILD US Equity","BS_AMT_OF_TSY_STOCK","FQ2 2021","FQ2 2021","Currency=USD","Period=FQ","BEST_FPERIOD_OVERRIDE=FQ","FILING_STATUS=MR","SCALING_FORMAT=MLN","Sort=A","Dates=H","DateFormat=P","Fill=—","Direction=H","UseDPDF=Y")</f>
        <v>0</v>
      </c>
      <c r="N75" s="13">
        <f>_xll.BDH("GILD US Equity","BS_AMT_OF_TSY_STOCK","FQ3 2021","FQ3 2021","Currency=USD","Period=FQ","BEST_FPERIOD_OVERRIDE=FQ","FILING_STATUS=MR","SCALING_FORMAT=MLN","Sort=A","Dates=H","DateFormat=P","Fill=—","Direction=H","UseDPDF=Y")</f>
        <v>0</v>
      </c>
      <c r="O75" s="13">
        <f>_xll.BDH("GILD US Equity","BS_AMT_OF_TSY_STOCK","FQ4 2021","FQ4 2021","Currency=USD","Period=FQ","BEST_FPERIOD_OVERRIDE=FQ","FILING_STATUS=MR","SCALING_FORMAT=MLN","Sort=A","Dates=H","DateFormat=P","Fill=—","Direction=H","UseDPDF=Y")</f>
        <v>0</v>
      </c>
      <c r="P75" s="13">
        <f>_xll.BDH("GILD US Equity","BS_AMT_OF_TSY_STOCK","FQ1 2022","FQ1 2022","Currency=USD","Period=FQ","BEST_FPERIOD_OVERRIDE=FQ","FILING_STATUS=MR","SCALING_FORMAT=MLN","Sort=A","Dates=H","DateFormat=P","Fill=—","Direction=H","UseDPDF=Y")</f>
        <v>0</v>
      </c>
      <c r="Q75" s="13">
        <f>_xll.BDH("GILD US Equity","BS_AMT_OF_TSY_STOCK","FQ2 2022","FQ2 2022","Currency=USD","Period=FQ","BEST_FPERIOD_OVERRIDE=FQ","FILING_STATUS=MR","SCALING_FORMAT=MLN","Sort=A","Dates=H","DateFormat=P","Fill=—","Direction=H","UseDPDF=Y")</f>
        <v>0</v>
      </c>
      <c r="R75" s="13">
        <f>_xll.BDH("GILD US Equity","BS_AMT_OF_TSY_STOCK","FQ3 2022","FQ3 2022","Currency=USD","Period=FQ","BEST_FPERIOD_OVERRIDE=FQ","FILING_STATUS=MR","SCALING_FORMAT=MLN","Sort=A","Dates=H","DateFormat=P","Fill=—","Direction=H","UseDPDF=Y")</f>
        <v>0</v>
      </c>
      <c r="S75" s="13">
        <f>_xll.BDH("GILD US Equity","BS_AMT_OF_TSY_STOCK","FQ4 2022","FQ4 2022","Currency=USD","Period=FQ","BEST_FPERIOD_OVERRIDE=FQ","FILING_STATUS=MR","SCALING_FORMAT=MLN","Sort=A","Dates=H","DateFormat=P","Fill=—","Direction=H","UseDPDF=Y")</f>
        <v>0</v>
      </c>
      <c r="T75" s="13">
        <f>_xll.BDH("GILD US Equity","BS_AMT_OF_TSY_STOCK","FQ1 2023","FQ1 2023","Currency=USD","Period=FQ","BEST_FPERIOD_OVERRIDE=FQ","FILING_STATUS=MR","SCALING_FORMAT=MLN","Sort=A","Dates=H","DateFormat=P","Fill=—","Direction=H","UseDPDF=Y")</f>
        <v>0</v>
      </c>
      <c r="U75" s="13">
        <f>_xll.BDH("GILD US Equity","BS_AMT_OF_TSY_STOCK","FQ2 2023","FQ2 2023","Currency=USD","Period=FQ","BEST_FPERIOD_OVERRIDE=FQ","FILING_STATUS=MR","SCALING_FORMAT=MLN","Sort=A","Dates=H","DateFormat=P","Fill=—","Direction=H","UseDPDF=Y")</f>
        <v>0</v>
      </c>
      <c r="V75" s="13">
        <f>_xll.BDH("GILD US Equity","BS_AMT_OF_TSY_STOCK","FQ3 2023","FQ3 2023","Currency=USD","Period=FQ","BEST_FPERIOD_OVERRIDE=FQ","FILING_STATUS=MR","SCALING_FORMAT=MLN","Sort=A","Dates=H","DateFormat=P","Fill=—","Direction=H","UseDPDF=Y")</f>
        <v>0</v>
      </c>
      <c r="W75" s="13">
        <f>_xll.BDH("GILD US Equity","BS_AMT_OF_TSY_STOCK","FQ4 2023","FQ4 2023","Currency=USD","Period=FQ","BEST_FPERIOD_OVERRIDE=FQ","FILING_STATUS=MR","SCALING_FORMAT=MLN","Sort=A","Dates=H","DateFormat=P","Fill=—","Direction=H","UseDPDF=Y")</f>
        <v>0</v>
      </c>
      <c r="X75" s="13">
        <f>_xll.BDH("GILD US Equity","BS_AMT_OF_TSY_STOCK","FQ1 2024","FQ1 2024","Currency=USD","Period=FQ","BEST_FPERIOD_OVERRIDE=FQ","FILING_STATUS=MR","SCALING_FORMAT=MLN","Sort=A","Dates=H","DateFormat=P","Fill=—","Direction=H","UseDPDF=Y")</f>
        <v>0</v>
      </c>
      <c r="Y75" s="13">
        <f>_xll.BDH("GILD US Equity","BS_AMT_OF_TSY_STOCK","FQ2 2024","FQ2 2024","Currency=USD","Period=FQ","BEST_FPERIOD_OVERRIDE=FQ","FILING_STATUS=MR","SCALING_FORMAT=MLN","Sort=A","Dates=H","DateFormat=P","Fill=—","Direction=H","UseDPDF=Y")</f>
        <v>0</v>
      </c>
      <c r="Z75" s="13">
        <f>_xll.BDH("GILD US Equity","BS_AMT_OF_TSY_STOCK","FQ3 2024","FQ3 2024","Currency=USD","Period=FQ","BEST_FPERIOD_OVERRIDE=FQ","FILING_STATUS=MR","SCALING_FORMAT=MLN","Sort=A","Dates=H","DateFormat=P","Fill=—","Direction=H","UseDPDF=Y")</f>
        <v>0</v>
      </c>
      <c r="AA75" s="13">
        <f>_xll.BDH("GILD US Equity","BS_AMT_OF_TSY_STOCK","FQ4 2024","FQ4 2024","Currency=USD","Period=FQ","BEST_FPERIOD_OVERRIDE=FQ","FILING_STATUS=MR","SCALING_FORMAT=MLN","Sort=A","Dates=H","DateFormat=P","Fill=—","Direction=H","UseDPDF=Y")</f>
        <v>0</v>
      </c>
    </row>
    <row r="76" spans="1:27" x14ac:dyDescent="0.25">
      <c r="A76" s="10" t="s">
        <v>866</v>
      </c>
      <c r="B76" s="10" t="s">
        <v>867</v>
      </c>
      <c r="C76" s="13">
        <f>_xll.BDH("GILD US Equity","BS_PURE_RETAINED_EARNINGS","FQ4 2018","FQ4 2018","Currency=USD","Period=FQ","BEST_FPERIOD_OVERRIDE=FQ","FILING_STATUS=MR","SCALING_FORMAT=MLN","Sort=A","Dates=H","DateFormat=P","Fill=—","Direction=H","UseDPDF=Y")</f>
        <v>19024</v>
      </c>
      <c r="D76" s="13">
        <f>_xll.BDH("GILD US Equity","BS_PURE_RETAINED_EARNINGS","FQ1 2019","FQ1 2019","Currency=USD","Period=FQ","BEST_FPERIOD_OVERRIDE=FQ","FILING_STATUS=MR","SCALING_FORMAT=MLN","Sort=A","Dates=H","DateFormat=P","Fill=—","Direction=H","UseDPDF=Y")</f>
        <v>19326</v>
      </c>
      <c r="E76" s="13">
        <f>_xll.BDH("GILD US Equity","BS_PURE_RETAINED_EARNINGS","FQ2 2019","FQ2 2019","Currency=USD","Period=FQ","BEST_FPERIOD_OVERRIDE=FQ","FILING_STATUS=MR","SCALING_FORMAT=MLN","Sort=A","Dates=H","DateFormat=P","Fill=—","Direction=H","UseDPDF=Y")</f>
        <v>19829</v>
      </c>
      <c r="F76" s="13">
        <f>_xll.BDH("GILD US Equity","BS_PURE_RETAINED_EARNINGS","FQ3 2019","FQ3 2019","Currency=USD","Period=FQ","BEST_FPERIOD_OVERRIDE=FQ","FILING_STATUS=MR","SCALING_FORMAT=MLN","Sort=A","Dates=H","DateFormat=P","Fill=—","Direction=H","UseDPDF=Y")</f>
        <v>17616</v>
      </c>
      <c r="G76" s="13">
        <f>_xll.BDH("GILD US Equity","BS_PURE_RETAINED_EARNINGS","FQ4 2019","FQ4 2019","Currency=USD","Period=FQ","BEST_FPERIOD_OVERRIDE=FQ","FILING_STATUS=MR","SCALING_FORMAT=MLN","Sort=A","Dates=H","DateFormat=P","Fill=—","Direction=H","UseDPDF=Y")</f>
        <v>19388</v>
      </c>
      <c r="H76" s="13">
        <f>_xll.BDH("GILD US Equity","BS_PURE_RETAINED_EARNINGS","FQ1 2020","FQ1 2020","Currency=USD","Period=FQ","BEST_FPERIOD_OVERRIDE=FQ","FILING_STATUS=MR","SCALING_FORMAT=MLN","Sort=A","Dates=H","DateFormat=P","Fill=—","Direction=H","UseDPDF=Y")</f>
        <v>18709</v>
      </c>
      <c r="I76" s="13">
        <f>_xll.BDH("GILD US Equity","BS_PURE_RETAINED_EARNINGS","FQ2 2020","FQ2 2020","Currency=USD","Period=FQ","BEST_FPERIOD_OVERRIDE=FQ","FILING_STATUS=MR","SCALING_FORMAT=MLN","Sort=A","Dates=H","DateFormat=P","Fill=—","Direction=H","UseDPDF=Y")</f>
        <v>14445</v>
      </c>
      <c r="J76" s="13">
        <f>_xll.BDH("GILD US Equity","BS_PURE_RETAINED_EARNINGS","FQ3 2020","FQ3 2020","Currency=USD","Period=FQ","BEST_FPERIOD_OVERRIDE=FQ","FILING_STATUS=MR","SCALING_FORMAT=MLN","Sort=A","Dates=H","DateFormat=P","Fill=—","Direction=H","UseDPDF=Y")</f>
        <v>13709</v>
      </c>
      <c r="K76" s="13">
        <f>_xll.BDH("GILD US Equity","BS_PURE_RETAINED_EARNINGS","FQ4 2020","FQ4 2020","Currency=USD","Period=FQ","BEST_FPERIOD_OVERRIDE=FQ","FILING_STATUS=MR","SCALING_FORMAT=MLN","Sort=A","Dates=H","DateFormat=P","Fill=—","Direction=H","UseDPDF=Y")</f>
        <v>14381</v>
      </c>
      <c r="L76" s="13">
        <f>_xll.BDH("GILD US Equity","BS_PURE_RETAINED_EARNINGS","FQ1 2021","FQ1 2021","Currency=USD","Period=FQ","BEST_FPERIOD_OVERRIDE=FQ","FILING_STATUS=MR","SCALING_FORMAT=MLN","Sort=A","Dates=H","DateFormat=P","Fill=—","Direction=H","UseDPDF=Y")</f>
        <v>14821</v>
      </c>
      <c r="M76" s="13">
        <f>_xll.BDH("GILD US Equity","BS_PURE_RETAINED_EARNINGS","FQ2 2021","FQ2 2021","Currency=USD","Period=FQ","BEST_FPERIOD_OVERRIDE=FQ","FILING_STATUS=MR","SCALING_FORMAT=MLN","Sort=A","Dates=H","DateFormat=P","Fill=—","Direction=H","UseDPDF=Y")</f>
        <v>15392</v>
      </c>
      <c r="N76" s="13">
        <f>_xll.BDH("GILD US Equity","BS_PURE_RETAINED_EARNINGS","FQ3 2021","FQ3 2021","Currency=USD","Period=FQ","BEST_FPERIOD_OVERRIDE=FQ","FILING_STATUS=MR","SCALING_FORMAT=MLN","Sort=A","Dates=H","DateFormat=P","Fill=—","Direction=H","UseDPDF=Y")</f>
        <v>16903</v>
      </c>
      <c r="O76" s="13">
        <f>_xll.BDH("GILD US Equity","BS_PURE_RETAINED_EARNINGS","FQ4 2021","FQ4 2021","Currency=USD","Period=FQ","BEST_FPERIOD_OVERRIDE=FQ","FILING_STATUS=MR","SCALING_FORMAT=MLN","Sort=A","Dates=H","DateFormat=P","Fill=—","Direction=H","UseDPDF=Y")</f>
        <v>16324</v>
      </c>
      <c r="P76" s="13">
        <f>_xll.BDH("GILD US Equity","BS_PURE_RETAINED_EARNINGS","FQ1 2022","FQ1 2022","Currency=USD","Period=FQ","BEST_FPERIOD_OVERRIDE=FQ","FILING_STATUS=MR","SCALING_FORMAT=MLN","Sort=A","Dates=H","DateFormat=P","Fill=—","Direction=H","UseDPDF=Y")</f>
        <v>14986</v>
      </c>
      <c r="Q76" s="13">
        <f>_xll.BDH("GILD US Equity","BS_PURE_RETAINED_EARNINGS","FQ2 2022","FQ2 2022","Currency=USD","Period=FQ","BEST_FPERIOD_OVERRIDE=FQ","FILING_STATUS=MR","SCALING_FORMAT=MLN","Sort=A","Dates=H","DateFormat=P","Fill=—","Direction=H","UseDPDF=Y")</f>
        <v>15117</v>
      </c>
      <c r="R76" s="13">
        <f>_xll.BDH("GILD US Equity","BS_PURE_RETAINED_EARNINGS","FQ3 2022","FQ3 2022","Currency=USD","Period=FQ","BEST_FPERIOD_OVERRIDE=FQ","FILING_STATUS=MR","SCALING_FORMAT=MLN","Sort=A","Dates=H","DateFormat=P","Fill=—","Direction=H","UseDPDF=Y")</f>
        <v>15756</v>
      </c>
      <c r="S76" s="13">
        <f>_xll.BDH("GILD US Equity","BS_PURE_RETAINED_EARNINGS","FQ4 2022","FQ4 2022","Currency=USD","Period=FQ","BEST_FPERIOD_OVERRIDE=FQ","FILING_STATUS=MR","SCALING_FORMAT=MLN","Sort=A","Dates=H","DateFormat=P","Fill=—","Direction=H","UseDPDF=Y")</f>
        <v>15687</v>
      </c>
      <c r="T76" s="13">
        <f>_xll.BDH("GILD US Equity","BS_PURE_RETAINED_EARNINGS","FQ1 2023","FQ1 2023","Currency=USD","Period=FQ","BEST_FPERIOD_OVERRIDE=FQ","FILING_STATUS=MR","SCALING_FORMAT=MLN","Sort=A","Dates=H","DateFormat=P","Fill=—","Direction=H","UseDPDF=Y")</f>
        <v>15223</v>
      </c>
      <c r="U76" s="13">
        <f>_xll.BDH("GILD US Equity","BS_PURE_RETAINED_EARNINGS","FQ2 2023","FQ2 2023","Currency=USD","Period=FQ","BEST_FPERIOD_OVERRIDE=FQ","FILING_STATUS=MR","SCALING_FORMAT=MLN","Sort=A","Dates=H","DateFormat=P","Fill=—","Direction=H","UseDPDF=Y")</f>
        <v>15138</v>
      </c>
      <c r="V76" s="13">
        <f>_xll.BDH("GILD US Equity","BS_PURE_RETAINED_EARNINGS","FQ3 2023","FQ3 2023","Currency=USD","Period=FQ","BEST_FPERIOD_OVERRIDE=FQ","FILING_STATUS=MR","SCALING_FORMAT=MLN","Sort=A","Dates=H","DateFormat=P","Fill=—","Direction=H","UseDPDF=Y")</f>
        <v>16002</v>
      </c>
      <c r="W76" s="13">
        <f>_xll.BDH("GILD US Equity","BS_PURE_RETAINED_EARNINGS","FQ4 2023","FQ4 2023","Currency=USD","Period=FQ","BEST_FPERIOD_OVERRIDE=FQ","FILING_STATUS=MR","SCALING_FORMAT=MLN","Sort=A","Dates=H","DateFormat=P","Fill=—","Direction=H","UseDPDF=Y")</f>
        <v>16304</v>
      </c>
      <c r="X76" s="13">
        <f>_xll.BDH("GILD US Equity","BS_PURE_RETAINED_EARNINGS","FQ1 2024","FQ1 2024","Currency=USD","Period=FQ","BEST_FPERIOD_OVERRIDE=FQ","FILING_STATUS=MR","SCALING_FORMAT=MLN","Sort=A","Dates=H","DateFormat=P","Fill=—","Direction=H","UseDPDF=Y")</f>
        <v>10656</v>
      </c>
      <c r="Y76" s="13">
        <f>_xll.BDH("GILD US Equity","BS_PURE_RETAINED_EARNINGS","FQ2 2024","FQ2 2024","Currency=USD","Period=FQ","BEST_FPERIOD_OVERRIDE=FQ","FILING_STATUS=MR","SCALING_FORMAT=MLN","Sort=A","Dates=H","DateFormat=P","Fill=—","Direction=H","UseDPDF=Y")</f>
        <v>11165</v>
      </c>
      <c r="Z76" s="13">
        <f>_xll.BDH("GILD US Equity","BS_PURE_RETAINED_EARNINGS","FQ3 2024","FQ3 2024","Currency=USD","Period=FQ","BEST_FPERIOD_OVERRIDE=FQ","FILING_STATUS=MR","SCALING_FORMAT=MLN","Sort=A","Dates=H","DateFormat=P","Fill=—","Direction=H","UseDPDF=Y")</f>
        <v>11073</v>
      </c>
      <c r="AA76" s="13">
        <f>_xll.BDH("GILD US Equity","BS_PURE_RETAINED_EARNINGS","FQ4 2024","FQ4 2024","Currency=USD","Period=FQ","BEST_FPERIOD_OVERRIDE=FQ","FILING_STATUS=MR","SCALING_FORMAT=MLN","Sort=A","Dates=H","DateFormat=P","Fill=—","Direction=H","UseDPDF=Y")</f>
        <v>11497</v>
      </c>
    </row>
    <row r="77" spans="1:27" x14ac:dyDescent="0.25">
      <c r="A77" s="10" t="s">
        <v>868</v>
      </c>
      <c r="B77" s="10" t="s">
        <v>869</v>
      </c>
      <c r="C77" s="13">
        <f>_xll.BDH("GILD US Equity","OTHER_EQUITY_RATIO","FQ4 2018","FQ4 2018","Currency=USD","Period=FQ","BEST_FPERIOD_OVERRIDE=FQ","FILING_STATUS=MR","SCALING_FORMAT=MLN","Sort=A","Dates=H","DateFormat=P","Fill=—","Direction=H","UseDPDF=Y")</f>
        <v>80</v>
      </c>
      <c r="D77" s="13">
        <f>_xll.BDH("GILD US Equity","OTHER_EQUITY_RATIO","FQ1 2019","FQ1 2019","Currency=USD","Period=FQ","BEST_FPERIOD_OVERRIDE=FQ","FILING_STATUS=MR","SCALING_FORMAT=MLN","Sort=A","Dates=H","DateFormat=P","Fill=—","Direction=H","UseDPDF=Y")</f>
        <v>130</v>
      </c>
      <c r="E77" s="13">
        <f>_xll.BDH("GILD US Equity","OTHER_EQUITY_RATIO","FQ2 2019","FQ2 2019","Currency=USD","Period=FQ","BEST_FPERIOD_OVERRIDE=FQ","FILING_STATUS=MR","SCALING_FORMAT=MLN","Sort=A","Dates=H","DateFormat=P","Fill=—","Direction=H","UseDPDF=Y")</f>
        <v>102</v>
      </c>
      <c r="F77" s="13">
        <f>_xll.BDH("GILD US Equity","OTHER_EQUITY_RATIO","FQ3 2019","FQ3 2019","Currency=USD","Period=FQ","BEST_FPERIOD_OVERRIDE=FQ","FILING_STATUS=MR","SCALING_FORMAT=MLN","Sort=A","Dates=H","DateFormat=P","Fill=—","Direction=H","UseDPDF=Y")</f>
        <v>117</v>
      </c>
      <c r="G77" s="13">
        <f>_xll.BDH("GILD US Equity","OTHER_EQUITY_RATIO","FQ4 2019","FQ4 2019","Currency=USD","Period=FQ","BEST_FPERIOD_OVERRIDE=FQ","FILING_STATUS=MR","SCALING_FORMAT=MLN","Sort=A","Dates=H","DateFormat=P","Fill=—","Direction=H","UseDPDF=Y")</f>
        <v>85</v>
      </c>
      <c r="H77" s="13">
        <f>_xll.BDH("GILD US Equity","OTHER_EQUITY_RATIO","FQ1 2020","FQ1 2020","Currency=USD","Period=FQ","BEST_FPERIOD_OVERRIDE=FQ","FILING_STATUS=MR","SCALING_FORMAT=MLN","Sort=A","Dates=H","DateFormat=P","Fill=—","Direction=H","UseDPDF=Y")</f>
        <v>46</v>
      </c>
      <c r="I77" s="13">
        <f>_xll.BDH("GILD US Equity","OTHER_EQUITY_RATIO","FQ2 2020","FQ2 2020","Currency=USD","Period=FQ","BEST_FPERIOD_OVERRIDE=FQ","FILING_STATUS=MR","SCALING_FORMAT=MLN","Sort=A","Dates=H","DateFormat=P","Fill=—","Direction=H","UseDPDF=Y")</f>
        <v>70</v>
      </c>
      <c r="J77" s="13">
        <f>_xll.BDH("GILD US Equity","OTHER_EQUITY_RATIO","FQ3 2020","FQ3 2020","Currency=USD","Period=FQ","BEST_FPERIOD_OVERRIDE=FQ","FILING_STATUS=MR","SCALING_FORMAT=MLN","Sort=A","Dates=H","DateFormat=P","Fill=—","Direction=H","UseDPDF=Y")</f>
        <v>23</v>
      </c>
      <c r="K77" s="13">
        <f>_xll.BDH("GILD US Equity","OTHER_EQUITY_RATIO","FQ4 2020","FQ4 2020","Currency=USD","Period=FQ","BEST_FPERIOD_OVERRIDE=FQ","FILING_STATUS=MR","SCALING_FORMAT=MLN","Sort=A","Dates=H","DateFormat=P","Fill=—","Direction=H","UseDPDF=Y")</f>
        <v>-60</v>
      </c>
      <c r="L77" s="13">
        <f>_xll.BDH("GILD US Equity","OTHER_EQUITY_RATIO","FQ1 2021","FQ1 2021","Currency=USD","Period=FQ","BEST_FPERIOD_OVERRIDE=FQ","FILING_STATUS=MR","SCALING_FORMAT=MLN","Sort=A","Dates=H","DateFormat=P","Fill=—","Direction=H","UseDPDF=Y")</f>
        <v>38</v>
      </c>
      <c r="M77" s="13">
        <f>_xll.BDH("GILD US Equity","OTHER_EQUITY_RATIO","FQ2 2021","FQ2 2021","Currency=USD","Period=FQ","BEST_FPERIOD_OVERRIDE=FQ","FILING_STATUS=MR","SCALING_FORMAT=MLN","Sort=A","Dates=H","DateFormat=P","Fill=—","Direction=H","UseDPDF=Y")</f>
        <v>39</v>
      </c>
      <c r="N77" s="13">
        <f>_xll.BDH("GILD US Equity","OTHER_EQUITY_RATIO","FQ3 2021","FQ3 2021","Currency=USD","Period=FQ","BEST_FPERIOD_OVERRIDE=FQ","FILING_STATUS=MR","SCALING_FORMAT=MLN","Sort=A","Dates=H","DateFormat=P","Fill=—","Direction=H","UseDPDF=Y")</f>
        <v>74</v>
      </c>
      <c r="O77" s="13">
        <f>_xll.BDH("GILD US Equity","OTHER_EQUITY_RATIO","FQ4 2021","FQ4 2021","Currency=USD","Period=FQ","BEST_FPERIOD_OVERRIDE=FQ","FILING_STATUS=MR","SCALING_FORMAT=MLN","Sort=A","Dates=H","DateFormat=P","Fill=—","Direction=H","UseDPDF=Y")</f>
        <v>83</v>
      </c>
      <c r="P77" s="13">
        <f>_xll.BDH("GILD US Equity","OTHER_EQUITY_RATIO","FQ1 2022","FQ1 2022","Currency=USD","Period=FQ","BEST_FPERIOD_OVERRIDE=FQ","FILING_STATUS=MR","SCALING_FORMAT=MLN","Sort=A","Dates=H","DateFormat=P","Fill=—","Direction=H","UseDPDF=Y")</f>
        <v>73</v>
      </c>
      <c r="Q77" s="13">
        <f>_xll.BDH("GILD US Equity","OTHER_EQUITY_RATIO","FQ2 2022","FQ2 2022","Currency=USD","Period=FQ","BEST_FPERIOD_OVERRIDE=FQ","FILING_STATUS=MR","SCALING_FORMAT=MLN","Sort=A","Dates=H","DateFormat=P","Fill=—","Direction=H","UseDPDF=Y")</f>
        <v>87</v>
      </c>
      <c r="R77" s="13">
        <f>_xll.BDH("GILD US Equity","OTHER_EQUITY_RATIO","FQ3 2022","FQ3 2022","Currency=USD","Period=FQ","BEST_FPERIOD_OVERRIDE=FQ","FILING_STATUS=MR","SCALING_FORMAT=MLN","Sort=A","Dates=H","DateFormat=P","Fill=—","Direction=H","UseDPDF=Y")</f>
        <v>98</v>
      </c>
      <c r="S77" s="13">
        <f>_xll.BDH("GILD US Equity","OTHER_EQUITY_RATIO","FQ4 2022","FQ4 2022","Currency=USD","Period=FQ","BEST_FPERIOD_OVERRIDE=FQ","FILING_STATUS=MR","SCALING_FORMAT=MLN","Sort=A","Dates=H","DateFormat=P","Fill=—","Direction=H","UseDPDF=Y")</f>
        <v>2</v>
      </c>
      <c r="T77" s="13">
        <f>_xll.BDH("GILD US Equity","OTHER_EQUITY_RATIO","FQ1 2023","FQ1 2023","Currency=USD","Period=FQ","BEST_FPERIOD_OVERRIDE=FQ","FILING_STATUS=MR","SCALING_FORMAT=MLN","Sort=A","Dates=H","DateFormat=P","Fill=—","Direction=H","UseDPDF=Y")</f>
        <v>-20</v>
      </c>
      <c r="U77" s="13">
        <f>_xll.BDH("GILD US Equity","OTHER_EQUITY_RATIO","FQ2 2023","FQ2 2023","Currency=USD","Period=FQ","BEST_FPERIOD_OVERRIDE=FQ","FILING_STATUS=MR","SCALING_FORMAT=MLN","Sort=A","Dates=H","DateFormat=P","Fill=—","Direction=H","UseDPDF=Y")</f>
        <v>11</v>
      </c>
      <c r="V77" s="13">
        <f>_xll.BDH("GILD US Equity","OTHER_EQUITY_RATIO","FQ3 2023","FQ3 2023","Currency=USD","Period=FQ","BEST_FPERIOD_OVERRIDE=FQ","FILING_STATUS=MR","SCALING_FORMAT=MLN","Sort=A","Dates=H","DateFormat=P","Fill=—","Direction=H","UseDPDF=Y")</f>
        <v>33</v>
      </c>
      <c r="W77" s="13">
        <f>_xll.BDH("GILD US Equity","OTHER_EQUITY_RATIO","FQ4 2023","FQ4 2023","Currency=USD","Period=FQ","BEST_FPERIOD_OVERRIDE=FQ","FILING_STATUS=MR","SCALING_FORMAT=MLN","Sort=A","Dates=H","DateFormat=P","Fill=—","Direction=H","UseDPDF=Y")</f>
        <v>28</v>
      </c>
      <c r="X77" s="13">
        <f>_xll.BDH("GILD US Equity","OTHER_EQUITY_RATIO","FQ1 2024","FQ1 2024","Currency=USD","Period=FQ","BEST_FPERIOD_OVERRIDE=FQ","FILING_STATUS=MR","SCALING_FORMAT=MLN","Sort=A","Dates=H","DateFormat=P","Fill=—","Direction=H","UseDPDF=Y")</f>
        <v>69</v>
      </c>
      <c r="Y77" s="13">
        <f>_xll.BDH("GILD US Equity","OTHER_EQUITY_RATIO","FQ2 2024","FQ2 2024","Currency=USD","Period=FQ","BEST_FPERIOD_OVERRIDE=FQ","FILING_STATUS=MR","SCALING_FORMAT=MLN","Sort=A","Dates=H","DateFormat=P","Fill=—","Direction=H","UseDPDF=Y")</f>
        <v>93</v>
      </c>
      <c r="Z77" s="13">
        <f>_xll.BDH("GILD US Equity","OTHER_EQUITY_RATIO","FQ3 2024","FQ3 2024","Currency=USD","Period=FQ","BEST_FPERIOD_OVERRIDE=FQ","FILING_STATUS=MR","SCALING_FORMAT=MLN","Sort=A","Dates=H","DateFormat=P","Fill=—","Direction=H","UseDPDF=Y")</f>
        <v>73</v>
      </c>
      <c r="AA77" s="13">
        <f>_xll.BDH("GILD US Equity","OTHER_EQUITY_RATIO","FQ4 2024","FQ4 2024","Currency=USD","Period=FQ","BEST_FPERIOD_OVERRIDE=FQ","FILING_STATUS=MR","SCALING_FORMAT=MLN","Sort=A","Dates=H","DateFormat=P","Fill=—","Direction=H","UseDPDF=Y")</f>
        <v>132</v>
      </c>
    </row>
    <row r="78" spans="1:27" x14ac:dyDescent="0.25">
      <c r="A78" s="6" t="s">
        <v>870</v>
      </c>
      <c r="B78" s="6" t="s">
        <v>871</v>
      </c>
      <c r="C78" s="19">
        <f>_xll.BDH("GILD US Equity","EQTY_BEF_MINORITY_INT_DETAILED","FQ4 2018","FQ4 2018","Currency=USD","Period=FQ","BEST_FPERIOD_OVERRIDE=FQ","FILING_STATUS=MR","SCALING_FORMAT=MLN","Sort=A","Dates=H","DateFormat=P","Fill=—","Direction=H","UseDPDF=Y")</f>
        <v>21387</v>
      </c>
      <c r="D78" s="19">
        <f>_xll.BDH("GILD US Equity","EQTY_BEF_MINORITY_INT_DETAILED","FQ1 2019","FQ1 2019","Currency=USD","Period=FQ","BEST_FPERIOD_OVERRIDE=FQ","FILING_STATUS=MR","SCALING_FORMAT=MLN","Sort=A","Dates=H","DateFormat=P","Fill=—","Direction=H","UseDPDF=Y")</f>
        <v>21951</v>
      </c>
      <c r="E78" s="19">
        <f>_xll.BDH("GILD US Equity","EQTY_BEF_MINORITY_INT_DETAILED","FQ2 2019","FQ2 2019","Currency=USD","Period=FQ","BEST_FPERIOD_OVERRIDE=FQ","FILING_STATUS=MR","SCALING_FORMAT=MLN","Sort=A","Dates=H","DateFormat=P","Fill=—","Direction=H","UseDPDF=Y")</f>
        <v>22616</v>
      </c>
      <c r="F78" s="19">
        <f>_xll.BDH("GILD US Equity","EQTY_BEF_MINORITY_INT_DETAILED","FQ3 2019","FQ3 2019","Currency=USD","Period=FQ","BEST_FPERIOD_OVERRIDE=FQ","FILING_STATUS=MR","SCALING_FORMAT=MLN","Sort=A","Dates=H","DateFormat=P","Fill=—","Direction=H","UseDPDF=Y")</f>
        <v>20604</v>
      </c>
      <c r="G78" s="19">
        <f>_xll.BDH("GILD US Equity","EQTY_BEF_MINORITY_INT_DETAILED","FQ4 2019","FQ4 2019","Currency=USD","Period=FQ","BEST_FPERIOD_OVERRIDE=FQ","FILING_STATUS=MR","SCALING_FORMAT=MLN","Sort=A","Dates=H","DateFormat=P","Fill=—","Direction=H","UseDPDF=Y")</f>
        <v>22525</v>
      </c>
      <c r="H78" s="19">
        <f>_xll.BDH("GILD US Equity","EQTY_BEF_MINORITY_INT_DETAILED","FQ1 2020","FQ1 2020","Currency=USD","Period=FQ","BEST_FPERIOD_OVERRIDE=FQ","FILING_STATUS=MR","SCALING_FORMAT=MLN","Sort=A","Dates=H","DateFormat=P","Fill=—","Direction=H","UseDPDF=Y")</f>
        <v>22067</v>
      </c>
      <c r="I78" s="19">
        <f>_xll.BDH("GILD US Equity","EQTY_BEF_MINORITY_INT_DETAILED","FQ2 2020","FQ2 2020","Currency=USD","Period=FQ","BEST_FPERIOD_OVERRIDE=FQ","FILING_STATUS=MR","SCALING_FORMAT=MLN","Sort=A","Dates=H","DateFormat=P","Fill=—","Direction=H","UseDPDF=Y")</f>
        <v>18027</v>
      </c>
      <c r="J78" s="19">
        <f>_xll.BDH("GILD US Equity","EQTY_BEF_MINORITY_INT_DETAILED","FQ3 2020","FQ3 2020","Currency=USD","Period=FQ","BEST_FPERIOD_OVERRIDE=FQ","FILING_STATUS=MR","SCALING_FORMAT=MLN","Sort=A","Dates=H","DateFormat=P","Fill=—","Direction=H","UseDPDF=Y")</f>
        <v>17445</v>
      </c>
      <c r="K78" s="19">
        <f>_xll.BDH("GILD US Equity","EQTY_BEF_MINORITY_INT_DETAILED","FQ4 2020","FQ4 2020","Currency=USD","Period=FQ","BEST_FPERIOD_OVERRIDE=FQ","FILING_STATUS=MR","SCALING_FORMAT=MLN","Sort=A","Dates=H","DateFormat=P","Fill=—","Direction=H","UseDPDF=Y")</f>
        <v>18202</v>
      </c>
      <c r="L78" s="19">
        <f>_xll.BDH("GILD US Equity","EQTY_BEF_MINORITY_INT_DETAILED","FQ1 2021","FQ1 2021","Currency=USD","Period=FQ","BEST_FPERIOD_OVERRIDE=FQ","FILING_STATUS=MR","SCALING_FORMAT=MLN","Sort=A","Dates=H","DateFormat=P","Fill=—","Direction=H","UseDPDF=Y")</f>
        <v>18952</v>
      </c>
      <c r="M78" s="19">
        <f>_xll.BDH("GILD US Equity","EQTY_BEF_MINORITY_INT_DETAILED","FQ2 2021","FQ2 2021","Currency=USD","Period=FQ","BEST_FPERIOD_OVERRIDE=FQ","FILING_STATUS=MR","SCALING_FORMAT=MLN","Sort=A","Dates=H","DateFormat=P","Fill=—","Direction=H","UseDPDF=Y")</f>
        <v>19703</v>
      </c>
      <c r="N78" s="19">
        <f>_xll.BDH("GILD US Equity","EQTY_BEF_MINORITY_INT_DETAILED","FQ3 2021","FQ3 2021","Currency=USD","Period=FQ","BEST_FPERIOD_OVERRIDE=FQ","FILING_STATUS=MR","SCALING_FORMAT=MLN","Sort=A","Dates=H","DateFormat=P","Fill=—","Direction=H","UseDPDF=Y")</f>
        <v>21470</v>
      </c>
      <c r="O78" s="19">
        <f>_xll.BDH("GILD US Equity","EQTY_BEF_MINORITY_INT_DETAILED","FQ4 2021","FQ4 2021","Currency=USD","Period=FQ","BEST_FPERIOD_OVERRIDE=FQ","FILING_STATUS=MR","SCALING_FORMAT=MLN","Sort=A","Dates=H","DateFormat=P","Fill=—","Direction=H","UseDPDF=Y")</f>
        <v>21069</v>
      </c>
      <c r="P78" s="19">
        <f>_xll.BDH("GILD US Equity","EQTY_BEF_MINORITY_INT_DETAILED","FQ1 2022","FQ1 2022","Currency=USD","Period=FQ","BEST_FPERIOD_OVERRIDE=FQ","FILING_STATUS=MR","SCALING_FORMAT=MLN","Sort=A","Dates=H","DateFormat=P","Fill=—","Direction=H","UseDPDF=Y")</f>
        <v>19927</v>
      </c>
      <c r="Q78" s="19">
        <f>_xll.BDH("GILD US Equity","EQTY_BEF_MINORITY_INT_DETAILED","FQ2 2022","FQ2 2022","Currency=USD","Period=FQ","BEST_FPERIOD_OVERRIDE=FQ","FILING_STATUS=MR","SCALING_FORMAT=MLN","Sort=A","Dates=H","DateFormat=P","Fill=—","Direction=H","UseDPDF=Y")</f>
        <v>20236</v>
      </c>
      <c r="R78" s="19">
        <f>_xll.BDH("GILD US Equity","EQTY_BEF_MINORITY_INT_DETAILED","FQ3 2022","FQ3 2022","Currency=USD","Period=FQ","BEST_FPERIOD_OVERRIDE=FQ","FILING_STATUS=MR","SCALING_FORMAT=MLN","Sort=A","Dates=H","DateFormat=P","Fill=—","Direction=H","UseDPDF=Y")</f>
        <v>21081</v>
      </c>
      <c r="S78" s="19">
        <f>_xll.BDH("GILD US Equity","EQTY_BEF_MINORITY_INT_DETAILED","FQ4 2022","FQ4 2022","Currency=USD","Period=FQ","BEST_FPERIOD_OVERRIDE=FQ","FILING_STATUS=MR","SCALING_FORMAT=MLN","Sort=A","Dates=H","DateFormat=P","Fill=—","Direction=H","UseDPDF=Y")</f>
        <v>21240</v>
      </c>
      <c r="T78" s="19">
        <f>_xll.BDH("GILD US Equity","EQTY_BEF_MINORITY_INT_DETAILED","FQ1 2023","FQ1 2023","Currency=USD","Period=FQ","BEST_FPERIOD_OVERRIDE=FQ","FILING_STATUS=MR","SCALING_FORMAT=MLN","Sort=A","Dates=H","DateFormat=P","Fill=—","Direction=H","UseDPDF=Y")</f>
        <v>20997</v>
      </c>
      <c r="U78" s="19">
        <f>_xll.BDH("GILD US Equity","EQTY_BEF_MINORITY_INT_DETAILED","FQ2 2023","FQ2 2023","Currency=USD","Period=FQ","BEST_FPERIOD_OVERRIDE=FQ","FILING_STATUS=MR","SCALING_FORMAT=MLN","Sort=A","Dates=H","DateFormat=P","Fill=—","Direction=H","UseDPDF=Y")</f>
        <v>21158</v>
      </c>
      <c r="V78" s="19">
        <f>_xll.BDH("GILD US Equity","EQTY_BEF_MINORITY_INT_DETAILED","FQ3 2023","FQ3 2023","Currency=USD","Period=FQ","BEST_FPERIOD_OVERRIDE=FQ","FILING_STATUS=MR","SCALING_FORMAT=MLN","Sort=A","Dates=H","DateFormat=P","Fill=—","Direction=H","UseDPDF=Y")</f>
        <v>22315</v>
      </c>
      <c r="W78" s="19">
        <f>_xll.BDH("GILD US Equity","EQTY_BEF_MINORITY_INT_DETAILED","FQ4 2023","FQ4 2023","Currency=USD","Period=FQ","BEST_FPERIOD_OVERRIDE=FQ","FILING_STATUS=MR","SCALING_FORMAT=MLN","Sort=A","Dates=H","DateFormat=P","Fill=—","Direction=H","UseDPDF=Y")</f>
        <v>22833</v>
      </c>
      <c r="X78" s="19">
        <f>_xll.BDH("GILD US Equity","EQTY_BEF_MINORITY_INT_DETAILED","FQ1 2024","FQ1 2024","Currency=USD","Period=FQ","BEST_FPERIOD_OVERRIDE=FQ","FILING_STATUS=MR","SCALING_FORMAT=MLN","Sort=A","Dates=H","DateFormat=P","Fill=—","Direction=H","UseDPDF=Y")</f>
        <v>17539</v>
      </c>
      <c r="Y78" s="19">
        <f>_xll.BDH("GILD US Equity","EQTY_BEF_MINORITY_INT_DETAILED","FQ2 2024","FQ2 2024","Currency=USD","Period=FQ","BEST_FPERIOD_OVERRIDE=FQ","FILING_STATUS=MR","SCALING_FORMAT=MLN","Sort=A","Dates=H","DateFormat=P","Fill=—","Direction=H","UseDPDF=Y")</f>
        <v>18281</v>
      </c>
      <c r="Z78" s="19">
        <f>_xll.BDH("GILD US Equity","EQTY_BEF_MINORITY_INT_DETAILED","FQ3 2024","FQ3 2024","Currency=USD","Period=FQ","BEST_FPERIOD_OVERRIDE=FQ","FILING_STATUS=MR","SCALING_FORMAT=MLN","Sort=A","Dates=H","DateFormat=P","Fill=—","Direction=H","UseDPDF=Y")</f>
        <v>18474</v>
      </c>
      <c r="AA78" s="19">
        <f>_xll.BDH("GILD US Equity","EQTY_BEF_MINORITY_INT_DETAILED","FQ4 2024","FQ4 2024","Currency=USD","Period=FQ","BEST_FPERIOD_OVERRIDE=FQ","FILING_STATUS=MR","SCALING_FORMAT=MLN","Sort=A","Dates=H","DateFormat=P","Fill=—","Direction=H","UseDPDF=Y")</f>
        <v>19330</v>
      </c>
    </row>
    <row r="79" spans="1:27" x14ac:dyDescent="0.25">
      <c r="A79" s="10" t="s">
        <v>872</v>
      </c>
      <c r="B79" s="10" t="s">
        <v>170</v>
      </c>
      <c r="C79" s="13">
        <f>_xll.BDH("GILD US Equity","MINORITY_NONCONTROLLING_INTEREST","FQ4 2018","FQ4 2018","Currency=USD","Period=FQ","BEST_FPERIOD_OVERRIDE=FQ","FILING_STATUS=MR","SCALING_FORMAT=MLN","Sort=A","Dates=H","DateFormat=P","Fill=—","Direction=H","UseDPDF=Y")</f>
        <v>147</v>
      </c>
      <c r="D79" s="13">
        <f>_xll.BDH("GILD US Equity","MINORITY_NONCONTROLLING_INTEREST","FQ1 2019","FQ1 2019","Currency=USD","Period=FQ","BEST_FPERIOD_OVERRIDE=FQ","FILING_STATUS=MR","SCALING_FORMAT=MLN","Sort=A","Dates=H","DateFormat=P","Fill=—","Direction=H","UseDPDF=Y")</f>
        <v>140</v>
      </c>
      <c r="E79" s="13">
        <f>_xll.BDH("GILD US Equity","MINORITY_NONCONTROLLING_INTEREST","FQ2 2019","FQ2 2019","Currency=USD","Period=FQ","BEST_FPERIOD_OVERRIDE=FQ","FILING_STATUS=MR","SCALING_FORMAT=MLN","Sort=A","Dates=H","DateFormat=P","Fill=—","Direction=H","UseDPDF=Y")</f>
        <v>135</v>
      </c>
      <c r="F79" s="13">
        <f>_xll.BDH("GILD US Equity","MINORITY_NONCONTROLLING_INTEREST","FQ3 2019","FQ3 2019","Currency=USD","Period=FQ","BEST_FPERIOD_OVERRIDE=FQ","FILING_STATUS=MR","SCALING_FORMAT=MLN","Sort=A","Dates=H","DateFormat=P","Fill=—","Direction=H","UseDPDF=Y")</f>
        <v>132</v>
      </c>
      <c r="G79" s="13">
        <f>_xll.BDH("GILD US Equity","MINORITY_NONCONTROLLING_INTEREST","FQ4 2019","FQ4 2019","Currency=USD","Period=FQ","BEST_FPERIOD_OVERRIDE=FQ","FILING_STATUS=MR","SCALING_FORMAT=MLN","Sort=A","Dates=H","DateFormat=P","Fill=—","Direction=H","UseDPDF=Y")</f>
        <v>125</v>
      </c>
      <c r="H79" s="13">
        <f>_xll.BDH("GILD US Equity","MINORITY_NONCONTROLLING_INTEREST","FQ1 2020","FQ1 2020","Currency=USD","Period=FQ","BEST_FPERIOD_OVERRIDE=FQ","FILING_STATUS=MR","SCALING_FORMAT=MLN","Sort=A","Dates=H","DateFormat=P","Fill=—","Direction=H","UseDPDF=Y")</f>
        <v>112</v>
      </c>
      <c r="I79" s="13">
        <f>_xll.BDH("GILD US Equity","MINORITY_NONCONTROLLING_INTEREST","FQ2 2020","FQ2 2020","Currency=USD","Period=FQ","BEST_FPERIOD_OVERRIDE=FQ","FILING_STATUS=MR","SCALING_FORMAT=MLN","Sort=A","Dates=H","DateFormat=P","Fill=—","Direction=H","UseDPDF=Y")</f>
        <v>115</v>
      </c>
      <c r="J79" s="13">
        <f>_xll.BDH("GILD US Equity","MINORITY_NONCONTROLLING_INTEREST","FQ3 2020","FQ3 2020","Currency=USD","Period=FQ","BEST_FPERIOD_OVERRIDE=FQ","FILING_STATUS=MR","SCALING_FORMAT=MLN","Sort=A","Dates=H","DateFormat=P","Fill=—","Direction=H","UseDPDF=Y")</f>
        <v>26</v>
      </c>
      <c r="K79" s="13">
        <f>_xll.BDH("GILD US Equity","MINORITY_NONCONTROLLING_INTEREST","FQ4 2020","FQ4 2020","Currency=USD","Period=FQ","BEST_FPERIOD_OVERRIDE=FQ","FILING_STATUS=MR","SCALING_FORMAT=MLN","Sort=A","Dates=H","DateFormat=P","Fill=—","Direction=H","UseDPDF=Y")</f>
        <v>19</v>
      </c>
      <c r="L79" s="13">
        <f>_xll.BDH("GILD US Equity","MINORITY_NONCONTROLLING_INTEREST","FQ1 2021","FQ1 2021","Currency=USD","Period=FQ","BEST_FPERIOD_OVERRIDE=FQ","FILING_STATUS=MR","SCALING_FORMAT=MLN","Sort=A","Dates=H","DateFormat=P","Fill=—","Direction=H","UseDPDF=Y")</f>
        <v>12</v>
      </c>
      <c r="M79" s="13">
        <f>_xll.BDH("GILD US Equity","MINORITY_NONCONTROLLING_INTEREST","FQ2 2021","FQ2 2021","Currency=USD","Period=FQ","BEST_FPERIOD_OVERRIDE=FQ","FILING_STATUS=MR","SCALING_FORMAT=MLN","Sort=A","Dates=H","DateFormat=P","Fill=—","Direction=H","UseDPDF=Y")</f>
        <v>7</v>
      </c>
      <c r="N79" s="13">
        <f>_xll.BDH("GILD US Equity","MINORITY_NONCONTROLLING_INTEREST","FQ3 2021","FQ3 2021","Currency=USD","Period=FQ","BEST_FPERIOD_OVERRIDE=FQ","FILING_STATUS=MR","SCALING_FORMAT=MLN","Sort=A","Dates=H","DateFormat=P","Fill=—","Direction=H","UseDPDF=Y")</f>
        <v>1</v>
      </c>
      <c r="O79" s="13">
        <f>_xll.BDH("GILD US Equity","MINORITY_NONCONTROLLING_INTEREST","FQ4 2021","FQ4 2021","Currency=USD","Period=FQ","BEST_FPERIOD_OVERRIDE=FQ","FILING_STATUS=MR","SCALING_FORMAT=MLN","Sort=A","Dates=H","DateFormat=P","Fill=—","Direction=H","UseDPDF=Y")</f>
        <v>-5</v>
      </c>
      <c r="P79" s="13">
        <f>_xll.BDH("GILD US Equity","MINORITY_NONCONTROLLING_INTEREST","FQ1 2022","FQ1 2022","Currency=USD","Period=FQ","BEST_FPERIOD_OVERRIDE=FQ","FILING_STATUS=MR","SCALING_FORMAT=MLN","Sort=A","Dates=H","DateFormat=P","Fill=—","Direction=H","UseDPDF=Y")</f>
        <v>-12</v>
      </c>
      <c r="Q79" s="13">
        <f>_xll.BDH("GILD US Equity","MINORITY_NONCONTROLLING_INTEREST","FQ2 2022","FQ2 2022","Currency=USD","Period=FQ","BEST_FPERIOD_OVERRIDE=FQ","FILING_STATUS=MR","SCALING_FORMAT=MLN","Sort=A","Dates=H","DateFormat=P","Fill=—","Direction=H","UseDPDF=Y")</f>
        <v>-21</v>
      </c>
      <c r="R79" s="13">
        <f>_xll.BDH("GILD US Equity","MINORITY_NONCONTROLLING_INTEREST","FQ3 2022","FQ3 2022","Currency=USD","Period=FQ","BEST_FPERIOD_OVERRIDE=FQ","FILING_STATUS=MR","SCALING_FORMAT=MLN","Sort=A","Dates=H","DateFormat=P","Fill=—","Direction=H","UseDPDF=Y")</f>
        <v>-24</v>
      </c>
      <c r="S79" s="13">
        <f>_xll.BDH("GILD US Equity","MINORITY_NONCONTROLLING_INTEREST","FQ4 2022","FQ4 2022","Currency=USD","Period=FQ","BEST_FPERIOD_OVERRIDE=FQ","FILING_STATUS=MR","SCALING_FORMAT=MLN","Sort=A","Dates=H","DateFormat=P","Fill=—","Direction=H","UseDPDF=Y")</f>
        <v>-31</v>
      </c>
      <c r="T79" s="13">
        <f>_xll.BDH("GILD US Equity","MINORITY_NONCONTROLLING_INTEREST","FQ1 2023","FQ1 2023","Currency=USD","Period=FQ","BEST_FPERIOD_OVERRIDE=FQ","FILING_STATUS=MR","SCALING_FORMAT=MLN","Sort=A","Dates=H","DateFormat=P","Fill=—","Direction=H","UseDPDF=Y")</f>
        <v>-58</v>
      </c>
      <c r="U79" s="13">
        <f>_xll.BDH("GILD US Equity","MINORITY_NONCONTROLLING_INTEREST","FQ2 2023","FQ2 2023","Currency=USD","Period=FQ","BEST_FPERIOD_OVERRIDE=FQ","FILING_STATUS=MR","SCALING_FORMAT=MLN","Sort=A","Dates=H","DateFormat=P","Fill=—","Direction=H","UseDPDF=Y")</f>
        <v>-64</v>
      </c>
      <c r="V79" s="13">
        <f>_xll.BDH("GILD US Equity","MINORITY_NONCONTROLLING_INTEREST","FQ3 2023","FQ3 2023","Currency=USD","Period=FQ","BEST_FPERIOD_OVERRIDE=FQ","FILING_STATUS=MR","SCALING_FORMAT=MLN","Sort=A","Dates=H","DateFormat=P","Fill=—","Direction=H","UseDPDF=Y")</f>
        <v>-72</v>
      </c>
      <c r="W79" s="13">
        <f>_xll.BDH("GILD US Equity","MINORITY_NONCONTROLLING_INTEREST","FQ4 2023","FQ4 2023","Currency=USD","Period=FQ","BEST_FPERIOD_OVERRIDE=FQ","FILING_STATUS=MR","SCALING_FORMAT=MLN","Sort=A","Dates=H","DateFormat=P","Fill=—","Direction=H","UseDPDF=Y")</f>
        <v>-84</v>
      </c>
      <c r="X79" s="13">
        <f>_xll.BDH("GILD US Equity","MINORITY_NONCONTROLLING_INTEREST","FQ1 2024","FQ1 2024","Currency=USD","Period=FQ","BEST_FPERIOD_OVERRIDE=FQ","FILING_STATUS=MR","SCALING_FORMAT=MLN","Sort=A","Dates=H","DateFormat=P","Fill=—","Direction=H","UseDPDF=Y")</f>
        <v>-84</v>
      </c>
      <c r="Y79" s="13">
        <f>_xll.BDH("GILD US Equity","MINORITY_NONCONTROLLING_INTEREST","FQ2 2024","FQ2 2024","Currency=USD","Period=FQ","BEST_FPERIOD_OVERRIDE=FQ","FILING_STATUS=MR","SCALING_FORMAT=MLN","Sort=A","Dates=H","DateFormat=P","Fill=—","Direction=H","UseDPDF=Y")</f>
        <v>-84</v>
      </c>
      <c r="Z79" s="13">
        <f>_xll.BDH("GILD US Equity","MINORITY_NONCONTROLLING_INTEREST","FQ3 2024","FQ3 2024","Currency=USD","Period=FQ","BEST_FPERIOD_OVERRIDE=FQ","FILING_STATUS=MR","SCALING_FORMAT=MLN","Sort=A","Dates=H","DateFormat=P","Fill=—","Direction=H","UseDPDF=Y")</f>
        <v>-84</v>
      </c>
      <c r="AA79" s="13">
        <f>_xll.BDH("GILD US Equity","MINORITY_NONCONTROLLING_INTEREST","FQ4 2024","FQ4 2024","Currency=USD","Period=FQ","BEST_FPERIOD_OVERRIDE=FQ","FILING_STATUS=MR","SCALING_FORMAT=MLN","Sort=A","Dates=H","DateFormat=P","Fill=—","Direction=H","UseDPDF=Y")</f>
        <v>-84</v>
      </c>
    </row>
    <row r="80" spans="1:27" x14ac:dyDescent="0.25">
      <c r="A80" s="6" t="s">
        <v>118</v>
      </c>
      <c r="B80" s="6" t="s">
        <v>119</v>
      </c>
      <c r="C80" s="19">
        <f>_xll.BDH("GILD US Equity","TOTAL_EQUITY","FQ4 2018","FQ4 2018","Currency=USD","Period=FQ","BEST_FPERIOD_OVERRIDE=FQ","FILING_STATUS=MR","SCALING_FORMAT=MLN","Sort=A","Dates=H","DateFormat=P","Fill=—","Direction=H","UseDPDF=Y")</f>
        <v>21534</v>
      </c>
      <c r="D80" s="19">
        <f>_xll.BDH("GILD US Equity","TOTAL_EQUITY","FQ1 2019","FQ1 2019","Currency=USD","Period=FQ","BEST_FPERIOD_OVERRIDE=FQ","FILING_STATUS=MR","SCALING_FORMAT=MLN","Sort=A","Dates=H","DateFormat=P","Fill=—","Direction=H","UseDPDF=Y")</f>
        <v>22091</v>
      </c>
      <c r="E80" s="19">
        <f>_xll.BDH("GILD US Equity","TOTAL_EQUITY","FQ2 2019","FQ2 2019","Currency=USD","Period=FQ","BEST_FPERIOD_OVERRIDE=FQ","FILING_STATUS=MR","SCALING_FORMAT=MLN","Sort=A","Dates=H","DateFormat=P","Fill=—","Direction=H","UseDPDF=Y")</f>
        <v>22751</v>
      </c>
      <c r="F80" s="19">
        <f>_xll.BDH("GILD US Equity","TOTAL_EQUITY","FQ3 2019","FQ3 2019","Currency=USD","Period=FQ","BEST_FPERIOD_OVERRIDE=FQ","FILING_STATUS=MR","SCALING_FORMAT=MLN","Sort=A","Dates=H","DateFormat=P","Fill=—","Direction=H","UseDPDF=Y")</f>
        <v>20736</v>
      </c>
      <c r="G80" s="19">
        <f>_xll.BDH("GILD US Equity","TOTAL_EQUITY","FQ4 2019","FQ4 2019","Currency=USD","Period=FQ","BEST_FPERIOD_OVERRIDE=FQ","FILING_STATUS=MR","SCALING_FORMAT=MLN","Sort=A","Dates=H","DateFormat=P","Fill=—","Direction=H","UseDPDF=Y")</f>
        <v>22650</v>
      </c>
      <c r="H80" s="19">
        <f>_xll.BDH("GILD US Equity","TOTAL_EQUITY","FQ1 2020","FQ1 2020","Currency=USD","Period=FQ","BEST_FPERIOD_OVERRIDE=FQ","FILING_STATUS=MR","SCALING_FORMAT=MLN","Sort=A","Dates=H","DateFormat=P","Fill=—","Direction=H","UseDPDF=Y")</f>
        <v>22179</v>
      </c>
      <c r="I80" s="19">
        <f>_xll.BDH("GILD US Equity","TOTAL_EQUITY","FQ2 2020","FQ2 2020","Currency=USD","Period=FQ","BEST_FPERIOD_OVERRIDE=FQ","FILING_STATUS=MR","SCALING_FORMAT=MLN","Sort=A","Dates=H","DateFormat=P","Fill=—","Direction=H","UseDPDF=Y")</f>
        <v>18142</v>
      </c>
      <c r="J80" s="19">
        <f>_xll.BDH("GILD US Equity","TOTAL_EQUITY","FQ3 2020","FQ3 2020","Currency=USD","Period=FQ","BEST_FPERIOD_OVERRIDE=FQ","FILING_STATUS=MR","SCALING_FORMAT=MLN","Sort=A","Dates=H","DateFormat=P","Fill=—","Direction=H","UseDPDF=Y")</f>
        <v>17471</v>
      </c>
      <c r="K80" s="19">
        <f>_xll.BDH("GILD US Equity","TOTAL_EQUITY","FQ4 2020","FQ4 2020","Currency=USD","Period=FQ","BEST_FPERIOD_OVERRIDE=FQ","FILING_STATUS=MR","SCALING_FORMAT=MLN","Sort=A","Dates=H","DateFormat=P","Fill=—","Direction=H","UseDPDF=Y")</f>
        <v>18221</v>
      </c>
      <c r="L80" s="19">
        <f>_xll.BDH("GILD US Equity","TOTAL_EQUITY","FQ1 2021","FQ1 2021","Currency=USD","Period=FQ","BEST_FPERIOD_OVERRIDE=FQ","FILING_STATUS=MR","SCALING_FORMAT=MLN","Sort=A","Dates=H","DateFormat=P","Fill=—","Direction=H","UseDPDF=Y")</f>
        <v>18964</v>
      </c>
      <c r="M80" s="19">
        <f>_xll.BDH("GILD US Equity","TOTAL_EQUITY","FQ2 2021","FQ2 2021","Currency=USD","Period=FQ","BEST_FPERIOD_OVERRIDE=FQ","FILING_STATUS=MR","SCALING_FORMAT=MLN","Sort=A","Dates=H","DateFormat=P","Fill=—","Direction=H","UseDPDF=Y")</f>
        <v>19710</v>
      </c>
      <c r="N80" s="19">
        <f>_xll.BDH("GILD US Equity","TOTAL_EQUITY","FQ3 2021","FQ3 2021","Currency=USD","Period=FQ","BEST_FPERIOD_OVERRIDE=FQ","FILING_STATUS=MR","SCALING_FORMAT=MLN","Sort=A","Dates=H","DateFormat=P","Fill=—","Direction=H","UseDPDF=Y")</f>
        <v>21471</v>
      </c>
      <c r="O80" s="19">
        <f>_xll.BDH("GILD US Equity","TOTAL_EQUITY","FQ4 2021","FQ4 2021","Currency=USD","Period=FQ","BEST_FPERIOD_OVERRIDE=FQ","FILING_STATUS=MR","SCALING_FORMAT=MLN","Sort=A","Dates=H","DateFormat=P","Fill=—","Direction=H","UseDPDF=Y")</f>
        <v>21064</v>
      </c>
      <c r="P80" s="19">
        <f>_xll.BDH("GILD US Equity","TOTAL_EQUITY","FQ1 2022","FQ1 2022","Currency=USD","Period=FQ","BEST_FPERIOD_OVERRIDE=FQ","FILING_STATUS=MR","SCALING_FORMAT=MLN","Sort=A","Dates=H","DateFormat=P","Fill=—","Direction=H","UseDPDF=Y")</f>
        <v>19915</v>
      </c>
      <c r="Q80" s="19">
        <f>_xll.BDH("GILD US Equity","TOTAL_EQUITY","FQ2 2022","FQ2 2022","Currency=USD","Period=FQ","BEST_FPERIOD_OVERRIDE=FQ","FILING_STATUS=MR","SCALING_FORMAT=MLN","Sort=A","Dates=H","DateFormat=P","Fill=—","Direction=H","UseDPDF=Y")</f>
        <v>20215</v>
      </c>
      <c r="R80" s="19">
        <f>_xll.BDH("GILD US Equity","TOTAL_EQUITY","FQ3 2022","FQ3 2022","Currency=USD","Period=FQ","BEST_FPERIOD_OVERRIDE=FQ","FILING_STATUS=MR","SCALING_FORMAT=MLN","Sort=A","Dates=H","DateFormat=P","Fill=—","Direction=H","UseDPDF=Y")</f>
        <v>21057</v>
      </c>
      <c r="S80" s="19">
        <f>_xll.BDH("GILD US Equity","TOTAL_EQUITY","FQ4 2022","FQ4 2022","Currency=USD","Period=FQ","BEST_FPERIOD_OVERRIDE=FQ","FILING_STATUS=MR","SCALING_FORMAT=MLN","Sort=A","Dates=H","DateFormat=P","Fill=—","Direction=H","UseDPDF=Y")</f>
        <v>21209</v>
      </c>
      <c r="T80" s="19">
        <f>_xll.BDH("GILD US Equity","TOTAL_EQUITY","FQ1 2023","FQ1 2023","Currency=USD","Period=FQ","BEST_FPERIOD_OVERRIDE=FQ","FILING_STATUS=MR","SCALING_FORMAT=MLN","Sort=A","Dates=H","DateFormat=P","Fill=—","Direction=H","UseDPDF=Y")</f>
        <v>20939</v>
      </c>
      <c r="U80" s="19">
        <f>_xll.BDH("GILD US Equity","TOTAL_EQUITY","FQ2 2023","FQ2 2023","Currency=USD","Period=FQ","BEST_FPERIOD_OVERRIDE=FQ","FILING_STATUS=MR","SCALING_FORMAT=MLN","Sort=A","Dates=H","DateFormat=P","Fill=—","Direction=H","UseDPDF=Y")</f>
        <v>21094</v>
      </c>
      <c r="V80" s="19">
        <f>_xll.BDH("GILD US Equity","TOTAL_EQUITY","FQ3 2023","FQ3 2023","Currency=USD","Period=FQ","BEST_FPERIOD_OVERRIDE=FQ","FILING_STATUS=MR","SCALING_FORMAT=MLN","Sort=A","Dates=H","DateFormat=P","Fill=—","Direction=H","UseDPDF=Y")</f>
        <v>22243</v>
      </c>
      <c r="W80" s="19">
        <f>_xll.BDH("GILD US Equity","TOTAL_EQUITY","FQ4 2023","FQ4 2023","Currency=USD","Period=FQ","BEST_FPERIOD_OVERRIDE=FQ","FILING_STATUS=MR","SCALING_FORMAT=MLN","Sort=A","Dates=H","DateFormat=P","Fill=—","Direction=H","UseDPDF=Y")</f>
        <v>22749</v>
      </c>
      <c r="X80" s="19">
        <f>_xll.BDH("GILD US Equity","TOTAL_EQUITY","FQ1 2024","FQ1 2024","Currency=USD","Period=FQ","BEST_FPERIOD_OVERRIDE=FQ","FILING_STATUS=MR","SCALING_FORMAT=MLN","Sort=A","Dates=H","DateFormat=P","Fill=—","Direction=H","UseDPDF=Y")</f>
        <v>17455</v>
      </c>
      <c r="Y80" s="19">
        <f>_xll.BDH("GILD US Equity","TOTAL_EQUITY","FQ2 2024","FQ2 2024","Currency=USD","Period=FQ","BEST_FPERIOD_OVERRIDE=FQ","FILING_STATUS=MR","SCALING_FORMAT=MLN","Sort=A","Dates=H","DateFormat=P","Fill=—","Direction=H","UseDPDF=Y")</f>
        <v>18197</v>
      </c>
      <c r="Z80" s="19">
        <f>_xll.BDH("GILD US Equity","TOTAL_EQUITY","FQ3 2024","FQ3 2024","Currency=USD","Period=FQ","BEST_FPERIOD_OVERRIDE=FQ","FILING_STATUS=MR","SCALING_FORMAT=MLN","Sort=A","Dates=H","DateFormat=P","Fill=—","Direction=H","UseDPDF=Y")</f>
        <v>18390</v>
      </c>
      <c r="AA80" s="19">
        <f>_xll.BDH("GILD US Equity","TOTAL_EQUITY","FQ4 2024","FQ4 2024","Currency=USD","Period=FQ","BEST_FPERIOD_OVERRIDE=FQ","FILING_STATUS=MR","SCALING_FORMAT=MLN","Sort=A","Dates=H","DateFormat=P","Fill=—","Direction=H","UseDPDF=Y")</f>
        <v>19246</v>
      </c>
    </row>
    <row r="81" spans="1:27" x14ac:dyDescent="0.25">
      <c r="A81" s="6" t="s">
        <v>873</v>
      </c>
      <c r="B81" s="6" t="s">
        <v>874</v>
      </c>
      <c r="C81" s="19">
        <f>_xll.BDH("GILD US Equity","TOT_LIAB_AND_EQY","FQ4 2018","FQ4 2018","Currency=USD","Period=FQ","BEST_FPERIOD_OVERRIDE=FQ","FILING_STATUS=MR","SCALING_FORMAT=MLN","Sort=A","Dates=H","DateFormat=P","Fill=—","Direction=H","UseDPDF=Y")</f>
        <v>63675</v>
      </c>
      <c r="D81" s="19">
        <f>_xll.BDH("GILD US Equity","TOT_LIAB_AND_EQY","FQ1 2019","FQ1 2019","Currency=USD","Period=FQ","BEST_FPERIOD_OVERRIDE=FQ","FILING_STATUS=MR","SCALING_FORMAT=MLN","Sort=A","Dates=H","DateFormat=P","Fill=—","Direction=H","UseDPDF=Y")</f>
        <v>62837</v>
      </c>
      <c r="E81" s="19">
        <f>_xll.BDH("GILD US Equity","TOT_LIAB_AND_EQY","FQ2 2019","FQ2 2019","Currency=USD","Period=FQ","BEST_FPERIOD_OVERRIDE=FQ","FILING_STATUS=MR","SCALING_FORMAT=MLN","Sort=A","Dates=H","DateFormat=P","Fill=—","Direction=H","UseDPDF=Y")</f>
        <v>63210</v>
      </c>
      <c r="F81" s="19">
        <f>_xll.BDH("GILD US Equity","TOT_LIAB_AND_EQY","FQ3 2019","FQ3 2019","Currency=USD","Period=FQ","BEST_FPERIOD_OVERRIDE=FQ","FILING_STATUS=MR","SCALING_FORMAT=MLN","Sort=A","Dates=H","DateFormat=P","Fill=—","Direction=H","UseDPDF=Y")</f>
        <v>59146</v>
      </c>
      <c r="G81" s="19">
        <f>_xll.BDH("GILD US Equity","TOT_LIAB_AND_EQY","FQ4 2019","FQ4 2019","Currency=USD","Period=FQ","BEST_FPERIOD_OVERRIDE=FQ","FILING_STATUS=MR","SCALING_FORMAT=MLN","Sort=A","Dates=H","DateFormat=P","Fill=—","Direction=H","UseDPDF=Y")</f>
        <v>61627</v>
      </c>
      <c r="H81" s="19">
        <f>_xll.BDH("GILD US Equity","TOT_LIAB_AND_EQY","FQ1 2020","FQ1 2020","Currency=USD","Period=FQ","BEST_FPERIOD_OVERRIDE=FQ","FILING_STATUS=MR","SCALING_FORMAT=MLN","Sort=A","Dates=H","DateFormat=P","Fill=—","Direction=H","UseDPDF=Y")</f>
        <v>59741</v>
      </c>
      <c r="I81" s="19">
        <f>_xll.BDH("GILD US Equity","TOT_LIAB_AND_EQY","FQ2 2020","FQ2 2020","Currency=USD","Period=FQ","BEST_FPERIOD_OVERRIDE=FQ","FILING_STATUS=MR","SCALING_FORMAT=MLN","Sort=A","Dates=H","DateFormat=P","Fill=—","Direction=H","UseDPDF=Y")</f>
        <v>55934</v>
      </c>
      <c r="J81" s="19">
        <f>_xll.BDH("GILD US Equity","TOT_LIAB_AND_EQY","FQ3 2020","FQ3 2020","Currency=USD","Period=FQ","BEST_FPERIOD_OVERRIDE=FQ","FILING_STATUS=MR","SCALING_FORMAT=MLN","Sort=A","Dates=H","DateFormat=P","Fill=—","Direction=H","UseDPDF=Y")</f>
        <v>60878</v>
      </c>
      <c r="K81" s="19">
        <f>_xll.BDH("GILD US Equity","TOT_LIAB_AND_EQY","FQ4 2020","FQ4 2020","Currency=USD","Period=FQ","BEST_FPERIOD_OVERRIDE=FQ","FILING_STATUS=MR","SCALING_FORMAT=MLN","Sort=A","Dates=H","DateFormat=P","Fill=—","Direction=H","UseDPDF=Y")</f>
        <v>68407</v>
      </c>
      <c r="L81" s="19">
        <f>_xll.BDH("GILD US Equity","TOT_LIAB_AND_EQY","FQ1 2021","FQ1 2021","Currency=USD","Period=FQ","BEST_FPERIOD_OVERRIDE=FQ","FILING_STATUS=MR","SCALING_FORMAT=MLN","Sort=A","Dates=H","DateFormat=P","Fill=—","Direction=H","UseDPDF=Y")</f>
        <v>67492</v>
      </c>
      <c r="M81" s="19">
        <f>_xll.BDH("GILD US Equity","TOT_LIAB_AND_EQY","FQ2 2021","FQ2 2021","Currency=USD","Period=FQ","BEST_FPERIOD_OVERRIDE=FQ","FILING_STATUS=MR","SCALING_FORMAT=MLN","Sort=A","Dates=H","DateFormat=P","Fill=—","Direction=H","UseDPDF=Y")</f>
        <v>67984</v>
      </c>
      <c r="N81" s="19">
        <f>_xll.BDH("GILD US Equity","TOT_LIAB_AND_EQY","FQ3 2021","FQ3 2021","Currency=USD","Period=FQ","BEST_FPERIOD_OVERRIDE=FQ","FILING_STATUS=MR","SCALING_FORMAT=MLN","Sort=A","Dates=H","DateFormat=P","Fill=—","Direction=H","UseDPDF=Y")</f>
        <v>67098</v>
      </c>
      <c r="O81" s="19">
        <f>_xll.BDH("GILD US Equity","TOT_LIAB_AND_EQY","FQ4 2021","FQ4 2021","Currency=USD","Period=FQ","BEST_FPERIOD_OVERRIDE=FQ","FILING_STATUS=MR","SCALING_FORMAT=MLN","Sort=A","Dates=H","DateFormat=P","Fill=—","Direction=H","UseDPDF=Y")</f>
        <v>67952</v>
      </c>
      <c r="P81" s="19">
        <f>_xll.BDH("GILD US Equity","TOT_LIAB_AND_EQY","FQ1 2022","FQ1 2022","Currency=USD","Period=FQ","BEST_FPERIOD_OVERRIDE=FQ","FILING_STATUS=MR","SCALING_FORMAT=MLN","Sort=A","Dates=H","DateFormat=P","Fill=—","Direction=H","UseDPDF=Y")</f>
        <v>63080</v>
      </c>
      <c r="Q81" s="19">
        <f>_xll.BDH("GILD US Equity","TOT_LIAB_AND_EQY","FQ2 2022","FQ2 2022","Currency=USD","Period=FQ","BEST_FPERIOD_OVERRIDE=FQ","FILING_STATUS=MR","SCALING_FORMAT=MLN","Sort=A","Dates=H","DateFormat=P","Fill=—","Direction=H","UseDPDF=Y")</f>
        <v>62870</v>
      </c>
      <c r="R81" s="19">
        <f>_xll.BDH("GILD US Equity","TOT_LIAB_AND_EQY","FQ3 2022","FQ3 2022","Currency=USD","Period=FQ","BEST_FPERIOD_OVERRIDE=FQ","FILING_STATUS=MR","SCALING_FORMAT=MLN","Sort=A","Dates=H","DateFormat=P","Fill=—","Direction=H","UseDPDF=Y")</f>
        <v>62557</v>
      </c>
      <c r="S81" s="19">
        <f>_xll.BDH("GILD US Equity","TOT_LIAB_AND_EQY","FQ4 2022","FQ4 2022","Currency=USD","Period=FQ","BEST_FPERIOD_OVERRIDE=FQ","FILING_STATUS=MR","SCALING_FORMAT=MLN","Sort=A","Dates=H","DateFormat=P","Fill=—","Direction=H","UseDPDF=Y")</f>
        <v>63171</v>
      </c>
      <c r="T81" s="19">
        <f>_xll.BDH("GILD US Equity","TOT_LIAB_AND_EQY","FQ1 2023","FQ1 2023","Currency=USD","Period=FQ","BEST_FPERIOD_OVERRIDE=FQ","FILING_STATUS=MR","SCALING_FORMAT=MLN","Sort=A","Dates=H","DateFormat=P","Fill=—","Direction=H","UseDPDF=Y")</f>
        <v>61876</v>
      </c>
      <c r="U81" s="19">
        <f>_xll.BDH("GILD US Equity","TOT_LIAB_AND_EQY","FQ2 2023","FQ2 2023","Currency=USD","Period=FQ","BEST_FPERIOD_OVERRIDE=FQ","FILING_STATUS=MR","SCALING_FORMAT=MLN","Sort=A","Dates=H","DateFormat=P","Fill=—","Direction=H","UseDPDF=Y")</f>
        <v>62337</v>
      </c>
      <c r="V81" s="19">
        <f>_xll.BDH("GILD US Equity","TOT_LIAB_AND_EQY","FQ3 2023","FQ3 2023","Currency=USD","Period=FQ","BEST_FPERIOD_OVERRIDE=FQ","FILING_STATUS=MR","SCALING_FORMAT=MLN","Sort=A","Dates=H","DateFormat=P","Fill=—","Direction=H","UseDPDF=Y")</f>
        <v>62373</v>
      </c>
      <c r="W81" s="19">
        <f>_xll.BDH("GILD US Equity","TOT_LIAB_AND_EQY","FQ4 2023","FQ4 2023","Currency=USD","Period=FQ","BEST_FPERIOD_OVERRIDE=FQ","FILING_STATUS=MR","SCALING_FORMAT=MLN","Sort=A","Dates=H","DateFormat=P","Fill=—","Direction=H","UseDPDF=Y")</f>
        <v>62125</v>
      </c>
      <c r="X81" s="19">
        <f>_xll.BDH("GILD US Equity","TOT_LIAB_AND_EQY","FQ1 2024","FQ1 2024","Currency=USD","Period=FQ","BEST_FPERIOD_OVERRIDE=FQ","FILING_STATUS=MR","SCALING_FORMAT=MLN","Sort=A","Dates=H","DateFormat=P","Fill=—","Direction=H","UseDPDF=Y")</f>
        <v>56292</v>
      </c>
      <c r="Y81" s="19">
        <f>_xll.BDH("GILD US Equity","TOT_LIAB_AND_EQY","FQ2 2024","FQ2 2024","Currency=USD","Period=FQ","BEST_FPERIOD_OVERRIDE=FQ","FILING_STATUS=MR","SCALING_FORMAT=MLN","Sort=A","Dates=H","DateFormat=P","Fill=—","Direction=H","UseDPDF=Y")</f>
        <v>53579</v>
      </c>
      <c r="Z81" s="19">
        <f>_xll.BDH("GILD US Equity","TOT_LIAB_AND_EQY","FQ3 2024","FQ3 2024","Currency=USD","Period=FQ","BEST_FPERIOD_OVERRIDE=FQ","FILING_STATUS=MR","SCALING_FORMAT=MLN","Sort=A","Dates=H","DateFormat=P","Fill=—","Direction=H","UseDPDF=Y")</f>
        <v>54525</v>
      </c>
      <c r="AA81" s="19">
        <f>_xll.BDH("GILD US Equity","TOT_LIAB_AND_EQY","FQ4 2024","FQ4 2024","Currency=USD","Period=FQ","BEST_FPERIOD_OVERRIDE=FQ","FILING_STATUS=MR","SCALING_FORMAT=MLN","Sort=A","Dates=H","DateFormat=P","Fill=—","Direction=H","UseDPDF=Y")</f>
        <v>58995</v>
      </c>
    </row>
    <row r="82" spans="1:27" x14ac:dyDescent="0.25">
      <c r="A82" s="6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 x14ac:dyDescent="0.25">
      <c r="A83" s="6" t="s">
        <v>4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 x14ac:dyDescent="0.25">
      <c r="A84" s="10" t="s">
        <v>391</v>
      </c>
      <c r="B84" s="10" t="s">
        <v>392</v>
      </c>
      <c r="C84" s="12" t="s">
        <v>393</v>
      </c>
      <c r="D84" s="12" t="s">
        <v>393</v>
      </c>
      <c r="E84" s="12" t="s">
        <v>393</v>
      </c>
      <c r="F84" s="12" t="s">
        <v>393</v>
      </c>
      <c r="G84" s="12" t="s">
        <v>393</v>
      </c>
      <c r="H84" s="12" t="s">
        <v>393</v>
      </c>
      <c r="I84" s="12" t="s">
        <v>393</v>
      </c>
      <c r="J84" s="12" t="s">
        <v>393</v>
      </c>
      <c r="K84" s="12" t="s">
        <v>393</v>
      </c>
      <c r="L84" s="12" t="s">
        <v>393</v>
      </c>
      <c r="M84" s="12" t="s">
        <v>393</v>
      </c>
      <c r="N84" s="12" t="s">
        <v>393</v>
      </c>
      <c r="O84" s="12" t="s">
        <v>393</v>
      </c>
      <c r="P84" s="12" t="s">
        <v>393</v>
      </c>
      <c r="Q84" s="12" t="s">
        <v>393</v>
      </c>
      <c r="R84" s="12" t="s">
        <v>393</v>
      </c>
      <c r="S84" s="12" t="s">
        <v>393</v>
      </c>
      <c r="T84" s="12" t="s">
        <v>393</v>
      </c>
      <c r="U84" s="12" t="s">
        <v>393</v>
      </c>
      <c r="V84" s="12" t="s">
        <v>393</v>
      </c>
      <c r="W84" s="12" t="s">
        <v>393</v>
      </c>
      <c r="X84" s="12" t="s">
        <v>393</v>
      </c>
      <c r="Y84" s="12" t="s">
        <v>393</v>
      </c>
      <c r="Z84" s="12" t="s">
        <v>393</v>
      </c>
      <c r="AA84" s="12" t="s">
        <v>393</v>
      </c>
    </row>
    <row r="85" spans="1:27" x14ac:dyDescent="0.25">
      <c r="A85" s="10" t="s">
        <v>875</v>
      </c>
      <c r="B85" s="10" t="s">
        <v>121</v>
      </c>
      <c r="C85" s="13">
        <f>_xll.BDH("GILD US Equity","BS_SH_OUT","FQ4 2018","FQ4 2018","Currency=USD","Period=FQ","BEST_FPERIOD_OVERRIDE=FQ","FILING_STATUS=MR","Sort=A","Dates=H","DateFormat=P","Fill=—","Direction=H","UseDPDF=Y")</f>
        <v>1282</v>
      </c>
      <c r="D85" s="13">
        <f>_xll.BDH("GILD US Equity","BS_SH_OUT","FQ1 2019","FQ1 2019","Currency=USD","Period=FQ","BEST_FPERIOD_OVERRIDE=FQ","FILING_STATUS=MR","Sort=A","Dates=H","DateFormat=P","Fill=—","Direction=H","UseDPDF=Y")</f>
        <v>1274</v>
      </c>
      <c r="E85" s="13">
        <f>_xll.BDH("GILD US Equity","BS_SH_OUT","FQ2 2019","FQ2 2019","Currency=USD","Period=FQ","BEST_FPERIOD_OVERRIDE=FQ","FILING_STATUS=MR","Sort=A","Dates=H","DateFormat=P","Fill=—","Direction=H","UseDPDF=Y")</f>
        <v>1267</v>
      </c>
      <c r="F85" s="13">
        <f>_xll.BDH("GILD US Equity","BS_SH_OUT","FQ3 2019","FQ3 2019","Currency=USD","Period=FQ","BEST_FPERIOD_OVERRIDE=FQ","FILING_STATUS=MR","Sort=A","Dates=H","DateFormat=P","Fill=—","Direction=H","UseDPDF=Y")</f>
        <v>1266</v>
      </c>
      <c r="G85" s="13">
        <f>_xll.BDH("GILD US Equity","BS_SH_OUT","FQ4 2019","FQ4 2019","Currency=USD","Period=FQ","BEST_FPERIOD_OVERRIDE=FQ","FILING_STATUS=MR","Sort=A","Dates=H","DateFormat=P","Fill=—","Direction=H","UseDPDF=Y")</f>
        <v>1266</v>
      </c>
      <c r="H85" s="13">
        <f>_xll.BDH("GILD US Equity","BS_SH_OUT","FQ1 2020","FQ1 2020","Currency=USD","Period=FQ","BEST_FPERIOD_OVERRIDE=FQ","FILING_STATUS=MR","Sort=A","Dates=H","DateFormat=P","Fill=—","Direction=H","UseDPDF=Y")</f>
        <v>1254</v>
      </c>
      <c r="I85" s="13">
        <f>_xll.BDH("GILD US Equity","BS_SH_OUT","FQ2 2020","FQ2 2020","Currency=USD","Period=FQ","BEST_FPERIOD_OVERRIDE=FQ","FILING_STATUS=MR","Sort=A","Dates=H","DateFormat=P","Fill=—","Direction=H","UseDPDF=Y")</f>
        <v>1254</v>
      </c>
      <c r="J85" s="13">
        <f>_xll.BDH("GILD US Equity","BS_SH_OUT","FQ3 2020","FQ3 2020","Currency=USD","Period=FQ","BEST_FPERIOD_OVERRIDE=FQ","FILING_STATUS=MR","Sort=A","Dates=H","DateFormat=P","Fill=—","Direction=H","UseDPDF=Y")</f>
        <v>1253</v>
      </c>
      <c r="K85" s="13">
        <f>_xll.BDH("GILD US Equity","BS_SH_OUT","FQ4 2020","FQ4 2020","Currency=USD","Period=FQ","BEST_FPERIOD_OVERRIDE=FQ","FILING_STATUS=MR","Sort=A","Dates=H","DateFormat=P","Fill=—","Direction=H","UseDPDF=Y")</f>
        <v>1254</v>
      </c>
      <c r="L85" s="13">
        <f>_xll.BDH("GILD US Equity","BS_SH_OUT","FQ1 2021","FQ1 2021","Currency=USD","Period=FQ","BEST_FPERIOD_OVERRIDE=FQ","FILING_STATUS=MR","Sort=A","Dates=H","DateFormat=P","Fill=—","Direction=H","UseDPDF=Y")</f>
        <v>1254</v>
      </c>
      <c r="M85" s="13">
        <f>_xll.BDH("GILD US Equity","BS_SH_OUT","FQ2 2021","FQ2 2021","Currency=USD","Period=FQ","BEST_FPERIOD_OVERRIDE=FQ","FILING_STATUS=MR","Sort=A","Dates=H","DateFormat=P","Fill=—","Direction=H","UseDPDF=Y")</f>
        <v>1254</v>
      </c>
      <c r="N85" s="13">
        <f>_xll.BDH("GILD US Equity","BS_SH_OUT","FQ3 2021","FQ3 2021","Currency=USD","Period=FQ","BEST_FPERIOD_OVERRIDE=FQ","FILING_STATUS=MR","Sort=A","Dates=H","DateFormat=P","Fill=—","Direction=H","UseDPDF=Y")</f>
        <v>1255</v>
      </c>
      <c r="O85" s="13">
        <f>_xll.BDH("GILD US Equity","BS_SH_OUT","FQ4 2021","FQ4 2021","Currency=USD","Period=FQ","BEST_FPERIOD_OVERRIDE=FQ","FILING_STATUS=MR","Sort=A","Dates=H","DateFormat=P","Fill=—","Direction=H","UseDPDF=Y")</f>
        <v>1254</v>
      </c>
      <c r="P85" s="13">
        <f>_xll.BDH("GILD US Equity","BS_SH_OUT","FQ1 2022","FQ1 2022","Currency=USD","Period=FQ","BEST_FPERIOD_OVERRIDE=FQ","FILING_STATUS=MR","Sort=A","Dates=H","DateFormat=P","Fill=—","Direction=H","UseDPDF=Y")</f>
        <v>1255</v>
      </c>
      <c r="Q85" s="13">
        <f>_xll.BDH("GILD US Equity","BS_SH_OUT","FQ2 2022","FQ2 2022","Currency=USD","Period=FQ","BEST_FPERIOD_OVERRIDE=FQ","FILING_STATUS=MR","Sort=A","Dates=H","DateFormat=P","Fill=—","Direction=H","UseDPDF=Y")</f>
        <v>1254</v>
      </c>
      <c r="R85" s="13">
        <f>_xll.BDH("GILD US Equity","BS_SH_OUT","FQ3 2022","FQ3 2022","Currency=USD","Period=FQ","BEST_FPERIOD_OVERRIDE=FQ","FILING_STATUS=MR","Sort=A","Dates=H","DateFormat=P","Fill=—","Direction=H","UseDPDF=Y")</f>
        <v>1254</v>
      </c>
      <c r="S85" s="13">
        <f>_xll.BDH("GILD US Equity","BS_SH_OUT","FQ4 2022","FQ4 2022","Currency=USD","Period=FQ","BEST_FPERIOD_OVERRIDE=FQ","FILING_STATUS=MR","Sort=A","Dates=H","DateFormat=P","Fill=—","Direction=H","UseDPDF=Y")</f>
        <v>1247</v>
      </c>
      <c r="T85" s="13">
        <f>_xll.BDH("GILD US Equity","BS_SH_OUT","FQ1 2023","FQ1 2023","Currency=USD","Period=FQ","BEST_FPERIOD_OVERRIDE=FQ","FILING_STATUS=MR","Sort=A","Dates=H","DateFormat=P","Fill=—","Direction=H","UseDPDF=Y")</f>
        <v>1248</v>
      </c>
      <c r="U85" s="13">
        <f>_xll.BDH("GILD US Equity","BS_SH_OUT","FQ2 2023","FQ2 2023","Currency=USD","Period=FQ","BEST_FPERIOD_OVERRIDE=FQ","FILING_STATUS=MR","Sort=A","Dates=H","DateFormat=P","Fill=—","Direction=H","UseDPDF=Y")</f>
        <v>1247</v>
      </c>
      <c r="V85" s="13">
        <f>_xll.BDH("GILD US Equity","BS_SH_OUT","FQ3 2023","FQ3 2023","Currency=USD","Period=FQ","BEST_FPERIOD_OVERRIDE=FQ","FILING_STATUS=MR","Sort=A","Dates=H","DateFormat=P","Fill=—","Direction=H","UseDPDF=Y")</f>
        <v>1247</v>
      </c>
      <c r="W85" s="13">
        <f>_xll.BDH("GILD US Equity","BS_SH_OUT","FQ4 2023","FQ4 2023","Currency=USD","Period=FQ","BEST_FPERIOD_OVERRIDE=FQ","FILING_STATUS=MR","Sort=A","Dates=H","DateFormat=P","Fill=—","Direction=H","UseDPDF=Y")</f>
        <v>1246</v>
      </c>
      <c r="X85" s="13">
        <f>_xll.BDH("GILD US Equity","BS_SH_OUT","FQ1 2024","FQ1 2024","Currency=USD","Period=FQ","BEST_FPERIOD_OVERRIDE=FQ","FILING_STATUS=MR","Sort=A","Dates=H","DateFormat=P","Fill=—","Direction=H","UseDPDF=Y")</f>
        <v>1246</v>
      </c>
      <c r="Y85" s="13">
        <f>_xll.BDH("GILD US Equity","BS_SH_OUT","FQ2 2024","FQ2 2024","Currency=USD","Period=FQ","BEST_FPERIOD_OVERRIDE=FQ","FILING_STATUS=MR","Sort=A","Dates=H","DateFormat=P","Fill=—","Direction=H","UseDPDF=Y")</f>
        <v>1246</v>
      </c>
      <c r="Z85" s="13">
        <f>_xll.BDH("GILD US Equity","BS_SH_OUT","FQ3 2024","FQ3 2024","Currency=USD","Period=FQ","BEST_FPERIOD_OVERRIDE=FQ","FILING_STATUS=MR","Sort=A","Dates=H","DateFormat=P","Fill=—","Direction=H","UseDPDF=Y")</f>
        <v>1246</v>
      </c>
      <c r="AA85" s="13">
        <f>_xll.BDH("GILD US Equity","BS_SH_OUT","FQ4 2024","FQ4 2024","Currency=USD","Period=FQ","BEST_FPERIOD_OVERRIDE=FQ","FILING_STATUS=MR","Sort=A","Dates=H","DateFormat=P","Fill=—","Direction=H","UseDPDF=Y")</f>
        <v>1246</v>
      </c>
    </row>
    <row r="86" spans="1:27" x14ac:dyDescent="0.25">
      <c r="A86" s="10" t="s">
        <v>876</v>
      </c>
      <c r="B86" s="10" t="s">
        <v>877</v>
      </c>
      <c r="C86" s="13">
        <f>_xll.BDH("GILD US Equity","BS_NUM_OF_TSY_SH","FQ4 2018","FQ4 2018","Currency=USD","Period=FQ","BEST_FPERIOD_OVERRIDE=FQ","FILING_STATUS=MR","Sort=A","Dates=H","DateFormat=P","Fill=—","Direction=H","UseDPDF=Y")</f>
        <v>0</v>
      </c>
      <c r="D86" s="13">
        <f>_xll.BDH("GILD US Equity","BS_NUM_OF_TSY_SH","FQ1 2019","FQ1 2019","Currency=USD","Period=FQ","BEST_FPERIOD_OVERRIDE=FQ","FILING_STATUS=MR","Sort=A","Dates=H","DateFormat=P","Fill=—","Direction=H","UseDPDF=Y")</f>
        <v>0</v>
      </c>
      <c r="E86" s="13">
        <f>_xll.BDH("GILD US Equity","BS_NUM_OF_TSY_SH","FQ2 2019","FQ2 2019","Currency=USD","Period=FQ","BEST_FPERIOD_OVERRIDE=FQ","FILING_STATUS=MR","Sort=A","Dates=H","DateFormat=P","Fill=—","Direction=H","UseDPDF=Y")</f>
        <v>0</v>
      </c>
      <c r="F86" s="13">
        <f>_xll.BDH("GILD US Equity","BS_NUM_OF_TSY_SH","FQ3 2019","FQ3 2019","Currency=USD","Period=FQ","BEST_FPERIOD_OVERRIDE=FQ","FILING_STATUS=MR","Sort=A","Dates=H","DateFormat=P","Fill=—","Direction=H","UseDPDF=Y")</f>
        <v>0</v>
      </c>
      <c r="G86" s="13">
        <f>_xll.BDH("GILD US Equity","BS_NUM_OF_TSY_SH","FQ4 2019","FQ4 2019","Currency=USD","Period=FQ","BEST_FPERIOD_OVERRIDE=FQ","FILING_STATUS=MR","Sort=A","Dates=H","DateFormat=P","Fill=—","Direction=H","UseDPDF=Y")</f>
        <v>0</v>
      </c>
      <c r="H86" s="13">
        <f>_xll.BDH("GILD US Equity","BS_NUM_OF_TSY_SH","FQ1 2020","FQ1 2020","Currency=USD","Period=FQ","BEST_FPERIOD_OVERRIDE=FQ","FILING_STATUS=MR","Sort=A","Dates=H","DateFormat=P","Fill=—","Direction=H","UseDPDF=Y")</f>
        <v>0</v>
      </c>
      <c r="I86" s="13">
        <f>_xll.BDH("GILD US Equity","BS_NUM_OF_TSY_SH","FQ2 2020","FQ2 2020","Currency=USD","Period=FQ","BEST_FPERIOD_OVERRIDE=FQ","FILING_STATUS=MR","Sort=A","Dates=H","DateFormat=P","Fill=—","Direction=H","UseDPDF=Y")</f>
        <v>0</v>
      </c>
      <c r="J86" s="13">
        <f>_xll.BDH("GILD US Equity","BS_NUM_OF_TSY_SH","FQ3 2020","FQ3 2020","Currency=USD","Period=FQ","BEST_FPERIOD_OVERRIDE=FQ","FILING_STATUS=MR","Sort=A","Dates=H","DateFormat=P","Fill=—","Direction=H","UseDPDF=Y")</f>
        <v>0</v>
      </c>
      <c r="K86" s="13">
        <f>_xll.BDH("GILD US Equity","BS_NUM_OF_TSY_SH","FQ4 2020","FQ4 2020","Currency=USD","Period=FQ","BEST_FPERIOD_OVERRIDE=FQ","FILING_STATUS=MR","Sort=A","Dates=H","DateFormat=P","Fill=—","Direction=H","UseDPDF=Y")</f>
        <v>0</v>
      </c>
      <c r="L86" s="13">
        <f>_xll.BDH("GILD US Equity","BS_NUM_OF_TSY_SH","FQ1 2021","FQ1 2021","Currency=USD","Period=FQ","BEST_FPERIOD_OVERRIDE=FQ","FILING_STATUS=MR","Sort=A","Dates=H","DateFormat=P","Fill=—","Direction=H","UseDPDF=Y")</f>
        <v>0</v>
      </c>
      <c r="M86" s="13">
        <f>_xll.BDH("GILD US Equity","BS_NUM_OF_TSY_SH","FQ2 2021","FQ2 2021","Currency=USD","Period=FQ","BEST_FPERIOD_OVERRIDE=FQ","FILING_STATUS=MR","Sort=A","Dates=H","DateFormat=P","Fill=—","Direction=H","UseDPDF=Y")</f>
        <v>0</v>
      </c>
      <c r="N86" s="13">
        <f>_xll.BDH("GILD US Equity","BS_NUM_OF_TSY_SH","FQ3 2021","FQ3 2021","Currency=USD","Period=FQ","BEST_FPERIOD_OVERRIDE=FQ","FILING_STATUS=MR","Sort=A","Dates=H","DateFormat=P","Fill=—","Direction=H","UseDPDF=Y")</f>
        <v>0</v>
      </c>
      <c r="O86" s="13">
        <f>_xll.BDH("GILD US Equity","BS_NUM_OF_TSY_SH","FQ4 2021","FQ4 2021","Currency=USD","Period=FQ","BEST_FPERIOD_OVERRIDE=FQ","FILING_STATUS=MR","Sort=A","Dates=H","DateFormat=P","Fill=—","Direction=H","UseDPDF=Y")</f>
        <v>0</v>
      </c>
      <c r="P86" s="13">
        <f>_xll.BDH("GILD US Equity","BS_NUM_OF_TSY_SH","FQ1 2022","FQ1 2022","Currency=USD","Period=FQ","BEST_FPERIOD_OVERRIDE=FQ","FILING_STATUS=MR","Sort=A","Dates=H","DateFormat=P","Fill=—","Direction=H","UseDPDF=Y")</f>
        <v>0</v>
      </c>
      <c r="Q86" s="13">
        <f>_xll.BDH("GILD US Equity","BS_NUM_OF_TSY_SH","FQ2 2022","FQ2 2022","Currency=USD","Period=FQ","BEST_FPERIOD_OVERRIDE=FQ","FILING_STATUS=MR","Sort=A","Dates=H","DateFormat=P","Fill=—","Direction=H","UseDPDF=Y")</f>
        <v>0</v>
      </c>
      <c r="R86" s="13">
        <f>_xll.BDH("GILD US Equity","BS_NUM_OF_TSY_SH","FQ3 2022","FQ3 2022","Currency=USD","Period=FQ","BEST_FPERIOD_OVERRIDE=FQ","FILING_STATUS=MR","Sort=A","Dates=H","DateFormat=P","Fill=—","Direction=H","UseDPDF=Y")</f>
        <v>0</v>
      </c>
      <c r="S86" s="13">
        <f>_xll.BDH("GILD US Equity","BS_NUM_OF_TSY_SH","FQ4 2022","FQ4 2022","Currency=USD","Period=FQ","BEST_FPERIOD_OVERRIDE=FQ","FILING_STATUS=MR","Sort=A","Dates=H","DateFormat=P","Fill=—","Direction=H","UseDPDF=Y")</f>
        <v>0</v>
      </c>
      <c r="T86" s="13">
        <f>_xll.BDH("GILD US Equity","BS_NUM_OF_TSY_SH","FQ1 2023","FQ1 2023","Currency=USD","Period=FQ","BEST_FPERIOD_OVERRIDE=FQ","FILING_STATUS=MR","Sort=A","Dates=H","DateFormat=P","Fill=—","Direction=H","UseDPDF=Y")</f>
        <v>0</v>
      </c>
      <c r="U86" s="13">
        <f>_xll.BDH("GILD US Equity","BS_NUM_OF_TSY_SH","FQ2 2023","FQ2 2023","Currency=USD","Period=FQ","BEST_FPERIOD_OVERRIDE=FQ","FILING_STATUS=MR","Sort=A","Dates=H","DateFormat=P","Fill=—","Direction=H","UseDPDF=Y")</f>
        <v>0</v>
      </c>
      <c r="V86" s="13">
        <f>_xll.BDH("GILD US Equity","BS_NUM_OF_TSY_SH","FQ3 2023","FQ3 2023","Currency=USD","Period=FQ","BEST_FPERIOD_OVERRIDE=FQ","FILING_STATUS=MR","Sort=A","Dates=H","DateFormat=P","Fill=—","Direction=H","UseDPDF=Y")</f>
        <v>0</v>
      </c>
      <c r="W86" s="13">
        <f>_xll.BDH("GILD US Equity","BS_NUM_OF_TSY_SH","FQ4 2023","FQ4 2023","Currency=USD","Period=FQ","BEST_FPERIOD_OVERRIDE=FQ","FILING_STATUS=MR","Sort=A","Dates=H","DateFormat=P","Fill=—","Direction=H","UseDPDF=Y")</f>
        <v>0</v>
      </c>
      <c r="X86" s="13">
        <f>_xll.BDH("GILD US Equity","BS_NUM_OF_TSY_SH","FQ1 2024","FQ1 2024","Currency=USD","Period=FQ","BEST_FPERIOD_OVERRIDE=FQ","FILING_STATUS=MR","Sort=A","Dates=H","DateFormat=P","Fill=—","Direction=H","UseDPDF=Y")</f>
        <v>0</v>
      </c>
      <c r="Y86" s="13">
        <f>_xll.BDH("GILD US Equity","BS_NUM_OF_TSY_SH","FQ2 2024","FQ2 2024","Currency=USD","Period=FQ","BEST_FPERIOD_OVERRIDE=FQ","FILING_STATUS=MR","Sort=A","Dates=H","DateFormat=P","Fill=—","Direction=H","UseDPDF=Y")</f>
        <v>0</v>
      </c>
      <c r="Z86" s="13">
        <f>_xll.BDH("GILD US Equity","BS_NUM_OF_TSY_SH","FQ3 2024","FQ3 2024","Currency=USD","Period=FQ","BEST_FPERIOD_OVERRIDE=FQ","FILING_STATUS=MR","Sort=A","Dates=H","DateFormat=P","Fill=—","Direction=H","UseDPDF=Y")</f>
        <v>0</v>
      </c>
      <c r="AA86" s="13">
        <f>_xll.BDH("GILD US Equity","BS_NUM_OF_TSY_SH","FQ4 2024","FQ4 2024","Currency=USD","Period=FQ","BEST_FPERIOD_OVERRIDE=FQ","FILING_STATUS=MR","Sort=A","Dates=H","DateFormat=P","Fill=—","Direction=H","UseDPDF=Y")</f>
        <v>0</v>
      </c>
    </row>
    <row r="87" spans="1:27" x14ac:dyDescent="0.25">
      <c r="A87" s="10" t="s">
        <v>878</v>
      </c>
      <c r="B87" s="10" t="s">
        <v>879</v>
      </c>
      <c r="C87" s="13">
        <f>_xll.BDH("GILD US Equity","BS_PENSION_RSRV","FQ4 2018","FQ4 2018","Currency=USD","Period=FQ","BEST_FPERIOD_OVERRIDE=FQ","FILING_STATUS=MR","SCALING_FORMAT=MLN","Sort=A","Dates=H","DateFormat=P","Fill=—","Direction=H","UseDPDF=Y")</f>
        <v>0</v>
      </c>
      <c r="D87" s="13">
        <f>_xll.BDH("GILD US Equity","BS_PENSION_RSRV","FQ1 2019","FQ1 2019","Currency=USD","Period=FQ","BEST_FPERIOD_OVERRIDE=FQ","FILING_STATUS=MR","SCALING_FORMAT=MLN","Sort=A","Dates=H","DateFormat=P","Fill=—","Direction=H","UseDPDF=Y")</f>
        <v>0</v>
      </c>
      <c r="E87" s="13">
        <f>_xll.BDH("GILD US Equity","BS_PENSION_RSRV","FQ2 2019","FQ2 2019","Currency=USD","Period=FQ","BEST_FPERIOD_OVERRIDE=FQ","FILING_STATUS=MR","SCALING_FORMAT=MLN","Sort=A","Dates=H","DateFormat=P","Fill=—","Direction=H","UseDPDF=Y")</f>
        <v>0</v>
      </c>
      <c r="F87" s="13">
        <f>_xll.BDH("GILD US Equity","BS_PENSION_RSRV","FQ3 2019","FQ3 2019","Currency=USD","Period=FQ","BEST_FPERIOD_OVERRIDE=FQ","FILING_STATUS=MR","SCALING_FORMAT=MLN","Sort=A","Dates=H","DateFormat=P","Fill=—","Direction=H","UseDPDF=Y")</f>
        <v>0</v>
      </c>
      <c r="G87" s="13">
        <f>_xll.BDH("GILD US Equity","BS_PENSION_RSRV","FQ4 2019","FQ4 2019","Currency=USD","Period=FQ","BEST_FPERIOD_OVERRIDE=FQ","FILING_STATUS=MR","SCALING_FORMAT=MLN","Sort=A","Dates=H","DateFormat=P","Fill=—","Direction=H","UseDPDF=Y")</f>
        <v>0</v>
      </c>
      <c r="H87" s="13">
        <f>_xll.BDH("GILD US Equity","BS_PENSION_RSRV","FQ1 2020","FQ1 2020","Currency=USD","Period=FQ","BEST_FPERIOD_OVERRIDE=FQ","FILING_STATUS=MR","SCALING_FORMAT=MLN","Sort=A","Dates=H","DateFormat=P","Fill=—","Direction=H","UseDPDF=Y")</f>
        <v>0</v>
      </c>
      <c r="I87" s="13">
        <f>_xll.BDH("GILD US Equity","BS_PENSION_RSRV","FQ2 2020","FQ2 2020","Currency=USD","Period=FQ","BEST_FPERIOD_OVERRIDE=FQ","FILING_STATUS=MR","SCALING_FORMAT=MLN","Sort=A","Dates=H","DateFormat=P","Fill=—","Direction=H","UseDPDF=Y")</f>
        <v>0</v>
      </c>
      <c r="J87" s="13">
        <f>_xll.BDH("GILD US Equity","BS_PENSION_RSRV","FQ3 2020","FQ3 2020","Currency=USD","Period=FQ","BEST_FPERIOD_OVERRIDE=FQ","FILING_STATUS=MR","SCALING_FORMAT=MLN","Sort=A","Dates=H","DateFormat=P","Fill=—","Direction=H","UseDPDF=Y")</f>
        <v>0</v>
      </c>
      <c r="K87" s="13">
        <f>_xll.BDH("GILD US Equity","BS_PENSION_RSRV","FQ4 2020","FQ4 2020","Currency=USD","Period=FQ","BEST_FPERIOD_OVERRIDE=FQ","FILING_STATUS=MR","SCALING_FORMAT=MLN","Sort=A","Dates=H","DateFormat=P","Fill=—","Direction=H","UseDPDF=Y")</f>
        <v>0</v>
      </c>
      <c r="L87" s="13">
        <f>_xll.BDH("GILD US Equity","BS_PENSION_RSRV","FQ1 2021","FQ1 2021","Currency=USD","Period=FQ","BEST_FPERIOD_OVERRIDE=FQ","FILING_STATUS=MR","SCALING_FORMAT=MLN","Sort=A","Dates=H","DateFormat=P","Fill=—","Direction=H","UseDPDF=Y")</f>
        <v>0</v>
      </c>
      <c r="M87" s="13">
        <f>_xll.BDH("GILD US Equity","BS_PENSION_RSRV","FQ2 2021","FQ2 2021","Currency=USD","Period=FQ","BEST_FPERIOD_OVERRIDE=FQ","FILING_STATUS=MR","SCALING_FORMAT=MLN","Sort=A","Dates=H","DateFormat=P","Fill=—","Direction=H","UseDPDF=Y")</f>
        <v>0</v>
      </c>
      <c r="N87" s="13">
        <f>_xll.BDH("GILD US Equity","BS_PENSION_RSRV","FQ3 2021","FQ3 2021","Currency=USD","Period=FQ","BEST_FPERIOD_OVERRIDE=FQ","FILING_STATUS=MR","SCALING_FORMAT=MLN","Sort=A","Dates=H","DateFormat=P","Fill=—","Direction=H","UseDPDF=Y")</f>
        <v>0</v>
      </c>
      <c r="O87" s="13">
        <f>_xll.BDH("GILD US Equity","BS_PENSION_RSRV","FQ4 2021","FQ4 2021","Currency=USD","Period=FQ","BEST_FPERIOD_OVERRIDE=FQ","FILING_STATUS=MR","SCALING_FORMAT=MLN","Sort=A","Dates=H","DateFormat=P","Fill=—","Direction=H","UseDPDF=Y")</f>
        <v>0</v>
      </c>
      <c r="P87" s="13">
        <f>_xll.BDH("GILD US Equity","BS_PENSION_RSRV","FQ1 2022","FQ1 2022","Currency=USD","Period=FQ","BEST_FPERIOD_OVERRIDE=FQ","FILING_STATUS=MR","SCALING_FORMAT=MLN","Sort=A","Dates=H","DateFormat=P","Fill=—","Direction=H","UseDPDF=Y")</f>
        <v>0</v>
      </c>
      <c r="Q87" s="13">
        <f>_xll.BDH("GILD US Equity","BS_PENSION_RSRV","FQ2 2022","FQ2 2022","Currency=USD","Period=FQ","BEST_FPERIOD_OVERRIDE=FQ","FILING_STATUS=MR","SCALING_FORMAT=MLN","Sort=A","Dates=H","DateFormat=P","Fill=—","Direction=H","UseDPDF=Y")</f>
        <v>0</v>
      </c>
      <c r="R87" s="13">
        <f>_xll.BDH("GILD US Equity","BS_PENSION_RSRV","FQ3 2022","FQ3 2022","Currency=USD","Period=FQ","BEST_FPERIOD_OVERRIDE=FQ","FILING_STATUS=MR","SCALING_FORMAT=MLN","Sort=A","Dates=H","DateFormat=P","Fill=—","Direction=H","UseDPDF=Y")</f>
        <v>0</v>
      </c>
      <c r="S87" s="13">
        <f>_xll.BDH("GILD US Equity","BS_PENSION_RSRV","FQ4 2022","FQ4 2022","Currency=USD","Period=FQ","BEST_FPERIOD_OVERRIDE=FQ","FILING_STATUS=MR","SCALING_FORMAT=MLN","Sort=A","Dates=H","DateFormat=P","Fill=—","Direction=H","UseDPDF=Y")</f>
        <v>0</v>
      </c>
      <c r="T87" s="13">
        <f>_xll.BDH("GILD US Equity","BS_PENSION_RSRV","FQ1 2023","FQ1 2023","Currency=USD","Period=FQ","BEST_FPERIOD_OVERRIDE=FQ","FILING_STATUS=MR","SCALING_FORMAT=MLN","Sort=A","Dates=H","DateFormat=P","Fill=—","Direction=H","UseDPDF=Y")</f>
        <v>0</v>
      </c>
      <c r="U87" s="13">
        <f>_xll.BDH("GILD US Equity","BS_PENSION_RSRV","FQ2 2023","FQ2 2023","Currency=USD","Period=FQ","BEST_FPERIOD_OVERRIDE=FQ","FILING_STATUS=MR","SCALING_FORMAT=MLN","Sort=A","Dates=H","DateFormat=P","Fill=—","Direction=H","UseDPDF=Y")</f>
        <v>0</v>
      </c>
      <c r="V87" s="13">
        <f>_xll.BDH("GILD US Equity","BS_PENSION_RSRV","FQ3 2023","FQ3 2023","Currency=USD","Period=FQ","BEST_FPERIOD_OVERRIDE=FQ","FILING_STATUS=MR","SCALING_FORMAT=MLN","Sort=A","Dates=H","DateFormat=P","Fill=—","Direction=H","UseDPDF=Y")</f>
        <v>0</v>
      </c>
      <c r="W87" s="13">
        <f>_xll.BDH("GILD US Equity","BS_PENSION_RSRV","FQ4 2023","FQ4 2023","Currency=USD","Period=FQ","BEST_FPERIOD_OVERRIDE=FQ","FILING_STATUS=MR","SCALING_FORMAT=MLN","Sort=A","Dates=H","DateFormat=P","Fill=—","Direction=H","UseDPDF=Y")</f>
        <v>0</v>
      </c>
      <c r="X87" s="13">
        <f>_xll.BDH("GILD US Equity","BS_PENSION_RSRV","FQ1 2024","FQ1 2024","Currency=USD","Period=FQ","BEST_FPERIOD_OVERRIDE=FQ","FILING_STATUS=MR","SCALING_FORMAT=MLN","Sort=A","Dates=H","DateFormat=P","Fill=—","Direction=H","UseDPDF=Y")</f>
        <v>0</v>
      </c>
      <c r="Y87" s="13">
        <f>_xll.BDH("GILD US Equity","BS_PENSION_RSRV","FQ2 2024","FQ2 2024","Currency=USD","Period=FQ","BEST_FPERIOD_OVERRIDE=FQ","FILING_STATUS=MR","SCALING_FORMAT=MLN","Sort=A","Dates=H","DateFormat=P","Fill=—","Direction=H","UseDPDF=Y")</f>
        <v>0</v>
      </c>
      <c r="Z87" s="13">
        <f>_xll.BDH("GILD US Equity","BS_PENSION_RSRV","FQ3 2024","FQ3 2024","Currency=USD","Period=FQ","BEST_FPERIOD_OVERRIDE=FQ","FILING_STATUS=MR","SCALING_FORMAT=MLN","Sort=A","Dates=H","DateFormat=P","Fill=—","Direction=H","UseDPDF=Y")</f>
        <v>0</v>
      </c>
      <c r="AA87" s="13">
        <f>_xll.BDH("GILD US Equity","BS_PENSION_RSRV","FQ4 2024","FQ4 2024","Currency=USD","Period=FQ","BEST_FPERIOD_OVERRIDE=FQ","FILING_STATUS=MR","SCALING_FORMAT=MLN","Sort=A","Dates=H","DateFormat=P","Fill=—","Direction=H","UseDPDF=Y")</f>
        <v>0</v>
      </c>
    </row>
    <row r="88" spans="1:27" x14ac:dyDescent="0.25">
      <c r="A88" s="10" t="s">
        <v>880</v>
      </c>
      <c r="B88" s="10" t="s">
        <v>881</v>
      </c>
      <c r="C88" s="13">
        <f>_xll.BDH("GILD US Equity","BS_FUTURE_MIN_OPER_LEASE_OBLIG","FQ4 2018","FQ4 2018","Currency=USD","Period=FQ","BEST_FPERIOD_OVERRIDE=FQ","FILING_STATUS=MR","SCALING_FORMAT=MLN","Sort=A","Dates=H","DateFormat=P","Fill=—","Direction=H","UseDPDF=Y")</f>
        <v>574</v>
      </c>
      <c r="D88" s="13">
        <f>_xll.BDH("GILD US Equity","BS_FUTURE_MIN_OPER_LEASE_OBLIG","FQ1 2019","FQ1 2019","Currency=USD","Period=FQ","BEST_FPERIOD_OVERRIDE=FQ","FILING_STATUS=MR","SCALING_FORMAT=MLN","Sort=A","Dates=H","DateFormat=P","Fill=—","Direction=H","UseDPDF=Y")</f>
        <v>604</v>
      </c>
      <c r="E88" s="13">
        <f>_xll.BDH("GILD US Equity","BS_FUTURE_MIN_OPER_LEASE_OBLIG","FQ2 2019","FQ2 2019","Currency=USD","Period=FQ","BEST_FPERIOD_OVERRIDE=FQ","FILING_STATUS=MR","SCALING_FORMAT=MLN","Sort=A","Dates=H","DateFormat=P","Fill=—","Direction=H","UseDPDF=Y")</f>
        <v>663</v>
      </c>
      <c r="F88" s="13">
        <f>_xll.BDH("GILD US Equity","BS_FUTURE_MIN_OPER_LEASE_OBLIG","FQ3 2019","FQ3 2019","Currency=USD","Period=FQ","BEST_FPERIOD_OVERRIDE=FQ","FILING_STATUS=MR","SCALING_FORMAT=MLN","Sort=A","Dates=H","DateFormat=P","Fill=—","Direction=H","UseDPDF=Y")</f>
        <v>838</v>
      </c>
      <c r="G88" s="13">
        <f>_xll.BDH("GILD US Equity","BS_FUTURE_MIN_OPER_LEASE_OBLIG","FQ4 2019","FQ4 2019","Currency=USD","Period=FQ","BEST_FPERIOD_OVERRIDE=FQ","FILING_STATUS=MR","SCALING_FORMAT=MLN","Sort=A","Dates=H","DateFormat=P","Fill=—","Direction=H","UseDPDF=Y")</f>
        <v>850</v>
      </c>
      <c r="H88" s="13" t="str">
        <f>_xll.BDH("GILD US Equity","BS_FUTURE_MIN_OPER_LEASE_OBLIG","FQ1 2020","FQ1 2020","Currency=USD","Period=FQ","BEST_FPERIOD_OVERRIDE=FQ","FILING_STATUS=MR","SCALING_FORMAT=MLN","Sort=A","Dates=H","DateFormat=P","Fill=—","Direction=H","UseDPDF=Y")</f>
        <v>—</v>
      </c>
      <c r="I88" s="13" t="str">
        <f>_xll.BDH("GILD US Equity","BS_FUTURE_MIN_OPER_LEASE_OBLIG","FQ2 2020","FQ2 2020","Currency=USD","Period=FQ","BEST_FPERIOD_OVERRIDE=FQ","FILING_STATUS=MR","SCALING_FORMAT=MLN","Sort=A","Dates=H","DateFormat=P","Fill=—","Direction=H","UseDPDF=Y")</f>
        <v>—</v>
      </c>
      <c r="J88" s="13" t="str">
        <f>_xll.BDH("GILD US Equity","BS_FUTURE_MIN_OPER_LEASE_OBLIG","FQ3 2020","FQ3 2020","Currency=USD","Period=FQ","BEST_FPERIOD_OVERRIDE=FQ","FILING_STATUS=MR","SCALING_FORMAT=MLN","Sort=A","Dates=H","DateFormat=P","Fill=—","Direction=H","UseDPDF=Y")</f>
        <v>—</v>
      </c>
      <c r="K88" s="13">
        <f>_xll.BDH("GILD US Equity","BS_FUTURE_MIN_OPER_LEASE_OBLIG","FQ4 2020","FQ4 2020","Currency=USD","Period=FQ","BEST_FPERIOD_OVERRIDE=FQ","FILING_STATUS=MR","SCALING_FORMAT=MLN","Sort=A","Dates=H","DateFormat=P","Fill=—","Direction=H","UseDPDF=Y")</f>
        <v>828</v>
      </c>
      <c r="L88" s="13" t="str">
        <f>_xll.BDH("GILD US Equity","BS_FUTURE_MIN_OPER_LEASE_OBLIG","FQ1 2021","FQ1 2021","Currency=USD","Period=FQ","BEST_FPERIOD_OVERRIDE=FQ","FILING_STATUS=MR","SCALING_FORMAT=MLN","Sort=A","Dates=H","DateFormat=P","Fill=—","Direction=H","UseDPDF=Y")</f>
        <v>—</v>
      </c>
      <c r="M88" s="13" t="str">
        <f>_xll.BDH("GILD US Equity","BS_FUTURE_MIN_OPER_LEASE_OBLIG","FQ2 2021","FQ2 2021","Currency=USD","Period=FQ","BEST_FPERIOD_OVERRIDE=FQ","FILING_STATUS=MR","SCALING_FORMAT=MLN","Sort=A","Dates=H","DateFormat=P","Fill=—","Direction=H","UseDPDF=Y")</f>
        <v>—</v>
      </c>
      <c r="N88" s="13" t="str">
        <f>_xll.BDH("GILD US Equity","BS_FUTURE_MIN_OPER_LEASE_OBLIG","FQ3 2021","FQ3 2021","Currency=USD","Period=FQ","BEST_FPERIOD_OVERRIDE=FQ","FILING_STATUS=MR","SCALING_FORMAT=MLN","Sort=A","Dates=H","DateFormat=P","Fill=—","Direction=H","UseDPDF=Y")</f>
        <v>—</v>
      </c>
      <c r="O88" s="13">
        <f>_xll.BDH("GILD US Equity","BS_FUTURE_MIN_OPER_LEASE_OBLIG","FQ4 2021","FQ4 2021","Currency=USD","Period=FQ","BEST_FPERIOD_OVERRIDE=FQ","FILING_STATUS=MR","SCALING_FORMAT=MLN","Sort=A","Dates=H","DateFormat=P","Fill=—","Direction=H","UseDPDF=Y")</f>
        <v>677</v>
      </c>
      <c r="P88" s="13" t="str">
        <f>_xll.BDH("GILD US Equity","BS_FUTURE_MIN_OPER_LEASE_OBLIG","FQ1 2022","FQ1 2022","Currency=USD","Period=FQ","BEST_FPERIOD_OVERRIDE=FQ","FILING_STATUS=MR","SCALING_FORMAT=MLN","Sort=A","Dates=H","DateFormat=P","Fill=—","Direction=H","UseDPDF=Y")</f>
        <v>—</v>
      </c>
      <c r="Q88" s="13" t="str">
        <f>_xll.BDH("GILD US Equity","BS_FUTURE_MIN_OPER_LEASE_OBLIG","FQ2 2022","FQ2 2022","Currency=USD","Period=FQ","BEST_FPERIOD_OVERRIDE=FQ","FILING_STATUS=MR","SCALING_FORMAT=MLN","Sort=A","Dates=H","DateFormat=P","Fill=—","Direction=H","UseDPDF=Y")</f>
        <v>—</v>
      </c>
      <c r="R88" s="13" t="str">
        <f>_xll.BDH("GILD US Equity","BS_FUTURE_MIN_OPER_LEASE_OBLIG","FQ3 2022","FQ3 2022","Currency=USD","Period=FQ","BEST_FPERIOD_OVERRIDE=FQ","FILING_STATUS=MR","SCALING_FORMAT=MLN","Sort=A","Dates=H","DateFormat=P","Fill=—","Direction=H","UseDPDF=Y")</f>
        <v>—</v>
      </c>
      <c r="S88" s="13">
        <f>_xll.BDH("GILD US Equity","BS_FUTURE_MIN_OPER_LEASE_OBLIG","FQ4 2022","FQ4 2022","Currency=USD","Period=FQ","BEST_FPERIOD_OVERRIDE=FQ","FILING_STATUS=MR","SCALING_FORMAT=MLN","Sort=A","Dates=H","DateFormat=P","Fill=—","Direction=H","UseDPDF=Y")</f>
        <v>651</v>
      </c>
      <c r="T88" s="13" t="str">
        <f>_xll.BDH("GILD US Equity","BS_FUTURE_MIN_OPER_LEASE_OBLIG","FQ1 2023","FQ1 2023","Currency=USD","Period=FQ","BEST_FPERIOD_OVERRIDE=FQ","FILING_STATUS=MR","SCALING_FORMAT=MLN","Sort=A","Dates=H","DateFormat=P","Fill=—","Direction=H","UseDPDF=Y")</f>
        <v>—</v>
      </c>
      <c r="U88" s="13" t="str">
        <f>_xll.BDH("GILD US Equity","BS_FUTURE_MIN_OPER_LEASE_OBLIG","FQ2 2023","FQ2 2023","Currency=USD","Period=FQ","BEST_FPERIOD_OVERRIDE=FQ","FILING_STATUS=MR","SCALING_FORMAT=MLN","Sort=A","Dates=H","DateFormat=P","Fill=—","Direction=H","UseDPDF=Y")</f>
        <v>—</v>
      </c>
      <c r="V88" s="13" t="str">
        <f>_xll.BDH("GILD US Equity","BS_FUTURE_MIN_OPER_LEASE_OBLIG","FQ3 2023","FQ3 2023","Currency=USD","Period=FQ","BEST_FPERIOD_OVERRIDE=FQ","FILING_STATUS=MR","SCALING_FORMAT=MLN","Sort=A","Dates=H","DateFormat=P","Fill=—","Direction=H","UseDPDF=Y")</f>
        <v>—</v>
      </c>
      <c r="W88" s="13">
        <f>_xll.BDH("GILD US Equity","BS_FUTURE_MIN_OPER_LEASE_OBLIG","FQ4 2023","FQ4 2023","Currency=USD","Period=FQ","BEST_FPERIOD_OVERRIDE=FQ","FILING_STATUS=MR","SCALING_FORMAT=MLN","Sort=A","Dates=H","DateFormat=P","Fill=—","Direction=H","UseDPDF=Y")</f>
        <v>763</v>
      </c>
      <c r="X88" s="13" t="str">
        <f>_xll.BDH("GILD US Equity","BS_FUTURE_MIN_OPER_LEASE_OBLIG","FQ1 2024","FQ1 2024","Currency=USD","Period=FQ","BEST_FPERIOD_OVERRIDE=FQ","FILING_STATUS=MR","SCALING_FORMAT=MLN","Sort=A","Dates=H","DateFormat=P","Fill=—","Direction=H","UseDPDF=Y")</f>
        <v>—</v>
      </c>
      <c r="Y88" s="13" t="str">
        <f>_xll.BDH("GILD US Equity","BS_FUTURE_MIN_OPER_LEASE_OBLIG","FQ2 2024","FQ2 2024","Currency=USD","Period=FQ","BEST_FPERIOD_OVERRIDE=FQ","FILING_STATUS=MR","SCALING_FORMAT=MLN","Sort=A","Dates=H","DateFormat=P","Fill=—","Direction=H","UseDPDF=Y")</f>
        <v>—</v>
      </c>
      <c r="Z88" s="13" t="str">
        <f>_xll.BDH("GILD US Equity","BS_FUTURE_MIN_OPER_LEASE_OBLIG","FQ3 2024","FQ3 2024","Currency=USD","Period=FQ","BEST_FPERIOD_OVERRIDE=FQ","FILING_STATUS=MR","SCALING_FORMAT=MLN","Sort=A","Dates=H","DateFormat=P","Fill=—","Direction=H","UseDPDF=Y")</f>
        <v>—</v>
      </c>
      <c r="AA88" s="13">
        <f>_xll.BDH("GILD US Equity","BS_FUTURE_MIN_OPER_LEASE_OBLIG","FQ4 2024","FQ4 2024","Currency=USD","Period=FQ","BEST_FPERIOD_OVERRIDE=FQ","FILING_STATUS=MR","SCALING_FORMAT=MLN","Sort=A","Dates=H","DateFormat=P","Fill=—","Direction=H","UseDPDF=Y")</f>
        <v>698</v>
      </c>
    </row>
    <row r="89" spans="1:27" x14ac:dyDescent="0.25">
      <c r="A89" s="10" t="s">
        <v>882</v>
      </c>
      <c r="B89" s="10" t="s">
        <v>883</v>
      </c>
      <c r="C89" s="13" t="str">
        <f>_xll.BDH("GILD US Equity","BS_TOTAL_CAPITAL_LEASES","FQ4 2018","FQ4 2018","Currency=USD","Period=FQ","BEST_FPERIOD_OVERRIDE=FQ","FILING_STATUS=MR","SCALING_FORMAT=MLN","Sort=A","Dates=H","DateFormat=P","Fill=—","Direction=H","UseDPDF=Y")</f>
        <v>—</v>
      </c>
      <c r="D89" s="13" t="str">
        <f>_xll.BDH("GILD US Equity","BS_TOTAL_CAPITAL_LEASES","FQ1 2019","FQ1 2019","Currency=USD","Period=FQ","BEST_FPERIOD_OVERRIDE=FQ","FILING_STATUS=MR","SCALING_FORMAT=MLN","Sort=A","Dates=H","DateFormat=P","Fill=—","Direction=H","UseDPDF=Y")</f>
        <v>—</v>
      </c>
      <c r="E89" s="13" t="str">
        <f>_xll.BDH("GILD US Equity","BS_TOTAL_CAPITAL_LEASES","FQ2 2019","FQ2 2019","Currency=USD","Period=FQ","BEST_FPERIOD_OVERRIDE=FQ","FILING_STATUS=MR","SCALING_FORMAT=MLN","Sort=A","Dates=H","DateFormat=P","Fill=—","Direction=H","UseDPDF=Y")</f>
        <v>—</v>
      </c>
      <c r="F89" s="13" t="str">
        <f>_xll.BDH("GILD US Equity","BS_TOTAL_CAPITAL_LEASES","FQ3 2019","FQ3 2019","Currency=USD","Period=FQ","BEST_FPERIOD_OVERRIDE=FQ","FILING_STATUS=MR","SCALING_FORMAT=MLN","Sort=A","Dates=H","DateFormat=P","Fill=—","Direction=H","UseDPDF=Y")</f>
        <v>—</v>
      </c>
      <c r="G89" s="13">
        <f>_xll.BDH("GILD US Equity","BS_TOTAL_CAPITAL_LEASES","FQ4 2019","FQ4 2019","Currency=USD","Period=FQ","BEST_FPERIOD_OVERRIDE=FQ","FILING_STATUS=MR","SCALING_FORMAT=MLN","Sort=A","Dates=H","DateFormat=P","Fill=—","Direction=H","UseDPDF=Y")</f>
        <v>0</v>
      </c>
      <c r="H89" s="13" t="str">
        <f>_xll.BDH("GILD US Equity","BS_TOTAL_CAPITAL_LEASES","FQ1 2020","FQ1 2020","Currency=USD","Period=FQ","BEST_FPERIOD_OVERRIDE=FQ","FILING_STATUS=MR","SCALING_FORMAT=MLN","Sort=A","Dates=H","DateFormat=P","Fill=—","Direction=H","UseDPDF=Y")</f>
        <v>—</v>
      </c>
      <c r="I89" s="13" t="str">
        <f>_xll.BDH("GILD US Equity","BS_TOTAL_CAPITAL_LEASES","FQ2 2020","FQ2 2020","Currency=USD","Period=FQ","BEST_FPERIOD_OVERRIDE=FQ","FILING_STATUS=MR","SCALING_FORMAT=MLN","Sort=A","Dates=H","DateFormat=P","Fill=—","Direction=H","UseDPDF=Y")</f>
        <v>—</v>
      </c>
      <c r="J89" s="13" t="str">
        <f>_xll.BDH("GILD US Equity","BS_TOTAL_CAPITAL_LEASES","FQ3 2020","FQ3 2020","Currency=USD","Period=FQ","BEST_FPERIOD_OVERRIDE=FQ","FILING_STATUS=MR","SCALING_FORMAT=MLN","Sort=A","Dates=H","DateFormat=P","Fill=—","Direction=H","UseDPDF=Y")</f>
        <v>—</v>
      </c>
      <c r="K89" s="13">
        <f>_xll.BDH("GILD US Equity","BS_TOTAL_CAPITAL_LEASES","FQ4 2020","FQ4 2020","Currency=USD","Period=FQ","BEST_FPERIOD_OVERRIDE=FQ","FILING_STATUS=MR","SCALING_FORMAT=MLN","Sort=A","Dates=H","DateFormat=P","Fill=—","Direction=H","UseDPDF=Y")</f>
        <v>0</v>
      </c>
      <c r="L89" s="13" t="str">
        <f>_xll.BDH("GILD US Equity","BS_TOTAL_CAPITAL_LEASES","FQ1 2021","FQ1 2021","Currency=USD","Period=FQ","BEST_FPERIOD_OVERRIDE=FQ","FILING_STATUS=MR","SCALING_FORMAT=MLN","Sort=A","Dates=H","DateFormat=P","Fill=—","Direction=H","UseDPDF=Y")</f>
        <v>—</v>
      </c>
      <c r="M89" s="13" t="str">
        <f>_xll.BDH("GILD US Equity","BS_TOTAL_CAPITAL_LEASES","FQ2 2021","FQ2 2021","Currency=USD","Period=FQ","BEST_FPERIOD_OVERRIDE=FQ","FILING_STATUS=MR","SCALING_FORMAT=MLN","Sort=A","Dates=H","DateFormat=P","Fill=—","Direction=H","UseDPDF=Y")</f>
        <v>—</v>
      </c>
      <c r="N89" s="13" t="str">
        <f>_xll.BDH("GILD US Equity","BS_TOTAL_CAPITAL_LEASES","FQ3 2021","FQ3 2021","Currency=USD","Period=FQ","BEST_FPERIOD_OVERRIDE=FQ","FILING_STATUS=MR","SCALING_FORMAT=MLN","Sort=A","Dates=H","DateFormat=P","Fill=—","Direction=H","UseDPDF=Y")</f>
        <v>—</v>
      </c>
      <c r="O89" s="13">
        <f>_xll.BDH("GILD US Equity","BS_TOTAL_CAPITAL_LEASES","FQ4 2021","FQ4 2021","Currency=USD","Period=FQ","BEST_FPERIOD_OVERRIDE=FQ","FILING_STATUS=MR","SCALING_FORMAT=MLN","Sort=A","Dates=H","DateFormat=P","Fill=—","Direction=H","UseDPDF=Y")</f>
        <v>0</v>
      </c>
      <c r="P89" s="13" t="str">
        <f>_xll.BDH("GILD US Equity","BS_TOTAL_CAPITAL_LEASES","FQ1 2022","FQ1 2022","Currency=USD","Period=FQ","BEST_FPERIOD_OVERRIDE=FQ","FILING_STATUS=MR","SCALING_FORMAT=MLN","Sort=A","Dates=H","DateFormat=P","Fill=—","Direction=H","UseDPDF=Y")</f>
        <v>—</v>
      </c>
      <c r="Q89" s="13" t="str">
        <f>_xll.BDH("GILD US Equity","BS_TOTAL_CAPITAL_LEASES","FQ2 2022","FQ2 2022","Currency=USD","Period=FQ","BEST_FPERIOD_OVERRIDE=FQ","FILING_STATUS=MR","SCALING_FORMAT=MLN","Sort=A","Dates=H","DateFormat=P","Fill=—","Direction=H","UseDPDF=Y")</f>
        <v>—</v>
      </c>
      <c r="R89" s="13" t="str">
        <f>_xll.BDH("GILD US Equity","BS_TOTAL_CAPITAL_LEASES","FQ3 2022","FQ3 2022","Currency=USD","Period=FQ","BEST_FPERIOD_OVERRIDE=FQ","FILING_STATUS=MR","SCALING_FORMAT=MLN","Sort=A","Dates=H","DateFormat=P","Fill=—","Direction=H","UseDPDF=Y")</f>
        <v>—</v>
      </c>
      <c r="S89" s="13">
        <f>_xll.BDH("GILD US Equity","BS_TOTAL_CAPITAL_LEASES","FQ4 2022","FQ4 2022","Currency=USD","Period=FQ","BEST_FPERIOD_OVERRIDE=FQ","FILING_STATUS=MR","SCALING_FORMAT=MLN","Sort=A","Dates=H","DateFormat=P","Fill=—","Direction=H","UseDPDF=Y")</f>
        <v>0</v>
      </c>
      <c r="T89" s="13" t="str">
        <f>_xll.BDH("GILD US Equity","BS_TOTAL_CAPITAL_LEASES","FQ1 2023","FQ1 2023","Currency=USD","Period=FQ","BEST_FPERIOD_OVERRIDE=FQ","FILING_STATUS=MR","SCALING_FORMAT=MLN","Sort=A","Dates=H","DateFormat=P","Fill=—","Direction=H","UseDPDF=Y")</f>
        <v>—</v>
      </c>
      <c r="U89" s="13" t="str">
        <f>_xll.BDH("GILD US Equity","BS_TOTAL_CAPITAL_LEASES","FQ2 2023","FQ2 2023","Currency=USD","Period=FQ","BEST_FPERIOD_OVERRIDE=FQ","FILING_STATUS=MR","SCALING_FORMAT=MLN","Sort=A","Dates=H","DateFormat=P","Fill=—","Direction=H","UseDPDF=Y")</f>
        <v>—</v>
      </c>
      <c r="V89" s="13" t="str">
        <f>_xll.BDH("GILD US Equity","BS_TOTAL_CAPITAL_LEASES","FQ3 2023","FQ3 2023","Currency=USD","Period=FQ","BEST_FPERIOD_OVERRIDE=FQ","FILING_STATUS=MR","SCALING_FORMAT=MLN","Sort=A","Dates=H","DateFormat=P","Fill=—","Direction=H","UseDPDF=Y")</f>
        <v>—</v>
      </c>
      <c r="W89" s="13">
        <f>_xll.BDH("GILD US Equity","BS_TOTAL_CAPITAL_LEASES","FQ4 2023","FQ4 2023","Currency=USD","Period=FQ","BEST_FPERIOD_OVERRIDE=FQ","FILING_STATUS=MR","SCALING_FORMAT=MLN","Sort=A","Dates=H","DateFormat=P","Fill=—","Direction=H","UseDPDF=Y")</f>
        <v>0</v>
      </c>
      <c r="X89" s="13" t="str">
        <f>_xll.BDH("GILD US Equity","BS_TOTAL_CAPITAL_LEASES","FQ1 2024","FQ1 2024","Currency=USD","Period=FQ","BEST_FPERIOD_OVERRIDE=FQ","FILING_STATUS=MR","SCALING_FORMAT=MLN","Sort=A","Dates=H","DateFormat=P","Fill=—","Direction=H","UseDPDF=Y")</f>
        <v>—</v>
      </c>
      <c r="Y89" s="13" t="str">
        <f>_xll.BDH("GILD US Equity","BS_TOTAL_CAPITAL_LEASES","FQ2 2024","FQ2 2024","Currency=USD","Period=FQ","BEST_FPERIOD_OVERRIDE=FQ","FILING_STATUS=MR","SCALING_FORMAT=MLN","Sort=A","Dates=H","DateFormat=P","Fill=—","Direction=H","UseDPDF=Y")</f>
        <v>—</v>
      </c>
      <c r="Z89" s="13" t="str">
        <f>_xll.BDH("GILD US Equity","BS_TOTAL_CAPITAL_LEASES","FQ3 2024","FQ3 2024","Currency=USD","Period=FQ","BEST_FPERIOD_OVERRIDE=FQ","FILING_STATUS=MR","SCALING_FORMAT=MLN","Sort=A","Dates=H","DateFormat=P","Fill=—","Direction=H","UseDPDF=Y")</f>
        <v>—</v>
      </c>
      <c r="AA89" s="13">
        <f>_xll.BDH("GILD US Equity","BS_TOTAL_CAPITAL_LEASES","FQ4 2024","FQ4 2024","Currency=USD","Period=FQ","BEST_FPERIOD_OVERRIDE=FQ","FILING_STATUS=MR","SCALING_FORMAT=MLN","Sort=A","Dates=H","DateFormat=P","Fill=—","Direction=H","UseDPDF=Y")</f>
        <v>0</v>
      </c>
    </row>
    <row r="90" spans="1:27" x14ac:dyDescent="0.25">
      <c r="A90" s="10" t="s">
        <v>884</v>
      </c>
      <c r="B90" s="10" t="s">
        <v>885</v>
      </c>
      <c r="C90" s="13" t="str">
        <f>_xll.BDH("GILD US Equity","BS_OPTIONS_GRANTED","FQ4 2018","FQ4 2018","Currency=USD","Period=FQ","BEST_FPERIOD_OVERRIDE=FQ","FILING_STATUS=MR","Sort=A","Dates=H","DateFormat=P","Fill=—","Direction=H","UseDPDF=Y")</f>
        <v>—</v>
      </c>
      <c r="D90" s="13" t="str">
        <f>_xll.BDH("GILD US Equity","BS_OPTIONS_GRANTED","FQ1 2019","FQ1 2019","Currency=USD","Period=FQ","BEST_FPERIOD_OVERRIDE=FQ","FILING_STATUS=MR","Sort=A","Dates=H","DateFormat=P","Fill=—","Direction=H","UseDPDF=Y")</f>
        <v>—</v>
      </c>
      <c r="E90" s="13" t="str">
        <f>_xll.BDH("GILD US Equity","BS_OPTIONS_GRANTED","FQ2 2019","FQ2 2019","Currency=USD","Period=FQ","BEST_FPERIOD_OVERRIDE=FQ","FILING_STATUS=MR","Sort=A","Dates=H","DateFormat=P","Fill=—","Direction=H","UseDPDF=Y")</f>
        <v>—</v>
      </c>
      <c r="F90" s="13" t="str">
        <f>_xll.BDH("GILD US Equity","BS_OPTIONS_GRANTED","FQ3 2019","FQ3 2019","Currency=USD","Period=FQ","BEST_FPERIOD_OVERRIDE=FQ","FILING_STATUS=MR","Sort=A","Dates=H","DateFormat=P","Fill=—","Direction=H","UseDPDF=Y")</f>
        <v>—</v>
      </c>
      <c r="G90" s="13" t="str">
        <f>_xll.BDH("GILD US Equity","BS_OPTIONS_GRANTED","FQ4 2019","FQ4 2019","Currency=USD","Period=FQ","BEST_FPERIOD_OVERRIDE=FQ","FILING_STATUS=MR","Sort=A","Dates=H","DateFormat=P","Fill=—","Direction=H","UseDPDF=Y")</f>
        <v>—</v>
      </c>
      <c r="H90" s="13" t="str">
        <f>_xll.BDH("GILD US Equity","BS_OPTIONS_GRANTED","FQ1 2020","FQ1 2020","Currency=USD","Period=FQ","BEST_FPERIOD_OVERRIDE=FQ","FILING_STATUS=MR","Sort=A","Dates=H","DateFormat=P","Fill=—","Direction=H","UseDPDF=Y")</f>
        <v>—</v>
      </c>
      <c r="I90" s="13" t="str">
        <f>_xll.BDH("GILD US Equity","BS_OPTIONS_GRANTED","FQ2 2020","FQ2 2020","Currency=USD","Period=FQ","BEST_FPERIOD_OVERRIDE=FQ","FILING_STATUS=MR","Sort=A","Dates=H","DateFormat=P","Fill=—","Direction=H","UseDPDF=Y")</f>
        <v>—</v>
      </c>
      <c r="J90" s="13" t="str">
        <f>_xll.BDH("GILD US Equity","BS_OPTIONS_GRANTED","FQ3 2020","FQ3 2020","Currency=USD","Period=FQ","BEST_FPERIOD_OVERRIDE=FQ","FILING_STATUS=MR","Sort=A","Dates=H","DateFormat=P","Fill=—","Direction=H","UseDPDF=Y")</f>
        <v>—</v>
      </c>
      <c r="K90" s="13" t="str">
        <f>_xll.BDH("GILD US Equity","BS_OPTIONS_GRANTED","FQ4 2020","FQ4 2020","Currency=USD","Period=FQ","BEST_FPERIOD_OVERRIDE=FQ","FILING_STATUS=MR","Sort=A","Dates=H","DateFormat=P","Fill=—","Direction=H","UseDPDF=Y")</f>
        <v>—</v>
      </c>
      <c r="L90" s="13" t="str">
        <f>_xll.BDH("GILD US Equity","BS_OPTIONS_GRANTED","FQ1 2021","FQ1 2021","Currency=USD","Period=FQ","BEST_FPERIOD_OVERRIDE=FQ","FILING_STATUS=MR","Sort=A","Dates=H","DateFormat=P","Fill=—","Direction=H","UseDPDF=Y")</f>
        <v>—</v>
      </c>
      <c r="M90" s="13" t="str">
        <f>_xll.BDH("GILD US Equity","BS_OPTIONS_GRANTED","FQ2 2021","FQ2 2021","Currency=USD","Period=FQ","BEST_FPERIOD_OVERRIDE=FQ","FILING_STATUS=MR","Sort=A","Dates=H","DateFormat=P","Fill=—","Direction=H","UseDPDF=Y")</f>
        <v>—</v>
      </c>
      <c r="N90" s="13" t="str">
        <f>_xll.BDH("GILD US Equity","BS_OPTIONS_GRANTED","FQ3 2021","FQ3 2021","Currency=USD","Period=FQ","BEST_FPERIOD_OVERRIDE=FQ","FILING_STATUS=MR","Sort=A","Dates=H","DateFormat=P","Fill=—","Direction=H","UseDPDF=Y")</f>
        <v>—</v>
      </c>
      <c r="O90" s="13" t="str">
        <f>_xll.BDH("GILD US Equity","BS_OPTIONS_GRANTED","FQ4 2021","FQ4 2021","Currency=USD","Period=FQ","BEST_FPERIOD_OVERRIDE=FQ","FILING_STATUS=MR","Sort=A","Dates=H","DateFormat=P","Fill=—","Direction=H","UseDPDF=Y")</f>
        <v>—</v>
      </c>
      <c r="P90" s="13" t="str">
        <f>_xll.BDH("GILD US Equity","BS_OPTIONS_GRANTED","FQ1 2022","FQ1 2022","Currency=USD","Period=FQ","BEST_FPERIOD_OVERRIDE=FQ","FILING_STATUS=MR","Sort=A","Dates=H","DateFormat=P","Fill=—","Direction=H","UseDPDF=Y")</f>
        <v>—</v>
      </c>
      <c r="Q90" s="13" t="str">
        <f>_xll.BDH("GILD US Equity","BS_OPTIONS_GRANTED","FQ2 2022","FQ2 2022","Currency=USD","Period=FQ","BEST_FPERIOD_OVERRIDE=FQ","FILING_STATUS=MR","Sort=A","Dates=H","DateFormat=P","Fill=—","Direction=H","UseDPDF=Y")</f>
        <v>—</v>
      </c>
      <c r="R90" s="13" t="str">
        <f>_xll.BDH("GILD US Equity","BS_OPTIONS_GRANTED","FQ3 2022","FQ3 2022","Currency=USD","Period=FQ","BEST_FPERIOD_OVERRIDE=FQ","FILING_STATUS=MR","Sort=A","Dates=H","DateFormat=P","Fill=—","Direction=H","UseDPDF=Y")</f>
        <v>—</v>
      </c>
      <c r="S90" s="13" t="str">
        <f>_xll.BDH("GILD US Equity","BS_OPTIONS_GRANTED","FQ4 2022","FQ4 2022","Currency=USD","Period=FQ","BEST_FPERIOD_OVERRIDE=FQ","FILING_STATUS=MR","Sort=A","Dates=H","DateFormat=P","Fill=—","Direction=H","UseDPDF=Y")</f>
        <v>—</v>
      </c>
      <c r="T90" s="13" t="str">
        <f>_xll.BDH("GILD US Equity","BS_OPTIONS_GRANTED","FQ1 2023","FQ1 2023","Currency=USD","Period=FQ","BEST_FPERIOD_OVERRIDE=FQ","FILING_STATUS=MR","Sort=A","Dates=H","DateFormat=P","Fill=—","Direction=H","UseDPDF=Y")</f>
        <v>—</v>
      </c>
      <c r="U90" s="13" t="str">
        <f>_xll.BDH("GILD US Equity","BS_OPTIONS_GRANTED","FQ2 2023","FQ2 2023","Currency=USD","Period=FQ","BEST_FPERIOD_OVERRIDE=FQ","FILING_STATUS=MR","Sort=A","Dates=H","DateFormat=P","Fill=—","Direction=H","UseDPDF=Y")</f>
        <v>—</v>
      </c>
      <c r="V90" s="13" t="str">
        <f>_xll.BDH("GILD US Equity","BS_OPTIONS_GRANTED","FQ3 2023","FQ3 2023","Currency=USD","Period=FQ","BEST_FPERIOD_OVERRIDE=FQ","FILING_STATUS=MR","Sort=A","Dates=H","DateFormat=P","Fill=—","Direction=H","UseDPDF=Y")</f>
        <v>—</v>
      </c>
      <c r="W90" s="13">
        <f>_xll.BDH("GILD US Equity","BS_OPTIONS_GRANTED","FQ4 2023","FQ4 2023","Currency=USD","Period=FQ","BEST_FPERIOD_OVERRIDE=FQ","FILING_STATUS=MR","Sort=A","Dates=H","DateFormat=P","Fill=—","Direction=H","UseDPDF=Y")</f>
        <v>2.1</v>
      </c>
      <c r="X90" s="13" t="str">
        <f>_xll.BDH("GILD US Equity","BS_OPTIONS_GRANTED","FQ1 2024","FQ1 2024","Currency=USD","Period=FQ","BEST_FPERIOD_OVERRIDE=FQ","FILING_STATUS=MR","Sort=A","Dates=H","DateFormat=P","Fill=—","Direction=H","UseDPDF=Y")</f>
        <v>—</v>
      </c>
      <c r="Y90" s="13" t="str">
        <f>_xll.BDH("GILD US Equity","BS_OPTIONS_GRANTED","FQ2 2024","FQ2 2024","Currency=USD","Period=FQ","BEST_FPERIOD_OVERRIDE=FQ","FILING_STATUS=MR","Sort=A","Dates=H","DateFormat=P","Fill=—","Direction=H","UseDPDF=Y")</f>
        <v>—</v>
      </c>
      <c r="Z90" s="13" t="str">
        <f>_xll.BDH("GILD US Equity","BS_OPTIONS_GRANTED","FQ3 2024","FQ3 2024","Currency=USD","Period=FQ","BEST_FPERIOD_OVERRIDE=FQ","FILING_STATUS=MR","Sort=A","Dates=H","DateFormat=P","Fill=—","Direction=H","UseDPDF=Y")</f>
        <v>—</v>
      </c>
      <c r="AA90" s="13" t="str">
        <f>_xll.BDH("GILD US Equity","BS_OPTIONS_GRANTED","FQ4 2024","FQ4 2024","Currency=USD","Period=FQ","BEST_FPERIOD_OVERRIDE=FQ","FILING_STATUS=MR","Sort=A","Dates=H","DateFormat=P","Fill=—","Direction=H","UseDPDF=Y")</f>
        <v>—</v>
      </c>
    </row>
    <row r="91" spans="1:27" x14ac:dyDescent="0.25">
      <c r="A91" s="10" t="s">
        <v>886</v>
      </c>
      <c r="B91" s="10" t="s">
        <v>887</v>
      </c>
      <c r="C91" s="13">
        <f>_xll.BDH("GILD US Equity","BS_OPTIONS_OUTSTANDING","FQ4 2018","FQ4 2018","Currency=USD","Period=FQ","BEST_FPERIOD_OVERRIDE=FQ","FILING_STATUS=MR","Sort=A","Dates=H","DateFormat=P","Fill=—","Direction=H","UseDPDF=Y")</f>
        <v>23.524000000000001</v>
      </c>
      <c r="D91" s="13" t="str">
        <f>_xll.BDH("GILD US Equity","BS_OPTIONS_OUTSTANDING","FQ1 2019","FQ1 2019","Currency=USD","Period=FQ","BEST_FPERIOD_OVERRIDE=FQ","FILING_STATUS=MR","Sort=A","Dates=H","DateFormat=P","Fill=—","Direction=H","UseDPDF=Y")</f>
        <v>—</v>
      </c>
      <c r="E91" s="13" t="str">
        <f>_xll.BDH("GILD US Equity","BS_OPTIONS_OUTSTANDING","FQ2 2019","FQ2 2019","Currency=USD","Period=FQ","BEST_FPERIOD_OVERRIDE=FQ","FILING_STATUS=MR","Sort=A","Dates=H","DateFormat=P","Fill=—","Direction=H","UseDPDF=Y")</f>
        <v>—</v>
      </c>
      <c r="F91" s="13" t="str">
        <f>_xll.BDH("GILD US Equity","BS_OPTIONS_OUTSTANDING","FQ3 2019","FQ3 2019","Currency=USD","Period=FQ","BEST_FPERIOD_OVERRIDE=FQ","FILING_STATUS=MR","Sort=A","Dates=H","DateFormat=P","Fill=—","Direction=H","UseDPDF=Y")</f>
        <v>—</v>
      </c>
      <c r="G91" s="13">
        <f>_xll.BDH("GILD US Equity","BS_OPTIONS_OUTSTANDING","FQ4 2019","FQ4 2019","Currency=USD","Period=FQ","BEST_FPERIOD_OVERRIDE=FQ","FILING_STATUS=MR","Sort=A","Dates=H","DateFormat=P","Fill=—","Direction=H","UseDPDF=Y")</f>
        <v>19.5</v>
      </c>
      <c r="H91" s="13" t="str">
        <f>_xll.BDH("GILD US Equity","BS_OPTIONS_OUTSTANDING","FQ1 2020","FQ1 2020","Currency=USD","Period=FQ","BEST_FPERIOD_OVERRIDE=FQ","FILING_STATUS=MR","Sort=A","Dates=H","DateFormat=P","Fill=—","Direction=H","UseDPDF=Y")</f>
        <v>—</v>
      </c>
      <c r="I91" s="13" t="str">
        <f>_xll.BDH("GILD US Equity","BS_OPTIONS_OUTSTANDING","FQ2 2020","FQ2 2020","Currency=USD","Period=FQ","BEST_FPERIOD_OVERRIDE=FQ","FILING_STATUS=MR","Sort=A","Dates=H","DateFormat=P","Fill=—","Direction=H","UseDPDF=Y")</f>
        <v>—</v>
      </c>
      <c r="J91" s="13" t="str">
        <f>_xll.BDH("GILD US Equity","BS_OPTIONS_OUTSTANDING","FQ3 2020","FQ3 2020","Currency=USD","Period=FQ","BEST_FPERIOD_OVERRIDE=FQ","FILING_STATUS=MR","Sort=A","Dates=H","DateFormat=P","Fill=—","Direction=H","UseDPDF=Y")</f>
        <v>—</v>
      </c>
      <c r="K91" s="13">
        <f>_xll.BDH("GILD US Equity","BS_OPTIONS_OUTSTANDING","FQ4 2020","FQ4 2020","Currency=USD","Period=FQ","BEST_FPERIOD_OVERRIDE=FQ","FILING_STATUS=MR","Sort=A","Dates=H","DateFormat=P","Fill=—","Direction=H","UseDPDF=Y")</f>
        <v>16.600000000000001</v>
      </c>
      <c r="L91" s="13" t="str">
        <f>_xll.BDH("GILD US Equity","BS_OPTIONS_OUTSTANDING","FQ1 2021","FQ1 2021","Currency=USD","Period=FQ","BEST_FPERIOD_OVERRIDE=FQ","FILING_STATUS=MR","Sort=A","Dates=H","DateFormat=P","Fill=—","Direction=H","UseDPDF=Y")</f>
        <v>—</v>
      </c>
      <c r="M91" s="13" t="str">
        <f>_xll.BDH("GILD US Equity","BS_OPTIONS_OUTSTANDING","FQ2 2021","FQ2 2021","Currency=USD","Period=FQ","BEST_FPERIOD_OVERRIDE=FQ","FILING_STATUS=MR","Sort=A","Dates=H","DateFormat=P","Fill=—","Direction=H","UseDPDF=Y")</f>
        <v>—</v>
      </c>
      <c r="N91" s="13" t="str">
        <f>_xll.BDH("GILD US Equity","BS_OPTIONS_OUTSTANDING","FQ3 2021","FQ3 2021","Currency=USD","Period=FQ","BEST_FPERIOD_OVERRIDE=FQ","FILING_STATUS=MR","Sort=A","Dates=H","DateFormat=P","Fill=—","Direction=H","UseDPDF=Y")</f>
        <v>—</v>
      </c>
      <c r="O91" s="13">
        <f>_xll.BDH("GILD US Equity","BS_OPTIONS_OUTSTANDING","FQ4 2021","FQ4 2021","Currency=USD","Period=FQ","BEST_FPERIOD_OVERRIDE=FQ","FILING_STATUS=MR","Sort=A","Dates=H","DateFormat=P","Fill=—","Direction=H","UseDPDF=Y")</f>
        <v>16.8</v>
      </c>
      <c r="P91" s="13" t="str">
        <f>_xll.BDH("GILD US Equity","BS_OPTIONS_OUTSTANDING","FQ1 2022","FQ1 2022","Currency=USD","Period=FQ","BEST_FPERIOD_OVERRIDE=FQ","FILING_STATUS=MR","Sort=A","Dates=H","DateFormat=P","Fill=—","Direction=H","UseDPDF=Y")</f>
        <v>—</v>
      </c>
      <c r="Q91" s="13" t="str">
        <f>_xll.BDH("GILD US Equity","BS_OPTIONS_OUTSTANDING","FQ2 2022","FQ2 2022","Currency=USD","Period=FQ","BEST_FPERIOD_OVERRIDE=FQ","FILING_STATUS=MR","Sort=A","Dates=H","DateFormat=P","Fill=—","Direction=H","UseDPDF=Y")</f>
        <v>—</v>
      </c>
      <c r="R91" s="13" t="str">
        <f>_xll.BDH("GILD US Equity","BS_OPTIONS_OUTSTANDING","FQ3 2022","FQ3 2022","Currency=USD","Period=FQ","BEST_FPERIOD_OVERRIDE=FQ","FILING_STATUS=MR","Sort=A","Dates=H","DateFormat=P","Fill=—","Direction=H","UseDPDF=Y")</f>
        <v>—</v>
      </c>
      <c r="S91" s="13">
        <f>_xll.BDH("GILD US Equity","BS_OPTIONS_OUTSTANDING","FQ4 2022","FQ4 2022","Currency=USD","Period=FQ","BEST_FPERIOD_OVERRIDE=FQ","FILING_STATUS=MR","Sort=A","Dates=H","DateFormat=P","Fill=—","Direction=H","UseDPDF=Y")</f>
        <v>14.4</v>
      </c>
      <c r="T91" s="13" t="str">
        <f>_xll.BDH("GILD US Equity","BS_OPTIONS_OUTSTANDING","FQ1 2023","FQ1 2023","Currency=USD","Period=FQ","BEST_FPERIOD_OVERRIDE=FQ","FILING_STATUS=MR","Sort=A","Dates=H","DateFormat=P","Fill=—","Direction=H","UseDPDF=Y")</f>
        <v>—</v>
      </c>
      <c r="U91" s="13" t="str">
        <f>_xll.BDH("GILD US Equity","BS_OPTIONS_OUTSTANDING","FQ2 2023","FQ2 2023","Currency=USD","Period=FQ","BEST_FPERIOD_OVERRIDE=FQ","FILING_STATUS=MR","Sort=A","Dates=H","DateFormat=P","Fill=—","Direction=H","UseDPDF=Y")</f>
        <v>—</v>
      </c>
      <c r="V91" s="13" t="str">
        <f>_xll.BDH("GILD US Equity","BS_OPTIONS_OUTSTANDING","FQ3 2023","FQ3 2023","Currency=USD","Period=FQ","BEST_FPERIOD_OVERRIDE=FQ","FILING_STATUS=MR","Sort=A","Dates=H","DateFormat=P","Fill=—","Direction=H","UseDPDF=Y")</f>
        <v>—</v>
      </c>
      <c r="W91" s="13">
        <f>_xll.BDH("GILD US Equity","BS_OPTIONS_OUTSTANDING","FQ4 2023","FQ4 2023","Currency=USD","Period=FQ","BEST_FPERIOD_OVERRIDE=FQ","FILING_STATUS=MR","Sort=A","Dates=H","DateFormat=P","Fill=—","Direction=H","UseDPDF=Y")</f>
        <v>14.3</v>
      </c>
      <c r="X91" s="13" t="str">
        <f>_xll.BDH("GILD US Equity","BS_OPTIONS_OUTSTANDING","FQ1 2024","FQ1 2024","Currency=USD","Period=FQ","BEST_FPERIOD_OVERRIDE=FQ","FILING_STATUS=MR","Sort=A","Dates=H","DateFormat=P","Fill=—","Direction=H","UseDPDF=Y")</f>
        <v>—</v>
      </c>
      <c r="Y91" s="13" t="str">
        <f>_xll.BDH("GILD US Equity","BS_OPTIONS_OUTSTANDING","FQ2 2024","FQ2 2024","Currency=USD","Period=FQ","BEST_FPERIOD_OVERRIDE=FQ","FILING_STATUS=MR","Sort=A","Dates=H","DateFormat=P","Fill=—","Direction=H","UseDPDF=Y")</f>
        <v>—</v>
      </c>
      <c r="Z91" s="13" t="str">
        <f>_xll.BDH("GILD US Equity","BS_OPTIONS_OUTSTANDING","FQ3 2024","FQ3 2024","Currency=USD","Period=FQ","BEST_FPERIOD_OVERRIDE=FQ","FILING_STATUS=MR","Sort=A","Dates=H","DateFormat=P","Fill=—","Direction=H","UseDPDF=Y")</f>
        <v>—</v>
      </c>
      <c r="AA91" s="13">
        <f>_xll.BDH("GILD US Equity","BS_OPTIONS_OUTSTANDING","FQ4 2024","FQ4 2024","Currency=USD","Period=FQ","BEST_FPERIOD_OVERRIDE=FQ","FILING_STATUS=MR","Sort=A","Dates=H","DateFormat=P","Fill=—","Direction=H","UseDPDF=Y")</f>
        <v>11.8</v>
      </c>
    </row>
    <row r="92" spans="1:27" x14ac:dyDescent="0.25">
      <c r="A92" s="10" t="s">
        <v>888</v>
      </c>
      <c r="B92" s="10" t="s">
        <v>889</v>
      </c>
      <c r="C92" s="13">
        <f>_xll.BDH("GILD US Equity","NET_DEBT","FQ4 2018","FQ4 2018","Currency=USD","Period=FQ","BEST_FPERIOD_OVERRIDE=FQ","FILING_STATUS=MR","SCALING_FORMAT=MLN","Sort=A","Dates=H","DateFormat=P","Fill=—","Direction=H","UseDPDF=Y")</f>
        <v>-4190</v>
      </c>
      <c r="D92" s="13">
        <f>_xll.BDH("GILD US Equity","NET_DEBT","FQ1 2019","FQ1 2019","Currency=USD","Period=FQ","BEST_FPERIOD_OVERRIDE=FQ","FILING_STATUS=MR","SCALING_FORMAT=MLN","Sort=A","Dates=H","DateFormat=P","Fill=—","Direction=H","UseDPDF=Y")</f>
        <v>-3043</v>
      </c>
      <c r="E92" s="13">
        <f>_xll.BDH("GILD US Equity","NET_DEBT","FQ2 2019","FQ2 2019","Currency=USD","Period=FQ","BEST_FPERIOD_OVERRIDE=FQ","FILING_STATUS=MR","SCALING_FORMAT=MLN","Sort=A","Dates=H","DateFormat=P","Fill=—","Direction=H","UseDPDF=Y")</f>
        <v>-3597</v>
      </c>
      <c r="F92" s="13">
        <f>_xll.BDH("GILD US Equity","NET_DEBT","FQ3 2019","FQ3 2019","Currency=USD","Period=FQ","BEST_FPERIOD_OVERRIDE=FQ","FILING_STATUS=MR","SCALING_FORMAT=MLN","Sort=A","Dates=H","DateFormat=P","Fill=—","Direction=H","UseDPDF=Y")</f>
        <v>249</v>
      </c>
      <c r="G92" s="13">
        <f>_xll.BDH("GILD US Equity","NET_DEBT","FQ4 2019","FQ4 2019","Currency=USD","Period=FQ","BEST_FPERIOD_OVERRIDE=FQ","FILING_STATUS=MR","SCALING_FORMAT=MLN","Sort=A","Dates=H","DateFormat=P","Fill=—","Direction=H","UseDPDF=Y")</f>
        <v>-522</v>
      </c>
      <c r="H92" s="13">
        <f>_xll.BDH("GILD US Equity","NET_DEBT","FQ1 2020","FQ1 2020","Currency=USD","Period=FQ","BEST_FPERIOD_OVERRIDE=FQ","FILING_STATUS=MR","SCALING_FORMAT=MLN","Sort=A","Dates=H","DateFormat=P","Fill=—","Direction=H","UseDPDF=Y")</f>
        <v>-217</v>
      </c>
      <c r="I92" s="13">
        <f>_xll.BDH("GILD US Equity","NET_DEBT","FQ2 2020","FQ2 2020","Currency=USD","Period=FQ","BEST_FPERIOD_OVERRIDE=FQ","FILING_STATUS=MR","SCALING_FORMAT=MLN","Sort=A","Dates=H","DateFormat=P","Fill=—","Direction=H","UseDPDF=Y")</f>
        <v>2912</v>
      </c>
      <c r="J92" s="13">
        <f>_xll.BDH("GILD US Equity","NET_DEBT","FQ3 2020","FQ3 2020","Currency=USD","Period=FQ","BEST_FPERIOD_OVERRIDE=FQ","FILING_STATUS=MR","SCALING_FORMAT=MLN","Sort=A","Dates=H","DateFormat=P","Fill=—","Direction=H","UseDPDF=Y")</f>
        <v>3241</v>
      </c>
      <c r="K92" s="13">
        <f>_xll.BDH("GILD US Equity","NET_DEBT","FQ4 2020","FQ4 2020","Currency=USD","Period=FQ","BEST_FPERIOD_OVERRIDE=FQ","FILING_STATUS=MR","SCALING_FORMAT=MLN","Sort=A","Dates=H","DateFormat=P","Fill=—","Direction=H","UseDPDF=Y")</f>
        <v>24207</v>
      </c>
      <c r="L92" s="13">
        <f>_xll.BDH("GILD US Equity","NET_DEBT","FQ1 2021","FQ1 2021","Currency=USD","Period=FQ","BEST_FPERIOD_OVERRIDE=FQ","FILING_STATUS=MR","SCALING_FORMAT=MLN","Sort=A","Dates=H","DateFormat=P","Fill=—","Direction=H","UseDPDF=Y")</f>
        <v>23921</v>
      </c>
      <c r="M92" s="13">
        <f>_xll.BDH("GILD US Equity","NET_DEBT","FQ2 2021","FQ2 2021","Currency=USD","Period=FQ","BEST_FPERIOD_OVERRIDE=FQ","FILING_STATUS=MR","SCALING_FORMAT=MLN","Sort=A","Dates=H","DateFormat=P","Fill=—","Direction=H","UseDPDF=Y")</f>
        <v>22814</v>
      </c>
      <c r="N92" s="13">
        <f>_xll.BDH("GILD US Equity","NET_DEBT","FQ3 2021","FQ3 2021","Currency=USD","Period=FQ","BEST_FPERIOD_OVERRIDE=FQ","FILING_STATUS=MR","SCALING_FORMAT=MLN","Sort=A","Dates=H","DateFormat=P","Fill=—","Direction=H","UseDPDF=Y")</f>
        <v>20849</v>
      </c>
      <c r="O92" s="13">
        <f>_xll.BDH("GILD US Equity","NET_DEBT","FQ4 2021","FQ4 2021","Currency=USD","Period=FQ","BEST_FPERIOD_OVERRIDE=FQ","FILING_STATUS=MR","SCALING_FORMAT=MLN","Sort=A","Dates=H","DateFormat=P","Fill=—","Direction=H","UseDPDF=Y")</f>
        <v>19456</v>
      </c>
      <c r="P92" s="13">
        <f>_xll.BDH("GILD US Equity","NET_DEBT","FQ1 2022","FQ1 2022","Currency=USD","Period=FQ","BEST_FPERIOD_OVERRIDE=FQ","FILING_STATUS=MR","SCALING_FORMAT=MLN","Sort=A","Dates=H","DateFormat=P","Fill=—","Direction=H","UseDPDF=Y")</f>
        <v>19456</v>
      </c>
      <c r="Q92" s="13">
        <f>_xll.BDH("GILD US Equity","NET_DEBT","FQ2 2022","FQ2 2022","Currency=USD","Period=FQ","BEST_FPERIOD_OVERRIDE=FQ","FILING_STATUS=MR","SCALING_FORMAT=MLN","Sort=A","Dates=H","DateFormat=P","Fill=—","Direction=H","UseDPDF=Y")</f>
        <v>19216</v>
      </c>
      <c r="R92" s="13">
        <f>_xll.BDH("GILD US Equity","NET_DEBT","FQ3 2022","FQ3 2022","Currency=USD","Period=FQ","BEST_FPERIOD_OVERRIDE=FQ","FILING_STATUS=MR","SCALING_FORMAT=MLN","Sort=A","Dates=H","DateFormat=P","Fill=—","Direction=H","UseDPDF=Y")</f>
        <v>18281</v>
      </c>
      <c r="S92" s="13">
        <f>_xll.BDH("GILD US Equity","NET_DEBT","FQ4 2022","FQ4 2022","Currency=USD","Period=FQ","BEST_FPERIOD_OVERRIDE=FQ","FILING_STATUS=MR","SCALING_FORMAT=MLN","Sort=A","Dates=H","DateFormat=P","Fill=—","Direction=H","UseDPDF=Y")</f>
        <v>18178</v>
      </c>
      <c r="T92" s="13">
        <f>_xll.BDH("GILD US Equity","NET_DEBT","FQ1 2023","FQ1 2023","Currency=USD","Period=FQ","BEST_FPERIOD_OVERRIDE=FQ","FILING_STATUS=MR","SCALING_FORMAT=MLN","Sort=A","Dates=H","DateFormat=P","Fill=—","Direction=H","UseDPDF=Y")</f>
        <v>18040</v>
      </c>
      <c r="U92" s="13">
        <f>_xll.BDH("GILD US Equity","NET_DEBT","FQ2 2023","FQ2 2023","Currency=USD","Period=FQ","BEST_FPERIOD_OVERRIDE=FQ","FILING_STATUS=MR","SCALING_FORMAT=MLN","Sort=A","Dates=H","DateFormat=P","Fill=—","Direction=H","UseDPDF=Y")</f>
        <v>17245</v>
      </c>
      <c r="V92" s="13">
        <f>_xll.BDH("GILD US Equity","NET_DEBT","FQ3 2023","FQ3 2023","Currency=USD","Period=FQ","BEST_FPERIOD_OVERRIDE=FQ","FILING_STATUS=MR","SCALING_FORMAT=MLN","Sort=A","Dates=H","DateFormat=P","Fill=—","Direction=H","UseDPDF=Y")</f>
        <v>16962</v>
      </c>
      <c r="W92" s="13">
        <f>_xll.BDH("GILD US Equity","NET_DEBT","FQ4 2023","FQ4 2023","Currency=USD","Period=FQ","BEST_FPERIOD_OVERRIDE=FQ","FILING_STATUS=MR","SCALING_FORMAT=MLN","Sort=A","Dates=H","DateFormat=P","Fill=—","Direction=H","UseDPDF=Y")</f>
        <v>17231</v>
      </c>
      <c r="X92" s="13">
        <f>_xll.BDH("GILD US Equity","NET_DEBT","FQ1 2024","FQ1 2024","Currency=USD","Period=FQ","BEST_FPERIOD_OVERRIDE=FQ","FILING_STATUS=MR","SCALING_FORMAT=MLN","Sort=A","Dates=H","DateFormat=P","Fill=—","Direction=H","UseDPDF=Y")</f>
        <v>20476</v>
      </c>
      <c r="Y92" s="13">
        <f>_xll.BDH("GILD US Equity","NET_DEBT","FQ2 2024","FQ2 2024","Currency=USD","Period=FQ","BEST_FPERIOD_OVERRIDE=FQ","FILING_STATUS=MR","SCALING_FORMAT=MLN","Sort=A","Dates=H","DateFormat=P","Fill=—","Direction=H","UseDPDF=Y")</f>
        <v>20578</v>
      </c>
      <c r="Z92" s="13">
        <f>_xll.BDH("GILD US Equity","NET_DEBT","FQ3 2024","FQ3 2024","Currency=USD","Period=FQ","BEST_FPERIOD_OVERRIDE=FQ","FILING_STATUS=MR","SCALING_FORMAT=MLN","Sort=A","Dates=H","DateFormat=P","Fill=—","Direction=H","UseDPDF=Y")</f>
        <v>18212</v>
      </c>
      <c r="AA92" s="13">
        <f>_xll.BDH("GILD US Equity","NET_DEBT","FQ4 2024","FQ4 2024","Currency=USD","Period=FQ","BEST_FPERIOD_OVERRIDE=FQ","FILING_STATUS=MR","SCALING_FORMAT=MLN","Sort=A","Dates=H","DateFormat=P","Fill=—","Direction=H","UseDPDF=Y")</f>
        <v>17331</v>
      </c>
    </row>
    <row r="93" spans="1:27" x14ac:dyDescent="0.25">
      <c r="A93" s="10" t="s">
        <v>890</v>
      </c>
      <c r="B93" s="10" t="s">
        <v>891</v>
      </c>
      <c r="C93" s="14">
        <f>_xll.BDH("GILD US Equity","NET_DEBT_TO_SHRHLDR_EQTY","FQ4 2018","FQ4 2018","Currency=USD","Period=FQ","BEST_FPERIOD_OVERRIDE=FQ","FILING_STATUS=MR","Sort=A","Dates=H","DateFormat=P","Fill=—","Direction=H","UseDPDF=Y")</f>
        <v>-19.457599999999999</v>
      </c>
      <c r="D93" s="14">
        <f>_xll.BDH("GILD US Equity","NET_DEBT_TO_SHRHLDR_EQTY","FQ1 2019","FQ1 2019","Currency=USD","Period=FQ","BEST_FPERIOD_OVERRIDE=FQ","FILING_STATUS=MR","Sort=A","Dates=H","DateFormat=P","Fill=—","Direction=H","UseDPDF=Y")</f>
        <v>-13.774800000000001</v>
      </c>
      <c r="E93" s="14">
        <f>_xll.BDH("GILD US Equity","NET_DEBT_TO_SHRHLDR_EQTY","FQ2 2019","FQ2 2019","Currency=USD","Period=FQ","BEST_FPERIOD_OVERRIDE=FQ","FILING_STATUS=MR","Sort=A","Dates=H","DateFormat=P","Fill=—","Direction=H","UseDPDF=Y")</f>
        <v>-15.8103</v>
      </c>
      <c r="F93" s="14">
        <f>_xll.BDH("GILD US Equity","NET_DEBT_TO_SHRHLDR_EQTY","FQ3 2019","FQ3 2019","Currency=USD","Period=FQ","BEST_FPERIOD_OVERRIDE=FQ","FILING_STATUS=MR","Sort=A","Dates=H","DateFormat=P","Fill=—","Direction=H","UseDPDF=Y")</f>
        <v>1.2008000000000001</v>
      </c>
      <c r="G93" s="14">
        <f>_xll.BDH("GILD US Equity","NET_DEBT_TO_SHRHLDR_EQTY","FQ4 2019","FQ4 2019","Currency=USD","Period=FQ","BEST_FPERIOD_OVERRIDE=FQ","FILING_STATUS=MR","Sort=A","Dates=H","DateFormat=P","Fill=—","Direction=H","UseDPDF=Y")</f>
        <v>-2.3046000000000002</v>
      </c>
      <c r="H93" s="14">
        <f>_xll.BDH("GILD US Equity","NET_DEBT_TO_SHRHLDR_EQTY","FQ1 2020","FQ1 2020","Currency=USD","Period=FQ","BEST_FPERIOD_OVERRIDE=FQ","FILING_STATUS=MR","Sort=A","Dates=H","DateFormat=P","Fill=—","Direction=H","UseDPDF=Y")</f>
        <v>-0.97840000000000005</v>
      </c>
      <c r="I93" s="14">
        <f>_xll.BDH("GILD US Equity","NET_DEBT_TO_SHRHLDR_EQTY","FQ2 2020","FQ2 2020","Currency=USD","Period=FQ","BEST_FPERIOD_OVERRIDE=FQ","FILING_STATUS=MR","Sort=A","Dates=H","DateFormat=P","Fill=—","Direction=H","UseDPDF=Y")</f>
        <v>16.051200000000001</v>
      </c>
      <c r="J93" s="14">
        <f>_xll.BDH("GILD US Equity","NET_DEBT_TO_SHRHLDR_EQTY","FQ3 2020","FQ3 2020","Currency=USD","Period=FQ","BEST_FPERIOD_OVERRIDE=FQ","FILING_STATUS=MR","Sort=A","Dates=H","DateFormat=P","Fill=—","Direction=H","UseDPDF=Y")</f>
        <v>18.550699999999999</v>
      </c>
      <c r="K93" s="14">
        <f>_xll.BDH("GILD US Equity","NET_DEBT_TO_SHRHLDR_EQTY","FQ4 2020","FQ4 2020","Currency=USD","Period=FQ","BEST_FPERIOD_OVERRIDE=FQ","FILING_STATUS=MR","Sort=A","Dates=H","DateFormat=P","Fill=—","Direction=H","UseDPDF=Y")</f>
        <v>132.85220000000001</v>
      </c>
      <c r="L93" s="14">
        <f>_xll.BDH("GILD US Equity","NET_DEBT_TO_SHRHLDR_EQTY","FQ1 2021","FQ1 2021","Currency=USD","Period=FQ","BEST_FPERIOD_OVERRIDE=FQ","FILING_STATUS=MR","Sort=A","Dates=H","DateFormat=P","Fill=—","Direction=H","UseDPDF=Y")</f>
        <v>126.139</v>
      </c>
      <c r="M93" s="14">
        <f>_xll.BDH("GILD US Equity","NET_DEBT_TO_SHRHLDR_EQTY","FQ2 2021","FQ2 2021","Currency=USD","Period=FQ","BEST_FPERIOD_OVERRIDE=FQ","FILING_STATUS=MR","Sort=A","Dates=H","DateFormat=P","Fill=—","Direction=H","UseDPDF=Y")</f>
        <v>115.7484</v>
      </c>
      <c r="N93" s="14">
        <f>_xll.BDH("GILD US Equity","NET_DEBT_TO_SHRHLDR_EQTY","FQ3 2021","FQ3 2021","Currency=USD","Period=FQ","BEST_FPERIOD_OVERRIDE=FQ","FILING_STATUS=MR","Sort=A","Dates=H","DateFormat=P","Fill=—","Direction=H","UseDPDF=Y")</f>
        <v>97.103099999999998</v>
      </c>
      <c r="O93" s="14">
        <f>_xll.BDH("GILD US Equity","NET_DEBT_TO_SHRHLDR_EQTY","FQ4 2021","FQ4 2021","Currency=USD","Period=FQ","BEST_FPERIOD_OVERRIDE=FQ","FILING_STATUS=MR","Sort=A","Dates=H","DateFormat=P","Fill=—","Direction=H","UseDPDF=Y")</f>
        <v>92.366100000000003</v>
      </c>
      <c r="P93" s="14">
        <f>_xll.BDH("GILD US Equity","NET_DEBT_TO_SHRHLDR_EQTY","FQ1 2022","FQ1 2022","Currency=USD","Period=FQ","BEST_FPERIOD_OVERRIDE=FQ","FILING_STATUS=MR","Sort=A","Dates=H","DateFormat=P","Fill=—","Direction=H","UseDPDF=Y")</f>
        <v>97.6952</v>
      </c>
      <c r="Q93" s="14">
        <f>_xll.BDH("GILD US Equity","NET_DEBT_TO_SHRHLDR_EQTY","FQ2 2022","FQ2 2022","Currency=USD","Period=FQ","BEST_FPERIOD_OVERRIDE=FQ","FILING_STATUS=MR","Sort=A","Dates=H","DateFormat=P","Fill=—","Direction=H","UseDPDF=Y")</f>
        <v>95.058099999999996</v>
      </c>
      <c r="R93" s="14">
        <f>_xll.BDH("GILD US Equity","NET_DEBT_TO_SHRHLDR_EQTY","FQ3 2022","FQ3 2022","Currency=USD","Period=FQ","BEST_FPERIOD_OVERRIDE=FQ","FILING_STATUS=MR","Sort=A","Dates=H","DateFormat=P","Fill=—","Direction=H","UseDPDF=Y")</f>
        <v>86.816699999999997</v>
      </c>
      <c r="S93" s="14">
        <f>_xll.BDH("GILD US Equity","NET_DEBT_TO_SHRHLDR_EQTY","FQ4 2022","FQ4 2022","Currency=USD","Period=FQ","BEST_FPERIOD_OVERRIDE=FQ","FILING_STATUS=MR","Sort=A","Dates=H","DateFormat=P","Fill=—","Direction=H","UseDPDF=Y")</f>
        <v>85.7089</v>
      </c>
      <c r="T93" s="14">
        <f>_xll.BDH("GILD US Equity","NET_DEBT_TO_SHRHLDR_EQTY","FQ1 2023","FQ1 2023","Currency=USD","Period=FQ","BEST_FPERIOD_OVERRIDE=FQ","FILING_STATUS=MR","Sort=A","Dates=H","DateFormat=P","Fill=—","Direction=H","UseDPDF=Y")</f>
        <v>86.155000000000001</v>
      </c>
      <c r="U93" s="14">
        <f>_xll.BDH("GILD US Equity","NET_DEBT_TO_SHRHLDR_EQTY","FQ2 2023","FQ2 2023","Currency=USD","Period=FQ","BEST_FPERIOD_OVERRIDE=FQ","FILING_STATUS=MR","Sort=A","Dates=H","DateFormat=P","Fill=—","Direction=H","UseDPDF=Y")</f>
        <v>81.753100000000003</v>
      </c>
      <c r="V93" s="14">
        <f>_xll.BDH("GILD US Equity","NET_DEBT_TO_SHRHLDR_EQTY","FQ3 2023","FQ3 2023","Currency=USD","Period=FQ","BEST_FPERIOD_OVERRIDE=FQ","FILING_STATUS=MR","Sort=A","Dates=H","DateFormat=P","Fill=—","Direction=H","UseDPDF=Y")</f>
        <v>76.2577</v>
      </c>
      <c r="W93" s="14">
        <f>_xll.BDH("GILD US Equity","NET_DEBT_TO_SHRHLDR_EQTY","FQ4 2023","FQ4 2023","Currency=USD","Period=FQ","BEST_FPERIOD_OVERRIDE=FQ","FILING_STATUS=MR","Sort=A","Dates=H","DateFormat=P","Fill=—","Direction=H","UseDPDF=Y")</f>
        <v>75.744</v>
      </c>
      <c r="X93" s="14">
        <f>_xll.BDH("GILD US Equity","NET_DEBT_TO_SHRHLDR_EQTY","FQ1 2024","FQ1 2024","Currency=USD","Period=FQ","BEST_FPERIOD_OVERRIDE=FQ","FILING_STATUS=MR","Sort=A","Dates=H","DateFormat=P","Fill=—","Direction=H","UseDPDF=Y")</f>
        <v>117.3074</v>
      </c>
      <c r="Y93" s="14">
        <f>_xll.BDH("GILD US Equity","NET_DEBT_TO_SHRHLDR_EQTY","FQ2 2024","FQ2 2024","Currency=USD","Period=FQ","BEST_FPERIOD_OVERRIDE=FQ","FILING_STATUS=MR","Sort=A","Dates=H","DateFormat=P","Fill=—","Direction=H","UseDPDF=Y")</f>
        <v>113.08459999999999</v>
      </c>
      <c r="Z93" s="14">
        <f>_xll.BDH("GILD US Equity","NET_DEBT_TO_SHRHLDR_EQTY","FQ3 2024","FQ3 2024","Currency=USD","Period=FQ","BEST_FPERIOD_OVERRIDE=FQ","FILING_STATUS=MR","Sort=A","Dates=H","DateFormat=P","Fill=—","Direction=H","UseDPDF=Y")</f>
        <v>99.0321</v>
      </c>
      <c r="AA93" s="14">
        <f>_xll.BDH("GILD US Equity","NET_DEBT_TO_SHRHLDR_EQTY","FQ4 2024","FQ4 2024","Currency=USD","Period=FQ","BEST_FPERIOD_OVERRIDE=FQ","FILING_STATUS=MR","Sort=A","Dates=H","DateFormat=P","Fill=—","Direction=H","UseDPDF=Y")</f>
        <v>90.049899999999994</v>
      </c>
    </row>
    <row r="94" spans="1:27" x14ac:dyDescent="0.25">
      <c r="A94" s="10" t="s">
        <v>892</v>
      </c>
      <c r="B94" s="10" t="s">
        <v>893</v>
      </c>
      <c r="C94" s="14">
        <f>_xll.BDH("GILD US Equity","TCE_RATIO","FQ4 2018","FQ4 2018","Currency=USD","Period=FQ","BEST_FPERIOD_OVERRIDE=FQ","FILING_STATUS=MR","Sort=A","Dates=H","DateFormat=P","Fill=—","Direction=H","UseDPDF=Y")</f>
        <v>3.4961000000000002</v>
      </c>
      <c r="D94" s="14">
        <f>_xll.BDH("GILD US Equity","TCE_RATIO","FQ1 2019","FQ1 2019","Currency=USD","Period=FQ","BEST_FPERIOD_OVERRIDE=FQ","FILING_STATUS=MR","Sort=A","Dates=H","DateFormat=P","Fill=—","Direction=H","UseDPDF=Y")</f>
        <v>5.5358000000000001</v>
      </c>
      <c r="E94" s="14">
        <f>_xll.BDH("GILD US Equity","TCE_RATIO","FQ2 2019","FQ2 2019","Currency=USD","Period=FQ","BEST_FPERIOD_OVERRIDE=FQ","FILING_STATUS=MR","Sort=A","Dates=H","DateFormat=P","Fill=—","Direction=H","UseDPDF=Y")</f>
        <v>7.617</v>
      </c>
      <c r="F94" s="14">
        <f>_xll.BDH("GILD US Equity","TCE_RATIO","FQ3 2019","FQ3 2019","Currency=USD","Period=FQ","BEST_FPERIOD_OVERRIDE=FQ","FILING_STATUS=MR","Sort=A","Dates=H","DateFormat=P","Fill=—","Direction=H","UseDPDF=Y")</f>
        <v>4.0407999999999999</v>
      </c>
      <c r="G94" s="14">
        <f>_xll.BDH("GILD US Equity","TCE_RATIO","FQ4 2019","FQ4 2019","Currency=USD","Period=FQ","BEST_FPERIOD_OVERRIDE=FQ","FILING_STATUS=MR","Sort=A","Dates=H","DateFormat=P","Fill=—","Direction=H","UseDPDF=Y")</f>
        <v>10.5709</v>
      </c>
      <c r="H94" s="14">
        <f>_xll.BDH("GILD US Equity","TCE_RATIO","FQ1 2020","FQ1 2020","Currency=USD","Period=FQ","BEST_FPERIOD_OVERRIDE=FQ","FILING_STATUS=MR","Sort=A","Dates=H","DateFormat=P","Fill=—","Direction=H","UseDPDF=Y")</f>
        <v>10.559799999999999</v>
      </c>
      <c r="I94" s="14">
        <f>_xll.BDH("GILD US Equity","TCE_RATIO","FQ2 2020","FQ2 2020","Currency=USD","Period=FQ","BEST_FPERIOD_OVERRIDE=FQ","FILING_STATUS=MR","Sort=A","Dates=H","DateFormat=P","Fill=—","Direction=H","UseDPDF=Y")</f>
        <v>1.7749999999999999</v>
      </c>
      <c r="J94" s="14">
        <f>_xll.BDH("GILD US Equity","TCE_RATIO","FQ3 2020","FQ3 2020","Currency=USD","Period=FQ","BEST_FPERIOD_OVERRIDE=FQ","FILING_STATUS=MR","Sort=A","Dates=H","DateFormat=P","Fill=—","Direction=H","UseDPDF=Y")</f>
        <v>0.88770000000000004</v>
      </c>
      <c r="K94" s="14">
        <f>_xll.BDH("GILD US Equity","TCE_RATIO","FQ4 2020","FQ4 2020","Currency=USD","Period=FQ","BEST_FPERIOD_OVERRIDE=FQ","FILING_STATUS=MR","Sort=A","Dates=H","DateFormat=P","Fill=—","Direction=H","UseDPDF=Y")</f>
        <v>-84.760599999999997</v>
      </c>
      <c r="L94" s="14">
        <f>_xll.BDH("GILD US Equity","TCE_RATIO","FQ1 2021","FQ1 2021","Currency=USD","Period=FQ","BEST_FPERIOD_OVERRIDE=FQ","FILING_STATUS=MR","Sort=A","Dates=H","DateFormat=P","Fill=—","Direction=H","UseDPDF=Y")</f>
        <v>-99.122100000000003</v>
      </c>
      <c r="M94" s="14">
        <f>_xll.BDH("GILD US Equity","TCE_RATIO","FQ2 2021","FQ2 2021","Currency=USD","Period=FQ","BEST_FPERIOD_OVERRIDE=FQ","FILING_STATUS=MR","Sort=A","Dates=H","DateFormat=P","Fill=—","Direction=H","UseDPDF=Y")</f>
        <v>-90.766099999999994</v>
      </c>
      <c r="N94" s="14">
        <f>_xll.BDH("GILD US Equity","TCE_RATIO","FQ3 2021","FQ3 2021","Currency=USD","Period=FQ","BEST_FPERIOD_OVERRIDE=FQ","FILING_STATUS=MR","Sort=A","Dates=H","DateFormat=P","Fill=—","Direction=H","UseDPDF=Y")</f>
        <v>-83.495500000000007</v>
      </c>
      <c r="O94" s="14">
        <f>_xll.BDH("GILD US Equity","TCE_RATIO","FQ4 2021","FQ4 2021","Currency=USD","Period=FQ","BEST_FPERIOD_OVERRIDE=FQ","FILING_STATUS=MR","Sort=A","Dates=H","DateFormat=P","Fill=—","Direction=H","UseDPDF=Y")</f>
        <v>-79.182100000000005</v>
      </c>
      <c r="P94" s="14">
        <f>_xll.BDH("GILD US Equity","TCE_RATIO","FQ1 2022","FQ1 2022","Currency=USD","Period=FQ","BEST_FPERIOD_OVERRIDE=FQ","FILING_STATUS=MR","Sort=A","Dates=H","DateFormat=P","Fill=—","Direction=H","UseDPDF=Y")</f>
        <v>-76.603200000000001</v>
      </c>
      <c r="Q94" s="14">
        <f>_xll.BDH("GILD US Equity","TCE_RATIO","FQ2 2022","FQ2 2022","Currency=USD","Period=FQ","BEST_FPERIOD_OVERRIDE=FQ","FILING_STATUS=MR","Sort=A","Dates=H","DateFormat=P","Fill=—","Direction=H","UseDPDF=Y")</f>
        <v>-72.810199999999995</v>
      </c>
      <c r="R94" s="14">
        <f>_xll.BDH("GILD US Equity","TCE_RATIO","FQ3 2022","FQ3 2022","Currency=USD","Period=FQ","BEST_FPERIOD_OVERRIDE=FQ","FILING_STATUS=MR","Sort=A","Dates=H","DateFormat=P","Fill=—","Direction=H","UseDPDF=Y")</f>
        <v>-67.221699999999998</v>
      </c>
      <c r="S94" s="14">
        <f>_xll.BDH("GILD US Equity","TCE_RATIO","FQ4 2022","FQ4 2022","Currency=USD","Period=FQ","BEST_FPERIOD_OVERRIDE=FQ","FILING_STATUS=MR","Sort=A","Dates=H","DateFormat=P","Fill=—","Direction=H","UseDPDF=Y")</f>
        <v>-61.502899999999997</v>
      </c>
      <c r="T94" s="14">
        <f>_xll.BDH("GILD US Equity","TCE_RATIO","FQ1 2023","FQ1 2023","Currency=USD","Period=FQ","BEST_FPERIOD_OVERRIDE=FQ","FILING_STATUS=MR","Sort=A","Dates=H","DateFormat=P","Fill=—","Direction=H","UseDPDF=Y")</f>
        <v>-62.1282</v>
      </c>
      <c r="U94" s="14">
        <f>_xll.BDH("GILD US Equity","TCE_RATIO","FQ2 2023","FQ2 2023","Currency=USD","Period=FQ","BEST_FPERIOD_OVERRIDE=FQ","FILING_STATUS=MR","Sort=A","Dates=H","DateFormat=P","Fill=—","Direction=H","UseDPDF=Y")</f>
        <v>-56.735100000000003</v>
      </c>
      <c r="V94" s="14">
        <f>_xll.BDH("GILD US Equity","TCE_RATIO","FQ3 2023","FQ3 2023","Currency=USD","Period=FQ","BEST_FPERIOD_OVERRIDE=FQ","FILING_STATUS=MR","Sort=A","Dates=H","DateFormat=P","Fill=—","Direction=H","UseDPDF=Y")</f>
        <v>-48.875799999999998</v>
      </c>
      <c r="W94" s="14">
        <f>_xll.BDH("GILD US Equity","TCE_RATIO","FQ4 2023","FQ4 2023","Currency=USD","Period=FQ","BEST_FPERIOD_OVERRIDE=FQ","FILING_STATUS=MR","Sort=A","Dates=H","DateFormat=P","Fill=—","Direction=H","UseDPDF=Y")</f>
        <v>-43.626899999999999</v>
      </c>
      <c r="X94" s="14">
        <f>_xll.BDH("GILD US Equity","TCE_RATIO","FQ1 2024","FQ1 2024","Currency=USD","Period=FQ","BEST_FPERIOD_OVERRIDE=FQ","FILING_STATUS=MR","Sort=A","Dates=H","DateFormat=P","Fill=—","Direction=H","UseDPDF=Y")</f>
        <v>-57.853400000000001</v>
      </c>
      <c r="Y94" s="14">
        <f>_xll.BDH("GILD US Equity","TCE_RATIO","FQ2 2024","FQ2 2024","Currency=USD","Period=FQ","BEST_FPERIOD_OVERRIDE=FQ","FILING_STATUS=MR","Sort=A","Dates=H","DateFormat=P","Fill=—","Direction=H","UseDPDF=Y")</f>
        <v>-57.348500000000001</v>
      </c>
      <c r="Z94" s="14">
        <f>_xll.BDH("GILD US Equity","TCE_RATIO","FQ3 2024","FQ3 2024","Currency=USD","Period=FQ","BEST_FPERIOD_OVERRIDE=FQ","FILING_STATUS=MR","Sort=A","Dates=H","DateFormat=P","Fill=—","Direction=H","UseDPDF=Y")</f>
        <v>-40.467599999999997</v>
      </c>
      <c r="AA94" s="14">
        <f>_xll.BDH("GILD US Equity","TCE_RATIO","FQ4 2024","FQ4 2024","Currency=USD","Period=FQ","BEST_FPERIOD_OVERRIDE=FQ","FILING_STATUS=MR","Sort=A","Dates=H","DateFormat=P","Fill=—","Direction=H","UseDPDF=Y")</f>
        <v>-29.063199999999998</v>
      </c>
    </row>
    <row r="95" spans="1:27" x14ac:dyDescent="0.25">
      <c r="A95" s="10" t="s">
        <v>894</v>
      </c>
      <c r="B95" s="10" t="s">
        <v>895</v>
      </c>
      <c r="C95" s="14">
        <f>_xll.BDH("GILD US Equity","CUR_RATIO","FQ4 2018","FQ4 2018","Currency=USD","Period=FQ","BEST_FPERIOD_OVERRIDE=FQ","FILING_STATUS=MR","Sort=A","Dates=H","DateFormat=P","Fill=—","Direction=H","UseDPDF=Y")</f>
        <v>3.3792</v>
      </c>
      <c r="D95" s="14">
        <f>_xll.BDH("GILD US Equity","CUR_RATIO","FQ1 2019","FQ1 2019","Currency=USD","Period=FQ","BEST_FPERIOD_OVERRIDE=FQ","FILING_STATUS=MR","Sort=A","Dates=H","DateFormat=P","Fill=—","Direction=H","UseDPDF=Y")</f>
        <v>3.6206999999999998</v>
      </c>
      <c r="E95" s="14">
        <f>_xll.BDH("GILD US Equity","CUR_RATIO","FQ2 2019","FQ2 2019","Currency=USD","Period=FQ","BEST_FPERIOD_OVERRIDE=FQ","FILING_STATUS=MR","Sort=A","Dates=H","DateFormat=P","Fill=—","Direction=H","UseDPDF=Y")</f>
        <v>3.7637999999999998</v>
      </c>
      <c r="F95" s="14">
        <f>_xll.BDH("GILD US Equity","CUR_RATIO","FQ3 2019","FQ3 2019","Currency=USD","Period=FQ","BEST_FPERIOD_OVERRIDE=FQ","FILING_STATUS=MR","Sort=A","Dates=H","DateFormat=P","Fill=—","Direction=H","UseDPDF=Y")</f>
        <v>2.9645000000000001</v>
      </c>
      <c r="G95" s="14">
        <f>_xll.BDH("GILD US Equity","CUR_RATIO","FQ4 2019","FQ4 2019","Currency=USD","Period=FQ","BEST_FPERIOD_OVERRIDE=FQ","FILING_STATUS=MR","Sort=A","Dates=H","DateFormat=P","Fill=—","Direction=H","UseDPDF=Y")</f>
        <v>3.1044</v>
      </c>
      <c r="H95" s="14">
        <f>_xll.BDH("GILD US Equity","CUR_RATIO","FQ1 2020","FQ1 2020","Currency=USD","Period=FQ","BEST_FPERIOD_OVERRIDE=FQ","FILING_STATUS=MR","Sort=A","Dates=H","DateFormat=P","Fill=—","Direction=H","UseDPDF=Y")</f>
        <v>3.0352999999999999</v>
      </c>
      <c r="I95" s="14">
        <f>_xll.BDH("GILD US Equity","CUR_RATIO","FQ2 2020","FQ2 2020","Currency=USD","Period=FQ","BEST_FPERIOD_OVERRIDE=FQ","FILING_STATUS=MR","Sort=A","Dates=H","DateFormat=P","Fill=—","Direction=H","UseDPDF=Y")</f>
        <v>2.3327</v>
      </c>
      <c r="J95" s="14">
        <f>_xll.BDH("GILD US Equity","CUR_RATIO","FQ3 2020","FQ3 2020","Currency=USD","Period=FQ","BEST_FPERIOD_OVERRIDE=FQ","FILING_STATUS=MR","Sort=A","Dates=H","DateFormat=P","Fill=—","Direction=H","UseDPDF=Y")</f>
        <v>3.2523</v>
      </c>
      <c r="K95" s="14">
        <f>_xll.BDH("GILD US Equity","CUR_RATIO","FQ4 2020","FQ4 2020","Currency=USD","Period=FQ","BEST_FPERIOD_OVERRIDE=FQ","FILING_STATUS=MR","Sort=A","Dates=H","DateFormat=P","Fill=—","Direction=H","UseDPDF=Y")</f>
        <v>1.4035</v>
      </c>
      <c r="L95" s="14">
        <f>_xll.BDH("GILD US Equity","CUR_RATIO","FQ1 2021","FQ1 2021","Currency=USD","Period=FQ","BEST_FPERIOD_OVERRIDE=FQ","FILING_STATUS=MR","Sort=A","Dates=H","DateFormat=P","Fill=—","Direction=H","UseDPDF=Y")</f>
        <v>1.3682000000000001</v>
      </c>
      <c r="M95" s="14">
        <f>_xll.BDH("GILD US Equity","CUR_RATIO","FQ2 2021","FQ2 2021","Currency=USD","Period=FQ","BEST_FPERIOD_OVERRIDE=FQ","FILING_STATUS=MR","Sort=A","Dates=H","DateFormat=P","Fill=—","Direction=H","UseDPDF=Y")</f>
        <v>1.3633</v>
      </c>
      <c r="N95" s="14">
        <f>_xll.BDH("GILD US Equity","CUR_RATIO","FQ3 2021","FQ3 2021","Currency=USD","Period=FQ","BEST_FPERIOD_OVERRIDE=FQ","FILING_STATUS=MR","Sort=A","Dates=H","DateFormat=P","Fill=—","Direction=H","UseDPDF=Y")</f>
        <v>1.3655999999999999</v>
      </c>
      <c r="O95" s="14">
        <f>_xll.BDH("GILD US Equity","CUR_RATIO","FQ4 2021","FQ4 2021","Currency=USD","Period=FQ","BEST_FPERIOD_OVERRIDE=FQ","FILING_STATUS=MR","Sort=A","Dates=H","DateFormat=P","Fill=—","Direction=H","UseDPDF=Y")</f>
        <v>1.2724</v>
      </c>
      <c r="P95" s="14">
        <f>_xll.BDH("GILD US Equity","CUR_RATIO","FQ1 2022","FQ1 2022","Currency=USD","Period=FQ","BEST_FPERIOD_OVERRIDE=FQ","FILING_STATUS=MR","Sort=A","Dates=H","DateFormat=P","Fill=—","Direction=H","UseDPDF=Y")</f>
        <v>1.4757</v>
      </c>
      <c r="Q95" s="14">
        <f>_xll.BDH("GILD US Equity","CUR_RATIO","FQ2 2022","FQ2 2022","Currency=USD","Period=FQ","BEST_FPERIOD_OVERRIDE=FQ","FILING_STATUS=MR","Sort=A","Dates=H","DateFormat=P","Fill=—","Direction=H","UseDPDF=Y")</f>
        <v>1.429</v>
      </c>
      <c r="R95" s="14">
        <f>_xll.BDH("GILD US Equity","CUR_RATIO","FQ3 2022","FQ3 2022","Currency=USD","Period=FQ","BEST_FPERIOD_OVERRIDE=FQ","FILING_STATUS=MR","Sort=A","Dates=H","DateFormat=P","Fill=—","Direction=H","UseDPDF=Y")</f>
        <v>1.3004</v>
      </c>
      <c r="S95" s="14">
        <f>_xll.BDH("GILD US Equity","CUR_RATIO","FQ4 2022","FQ4 2022","Currency=USD","Period=FQ","BEST_FPERIOD_OVERRIDE=FQ","FILING_STATUS=MR","Sort=A","Dates=H","DateFormat=P","Fill=—","Direction=H","UseDPDF=Y")</f>
        <v>1.2853000000000001</v>
      </c>
      <c r="T95" s="14">
        <f>_xll.BDH("GILD US Equity","CUR_RATIO","FQ1 2023","FQ1 2023","Currency=USD","Period=FQ","BEST_FPERIOD_OVERRIDE=FQ","FILING_STATUS=MR","Sort=A","Dates=H","DateFormat=P","Fill=—","Direction=H","UseDPDF=Y")</f>
        <v>1.2781</v>
      </c>
      <c r="U95" s="14">
        <f>_xll.BDH("GILD US Equity","CUR_RATIO","FQ2 2023","FQ2 2023","Currency=USD","Period=FQ","BEST_FPERIOD_OVERRIDE=FQ","FILING_STATUS=MR","Sort=A","Dates=H","DateFormat=P","Fill=—","Direction=H","UseDPDF=Y")</f>
        <v>1.0230999999999999</v>
      </c>
      <c r="V95" s="14">
        <f>_xll.BDH("GILD US Equity","CUR_RATIO","FQ3 2023","FQ3 2023","Currency=USD","Period=FQ","BEST_FPERIOD_OVERRIDE=FQ","FILING_STATUS=MR","Sort=A","Dates=H","DateFormat=P","Fill=—","Direction=H","UseDPDF=Y")</f>
        <v>1.3378000000000001</v>
      </c>
      <c r="W95" s="14">
        <f>_xll.BDH("GILD US Equity","CUR_RATIO","FQ4 2023","FQ4 2023","Currency=USD","Period=FQ","BEST_FPERIOD_OVERRIDE=FQ","FILING_STATUS=MR","Sort=A","Dates=H","DateFormat=P","Fill=—","Direction=H","UseDPDF=Y")</f>
        <v>1.4259999999999999</v>
      </c>
      <c r="X95" s="14">
        <f>_xll.BDH("GILD US Equity","CUR_RATIO","FQ1 2024","FQ1 2024","Currency=USD","Period=FQ","BEST_FPERIOD_OVERRIDE=FQ","FILING_STATUS=MR","Sort=A","Dates=H","DateFormat=P","Fill=—","Direction=H","UseDPDF=Y")</f>
        <v>1.0788</v>
      </c>
      <c r="Y95" s="14">
        <f>_xll.BDH("GILD US Equity","CUR_RATIO","FQ2 2024","FQ2 2024","Currency=USD","Period=FQ","BEST_FPERIOD_OVERRIDE=FQ","FILING_STATUS=MR","Sort=A","Dates=H","DateFormat=P","Fill=—","Direction=H","UseDPDF=Y")</f>
        <v>1.1425000000000001</v>
      </c>
      <c r="Z95" s="14">
        <f>_xll.BDH("GILD US Equity","CUR_RATIO","FQ3 2024","FQ3 2024","Currency=USD","Period=FQ","BEST_FPERIOD_OVERRIDE=FQ","FILING_STATUS=MR","Sort=A","Dates=H","DateFormat=P","Fill=—","Direction=H","UseDPDF=Y")</f>
        <v>1.2605</v>
      </c>
      <c r="AA95" s="14">
        <f>_xll.BDH("GILD US Equity","CUR_RATIO","FQ4 2024","FQ4 2024","Currency=USD","Period=FQ","BEST_FPERIOD_OVERRIDE=FQ","FILING_STATUS=MR","Sort=A","Dates=H","DateFormat=P","Fill=—","Direction=H","UseDPDF=Y")</f>
        <v>1.5972</v>
      </c>
    </row>
    <row r="96" spans="1:27" x14ac:dyDescent="0.25">
      <c r="A96" s="10" t="s">
        <v>896</v>
      </c>
      <c r="B96" s="10" t="s">
        <v>897</v>
      </c>
      <c r="C96" s="14">
        <f>_xll.BDH("GILD US Equity","CASH_CONVERSION_CYCLE","FQ4 2018","FQ4 2018","Currency=USD","Period=FQ","BEST_FPERIOD_OVERRIDE=FQ","FILING_STATUS=MR","FA_ADJUSTED=GAAP","Sort=A","Dates=H","DateFormat=P","Fill=—","Direction=H","UseDPDF=Y")</f>
        <v>59.777799999999999</v>
      </c>
      <c r="D96" s="14">
        <f>_xll.BDH("GILD US Equity","CASH_CONVERSION_CYCLE","FQ1 2019","FQ1 2019","Currency=USD","Period=FQ","BEST_FPERIOD_OVERRIDE=FQ","FILING_STATUS=MR","FA_ADJUSTED=GAAP","Sort=A","Dates=H","DateFormat=P","Fill=—","Direction=H","UseDPDF=Y")</f>
        <v>76.626800000000003</v>
      </c>
      <c r="E96" s="14">
        <f>_xll.BDH("GILD US Equity","CASH_CONVERSION_CYCLE","FQ2 2019","FQ2 2019","Currency=USD","Period=FQ","BEST_FPERIOD_OVERRIDE=FQ","FILING_STATUS=MR","FA_ADJUSTED=GAAP","Sort=A","Dates=H","DateFormat=P","Fill=—","Direction=H","UseDPDF=Y")</f>
        <v>76.790800000000004</v>
      </c>
      <c r="F96" s="14">
        <f>_xll.BDH("GILD US Equity","CASH_CONVERSION_CYCLE","FQ3 2019","FQ3 2019","Currency=USD","Period=FQ","BEST_FPERIOD_OVERRIDE=FQ","FILING_STATUS=MR","FA_ADJUSTED=GAAP","Sort=A","Dates=H","DateFormat=P","Fill=—","Direction=H","UseDPDF=Y")</f>
        <v>75.4589</v>
      </c>
      <c r="G96" s="14">
        <f>_xll.BDH("GILD US Equity","CASH_CONVERSION_CYCLE","FQ4 2019","FQ4 2019","Currency=USD","Period=FQ","BEST_FPERIOD_OVERRIDE=FQ","FILING_STATUS=MR","FA_ADJUSTED=GAAP","Sort=A","Dates=H","DateFormat=P","Fill=—","Direction=H","UseDPDF=Y")</f>
        <v>66.587500000000006</v>
      </c>
      <c r="H96" s="14">
        <f>_xll.BDH("GILD US Equity","CASH_CONVERSION_CYCLE","FQ1 2020","FQ1 2020","Currency=USD","Period=FQ","BEST_FPERIOD_OVERRIDE=FQ","FILING_STATUS=MR","FA_ADJUSTED=GAAP","Sort=A","Dates=H","DateFormat=P","Fill=—","Direction=H","UseDPDF=Y")</f>
        <v>86.757000000000005</v>
      </c>
      <c r="I96" s="14">
        <f>_xll.BDH("GILD US Equity","CASH_CONVERSION_CYCLE","FQ2 2020","FQ2 2020","Currency=USD","Period=FQ","BEST_FPERIOD_OVERRIDE=FQ","FILING_STATUS=MR","FA_ADJUSTED=GAAP","Sort=A","Dates=H","DateFormat=P","Fill=—","Direction=H","UseDPDF=Y")</f>
        <v>86.212000000000003</v>
      </c>
      <c r="J96" s="14">
        <f>_xll.BDH("GILD US Equity","CASH_CONVERSION_CYCLE","FQ3 2020","FQ3 2020","Currency=USD","Period=FQ","BEST_FPERIOD_OVERRIDE=FQ","FILING_STATUS=MR","FA_ADJUSTED=GAAP","Sort=A","Dates=H","DateFormat=P","Fill=—","Direction=H","UseDPDF=Y")</f>
        <v>85.790999999999997</v>
      </c>
      <c r="K96" s="14">
        <f>_xll.BDH("GILD US Equity","CASH_CONVERSION_CYCLE","FQ4 2020","FQ4 2020","Currency=USD","Period=FQ","BEST_FPERIOD_OVERRIDE=FQ","FILING_STATUS=MR","FA_ADJUSTED=GAAP","Sort=A","Dates=H","DateFormat=P","Fill=—","Direction=H","UseDPDF=Y")</f>
        <v>113.6515</v>
      </c>
      <c r="L96" s="14">
        <f>_xll.BDH("GILD US Equity","CASH_CONVERSION_CYCLE","FQ1 2021","FQ1 2021","Currency=USD","Period=FQ","BEST_FPERIOD_OVERRIDE=FQ","FILING_STATUS=MR","FA_ADJUSTED=GAAP","Sort=A","Dates=H","DateFormat=P","Fill=—","Direction=H","UseDPDF=Y")</f>
        <v>120.794</v>
      </c>
      <c r="M96" s="14">
        <f>_xll.BDH("GILD US Equity","CASH_CONVERSION_CYCLE","FQ2 2021","FQ2 2021","Currency=USD","Period=FQ","BEST_FPERIOD_OVERRIDE=FQ","FILING_STATUS=MR","FA_ADJUSTED=GAAP","Sort=A","Dates=H","DateFormat=P","Fill=—","Direction=H","UseDPDF=Y")</f>
        <v>113.11579999999999</v>
      </c>
      <c r="N96" s="14">
        <f>_xll.BDH("GILD US Equity","CASH_CONVERSION_CYCLE","FQ3 2021","FQ3 2021","Currency=USD","Period=FQ","BEST_FPERIOD_OVERRIDE=FQ","FILING_STATUS=MR","FA_ADJUSTED=GAAP","Sort=A","Dates=H","DateFormat=P","Fill=—","Direction=H","UseDPDF=Y")</f>
        <v>113.88930000000001</v>
      </c>
      <c r="O96" s="14">
        <f>_xll.BDH("GILD US Equity","CASH_CONVERSION_CYCLE","FQ4 2021","FQ4 2021","Currency=USD","Period=FQ","BEST_FPERIOD_OVERRIDE=FQ","FILING_STATUS=MR","FA_ADJUSTED=GAAP","Sort=A","Dates=H","DateFormat=P","Fill=—","Direction=H","UseDPDF=Y")</f>
        <v>110.7393</v>
      </c>
      <c r="P96" s="14">
        <f>_xll.BDH("GILD US Equity","CASH_CONVERSION_CYCLE","FQ1 2022","FQ1 2022","Currency=USD","Period=FQ","BEST_FPERIOD_OVERRIDE=FQ","FILING_STATUS=MR","FA_ADJUSTED=GAAP","Sort=A","Dates=H","DateFormat=P","Fill=—","Direction=H","UseDPDF=Y")</f>
        <v>107.4885</v>
      </c>
      <c r="Q96" s="14">
        <f>_xll.BDH("GILD US Equity","CASH_CONVERSION_CYCLE","FQ2 2022","FQ2 2022","Currency=USD","Period=FQ","BEST_FPERIOD_OVERRIDE=FQ","FILING_STATUS=MR","FA_ADJUSTED=GAAP","Sort=A","Dates=H","DateFormat=P","Fill=—","Direction=H","UseDPDF=Y")</f>
        <v>110.2992</v>
      </c>
      <c r="R96" s="14">
        <f>_xll.BDH("GILD US Equity","CASH_CONVERSION_CYCLE","FQ3 2022","FQ3 2022","Currency=USD","Period=FQ","BEST_FPERIOD_OVERRIDE=FQ","FILING_STATUS=MR","FA_ADJUSTED=GAAP","Sort=A","Dates=H","DateFormat=P","Fill=—","Direction=H","UseDPDF=Y")</f>
        <v>110.3777</v>
      </c>
      <c r="S96" s="14">
        <f>_xll.BDH("GILD US Equity","CASH_CONVERSION_CYCLE","FQ4 2022","FQ4 2022","Currency=USD","Period=FQ","BEST_FPERIOD_OVERRIDE=FQ","FILING_STATUS=MR","FA_ADJUSTED=GAAP","Sort=A","Dates=H","DateFormat=P","Fill=—","Direction=H","UseDPDF=Y")</f>
        <v>109.84869999999999</v>
      </c>
      <c r="T96" s="14">
        <f>_xll.BDH("GILD US Equity","CASH_CONVERSION_CYCLE","FQ1 2023","FQ1 2023","Currency=USD","Period=FQ","BEST_FPERIOD_OVERRIDE=FQ","FILING_STATUS=MR","FA_ADJUSTED=GAAP","Sort=A","Dates=H","DateFormat=P","Fill=—","Direction=H","UseDPDF=Y")</f>
        <v>114.14870000000001</v>
      </c>
      <c r="U96" s="14">
        <f>_xll.BDH("GILD US Equity","CASH_CONVERSION_CYCLE","FQ2 2023","FQ2 2023","Currency=USD","Period=FQ","BEST_FPERIOD_OVERRIDE=FQ","FILING_STATUS=MR","FA_ADJUSTED=GAAP","Sort=A","Dates=H","DateFormat=P","Fill=—","Direction=H","UseDPDF=Y")</f>
        <v>119.374</v>
      </c>
      <c r="V96" s="14">
        <f>_xll.BDH("GILD US Equity","CASH_CONVERSION_CYCLE","FQ3 2023","FQ3 2023","Currency=USD","Period=FQ","BEST_FPERIOD_OVERRIDE=FQ","FILING_STATUS=MR","FA_ADJUSTED=GAAP","Sort=A","Dates=H","DateFormat=P","Fill=—","Direction=H","UseDPDF=Y")</f>
        <v>122.7796</v>
      </c>
      <c r="W96" s="14">
        <f>_xll.BDH("GILD US Equity","CASH_CONVERSION_CYCLE","FQ4 2023","FQ4 2023","Currency=USD","Period=FQ","BEST_FPERIOD_OVERRIDE=FQ","FILING_STATUS=MR","FA_ADJUSTED=GAAP","Sort=A","Dates=H","DateFormat=P","Fill=—","Direction=H","UseDPDF=Y")</f>
        <v>116.8494</v>
      </c>
      <c r="X96" s="14">
        <f>_xll.BDH("GILD US Equity","CASH_CONVERSION_CYCLE","FQ1 2024","FQ1 2024","Currency=USD","Period=FQ","BEST_FPERIOD_OVERRIDE=FQ","FILING_STATUS=MR","FA_ADJUSTED=GAAP","Sort=A","Dates=H","DateFormat=P","Fill=—","Direction=H","UseDPDF=Y")</f>
        <v>120.246</v>
      </c>
      <c r="Y96" s="14">
        <f>_xll.BDH("GILD US Equity","CASH_CONVERSION_CYCLE","FQ2 2024","FQ2 2024","Currency=USD","Period=FQ","BEST_FPERIOD_OVERRIDE=FQ","FILING_STATUS=MR","FA_ADJUSTED=GAAP","Sort=A","Dates=H","DateFormat=P","Fill=—","Direction=H","UseDPDF=Y")</f>
        <v>128.01920000000001</v>
      </c>
      <c r="Z96" s="14">
        <f>_xll.BDH("GILD US Equity","CASH_CONVERSION_CYCLE","FQ3 2024","FQ3 2024","Currency=USD","Period=FQ","BEST_FPERIOD_OVERRIDE=FQ","FILING_STATUS=MR","FA_ADJUSTED=GAAP","Sort=A","Dates=H","DateFormat=P","Fill=—","Direction=H","UseDPDF=Y")</f>
        <v>117.1574</v>
      </c>
      <c r="AA96" s="14">
        <f>_xll.BDH("GILD US Equity","CASH_CONVERSION_CYCLE","FQ4 2024","FQ4 2024","Currency=USD","Period=FQ","BEST_FPERIOD_OVERRIDE=FQ","FILING_STATUS=MR","FA_ADJUSTED=GAAP","Sort=A","Dates=H","DateFormat=P","Fill=—","Direction=H","UseDPDF=Y")</f>
        <v>119.17319999999999</v>
      </c>
    </row>
    <row r="97" spans="1:27" x14ac:dyDescent="0.25">
      <c r="A97" s="10" t="s">
        <v>898</v>
      </c>
      <c r="B97" s="10" t="s">
        <v>899</v>
      </c>
      <c r="C97" s="13">
        <f>_xll.BDH("GILD US Equity","BS_CASH_HELD_OVERSEAS","FQ4 2018","FQ4 2018","Currency=USD","Period=FQ","BEST_FPERIOD_OVERRIDE=FQ","FILING_STATUS=MR","SCALING_FORMAT=MLN","Sort=A","Dates=H","DateFormat=P","Fill=—","Direction=H","UseDPDF=Y")</f>
        <v>30400</v>
      </c>
      <c r="D97" s="13" t="str">
        <f>_xll.BDH("GILD US Equity","BS_CASH_HELD_OVERSEAS","FQ1 2019","FQ1 2019","Currency=USD","Period=FQ","BEST_FPERIOD_OVERRIDE=FQ","FILING_STATUS=MR","SCALING_FORMAT=MLN","Sort=A","Dates=H","DateFormat=P","Fill=—","Direction=H","UseDPDF=Y")</f>
        <v>—</v>
      </c>
      <c r="E97" s="13" t="str">
        <f>_xll.BDH("GILD US Equity","BS_CASH_HELD_OVERSEAS","FQ2 2019","FQ2 2019","Currency=USD","Period=FQ","BEST_FPERIOD_OVERRIDE=FQ","FILING_STATUS=MR","SCALING_FORMAT=MLN","Sort=A","Dates=H","DateFormat=P","Fill=—","Direction=H","UseDPDF=Y")</f>
        <v>—</v>
      </c>
      <c r="F97" s="13" t="str">
        <f>_xll.BDH("GILD US Equity","BS_CASH_HELD_OVERSEAS","FQ3 2019","FQ3 2019","Currency=USD","Period=FQ","BEST_FPERIOD_OVERRIDE=FQ","FILING_STATUS=MR","SCALING_FORMAT=MLN","Sort=A","Dates=H","DateFormat=P","Fill=—","Direction=H","UseDPDF=Y")</f>
        <v>—</v>
      </c>
      <c r="G97" s="13" t="str">
        <f>_xll.BDH("GILD US Equity","BS_CASH_HELD_OVERSEAS","FQ4 2019","FQ4 2019","Currency=USD","Period=FQ","BEST_FPERIOD_OVERRIDE=FQ","FILING_STATUS=MR","SCALING_FORMAT=MLN","Sort=A","Dates=H","DateFormat=P","Fill=—","Direction=H","UseDPDF=Y")</f>
        <v>—</v>
      </c>
      <c r="H97" s="13" t="str">
        <f>_xll.BDH("GILD US Equity","BS_CASH_HELD_OVERSEAS","FQ1 2020","FQ1 2020","Currency=USD","Period=FQ","BEST_FPERIOD_OVERRIDE=FQ","FILING_STATUS=MR","SCALING_FORMAT=MLN","Sort=A","Dates=H","DateFormat=P","Fill=—","Direction=H","UseDPDF=Y")</f>
        <v>—</v>
      </c>
      <c r="I97" s="13" t="str">
        <f>_xll.BDH("GILD US Equity","BS_CASH_HELD_OVERSEAS","FQ2 2020","FQ2 2020","Currency=USD","Period=FQ","BEST_FPERIOD_OVERRIDE=FQ","FILING_STATUS=MR","SCALING_FORMAT=MLN","Sort=A","Dates=H","DateFormat=P","Fill=—","Direction=H","UseDPDF=Y")</f>
        <v>—</v>
      </c>
      <c r="J97" s="13" t="str">
        <f>_xll.BDH("GILD US Equity","BS_CASH_HELD_OVERSEAS","FQ3 2020","FQ3 2020","Currency=USD","Period=FQ","BEST_FPERIOD_OVERRIDE=FQ","FILING_STATUS=MR","SCALING_FORMAT=MLN","Sort=A","Dates=H","DateFormat=P","Fill=—","Direction=H","UseDPDF=Y")</f>
        <v>—</v>
      </c>
      <c r="K97" s="13" t="str">
        <f>_xll.BDH("GILD US Equity","BS_CASH_HELD_OVERSEAS","FQ4 2020","FQ4 2020","Currency=USD","Period=FQ","BEST_FPERIOD_OVERRIDE=FQ","FILING_STATUS=MR","SCALING_FORMAT=MLN","Sort=A","Dates=H","DateFormat=P","Fill=—","Direction=H","UseDPDF=Y")</f>
        <v>—</v>
      </c>
      <c r="L97" s="13" t="str">
        <f>_xll.BDH("GILD US Equity","BS_CASH_HELD_OVERSEAS","FQ1 2021","FQ1 2021","Currency=USD","Period=FQ","BEST_FPERIOD_OVERRIDE=FQ","FILING_STATUS=MR","SCALING_FORMAT=MLN","Sort=A","Dates=H","DateFormat=P","Fill=—","Direction=H","UseDPDF=Y")</f>
        <v>—</v>
      </c>
      <c r="M97" s="13" t="str">
        <f>_xll.BDH("GILD US Equity","BS_CASH_HELD_OVERSEAS","FQ2 2021","FQ2 2021","Currency=USD","Period=FQ","BEST_FPERIOD_OVERRIDE=FQ","FILING_STATUS=MR","SCALING_FORMAT=MLN","Sort=A","Dates=H","DateFormat=P","Fill=—","Direction=H","UseDPDF=Y")</f>
        <v>—</v>
      </c>
      <c r="N97" s="13" t="str">
        <f>_xll.BDH("GILD US Equity","BS_CASH_HELD_OVERSEAS","FQ3 2021","FQ3 2021","Currency=USD","Period=FQ","BEST_FPERIOD_OVERRIDE=FQ","FILING_STATUS=MR","SCALING_FORMAT=MLN","Sort=A","Dates=H","DateFormat=P","Fill=—","Direction=H","UseDPDF=Y")</f>
        <v>—</v>
      </c>
      <c r="O97" s="13" t="str">
        <f>_xll.BDH("GILD US Equity","BS_CASH_HELD_OVERSEAS","FQ4 2021","FQ4 2021","Currency=USD","Period=FQ","BEST_FPERIOD_OVERRIDE=FQ","FILING_STATUS=MR","SCALING_FORMAT=MLN","Sort=A","Dates=H","DateFormat=P","Fill=—","Direction=H","UseDPDF=Y")</f>
        <v>—</v>
      </c>
      <c r="P97" s="13" t="str">
        <f>_xll.BDH("GILD US Equity","BS_CASH_HELD_OVERSEAS","FQ1 2022","FQ1 2022","Currency=USD","Period=FQ","BEST_FPERIOD_OVERRIDE=FQ","FILING_STATUS=MR","SCALING_FORMAT=MLN","Sort=A","Dates=H","DateFormat=P","Fill=—","Direction=H","UseDPDF=Y")</f>
        <v>—</v>
      </c>
      <c r="Q97" s="13" t="str">
        <f>_xll.BDH("GILD US Equity","BS_CASH_HELD_OVERSEAS","FQ2 2022","FQ2 2022","Currency=USD","Period=FQ","BEST_FPERIOD_OVERRIDE=FQ","FILING_STATUS=MR","SCALING_FORMAT=MLN","Sort=A","Dates=H","DateFormat=P","Fill=—","Direction=H","UseDPDF=Y")</f>
        <v>—</v>
      </c>
      <c r="R97" s="13" t="str">
        <f>_xll.BDH("GILD US Equity","BS_CASH_HELD_OVERSEAS","FQ3 2022","FQ3 2022","Currency=USD","Period=FQ","BEST_FPERIOD_OVERRIDE=FQ","FILING_STATUS=MR","SCALING_FORMAT=MLN","Sort=A","Dates=H","DateFormat=P","Fill=—","Direction=H","UseDPDF=Y")</f>
        <v>—</v>
      </c>
      <c r="S97" s="13" t="str">
        <f>_xll.BDH("GILD US Equity","BS_CASH_HELD_OVERSEAS","FQ4 2022","FQ4 2022","Currency=USD","Period=FQ","BEST_FPERIOD_OVERRIDE=FQ","FILING_STATUS=MR","SCALING_FORMAT=MLN","Sort=A","Dates=H","DateFormat=P","Fill=—","Direction=H","UseDPDF=Y")</f>
        <v>—</v>
      </c>
      <c r="T97" s="13" t="str">
        <f>_xll.BDH("GILD US Equity","BS_CASH_HELD_OVERSEAS","FQ1 2023","FQ1 2023","Currency=USD","Period=FQ","BEST_FPERIOD_OVERRIDE=FQ","FILING_STATUS=MR","SCALING_FORMAT=MLN","Sort=A","Dates=H","DateFormat=P","Fill=—","Direction=H","UseDPDF=Y")</f>
        <v>—</v>
      </c>
      <c r="U97" s="13" t="str">
        <f>_xll.BDH("GILD US Equity","BS_CASH_HELD_OVERSEAS","FQ2 2023","FQ2 2023","Currency=USD","Period=FQ","BEST_FPERIOD_OVERRIDE=FQ","FILING_STATUS=MR","SCALING_FORMAT=MLN","Sort=A","Dates=H","DateFormat=P","Fill=—","Direction=H","UseDPDF=Y")</f>
        <v>—</v>
      </c>
      <c r="V97" s="13" t="str">
        <f>_xll.BDH("GILD US Equity","BS_CASH_HELD_OVERSEAS","FQ3 2023","FQ3 2023","Currency=USD","Period=FQ","BEST_FPERIOD_OVERRIDE=FQ","FILING_STATUS=MR","SCALING_FORMAT=MLN","Sort=A","Dates=H","DateFormat=P","Fill=—","Direction=H","UseDPDF=Y")</f>
        <v>—</v>
      </c>
      <c r="W97" s="13" t="str">
        <f>_xll.BDH("GILD US Equity","BS_CASH_HELD_OVERSEAS","FQ4 2023","FQ4 2023","Currency=USD","Period=FQ","BEST_FPERIOD_OVERRIDE=FQ","FILING_STATUS=MR","SCALING_FORMAT=MLN","Sort=A","Dates=H","DateFormat=P","Fill=—","Direction=H","UseDPDF=Y")</f>
        <v>—</v>
      </c>
      <c r="X97" s="13" t="str">
        <f>_xll.BDH("GILD US Equity","BS_CASH_HELD_OVERSEAS","FQ1 2024","FQ1 2024","Currency=USD","Period=FQ","BEST_FPERIOD_OVERRIDE=FQ","FILING_STATUS=MR","SCALING_FORMAT=MLN","Sort=A","Dates=H","DateFormat=P","Fill=—","Direction=H","UseDPDF=Y")</f>
        <v>—</v>
      </c>
      <c r="Y97" s="13" t="str">
        <f>_xll.BDH("GILD US Equity","BS_CASH_HELD_OVERSEAS","FQ2 2024","FQ2 2024","Currency=USD","Period=FQ","BEST_FPERIOD_OVERRIDE=FQ","FILING_STATUS=MR","SCALING_FORMAT=MLN","Sort=A","Dates=H","DateFormat=P","Fill=—","Direction=H","UseDPDF=Y")</f>
        <v>—</v>
      </c>
      <c r="Z97" s="13" t="str">
        <f>_xll.BDH("GILD US Equity","BS_CASH_HELD_OVERSEAS","FQ3 2024","FQ3 2024","Currency=USD","Period=FQ","BEST_FPERIOD_OVERRIDE=FQ","FILING_STATUS=MR","SCALING_FORMAT=MLN","Sort=A","Dates=H","DateFormat=P","Fill=—","Direction=H","UseDPDF=Y")</f>
        <v>—</v>
      </c>
      <c r="AA97" s="13" t="str">
        <f>_xll.BDH("GILD US Equity","BS_CASH_HELD_OVERSEAS","FQ4 2024","FQ4 2024","Currency=USD","Period=FQ","BEST_FPERIOD_OVERRIDE=FQ","FILING_STATUS=MR","SCALING_FORMAT=MLN","Sort=A","Dates=H","DateFormat=P","Fill=—","Direction=H","UseDPDF=Y")</f>
        <v>—</v>
      </c>
    </row>
    <row r="98" spans="1:27" x14ac:dyDescent="0.25">
      <c r="A98" s="10" t="s">
        <v>900</v>
      </c>
      <c r="B98" s="10" t="s">
        <v>901</v>
      </c>
      <c r="C98" s="14">
        <f>_xll.BDH("GILD US Equity","NUM_OF_EMPLOYEES","FQ4 2018","FQ4 2018","Currency=USD","Period=FQ","BEST_FPERIOD_OVERRIDE=FQ","FILING_STATUS=MR","Sort=A","Dates=H","DateFormat=P","Fill=—","Direction=H","UseDPDF=Y")</f>
        <v>11000</v>
      </c>
      <c r="D98" s="14" t="str">
        <f>_xll.BDH("GILD US Equity","NUM_OF_EMPLOYEES","FQ1 2019","FQ1 2019","Currency=USD","Period=FQ","BEST_FPERIOD_OVERRIDE=FQ","FILING_STATUS=MR","Sort=A","Dates=H","DateFormat=P","Fill=—","Direction=H","UseDPDF=Y")</f>
        <v>—</v>
      </c>
      <c r="E98" s="14" t="str">
        <f>_xll.BDH("GILD US Equity","NUM_OF_EMPLOYEES","FQ2 2019","FQ2 2019","Currency=USD","Period=FQ","BEST_FPERIOD_OVERRIDE=FQ","FILING_STATUS=MR","Sort=A","Dates=H","DateFormat=P","Fill=—","Direction=H","UseDPDF=Y")</f>
        <v>—</v>
      </c>
      <c r="F98" s="14" t="str">
        <f>_xll.BDH("GILD US Equity","NUM_OF_EMPLOYEES","FQ3 2019","FQ3 2019","Currency=USD","Period=FQ","BEST_FPERIOD_OVERRIDE=FQ","FILING_STATUS=MR","Sort=A","Dates=H","DateFormat=P","Fill=—","Direction=H","UseDPDF=Y")</f>
        <v>—</v>
      </c>
      <c r="G98" s="14">
        <f>_xll.BDH("GILD US Equity","NUM_OF_EMPLOYEES","FQ4 2019","FQ4 2019","Currency=USD","Period=FQ","BEST_FPERIOD_OVERRIDE=FQ","FILING_STATUS=MR","Sort=A","Dates=H","DateFormat=P","Fill=—","Direction=H","UseDPDF=Y")</f>
        <v>11800</v>
      </c>
      <c r="H98" s="14" t="str">
        <f>_xll.BDH("GILD US Equity","NUM_OF_EMPLOYEES","FQ1 2020","FQ1 2020","Currency=USD","Period=FQ","BEST_FPERIOD_OVERRIDE=FQ","FILING_STATUS=MR","Sort=A","Dates=H","DateFormat=P","Fill=—","Direction=H","UseDPDF=Y")</f>
        <v>—</v>
      </c>
      <c r="I98" s="14" t="str">
        <f>_xll.BDH("GILD US Equity","NUM_OF_EMPLOYEES","FQ2 2020","FQ2 2020","Currency=USD","Period=FQ","BEST_FPERIOD_OVERRIDE=FQ","FILING_STATUS=MR","Sort=A","Dates=H","DateFormat=P","Fill=—","Direction=H","UseDPDF=Y")</f>
        <v>—</v>
      </c>
      <c r="J98" s="14" t="str">
        <f>_xll.BDH("GILD US Equity","NUM_OF_EMPLOYEES","FQ3 2020","FQ3 2020","Currency=USD","Period=FQ","BEST_FPERIOD_OVERRIDE=FQ","FILING_STATUS=MR","Sort=A","Dates=H","DateFormat=P","Fill=—","Direction=H","UseDPDF=Y")</f>
        <v>—</v>
      </c>
      <c r="K98" s="14">
        <f>_xll.BDH("GILD US Equity","NUM_OF_EMPLOYEES","FQ4 2020","FQ4 2020","Currency=USD","Period=FQ","BEST_FPERIOD_OVERRIDE=FQ","FILING_STATUS=MR","Sort=A","Dates=H","DateFormat=P","Fill=—","Direction=H","UseDPDF=Y")</f>
        <v>13600</v>
      </c>
      <c r="L98" s="14" t="str">
        <f>_xll.BDH("GILD US Equity","NUM_OF_EMPLOYEES","FQ1 2021","FQ1 2021","Currency=USD","Period=FQ","BEST_FPERIOD_OVERRIDE=FQ","FILING_STATUS=MR","Sort=A","Dates=H","DateFormat=P","Fill=—","Direction=H","UseDPDF=Y")</f>
        <v>—</v>
      </c>
      <c r="M98" s="14" t="str">
        <f>_xll.BDH("GILD US Equity","NUM_OF_EMPLOYEES","FQ2 2021","FQ2 2021","Currency=USD","Period=FQ","BEST_FPERIOD_OVERRIDE=FQ","FILING_STATUS=MR","Sort=A","Dates=H","DateFormat=P","Fill=—","Direction=H","UseDPDF=Y")</f>
        <v>—</v>
      </c>
      <c r="N98" s="14" t="str">
        <f>_xll.BDH("GILD US Equity","NUM_OF_EMPLOYEES","FQ3 2021","FQ3 2021","Currency=USD","Period=FQ","BEST_FPERIOD_OVERRIDE=FQ","FILING_STATUS=MR","Sort=A","Dates=H","DateFormat=P","Fill=—","Direction=H","UseDPDF=Y")</f>
        <v>—</v>
      </c>
      <c r="O98" s="14">
        <f>_xll.BDH("GILD US Equity","NUM_OF_EMPLOYEES","FQ4 2021","FQ4 2021","Currency=USD","Period=FQ","BEST_FPERIOD_OVERRIDE=FQ","FILING_STATUS=MR","Sort=A","Dates=H","DateFormat=P","Fill=—","Direction=H","UseDPDF=Y")</f>
        <v>14400</v>
      </c>
      <c r="P98" s="14" t="str">
        <f>_xll.BDH("GILD US Equity","NUM_OF_EMPLOYEES","FQ1 2022","FQ1 2022","Currency=USD","Period=FQ","BEST_FPERIOD_OVERRIDE=FQ","FILING_STATUS=MR","Sort=A","Dates=H","DateFormat=P","Fill=—","Direction=H","UseDPDF=Y")</f>
        <v>—</v>
      </c>
      <c r="Q98" s="14" t="str">
        <f>_xll.BDH("GILD US Equity","NUM_OF_EMPLOYEES","FQ2 2022","FQ2 2022","Currency=USD","Period=FQ","BEST_FPERIOD_OVERRIDE=FQ","FILING_STATUS=MR","Sort=A","Dates=H","DateFormat=P","Fill=—","Direction=H","UseDPDF=Y")</f>
        <v>—</v>
      </c>
      <c r="R98" s="14" t="str">
        <f>_xll.BDH("GILD US Equity","NUM_OF_EMPLOYEES","FQ3 2022","FQ3 2022","Currency=USD","Period=FQ","BEST_FPERIOD_OVERRIDE=FQ","FILING_STATUS=MR","Sort=A","Dates=H","DateFormat=P","Fill=—","Direction=H","UseDPDF=Y")</f>
        <v>—</v>
      </c>
      <c r="S98" s="14">
        <f>_xll.BDH("GILD US Equity","NUM_OF_EMPLOYEES","FQ4 2022","FQ4 2022","Currency=USD","Period=FQ","BEST_FPERIOD_OVERRIDE=FQ","FILING_STATUS=MR","Sort=A","Dates=H","DateFormat=P","Fill=—","Direction=H","UseDPDF=Y")</f>
        <v>17000</v>
      </c>
      <c r="T98" s="14" t="str">
        <f>_xll.BDH("GILD US Equity","NUM_OF_EMPLOYEES","FQ1 2023","FQ1 2023","Currency=USD","Period=FQ","BEST_FPERIOD_OVERRIDE=FQ","FILING_STATUS=MR","Sort=A","Dates=H","DateFormat=P","Fill=—","Direction=H","UseDPDF=Y")</f>
        <v>—</v>
      </c>
      <c r="U98" s="14" t="str">
        <f>_xll.BDH("GILD US Equity","NUM_OF_EMPLOYEES","FQ2 2023","FQ2 2023","Currency=USD","Period=FQ","BEST_FPERIOD_OVERRIDE=FQ","FILING_STATUS=MR","Sort=A","Dates=H","DateFormat=P","Fill=—","Direction=H","UseDPDF=Y")</f>
        <v>—</v>
      </c>
      <c r="V98" s="14" t="str">
        <f>_xll.BDH("GILD US Equity","NUM_OF_EMPLOYEES","FQ3 2023","FQ3 2023","Currency=USD","Period=FQ","BEST_FPERIOD_OVERRIDE=FQ","FILING_STATUS=MR","Sort=A","Dates=H","DateFormat=P","Fill=—","Direction=H","UseDPDF=Y")</f>
        <v>—</v>
      </c>
      <c r="W98" s="14">
        <f>_xll.BDH("GILD US Equity","NUM_OF_EMPLOYEES","FQ4 2023","FQ4 2023","Currency=USD","Period=FQ","BEST_FPERIOD_OVERRIDE=FQ","FILING_STATUS=MR","Sort=A","Dates=H","DateFormat=P","Fill=—","Direction=H","UseDPDF=Y")</f>
        <v>18000</v>
      </c>
      <c r="X98" s="14" t="str">
        <f>_xll.BDH("GILD US Equity","NUM_OF_EMPLOYEES","FQ1 2024","FQ1 2024","Currency=USD","Period=FQ","BEST_FPERIOD_OVERRIDE=FQ","FILING_STATUS=MR","Sort=A","Dates=H","DateFormat=P","Fill=—","Direction=H","UseDPDF=Y")</f>
        <v>—</v>
      </c>
      <c r="Y98" s="14" t="str">
        <f>_xll.BDH("GILD US Equity","NUM_OF_EMPLOYEES","FQ2 2024","FQ2 2024","Currency=USD","Period=FQ","BEST_FPERIOD_OVERRIDE=FQ","FILING_STATUS=MR","Sort=A","Dates=H","DateFormat=P","Fill=—","Direction=H","UseDPDF=Y")</f>
        <v>—</v>
      </c>
      <c r="Z98" s="14" t="str">
        <f>_xll.BDH("GILD US Equity","NUM_OF_EMPLOYEES","FQ3 2024","FQ3 2024","Currency=USD","Period=FQ","BEST_FPERIOD_OVERRIDE=FQ","FILING_STATUS=MR","Sort=A","Dates=H","DateFormat=P","Fill=—","Direction=H","UseDPDF=Y")</f>
        <v>—</v>
      </c>
      <c r="AA98" s="14">
        <f>_xll.BDH("GILD US Equity","NUM_OF_EMPLOYEES","FQ4 2024","FQ4 2024","Currency=USD","Period=FQ","BEST_FPERIOD_OVERRIDE=FQ","FILING_STATUS=MR","Sort=A","Dates=H","DateFormat=P","Fill=—","Direction=H","UseDPDF=Y")</f>
        <v>17600</v>
      </c>
    </row>
    <row r="99" spans="1:27" x14ac:dyDescent="0.25">
      <c r="A99" s="7" t="s">
        <v>90</v>
      </c>
      <c r="B99" s="7"/>
      <c r="C99" s="7" t="s">
        <v>5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15"/>
  <sheetViews>
    <sheetView workbookViewId="0">
      <selection activeCell="L25" sqref="A1:XFD1048576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417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902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903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109</v>
      </c>
      <c r="B8" s="10" t="s">
        <v>904</v>
      </c>
      <c r="C8" s="13">
        <f>_xll.BDH("GILD US Equity","ARD_CASH_AND_EQUIVALENTS","FQ4 2018","FQ4 2018","Currency=USD","Period=FQ","BEST_FPERIOD_OVERRIDE=FQ","FILING_STATUS=MR","SCALING_FORMAT=MLN","Sort=A","Dates=H","DateFormat=P","Fill=—","Direction=H","UseDPDF=Y")</f>
        <v>17940</v>
      </c>
      <c r="D8" s="13">
        <f>_xll.BDH("GILD US Equity","ARD_CASH_AND_EQUIVALENTS","FQ1 2019","FQ1 2019","Currency=USD","Period=FQ","BEST_FPERIOD_OVERRIDE=FQ","FILING_STATUS=MR","SCALING_FORMAT=MLN","Sort=A","Dates=H","DateFormat=P","Fill=—","Direction=H","UseDPDF=Y")</f>
        <v>16927</v>
      </c>
      <c r="E8" s="13">
        <f>_xll.BDH("GILD US Equity","ARD_CASH_AND_EQUIVALENTS","FQ2 2019","FQ2 2019","Currency=USD","Period=FQ","BEST_FPERIOD_OVERRIDE=FQ","FILING_STATUS=MR","SCALING_FORMAT=MLN","Sort=A","Dates=H","DateFormat=P","Fill=—","Direction=H","UseDPDF=Y")</f>
        <v>11240</v>
      </c>
      <c r="F8" s="13">
        <f>_xll.BDH("GILD US Equity","ARD_CASH_AND_EQUIVALENTS","FQ3 2019","FQ3 2019","Currency=USD","Period=FQ","BEST_FPERIOD_OVERRIDE=FQ","FILING_STATUS=MR","SCALING_FORMAT=MLN","Sort=A","Dates=H","DateFormat=P","Fill=—","Direction=H","UseDPDF=Y")</f>
        <v>9474</v>
      </c>
      <c r="G8" s="13">
        <f>_xll.BDH("GILD US Equity","ARD_CASH_AND_EQUIVALENTS","FQ4 2019","FQ4 2019","Currency=USD","Period=FQ","BEST_FPERIOD_OVERRIDE=FQ","FILING_STATUS=MR","SCALING_FORMAT=MLN","Sort=A","Dates=H","DateFormat=P","Fill=—","Direction=H","UseDPDF=Y")</f>
        <v>11631</v>
      </c>
      <c r="H8" s="13">
        <f>_xll.BDH("GILD US Equity","ARD_CASH_AND_EQUIVALENTS","FQ1 2020","FQ1 2020","Currency=USD","Period=FQ","BEST_FPERIOD_OVERRIDE=FQ","FILING_STATUS=MR","SCALING_FORMAT=MLN","Sort=A","Dates=H","DateFormat=P","Fill=—","Direction=H","UseDPDF=Y")</f>
        <v>10051</v>
      </c>
      <c r="I8" s="13">
        <f>_xll.BDH("GILD US Equity","ARD_CASH_AND_EQUIVALENTS","FQ2 2020","FQ2 2020","Currency=USD","Period=FQ","BEST_FPERIOD_OVERRIDE=FQ","FILING_STATUS=MR","SCALING_FORMAT=MLN","Sort=A","Dates=H","DateFormat=P","Fill=—","Direction=H","UseDPDF=Y")</f>
        <v>6746</v>
      </c>
      <c r="J8" s="13">
        <f>_xll.BDH("GILD US Equity","ARD_CASH_AND_EQUIVALENTS","FQ3 2020","FQ3 2020","Currency=USD","Period=FQ","BEST_FPERIOD_OVERRIDE=FQ","FILING_STATUS=MR","SCALING_FORMAT=MLN","Sort=A","Dates=H","DateFormat=P","Fill=—","Direction=H","UseDPDF=Y")</f>
        <v>12886</v>
      </c>
      <c r="K8" s="13">
        <f>_xll.BDH("GILD US Equity","ARD_CASH_AND_EQUIVALENTS","FQ4 2020","FQ4 2020","Currency=USD","Period=FQ","BEST_FPERIOD_OVERRIDE=FQ","FILING_STATUS=MR","SCALING_FORMAT=MLN","Sort=A","Dates=H","DateFormat=P","Fill=—","Direction=H","UseDPDF=Y")</f>
        <v>5997</v>
      </c>
      <c r="L8" s="13">
        <f>_xll.BDH("GILD US Equity","ARD_CASH_AND_EQUIVALENTS","FQ1 2021","FQ1 2021","Currency=USD","Period=FQ","BEST_FPERIOD_OVERRIDE=FQ","FILING_STATUS=MR","SCALING_FORMAT=MLN","Sort=A","Dates=H","DateFormat=P","Fill=—","Direction=H","UseDPDF=Y")</f>
        <v>4065</v>
      </c>
      <c r="M8" s="13">
        <f>_xll.BDH("GILD US Equity","ARD_CASH_AND_EQUIVALENTS","FQ2 2021","FQ2 2021","Currency=USD","Period=FQ","BEST_FPERIOD_OVERRIDE=FQ","FILING_STATUS=MR","SCALING_FORMAT=MLN","Sort=A","Dates=H","DateFormat=P","Fill=—","Direction=H","UseDPDF=Y")</f>
        <v>4893</v>
      </c>
      <c r="N8" s="13">
        <f>_xll.BDH("GILD US Equity","ARD_CASH_AND_EQUIVALENTS","FQ3 2021","FQ3 2021","Currency=USD","Period=FQ","BEST_FPERIOD_OVERRIDE=FQ","FILING_STATUS=MR","SCALING_FORMAT=MLN","Sort=A","Dates=H","DateFormat=P","Fill=—","Direction=H","UseDPDF=Y")</f>
        <v>4362</v>
      </c>
      <c r="O8" s="13">
        <f>_xll.BDH("GILD US Equity","ARD_CASH_AND_EQUIVALENTS","FQ4 2021","FQ4 2021","Currency=USD","Period=FQ","BEST_FPERIOD_OVERRIDE=FQ","FILING_STATUS=MR","SCALING_FORMAT=MLN","Sort=A","Dates=H","DateFormat=P","Fill=—","Direction=H","UseDPDF=Y")</f>
        <v>5338</v>
      </c>
      <c r="P8" s="13">
        <f>_xll.BDH("GILD US Equity","ARD_CASH_AND_EQUIVALENTS","FQ1 2022","FQ1 2022","Currency=USD","Period=FQ","BEST_FPERIOD_OVERRIDE=FQ","FILING_STATUS=MR","SCALING_FORMAT=MLN","Sort=A","Dates=H","DateFormat=P","Fill=—","Direction=H","UseDPDF=Y")</f>
        <v>4296</v>
      </c>
      <c r="Q8" s="13">
        <f>_xll.BDH("GILD US Equity","ARD_CASH_AND_EQUIVALENTS","FQ2 2022","FQ2 2022","Currency=USD","Period=FQ","BEST_FPERIOD_OVERRIDE=FQ","FILING_STATUS=MR","SCALING_FORMAT=MLN","Sort=A","Dates=H","DateFormat=P","Fill=—","Direction=H","UseDPDF=Y")</f>
        <v>4739</v>
      </c>
      <c r="R8" s="13">
        <f>_xll.BDH("GILD US Equity","ARD_CASH_AND_EQUIVALENTS","FQ3 2022","FQ3 2022","Currency=USD","Period=FQ","BEST_FPERIOD_OVERRIDE=FQ","FILING_STATUS=MR","SCALING_FORMAT=MLN","Sort=A","Dates=H","DateFormat=P","Fill=—","Direction=H","UseDPDF=Y")</f>
        <v>4699</v>
      </c>
      <c r="S8" s="13">
        <f>_xll.BDH("GILD US Equity","ARD_CASH_AND_EQUIVALENTS","FQ4 2022","FQ4 2022","Currency=USD","Period=FQ","BEST_FPERIOD_OVERRIDE=FQ","FILING_STATUS=MR","SCALING_FORMAT=MLN","Sort=A","Dates=H","DateFormat=P","Fill=—","Direction=H","UseDPDF=Y")</f>
        <v>5412</v>
      </c>
      <c r="T8" s="13">
        <f>_xll.BDH("GILD US Equity","ARD_CASH_AND_EQUIVALENTS","FQ1 2023","FQ1 2023","Currency=USD","Period=FQ","BEST_FPERIOD_OVERRIDE=FQ","FILING_STATUS=MR","SCALING_FORMAT=MLN","Sort=A","Dates=H","DateFormat=P","Fill=—","Direction=H","UseDPDF=Y")</f>
        <v>4936</v>
      </c>
      <c r="U8" s="13">
        <f>_xll.BDH("GILD US Equity","ARD_CASH_AND_EQUIVALENTS","FQ2 2023","FQ2 2023","Currency=USD","Period=FQ","BEST_FPERIOD_OVERRIDE=FQ","FILING_STATUS=MR","SCALING_FORMAT=MLN","Sort=A","Dates=H","DateFormat=P","Fill=—","Direction=H","UseDPDF=Y")</f>
        <v>5704</v>
      </c>
      <c r="V8" s="13">
        <f>_xll.BDH("GILD US Equity","ARD_CASH_AND_EQUIVALENTS","FQ3 2023","FQ3 2023","Currency=USD","Period=FQ","BEST_FPERIOD_OVERRIDE=FQ","FILING_STATUS=MR","SCALING_FORMAT=MLN","Sort=A","Dates=H","DateFormat=P","Fill=—","Direction=H","UseDPDF=Y")</f>
        <v>5705</v>
      </c>
      <c r="W8" s="13">
        <f>_xll.BDH("GILD US Equity","ARD_CASH_AND_EQUIVALENTS","FQ4 2023","FQ4 2023","Currency=USD","Period=FQ","BEST_FPERIOD_OVERRIDE=FQ","FILING_STATUS=MR","SCALING_FORMAT=MLN","Sort=A","Dates=H","DateFormat=P","Fill=—","Direction=H","UseDPDF=Y")</f>
        <v>6085</v>
      </c>
      <c r="X8" s="13">
        <f>_xll.BDH("GILD US Equity","ARD_CASH_AND_EQUIVALENTS","FQ1 2024","FQ1 2024","Currency=USD","Period=FQ","BEST_FPERIOD_OVERRIDE=FQ","FILING_STATUS=MR","SCALING_FORMAT=MLN","Sort=A","Dates=H","DateFormat=P","Fill=—","Direction=H","UseDPDF=Y")</f>
        <v>4718</v>
      </c>
      <c r="Y8" s="13">
        <f>_xll.BDH("GILD US Equity","ARD_CASH_AND_EQUIVALENTS","FQ2 2024","FQ2 2024","Currency=USD","Period=FQ","BEST_FPERIOD_OVERRIDE=FQ","FILING_STATUS=MR","SCALING_FORMAT=MLN","Sort=A","Dates=H","DateFormat=P","Fill=—","Direction=H","UseDPDF=Y")</f>
        <v>2772</v>
      </c>
      <c r="Z8" s="13">
        <f>_xll.BDH("GILD US Equity","ARD_CASH_AND_EQUIVALENTS","FQ3 2024","FQ3 2024","Currency=USD","Period=FQ","BEST_FPERIOD_OVERRIDE=FQ","FILING_STATUS=MR","SCALING_FORMAT=MLN","Sort=A","Dates=H","DateFormat=P","Fill=—","Direction=H","UseDPDF=Y")</f>
        <v>5037</v>
      </c>
      <c r="AA8" s="13">
        <f>_xll.BDH("GILD US Equity","ARD_CASH_AND_EQUIVALENTS","FQ4 2024","FQ4 2024","Currency=USD","Period=FQ","BEST_FPERIOD_OVERRIDE=FQ","FILING_STATUS=MR","SCALING_FORMAT=MLN","Sort=A","Dates=H","DateFormat=P","Fill=—","Direction=H","UseDPDF=Y")</f>
        <v>9991</v>
      </c>
    </row>
    <row r="9" spans="1:27" x14ac:dyDescent="0.25">
      <c r="A9" s="10" t="s">
        <v>905</v>
      </c>
      <c r="B9" s="10" t="s">
        <v>906</v>
      </c>
      <c r="C9" s="13">
        <f>_xll.BDH("GILD US Equity","ARD_MARKETABLE_SECURITIES","FQ4 2018","FQ4 2018","Currency=USD","Period=FQ","BEST_FPERIOD_OVERRIDE=FQ","FILING_STATUS=MR","SCALING_FORMAT=MLN","Sort=A","Dates=H","DateFormat=P","Fill=—","Direction=H","UseDPDF=Y")</f>
        <v>12149</v>
      </c>
      <c r="D9" s="13">
        <f>_xll.BDH("GILD US Equity","ARD_MARKETABLE_SECURITIES","FQ1 2019","FQ1 2019","Currency=USD","Period=FQ","BEST_FPERIOD_OVERRIDE=FQ","FILING_STATUS=MR","SCALING_FORMAT=MLN","Sort=A","Dates=H","DateFormat=P","Fill=—","Direction=H","UseDPDF=Y")</f>
        <v>10977</v>
      </c>
      <c r="E9" s="13">
        <f>_xll.BDH("GILD US Equity","ARD_MARKETABLE_SECURITIES","FQ2 2019","FQ2 2019","Currency=USD","Period=FQ","BEST_FPERIOD_OVERRIDE=FQ","FILING_STATUS=MR","SCALING_FORMAT=MLN","Sort=A","Dates=H","DateFormat=P","Fill=—","Direction=H","UseDPDF=Y")</f>
        <v>15943</v>
      </c>
      <c r="F9" s="13">
        <f>_xll.BDH("GILD US Equity","ARD_MARKETABLE_SECURITIES","FQ3 2019","FQ3 2019","Currency=USD","Period=FQ","BEST_FPERIOD_OVERRIDE=FQ","FILING_STATUS=MR","SCALING_FORMAT=MLN","Sort=A","Dates=H","DateFormat=P","Fill=—","Direction=H","UseDPDF=Y")</f>
        <v>13382</v>
      </c>
      <c r="G9" s="13">
        <f>_xll.BDH("GILD US Equity","ARD_MARKETABLE_SECURITIES","FQ4 2019","FQ4 2019","Currency=USD","Period=FQ","BEST_FPERIOD_OVERRIDE=FQ","FILING_STATUS=MR","SCALING_FORMAT=MLN","Sort=A","Dates=H","DateFormat=P","Fill=—","Direction=H","UseDPDF=Y")</f>
        <v>12721</v>
      </c>
      <c r="H9" s="13">
        <f>_xll.BDH("GILD US Equity","ARD_MARKETABLE_SECURITIES","FQ1 2020","FQ1 2020","Currency=USD","Period=FQ","BEST_FPERIOD_OVERRIDE=FQ","FILING_STATUS=MR","SCALING_FORMAT=MLN","Sort=A","Dates=H","DateFormat=P","Fill=—","Direction=H","UseDPDF=Y")</f>
        <v>10734</v>
      </c>
      <c r="I9" s="13">
        <f>_xll.BDH("GILD US Equity","ARD_MARKETABLE_SECURITIES","FQ2 2020","FQ2 2020","Currency=USD","Period=FQ","BEST_FPERIOD_OVERRIDE=FQ","FILING_STATUS=MR","SCALING_FORMAT=MLN","Sort=A","Dates=H","DateFormat=P","Fill=—","Direction=H","UseDPDF=Y")</f>
        <v>12168</v>
      </c>
      <c r="J9" s="13">
        <f>_xll.BDH("GILD US Equity","ARD_MARKETABLE_SECURITIES","FQ3 2020","FQ3 2020","Currency=USD","Period=FQ","BEST_FPERIOD_OVERRIDE=FQ","FILING_STATUS=MR","SCALING_FORMAT=MLN","Sort=A","Dates=H","DateFormat=P","Fill=—","Direction=H","UseDPDF=Y")</f>
        <v>11089</v>
      </c>
      <c r="K9" s="13">
        <f>_xll.BDH("GILD US Equity","ARD_MARKETABLE_SECURITIES","FQ4 2020","FQ4 2020","Currency=USD","Period=FQ","BEST_FPERIOD_OVERRIDE=FQ","FILING_STATUS=MR","SCALING_FORMAT=MLN","Sort=A","Dates=H","DateFormat=P","Fill=—","Direction=H","UseDPDF=Y")</f>
        <v>1411</v>
      </c>
      <c r="L9" s="13">
        <f>_xll.BDH("GILD US Equity","ARD_MARKETABLE_SECURITIES","FQ1 2021","FQ1 2021","Currency=USD","Period=FQ","BEST_FPERIOD_OVERRIDE=FQ","FILING_STATUS=MR","SCALING_FORMAT=MLN","Sort=A","Dates=H","DateFormat=P","Fill=—","Direction=H","UseDPDF=Y")</f>
        <v>1601</v>
      </c>
      <c r="M9" s="13">
        <f>_xll.BDH("GILD US Equity","ARD_MARKETABLE_SECURITIES","FQ2 2021","FQ2 2021","Currency=USD","Period=FQ","BEST_FPERIOD_OVERRIDE=FQ","FILING_STATUS=MR","SCALING_FORMAT=MLN","Sort=A","Dates=H","DateFormat=P","Fill=—","Direction=H","UseDPDF=Y")</f>
        <v>1632</v>
      </c>
      <c r="N9" s="13">
        <f>_xll.BDH("GILD US Equity","ARD_MARKETABLE_SECURITIES","FQ3 2021","FQ3 2021","Currency=USD","Period=FQ","BEST_FPERIOD_OVERRIDE=FQ","FILING_STATUS=MR","SCALING_FORMAT=MLN","Sort=A","Dates=H","DateFormat=P","Fill=—","Direction=H","UseDPDF=Y")</f>
        <v>1376</v>
      </c>
      <c r="O9" s="13">
        <f>_xll.BDH("GILD US Equity","ARD_MARKETABLE_SECURITIES","FQ4 2021","FQ4 2021","Currency=USD","Period=FQ","BEST_FPERIOD_OVERRIDE=FQ","FILING_STATUS=MR","SCALING_FORMAT=MLN","Sort=A","Dates=H","DateFormat=P","Fill=—","Direction=H","UseDPDF=Y")</f>
        <v>1182</v>
      </c>
      <c r="P9" s="13">
        <f>_xll.BDH("GILD US Equity","ARD_MARKETABLE_SECURITIES","FQ1 2022","FQ1 2022","Currency=USD","Period=FQ","BEST_FPERIOD_OVERRIDE=FQ","FILING_STATUS=MR","SCALING_FORMAT=MLN","Sort=A","Dates=H","DateFormat=P","Fill=—","Direction=H","UseDPDF=Y")</f>
        <v>1029</v>
      </c>
      <c r="Q9" s="13">
        <f>_xll.BDH("GILD US Equity","ARD_MARKETABLE_SECURITIES","FQ2 2022","FQ2 2022","Currency=USD","Period=FQ","BEST_FPERIOD_OVERRIDE=FQ","FILING_STATUS=MR","SCALING_FORMAT=MLN","Sort=A","Dates=H","DateFormat=P","Fill=—","Direction=H","UseDPDF=Y")</f>
        <v>924</v>
      </c>
      <c r="R9" s="13">
        <f>_xll.BDH("GILD US Equity","ARD_MARKETABLE_SECURITIES","FQ3 2022","FQ3 2022","Currency=USD","Period=FQ","BEST_FPERIOD_OVERRIDE=FQ","FILING_STATUS=MR","SCALING_FORMAT=MLN","Sort=A","Dates=H","DateFormat=P","Fill=—","Direction=H","UseDPDF=Y")</f>
        <v>961</v>
      </c>
      <c r="S9" s="13">
        <f>_xll.BDH("GILD US Equity","ARD_MARKETABLE_SECURITIES","FQ4 2022","FQ4 2022","Currency=USD","Period=FQ","BEST_FPERIOD_OVERRIDE=FQ","FILING_STATUS=MR","SCALING_FORMAT=MLN","Sort=A","Dates=H","DateFormat=P","Fill=—","Direction=H","UseDPDF=Y")</f>
        <v>973</v>
      </c>
      <c r="T9" s="13">
        <f>_xll.BDH("GILD US Equity","ARD_MARKETABLE_SECURITIES","FQ1 2023","FQ1 2023","Currency=USD","Period=FQ","BEST_FPERIOD_OVERRIDE=FQ","FILING_STATUS=MR","SCALING_FORMAT=MLN","Sort=A","Dates=H","DateFormat=P","Fill=—","Direction=H","UseDPDF=Y")</f>
        <v>936</v>
      </c>
      <c r="U9" s="13">
        <f>_xll.BDH("GILD US Equity","ARD_MARKETABLE_SECURITIES","FQ2 2023","FQ2 2023","Currency=USD","Period=FQ","BEST_FPERIOD_OVERRIDE=FQ","FILING_STATUS=MR","SCALING_FORMAT=MLN","Sort=A","Dates=H","DateFormat=P","Fill=—","Direction=H","UseDPDF=Y")</f>
        <v>963</v>
      </c>
      <c r="V9" s="13">
        <f>_xll.BDH("GILD US Equity","ARD_MARKETABLE_SECURITIES","FQ3 2023","FQ3 2023","Currency=USD","Period=FQ","BEST_FPERIOD_OVERRIDE=FQ","FILING_STATUS=MR","SCALING_FORMAT=MLN","Sort=A","Dates=H","DateFormat=P","Fill=—","Direction=H","UseDPDF=Y")</f>
        <v>1159</v>
      </c>
      <c r="W9" s="13">
        <f>_xll.BDH("GILD US Equity","ARD_MARKETABLE_SECURITIES","FQ4 2023","FQ4 2023","Currency=USD","Period=FQ","BEST_FPERIOD_OVERRIDE=FQ","FILING_STATUS=MR","SCALING_FORMAT=MLN","Sort=A","Dates=H","DateFormat=P","Fill=—","Direction=H","UseDPDF=Y")</f>
        <v>1179</v>
      </c>
      <c r="X9" s="13">
        <f>_xll.BDH("GILD US Equity","ARD_MARKETABLE_SECURITIES","FQ1 2024","FQ1 2024","Currency=USD","Period=FQ","BEST_FPERIOD_OVERRIDE=FQ","FILING_STATUS=MR","SCALING_FORMAT=MLN","Sort=A","Dates=H","DateFormat=P","Fill=—","Direction=H","UseDPDF=Y")</f>
        <v>0</v>
      </c>
      <c r="Y9" s="13">
        <f>_xll.BDH("GILD US Equity","ARD_MARKETABLE_SECURITIES","FQ2 2024","FQ2 2024","Currency=USD","Period=FQ","BEST_FPERIOD_OVERRIDE=FQ","FILING_STATUS=MR","SCALING_FORMAT=MLN","Sort=A","Dates=H","DateFormat=P","Fill=—","Direction=H","UseDPDF=Y")</f>
        <v>0</v>
      </c>
      <c r="Z9" s="13">
        <f>_xll.BDH("GILD US Equity","ARD_MARKETABLE_SECURITIES","FQ3 2024","FQ3 2024","Currency=USD","Period=FQ","BEST_FPERIOD_OVERRIDE=FQ","FILING_STATUS=MR","SCALING_FORMAT=MLN","Sort=A","Dates=H","DateFormat=P","Fill=—","Direction=H","UseDPDF=Y")</f>
        <v>0</v>
      </c>
      <c r="AA9" s="13">
        <f>_xll.BDH("GILD US Equity","ARD_MARKETABLE_SECURITIES","FQ4 2024","FQ4 2024","Currency=USD","Period=FQ","BEST_FPERIOD_OVERRIDE=FQ","FILING_STATUS=MR","SCALING_FORMAT=MLN","Sort=A","Dates=H","DateFormat=P","Fill=—","Direction=H","UseDPDF=Y")</f>
        <v>0</v>
      </c>
    </row>
    <row r="10" spans="1:27" x14ac:dyDescent="0.25">
      <c r="A10" s="10" t="s">
        <v>907</v>
      </c>
      <c r="B10" s="10" t="s">
        <v>908</v>
      </c>
      <c r="C10" s="13">
        <f>_xll.BDH("GILD US Equity","ARD_ACCTS_RECEIVABLE_TRADE","FQ4 2018","FQ4 2018","Currency=USD","Period=FQ","BEST_FPERIOD_OVERRIDE=FQ","FILING_STATUS=MR","SCALING_FORMAT=MLN","Sort=A","Dates=H","DateFormat=P","Fill=—","Direction=H","UseDPDF=Y")</f>
        <v>3327</v>
      </c>
      <c r="D10" s="13">
        <f>_xll.BDH("GILD US Equity","ARD_ACCTS_RECEIVABLE_TRADE","FQ1 2019","FQ1 2019","Currency=USD","Period=FQ","BEST_FPERIOD_OVERRIDE=FQ","FILING_STATUS=MR","SCALING_FORMAT=MLN","Sort=A","Dates=H","DateFormat=P","Fill=—","Direction=H","UseDPDF=Y")</f>
        <v>3283</v>
      </c>
      <c r="E10" s="13">
        <f>_xll.BDH("GILD US Equity","ARD_ACCTS_RECEIVABLE_TRADE","FQ2 2019","FQ2 2019","Currency=USD","Period=FQ","BEST_FPERIOD_OVERRIDE=FQ","FILING_STATUS=MR","SCALING_FORMAT=MLN","Sort=A","Dates=H","DateFormat=P","Fill=—","Direction=H","UseDPDF=Y")</f>
        <v>3396</v>
      </c>
      <c r="F10" s="13">
        <f>_xll.BDH("GILD US Equity","ARD_ACCTS_RECEIVABLE_TRADE","FQ3 2019","FQ3 2019","Currency=USD","Period=FQ","BEST_FPERIOD_OVERRIDE=FQ","FILING_STATUS=MR","SCALING_FORMAT=MLN","Sort=A","Dates=H","DateFormat=P","Fill=—","Direction=H","UseDPDF=Y")</f>
        <v>3315</v>
      </c>
      <c r="G10" s="13">
        <f>_xll.BDH("GILD US Equity","ARD_ACCTS_RECEIVABLE_TRADE","FQ4 2019","FQ4 2019","Currency=USD","Period=FQ","BEST_FPERIOD_OVERRIDE=FQ","FILING_STATUS=MR","SCALING_FORMAT=MLN","Sort=A","Dates=H","DateFormat=P","Fill=—","Direction=H","UseDPDF=Y")</f>
        <v>3582</v>
      </c>
      <c r="H10" s="13">
        <f>_xll.BDH("GILD US Equity","ARD_ACCTS_RECEIVABLE_TRADE","FQ1 2020","FQ1 2020","Currency=USD","Period=FQ","BEST_FPERIOD_OVERRIDE=FQ","FILING_STATUS=MR","SCALING_FORMAT=MLN","Sort=A","Dates=H","DateFormat=P","Fill=—","Direction=H","UseDPDF=Y")</f>
        <v>3907</v>
      </c>
      <c r="I10" s="13">
        <f>_xll.BDH("GILD US Equity","ARD_ACCTS_RECEIVABLE_TRADE","FQ2 2020","FQ2 2020","Currency=USD","Period=FQ","BEST_FPERIOD_OVERRIDE=FQ","FILING_STATUS=MR","SCALING_FORMAT=MLN","Sort=A","Dates=H","DateFormat=P","Fill=—","Direction=H","UseDPDF=Y")</f>
        <v>3194</v>
      </c>
      <c r="J10" s="13">
        <f>_xll.BDH("GILD US Equity","ARD_ACCTS_RECEIVABLE_TRADE","FQ3 2020","FQ3 2020","Currency=USD","Period=FQ","BEST_FPERIOD_OVERRIDE=FQ","FILING_STATUS=MR","SCALING_FORMAT=MLN","Sort=A","Dates=H","DateFormat=P","Fill=—","Direction=H","UseDPDF=Y")</f>
        <v>3913</v>
      </c>
      <c r="K10" s="13">
        <f>_xll.BDH("GILD US Equity","ARD_ACCTS_RECEIVABLE_TRADE","FQ4 2020","FQ4 2020","Currency=USD","Period=FQ","BEST_FPERIOD_OVERRIDE=FQ","FILING_STATUS=MR","SCALING_FORMAT=MLN","Sort=A","Dates=H","DateFormat=P","Fill=—","Direction=H","UseDPDF=Y")</f>
        <v>4892</v>
      </c>
      <c r="L10" s="13">
        <f>_xll.BDH("GILD US Equity","ARD_ACCTS_RECEIVABLE_TRADE","FQ1 2021","FQ1 2021","Currency=USD","Period=FQ","BEST_FPERIOD_OVERRIDE=FQ","FILING_STATUS=MR","SCALING_FORMAT=MLN","Sort=A","Dates=H","DateFormat=P","Fill=—","Direction=H","UseDPDF=Y")</f>
        <v>3925</v>
      </c>
      <c r="M10" s="13">
        <f>_xll.BDH("GILD US Equity","ARD_ACCTS_RECEIVABLE_TRADE","FQ2 2021","FQ2 2021","Currency=USD","Period=FQ","BEST_FPERIOD_OVERRIDE=FQ","FILING_STATUS=MR","SCALING_FORMAT=MLN","Sort=A","Dates=H","DateFormat=P","Fill=—","Direction=H","UseDPDF=Y")</f>
        <v>4149</v>
      </c>
      <c r="N10" s="13">
        <f>_xll.BDH("GILD US Equity","ARD_ACCTS_RECEIVABLE_TRADE","FQ3 2021","FQ3 2021","Currency=USD","Period=FQ","BEST_FPERIOD_OVERRIDE=FQ","FILING_STATUS=MR","SCALING_FORMAT=MLN","Sort=A","Dates=H","DateFormat=P","Fill=—","Direction=H","UseDPDF=Y")</f>
        <v>4566</v>
      </c>
      <c r="O10" s="13">
        <f>_xll.BDH("GILD US Equity","ARD_ACCTS_RECEIVABLE_TRADE","FQ4 2021","FQ4 2021","Currency=USD","Period=FQ","BEST_FPERIOD_OVERRIDE=FQ","FILING_STATUS=MR","SCALING_FORMAT=MLN","Sort=A","Dates=H","DateFormat=P","Fill=—","Direction=H","UseDPDF=Y")</f>
        <v>4493</v>
      </c>
      <c r="P10" s="13">
        <f>_xll.BDH("GILD US Equity","ARD_ACCTS_RECEIVABLE_TRADE","FQ1 2022","FQ1 2022","Currency=USD","Period=FQ","BEST_FPERIOD_OVERRIDE=FQ","FILING_STATUS=MR","SCALING_FORMAT=MLN","Sort=A","Dates=H","DateFormat=P","Fill=—","Direction=H","UseDPDF=Y")</f>
        <v>3787</v>
      </c>
      <c r="Q10" s="13">
        <f>_xll.BDH("GILD US Equity","ARD_ACCTS_RECEIVABLE_TRADE","FQ2 2022","FQ2 2022","Currency=USD","Period=FQ","BEST_FPERIOD_OVERRIDE=FQ","FILING_STATUS=MR","SCALING_FORMAT=MLN","Sort=A","Dates=H","DateFormat=P","Fill=—","Direction=H","UseDPDF=Y")</f>
        <v>4118</v>
      </c>
      <c r="R10" s="13">
        <f>_xll.BDH("GILD US Equity","ARD_ACCTS_RECEIVABLE_TRADE","FQ3 2022","FQ3 2022","Currency=USD","Period=FQ","BEST_FPERIOD_OVERRIDE=FQ","FILING_STATUS=MR","SCALING_FORMAT=MLN","Sort=A","Dates=H","DateFormat=P","Fill=—","Direction=H","UseDPDF=Y")</f>
        <v>4354</v>
      </c>
      <c r="S10" s="13">
        <f>_xll.BDH("GILD US Equity","ARD_ACCTS_RECEIVABLE_TRADE","FQ4 2022","FQ4 2022","Currency=USD","Period=FQ","BEST_FPERIOD_OVERRIDE=FQ","FILING_STATUS=MR","SCALING_FORMAT=MLN","Sort=A","Dates=H","DateFormat=P","Fill=—","Direction=H","UseDPDF=Y")</f>
        <v>4777</v>
      </c>
      <c r="T10" s="13">
        <f>_xll.BDH("GILD US Equity","ARD_ACCTS_RECEIVABLE_TRADE","FQ1 2023","FQ1 2023","Currency=USD","Period=FQ","BEST_FPERIOD_OVERRIDE=FQ","FILING_STATUS=MR","SCALING_FORMAT=MLN","Sort=A","Dates=H","DateFormat=P","Fill=—","Direction=H","UseDPDF=Y")</f>
        <v>4162</v>
      </c>
      <c r="U10" s="13">
        <f>_xll.BDH("GILD US Equity","ARD_ACCTS_RECEIVABLE_TRADE","FQ2 2023","FQ2 2023","Currency=USD","Period=FQ","BEST_FPERIOD_OVERRIDE=FQ","FILING_STATUS=MR","SCALING_FORMAT=MLN","Sort=A","Dates=H","DateFormat=P","Fill=—","Direction=H","UseDPDF=Y")</f>
        <v>4229</v>
      </c>
      <c r="V10" s="13">
        <f>_xll.BDH("GILD US Equity","ARD_ACCTS_RECEIVABLE_TRADE","FQ3 2023","FQ3 2023","Currency=USD","Period=FQ","BEST_FPERIOD_OVERRIDE=FQ","FILING_STATUS=MR","SCALING_FORMAT=MLN","Sort=A","Dates=H","DateFormat=P","Fill=—","Direction=H","UseDPDF=Y")</f>
        <v>4790</v>
      </c>
      <c r="W10" s="13">
        <f>_xll.BDH("GILD US Equity","ARD_ACCTS_RECEIVABLE_TRADE","FQ4 2023","FQ4 2023","Currency=USD","Period=FQ","BEST_FPERIOD_OVERRIDE=FQ","FILING_STATUS=MR","SCALING_FORMAT=MLN","Sort=A","Dates=H","DateFormat=P","Fill=—","Direction=H","UseDPDF=Y")</f>
        <v>4660</v>
      </c>
      <c r="X10" s="13">
        <f>_xll.BDH("GILD US Equity","ARD_ACCTS_RECEIVABLE_TRADE","FQ1 2024","FQ1 2024","Currency=USD","Period=FQ","BEST_FPERIOD_OVERRIDE=FQ","FILING_STATUS=MR","SCALING_FORMAT=MLN","Sort=A","Dates=H","DateFormat=P","Fill=—","Direction=H","UseDPDF=Y")</f>
        <v>4669</v>
      </c>
      <c r="Y10" s="13">
        <f>_xll.BDH("GILD US Equity","ARD_ACCTS_RECEIVABLE_TRADE","FQ2 2024","FQ2 2024","Currency=USD","Period=FQ","BEST_FPERIOD_OVERRIDE=FQ","FILING_STATUS=MR","SCALING_FORMAT=MLN","Sort=A","Dates=H","DateFormat=P","Fill=—","Direction=H","UseDPDF=Y")</f>
        <v>4663</v>
      </c>
      <c r="Z10" s="13">
        <f>_xll.BDH("GILD US Equity","ARD_ACCTS_RECEIVABLE_TRADE","FQ3 2024","FQ3 2024","Currency=USD","Period=FQ","BEST_FPERIOD_OVERRIDE=FQ","FILING_STATUS=MR","SCALING_FORMAT=MLN","Sort=A","Dates=H","DateFormat=P","Fill=—","Direction=H","UseDPDF=Y")</f>
        <v>4587</v>
      </c>
      <c r="AA10" s="13">
        <f>_xll.BDH("GILD US Equity","ARD_ACCTS_RECEIVABLE_TRADE","FQ4 2024","FQ4 2024","Currency=USD","Period=FQ","BEST_FPERIOD_OVERRIDE=FQ","FILING_STATUS=MR","SCALING_FORMAT=MLN","Sort=A","Dates=H","DateFormat=P","Fill=—","Direction=H","UseDPDF=Y")</f>
        <v>4420</v>
      </c>
    </row>
    <row r="11" spans="1:27" x14ac:dyDescent="0.25">
      <c r="A11" s="10" t="s">
        <v>909</v>
      </c>
      <c r="B11" s="10" t="s">
        <v>910</v>
      </c>
      <c r="C11" s="13">
        <f>_xll.BDH("GILD US Equity","ARD_INVENTORY","FQ4 2018","FQ4 2018","Currency=USD","Period=FQ","BEST_FPERIOD_OVERRIDE=FQ","FILING_STATUS=MR","SCALING_FORMAT=MLN","Sort=A","Dates=H","DateFormat=P","Fill=—","Direction=H","UseDPDF=Y")</f>
        <v>814</v>
      </c>
      <c r="D11" s="13">
        <f>_xll.BDH("GILD US Equity","ARD_INVENTORY","FQ1 2019","FQ1 2019","Currency=USD","Period=FQ","BEST_FPERIOD_OVERRIDE=FQ","FILING_STATUS=MR","SCALING_FORMAT=MLN","Sort=A","Dates=H","DateFormat=P","Fill=—","Direction=H","UseDPDF=Y")</f>
        <v>898</v>
      </c>
      <c r="E11" s="13">
        <f>_xll.BDH("GILD US Equity","ARD_INVENTORY","FQ2 2019","FQ2 2019","Currency=USD","Period=FQ","BEST_FPERIOD_OVERRIDE=FQ","FILING_STATUS=MR","SCALING_FORMAT=MLN","Sort=A","Dates=H","DateFormat=P","Fill=—","Direction=H","UseDPDF=Y")</f>
        <v>884</v>
      </c>
      <c r="F11" s="13">
        <f>_xll.BDH("GILD US Equity","ARD_INVENTORY","FQ3 2019","FQ3 2019","Currency=USD","Period=FQ","BEST_FPERIOD_OVERRIDE=FQ","FILING_STATUS=MR","SCALING_FORMAT=MLN","Sort=A","Dates=H","DateFormat=P","Fill=—","Direction=H","UseDPDF=Y")</f>
        <v>882</v>
      </c>
      <c r="G11" s="13">
        <f>_xll.BDH("GILD US Equity","ARD_INVENTORY","FQ4 2019","FQ4 2019","Currency=USD","Period=FQ","BEST_FPERIOD_OVERRIDE=FQ","FILING_STATUS=MR","SCALING_FORMAT=MLN","Sort=A","Dates=H","DateFormat=P","Fill=—","Direction=H","UseDPDF=Y")</f>
        <v>922</v>
      </c>
      <c r="H11" s="13">
        <f>_xll.BDH("GILD US Equity","ARD_INVENTORY","FQ1 2020","FQ1 2020","Currency=USD","Period=FQ","BEST_FPERIOD_OVERRIDE=FQ","FILING_STATUS=MR","SCALING_FORMAT=MLN","Sort=A","Dates=H","DateFormat=P","Fill=—","Direction=H","UseDPDF=Y")</f>
        <v>986</v>
      </c>
      <c r="I11" s="13">
        <f>_xll.BDH("GILD US Equity","ARD_INVENTORY","FQ2 2020","FQ2 2020","Currency=USD","Period=FQ","BEST_FPERIOD_OVERRIDE=FQ","FILING_STATUS=MR","SCALING_FORMAT=MLN","Sort=A","Dates=H","DateFormat=P","Fill=—","Direction=H","UseDPDF=Y")</f>
        <v>1052</v>
      </c>
      <c r="J11" s="13">
        <f>_xll.BDH("GILD US Equity","ARD_INVENTORY","FQ3 2020","FQ3 2020","Currency=USD","Period=FQ","BEST_FPERIOD_OVERRIDE=FQ","FILING_STATUS=MR","SCALING_FORMAT=MLN","Sort=A","Dates=H","DateFormat=P","Fill=—","Direction=H","UseDPDF=Y")</f>
        <v>1008</v>
      </c>
      <c r="K11" s="13">
        <f>_xll.BDH("GILD US Equity","ARD_INVENTORY","FQ4 2020","FQ4 2020","Currency=USD","Period=FQ","BEST_FPERIOD_OVERRIDE=FQ","FILING_STATUS=MR","SCALING_FORMAT=MLN","Sort=A","Dates=H","DateFormat=P","Fill=—","Direction=H","UseDPDF=Y")</f>
        <v>1683</v>
      </c>
      <c r="L11" s="13">
        <f>_xll.BDH("GILD US Equity","ARD_INVENTORY","FQ1 2021","FQ1 2021","Currency=USD","Period=FQ","BEST_FPERIOD_OVERRIDE=FQ","FILING_STATUS=MR","SCALING_FORMAT=MLN","Sort=A","Dates=H","DateFormat=P","Fill=—","Direction=H","UseDPDF=Y")</f>
        <v>1779</v>
      </c>
      <c r="M11" s="13">
        <f>_xll.BDH("GILD US Equity","ARD_INVENTORY","FQ2 2021","FQ2 2021","Currency=USD","Period=FQ","BEST_FPERIOD_OVERRIDE=FQ","FILING_STATUS=MR","SCALING_FORMAT=MLN","Sort=A","Dates=H","DateFormat=P","Fill=—","Direction=H","UseDPDF=Y")</f>
        <v>1772</v>
      </c>
      <c r="N11" s="13">
        <f>_xll.BDH("GILD US Equity","ARD_INVENTORY","FQ3 2021","FQ3 2021","Currency=USD","Period=FQ","BEST_FPERIOD_OVERRIDE=FQ","FILING_STATUS=MR","SCALING_FORMAT=MLN","Sort=A","Dates=H","DateFormat=P","Fill=—","Direction=H","UseDPDF=Y")</f>
        <v>1676</v>
      </c>
      <c r="O11" s="13">
        <f>_xll.BDH("GILD US Equity","ARD_INVENTORY","FQ4 2021","FQ4 2021","Currency=USD","Period=FQ","BEST_FPERIOD_OVERRIDE=FQ","FILING_STATUS=MR","SCALING_FORMAT=MLN","Sort=A","Dates=H","DateFormat=P","Fill=—","Direction=H","UseDPDF=Y")</f>
        <v>1618</v>
      </c>
      <c r="P11" s="13">
        <f>_xll.BDH("GILD US Equity","ARD_INVENTORY","FQ1 2022","FQ1 2022","Currency=USD","Period=FQ","BEST_FPERIOD_OVERRIDE=FQ","FILING_STATUS=MR","SCALING_FORMAT=MLN","Sort=A","Dates=H","DateFormat=P","Fill=—","Direction=H","UseDPDF=Y")</f>
        <v>1482</v>
      </c>
      <c r="Q11" s="13">
        <f>_xll.BDH("GILD US Equity","ARD_INVENTORY","FQ2 2022","FQ2 2022","Currency=USD","Period=FQ","BEST_FPERIOD_OVERRIDE=FQ","FILING_STATUS=MR","SCALING_FORMAT=MLN","Sort=A","Dates=H","DateFormat=P","Fill=—","Direction=H","UseDPDF=Y")</f>
        <v>1494</v>
      </c>
      <c r="R11" s="13">
        <f>_xll.BDH("GILD US Equity","ARD_INVENTORY","FQ3 2022","FQ3 2022","Currency=USD","Period=FQ","BEST_FPERIOD_OVERRIDE=FQ","FILING_STATUS=MR","SCALING_FORMAT=MLN","Sort=A","Dates=H","DateFormat=P","Fill=—","Direction=H","UseDPDF=Y")</f>
        <v>1463</v>
      </c>
      <c r="S11" s="13">
        <f>_xll.BDH("GILD US Equity","ARD_INVENTORY","FQ4 2022","FQ4 2022","Currency=USD","Period=FQ","BEST_FPERIOD_OVERRIDE=FQ","FILING_STATUS=MR","SCALING_FORMAT=MLN","Sort=A","Dates=H","DateFormat=P","Fill=—","Direction=H","UseDPDF=Y")</f>
        <v>1507</v>
      </c>
      <c r="T11" s="13">
        <f>_xll.BDH("GILD US Equity","ARD_INVENTORY","FQ1 2023","FQ1 2023","Currency=USD","Period=FQ","BEST_FPERIOD_OVERRIDE=FQ","FILING_STATUS=MR","SCALING_FORMAT=MLN","Sort=A","Dates=H","DateFormat=P","Fill=—","Direction=H","UseDPDF=Y")</f>
        <v>1576</v>
      </c>
      <c r="U11" s="13">
        <f>_xll.BDH("GILD US Equity","ARD_INVENTORY","FQ2 2023","FQ2 2023","Currency=USD","Period=FQ","BEST_FPERIOD_OVERRIDE=FQ","FILING_STATUS=MR","SCALING_FORMAT=MLN","Sort=A","Dates=H","DateFormat=P","Fill=—","Direction=H","UseDPDF=Y")</f>
        <v>1633</v>
      </c>
      <c r="V11" s="13">
        <f>_xll.BDH("GILD US Equity","ARD_INVENTORY","FQ3 2023","FQ3 2023","Currency=USD","Period=FQ","BEST_FPERIOD_OVERRIDE=FQ","FILING_STATUS=MR","SCALING_FORMAT=MLN","Sort=A","Dates=H","DateFormat=P","Fill=—","Direction=H","UseDPDF=Y")</f>
        <v>1663</v>
      </c>
      <c r="W11" s="13">
        <f>_xll.BDH("GILD US Equity","ARD_INVENTORY","FQ4 2023","FQ4 2023","Currency=USD","Period=FQ","BEST_FPERIOD_OVERRIDE=FQ","FILING_STATUS=MR","SCALING_FORMAT=MLN","Sort=A","Dates=H","DateFormat=P","Fill=—","Direction=H","UseDPDF=Y")</f>
        <v>1787</v>
      </c>
      <c r="X11" s="13">
        <f>_xll.BDH("GILD US Equity","ARD_INVENTORY","FQ1 2024","FQ1 2024","Currency=USD","Period=FQ","BEST_FPERIOD_OVERRIDE=FQ","FILING_STATUS=MR","SCALING_FORMAT=MLN","Sort=A","Dates=H","DateFormat=P","Fill=—","Direction=H","UseDPDF=Y")</f>
        <v>1853</v>
      </c>
      <c r="Y11" s="13">
        <f>_xll.BDH("GILD US Equity","ARD_INVENTORY","FQ2 2024","FQ2 2024","Currency=USD","Period=FQ","BEST_FPERIOD_OVERRIDE=FQ","FILING_STATUS=MR","SCALING_FORMAT=MLN","Sort=A","Dates=H","DateFormat=P","Fill=—","Direction=H","UseDPDF=Y")</f>
        <v>2026</v>
      </c>
      <c r="Z11" s="13">
        <f>_xll.BDH("GILD US Equity","ARD_INVENTORY","FQ3 2024","FQ3 2024","Currency=USD","Period=FQ","BEST_FPERIOD_OVERRIDE=FQ","FILING_STATUS=MR","SCALING_FORMAT=MLN","Sort=A","Dates=H","DateFormat=P","Fill=—","Direction=H","UseDPDF=Y")</f>
        <v>1869</v>
      </c>
      <c r="AA11" s="13">
        <f>_xll.BDH("GILD US Equity","ARD_INVENTORY","FQ4 2024","FQ4 2024","Currency=USD","Period=FQ","BEST_FPERIOD_OVERRIDE=FQ","FILING_STATUS=MR","SCALING_FORMAT=MLN","Sort=A","Dates=H","DateFormat=P","Fill=—","Direction=H","UseDPDF=Y")</f>
        <v>1710</v>
      </c>
    </row>
    <row r="12" spans="1:27" x14ac:dyDescent="0.25">
      <c r="A12" s="10" t="s">
        <v>911</v>
      </c>
      <c r="B12" s="10" t="s">
        <v>912</v>
      </c>
      <c r="C12" s="13">
        <f>_xll.BDH("GILD US Equity","ARD_PREPAID_EXP_AND_OTHER","FQ4 2018","FQ4 2018","Currency=USD","Period=FQ","BEST_FPERIOD_OVERRIDE=FQ","FILING_STATUS=MR","SCALING_FORMAT=MLN","Sort=A","Dates=H","DateFormat=P","Fill=—","Direction=H","UseDPDF=Y")</f>
        <v>1606</v>
      </c>
      <c r="D12" s="13">
        <f>_xll.BDH("GILD US Equity","ARD_PREPAID_EXP_AND_OTHER","FQ1 2019","FQ1 2019","Currency=USD","Period=FQ","BEST_FPERIOD_OVERRIDE=FQ","FILING_STATUS=MR","SCALING_FORMAT=MLN","Sort=A","Dates=H","DateFormat=P","Fill=—","Direction=H","UseDPDF=Y")</f>
        <v>1939</v>
      </c>
      <c r="E12" s="13">
        <f>_xll.BDH("GILD US Equity","ARD_PREPAID_EXP_AND_OTHER","FQ2 2019","FQ2 2019","Currency=USD","Period=FQ","BEST_FPERIOD_OVERRIDE=FQ","FILING_STATUS=MR","SCALING_FORMAT=MLN","Sort=A","Dates=H","DateFormat=P","Fill=—","Direction=H","UseDPDF=Y")</f>
        <v>2264</v>
      </c>
      <c r="F12" s="13">
        <f>_xll.BDH("GILD US Equity","ARD_PREPAID_EXP_AND_OTHER","FQ3 2019","FQ3 2019","Currency=USD","Period=FQ","BEST_FPERIOD_OVERRIDE=FQ","FILING_STATUS=MR","SCALING_FORMAT=MLN","Sort=A","Dates=H","DateFormat=P","Fill=—","Direction=H","UseDPDF=Y")</f>
        <v>1308</v>
      </c>
      <c r="G12" s="13">
        <f>_xll.BDH("GILD US Equity","ARD_PREPAID_EXP_AND_OTHER","FQ4 2019","FQ4 2019","Currency=USD","Period=FQ","BEST_FPERIOD_OVERRIDE=FQ","FILING_STATUS=MR","SCALING_FORMAT=MLN","Sort=A","Dates=H","DateFormat=P","Fill=—","Direction=H","UseDPDF=Y")</f>
        <v>1440</v>
      </c>
      <c r="H12" s="13">
        <f>_xll.BDH("GILD US Equity","ARD_PREPAID_EXP_AND_OTHER","FQ1 2020","FQ1 2020","Currency=USD","Period=FQ","BEST_FPERIOD_OVERRIDE=FQ","FILING_STATUS=MR","SCALING_FORMAT=MLN","Sort=A","Dates=H","DateFormat=P","Fill=—","Direction=H","UseDPDF=Y")</f>
        <v>1272</v>
      </c>
      <c r="I12" s="13">
        <f>_xll.BDH("GILD US Equity","ARD_PREPAID_EXP_AND_OTHER","FQ2 2020","FQ2 2020","Currency=USD","Period=FQ","BEST_FPERIOD_OVERRIDE=FQ","FILING_STATUS=MR","SCALING_FORMAT=MLN","Sort=A","Dates=H","DateFormat=P","Fill=—","Direction=H","UseDPDF=Y")</f>
        <v>1483</v>
      </c>
      <c r="J12" s="13">
        <f>_xll.BDH("GILD US Equity","ARD_PREPAID_EXP_AND_OTHER","FQ3 2020","FQ3 2020","Currency=USD","Period=FQ","BEST_FPERIOD_OVERRIDE=FQ","FILING_STATUS=MR","SCALING_FORMAT=MLN","Sort=A","Dates=H","DateFormat=P","Fill=—","Direction=H","UseDPDF=Y")</f>
        <v>2030</v>
      </c>
      <c r="K12" s="13">
        <f>_xll.BDH("GILD US Equity","ARD_PREPAID_EXP_AND_OTHER","FQ4 2020","FQ4 2020","Currency=USD","Period=FQ","BEST_FPERIOD_OVERRIDE=FQ","FILING_STATUS=MR","SCALING_FORMAT=MLN","Sort=A","Dates=H","DateFormat=P","Fill=—","Direction=H","UseDPDF=Y")</f>
        <v>2013</v>
      </c>
      <c r="L12" s="13">
        <f>_xll.BDH("GILD US Equity","ARD_PREPAID_EXP_AND_OTHER","FQ1 2021","FQ1 2021","Currency=USD","Period=FQ","BEST_FPERIOD_OVERRIDE=FQ","FILING_STATUS=MR","SCALING_FORMAT=MLN","Sort=A","Dates=H","DateFormat=P","Fill=—","Direction=H","UseDPDF=Y")</f>
        <v>1908</v>
      </c>
      <c r="M12" s="13">
        <f>_xll.BDH("GILD US Equity","ARD_PREPAID_EXP_AND_OTHER","FQ2 2021","FQ2 2021","Currency=USD","Period=FQ","BEST_FPERIOD_OVERRIDE=FQ","FILING_STATUS=MR","SCALING_FORMAT=MLN","Sort=A","Dates=H","DateFormat=P","Fill=—","Direction=H","UseDPDF=Y")</f>
        <v>1479</v>
      </c>
      <c r="N12" s="13">
        <f>_xll.BDH("GILD US Equity","ARD_PREPAID_EXP_AND_OTHER","FQ3 2021","FQ3 2021","Currency=USD","Period=FQ","BEST_FPERIOD_OVERRIDE=FQ","FILING_STATUS=MR","SCALING_FORMAT=MLN","Sort=A","Dates=H","DateFormat=P","Fill=—","Direction=H","UseDPDF=Y")</f>
        <v>2011</v>
      </c>
      <c r="O12" s="13">
        <f>_xll.BDH("GILD US Equity","ARD_PREPAID_EXP_AND_OTHER","FQ4 2021","FQ4 2021","Currency=USD","Period=FQ","BEST_FPERIOD_OVERRIDE=FQ","FILING_STATUS=MR","SCALING_FORMAT=MLN","Sort=A","Dates=H","DateFormat=P","Fill=—","Direction=H","UseDPDF=Y")</f>
        <v>2141</v>
      </c>
      <c r="P12" s="13">
        <f>_xll.BDH("GILD US Equity","ARD_PREPAID_EXP_AND_OTHER","FQ1 2022","FQ1 2022","Currency=USD","Period=FQ","BEST_FPERIOD_OVERRIDE=FQ","FILING_STATUS=MR","SCALING_FORMAT=MLN","Sort=A","Dates=H","DateFormat=P","Fill=—","Direction=H","UseDPDF=Y")</f>
        <v>2035</v>
      </c>
      <c r="Q12" s="13">
        <f>_xll.BDH("GILD US Equity","ARD_PREPAID_EXP_AND_OTHER","FQ2 2022","FQ2 2022","Currency=USD","Period=FQ","BEST_FPERIOD_OVERRIDE=FQ","FILING_STATUS=MR","SCALING_FORMAT=MLN","Sort=A","Dates=H","DateFormat=P","Fill=—","Direction=H","UseDPDF=Y")</f>
        <v>1900</v>
      </c>
      <c r="R12" s="13">
        <f>_xll.BDH("GILD US Equity","ARD_PREPAID_EXP_AND_OTHER","FQ3 2022","FQ3 2022","Currency=USD","Period=FQ","BEST_FPERIOD_OVERRIDE=FQ","FILING_STATUS=MR","SCALING_FORMAT=MLN","Sort=A","Dates=H","DateFormat=P","Fill=—","Direction=H","UseDPDF=Y")</f>
        <v>2077</v>
      </c>
      <c r="S12" s="13">
        <f>_xll.BDH("GILD US Equity","ARD_PREPAID_EXP_AND_OTHER","FQ4 2022","FQ4 2022","Currency=USD","Period=FQ","BEST_FPERIOD_OVERRIDE=FQ","FILING_STATUS=MR","SCALING_FORMAT=MLN","Sort=A","Dates=H","DateFormat=P","Fill=—","Direction=H","UseDPDF=Y")</f>
        <v>1774</v>
      </c>
      <c r="T12" s="13">
        <f>_xll.BDH("GILD US Equity","ARD_PREPAID_EXP_AND_OTHER","FQ1 2023","FQ1 2023","Currency=USD","Period=FQ","BEST_FPERIOD_OVERRIDE=FQ","FILING_STATUS=MR","SCALING_FORMAT=MLN","Sort=A","Dates=H","DateFormat=P","Fill=—","Direction=H","UseDPDF=Y")</f>
        <v>1846</v>
      </c>
      <c r="U12" s="13">
        <f>_xll.BDH("GILD US Equity","ARD_PREPAID_EXP_AND_OTHER","FQ2 2023","FQ2 2023","Currency=USD","Period=FQ","BEST_FPERIOD_OVERRIDE=FQ","FILING_STATUS=MR","SCALING_FORMAT=MLN","Sort=A","Dates=H","DateFormat=P","Fill=—","Direction=H","UseDPDF=Y")</f>
        <v>1757</v>
      </c>
      <c r="V12" s="13">
        <f>_xll.BDH("GILD US Equity","ARD_PREPAID_EXP_AND_OTHER","FQ3 2023","FQ3 2023","Currency=USD","Period=FQ","BEST_FPERIOD_OVERRIDE=FQ","FILING_STATUS=MR","SCALING_FORMAT=MLN","Sort=A","Dates=H","DateFormat=P","Fill=—","Direction=H","UseDPDF=Y")</f>
        <v>2662</v>
      </c>
      <c r="W12" s="13">
        <f>_xll.BDH("GILD US Equity","ARD_PREPAID_EXP_AND_OTHER","FQ4 2023","FQ4 2023","Currency=USD","Period=FQ","BEST_FPERIOD_OVERRIDE=FQ","FILING_STATUS=MR","SCALING_FORMAT=MLN","Sort=A","Dates=H","DateFormat=P","Fill=—","Direction=H","UseDPDF=Y")</f>
        <v>2374</v>
      </c>
      <c r="X12" s="13">
        <f>_xll.BDH("GILD US Equity","ARD_PREPAID_EXP_AND_OTHER","FQ1 2024","FQ1 2024","Currency=USD","Period=FQ","BEST_FPERIOD_OVERRIDE=FQ","FILING_STATUS=MR","SCALING_FORMAT=MLN","Sort=A","Dates=H","DateFormat=P","Fill=—","Direction=H","UseDPDF=Y")</f>
        <v>2800</v>
      </c>
      <c r="Y12" s="13">
        <f>_xll.BDH("GILD US Equity","ARD_PREPAID_EXP_AND_OTHER","FQ2 2024","FQ2 2024","Currency=USD","Period=FQ","BEST_FPERIOD_OVERRIDE=FQ","FILING_STATUS=MR","SCALING_FORMAT=MLN","Sort=A","Dates=H","DateFormat=P","Fill=—","Direction=H","UseDPDF=Y")</f>
        <v>2856</v>
      </c>
      <c r="Z12" s="13">
        <f>_xll.BDH("GILD US Equity","ARD_PREPAID_EXP_AND_OTHER","FQ3 2024","FQ3 2024","Currency=USD","Period=FQ","BEST_FPERIOD_OVERRIDE=FQ","FILING_STATUS=MR","SCALING_FORMAT=MLN","Sort=A","Dates=H","DateFormat=P","Fill=—","Direction=H","UseDPDF=Y")</f>
        <v>3286</v>
      </c>
      <c r="AA12" s="13">
        <f>_xll.BDH("GILD US Equity","ARD_PREPAID_EXP_AND_OTHER","FQ4 2024","FQ4 2024","Currency=USD","Period=FQ","BEST_FPERIOD_OVERRIDE=FQ","FILING_STATUS=MR","SCALING_FORMAT=MLN","Sort=A","Dates=H","DateFormat=P","Fill=—","Direction=H","UseDPDF=Y")</f>
        <v>3052</v>
      </c>
    </row>
    <row r="13" spans="1:27" x14ac:dyDescent="0.25">
      <c r="A13" s="10" t="s">
        <v>913</v>
      </c>
      <c r="B13" s="10" t="s">
        <v>914</v>
      </c>
      <c r="C13" s="13" t="str">
        <f>_xll.BDH("GILD US Equity","ARD_OTHER_CURRENT_ASSETS","FQ4 2018","FQ4 2018","Currency=USD","Period=FQ","BEST_FPERIOD_OVERRIDE=FQ","FILING_STATUS=MR","SCALING_FORMAT=MLN","Sort=A","Dates=H","DateFormat=P","Fill=—","Direction=H","UseDPDF=Y")</f>
        <v>—</v>
      </c>
      <c r="D13" s="13" t="str">
        <f>_xll.BDH("GILD US Equity","ARD_OTHER_CURRENT_ASSETS","FQ1 2019","FQ1 2019","Currency=USD","Period=FQ","BEST_FPERIOD_OVERRIDE=FQ","FILING_STATUS=MR","SCALING_FORMAT=MLN","Sort=A","Dates=H","DateFormat=P","Fill=—","Direction=H","UseDPDF=Y")</f>
        <v>—</v>
      </c>
      <c r="E13" s="13" t="str">
        <f>_xll.BDH("GILD US Equity","ARD_OTHER_CURRENT_ASSETS","FQ2 2019","FQ2 2019","Currency=USD","Period=FQ","BEST_FPERIOD_OVERRIDE=FQ","FILING_STATUS=MR","SCALING_FORMAT=MLN","Sort=A","Dates=H","DateFormat=P","Fill=—","Direction=H","UseDPDF=Y")</f>
        <v>—</v>
      </c>
      <c r="F13" s="13" t="str">
        <f>_xll.BDH("GILD US Equity","ARD_OTHER_CURRENT_ASSETS","FQ3 2019","FQ3 2019","Currency=USD","Period=FQ","BEST_FPERIOD_OVERRIDE=FQ","FILING_STATUS=MR","SCALING_FORMAT=MLN","Sort=A","Dates=H","DateFormat=P","Fill=—","Direction=H","UseDPDF=Y")</f>
        <v>—</v>
      </c>
      <c r="G13" s="13" t="str">
        <f>_xll.BDH("GILD US Equity","ARD_OTHER_CURRENT_ASSETS","FQ4 2019","FQ4 2019","Currency=USD","Period=FQ","BEST_FPERIOD_OVERRIDE=FQ","FILING_STATUS=MR","SCALING_FORMAT=MLN","Sort=A","Dates=H","DateFormat=P","Fill=—","Direction=H","UseDPDF=Y")</f>
        <v>—</v>
      </c>
      <c r="H13" s="13" t="str">
        <f>_xll.BDH("GILD US Equity","ARD_OTHER_CURRENT_ASSETS","FQ1 2020","FQ1 2020","Currency=USD","Period=FQ","BEST_FPERIOD_OVERRIDE=FQ","FILING_STATUS=MR","SCALING_FORMAT=MLN","Sort=A","Dates=H","DateFormat=P","Fill=—","Direction=H","UseDPDF=Y")</f>
        <v>—</v>
      </c>
      <c r="I13" s="13" t="str">
        <f>_xll.BDH("GILD US Equity","ARD_OTHER_CURRENT_ASSETS","FQ2 2020","FQ2 2020","Currency=USD","Period=FQ","BEST_FPERIOD_OVERRIDE=FQ","FILING_STATUS=MR","SCALING_FORMAT=MLN","Sort=A","Dates=H","DateFormat=P","Fill=—","Direction=H","UseDPDF=Y")</f>
        <v>—</v>
      </c>
      <c r="J13" s="13" t="str">
        <f>_xll.BDH("GILD US Equity","ARD_OTHER_CURRENT_ASSETS","FQ3 2020","FQ3 2020","Currency=USD","Period=FQ","BEST_FPERIOD_OVERRIDE=FQ","FILING_STATUS=MR","SCALING_FORMAT=MLN","Sort=A","Dates=H","DateFormat=P","Fill=—","Direction=H","UseDPDF=Y")</f>
        <v>—</v>
      </c>
      <c r="K13" s="13" t="str">
        <f>_xll.BDH("GILD US Equity","ARD_OTHER_CURRENT_ASSETS","FQ4 2020","FQ4 2020","Currency=USD","Period=FQ","BEST_FPERIOD_OVERRIDE=FQ","FILING_STATUS=MR","SCALING_FORMAT=MLN","Sort=A","Dates=H","DateFormat=P","Fill=—","Direction=H","UseDPDF=Y")</f>
        <v>—</v>
      </c>
      <c r="L13" s="13" t="str">
        <f>_xll.BDH("GILD US Equity","ARD_OTHER_CURRENT_ASSETS","FQ1 2021","FQ1 2021","Currency=USD","Period=FQ","BEST_FPERIOD_OVERRIDE=FQ","FILING_STATUS=MR","SCALING_FORMAT=MLN","Sort=A","Dates=H","DateFormat=P","Fill=—","Direction=H","UseDPDF=Y")</f>
        <v>—</v>
      </c>
      <c r="M13" s="13" t="str">
        <f>_xll.BDH("GILD US Equity","ARD_OTHER_CURRENT_ASSETS","FQ2 2021","FQ2 2021","Currency=USD","Period=FQ","BEST_FPERIOD_OVERRIDE=FQ","FILING_STATUS=MR","SCALING_FORMAT=MLN","Sort=A","Dates=H","DateFormat=P","Fill=—","Direction=H","UseDPDF=Y")</f>
        <v>—</v>
      </c>
      <c r="N13" s="13" t="str">
        <f>_xll.BDH("GILD US Equity","ARD_OTHER_CURRENT_ASSETS","FQ3 2021","FQ3 2021","Currency=USD","Period=FQ","BEST_FPERIOD_OVERRIDE=FQ","FILING_STATUS=MR","SCALING_FORMAT=MLN","Sort=A","Dates=H","DateFormat=P","Fill=—","Direction=H","UseDPDF=Y")</f>
        <v>—</v>
      </c>
      <c r="O13" s="13" t="str">
        <f>_xll.BDH("GILD US Equity","ARD_OTHER_CURRENT_ASSETS","FQ4 2021","FQ4 2021","Currency=USD","Period=FQ","BEST_FPERIOD_OVERRIDE=FQ","FILING_STATUS=MR","SCALING_FORMAT=MLN","Sort=A","Dates=H","DateFormat=P","Fill=—","Direction=H","UseDPDF=Y")</f>
        <v>—</v>
      </c>
      <c r="P13" s="13" t="str">
        <f>_xll.BDH("GILD US Equity","ARD_OTHER_CURRENT_ASSETS","FQ1 2022","FQ1 2022","Currency=USD","Period=FQ","BEST_FPERIOD_OVERRIDE=FQ","FILING_STATUS=MR","SCALING_FORMAT=MLN","Sort=A","Dates=H","DateFormat=P","Fill=—","Direction=H","UseDPDF=Y")</f>
        <v>—</v>
      </c>
      <c r="Q13" s="13">
        <f>_xll.BDH("GILD US Equity","ARD_OTHER_CURRENT_ASSETS","FQ2 2022","FQ2 2022","Currency=USD","Period=FQ","BEST_FPERIOD_OVERRIDE=FQ","FILING_STATUS=MR","SCALING_FORMAT=MLN","Sort=A","Dates=H","DateFormat=P","Fill=—","Direction=H","UseDPDF=Y")</f>
        <v>1</v>
      </c>
      <c r="R13" s="13" t="str">
        <f>_xll.BDH("GILD US Equity","ARD_OTHER_CURRENT_ASSETS","FQ3 2022","FQ3 2022","Currency=USD","Period=FQ","BEST_FPERIOD_OVERRIDE=FQ","FILING_STATUS=MR","SCALING_FORMAT=MLN","Sort=A","Dates=H","DateFormat=P","Fill=—","Direction=H","UseDPDF=Y")</f>
        <v>—</v>
      </c>
      <c r="S13" s="13" t="str">
        <f>_xll.BDH("GILD US Equity","ARD_OTHER_CURRENT_ASSETS","FQ4 2022","FQ4 2022","Currency=USD","Period=FQ","BEST_FPERIOD_OVERRIDE=FQ","FILING_STATUS=MR","SCALING_FORMAT=MLN","Sort=A","Dates=H","DateFormat=P","Fill=—","Direction=H","UseDPDF=Y")</f>
        <v>—</v>
      </c>
      <c r="T13" s="13" t="str">
        <f>_xll.BDH("GILD US Equity","ARD_OTHER_CURRENT_ASSETS","FQ1 2023","FQ1 2023","Currency=USD","Period=FQ","BEST_FPERIOD_OVERRIDE=FQ","FILING_STATUS=MR","SCALING_FORMAT=MLN","Sort=A","Dates=H","DateFormat=P","Fill=—","Direction=H","UseDPDF=Y")</f>
        <v>—</v>
      </c>
      <c r="U13" s="13">
        <f>_xll.BDH("GILD US Equity","ARD_OTHER_CURRENT_ASSETS","FQ2 2023","FQ2 2023","Currency=USD","Period=FQ","BEST_FPERIOD_OVERRIDE=FQ","FILING_STATUS=MR","SCALING_FORMAT=MLN","Sort=A","Dates=H","DateFormat=P","Fill=—","Direction=H","UseDPDF=Y")</f>
        <v>1</v>
      </c>
      <c r="V13" s="13" t="str">
        <f>_xll.BDH("GILD US Equity","ARD_OTHER_CURRENT_ASSETS","FQ3 2023","FQ3 2023","Currency=USD","Period=FQ","BEST_FPERIOD_OVERRIDE=FQ","FILING_STATUS=MR","SCALING_FORMAT=MLN","Sort=A","Dates=H","DateFormat=P","Fill=—","Direction=H","UseDPDF=Y")</f>
        <v>—</v>
      </c>
      <c r="W13" s="13" t="str">
        <f>_xll.BDH("GILD US Equity","ARD_OTHER_CURRENT_ASSETS","FQ4 2023","FQ4 2023","Currency=USD","Period=FQ","BEST_FPERIOD_OVERRIDE=FQ","FILING_STATUS=MR","SCALING_FORMAT=MLN","Sort=A","Dates=H","DateFormat=P","Fill=—","Direction=H","UseDPDF=Y")</f>
        <v>—</v>
      </c>
      <c r="X13" s="13">
        <f>_xll.BDH("GILD US Equity","ARD_OTHER_CURRENT_ASSETS","FQ1 2024","FQ1 2024","Currency=USD","Period=FQ","BEST_FPERIOD_OVERRIDE=FQ","FILING_STATUS=MR","SCALING_FORMAT=MLN","Sort=A","Dates=H","DateFormat=P","Fill=—","Direction=H","UseDPDF=Y")</f>
        <v>1</v>
      </c>
      <c r="Y13" s="13" t="str">
        <f>_xll.BDH("GILD US Equity","ARD_OTHER_CURRENT_ASSETS","FQ2 2024","FQ2 2024","Currency=USD","Period=FQ","BEST_FPERIOD_OVERRIDE=FQ","FILING_STATUS=MR","SCALING_FORMAT=MLN","Sort=A","Dates=H","DateFormat=P","Fill=—","Direction=H","UseDPDF=Y")</f>
        <v>—</v>
      </c>
      <c r="Z13" s="13" t="str">
        <f>_xll.BDH("GILD US Equity","ARD_OTHER_CURRENT_ASSETS","FQ3 2024","FQ3 2024","Currency=USD","Period=FQ","BEST_FPERIOD_OVERRIDE=FQ","FILING_STATUS=MR","SCALING_FORMAT=MLN","Sort=A","Dates=H","DateFormat=P","Fill=—","Direction=H","UseDPDF=Y")</f>
        <v>—</v>
      </c>
      <c r="AA13" s="13" t="str">
        <f>_xll.BDH("GILD US Equity","ARD_OTHER_CURRENT_ASSETS","FQ4 2024","FQ4 2024","Currency=USD","Period=FQ","BEST_FPERIOD_OVERRIDE=FQ","FILING_STATUS=MR","SCALING_FORMAT=MLN","Sort=A","Dates=H","DateFormat=P","Fill=—","Direction=H","UseDPDF=Y")</f>
        <v>—</v>
      </c>
    </row>
    <row r="14" spans="1:27" x14ac:dyDescent="0.25">
      <c r="A14" s="10" t="s">
        <v>915</v>
      </c>
      <c r="B14" s="10" t="s">
        <v>916</v>
      </c>
      <c r="C14" s="13">
        <f>_xll.BDH("GILD US Equity","ARD_ALLOW_FOR_DOUBTFUL_ACCTS","FQ4 2018","FQ4 2018","Currency=USD","Period=FQ","BEST_FPERIOD_OVERRIDE=FQ","FILING_STATUS=MR","SCALING_FORMAT=MLN","Sort=A","Dates=H","DateFormat=P","Fill=—","Direction=H","UseDPDF=Y")</f>
        <v>583</v>
      </c>
      <c r="D14" s="13">
        <f>_xll.BDH("GILD US Equity","ARD_ALLOW_FOR_DOUBTFUL_ACCTS","FQ1 2019","FQ1 2019","Currency=USD","Period=FQ","BEST_FPERIOD_OVERRIDE=FQ","FILING_STATUS=MR","SCALING_FORMAT=MLN","Sort=A","Dates=H","DateFormat=P","Fill=—","Direction=H","UseDPDF=Y")</f>
        <v>669</v>
      </c>
      <c r="E14" s="13">
        <f>_xll.BDH("GILD US Equity","ARD_ALLOW_FOR_DOUBTFUL_ACCTS","FQ2 2019","FQ2 2019","Currency=USD","Period=FQ","BEST_FPERIOD_OVERRIDE=FQ","FILING_STATUS=MR","SCALING_FORMAT=MLN","Sort=A","Dates=H","DateFormat=P","Fill=—","Direction=H","UseDPDF=Y")</f>
        <v>610</v>
      </c>
      <c r="F14" s="13">
        <f>_xll.BDH("GILD US Equity","ARD_ALLOW_FOR_DOUBTFUL_ACCTS","FQ3 2019","FQ3 2019","Currency=USD","Period=FQ","BEST_FPERIOD_OVERRIDE=FQ","FILING_STATUS=MR","SCALING_FORMAT=MLN","Sort=A","Dates=H","DateFormat=P","Fill=—","Direction=H","UseDPDF=Y")</f>
        <v>613</v>
      </c>
      <c r="G14" s="13">
        <f>_xll.BDH("GILD US Equity","ARD_ALLOW_FOR_DOUBTFUL_ACCTS","FQ4 2019","FQ4 2019","Currency=USD","Period=FQ","BEST_FPERIOD_OVERRIDE=FQ","FILING_STATUS=MR","SCALING_FORMAT=MLN","Sort=A","Dates=H","DateFormat=P","Fill=—","Direction=H","UseDPDF=Y")</f>
        <v>758</v>
      </c>
      <c r="H14" s="13">
        <f>_xll.BDH("GILD US Equity","ARD_ALLOW_FOR_DOUBTFUL_ACCTS","FQ1 2020","FQ1 2020","Currency=USD","Period=FQ","BEST_FPERIOD_OVERRIDE=FQ","FILING_STATUS=MR","SCALING_FORMAT=MLN","Sort=A","Dates=H","DateFormat=P","Fill=—","Direction=H","UseDPDF=Y")</f>
        <v>793</v>
      </c>
      <c r="I14" s="13">
        <f>_xll.BDH("GILD US Equity","ARD_ALLOW_FOR_DOUBTFUL_ACCTS","FQ2 2020","FQ2 2020","Currency=USD","Period=FQ","BEST_FPERIOD_OVERRIDE=FQ","FILING_STATUS=MR","SCALING_FORMAT=MLN","Sort=A","Dates=H","DateFormat=P","Fill=—","Direction=H","UseDPDF=Y")</f>
        <v>698</v>
      </c>
      <c r="J14" s="13">
        <f>_xll.BDH("GILD US Equity","ARD_ALLOW_FOR_DOUBTFUL_ACCTS","FQ3 2020","FQ3 2020","Currency=USD","Period=FQ","BEST_FPERIOD_OVERRIDE=FQ","FILING_STATUS=MR","SCALING_FORMAT=MLN","Sort=A","Dates=H","DateFormat=P","Fill=—","Direction=H","UseDPDF=Y")</f>
        <v>714</v>
      </c>
      <c r="K14" s="13" t="str">
        <f>_xll.BDH("GILD US Equity","ARD_ALLOW_FOR_DOUBTFUL_ACCTS","FQ4 2020","FQ4 2020","Currency=USD","Period=FQ","BEST_FPERIOD_OVERRIDE=FQ","FILING_STATUS=MR","SCALING_FORMAT=MLN","Sort=A","Dates=H","DateFormat=P","Fill=—","Direction=H","UseDPDF=Y")</f>
        <v>—</v>
      </c>
      <c r="L14" s="13" t="str">
        <f>_xll.BDH("GILD US Equity","ARD_ALLOW_FOR_DOUBTFUL_ACCTS","FQ1 2021","FQ1 2021","Currency=USD","Period=FQ","BEST_FPERIOD_OVERRIDE=FQ","FILING_STATUS=MR","SCALING_FORMAT=MLN","Sort=A","Dates=H","DateFormat=P","Fill=—","Direction=H","UseDPDF=Y")</f>
        <v>—</v>
      </c>
      <c r="M14" s="13" t="str">
        <f>_xll.BDH("GILD US Equity","ARD_ALLOW_FOR_DOUBTFUL_ACCTS","FQ2 2021","FQ2 2021","Currency=USD","Period=FQ","BEST_FPERIOD_OVERRIDE=FQ","FILING_STATUS=MR","SCALING_FORMAT=MLN","Sort=A","Dates=H","DateFormat=P","Fill=—","Direction=H","UseDPDF=Y")</f>
        <v>—</v>
      </c>
      <c r="N14" s="13" t="str">
        <f>_xll.BDH("GILD US Equity","ARD_ALLOW_FOR_DOUBTFUL_ACCTS","FQ3 2021","FQ3 2021","Currency=USD","Period=FQ","BEST_FPERIOD_OVERRIDE=FQ","FILING_STATUS=MR","SCALING_FORMAT=MLN","Sort=A","Dates=H","DateFormat=P","Fill=—","Direction=H","UseDPDF=Y")</f>
        <v>—</v>
      </c>
      <c r="O14" s="13" t="str">
        <f>_xll.BDH("GILD US Equity","ARD_ALLOW_FOR_DOUBTFUL_ACCTS","FQ4 2021","FQ4 2021","Currency=USD","Period=FQ","BEST_FPERIOD_OVERRIDE=FQ","FILING_STATUS=MR","SCALING_FORMAT=MLN","Sort=A","Dates=H","DateFormat=P","Fill=—","Direction=H","UseDPDF=Y")</f>
        <v>—</v>
      </c>
      <c r="P14" s="13" t="str">
        <f>_xll.BDH("GILD US Equity","ARD_ALLOW_FOR_DOUBTFUL_ACCTS","FQ1 2022","FQ1 2022","Currency=USD","Period=FQ","BEST_FPERIOD_OVERRIDE=FQ","FILING_STATUS=MR","SCALING_FORMAT=MLN","Sort=A","Dates=H","DateFormat=P","Fill=—","Direction=H","UseDPDF=Y")</f>
        <v>—</v>
      </c>
      <c r="Q14" s="13" t="str">
        <f>_xll.BDH("GILD US Equity","ARD_ALLOW_FOR_DOUBTFUL_ACCTS","FQ2 2022","FQ2 2022","Currency=USD","Period=FQ","BEST_FPERIOD_OVERRIDE=FQ","FILING_STATUS=MR","SCALING_FORMAT=MLN","Sort=A","Dates=H","DateFormat=P","Fill=—","Direction=H","UseDPDF=Y")</f>
        <v>—</v>
      </c>
      <c r="R14" s="13" t="str">
        <f>_xll.BDH("GILD US Equity","ARD_ALLOW_FOR_DOUBTFUL_ACCTS","FQ3 2022","FQ3 2022","Currency=USD","Period=FQ","BEST_FPERIOD_OVERRIDE=FQ","FILING_STATUS=MR","SCALING_FORMAT=MLN","Sort=A","Dates=H","DateFormat=P","Fill=—","Direction=H","UseDPDF=Y")</f>
        <v>—</v>
      </c>
      <c r="S14" s="13" t="str">
        <f>_xll.BDH("GILD US Equity","ARD_ALLOW_FOR_DOUBTFUL_ACCTS","FQ4 2022","FQ4 2022","Currency=USD","Period=FQ","BEST_FPERIOD_OVERRIDE=FQ","FILING_STATUS=MR","SCALING_FORMAT=MLN","Sort=A","Dates=H","DateFormat=P","Fill=—","Direction=H","UseDPDF=Y")</f>
        <v>—</v>
      </c>
      <c r="T14" s="13" t="str">
        <f>_xll.BDH("GILD US Equity","ARD_ALLOW_FOR_DOUBTFUL_ACCTS","FQ1 2023","FQ1 2023","Currency=USD","Period=FQ","BEST_FPERIOD_OVERRIDE=FQ","FILING_STATUS=MR","SCALING_FORMAT=MLN","Sort=A","Dates=H","DateFormat=P","Fill=—","Direction=H","UseDPDF=Y")</f>
        <v>—</v>
      </c>
      <c r="U14" s="13" t="str">
        <f>_xll.BDH("GILD US Equity","ARD_ALLOW_FOR_DOUBTFUL_ACCTS","FQ2 2023","FQ2 2023","Currency=USD","Period=FQ","BEST_FPERIOD_OVERRIDE=FQ","FILING_STATUS=MR","SCALING_FORMAT=MLN","Sort=A","Dates=H","DateFormat=P","Fill=—","Direction=H","UseDPDF=Y")</f>
        <v>—</v>
      </c>
      <c r="V14" s="13" t="str">
        <f>_xll.BDH("GILD US Equity","ARD_ALLOW_FOR_DOUBTFUL_ACCTS","FQ3 2023","FQ3 2023","Currency=USD","Period=FQ","BEST_FPERIOD_OVERRIDE=FQ","FILING_STATUS=MR","SCALING_FORMAT=MLN","Sort=A","Dates=H","DateFormat=P","Fill=—","Direction=H","UseDPDF=Y")</f>
        <v>—</v>
      </c>
      <c r="W14" s="13" t="str">
        <f>_xll.BDH("GILD US Equity","ARD_ALLOW_FOR_DOUBTFUL_ACCTS","FQ4 2023","FQ4 2023","Currency=USD","Period=FQ","BEST_FPERIOD_OVERRIDE=FQ","FILING_STATUS=MR","SCALING_FORMAT=MLN","Sort=A","Dates=H","DateFormat=P","Fill=—","Direction=H","UseDPDF=Y")</f>
        <v>—</v>
      </c>
      <c r="X14" s="13" t="str">
        <f>_xll.BDH("GILD US Equity","ARD_ALLOW_FOR_DOUBTFUL_ACCTS","FQ1 2024","FQ1 2024","Currency=USD","Period=FQ","BEST_FPERIOD_OVERRIDE=FQ","FILING_STATUS=MR","SCALING_FORMAT=MLN","Sort=A","Dates=H","DateFormat=P","Fill=—","Direction=H","UseDPDF=Y")</f>
        <v>—</v>
      </c>
      <c r="Y14" s="13" t="str">
        <f>_xll.BDH("GILD US Equity","ARD_ALLOW_FOR_DOUBTFUL_ACCTS","FQ2 2024","FQ2 2024","Currency=USD","Period=FQ","BEST_FPERIOD_OVERRIDE=FQ","FILING_STATUS=MR","SCALING_FORMAT=MLN","Sort=A","Dates=H","DateFormat=P","Fill=—","Direction=H","UseDPDF=Y")</f>
        <v>—</v>
      </c>
      <c r="Z14" s="13" t="str">
        <f>_xll.BDH("GILD US Equity","ARD_ALLOW_FOR_DOUBTFUL_ACCTS","FQ3 2024","FQ3 2024","Currency=USD","Period=FQ","BEST_FPERIOD_OVERRIDE=FQ","FILING_STATUS=MR","SCALING_FORMAT=MLN","Sort=A","Dates=H","DateFormat=P","Fill=—","Direction=H","UseDPDF=Y")</f>
        <v>—</v>
      </c>
      <c r="AA14" s="13" t="str">
        <f>_xll.BDH("GILD US Equity","ARD_ALLOW_FOR_DOUBTFUL_ACCTS","FQ4 2024","FQ4 2024","Currency=USD","Period=FQ","BEST_FPERIOD_OVERRIDE=FQ","FILING_STATUS=MR","SCALING_FORMAT=MLN","Sort=A","Dates=H","DateFormat=P","Fill=—","Direction=H","UseDPDF=Y")</f>
        <v>—</v>
      </c>
    </row>
    <row r="15" spans="1:27" x14ac:dyDescent="0.25">
      <c r="A15" s="6" t="s">
        <v>110</v>
      </c>
      <c r="B15" s="6" t="s">
        <v>917</v>
      </c>
      <c r="C15" s="19">
        <f>_xll.BDH("GILD US Equity","ARD_TOTAL_CUR_ASSETS","FQ4 2018","FQ4 2018","Currency=USD","Period=FQ","BEST_FPERIOD_OVERRIDE=FQ","FILING_STATUS=MR","SCALING_FORMAT=MLN","Sort=A","Dates=H","DateFormat=P","Fill=—","Direction=H","UseDPDF=Y")</f>
        <v>35836</v>
      </c>
      <c r="D15" s="19">
        <f>_xll.BDH("GILD US Equity","ARD_TOTAL_CUR_ASSETS","FQ1 2019","FQ1 2019","Currency=USD","Period=FQ","BEST_FPERIOD_OVERRIDE=FQ","FILING_STATUS=MR","SCALING_FORMAT=MLN","Sort=A","Dates=H","DateFormat=P","Fill=—","Direction=H","UseDPDF=Y")</f>
        <v>34024</v>
      </c>
      <c r="E15" s="19">
        <f>_xll.BDH("GILD US Equity","ARD_TOTAL_CUR_ASSETS","FQ2 2019","FQ2 2019","Currency=USD","Period=FQ","BEST_FPERIOD_OVERRIDE=FQ","FILING_STATUS=MR","SCALING_FORMAT=MLN","Sort=A","Dates=H","DateFormat=P","Fill=—","Direction=H","UseDPDF=Y")</f>
        <v>33727</v>
      </c>
      <c r="F15" s="19">
        <f>_xll.BDH("GILD US Equity","ARD_TOTAL_CUR_ASSETS","FQ3 2019","FQ3 2019","Currency=USD","Period=FQ","BEST_FPERIOD_OVERRIDE=FQ","FILING_STATUS=MR","SCALING_FORMAT=MLN","Sort=A","Dates=H","DateFormat=P","Fill=—","Direction=H","UseDPDF=Y")</f>
        <v>28361</v>
      </c>
      <c r="G15" s="19">
        <f>_xll.BDH("GILD US Equity","ARD_TOTAL_CUR_ASSETS","FQ4 2019","FQ4 2019","Currency=USD","Period=FQ","BEST_FPERIOD_OVERRIDE=FQ","FILING_STATUS=MR","SCALING_FORMAT=MLN","Sort=A","Dates=H","DateFormat=P","Fill=—","Direction=H","UseDPDF=Y")</f>
        <v>30296</v>
      </c>
      <c r="H15" s="19">
        <f>_xll.BDH("GILD US Equity","ARD_TOTAL_CUR_ASSETS","FQ1 2020","FQ1 2020","Currency=USD","Period=FQ","BEST_FPERIOD_OVERRIDE=FQ","FILING_STATUS=MR","SCALING_FORMAT=MLN","Sort=A","Dates=H","DateFormat=P","Fill=—","Direction=H","UseDPDF=Y")</f>
        <v>26950</v>
      </c>
      <c r="I15" s="19">
        <f>_xll.BDH("GILD US Equity","ARD_TOTAL_CUR_ASSETS","FQ2 2020","FQ2 2020","Currency=USD","Period=FQ","BEST_FPERIOD_OVERRIDE=FQ","FILING_STATUS=MR","SCALING_FORMAT=MLN","Sort=A","Dates=H","DateFormat=P","Fill=—","Direction=H","UseDPDF=Y")</f>
        <v>24643</v>
      </c>
      <c r="J15" s="19">
        <f>_xll.BDH("GILD US Equity","ARD_TOTAL_CUR_ASSETS","FQ3 2020","FQ3 2020","Currency=USD","Period=FQ","BEST_FPERIOD_OVERRIDE=FQ","FILING_STATUS=MR","SCALING_FORMAT=MLN","Sort=A","Dates=H","DateFormat=P","Fill=—","Direction=H","UseDPDF=Y")</f>
        <v>30926</v>
      </c>
      <c r="K15" s="19">
        <f>_xll.BDH("GILD US Equity","ARD_TOTAL_CUR_ASSETS","FQ4 2020","FQ4 2020","Currency=USD","Period=FQ","BEST_FPERIOD_OVERRIDE=FQ","FILING_STATUS=MR","SCALING_FORMAT=MLN","Sort=A","Dates=H","DateFormat=P","Fill=—","Direction=H","UseDPDF=Y")</f>
        <v>15996</v>
      </c>
      <c r="L15" s="19">
        <f>_xll.BDH("GILD US Equity","ARD_TOTAL_CUR_ASSETS","FQ1 2021","FQ1 2021","Currency=USD","Period=FQ","BEST_FPERIOD_OVERRIDE=FQ","FILING_STATUS=MR","SCALING_FORMAT=MLN","Sort=A","Dates=H","DateFormat=P","Fill=—","Direction=H","UseDPDF=Y")</f>
        <v>13278</v>
      </c>
      <c r="M15" s="19">
        <f>_xll.BDH("GILD US Equity","ARD_TOTAL_CUR_ASSETS","FQ2 2021","FQ2 2021","Currency=USD","Period=FQ","BEST_FPERIOD_OVERRIDE=FQ","FILING_STATUS=MR","SCALING_FORMAT=MLN","Sort=A","Dates=H","DateFormat=P","Fill=—","Direction=H","UseDPDF=Y")</f>
        <v>13925</v>
      </c>
      <c r="N15" s="19">
        <f>_xll.BDH("GILD US Equity","ARD_TOTAL_CUR_ASSETS","FQ3 2021","FQ3 2021","Currency=USD","Period=FQ","BEST_FPERIOD_OVERRIDE=FQ","FILING_STATUS=MR","SCALING_FORMAT=MLN","Sort=A","Dates=H","DateFormat=P","Fill=—","Direction=H","UseDPDF=Y")</f>
        <v>13991</v>
      </c>
      <c r="O15" s="19">
        <f>_xll.BDH("GILD US Equity","ARD_TOTAL_CUR_ASSETS","FQ4 2021","FQ4 2021","Currency=USD","Period=FQ","BEST_FPERIOD_OVERRIDE=FQ","FILING_STATUS=MR","SCALING_FORMAT=MLN","Sort=A","Dates=H","DateFormat=P","Fill=—","Direction=H","UseDPDF=Y")</f>
        <v>14772</v>
      </c>
      <c r="P15" s="19">
        <f>_xll.BDH("GILD US Equity","ARD_TOTAL_CUR_ASSETS","FQ1 2022","FQ1 2022","Currency=USD","Period=FQ","BEST_FPERIOD_OVERRIDE=FQ","FILING_STATUS=MR","SCALING_FORMAT=MLN","Sort=A","Dates=H","DateFormat=P","Fill=—","Direction=H","UseDPDF=Y")</f>
        <v>12629</v>
      </c>
      <c r="Q15" s="19">
        <f>_xll.BDH("GILD US Equity","ARD_TOTAL_CUR_ASSETS","FQ2 2022","FQ2 2022","Currency=USD","Period=FQ","BEST_FPERIOD_OVERRIDE=FQ","FILING_STATUS=MR","SCALING_FORMAT=MLN","Sort=A","Dates=H","DateFormat=P","Fill=—","Direction=H","UseDPDF=Y")</f>
        <v>13175</v>
      </c>
      <c r="R15" s="19">
        <f>_xll.BDH("GILD US Equity","ARD_TOTAL_CUR_ASSETS","FQ3 2022","FQ3 2022","Currency=USD","Period=FQ","BEST_FPERIOD_OVERRIDE=FQ","FILING_STATUS=MR","SCALING_FORMAT=MLN","Sort=A","Dates=H","DateFormat=P","Fill=—","Direction=H","UseDPDF=Y")</f>
        <v>13554</v>
      </c>
      <c r="S15" s="19">
        <f>_xll.BDH("GILD US Equity","ARD_TOTAL_CUR_ASSETS","FQ4 2022","FQ4 2022","Currency=USD","Period=FQ","BEST_FPERIOD_OVERRIDE=FQ","FILING_STATUS=MR","SCALING_FORMAT=MLN","Sort=A","Dates=H","DateFormat=P","Fill=—","Direction=H","UseDPDF=Y")</f>
        <v>14443</v>
      </c>
      <c r="T15" s="19">
        <f>_xll.BDH("GILD US Equity","ARD_TOTAL_CUR_ASSETS","FQ1 2023","FQ1 2023","Currency=USD","Period=FQ","BEST_FPERIOD_OVERRIDE=FQ","FILING_STATUS=MR","SCALING_FORMAT=MLN","Sort=A","Dates=H","DateFormat=P","Fill=—","Direction=H","UseDPDF=Y")</f>
        <v>13456</v>
      </c>
      <c r="U15" s="19">
        <f>_xll.BDH("GILD US Equity","ARD_TOTAL_CUR_ASSETS","FQ2 2023","FQ2 2023","Currency=USD","Period=FQ","BEST_FPERIOD_OVERRIDE=FQ","FILING_STATUS=MR","SCALING_FORMAT=MLN","Sort=A","Dates=H","DateFormat=P","Fill=—","Direction=H","UseDPDF=Y")</f>
        <v>14287</v>
      </c>
      <c r="V15" s="19">
        <f>_xll.BDH("GILD US Equity","ARD_TOTAL_CUR_ASSETS","FQ3 2023","FQ3 2023","Currency=USD","Period=FQ","BEST_FPERIOD_OVERRIDE=FQ","FILING_STATUS=MR","SCALING_FORMAT=MLN","Sort=A","Dates=H","DateFormat=P","Fill=—","Direction=H","UseDPDF=Y")</f>
        <v>15980</v>
      </c>
      <c r="W15" s="19">
        <f>_xll.BDH("GILD US Equity","ARD_TOTAL_CUR_ASSETS","FQ4 2023","FQ4 2023","Currency=USD","Period=FQ","BEST_FPERIOD_OVERRIDE=FQ","FILING_STATUS=MR","SCALING_FORMAT=MLN","Sort=A","Dates=H","DateFormat=P","Fill=—","Direction=H","UseDPDF=Y")</f>
        <v>16085</v>
      </c>
      <c r="X15" s="19">
        <f>_xll.BDH("GILD US Equity","ARD_TOTAL_CUR_ASSETS","FQ1 2024","FQ1 2024","Currency=USD","Period=FQ","BEST_FPERIOD_OVERRIDE=FQ","FILING_STATUS=MR","SCALING_FORMAT=MLN","Sort=A","Dates=H","DateFormat=P","Fill=—","Direction=H","UseDPDF=Y")</f>
        <v>14041</v>
      </c>
      <c r="Y15" s="19">
        <f>_xll.BDH("GILD US Equity","ARD_TOTAL_CUR_ASSETS","FQ2 2024","FQ2 2024","Currency=USD","Period=FQ","BEST_FPERIOD_OVERRIDE=FQ","FILING_STATUS=MR","SCALING_FORMAT=MLN","Sort=A","Dates=H","DateFormat=P","Fill=—","Direction=H","UseDPDF=Y")</f>
        <v>12317</v>
      </c>
      <c r="Z15" s="19">
        <f>_xll.BDH("GILD US Equity","ARD_TOTAL_CUR_ASSETS","FQ3 2024","FQ3 2024","Currency=USD","Period=FQ","BEST_FPERIOD_OVERRIDE=FQ","FILING_STATUS=MR","SCALING_FORMAT=MLN","Sort=A","Dates=H","DateFormat=P","Fill=—","Direction=H","UseDPDF=Y")</f>
        <v>14779</v>
      </c>
      <c r="AA15" s="19">
        <f>_xll.BDH("GILD US Equity","ARD_TOTAL_CUR_ASSETS","FQ4 2024","FQ4 2024","Currency=USD","Period=FQ","BEST_FPERIOD_OVERRIDE=FQ","FILING_STATUS=MR","SCALING_FORMAT=MLN","Sort=A","Dates=H","DateFormat=P","Fill=—","Direction=H","UseDPDF=Y")</f>
        <v>19173</v>
      </c>
    </row>
    <row r="16" spans="1:27" x14ac:dyDescent="0.25">
      <c r="A16" s="10" t="s">
        <v>918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x14ac:dyDescent="0.25">
      <c r="A17" s="10" t="s">
        <v>919</v>
      </c>
      <c r="B17" s="10" t="s">
        <v>920</v>
      </c>
      <c r="C17" s="13">
        <f>_xll.BDH("GILD US Equity","ARD_NON_CUR_MKT_SEC","FQ4 2018","FQ4 2018","Currency=USD","Period=FQ","BEST_FPERIOD_OVERRIDE=FQ","FILING_STATUS=MR","SCALING_FORMAT=MLN","Sort=A","Dates=H","DateFormat=P","Fill=—","Direction=H","UseDPDF=Y")</f>
        <v>1423</v>
      </c>
      <c r="D17" s="13">
        <f>_xll.BDH("GILD US Equity","ARD_NON_CUR_MKT_SEC","FQ1 2019","FQ1 2019","Currency=USD","Period=FQ","BEST_FPERIOD_OVERRIDE=FQ","FILING_STATUS=MR","SCALING_FORMAT=MLN","Sort=A","Dates=H","DateFormat=P","Fill=—","Direction=H","UseDPDF=Y")</f>
        <v>2221</v>
      </c>
      <c r="E17" s="13">
        <f>_xll.BDH("GILD US Equity","ARD_NON_CUR_MKT_SEC","FQ2 2019","FQ2 2019","Currency=USD","Period=FQ","BEST_FPERIOD_OVERRIDE=FQ","FILING_STATUS=MR","SCALING_FORMAT=MLN","Sort=A","Dates=H","DateFormat=P","Fill=—","Direction=H","UseDPDF=Y")</f>
        <v>3051</v>
      </c>
      <c r="F17" s="13">
        <f>_xll.BDH("GILD US Equity","ARD_NON_CUR_MKT_SEC","FQ3 2019","FQ3 2019","Currency=USD","Period=FQ","BEST_FPERIOD_OVERRIDE=FQ","FILING_STATUS=MR","SCALING_FORMAT=MLN","Sort=A","Dates=H","DateFormat=P","Fill=—","Direction=H","UseDPDF=Y")</f>
        <v>2195</v>
      </c>
      <c r="G17" s="13">
        <f>_xll.BDH("GILD US Equity","ARD_NON_CUR_MKT_SEC","FQ4 2019","FQ4 2019","Currency=USD","Period=FQ","BEST_FPERIOD_OVERRIDE=FQ","FILING_STATUS=MR","SCALING_FORMAT=MLN","Sort=A","Dates=H","DateFormat=P","Fill=—","Direction=H","UseDPDF=Y")</f>
        <v>1488</v>
      </c>
      <c r="H17" s="13">
        <f>_xll.BDH("GILD US Equity","ARD_NON_CUR_MKT_SEC","FQ1 2020","FQ1 2020","Currency=USD","Period=FQ","BEST_FPERIOD_OVERRIDE=FQ","FILING_STATUS=MR","SCALING_FORMAT=MLN","Sort=A","Dates=H","DateFormat=P","Fill=—","Direction=H","UseDPDF=Y")</f>
        <v>3529</v>
      </c>
      <c r="I17" s="13">
        <f>_xll.BDH("GILD US Equity","ARD_NON_CUR_MKT_SEC","FQ2 2020","FQ2 2020","Currency=USD","Period=FQ","BEST_FPERIOD_OVERRIDE=FQ","FILING_STATUS=MR","SCALING_FORMAT=MLN","Sort=A","Dates=H","DateFormat=P","Fill=—","Direction=H","UseDPDF=Y")</f>
        <v>2276</v>
      </c>
      <c r="J17" s="13">
        <f>_xll.BDH("GILD US Equity","ARD_NON_CUR_MKT_SEC","FQ3 2020","FQ3 2020","Currency=USD","Period=FQ","BEST_FPERIOD_OVERRIDE=FQ","FILING_STATUS=MR","SCALING_FORMAT=MLN","Sort=A","Dates=H","DateFormat=P","Fill=—","Direction=H","UseDPDF=Y")</f>
        <v>2074</v>
      </c>
      <c r="K17" s="13">
        <f>_xll.BDH("GILD US Equity","ARD_NON_CUR_MKT_SEC","FQ4 2020","FQ4 2020","Currency=USD","Period=FQ","BEST_FPERIOD_OVERRIDE=FQ","FILING_STATUS=MR","SCALING_FORMAT=MLN","Sort=A","Dates=H","DateFormat=P","Fill=—","Direction=H","UseDPDF=Y")</f>
        <v>502</v>
      </c>
      <c r="L17" s="13">
        <f>_xll.BDH("GILD US Equity","ARD_NON_CUR_MKT_SEC","FQ1 2021","FQ1 2021","Currency=USD","Period=FQ","BEST_FPERIOD_OVERRIDE=FQ","FILING_STATUS=MR","SCALING_FORMAT=MLN","Sort=A","Dates=H","DateFormat=P","Fill=—","Direction=H","UseDPDF=Y")</f>
        <v>579</v>
      </c>
      <c r="M17" s="13">
        <f>_xll.BDH("GILD US Equity","ARD_NON_CUR_MKT_SEC","FQ2 2021","FQ2 2021","Currency=USD","Period=FQ","BEST_FPERIOD_OVERRIDE=FQ","FILING_STATUS=MR","SCALING_FORMAT=MLN","Sort=A","Dates=H","DateFormat=P","Fill=—","Direction=H","UseDPDF=Y")</f>
        <v>836</v>
      </c>
      <c r="N17" s="13">
        <f>_xll.BDH("GILD US Equity","ARD_NON_CUR_MKT_SEC","FQ3 2021","FQ3 2021","Currency=USD","Period=FQ","BEST_FPERIOD_OVERRIDE=FQ","FILING_STATUS=MR","SCALING_FORMAT=MLN","Sort=A","Dates=H","DateFormat=P","Fill=—","Direction=H","UseDPDF=Y")</f>
        <v>1099</v>
      </c>
      <c r="O17" s="13">
        <f>_xll.BDH("GILD US Equity","ARD_NON_CUR_MKT_SEC","FQ4 2021","FQ4 2021","Currency=USD","Period=FQ","BEST_FPERIOD_OVERRIDE=FQ","FILING_STATUS=MR","SCALING_FORMAT=MLN","Sort=A","Dates=H","DateFormat=P","Fill=—","Direction=H","UseDPDF=Y")</f>
        <v>1309</v>
      </c>
      <c r="P17" s="13">
        <f>_xll.BDH("GILD US Equity","ARD_NON_CUR_MKT_SEC","FQ1 2022","FQ1 2022","Currency=USD","Period=FQ","BEST_FPERIOD_OVERRIDE=FQ","FILING_STATUS=MR","SCALING_FORMAT=MLN","Sort=A","Dates=H","DateFormat=P","Fill=—","Direction=H","UseDPDF=Y")</f>
        <v>1427</v>
      </c>
      <c r="Q17" s="13">
        <f>_xll.BDH("GILD US Equity","ARD_NON_CUR_MKT_SEC","FQ2 2022","FQ2 2022","Currency=USD","Period=FQ","BEST_FPERIOD_OVERRIDE=FQ","FILING_STATUS=MR","SCALING_FORMAT=MLN","Sort=A","Dates=H","DateFormat=P","Fill=—","Direction=H","UseDPDF=Y")</f>
        <v>1337</v>
      </c>
      <c r="R17" s="13">
        <f>_xll.BDH("GILD US Equity","ARD_NON_CUR_MKT_SEC","FQ3 2022","FQ3 2022","Currency=USD","Period=FQ","BEST_FPERIOD_OVERRIDE=FQ","FILING_STATUS=MR","SCALING_FORMAT=MLN","Sort=A","Dates=H","DateFormat=P","Fill=—","Direction=H","UseDPDF=Y")</f>
        <v>1282</v>
      </c>
      <c r="S17" s="13">
        <f>_xll.BDH("GILD US Equity","ARD_NON_CUR_MKT_SEC","FQ4 2022","FQ4 2022","Currency=USD","Period=FQ","BEST_FPERIOD_OVERRIDE=FQ","FILING_STATUS=MR","SCALING_FORMAT=MLN","Sort=A","Dates=H","DateFormat=P","Fill=—","Direction=H","UseDPDF=Y")</f>
        <v>1245</v>
      </c>
      <c r="T17" s="13">
        <f>_xll.BDH("GILD US Equity","ARD_NON_CUR_MKT_SEC","FQ1 2023","FQ1 2023","Currency=USD","Period=FQ","BEST_FPERIOD_OVERRIDE=FQ","FILING_STATUS=MR","SCALING_FORMAT=MLN","Sort=A","Dates=H","DateFormat=P","Fill=—","Direction=H","UseDPDF=Y")</f>
        <v>1327</v>
      </c>
      <c r="U17" s="13">
        <f>_xll.BDH("GILD US Equity","ARD_NON_CUR_MKT_SEC","FQ2 2023","FQ2 2023","Currency=USD","Period=FQ","BEST_FPERIOD_OVERRIDE=FQ","FILING_STATUS=MR","SCALING_FORMAT=MLN","Sort=A","Dates=H","DateFormat=P","Fill=—","Direction=H","UseDPDF=Y")</f>
        <v>1334</v>
      </c>
      <c r="V17" s="13">
        <f>_xll.BDH("GILD US Equity","ARD_NON_CUR_MKT_SEC","FQ3 2023","FQ3 2023","Currency=USD","Period=FQ","BEST_FPERIOD_OVERRIDE=FQ","FILING_STATUS=MR","SCALING_FORMAT=MLN","Sort=A","Dates=H","DateFormat=P","Fill=—","Direction=H","UseDPDF=Y")</f>
        <v>1156</v>
      </c>
      <c r="W17" s="13">
        <f>_xll.BDH("GILD US Equity","ARD_NON_CUR_MKT_SEC","FQ4 2023","FQ4 2023","Currency=USD","Period=FQ","BEST_FPERIOD_OVERRIDE=FQ","FILING_STATUS=MR","SCALING_FORMAT=MLN","Sort=A","Dates=H","DateFormat=P","Fill=—","Direction=H","UseDPDF=Y")</f>
        <v>1163</v>
      </c>
      <c r="X17" s="13">
        <f>_xll.BDH("GILD US Equity","ARD_NON_CUR_MKT_SEC","FQ1 2024","FQ1 2024","Currency=USD","Period=FQ","BEST_FPERIOD_OVERRIDE=FQ","FILING_STATUS=MR","SCALING_FORMAT=MLN","Sort=A","Dates=H","DateFormat=P","Fill=—","Direction=H","UseDPDF=Y")</f>
        <v>0</v>
      </c>
      <c r="Y17" s="13">
        <f>_xll.BDH("GILD US Equity","ARD_NON_CUR_MKT_SEC","FQ2 2024","FQ2 2024","Currency=USD","Period=FQ","BEST_FPERIOD_OVERRIDE=FQ","FILING_STATUS=MR","SCALING_FORMAT=MLN","Sort=A","Dates=H","DateFormat=P","Fill=—","Direction=H","UseDPDF=Y")</f>
        <v>0</v>
      </c>
      <c r="Z17" s="13" t="str">
        <f>_xll.BDH("GILD US Equity","ARD_NON_CUR_MKT_SEC","FQ3 2024","FQ3 2024","Currency=USD","Period=FQ","BEST_FPERIOD_OVERRIDE=FQ","FILING_STATUS=MR","SCALING_FORMAT=MLN","Sort=A","Dates=H","DateFormat=P","Fill=—","Direction=H","UseDPDF=Y")</f>
        <v>—</v>
      </c>
      <c r="AA17" s="13">
        <f>_xll.BDH("GILD US Equity","ARD_NON_CUR_MKT_SEC","FQ4 2024","FQ4 2024","Currency=USD","Period=FQ","BEST_FPERIOD_OVERRIDE=FQ","FILING_STATUS=MR","SCALING_FORMAT=MLN","Sort=A","Dates=H","DateFormat=P","Fill=—","Direction=H","UseDPDF=Y")</f>
        <v>0</v>
      </c>
    </row>
    <row r="18" spans="1:27" x14ac:dyDescent="0.25">
      <c r="A18" s="10" t="s">
        <v>921</v>
      </c>
      <c r="B18" s="10" t="s">
        <v>922</v>
      </c>
      <c r="C18" s="13">
        <f>_xll.BDH("GILD US Equity","ARD_PROPERTY_PLANT_EQUIP_NET","FQ4 2018","FQ4 2018","Currency=USD","Period=FQ","BEST_FPERIOD_OVERRIDE=FQ","FILING_STATUS=MR","SCALING_FORMAT=MLN","Sort=A","Dates=H","DateFormat=P","Fill=—","Direction=H","UseDPDF=Y")</f>
        <v>4006</v>
      </c>
      <c r="D18" s="13">
        <f>_xll.BDH("GILD US Equity","ARD_PROPERTY_PLANT_EQUIP_NET","FQ1 2019","FQ1 2019","Currency=USD","Period=FQ","BEST_FPERIOD_OVERRIDE=FQ","FILING_STATUS=MR","SCALING_FORMAT=MLN","Sort=A","Dates=H","DateFormat=P","Fill=—","Direction=H","UseDPDF=Y")</f>
        <v>4116</v>
      </c>
      <c r="E18" s="13">
        <f>_xll.BDH("GILD US Equity","ARD_PROPERTY_PLANT_EQUIP_NET","FQ2 2019","FQ2 2019","Currency=USD","Period=FQ","BEST_FPERIOD_OVERRIDE=FQ","FILING_STATUS=MR","SCALING_FORMAT=MLN","Sort=A","Dates=H","DateFormat=P","Fill=—","Direction=H","UseDPDF=Y")</f>
        <v>4249</v>
      </c>
      <c r="F18" s="13">
        <f>_xll.BDH("GILD US Equity","ARD_PROPERTY_PLANT_EQUIP_NET","FQ3 2019","FQ3 2019","Currency=USD","Period=FQ","BEST_FPERIOD_OVERRIDE=FQ","FILING_STATUS=MR","SCALING_FORMAT=MLN","Sort=A","Dates=H","DateFormat=P","Fill=—","Direction=H","UseDPDF=Y")</f>
        <v>4377</v>
      </c>
      <c r="G18" s="13">
        <f>_xll.BDH("GILD US Equity","ARD_PROPERTY_PLANT_EQUIP_NET","FQ4 2019","FQ4 2019","Currency=USD","Period=FQ","BEST_FPERIOD_OVERRIDE=FQ","FILING_STATUS=MR","SCALING_FORMAT=MLN","Sort=A","Dates=H","DateFormat=P","Fill=—","Direction=H","UseDPDF=Y")</f>
        <v>4502</v>
      </c>
      <c r="H18" s="13">
        <f>_xll.BDH("GILD US Equity","ARD_PROPERTY_PLANT_EQUIP_NET","FQ1 2020","FQ1 2020","Currency=USD","Period=FQ","BEST_FPERIOD_OVERRIDE=FQ","FILING_STATUS=MR","SCALING_FORMAT=MLN","Sort=A","Dates=H","DateFormat=P","Fill=—","Direction=H","UseDPDF=Y")</f>
        <v>4564</v>
      </c>
      <c r="I18" s="13">
        <f>_xll.BDH("GILD US Equity","ARD_PROPERTY_PLANT_EQUIP_NET","FQ2 2020","FQ2 2020","Currency=USD","Period=FQ","BEST_FPERIOD_OVERRIDE=FQ","FILING_STATUS=MR","SCALING_FORMAT=MLN","Sort=A","Dates=H","DateFormat=P","Fill=—","Direction=H","UseDPDF=Y")</f>
        <v>4653</v>
      </c>
      <c r="J18" s="13">
        <f>_xll.BDH("GILD US Equity","ARD_PROPERTY_PLANT_EQUIP_NET","FQ3 2020","FQ3 2020","Currency=USD","Period=FQ","BEST_FPERIOD_OVERRIDE=FQ","FILING_STATUS=MR","SCALING_FORMAT=MLN","Sort=A","Dates=H","DateFormat=P","Fill=—","Direction=H","UseDPDF=Y")</f>
        <v>4810</v>
      </c>
      <c r="K18" s="13">
        <f>_xll.BDH("GILD US Equity","ARD_PROPERTY_PLANT_EQUIP_NET","FQ4 2020","FQ4 2020","Currency=USD","Period=FQ","BEST_FPERIOD_OVERRIDE=FQ","FILING_STATUS=MR","SCALING_FORMAT=MLN","Sort=A","Dates=H","DateFormat=P","Fill=—","Direction=H","UseDPDF=Y")</f>
        <v>4967</v>
      </c>
      <c r="L18" s="13">
        <f>_xll.BDH("GILD US Equity","ARD_PROPERTY_PLANT_EQUIP_NET","FQ1 2021","FQ1 2021","Currency=USD","Period=FQ","BEST_FPERIOD_OVERRIDE=FQ","FILING_STATUS=MR","SCALING_FORMAT=MLN","Sort=A","Dates=H","DateFormat=P","Fill=—","Direction=H","UseDPDF=Y")</f>
        <v>4990</v>
      </c>
      <c r="M18" s="13">
        <f>_xll.BDH("GILD US Equity","ARD_PROPERTY_PLANT_EQUIP_NET","FQ2 2021","FQ2 2021","Currency=USD","Period=FQ","BEST_FPERIOD_OVERRIDE=FQ","FILING_STATUS=MR","SCALING_FORMAT=MLN","Sort=A","Dates=H","DateFormat=P","Fill=—","Direction=H","UseDPDF=Y")</f>
        <v>4996</v>
      </c>
      <c r="N18" s="13">
        <f>_xll.BDH("GILD US Equity","ARD_PROPERTY_PLANT_EQUIP_NET","FQ3 2021","FQ3 2021","Currency=USD","Period=FQ","BEST_FPERIOD_OVERRIDE=FQ","FILING_STATUS=MR","SCALING_FORMAT=MLN","Sort=A","Dates=H","DateFormat=P","Fill=—","Direction=H","UseDPDF=Y")</f>
        <v>5037</v>
      </c>
      <c r="O18" s="13">
        <f>_xll.BDH("GILD US Equity","ARD_PROPERTY_PLANT_EQUIP_NET","FQ4 2021","FQ4 2021","Currency=USD","Period=FQ","BEST_FPERIOD_OVERRIDE=FQ","FILING_STATUS=MR","SCALING_FORMAT=MLN","Sort=A","Dates=H","DateFormat=P","Fill=—","Direction=H","UseDPDF=Y")</f>
        <v>5121</v>
      </c>
      <c r="P18" s="13">
        <f>_xll.BDH("GILD US Equity","ARD_PROPERTY_PLANT_EQUIP_NET","FQ1 2022","FQ1 2022","Currency=USD","Period=FQ","BEST_FPERIOD_OVERRIDE=FQ","FILING_STATUS=MR","SCALING_FORMAT=MLN","Sort=A","Dates=H","DateFormat=P","Fill=—","Direction=H","UseDPDF=Y")</f>
        <v>5253</v>
      </c>
      <c r="Q18" s="13">
        <f>_xll.BDH("GILD US Equity","ARD_PROPERTY_PLANT_EQUIP_NET","FQ2 2022","FQ2 2022","Currency=USD","Period=FQ","BEST_FPERIOD_OVERRIDE=FQ","FILING_STATUS=MR","SCALING_FORMAT=MLN","Sort=A","Dates=H","DateFormat=P","Fill=—","Direction=H","UseDPDF=Y")</f>
        <v>5299</v>
      </c>
      <c r="R18" s="13">
        <f>_xll.BDH("GILD US Equity","ARD_PROPERTY_PLANT_EQUIP_NET","FQ3 2022","FQ3 2022","Currency=USD","Period=FQ","BEST_FPERIOD_OVERRIDE=FQ","FILING_STATUS=MR","SCALING_FORMAT=MLN","Sort=A","Dates=H","DateFormat=P","Fill=—","Direction=H","UseDPDF=Y")</f>
        <v>5349</v>
      </c>
      <c r="S18" s="13">
        <f>_xll.BDH("GILD US Equity","ARD_PROPERTY_PLANT_EQUIP_NET","FQ4 2022","FQ4 2022","Currency=USD","Period=FQ","BEST_FPERIOD_OVERRIDE=FQ","FILING_STATUS=MR","SCALING_FORMAT=MLN","Sort=A","Dates=H","DateFormat=P","Fill=—","Direction=H","UseDPDF=Y")</f>
        <v>5475</v>
      </c>
      <c r="T18" s="13">
        <f>_xll.BDH("GILD US Equity","ARD_PROPERTY_PLANT_EQUIP_NET","FQ1 2023","FQ1 2023","Currency=USD","Period=FQ","BEST_FPERIOD_OVERRIDE=FQ","FILING_STATUS=MR","SCALING_FORMAT=MLN","Sort=A","Dates=H","DateFormat=P","Fill=—","Direction=H","UseDPDF=Y")</f>
        <v>5479</v>
      </c>
      <c r="U18" s="13">
        <f>_xll.BDH("GILD US Equity","ARD_PROPERTY_PLANT_EQUIP_NET","FQ2 2023","FQ2 2023","Currency=USD","Period=FQ","BEST_FPERIOD_OVERRIDE=FQ","FILING_STATUS=MR","SCALING_FORMAT=MLN","Sort=A","Dates=H","DateFormat=P","Fill=—","Direction=H","UseDPDF=Y")</f>
        <v>5540</v>
      </c>
      <c r="V18" s="13">
        <f>_xll.BDH("GILD US Equity","ARD_PROPERTY_PLANT_EQUIP_NET","FQ3 2023","FQ3 2023","Currency=USD","Period=FQ","BEST_FPERIOD_OVERRIDE=FQ","FILING_STATUS=MR","SCALING_FORMAT=MLN","Sort=A","Dates=H","DateFormat=P","Fill=—","Direction=H","UseDPDF=Y")</f>
        <v>5572</v>
      </c>
      <c r="W18" s="13">
        <f>_xll.BDH("GILD US Equity","ARD_PROPERTY_PLANT_EQUIP_NET","FQ4 2023","FQ4 2023","Currency=USD","Period=FQ","BEST_FPERIOD_OVERRIDE=FQ","FILING_STATUS=MR","SCALING_FORMAT=MLN","Sort=A","Dates=H","DateFormat=P","Fill=—","Direction=H","UseDPDF=Y")</f>
        <v>5317</v>
      </c>
      <c r="X18" s="13">
        <f>_xll.BDH("GILD US Equity","ARD_PROPERTY_PLANT_EQUIP_NET","FQ1 2024","FQ1 2024","Currency=USD","Period=FQ","BEST_FPERIOD_OVERRIDE=FQ","FILING_STATUS=MR","SCALING_FORMAT=MLN","Sort=A","Dates=H","DateFormat=P","Fill=—","Direction=H","UseDPDF=Y")</f>
        <v>5321</v>
      </c>
      <c r="Y18" s="13">
        <f>_xll.BDH("GILD US Equity","ARD_PROPERTY_PLANT_EQUIP_NET","FQ2 2024","FQ2 2024","Currency=USD","Period=FQ","BEST_FPERIOD_OVERRIDE=FQ","FILING_STATUS=MR","SCALING_FORMAT=MLN","Sort=A","Dates=H","DateFormat=P","Fill=—","Direction=H","UseDPDF=Y")</f>
        <v>5346</v>
      </c>
      <c r="Z18" s="13">
        <f>_xll.BDH("GILD US Equity","ARD_PROPERTY_PLANT_EQUIP_NET","FQ3 2024","FQ3 2024","Currency=USD","Period=FQ","BEST_FPERIOD_OVERRIDE=FQ","FILING_STATUS=MR","SCALING_FORMAT=MLN","Sort=A","Dates=H","DateFormat=P","Fill=—","Direction=H","UseDPDF=Y")</f>
        <v>5391</v>
      </c>
      <c r="AA18" s="13">
        <f>_xll.BDH("GILD US Equity","ARD_PROPERTY_PLANT_EQUIP_NET","FQ4 2024","FQ4 2024","Currency=USD","Period=FQ","BEST_FPERIOD_OVERRIDE=FQ","FILING_STATUS=MR","SCALING_FORMAT=MLN","Sort=A","Dates=H","DateFormat=P","Fill=—","Direction=H","UseDPDF=Y")</f>
        <v>5414</v>
      </c>
    </row>
    <row r="19" spans="1:27" x14ac:dyDescent="0.25">
      <c r="A19" s="10" t="s">
        <v>923</v>
      </c>
      <c r="B19" s="10" t="s">
        <v>924</v>
      </c>
      <c r="C19" s="13" t="str">
        <f>_xll.BDH("GILD US Equity","ARD_TOTAL_INTANGIBLE_ASSET_NET","FQ4 2018","FQ4 2018","Currency=USD","Period=FQ","BEST_FPERIOD_OVERRIDE=FQ","FILING_STATUS=MR","SCALING_FORMAT=MLN","Sort=A","Dates=H","DateFormat=P","Fill=—","Direction=H","UseDPDF=Y")</f>
        <v>—</v>
      </c>
      <c r="D19" s="13" t="str">
        <f>_xll.BDH("GILD US Equity","ARD_TOTAL_INTANGIBLE_ASSET_NET","FQ1 2019","FQ1 2019","Currency=USD","Period=FQ","BEST_FPERIOD_OVERRIDE=FQ","FILING_STATUS=MR","SCALING_FORMAT=MLN","Sort=A","Dates=H","DateFormat=P","Fill=—","Direction=H","UseDPDF=Y")</f>
        <v>—</v>
      </c>
      <c r="E19" s="13" t="str">
        <f>_xll.BDH("GILD US Equity","ARD_TOTAL_INTANGIBLE_ASSET_NET","FQ2 2019","FQ2 2019","Currency=USD","Period=FQ","BEST_FPERIOD_OVERRIDE=FQ","FILING_STATUS=MR","SCALING_FORMAT=MLN","Sort=A","Dates=H","DateFormat=P","Fill=—","Direction=H","UseDPDF=Y")</f>
        <v>—</v>
      </c>
      <c r="F19" s="13" t="str">
        <f>_xll.BDH("GILD US Equity","ARD_TOTAL_INTANGIBLE_ASSET_NET","FQ3 2019","FQ3 2019","Currency=USD","Period=FQ","BEST_FPERIOD_OVERRIDE=FQ","FILING_STATUS=MR","SCALING_FORMAT=MLN","Sort=A","Dates=H","DateFormat=P","Fill=—","Direction=H","UseDPDF=Y")</f>
        <v>—</v>
      </c>
      <c r="G19" s="13" t="str">
        <f>_xll.BDH("GILD US Equity","ARD_TOTAL_INTANGIBLE_ASSET_NET","FQ4 2019","FQ4 2019","Currency=USD","Period=FQ","BEST_FPERIOD_OVERRIDE=FQ","FILING_STATUS=MR","SCALING_FORMAT=MLN","Sort=A","Dates=H","DateFormat=P","Fill=—","Direction=H","UseDPDF=Y")</f>
        <v>—</v>
      </c>
      <c r="H19" s="13" t="str">
        <f>_xll.BDH("GILD US Equity","ARD_TOTAL_INTANGIBLE_ASSET_NET","FQ1 2020","FQ1 2020","Currency=USD","Period=FQ","BEST_FPERIOD_OVERRIDE=FQ","FILING_STATUS=MR","SCALING_FORMAT=MLN","Sort=A","Dates=H","DateFormat=P","Fill=—","Direction=H","UseDPDF=Y")</f>
        <v>—</v>
      </c>
      <c r="I19" s="13" t="str">
        <f>_xll.BDH("GILD US Equity","ARD_TOTAL_INTANGIBLE_ASSET_NET","FQ2 2020","FQ2 2020","Currency=USD","Period=FQ","BEST_FPERIOD_OVERRIDE=FQ","FILING_STATUS=MR","SCALING_FORMAT=MLN","Sort=A","Dates=H","DateFormat=P","Fill=—","Direction=H","UseDPDF=Y")</f>
        <v>—</v>
      </c>
      <c r="J19" s="13" t="str">
        <f>_xll.BDH("GILD US Equity","ARD_TOTAL_INTANGIBLE_ASSET_NET","FQ3 2020","FQ3 2020","Currency=USD","Period=FQ","BEST_FPERIOD_OVERRIDE=FQ","FILING_STATUS=MR","SCALING_FORMAT=MLN","Sort=A","Dates=H","DateFormat=P","Fill=—","Direction=H","UseDPDF=Y")</f>
        <v>—</v>
      </c>
      <c r="K19" s="13" t="str">
        <f>_xll.BDH("GILD US Equity","ARD_TOTAL_INTANGIBLE_ASSET_NET","FQ4 2020","FQ4 2020","Currency=USD","Period=FQ","BEST_FPERIOD_OVERRIDE=FQ","FILING_STATUS=MR","SCALING_FORMAT=MLN","Sort=A","Dates=H","DateFormat=P","Fill=—","Direction=H","UseDPDF=Y")</f>
        <v>—</v>
      </c>
      <c r="L19" s="13" t="str">
        <f>_xll.BDH("GILD US Equity","ARD_TOTAL_INTANGIBLE_ASSET_NET","FQ1 2021","FQ1 2021","Currency=USD","Period=FQ","BEST_FPERIOD_OVERRIDE=FQ","FILING_STATUS=MR","SCALING_FORMAT=MLN","Sort=A","Dates=H","DateFormat=P","Fill=—","Direction=H","UseDPDF=Y")</f>
        <v>—</v>
      </c>
      <c r="M19" s="13" t="str">
        <f>_xll.BDH("GILD US Equity","ARD_TOTAL_INTANGIBLE_ASSET_NET","FQ2 2021","FQ2 2021","Currency=USD","Period=FQ","BEST_FPERIOD_OVERRIDE=FQ","FILING_STATUS=MR","SCALING_FORMAT=MLN","Sort=A","Dates=H","DateFormat=P","Fill=—","Direction=H","UseDPDF=Y")</f>
        <v>—</v>
      </c>
      <c r="N19" s="13" t="str">
        <f>_xll.BDH("GILD US Equity","ARD_TOTAL_INTANGIBLE_ASSET_NET","FQ3 2021","FQ3 2021","Currency=USD","Period=FQ","BEST_FPERIOD_OVERRIDE=FQ","FILING_STATUS=MR","SCALING_FORMAT=MLN","Sort=A","Dates=H","DateFormat=P","Fill=—","Direction=H","UseDPDF=Y")</f>
        <v>—</v>
      </c>
      <c r="O19" s="13" t="str">
        <f>_xll.BDH("GILD US Equity","ARD_TOTAL_INTANGIBLE_ASSET_NET","FQ4 2021","FQ4 2021","Currency=USD","Period=FQ","BEST_FPERIOD_OVERRIDE=FQ","FILING_STATUS=MR","SCALING_FORMAT=MLN","Sort=A","Dates=H","DateFormat=P","Fill=—","Direction=H","UseDPDF=Y")</f>
        <v>—</v>
      </c>
      <c r="P19" s="13" t="str">
        <f>_xll.BDH("GILD US Equity","ARD_TOTAL_INTANGIBLE_ASSET_NET","FQ1 2022","FQ1 2022","Currency=USD","Period=FQ","BEST_FPERIOD_OVERRIDE=FQ","FILING_STATUS=MR","SCALING_FORMAT=MLN","Sort=A","Dates=H","DateFormat=P","Fill=—","Direction=H","UseDPDF=Y")</f>
        <v>—</v>
      </c>
      <c r="Q19" s="13" t="str">
        <f>_xll.BDH("GILD US Equity","ARD_TOTAL_INTANGIBLE_ASSET_NET","FQ2 2022","FQ2 2022","Currency=USD","Period=FQ","BEST_FPERIOD_OVERRIDE=FQ","FILING_STATUS=MR","SCALING_FORMAT=MLN","Sort=A","Dates=H","DateFormat=P","Fill=—","Direction=H","UseDPDF=Y")</f>
        <v>—</v>
      </c>
      <c r="R19" s="13" t="str">
        <f>_xll.BDH("GILD US Equity","ARD_TOTAL_INTANGIBLE_ASSET_NET","FQ3 2022","FQ3 2022","Currency=USD","Period=FQ","BEST_FPERIOD_OVERRIDE=FQ","FILING_STATUS=MR","SCALING_FORMAT=MLN","Sort=A","Dates=H","DateFormat=P","Fill=—","Direction=H","UseDPDF=Y")</f>
        <v>—</v>
      </c>
      <c r="S19" s="13" t="str">
        <f>_xll.BDH("GILD US Equity","ARD_TOTAL_INTANGIBLE_ASSET_NET","FQ4 2022","FQ4 2022","Currency=USD","Period=FQ","BEST_FPERIOD_OVERRIDE=FQ","FILING_STATUS=MR","SCALING_FORMAT=MLN","Sort=A","Dates=H","DateFormat=P","Fill=—","Direction=H","UseDPDF=Y")</f>
        <v>—</v>
      </c>
      <c r="T19" s="13" t="str">
        <f>_xll.BDH("GILD US Equity","ARD_TOTAL_INTANGIBLE_ASSET_NET","FQ1 2023","FQ1 2023","Currency=USD","Period=FQ","BEST_FPERIOD_OVERRIDE=FQ","FILING_STATUS=MR","SCALING_FORMAT=MLN","Sort=A","Dates=H","DateFormat=P","Fill=—","Direction=H","UseDPDF=Y")</f>
        <v>—</v>
      </c>
      <c r="U19" s="13" t="str">
        <f>_xll.BDH("GILD US Equity","ARD_TOTAL_INTANGIBLE_ASSET_NET","FQ2 2023","FQ2 2023","Currency=USD","Period=FQ","BEST_FPERIOD_OVERRIDE=FQ","FILING_STATUS=MR","SCALING_FORMAT=MLN","Sort=A","Dates=H","DateFormat=P","Fill=—","Direction=H","UseDPDF=Y")</f>
        <v>—</v>
      </c>
      <c r="V19" s="13" t="str">
        <f>_xll.BDH("GILD US Equity","ARD_TOTAL_INTANGIBLE_ASSET_NET","FQ3 2023","FQ3 2023","Currency=USD","Period=FQ","BEST_FPERIOD_OVERRIDE=FQ","FILING_STATUS=MR","SCALING_FORMAT=MLN","Sort=A","Dates=H","DateFormat=P","Fill=—","Direction=H","UseDPDF=Y")</f>
        <v>—</v>
      </c>
      <c r="W19" s="13" t="str">
        <f>_xll.BDH("GILD US Equity","ARD_TOTAL_INTANGIBLE_ASSET_NET","FQ4 2023","FQ4 2023","Currency=USD","Period=FQ","BEST_FPERIOD_OVERRIDE=FQ","FILING_STATUS=MR","SCALING_FORMAT=MLN","Sort=A","Dates=H","DateFormat=P","Fill=—","Direction=H","UseDPDF=Y")</f>
        <v>—</v>
      </c>
      <c r="X19" s="13" t="str">
        <f>_xll.BDH("GILD US Equity","ARD_TOTAL_INTANGIBLE_ASSET_NET","FQ1 2024","FQ1 2024","Currency=USD","Period=FQ","BEST_FPERIOD_OVERRIDE=FQ","FILING_STATUS=MR","SCALING_FORMAT=MLN","Sort=A","Dates=H","DateFormat=P","Fill=—","Direction=H","UseDPDF=Y")</f>
        <v>—</v>
      </c>
      <c r="Y19" s="13" t="str">
        <f>_xll.BDH("GILD US Equity","ARD_TOTAL_INTANGIBLE_ASSET_NET","FQ2 2024","FQ2 2024","Currency=USD","Period=FQ","BEST_FPERIOD_OVERRIDE=FQ","FILING_STATUS=MR","SCALING_FORMAT=MLN","Sort=A","Dates=H","DateFormat=P","Fill=—","Direction=H","UseDPDF=Y")</f>
        <v>—</v>
      </c>
      <c r="Z19" s="13" t="str">
        <f>_xll.BDH("GILD US Equity","ARD_TOTAL_INTANGIBLE_ASSET_NET","FQ3 2024","FQ3 2024","Currency=USD","Period=FQ","BEST_FPERIOD_OVERRIDE=FQ","FILING_STATUS=MR","SCALING_FORMAT=MLN","Sort=A","Dates=H","DateFormat=P","Fill=—","Direction=H","UseDPDF=Y")</f>
        <v>—</v>
      </c>
      <c r="AA19" s="13">
        <f>_xll.BDH("GILD US Equity","ARD_TOTAL_INTANGIBLE_ASSET_NET","FQ4 2024","FQ4 2024","Currency=USD","Period=FQ","BEST_FPERIOD_OVERRIDE=FQ","FILING_STATUS=MR","SCALING_FORMAT=MLN","Sort=A","Dates=H","DateFormat=P","Fill=—","Direction=H","UseDPDF=Y")</f>
        <v>28262</v>
      </c>
    </row>
    <row r="20" spans="1:27" x14ac:dyDescent="0.25">
      <c r="A20" s="10" t="s">
        <v>925</v>
      </c>
      <c r="B20" s="10" t="s">
        <v>926</v>
      </c>
      <c r="C20" s="13">
        <f>_xll.BDH("GILD US Equity","ARD_OTHER_INTANGIBLE_ASSET","FQ4 2018","FQ4 2018","Currency=USD","Period=FQ","BEST_FPERIOD_OVERRIDE=FQ","FILING_STATUS=MR","SCALING_FORMAT=MLN","Sort=A","Dates=H","DateFormat=P","Fill=—","Direction=H","UseDPDF=Y")</f>
        <v>15738</v>
      </c>
      <c r="D20" s="13">
        <f>_xll.BDH("GILD US Equity","ARD_OTHER_INTANGIBLE_ASSET","FQ1 2019","FQ1 2019","Currency=USD","Period=FQ","BEST_FPERIOD_OVERRIDE=FQ","FILING_STATUS=MR","SCALING_FORMAT=MLN","Sort=A","Dates=H","DateFormat=P","Fill=—","Direction=H","UseDPDF=Y")</f>
        <v>15438</v>
      </c>
      <c r="E20" s="13">
        <f>_xll.BDH("GILD US Equity","ARD_OTHER_INTANGIBLE_ASSET","FQ2 2019","FQ2 2019","Currency=USD","Period=FQ","BEST_FPERIOD_OVERRIDE=FQ","FILING_STATUS=MR","SCALING_FORMAT=MLN","Sort=A","Dates=H","DateFormat=P","Fill=—","Direction=H","UseDPDF=Y")</f>
        <v>15152</v>
      </c>
      <c r="F20" s="13">
        <f>_xll.BDH("GILD US Equity","ARD_OTHER_INTANGIBLE_ASSET","FQ3 2019","FQ3 2019","Currency=USD","Period=FQ","BEST_FPERIOD_OVERRIDE=FQ","FILING_STATUS=MR","SCALING_FORMAT=MLN","Sort=A","Dates=H","DateFormat=P","Fill=—","Direction=H","UseDPDF=Y")</f>
        <v>14864</v>
      </c>
      <c r="G20" s="13">
        <f>_xll.BDH("GILD US Equity","ARD_OTHER_INTANGIBLE_ASSET","FQ4 2019","FQ4 2019","Currency=USD","Period=FQ","BEST_FPERIOD_OVERRIDE=FQ","FILING_STATUS=MR","SCALING_FORMAT=MLN","Sort=A","Dates=H","DateFormat=P","Fill=—","Direction=H","UseDPDF=Y")</f>
        <v>13786</v>
      </c>
      <c r="H20" s="13">
        <f>_xll.BDH("GILD US Equity","ARD_OTHER_INTANGIBLE_ASSET","FQ1 2020","FQ1 2020","Currency=USD","Period=FQ","BEST_FPERIOD_OVERRIDE=FQ","FILING_STATUS=MR","SCALING_FORMAT=MLN","Sort=A","Dates=H","DateFormat=P","Fill=—","Direction=H","UseDPDF=Y")</f>
        <v>13502</v>
      </c>
      <c r="I20" s="13">
        <f>_xll.BDH("GILD US Equity","ARD_OTHER_INTANGIBLE_ASSET","FQ2 2020","FQ2 2020","Currency=USD","Period=FQ","BEST_FPERIOD_OVERRIDE=FQ","FILING_STATUS=MR","SCALING_FORMAT=MLN","Sort=A","Dates=H","DateFormat=P","Fill=—","Direction=H","UseDPDF=Y")</f>
        <v>13225</v>
      </c>
      <c r="J20" s="13">
        <f>_xll.BDH("GILD US Equity","ARD_OTHER_INTANGIBLE_ASSET","FQ3 2020","FQ3 2020","Currency=USD","Period=FQ","BEST_FPERIOD_OVERRIDE=FQ","FILING_STATUS=MR","SCALING_FORMAT=MLN","Sort=A","Dates=H","DateFormat=P","Fill=—","Direction=H","UseDPDF=Y")</f>
        <v>12939</v>
      </c>
      <c r="K20" s="13">
        <f>_xll.BDH("GILD US Equity","ARD_OTHER_INTANGIBLE_ASSET","FQ4 2020","FQ4 2020","Currency=USD","Period=FQ","BEST_FPERIOD_OVERRIDE=FQ","FILING_STATUS=MR","SCALING_FORMAT=MLN","Sort=A","Dates=H","DateFormat=P","Fill=—","Direction=H","UseDPDF=Y")</f>
        <v>33126</v>
      </c>
      <c r="L20" s="13">
        <f>_xll.BDH("GILD US Equity","ARD_OTHER_INTANGIBLE_ASSET","FQ1 2021","FQ1 2021","Currency=USD","Period=FQ","BEST_FPERIOD_OVERRIDE=FQ","FILING_STATUS=MR","SCALING_FORMAT=MLN","Sort=A","Dates=H","DateFormat=P","Fill=—","Direction=H","UseDPDF=Y")</f>
        <v>34781</v>
      </c>
      <c r="M20" s="13">
        <f>_xll.BDH("GILD US Equity","ARD_OTHER_INTANGIBLE_ASSET","FQ2 2021","FQ2 2021","Currency=USD","Period=FQ","BEST_FPERIOD_OVERRIDE=FQ","FILING_STATUS=MR","SCALING_FORMAT=MLN","Sort=A","Dates=H","DateFormat=P","Fill=—","Direction=H","UseDPDF=Y")</f>
        <v>34341</v>
      </c>
      <c r="N20" s="13">
        <f>_xll.BDH("GILD US Equity","ARD_OTHER_INTANGIBLE_ASSET","FQ3 2021","FQ3 2021","Currency=USD","Period=FQ","BEST_FPERIOD_OVERRIDE=FQ","FILING_STATUS=MR","SCALING_FORMAT=MLN","Sort=A","Dates=H","DateFormat=P","Fill=—","Direction=H","UseDPDF=Y")</f>
        <v>33900</v>
      </c>
      <c r="O20" s="13">
        <f>_xll.BDH("GILD US Equity","ARD_OTHER_INTANGIBLE_ASSET","FQ4 2021","FQ4 2021","Currency=USD","Period=FQ","BEST_FPERIOD_OVERRIDE=FQ","FILING_STATUS=MR","SCALING_FORMAT=MLN","Sort=A","Dates=H","DateFormat=P","Fill=—","Direction=H","UseDPDF=Y")</f>
        <v>33455</v>
      </c>
      <c r="P20" s="13">
        <f>_xll.BDH("GILD US Equity","ARD_OTHER_INTANGIBLE_ASSET","FQ1 2022","FQ1 2022","Currency=USD","Period=FQ","BEST_FPERIOD_OVERRIDE=FQ","FILING_STATUS=MR","SCALING_FORMAT=MLN","Sort=A","Dates=H","DateFormat=P","Fill=—","Direction=H","UseDPDF=Y")</f>
        <v>30331</v>
      </c>
      <c r="Q20" s="13">
        <f>_xll.BDH("GILD US Equity","ARD_OTHER_INTANGIBLE_ASSET","FQ2 2022","FQ2 2022","Currency=USD","Period=FQ","BEST_FPERIOD_OVERRIDE=FQ","FILING_STATUS=MR","SCALING_FORMAT=MLN","Sort=A","Dates=H","DateFormat=P","Fill=—","Direction=H","UseDPDF=Y")</f>
        <v>29885</v>
      </c>
      <c r="R20" s="13">
        <f>_xll.BDH("GILD US Equity","ARD_OTHER_INTANGIBLE_ASSET","FQ3 2022","FQ3 2022","Currency=USD","Period=FQ","BEST_FPERIOD_OVERRIDE=FQ","FILING_STATUS=MR","SCALING_FORMAT=MLN","Sort=A","Dates=H","DateFormat=P","Fill=—","Direction=H","UseDPDF=Y")</f>
        <v>29440</v>
      </c>
      <c r="S20" s="13">
        <f>_xll.BDH("GILD US Equity","ARD_OTHER_INTANGIBLE_ASSET","FQ4 2022","FQ4 2022","Currency=USD","Period=FQ","BEST_FPERIOD_OVERRIDE=FQ","FILING_STATUS=MR","SCALING_FORMAT=MLN","Sort=A","Dates=H","DateFormat=P","Fill=—","Direction=H","UseDPDF=Y")</f>
        <v>28894</v>
      </c>
      <c r="T20" s="13">
        <f>_xll.BDH("GILD US Equity","ARD_OTHER_INTANGIBLE_ASSET","FQ1 2023","FQ1 2023","Currency=USD","Period=FQ","BEST_FPERIOD_OVERRIDE=FQ","FILING_STATUS=MR","SCALING_FORMAT=MLN","Sort=A","Dates=H","DateFormat=P","Fill=—","Direction=H","UseDPDF=Y")</f>
        <v>28348</v>
      </c>
      <c r="U20" s="13">
        <f>_xll.BDH("GILD US Equity","ARD_OTHER_INTANGIBLE_ASSET","FQ2 2023","FQ2 2023","Currency=USD","Period=FQ","BEST_FPERIOD_OVERRIDE=FQ","FILING_STATUS=MR","SCALING_FORMAT=MLN","Sort=A","Dates=H","DateFormat=P","Fill=—","Direction=H","UseDPDF=Y")</f>
        <v>27750</v>
      </c>
      <c r="V20" s="13">
        <f>_xll.BDH("GILD US Equity","ARD_OTHER_INTANGIBLE_ASSET","FQ3 2023","FQ3 2023","Currency=USD","Period=FQ","BEST_FPERIOD_OVERRIDE=FQ","FILING_STATUS=MR","SCALING_FORMAT=MLN","Sort=A","Dates=H","DateFormat=P","Fill=—","Direction=H","UseDPDF=Y")</f>
        <v>27152</v>
      </c>
      <c r="W20" s="13">
        <f>_xll.BDH("GILD US Equity","ARD_OTHER_INTANGIBLE_ASSET","FQ4 2023","FQ4 2023","Currency=USD","Period=FQ","BEST_FPERIOD_OVERRIDE=FQ","FILING_STATUS=MR","SCALING_FORMAT=MLN","Sort=A","Dates=H","DateFormat=P","Fill=—","Direction=H","UseDPDF=Y")</f>
        <v>26454</v>
      </c>
      <c r="X20" s="13">
        <f>_xll.BDH("GILD US Equity","ARD_OTHER_INTANGIBLE_ASSET","FQ1 2024","FQ1 2024","Currency=USD","Period=FQ","BEST_FPERIOD_OVERRIDE=FQ","FILING_STATUS=MR","SCALING_FORMAT=MLN","Sort=A","Dates=H","DateFormat=P","Fill=—","Direction=H","UseDPDF=Y")</f>
        <v>23428</v>
      </c>
      <c r="Y20" s="13">
        <f>_xll.BDH("GILD US Equity","ARD_OTHER_INTANGIBLE_ASSET","FQ2 2024","FQ2 2024","Currency=USD","Period=FQ","BEST_FPERIOD_OVERRIDE=FQ","FILING_STATUS=MR","SCALING_FORMAT=MLN","Sort=A","Dates=H","DateFormat=P","Fill=—","Direction=H","UseDPDF=Y")</f>
        <v>22832</v>
      </c>
      <c r="Z20" s="13">
        <f>_xll.BDH("GILD US Equity","ARD_OTHER_INTANGIBLE_ASSET","FQ3 2024","FQ3 2024","Currency=USD","Period=FQ","BEST_FPERIOD_OVERRIDE=FQ","FILING_STATUS=MR","SCALING_FORMAT=MLN","Sort=A","Dates=H","DateFormat=P","Fill=—","Direction=H","UseDPDF=Y")</f>
        <v>20546</v>
      </c>
      <c r="AA20" s="13">
        <f>_xll.BDH("GILD US Equity","ARD_OTHER_INTANGIBLE_ASSET","FQ4 2024","FQ4 2024","Currency=USD","Period=FQ","BEST_FPERIOD_OVERRIDE=FQ","FILING_STATUS=MR","SCALING_FORMAT=MLN","Sort=A","Dates=H","DateFormat=P","Fill=—","Direction=H","UseDPDF=Y")</f>
        <v>19948</v>
      </c>
    </row>
    <row r="21" spans="1:27" x14ac:dyDescent="0.25">
      <c r="A21" s="10" t="s">
        <v>927</v>
      </c>
      <c r="B21" s="10" t="s">
        <v>928</v>
      </c>
      <c r="C21" s="13">
        <f>_xll.BDH("GILD US Equity","ARD_GOODWLL","FQ4 2018","FQ4 2018","Currency=USD","Period=FQ","BEST_FPERIOD_OVERRIDE=FQ","FILING_STATUS=MR","SCALING_FORMAT=MLN","Sort=A","Dates=H","DateFormat=P","Fill=—","Direction=H","UseDPDF=Y")</f>
        <v>4117</v>
      </c>
      <c r="D21" s="13">
        <f>_xll.BDH("GILD US Equity","ARD_GOODWLL","FQ1 2019","FQ1 2019","Currency=USD","Period=FQ","BEST_FPERIOD_OVERRIDE=FQ","FILING_STATUS=MR","SCALING_FORMAT=MLN","Sort=A","Dates=H","DateFormat=P","Fill=—","Direction=H","UseDPDF=Y")</f>
        <v>4117</v>
      </c>
      <c r="E21" s="13">
        <f>_xll.BDH("GILD US Equity","ARD_GOODWLL","FQ2 2019","FQ2 2019","Currency=USD","Period=FQ","BEST_FPERIOD_OVERRIDE=FQ","FILING_STATUS=MR","SCALING_FORMAT=MLN","Sort=A","Dates=H","DateFormat=P","Fill=—","Direction=H","UseDPDF=Y")</f>
        <v>4117</v>
      </c>
      <c r="F21" s="13">
        <f>_xll.BDH("GILD US Equity","ARD_GOODWLL","FQ3 2019","FQ3 2019","Currency=USD","Period=FQ","BEST_FPERIOD_OVERRIDE=FQ","FILING_STATUS=MR","SCALING_FORMAT=MLN","Sort=A","Dates=H","DateFormat=P","Fill=—","Direction=H","UseDPDF=Y")</f>
        <v>4117</v>
      </c>
      <c r="G21" s="13">
        <f>_xll.BDH("GILD US Equity","ARD_GOODWLL","FQ4 2019","FQ4 2019","Currency=USD","Period=FQ","BEST_FPERIOD_OVERRIDE=FQ","FILING_STATUS=MR","SCALING_FORMAT=MLN","Sort=A","Dates=H","DateFormat=P","Fill=—","Direction=H","UseDPDF=Y")</f>
        <v>4117</v>
      </c>
      <c r="H21" s="13">
        <f>_xll.BDH("GILD US Equity","ARD_GOODWLL","FQ1 2020","FQ1 2020","Currency=USD","Period=FQ","BEST_FPERIOD_OVERRIDE=FQ","FILING_STATUS=MR","SCALING_FORMAT=MLN","Sort=A","Dates=H","DateFormat=P","Fill=—","Direction=H","UseDPDF=Y")</f>
        <v>4117</v>
      </c>
      <c r="I21" s="13">
        <f>_xll.BDH("GILD US Equity","ARD_GOODWLL","FQ2 2020","FQ2 2020","Currency=USD","Period=FQ","BEST_FPERIOD_OVERRIDE=FQ","FILING_STATUS=MR","SCALING_FORMAT=MLN","Sort=A","Dates=H","DateFormat=P","Fill=—","Direction=H","UseDPDF=Y")</f>
        <v>4117</v>
      </c>
      <c r="J21" s="13">
        <f>_xll.BDH("GILD US Equity","ARD_GOODWLL","FQ3 2020","FQ3 2020","Currency=USD","Period=FQ","BEST_FPERIOD_OVERRIDE=FQ","FILING_STATUS=MR","SCALING_FORMAT=MLN","Sort=A","Dates=H","DateFormat=P","Fill=—","Direction=H","UseDPDF=Y")</f>
        <v>4117</v>
      </c>
      <c r="K21" s="13">
        <f>_xll.BDH("GILD US Equity","ARD_GOODWLL","FQ4 2020","FQ4 2020","Currency=USD","Period=FQ","BEST_FPERIOD_OVERRIDE=FQ","FILING_STATUS=MR","SCALING_FORMAT=MLN","Sort=A","Dates=H","DateFormat=P","Fill=—","Direction=H","UseDPDF=Y")</f>
        <v>8108</v>
      </c>
      <c r="L21" s="13">
        <f>_xll.BDH("GILD US Equity","ARD_GOODWLL","FQ1 2021","FQ1 2021","Currency=USD","Period=FQ","BEST_FPERIOD_OVERRIDE=FQ","FILING_STATUS=MR","SCALING_FORMAT=MLN","Sort=A","Dates=H","DateFormat=P","Fill=—","Direction=H","UseDPDF=Y")</f>
        <v>8334</v>
      </c>
      <c r="M21" s="13">
        <f>_xll.BDH("GILD US Equity","ARD_GOODWLL","FQ2 2021","FQ2 2021","Currency=USD","Period=FQ","BEST_FPERIOD_OVERRIDE=FQ","FILING_STATUS=MR","SCALING_FORMAT=MLN","Sort=A","Dates=H","DateFormat=P","Fill=—","Direction=H","UseDPDF=Y")</f>
        <v>8334</v>
      </c>
      <c r="N21" s="13">
        <f>_xll.BDH("GILD US Equity","ARD_GOODWLL","FQ3 2021","FQ3 2021","Currency=USD","Period=FQ","BEST_FPERIOD_OVERRIDE=FQ","FILING_STATUS=MR","SCALING_FORMAT=MLN","Sort=A","Dates=H","DateFormat=P","Fill=—","Direction=H","UseDPDF=Y")</f>
        <v>8332</v>
      </c>
      <c r="O21" s="13">
        <f>_xll.BDH("GILD US Equity","ARD_GOODWLL","FQ4 2021","FQ4 2021","Currency=USD","Period=FQ","BEST_FPERIOD_OVERRIDE=FQ","FILING_STATUS=MR","SCALING_FORMAT=MLN","Sort=A","Dates=H","DateFormat=P","Fill=—","Direction=H","UseDPDF=Y")</f>
        <v>8332</v>
      </c>
      <c r="P21" s="13">
        <f>_xll.BDH("GILD US Equity","ARD_GOODWLL","FQ1 2022","FQ1 2022","Currency=USD","Period=FQ","BEST_FPERIOD_OVERRIDE=FQ","FILING_STATUS=MR","SCALING_FORMAT=MLN","Sort=A","Dates=H","DateFormat=P","Fill=—","Direction=H","UseDPDF=Y")</f>
        <v>8314</v>
      </c>
      <c r="Q21" s="13">
        <f>_xll.BDH("GILD US Equity","ARD_GOODWLL","FQ2 2022","FQ2 2022","Currency=USD","Period=FQ","BEST_FPERIOD_OVERRIDE=FQ","FILING_STATUS=MR","SCALING_FORMAT=MLN","Sort=A","Dates=H","DateFormat=P","Fill=—","Direction=H","UseDPDF=Y")</f>
        <v>8314</v>
      </c>
      <c r="R21" s="13">
        <f>_xll.BDH("GILD US Equity","ARD_GOODWLL","FQ3 2022","FQ3 2022","Currency=USD","Period=FQ","BEST_FPERIOD_OVERRIDE=FQ","FILING_STATUS=MR","SCALING_FORMAT=MLN","Sort=A","Dates=H","DateFormat=P","Fill=—","Direction=H","UseDPDF=Y")</f>
        <v>8314</v>
      </c>
      <c r="S21" s="13">
        <f>_xll.BDH("GILD US Equity","ARD_GOODWLL","FQ4 2022","FQ4 2022","Currency=USD","Period=FQ","BEST_FPERIOD_OVERRIDE=FQ","FILING_STATUS=MR","SCALING_FORMAT=MLN","Sort=A","Dates=H","DateFormat=P","Fill=—","Direction=H","UseDPDF=Y")</f>
        <v>8314</v>
      </c>
      <c r="T21" s="13">
        <f>_xll.BDH("GILD US Equity","ARD_GOODWLL","FQ1 2023","FQ1 2023","Currency=USD","Period=FQ","BEST_FPERIOD_OVERRIDE=FQ","FILING_STATUS=MR","SCALING_FORMAT=MLN","Sort=A","Dates=H","DateFormat=P","Fill=—","Direction=H","UseDPDF=Y")</f>
        <v>8314</v>
      </c>
      <c r="U21" s="13">
        <f>_xll.BDH("GILD US Equity","ARD_GOODWLL","FQ2 2023","FQ2 2023","Currency=USD","Period=FQ","BEST_FPERIOD_OVERRIDE=FQ","FILING_STATUS=MR","SCALING_FORMAT=MLN","Sort=A","Dates=H","DateFormat=P","Fill=—","Direction=H","UseDPDF=Y")</f>
        <v>8314</v>
      </c>
      <c r="V21" s="13">
        <f>_xll.BDH("GILD US Equity","ARD_GOODWLL","FQ3 2023","FQ3 2023","Currency=USD","Period=FQ","BEST_FPERIOD_OVERRIDE=FQ","FILING_STATUS=MR","SCALING_FORMAT=MLN","Sort=A","Dates=H","DateFormat=P","Fill=—","Direction=H","UseDPDF=Y")</f>
        <v>8314</v>
      </c>
      <c r="W21" s="13">
        <f>_xll.BDH("GILD US Equity","ARD_GOODWLL","FQ4 2023","FQ4 2023","Currency=USD","Period=FQ","BEST_FPERIOD_OVERRIDE=FQ","FILING_STATUS=MR","SCALING_FORMAT=MLN","Sort=A","Dates=H","DateFormat=P","Fill=—","Direction=H","UseDPDF=Y")</f>
        <v>8314</v>
      </c>
      <c r="X21" s="13">
        <f>_xll.BDH("GILD US Equity","ARD_GOODWLL","FQ1 2024","FQ1 2024","Currency=USD","Period=FQ","BEST_FPERIOD_OVERRIDE=FQ","FILING_STATUS=MR","SCALING_FORMAT=MLN","Sort=A","Dates=H","DateFormat=P","Fill=—","Direction=H","UseDPDF=Y")</f>
        <v>8314</v>
      </c>
      <c r="Y21" s="13">
        <f>_xll.BDH("GILD US Equity","ARD_GOODWLL","FQ2 2024","FQ2 2024","Currency=USD","Period=FQ","BEST_FPERIOD_OVERRIDE=FQ","FILING_STATUS=MR","SCALING_FORMAT=MLN","Sort=A","Dates=H","DateFormat=P","Fill=—","Direction=H","UseDPDF=Y")</f>
        <v>8314</v>
      </c>
      <c r="Z21" s="13">
        <f>_xll.BDH("GILD US Equity","ARD_GOODWLL","FQ3 2024","FQ3 2024","Currency=USD","Period=FQ","BEST_FPERIOD_OVERRIDE=FQ","FILING_STATUS=MR","SCALING_FORMAT=MLN","Sort=A","Dates=H","DateFormat=P","Fill=—","Direction=H","UseDPDF=Y")</f>
        <v>8314</v>
      </c>
      <c r="AA21" s="13">
        <f>_xll.BDH("GILD US Equity","ARD_GOODWLL","FQ4 2024","FQ4 2024","Currency=USD","Period=FQ","BEST_FPERIOD_OVERRIDE=FQ","FILING_STATUS=MR","SCALING_FORMAT=MLN","Sort=A","Dates=H","DateFormat=P","Fill=—","Direction=H","UseDPDF=Y")</f>
        <v>8314</v>
      </c>
    </row>
    <row r="22" spans="1:27" x14ac:dyDescent="0.25">
      <c r="A22" s="10" t="s">
        <v>929</v>
      </c>
      <c r="B22" s="10" t="s">
        <v>930</v>
      </c>
      <c r="C22" s="13">
        <f>_xll.BDH("GILD US Equity","ARD_OTHER_NONCURRENT_ASSET","FQ4 2018","FQ4 2018","Currency=USD","Period=FQ","BEST_FPERIOD_OVERRIDE=FQ","FILING_STATUS=MR","SCALING_FORMAT=MLN","Sort=A","Dates=H","DateFormat=P","Fill=—","Direction=H","UseDPDF=Y")</f>
        <v>2555</v>
      </c>
      <c r="D22" s="13">
        <f>_xll.BDH("GILD US Equity","ARD_OTHER_NONCURRENT_ASSET","FQ1 2019","FQ1 2019","Currency=USD","Period=FQ","BEST_FPERIOD_OVERRIDE=FQ","FILING_STATUS=MR","SCALING_FORMAT=MLN","Sort=A","Dates=H","DateFormat=P","Fill=—","Direction=H","UseDPDF=Y")</f>
        <v>2921</v>
      </c>
      <c r="E22" s="13">
        <f>_xll.BDH("GILD US Equity","ARD_OTHER_NONCURRENT_ASSET","FQ2 2019","FQ2 2019","Currency=USD","Period=FQ","BEST_FPERIOD_OVERRIDE=FQ","FILING_STATUS=MR","SCALING_FORMAT=MLN","Sort=A","Dates=H","DateFormat=P","Fill=—","Direction=H","UseDPDF=Y")</f>
        <v>2914</v>
      </c>
      <c r="F22" s="13">
        <f>_xll.BDH("GILD US Equity","ARD_OTHER_NONCURRENT_ASSET","FQ3 2019","FQ3 2019","Currency=USD","Period=FQ","BEST_FPERIOD_OVERRIDE=FQ","FILING_STATUS=MR","SCALING_FORMAT=MLN","Sort=A","Dates=H","DateFormat=P","Fill=—","Direction=H","UseDPDF=Y")</f>
        <v>5232</v>
      </c>
      <c r="G22" s="13">
        <f>_xll.BDH("GILD US Equity","ARD_OTHER_NONCURRENT_ASSET","FQ4 2019","FQ4 2019","Currency=USD","Period=FQ","BEST_FPERIOD_OVERRIDE=FQ","FILING_STATUS=MR","SCALING_FORMAT=MLN","Sort=A","Dates=H","DateFormat=P","Fill=—","Direction=H","UseDPDF=Y")</f>
        <v>7438</v>
      </c>
      <c r="H22" s="13">
        <f>_xll.BDH("GILD US Equity","ARD_OTHER_NONCURRENT_ASSET","FQ1 2020","FQ1 2020","Currency=USD","Period=FQ","BEST_FPERIOD_OVERRIDE=FQ","FILING_STATUS=MR","SCALING_FORMAT=MLN","Sort=A","Dates=H","DateFormat=P","Fill=—","Direction=H","UseDPDF=Y")</f>
        <v>7079</v>
      </c>
      <c r="I22" s="13">
        <f>_xll.BDH("GILD US Equity","ARD_OTHER_NONCURRENT_ASSET","FQ2 2020","FQ2 2020","Currency=USD","Period=FQ","BEST_FPERIOD_OVERRIDE=FQ","FILING_STATUS=MR","SCALING_FORMAT=MLN","Sort=A","Dates=H","DateFormat=P","Fill=—","Direction=H","UseDPDF=Y")</f>
        <v>7020</v>
      </c>
      <c r="J22" s="13">
        <f>_xll.BDH("GILD US Equity","ARD_OTHER_NONCURRENT_ASSET","FQ3 2020","FQ3 2020","Currency=USD","Period=FQ","BEST_FPERIOD_OVERRIDE=FQ","FILING_STATUS=MR","SCALING_FORMAT=MLN","Sort=A","Dates=H","DateFormat=P","Fill=—","Direction=H","UseDPDF=Y")</f>
        <v>6012</v>
      </c>
      <c r="K22" s="13">
        <f>_xll.BDH("GILD US Equity","ARD_OTHER_NONCURRENT_ASSET","FQ4 2020","FQ4 2020","Currency=USD","Period=FQ","BEST_FPERIOD_OVERRIDE=FQ","FILING_STATUS=MR","SCALING_FORMAT=MLN","Sort=A","Dates=H","DateFormat=P","Fill=—","Direction=H","UseDPDF=Y")</f>
        <v>5708</v>
      </c>
      <c r="L22" s="13">
        <f>_xll.BDH("GILD US Equity","ARD_OTHER_NONCURRENT_ASSET","FQ1 2021","FQ1 2021","Currency=USD","Period=FQ","BEST_FPERIOD_OVERRIDE=FQ","FILING_STATUS=MR","SCALING_FORMAT=MLN","Sort=A","Dates=H","DateFormat=P","Fill=—","Direction=H","UseDPDF=Y")</f>
        <v>5530</v>
      </c>
      <c r="M22" s="13">
        <f>_xll.BDH("GILD US Equity","ARD_OTHER_NONCURRENT_ASSET","FQ2 2021","FQ2 2021","Currency=USD","Period=FQ","BEST_FPERIOD_OVERRIDE=FQ","FILING_STATUS=MR","SCALING_FORMAT=MLN","Sort=A","Dates=H","DateFormat=P","Fill=—","Direction=H","UseDPDF=Y")</f>
        <v>5552</v>
      </c>
      <c r="N22" s="13">
        <f>_xll.BDH("GILD US Equity","ARD_OTHER_NONCURRENT_ASSET","FQ3 2021","FQ3 2021","Currency=USD","Period=FQ","BEST_FPERIOD_OVERRIDE=FQ","FILING_STATUS=MR","SCALING_FORMAT=MLN","Sort=A","Dates=H","DateFormat=P","Fill=—","Direction=H","UseDPDF=Y")</f>
        <v>4739</v>
      </c>
      <c r="O22" s="13">
        <f>_xll.BDH("GILD US Equity","ARD_OTHER_NONCURRENT_ASSET","FQ4 2021","FQ4 2021","Currency=USD","Period=FQ","BEST_FPERIOD_OVERRIDE=FQ","FILING_STATUS=MR","SCALING_FORMAT=MLN","Sort=A","Dates=H","DateFormat=P","Fill=—","Direction=H","UseDPDF=Y")</f>
        <v>4963</v>
      </c>
      <c r="P22" s="13">
        <f>_xll.BDH("GILD US Equity","ARD_OTHER_NONCURRENT_ASSET","FQ1 2022","FQ1 2022","Currency=USD","Period=FQ","BEST_FPERIOD_OVERRIDE=FQ","FILING_STATUS=MR","SCALING_FORMAT=MLN","Sort=A","Dates=H","DateFormat=P","Fill=—","Direction=H","UseDPDF=Y")</f>
        <v>5126</v>
      </c>
      <c r="Q22" s="13">
        <f>_xll.BDH("GILD US Equity","ARD_OTHER_NONCURRENT_ASSET","FQ2 2022","FQ2 2022","Currency=USD","Period=FQ","BEST_FPERIOD_OVERRIDE=FQ","FILING_STATUS=MR","SCALING_FORMAT=MLN","Sort=A","Dates=H","DateFormat=P","Fill=—","Direction=H","UseDPDF=Y")</f>
        <v>4860</v>
      </c>
      <c r="R22" s="13">
        <f>_xll.BDH("GILD US Equity","ARD_OTHER_NONCURRENT_ASSET","FQ3 2022","FQ3 2022","Currency=USD","Period=FQ","BEST_FPERIOD_OVERRIDE=FQ","FILING_STATUS=MR","SCALING_FORMAT=MLN","Sort=A","Dates=H","DateFormat=P","Fill=—","Direction=H","UseDPDF=Y")</f>
        <v>4618</v>
      </c>
      <c r="S22" s="13">
        <f>_xll.BDH("GILD US Equity","ARD_OTHER_NONCURRENT_ASSET","FQ4 2022","FQ4 2022","Currency=USD","Period=FQ","BEST_FPERIOD_OVERRIDE=FQ","FILING_STATUS=MR","SCALING_FORMAT=MLN","Sort=A","Dates=H","DateFormat=P","Fill=—","Direction=H","UseDPDF=Y")</f>
        <v>4800</v>
      </c>
      <c r="T22" s="13">
        <f>_xll.BDH("GILD US Equity","ARD_OTHER_NONCURRENT_ASSET","FQ1 2023","FQ1 2023","Currency=USD","Period=FQ","BEST_FPERIOD_OVERRIDE=FQ","FILING_STATUS=MR","SCALING_FORMAT=MLN","Sort=A","Dates=H","DateFormat=P","Fill=—","Direction=H","UseDPDF=Y")</f>
        <v>4952</v>
      </c>
      <c r="U22" s="13">
        <f>_xll.BDH("GILD US Equity","ARD_OTHER_NONCURRENT_ASSET","FQ2 2023","FQ2 2023","Currency=USD","Period=FQ","BEST_FPERIOD_OVERRIDE=FQ","FILING_STATUS=MR","SCALING_FORMAT=MLN","Sort=A","Dates=H","DateFormat=P","Fill=—","Direction=H","UseDPDF=Y")</f>
        <v>5112</v>
      </c>
      <c r="V22" s="13">
        <f>_xll.BDH("GILD US Equity","ARD_OTHER_NONCURRENT_ASSET","FQ3 2023","FQ3 2023","Currency=USD","Period=FQ","BEST_FPERIOD_OVERRIDE=FQ","FILING_STATUS=MR","SCALING_FORMAT=MLN","Sort=A","Dates=H","DateFormat=P","Fill=—","Direction=H","UseDPDF=Y")</f>
        <v>4199</v>
      </c>
      <c r="W22" s="13">
        <f>_xll.BDH("GILD US Equity","ARD_OTHER_NONCURRENT_ASSET","FQ4 2023","FQ4 2023","Currency=USD","Period=FQ","BEST_FPERIOD_OVERRIDE=FQ","FILING_STATUS=MR","SCALING_FORMAT=MLN","Sort=A","Dates=H","DateFormat=P","Fill=—","Direction=H","UseDPDF=Y")</f>
        <v>4792</v>
      </c>
      <c r="X22" s="13">
        <f>_xll.BDH("GILD US Equity","ARD_OTHER_NONCURRENT_ASSET","FQ1 2024","FQ1 2024","Currency=USD","Period=FQ","BEST_FPERIOD_OVERRIDE=FQ","FILING_STATUS=MR","SCALING_FORMAT=MLN","Sort=A","Dates=H","DateFormat=P","Fill=—","Direction=H","UseDPDF=Y")</f>
        <v>5188</v>
      </c>
      <c r="Y22" s="13">
        <f>_xll.BDH("GILD US Equity","ARD_OTHER_NONCURRENT_ASSET","FQ2 2024","FQ2 2024","Currency=USD","Period=FQ","BEST_FPERIOD_OVERRIDE=FQ","FILING_STATUS=MR","SCALING_FORMAT=MLN","Sort=A","Dates=H","DateFormat=P","Fill=—","Direction=H","UseDPDF=Y")</f>
        <v>4770</v>
      </c>
      <c r="Z22" s="13">
        <f>_xll.BDH("GILD US Equity","ARD_OTHER_NONCURRENT_ASSET","FQ3 2024","FQ3 2024","Currency=USD","Period=FQ","BEST_FPERIOD_OVERRIDE=FQ","FILING_STATUS=MR","SCALING_FORMAT=MLN","Sort=A","Dates=H","DateFormat=P","Fill=—","Direction=H","UseDPDF=Y")</f>
        <v>5495</v>
      </c>
      <c r="AA22" s="13">
        <f>_xll.BDH("GILD US Equity","ARD_OTHER_NONCURRENT_ASSET","FQ4 2024","FQ4 2024","Currency=USD","Period=FQ","BEST_FPERIOD_OVERRIDE=FQ","FILING_STATUS=MR","SCALING_FORMAT=MLN","Sort=A","Dates=H","DateFormat=P","Fill=—","Direction=H","UseDPDF=Y")</f>
        <v>6147</v>
      </c>
    </row>
    <row r="23" spans="1:27" x14ac:dyDescent="0.25">
      <c r="A23" s="10" t="s">
        <v>931</v>
      </c>
      <c r="B23" s="10" t="s">
        <v>932</v>
      </c>
      <c r="C23" s="13" t="str">
        <f>_xll.BDH("GILD US Equity","ARD_TOTAL_NONCURRENT_ASSETS","FQ4 2018","FQ4 2018","Currency=USD","Period=FQ","BEST_FPERIOD_OVERRIDE=FQ","FILING_STATUS=MR","SCALING_FORMAT=MLN","Sort=A","Dates=H","DateFormat=P","Fill=—","Direction=H","UseDPDF=Y")</f>
        <v>—</v>
      </c>
      <c r="D23" s="13" t="str">
        <f>_xll.BDH("GILD US Equity","ARD_TOTAL_NONCURRENT_ASSETS","FQ1 2019","FQ1 2019","Currency=USD","Period=FQ","BEST_FPERIOD_OVERRIDE=FQ","FILING_STATUS=MR","SCALING_FORMAT=MLN","Sort=A","Dates=H","DateFormat=P","Fill=—","Direction=H","UseDPDF=Y")</f>
        <v>—</v>
      </c>
      <c r="E23" s="13" t="str">
        <f>_xll.BDH("GILD US Equity","ARD_TOTAL_NONCURRENT_ASSETS","FQ2 2019","FQ2 2019","Currency=USD","Period=FQ","BEST_FPERIOD_OVERRIDE=FQ","FILING_STATUS=MR","SCALING_FORMAT=MLN","Sort=A","Dates=H","DateFormat=P","Fill=—","Direction=H","UseDPDF=Y")</f>
        <v>—</v>
      </c>
      <c r="F23" s="13" t="str">
        <f>_xll.BDH("GILD US Equity","ARD_TOTAL_NONCURRENT_ASSETS","FQ3 2019","FQ3 2019","Currency=USD","Period=FQ","BEST_FPERIOD_OVERRIDE=FQ","FILING_STATUS=MR","SCALING_FORMAT=MLN","Sort=A","Dates=H","DateFormat=P","Fill=—","Direction=H","UseDPDF=Y")</f>
        <v>—</v>
      </c>
      <c r="G23" s="13" t="str">
        <f>_xll.BDH("GILD US Equity","ARD_TOTAL_NONCURRENT_ASSETS","FQ4 2019","FQ4 2019","Currency=USD","Period=FQ","BEST_FPERIOD_OVERRIDE=FQ","FILING_STATUS=MR","SCALING_FORMAT=MLN","Sort=A","Dates=H","DateFormat=P","Fill=—","Direction=H","UseDPDF=Y")</f>
        <v>—</v>
      </c>
      <c r="H23" s="13" t="str">
        <f>_xll.BDH("GILD US Equity","ARD_TOTAL_NONCURRENT_ASSETS","FQ1 2020","FQ1 2020","Currency=USD","Period=FQ","BEST_FPERIOD_OVERRIDE=FQ","FILING_STATUS=MR","SCALING_FORMAT=MLN","Sort=A","Dates=H","DateFormat=P","Fill=—","Direction=H","UseDPDF=Y")</f>
        <v>—</v>
      </c>
      <c r="I23" s="13" t="str">
        <f>_xll.BDH("GILD US Equity","ARD_TOTAL_NONCURRENT_ASSETS","FQ2 2020","FQ2 2020","Currency=USD","Period=FQ","BEST_FPERIOD_OVERRIDE=FQ","FILING_STATUS=MR","SCALING_FORMAT=MLN","Sort=A","Dates=H","DateFormat=P","Fill=—","Direction=H","UseDPDF=Y")</f>
        <v>—</v>
      </c>
      <c r="J23" s="13" t="str">
        <f>_xll.BDH("GILD US Equity","ARD_TOTAL_NONCURRENT_ASSETS","FQ3 2020","FQ3 2020","Currency=USD","Period=FQ","BEST_FPERIOD_OVERRIDE=FQ","FILING_STATUS=MR","SCALING_FORMAT=MLN","Sort=A","Dates=H","DateFormat=P","Fill=—","Direction=H","UseDPDF=Y")</f>
        <v>—</v>
      </c>
      <c r="K23" s="13" t="str">
        <f>_xll.BDH("GILD US Equity","ARD_TOTAL_NONCURRENT_ASSETS","FQ4 2020","FQ4 2020","Currency=USD","Period=FQ","BEST_FPERIOD_OVERRIDE=FQ","FILING_STATUS=MR","SCALING_FORMAT=MLN","Sort=A","Dates=H","DateFormat=P","Fill=—","Direction=H","UseDPDF=Y")</f>
        <v>—</v>
      </c>
      <c r="L23" s="13" t="str">
        <f>_xll.BDH("GILD US Equity","ARD_TOTAL_NONCURRENT_ASSETS","FQ1 2021","FQ1 2021","Currency=USD","Period=FQ","BEST_FPERIOD_OVERRIDE=FQ","FILING_STATUS=MR","SCALING_FORMAT=MLN","Sort=A","Dates=H","DateFormat=P","Fill=—","Direction=H","UseDPDF=Y")</f>
        <v>—</v>
      </c>
      <c r="M23" s="13" t="str">
        <f>_xll.BDH("GILD US Equity","ARD_TOTAL_NONCURRENT_ASSETS","FQ2 2021","FQ2 2021","Currency=USD","Period=FQ","BEST_FPERIOD_OVERRIDE=FQ","FILING_STATUS=MR","SCALING_FORMAT=MLN","Sort=A","Dates=H","DateFormat=P","Fill=—","Direction=H","UseDPDF=Y")</f>
        <v>—</v>
      </c>
      <c r="N23" s="13" t="str">
        <f>_xll.BDH("GILD US Equity","ARD_TOTAL_NONCURRENT_ASSETS","FQ3 2021","FQ3 2021","Currency=USD","Period=FQ","BEST_FPERIOD_OVERRIDE=FQ","FILING_STATUS=MR","SCALING_FORMAT=MLN","Sort=A","Dates=H","DateFormat=P","Fill=—","Direction=H","UseDPDF=Y")</f>
        <v>—</v>
      </c>
      <c r="O23" s="13" t="str">
        <f>_xll.BDH("GILD US Equity","ARD_TOTAL_NONCURRENT_ASSETS","FQ4 2021","FQ4 2021","Currency=USD","Period=FQ","BEST_FPERIOD_OVERRIDE=FQ","FILING_STATUS=MR","SCALING_FORMAT=MLN","Sort=A","Dates=H","DateFormat=P","Fill=—","Direction=H","UseDPDF=Y")</f>
        <v>—</v>
      </c>
      <c r="P23" s="13" t="str">
        <f>_xll.BDH("GILD US Equity","ARD_TOTAL_NONCURRENT_ASSETS","FQ1 2022","FQ1 2022","Currency=USD","Period=FQ","BEST_FPERIOD_OVERRIDE=FQ","FILING_STATUS=MR","SCALING_FORMAT=MLN","Sort=A","Dates=H","DateFormat=P","Fill=—","Direction=H","UseDPDF=Y")</f>
        <v>—</v>
      </c>
      <c r="Q23" s="13" t="str">
        <f>_xll.BDH("GILD US Equity","ARD_TOTAL_NONCURRENT_ASSETS","FQ2 2022","FQ2 2022","Currency=USD","Period=FQ","BEST_FPERIOD_OVERRIDE=FQ","FILING_STATUS=MR","SCALING_FORMAT=MLN","Sort=A","Dates=H","DateFormat=P","Fill=—","Direction=H","UseDPDF=Y")</f>
        <v>—</v>
      </c>
      <c r="R23" s="13" t="str">
        <f>_xll.BDH("GILD US Equity","ARD_TOTAL_NONCURRENT_ASSETS","FQ3 2022","FQ3 2022","Currency=USD","Period=FQ","BEST_FPERIOD_OVERRIDE=FQ","FILING_STATUS=MR","SCALING_FORMAT=MLN","Sort=A","Dates=H","DateFormat=P","Fill=—","Direction=H","UseDPDF=Y")</f>
        <v>—</v>
      </c>
      <c r="S23" s="13" t="str">
        <f>_xll.BDH("GILD US Equity","ARD_TOTAL_NONCURRENT_ASSETS","FQ4 2022","FQ4 2022","Currency=USD","Period=FQ","BEST_FPERIOD_OVERRIDE=FQ","FILING_STATUS=MR","SCALING_FORMAT=MLN","Sort=A","Dates=H","DateFormat=P","Fill=—","Direction=H","UseDPDF=Y")</f>
        <v>—</v>
      </c>
      <c r="T23" s="13" t="str">
        <f>_xll.BDH("GILD US Equity","ARD_TOTAL_NONCURRENT_ASSETS","FQ1 2023","FQ1 2023","Currency=USD","Period=FQ","BEST_FPERIOD_OVERRIDE=FQ","FILING_STATUS=MR","SCALING_FORMAT=MLN","Sort=A","Dates=H","DateFormat=P","Fill=—","Direction=H","UseDPDF=Y")</f>
        <v>—</v>
      </c>
      <c r="U23" s="13" t="str">
        <f>_xll.BDH("GILD US Equity","ARD_TOTAL_NONCURRENT_ASSETS","FQ2 2023","FQ2 2023","Currency=USD","Period=FQ","BEST_FPERIOD_OVERRIDE=FQ","FILING_STATUS=MR","SCALING_FORMAT=MLN","Sort=A","Dates=H","DateFormat=P","Fill=—","Direction=H","UseDPDF=Y")</f>
        <v>—</v>
      </c>
      <c r="V23" s="13" t="str">
        <f>_xll.BDH("GILD US Equity","ARD_TOTAL_NONCURRENT_ASSETS","FQ3 2023","FQ3 2023","Currency=USD","Period=FQ","BEST_FPERIOD_OVERRIDE=FQ","FILING_STATUS=MR","SCALING_FORMAT=MLN","Sort=A","Dates=H","DateFormat=P","Fill=—","Direction=H","UseDPDF=Y")</f>
        <v>—</v>
      </c>
      <c r="W23" s="13" t="str">
        <f>_xll.BDH("GILD US Equity","ARD_TOTAL_NONCURRENT_ASSETS","FQ4 2023","FQ4 2023","Currency=USD","Period=FQ","BEST_FPERIOD_OVERRIDE=FQ","FILING_STATUS=MR","SCALING_FORMAT=MLN","Sort=A","Dates=H","DateFormat=P","Fill=—","Direction=H","UseDPDF=Y")</f>
        <v>—</v>
      </c>
      <c r="X23" s="13">
        <f>_xll.BDH("GILD US Equity","ARD_TOTAL_NONCURRENT_ASSETS","FQ1 2024","FQ1 2024","Currency=USD","Period=FQ","BEST_FPERIOD_OVERRIDE=FQ","FILING_STATUS=MR","SCALING_FORMAT=MLN","Sort=A","Dates=H","DateFormat=P","Fill=—","Direction=H","UseDPDF=Y")</f>
        <v>42251</v>
      </c>
      <c r="Y23" s="13" t="str">
        <f>_xll.BDH("GILD US Equity","ARD_TOTAL_NONCURRENT_ASSETS","FQ2 2024","FQ2 2024","Currency=USD","Period=FQ","BEST_FPERIOD_OVERRIDE=FQ","FILING_STATUS=MR","SCALING_FORMAT=MLN","Sort=A","Dates=H","DateFormat=P","Fill=—","Direction=H","UseDPDF=Y")</f>
        <v>—</v>
      </c>
      <c r="Z23" s="13" t="str">
        <f>_xll.BDH("GILD US Equity","ARD_TOTAL_NONCURRENT_ASSETS","FQ3 2024","FQ3 2024","Currency=USD","Period=FQ","BEST_FPERIOD_OVERRIDE=FQ","FILING_STATUS=MR","SCALING_FORMAT=MLN","Sort=A","Dates=H","DateFormat=P","Fill=—","Direction=H","UseDPDF=Y")</f>
        <v>—</v>
      </c>
      <c r="AA23" s="13" t="str">
        <f>_xll.BDH("GILD US Equity","ARD_TOTAL_NONCURRENT_ASSETS","FQ4 2024","FQ4 2024","Currency=USD","Period=FQ","BEST_FPERIOD_OVERRIDE=FQ","FILING_STATUS=MR","SCALING_FORMAT=MLN","Sort=A","Dates=H","DateFormat=P","Fill=—","Direction=H","UseDPDF=Y")</f>
        <v>—</v>
      </c>
    </row>
    <row r="24" spans="1:27" x14ac:dyDescent="0.25">
      <c r="A24" s="6" t="s">
        <v>112</v>
      </c>
      <c r="B24" s="6" t="s">
        <v>933</v>
      </c>
      <c r="C24" s="19">
        <f>_xll.BDH("GILD US Equity","ARD_TOT_ASSETS","FQ4 2018","FQ4 2018","Currency=USD","Period=FQ","BEST_FPERIOD_OVERRIDE=FQ","FILING_STATUS=MR","SCALING_FORMAT=MLN","Sort=A","Dates=H","DateFormat=P","Fill=—","Direction=H","UseDPDF=Y")</f>
        <v>63675</v>
      </c>
      <c r="D24" s="19">
        <f>_xll.BDH("GILD US Equity","ARD_TOT_ASSETS","FQ1 2019","FQ1 2019","Currency=USD","Period=FQ","BEST_FPERIOD_OVERRIDE=FQ","FILING_STATUS=MR","SCALING_FORMAT=MLN","Sort=A","Dates=H","DateFormat=P","Fill=—","Direction=H","UseDPDF=Y")</f>
        <v>62837</v>
      </c>
      <c r="E24" s="19">
        <f>_xll.BDH("GILD US Equity","ARD_TOT_ASSETS","FQ2 2019","FQ2 2019","Currency=USD","Period=FQ","BEST_FPERIOD_OVERRIDE=FQ","FILING_STATUS=MR","SCALING_FORMAT=MLN","Sort=A","Dates=H","DateFormat=P","Fill=—","Direction=H","UseDPDF=Y")</f>
        <v>63210</v>
      </c>
      <c r="F24" s="19">
        <f>_xll.BDH("GILD US Equity","ARD_TOT_ASSETS","FQ3 2019","FQ3 2019","Currency=USD","Period=FQ","BEST_FPERIOD_OVERRIDE=FQ","FILING_STATUS=MR","SCALING_FORMAT=MLN","Sort=A","Dates=H","DateFormat=P","Fill=—","Direction=H","UseDPDF=Y")</f>
        <v>59146</v>
      </c>
      <c r="G24" s="19">
        <f>_xll.BDH("GILD US Equity","ARD_TOT_ASSETS","FQ4 2019","FQ4 2019","Currency=USD","Period=FQ","BEST_FPERIOD_OVERRIDE=FQ","FILING_STATUS=MR","SCALING_FORMAT=MLN","Sort=A","Dates=H","DateFormat=P","Fill=—","Direction=H","UseDPDF=Y")</f>
        <v>61627</v>
      </c>
      <c r="H24" s="19">
        <f>_xll.BDH("GILD US Equity","ARD_TOT_ASSETS","FQ1 2020","FQ1 2020","Currency=USD","Period=FQ","BEST_FPERIOD_OVERRIDE=FQ","FILING_STATUS=MR","SCALING_FORMAT=MLN","Sort=A","Dates=H","DateFormat=P","Fill=—","Direction=H","UseDPDF=Y")</f>
        <v>59741</v>
      </c>
      <c r="I24" s="19">
        <f>_xll.BDH("GILD US Equity","ARD_TOT_ASSETS","FQ2 2020","FQ2 2020","Currency=USD","Period=FQ","BEST_FPERIOD_OVERRIDE=FQ","FILING_STATUS=MR","SCALING_FORMAT=MLN","Sort=A","Dates=H","DateFormat=P","Fill=—","Direction=H","UseDPDF=Y")</f>
        <v>55934</v>
      </c>
      <c r="J24" s="19">
        <f>_xll.BDH("GILD US Equity","ARD_TOT_ASSETS","FQ3 2020","FQ3 2020","Currency=USD","Period=FQ","BEST_FPERIOD_OVERRIDE=FQ","FILING_STATUS=MR","SCALING_FORMAT=MLN","Sort=A","Dates=H","DateFormat=P","Fill=—","Direction=H","UseDPDF=Y")</f>
        <v>60878</v>
      </c>
      <c r="K24" s="19">
        <f>_xll.BDH("GILD US Equity","ARD_TOT_ASSETS","FQ4 2020","FQ4 2020","Currency=USD","Period=FQ","BEST_FPERIOD_OVERRIDE=FQ","FILING_STATUS=MR","SCALING_FORMAT=MLN","Sort=A","Dates=H","DateFormat=P","Fill=—","Direction=H","UseDPDF=Y")</f>
        <v>68407</v>
      </c>
      <c r="L24" s="19">
        <f>_xll.BDH("GILD US Equity","ARD_TOT_ASSETS","FQ1 2021","FQ1 2021","Currency=USD","Period=FQ","BEST_FPERIOD_OVERRIDE=FQ","FILING_STATUS=MR","SCALING_FORMAT=MLN","Sort=A","Dates=H","DateFormat=P","Fill=—","Direction=H","UseDPDF=Y")</f>
        <v>67492</v>
      </c>
      <c r="M24" s="19">
        <f>_xll.BDH("GILD US Equity","ARD_TOT_ASSETS","FQ2 2021","FQ2 2021","Currency=USD","Period=FQ","BEST_FPERIOD_OVERRIDE=FQ","FILING_STATUS=MR","SCALING_FORMAT=MLN","Sort=A","Dates=H","DateFormat=P","Fill=—","Direction=H","UseDPDF=Y")</f>
        <v>67984</v>
      </c>
      <c r="N24" s="19">
        <f>_xll.BDH("GILD US Equity","ARD_TOT_ASSETS","FQ3 2021","FQ3 2021","Currency=USD","Period=FQ","BEST_FPERIOD_OVERRIDE=FQ","FILING_STATUS=MR","SCALING_FORMAT=MLN","Sort=A","Dates=H","DateFormat=P","Fill=—","Direction=H","UseDPDF=Y")</f>
        <v>67098</v>
      </c>
      <c r="O24" s="19">
        <f>_xll.BDH("GILD US Equity","ARD_TOT_ASSETS","FQ4 2021","FQ4 2021","Currency=USD","Period=FQ","BEST_FPERIOD_OVERRIDE=FQ","FILING_STATUS=MR","SCALING_FORMAT=MLN","Sort=A","Dates=H","DateFormat=P","Fill=—","Direction=H","UseDPDF=Y")</f>
        <v>67952</v>
      </c>
      <c r="P24" s="19">
        <f>_xll.BDH("GILD US Equity","ARD_TOT_ASSETS","FQ1 2022","FQ1 2022","Currency=USD","Period=FQ","BEST_FPERIOD_OVERRIDE=FQ","FILING_STATUS=MR","SCALING_FORMAT=MLN","Sort=A","Dates=H","DateFormat=P","Fill=—","Direction=H","UseDPDF=Y")</f>
        <v>63080</v>
      </c>
      <c r="Q24" s="19">
        <f>_xll.BDH("GILD US Equity","ARD_TOT_ASSETS","FQ2 2022","FQ2 2022","Currency=USD","Period=FQ","BEST_FPERIOD_OVERRIDE=FQ","FILING_STATUS=MR","SCALING_FORMAT=MLN","Sort=A","Dates=H","DateFormat=P","Fill=—","Direction=H","UseDPDF=Y")</f>
        <v>62870</v>
      </c>
      <c r="R24" s="19">
        <f>_xll.BDH("GILD US Equity","ARD_TOT_ASSETS","FQ3 2022","FQ3 2022","Currency=USD","Period=FQ","BEST_FPERIOD_OVERRIDE=FQ","FILING_STATUS=MR","SCALING_FORMAT=MLN","Sort=A","Dates=H","DateFormat=P","Fill=—","Direction=H","UseDPDF=Y")</f>
        <v>62557</v>
      </c>
      <c r="S24" s="19">
        <f>_xll.BDH("GILD US Equity","ARD_TOT_ASSETS","FQ4 2022","FQ4 2022","Currency=USD","Period=FQ","BEST_FPERIOD_OVERRIDE=FQ","FILING_STATUS=MR","SCALING_FORMAT=MLN","Sort=A","Dates=H","DateFormat=P","Fill=—","Direction=H","UseDPDF=Y")</f>
        <v>63171</v>
      </c>
      <c r="T24" s="19">
        <f>_xll.BDH("GILD US Equity","ARD_TOT_ASSETS","FQ1 2023","FQ1 2023","Currency=USD","Period=FQ","BEST_FPERIOD_OVERRIDE=FQ","FILING_STATUS=MR","SCALING_FORMAT=MLN","Sort=A","Dates=H","DateFormat=P","Fill=—","Direction=H","UseDPDF=Y")</f>
        <v>61876</v>
      </c>
      <c r="U24" s="19">
        <f>_xll.BDH("GILD US Equity","ARD_TOT_ASSETS","FQ2 2023","FQ2 2023","Currency=USD","Period=FQ","BEST_FPERIOD_OVERRIDE=FQ","FILING_STATUS=MR","SCALING_FORMAT=MLN","Sort=A","Dates=H","DateFormat=P","Fill=—","Direction=H","UseDPDF=Y")</f>
        <v>62337</v>
      </c>
      <c r="V24" s="19">
        <f>_xll.BDH("GILD US Equity","ARD_TOT_ASSETS","FQ3 2023","FQ3 2023","Currency=USD","Period=FQ","BEST_FPERIOD_OVERRIDE=FQ","FILING_STATUS=MR","SCALING_FORMAT=MLN","Sort=A","Dates=H","DateFormat=P","Fill=—","Direction=H","UseDPDF=Y")</f>
        <v>62373</v>
      </c>
      <c r="W24" s="19">
        <f>_xll.BDH("GILD US Equity","ARD_TOT_ASSETS","FQ4 2023","FQ4 2023","Currency=USD","Period=FQ","BEST_FPERIOD_OVERRIDE=FQ","FILING_STATUS=MR","SCALING_FORMAT=MLN","Sort=A","Dates=H","DateFormat=P","Fill=—","Direction=H","UseDPDF=Y")</f>
        <v>62125</v>
      </c>
      <c r="X24" s="19">
        <f>_xll.BDH("GILD US Equity","ARD_TOT_ASSETS","FQ1 2024","FQ1 2024","Currency=USD","Period=FQ","BEST_FPERIOD_OVERRIDE=FQ","FILING_STATUS=MR","SCALING_FORMAT=MLN","Sort=A","Dates=H","DateFormat=P","Fill=—","Direction=H","UseDPDF=Y")</f>
        <v>56292</v>
      </c>
      <c r="Y24" s="19">
        <f>_xll.BDH("GILD US Equity","ARD_TOT_ASSETS","FQ2 2024","FQ2 2024","Currency=USD","Period=FQ","BEST_FPERIOD_OVERRIDE=FQ","FILING_STATUS=MR","SCALING_FORMAT=MLN","Sort=A","Dates=H","DateFormat=P","Fill=—","Direction=H","UseDPDF=Y")</f>
        <v>53579</v>
      </c>
      <c r="Z24" s="19">
        <f>_xll.BDH("GILD US Equity","ARD_TOT_ASSETS","FQ3 2024","FQ3 2024","Currency=USD","Period=FQ","BEST_FPERIOD_OVERRIDE=FQ","FILING_STATUS=MR","SCALING_FORMAT=MLN","Sort=A","Dates=H","DateFormat=P","Fill=—","Direction=H","UseDPDF=Y")</f>
        <v>54525</v>
      </c>
      <c r="AA24" s="19">
        <f>_xll.BDH("GILD US Equity","ARD_TOT_ASSETS","FQ4 2024","FQ4 2024","Currency=USD","Period=FQ","BEST_FPERIOD_OVERRIDE=FQ","FILING_STATUS=MR","SCALING_FORMAT=MLN","Sort=A","Dates=H","DateFormat=P","Fill=—","Direction=H","UseDPDF=Y")</f>
        <v>58995</v>
      </c>
    </row>
    <row r="25" spans="1:27" x14ac:dyDescent="0.25">
      <c r="A25" s="10" t="s">
        <v>934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5">
      <c r="A26" s="10" t="s">
        <v>935</v>
      </c>
      <c r="B26" s="10" t="s">
        <v>936</v>
      </c>
      <c r="C26" s="13">
        <f>_xll.BDH("GILD US Equity","ARD_ACCOUNTS_PAYABLE_TRADE","FQ4 2018","FQ4 2018","Currency=USD","Period=FQ","BEST_FPERIOD_OVERRIDE=FQ","FILING_STATUS=MR","SCALING_FORMAT=MLN","Sort=A","Dates=H","DateFormat=P","Fill=—","Direction=H","UseDPDF=Y")</f>
        <v>790</v>
      </c>
      <c r="D26" s="13">
        <f>_xll.BDH("GILD US Equity","ARD_ACCOUNTS_PAYABLE_TRADE","FQ1 2019","FQ1 2019","Currency=USD","Period=FQ","BEST_FPERIOD_OVERRIDE=FQ","FILING_STATUS=MR","SCALING_FORMAT=MLN","Sort=A","Dates=H","DateFormat=P","Fill=—","Direction=H","UseDPDF=Y")</f>
        <v>577</v>
      </c>
      <c r="E26" s="13">
        <f>_xll.BDH("GILD US Equity","ARD_ACCOUNTS_PAYABLE_TRADE","FQ2 2019","FQ2 2019","Currency=USD","Period=FQ","BEST_FPERIOD_OVERRIDE=FQ","FILING_STATUS=MR","SCALING_FORMAT=MLN","Sort=A","Dates=H","DateFormat=P","Fill=—","Direction=H","UseDPDF=Y")</f>
        <v>617</v>
      </c>
      <c r="F26" s="13">
        <f>_xll.BDH("GILD US Equity","ARD_ACCOUNTS_PAYABLE_TRADE","FQ3 2019","FQ3 2019","Currency=USD","Period=FQ","BEST_FPERIOD_OVERRIDE=FQ","FILING_STATUS=MR","SCALING_FORMAT=MLN","Sort=A","Dates=H","DateFormat=P","Fill=—","Direction=H","UseDPDF=Y")</f>
        <v>632</v>
      </c>
      <c r="G26" s="13">
        <f>_xll.BDH("GILD US Equity","ARD_ACCOUNTS_PAYABLE_TRADE","FQ4 2019","FQ4 2019","Currency=USD","Period=FQ","BEST_FPERIOD_OVERRIDE=FQ","FILING_STATUS=MR","SCALING_FORMAT=MLN","Sort=A","Dates=H","DateFormat=P","Fill=—","Direction=H","UseDPDF=Y")</f>
        <v>713</v>
      </c>
      <c r="H26" s="13">
        <f>_xll.BDH("GILD US Equity","ARD_ACCOUNTS_PAYABLE_TRADE","FQ1 2020","FQ1 2020","Currency=USD","Period=FQ","BEST_FPERIOD_OVERRIDE=FQ","FILING_STATUS=MR","SCALING_FORMAT=MLN","Sort=A","Dates=H","DateFormat=P","Fill=—","Direction=H","UseDPDF=Y")</f>
        <v>590</v>
      </c>
      <c r="I26" s="13">
        <f>_xll.BDH("GILD US Equity","ARD_ACCOUNTS_PAYABLE_TRADE","FQ2 2020","FQ2 2020","Currency=USD","Period=FQ","BEST_FPERIOD_OVERRIDE=FQ","FILING_STATUS=MR","SCALING_FORMAT=MLN","Sort=A","Dates=H","DateFormat=P","Fill=—","Direction=H","UseDPDF=Y")</f>
        <v>532</v>
      </c>
      <c r="J26" s="13">
        <f>_xll.BDH("GILD US Equity","ARD_ACCOUNTS_PAYABLE_TRADE","FQ3 2020","FQ3 2020","Currency=USD","Period=FQ","BEST_FPERIOD_OVERRIDE=FQ","FILING_STATUS=MR","SCALING_FORMAT=MLN","Sort=A","Dates=H","DateFormat=P","Fill=—","Direction=H","UseDPDF=Y")</f>
        <v>527</v>
      </c>
      <c r="K26" s="13">
        <f>_xll.BDH("GILD US Equity","ARD_ACCOUNTS_PAYABLE_TRADE","FQ4 2020","FQ4 2020","Currency=USD","Period=FQ","BEST_FPERIOD_OVERRIDE=FQ","FILING_STATUS=MR","SCALING_FORMAT=MLN","Sort=A","Dates=H","DateFormat=P","Fill=—","Direction=H","UseDPDF=Y")</f>
        <v>844</v>
      </c>
      <c r="L26" s="13">
        <f>_xll.BDH("GILD US Equity","ARD_ACCOUNTS_PAYABLE_TRADE","FQ1 2021","FQ1 2021","Currency=USD","Period=FQ","BEST_FPERIOD_OVERRIDE=FQ","FILING_STATUS=MR","SCALING_FORMAT=MLN","Sort=A","Dates=H","DateFormat=P","Fill=—","Direction=H","UseDPDF=Y")</f>
        <v>570</v>
      </c>
      <c r="M26" s="13">
        <f>_xll.BDH("GILD US Equity","ARD_ACCOUNTS_PAYABLE_TRADE","FQ2 2021","FQ2 2021","Currency=USD","Period=FQ","BEST_FPERIOD_OVERRIDE=FQ","FILING_STATUS=MR","SCALING_FORMAT=MLN","Sort=A","Dates=H","DateFormat=P","Fill=—","Direction=H","UseDPDF=Y")</f>
        <v>608</v>
      </c>
      <c r="N26" s="13">
        <f>_xll.BDH("GILD US Equity","ARD_ACCOUNTS_PAYABLE_TRADE","FQ3 2021","FQ3 2021","Currency=USD","Period=FQ","BEST_FPERIOD_OVERRIDE=FQ","FILING_STATUS=MR","SCALING_FORMAT=MLN","Sort=A","Dates=H","DateFormat=P","Fill=—","Direction=H","UseDPDF=Y")</f>
        <v>585</v>
      </c>
      <c r="O26" s="13">
        <f>_xll.BDH("GILD US Equity","ARD_ACCOUNTS_PAYABLE_TRADE","FQ4 2021","FQ4 2021","Currency=USD","Period=FQ","BEST_FPERIOD_OVERRIDE=FQ","FILING_STATUS=MR","SCALING_FORMAT=MLN","Sort=A","Dates=H","DateFormat=P","Fill=—","Direction=H","UseDPDF=Y")</f>
        <v>705</v>
      </c>
      <c r="P26" s="13">
        <f>_xll.BDH("GILD US Equity","ARD_ACCOUNTS_PAYABLE_TRADE","FQ1 2022","FQ1 2022","Currency=USD","Period=FQ","BEST_FPERIOD_OVERRIDE=FQ","FILING_STATUS=MR","SCALING_FORMAT=MLN","Sort=A","Dates=H","DateFormat=P","Fill=—","Direction=H","UseDPDF=Y")</f>
        <v>583</v>
      </c>
      <c r="Q26" s="13">
        <f>_xll.BDH("GILD US Equity","ARD_ACCOUNTS_PAYABLE_TRADE","FQ2 2022","FQ2 2022","Currency=USD","Period=FQ","BEST_FPERIOD_OVERRIDE=FQ","FILING_STATUS=MR","SCALING_FORMAT=MLN","Sort=A","Dates=H","DateFormat=P","Fill=—","Direction=H","UseDPDF=Y")</f>
        <v>565</v>
      </c>
      <c r="R26" s="13">
        <f>_xll.BDH("GILD US Equity","ARD_ACCOUNTS_PAYABLE_TRADE","FQ3 2022","FQ3 2022","Currency=USD","Period=FQ","BEST_FPERIOD_OVERRIDE=FQ","FILING_STATUS=MR","SCALING_FORMAT=MLN","Sort=A","Dates=H","DateFormat=P","Fill=—","Direction=H","UseDPDF=Y")</f>
        <v>614</v>
      </c>
      <c r="S26" s="13">
        <f>_xll.BDH("GILD US Equity","ARD_ACCOUNTS_PAYABLE_TRADE","FQ4 2022","FQ4 2022","Currency=USD","Period=FQ","BEST_FPERIOD_OVERRIDE=FQ","FILING_STATUS=MR","SCALING_FORMAT=MLN","Sort=A","Dates=H","DateFormat=P","Fill=—","Direction=H","UseDPDF=Y")</f>
        <v>905</v>
      </c>
      <c r="T26" s="13">
        <f>_xll.BDH("GILD US Equity","ARD_ACCOUNTS_PAYABLE_TRADE","FQ1 2023","FQ1 2023","Currency=USD","Period=FQ","BEST_FPERIOD_OVERRIDE=FQ","FILING_STATUS=MR","SCALING_FORMAT=MLN","Sort=A","Dates=H","DateFormat=P","Fill=—","Direction=H","UseDPDF=Y")</f>
        <v>627</v>
      </c>
      <c r="U26" s="13">
        <f>_xll.BDH("GILD US Equity","ARD_ACCOUNTS_PAYABLE_TRADE","FQ2 2023","FQ2 2023","Currency=USD","Period=FQ","BEST_FPERIOD_OVERRIDE=FQ","FILING_STATUS=MR","SCALING_FORMAT=MLN","Sort=A","Dates=H","DateFormat=P","Fill=—","Direction=H","UseDPDF=Y")</f>
        <v>622</v>
      </c>
      <c r="V26" s="13">
        <f>_xll.BDH("GILD US Equity","ARD_ACCOUNTS_PAYABLE_TRADE","FQ3 2023","FQ3 2023","Currency=USD","Period=FQ","BEST_FPERIOD_OVERRIDE=FQ","FILING_STATUS=MR","SCALING_FORMAT=MLN","Sort=A","Dates=H","DateFormat=P","Fill=—","Direction=H","UseDPDF=Y")</f>
        <v>586</v>
      </c>
      <c r="W26" s="13">
        <f>_xll.BDH("GILD US Equity","ARD_ACCOUNTS_PAYABLE_TRADE","FQ4 2023","FQ4 2023","Currency=USD","Period=FQ","BEST_FPERIOD_OVERRIDE=FQ","FILING_STATUS=MR","SCALING_FORMAT=MLN","Sort=A","Dates=H","DateFormat=P","Fill=—","Direction=H","UseDPDF=Y")</f>
        <v>550</v>
      </c>
      <c r="X26" s="13">
        <f>_xll.BDH("GILD US Equity","ARD_ACCOUNTS_PAYABLE_TRADE","FQ1 2024","FQ1 2024","Currency=USD","Period=FQ","BEST_FPERIOD_OVERRIDE=FQ","FILING_STATUS=MR","SCALING_FORMAT=MLN","Sort=A","Dates=H","DateFormat=P","Fill=—","Direction=H","UseDPDF=Y")</f>
        <v>622</v>
      </c>
      <c r="Y26" s="13">
        <f>_xll.BDH("GILD US Equity","ARD_ACCOUNTS_PAYABLE_TRADE","FQ2 2024","FQ2 2024","Currency=USD","Period=FQ","BEST_FPERIOD_OVERRIDE=FQ","FILING_STATUS=MR","SCALING_FORMAT=MLN","Sort=A","Dates=H","DateFormat=P","Fill=—","Direction=H","UseDPDF=Y")</f>
        <v>537</v>
      </c>
      <c r="Z26" s="13">
        <f>_xll.BDH("GILD US Equity","ARD_ACCOUNTS_PAYABLE_TRADE","FQ3 2024","FQ3 2024","Currency=USD","Period=FQ","BEST_FPERIOD_OVERRIDE=FQ","FILING_STATUS=MR","SCALING_FORMAT=MLN","Sort=A","Dates=H","DateFormat=P","Fill=—","Direction=H","UseDPDF=Y")</f>
        <v>903</v>
      </c>
      <c r="AA26" s="13">
        <f>_xll.BDH("GILD US Equity","ARD_ACCOUNTS_PAYABLE_TRADE","FQ4 2024","FQ4 2024","Currency=USD","Period=FQ","BEST_FPERIOD_OVERRIDE=FQ","FILING_STATUS=MR","SCALING_FORMAT=MLN","Sort=A","Dates=H","DateFormat=P","Fill=—","Direction=H","UseDPDF=Y")</f>
        <v>833</v>
      </c>
    </row>
    <row r="27" spans="1:27" x14ac:dyDescent="0.25">
      <c r="A27" s="10" t="s">
        <v>937</v>
      </c>
      <c r="B27" s="10" t="s">
        <v>938</v>
      </c>
      <c r="C27" s="13">
        <f>_xll.BDH("GILD US Equity","ARD_CURRENT_PORTION_OF_LT_DEBT","FQ4 2018","FQ4 2018","Currency=USD","Period=FQ","BEST_FPERIOD_OVERRIDE=FQ","FILING_STATUS=MR","SCALING_FORMAT=MLN","Sort=A","Dates=H","DateFormat=P","Fill=—","Direction=H","UseDPDF=Y")</f>
        <v>2748</v>
      </c>
      <c r="D27" s="13">
        <f>_xll.BDH("GILD US Equity","ARD_CURRENT_PORTION_OF_LT_DEBT","FQ1 2019","FQ1 2019","Currency=USD","Period=FQ","BEST_FPERIOD_OVERRIDE=FQ","FILING_STATUS=MR","SCALING_FORMAT=MLN","Sort=A","Dates=H","DateFormat=P","Fill=—","Direction=H","UseDPDF=Y")</f>
        <v>2498</v>
      </c>
      <c r="E27" s="13">
        <f>_xll.BDH("GILD US Equity","ARD_CURRENT_PORTION_OF_LT_DEBT","FQ2 2019","FQ2 2019","Currency=USD","Period=FQ","BEST_FPERIOD_OVERRIDE=FQ","FILING_STATUS=MR","SCALING_FORMAT=MLN","Sort=A","Dates=H","DateFormat=P","Fill=—","Direction=H","UseDPDF=Y")</f>
        <v>1999</v>
      </c>
      <c r="F27" s="13">
        <f>_xll.BDH("GILD US Equity","ARD_CURRENT_PORTION_OF_LT_DEBT","FQ3 2019","FQ3 2019","Currency=USD","Period=FQ","BEST_FPERIOD_OVERRIDE=FQ","FILING_STATUS=MR","SCALING_FORMAT=MLN","Sort=A","Dates=H","DateFormat=P","Fill=—","Direction=H","UseDPDF=Y")</f>
        <v>2498</v>
      </c>
      <c r="G27" s="13">
        <f>_xll.BDH("GILD US Equity","ARD_CURRENT_PORTION_OF_LT_DEBT","FQ4 2019","FQ4 2019","Currency=USD","Period=FQ","BEST_FPERIOD_OVERRIDE=FQ","FILING_STATUS=MR","SCALING_FORMAT=MLN","Sort=A","Dates=H","DateFormat=P","Fill=—","Direction=H","UseDPDF=Y")</f>
        <v>2499</v>
      </c>
      <c r="H27" s="13">
        <f>_xll.BDH("GILD US Equity","ARD_CURRENT_PORTION_OF_LT_DEBT","FQ1 2020","FQ1 2020","Currency=USD","Period=FQ","BEST_FPERIOD_OVERRIDE=FQ","FILING_STATUS=MR","SCALING_FORMAT=MLN","Sort=A","Dates=H","DateFormat=P","Fill=—","Direction=H","UseDPDF=Y")</f>
        <v>1999</v>
      </c>
      <c r="I27" s="13">
        <f>_xll.BDH("GILD US Equity","ARD_CURRENT_PORTION_OF_LT_DEBT","FQ2 2020","FQ2 2020","Currency=USD","Period=FQ","BEST_FPERIOD_OVERRIDE=FQ","FILING_STATUS=MR","SCALING_FORMAT=MLN","Sort=A","Dates=H","DateFormat=P","Fill=—","Direction=H","UseDPDF=Y")</f>
        <v>2999</v>
      </c>
      <c r="J27" s="13">
        <f>_xll.BDH("GILD US Equity","ARD_CURRENT_PORTION_OF_LT_DEBT","FQ3 2020","FQ3 2020","Currency=USD","Period=FQ","BEST_FPERIOD_OVERRIDE=FQ","FILING_STATUS=MR","SCALING_FORMAT=MLN","Sort=A","Dates=H","DateFormat=P","Fill=—","Direction=H","UseDPDF=Y")</f>
        <v>1498</v>
      </c>
      <c r="K27" s="13">
        <f>_xll.BDH("GILD US Equity","ARD_CURRENT_PORTION_OF_LT_DEBT","FQ4 2020","FQ4 2020","Currency=USD","Period=FQ","BEST_FPERIOD_OVERRIDE=FQ","FILING_STATUS=MR","SCALING_FORMAT=MLN","Sort=A","Dates=H","DateFormat=P","Fill=—","Direction=H","UseDPDF=Y")</f>
        <v>2757</v>
      </c>
      <c r="L27" s="13">
        <f>_xll.BDH("GILD US Equity","ARD_CURRENT_PORTION_OF_LT_DEBT","FQ1 2021","FQ1 2021","Currency=USD","Period=FQ","BEST_FPERIOD_OVERRIDE=FQ","FILING_STATUS=MR","SCALING_FORMAT=MLN","Sort=A","Dates=H","DateFormat=P","Fill=—","Direction=H","UseDPDF=Y")</f>
        <v>2259</v>
      </c>
      <c r="M27" s="13">
        <f>_xll.BDH("GILD US Equity","ARD_CURRENT_PORTION_OF_LT_DEBT","FQ2 2021","FQ2 2021","Currency=USD","Period=FQ","BEST_FPERIOD_OVERRIDE=FQ","FILING_STATUS=MR","SCALING_FORMAT=MLN","Sort=A","Dates=H","DateFormat=P","Fill=—","Direction=H","UseDPDF=Y")</f>
        <v>2261</v>
      </c>
      <c r="N27" s="13">
        <f>_xll.BDH("GILD US Equity","ARD_CURRENT_PORTION_OF_LT_DEBT","FQ3 2021","FQ3 2021","Currency=USD","Period=FQ","BEST_FPERIOD_OVERRIDE=FQ","FILING_STATUS=MR","SCALING_FORMAT=MLN","Sort=A","Dates=H","DateFormat=P","Fill=—","Direction=H","UseDPDF=Y")</f>
        <v>2511</v>
      </c>
      <c r="O27" s="13">
        <f>_xll.BDH("GILD US Equity","ARD_CURRENT_PORTION_OF_LT_DEBT","FQ4 2021","FQ4 2021","Currency=USD","Period=FQ","BEST_FPERIOD_OVERRIDE=FQ","FILING_STATUS=MR","SCALING_FORMAT=MLN","Sort=A","Dates=H","DateFormat=P","Fill=—","Direction=H","UseDPDF=Y")</f>
        <v>1516</v>
      </c>
      <c r="P27" s="13">
        <f>_xll.BDH("GILD US Equity","ARD_CURRENT_PORTION_OF_LT_DEBT","FQ1 2022","FQ1 2022","Currency=USD","Period=FQ","BEST_FPERIOD_OVERRIDE=FQ","FILING_STATUS=MR","SCALING_FORMAT=MLN","Sort=A","Dates=H","DateFormat=P","Fill=—","Direction=H","UseDPDF=Y")</f>
        <v>1025</v>
      </c>
      <c r="Q27" s="13">
        <f>_xll.BDH("GILD US Equity","ARD_CURRENT_PORTION_OF_LT_DEBT","FQ2 2022","FQ2 2022","Currency=USD","Period=FQ","BEST_FPERIOD_OVERRIDE=FQ","FILING_STATUS=MR","SCALING_FORMAT=MLN","Sort=A","Dates=H","DateFormat=P","Fill=—","Direction=H","UseDPDF=Y")</f>
        <v>1021</v>
      </c>
      <c r="R27" s="13">
        <f>_xll.BDH("GILD US Equity","ARD_CURRENT_PORTION_OF_LT_DEBT","FQ3 2022","FQ3 2022","Currency=USD","Period=FQ","BEST_FPERIOD_OVERRIDE=FQ","FILING_STATUS=MR","SCALING_FORMAT=MLN","Sort=A","Dates=H","DateFormat=P","Fill=—","Direction=H","UseDPDF=Y")</f>
        <v>2270</v>
      </c>
      <c r="S27" s="13">
        <f>_xll.BDH("GILD US Equity","ARD_CURRENT_PORTION_OF_LT_DEBT","FQ4 2022","FQ4 2022","Currency=USD","Period=FQ","BEST_FPERIOD_OVERRIDE=FQ","FILING_STATUS=MR","SCALING_FORMAT=MLN","Sort=A","Dates=H","DateFormat=P","Fill=—","Direction=H","UseDPDF=Y")</f>
        <v>2273</v>
      </c>
      <c r="T27" s="13">
        <f>_xll.BDH("GILD US Equity","ARD_CURRENT_PORTION_OF_LT_DEBT","FQ1 2023","FQ1 2023","Currency=USD","Period=FQ","BEST_FPERIOD_OVERRIDE=FQ","FILING_STATUS=MR","SCALING_FORMAT=MLN","Sort=A","Dates=H","DateFormat=P","Fill=—","Direction=H","UseDPDF=Y")</f>
        <v>2283</v>
      </c>
      <c r="U27" s="13">
        <f>_xll.BDH("GILD US Equity","ARD_CURRENT_PORTION_OF_LT_DEBT","FQ2 2023","FQ2 2023","Currency=USD","Period=FQ","BEST_FPERIOD_OVERRIDE=FQ","FILING_STATUS=MR","SCALING_FORMAT=MLN","Sort=A","Dates=H","DateFormat=P","Fill=—","Direction=H","UseDPDF=Y")</f>
        <v>4037</v>
      </c>
      <c r="V27" s="13">
        <f>_xll.BDH("GILD US Equity","ARD_CURRENT_PORTION_OF_LT_DEBT","FQ3 2023","FQ3 2023","Currency=USD","Period=FQ","BEST_FPERIOD_OVERRIDE=FQ","FILING_STATUS=MR","SCALING_FORMAT=MLN","Sort=A","Dates=H","DateFormat=P","Fill=—","Direction=H","UseDPDF=Y")</f>
        <v>1793</v>
      </c>
      <c r="W27" s="13">
        <f>_xll.BDH("GILD US Equity","ARD_CURRENT_PORTION_OF_LT_DEBT","FQ4 2023","FQ4 2023","Currency=USD","Period=FQ","BEST_FPERIOD_OVERRIDE=FQ","FILING_STATUS=MR","SCALING_FORMAT=MLN","Sort=A","Dates=H","DateFormat=P","Fill=—","Direction=H","UseDPDF=Y")</f>
        <v>1798</v>
      </c>
      <c r="X27" s="13">
        <f>_xll.BDH("GILD US Equity","ARD_CURRENT_PORTION_OF_LT_DEBT","FQ1 2024","FQ1 2024","Currency=USD","Period=FQ","BEST_FPERIOD_OVERRIDE=FQ","FILING_STATUS=MR","SCALING_FORMAT=MLN","Sort=A","Dates=H","DateFormat=P","Fill=—","Direction=H","UseDPDF=Y")</f>
        <v>3667</v>
      </c>
      <c r="Y27" s="13">
        <f>_xll.BDH("GILD US Equity","ARD_CURRENT_PORTION_OF_LT_DEBT","FQ2 2024","FQ2 2024","Currency=USD","Period=FQ","BEST_FPERIOD_OVERRIDE=FQ","FILING_STATUS=MR","SCALING_FORMAT=MLN","Sort=A","Dates=H","DateFormat=P","Fill=—","Direction=H","UseDPDF=Y")</f>
        <v>1810</v>
      </c>
      <c r="Z27" s="13">
        <f>_xll.BDH("GILD US Equity","ARD_CURRENT_PORTION_OF_LT_DEBT","FQ3 2024","FQ3 2024","Currency=USD","Period=FQ","BEST_FPERIOD_OVERRIDE=FQ","FILING_STATUS=MR","SCALING_FORMAT=MLN","Sort=A","Dates=H","DateFormat=P","Fill=—","Direction=H","UseDPDF=Y")</f>
        <v>1812</v>
      </c>
      <c r="AA27" s="13">
        <f>_xll.BDH("GILD US Equity","ARD_CURRENT_PORTION_OF_LT_DEBT","FQ4 2024","FQ4 2024","Currency=USD","Period=FQ","BEST_FPERIOD_OVERRIDE=FQ","FILING_STATUS=MR","SCALING_FORMAT=MLN","Sort=A","Dates=H","DateFormat=P","Fill=—","Direction=H","UseDPDF=Y")</f>
        <v>1815</v>
      </c>
    </row>
    <row r="28" spans="1:27" x14ac:dyDescent="0.25">
      <c r="A28" s="10" t="s">
        <v>939</v>
      </c>
      <c r="B28" s="10" t="s">
        <v>940</v>
      </c>
      <c r="C28" s="13">
        <f>_xll.BDH("GILD US Equity","ARD_ACCRUED_EXPENSES","FQ4 2018","FQ4 2018","Currency=USD","Period=FQ","BEST_FPERIOD_OVERRIDE=FQ","FILING_STATUS=MR","SCALING_FORMAT=MLN","Sort=A","Dates=H","DateFormat=P","Fill=—","Direction=H","UseDPDF=Y")</f>
        <v>7067</v>
      </c>
      <c r="D28" s="13">
        <f>_xll.BDH("GILD US Equity","ARD_ACCRUED_EXPENSES","FQ1 2019","FQ1 2019","Currency=USD","Period=FQ","BEST_FPERIOD_OVERRIDE=FQ","FILING_STATUS=MR","SCALING_FORMAT=MLN","Sort=A","Dates=H","DateFormat=P","Fill=—","Direction=H","UseDPDF=Y")</f>
        <v>6322</v>
      </c>
      <c r="E28" s="13">
        <f>_xll.BDH("GILD US Equity","ARD_ACCRUED_EXPENSES","FQ2 2019","FQ2 2019","Currency=USD","Period=FQ","BEST_FPERIOD_OVERRIDE=FQ","FILING_STATUS=MR","SCALING_FORMAT=MLN","Sort=A","Dates=H","DateFormat=P","Fill=—","Direction=H","UseDPDF=Y")</f>
        <v>6345</v>
      </c>
      <c r="F28" s="13">
        <f>_xll.BDH("GILD US Equity","ARD_ACCRUED_EXPENSES","FQ3 2019","FQ3 2019","Currency=USD","Period=FQ","BEST_FPERIOD_OVERRIDE=FQ","FILING_STATUS=MR","SCALING_FORMAT=MLN","Sort=A","Dates=H","DateFormat=P","Fill=—","Direction=H","UseDPDF=Y")</f>
        <v>6437</v>
      </c>
      <c r="G28" s="13">
        <f>_xll.BDH("GILD US Equity","ARD_ACCRUED_EXPENSES","FQ4 2019","FQ4 2019","Currency=USD","Period=FQ","BEST_FPERIOD_OVERRIDE=FQ","FILING_STATUS=MR","SCALING_FORMAT=MLN","Sort=A","Dates=H","DateFormat=P","Fill=—","Direction=H","UseDPDF=Y")</f>
        <v>6547</v>
      </c>
      <c r="H28" s="13">
        <f>_xll.BDH("GILD US Equity","ARD_ACCRUED_EXPENSES","FQ1 2020","FQ1 2020","Currency=USD","Period=FQ","BEST_FPERIOD_OVERRIDE=FQ","FILING_STATUS=MR","SCALING_FORMAT=MLN","Sort=A","Dates=H","DateFormat=P","Fill=—","Direction=H","UseDPDF=Y")</f>
        <v>6290</v>
      </c>
      <c r="I28" s="13">
        <f>_xll.BDH("GILD US Equity","ARD_ACCRUED_EXPENSES","FQ2 2020","FQ2 2020","Currency=USD","Period=FQ","BEST_FPERIOD_OVERRIDE=FQ","FILING_STATUS=MR","SCALING_FORMAT=MLN","Sort=A","Dates=H","DateFormat=P","Fill=—","Direction=H","UseDPDF=Y")</f>
        <v>7033</v>
      </c>
      <c r="J28" s="13">
        <f>_xll.BDH("GILD US Equity","ARD_ACCRUED_EXPENSES","FQ3 2020","FQ3 2020","Currency=USD","Period=FQ","BEST_FPERIOD_OVERRIDE=FQ","FILING_STATUS=MR","SCALING_FORMAT=MLN","Sort=A","Dates=H","DateFormat=P","Fill=—","Direction=H","UseDPDF=Y")</f>
        <v>7484</v>
      </c>
      <c r="K28" s="13">
        <f>_xll.BDH("GILD US Equity","ARD_ACCRUED_EXPENSES","FQ4 2020","FQ4 2020","Currency=USD","Period=FQ","BEST_FPERIOD_OVERRIDE=FQ","FILING_STATUS=MR","SCALING_FORMAT=MLN","Sort=A","Dates=H","DateFormat=P","Fill=—","Direction=H","UseDPDF=Y")</f>
        <v>7796</v>
      </c>
      <c r="L28" s="13">
        <f>_xll.BDH("GILD US Equity","ARD_ACCRUED_EXPENSES","FQ1 2021","FQ1 2021","Currency=USD","Period=FQ","BEST_FPERIOD_OVERRIDE=FQ","FILING_STATUS=MR","SCALING_FORMAT=MLN","Sort=A","Dates=H","DateFormat=P","Fill=—","Direction=H","UseDPDF=Y")</f>
        <v>6876</v>
      </c>
      <c r="M28" s="13">
        <f>_xll.BDH("GILD US Equity","ARD_ACCRUED_EXPENSES","FQ2 2021","FQ2 2021","Currency=USD","Period=FQ","BEST_FPERIOD_OVERRIDE=FQ","FILING_STATUS=MR","SCALING_FORMAT=MLN","Sort=A","Dates=H","DateFormat=P","Fill=—","Direction=H","UseDPDF=Y")</f>
        <v>7345</v>
      </c>
      <c r="N28" s="13">
        <f>_xll.BDH("GILD US Equity","ARD_ACCRUED_EXPENSES","FQ3 2021","FQ3 2021","Currency=USD","Period=FQ","BEST_FPERIOD_OVERRIDE=FQ","FILING_STATUS=MR","SCALING_FORMAT=MLN","Sort=A","Dates=H","DateFormat=P","Fill=—","Direction=H","UseDPDF=Y")</f>
        <v>7149</v>
      </c>
      <c r="O28" s="13">
        <f>_xll.BDH("GILD US Equity","ARD_ACCRUED_EXPENSES","FQ4 2021","FQ4 2021","Currency=USD","Period=FQ","BEST_FPERIOD_OVERRIDE=FQ","FILING_STATUS=MR","SCALING_FORMAT=MLN","Sort=A","Dates=H","DateFormat=P","Fill=—","Direction=H","UseDPDF=Y")</f>
        <v>9389</v>
      </c>
      <c r="P28" s="13">
        <f>_xll.BDH("GILD US Equity","ARD_ACCRUED_EXPENSES","FQ1 2022","FQ1 2022","Currency=USD","Period=FQ","BEST_FPERIOD_OVERRIDE=FQ","FILING_STATUS=MR","SCALING_FORMAT=MLN","Sort=A","Dates=H","DateFormat=P","Fill=—","Direction=H","UseDPDF=Y")</f>
        <v>6950</v>
      </c>
      <c r="Q28" s="13">
        <f>_xll.BDH("GILD US Equity","ARD_ACCRUED_EXPENSES","FQ2 2022","FQ2 2022","Currency=USD","Period=FQ","BEST_FPERIOD_OVERRIDE=FQ","FILING_STATUS=MR","SCALING_FORMAT=MLN","Sort=A","Dates=H","DateFormat=P","Fill=—","Direction=H","UseDPDF=Y")</f>
        <v>7634</v>
      </c>
      <c r="R28" s="13">
        <f>_xll.BDH("GILD US Equity","ARD_ACCRUED_EXPENSES","FQ3 2022","FQ3 2022","Currency=USD","Period=FQ","BEST_FPERIOD_OVERRIDE=FQ","FILING_STATUS=MR","SCALING_FORMAT=MLN","Sort=A","Dates=H","DateFormat=P","Fill=—","Direction=H","UseDPDF=Y")</f>
        <v>7539</v>
      </c>
      <c r="S28" s="13">
        <f>_xll.BDH("GILD US Equity","ARD_ACCRUED_EXPENSES","FQ4 2022","FQ4 2022","Currency=USD","Period=FQ","BEST_FPERIOD_OVERRIDE=FQ","FILING_STATUS=MR","SCALING_FORMAT=MLN","Sort=A","Dates=H","DateFormat=P","Fill=—","Direction=H","UseDPDF=Y")</f>
        <v>8059</v>
      </c>
      <c r="T28" s="13">
        <f>_xll.BDH("GILD US Equity","ARD_ACCRUED_EXPENSES","FQ1 2023","FQ1 2023","Currency=USD","Period=FQ","BEST_FPERIOD_OVERRIDE=FQ","FILING_STATUS=MR","SCALING_FORMAT=MLN","Sort=A","Dates=H","DateFormat=P","Fill=—","Direction=H","UseDPDF=Y")</f>
        <v>7617</v>
      </c>
      <c r="U28" s="13">
        <f>_xll.BDH("GILD US Equity","ARD_ACCRUED_EXPENSES","FQ2 2023","FQ2 2023","Currency=USD","Period=FQ","BEST_FPERIOD_OVERRIDE=FQ","FILING_STATUS=MR","SCALING_FORMAT=MLN","Sort=A","Dates=H","DateFormat=P","Fill=—","Direction=H","UseDPDF=Y")</f>
        <v>9304</v>
      </c>
      <c r="V28" s="13">
        <f>_xll.BDH("GILD US Equity","ARD_ACCRUED_EXPENSES","FQ3 2023","FQ3 2023","Currency=USD","Period=FQ","BEST_FPERIOD_OVERRIDE=FQ","FILING_STATUS=MR","SCALING_FORMAT=MLN","Sort=A","Dates=H","DateFormat=P","Fill=—","Direction=H","UseDPDF=Y")</f>
        <v>3714</v>
      </c>
      <c r="W28" s="13">
        <f>_xll.BDH("GILD US Equity","ARD_ACCRUED_EXPENSES","FQ4 2023","FQ4 2023","Currency=USD","Period=FQ","BEST_FPERIOD_OVERRIDE=FQ","FILING_STATUS=MR","SCALING_FORMAT=MLN","Sort=A","Dates=H","DateFormat=P","Fill=—","Direction=H","UseDPDF=Y")</f>
        <v>8932</v>
      </c>
      <c r="X28" s="13">
        <f>_xll.BDH("GILD US Equity","ARD_ACCRUED_EXPENSES","FQ1 2024","FQ1 2024","Currency=USD","Period=FQ","BEST_FPERIOD_OVERRIDE=FQ","FILING_STATUS=MR","SCALING_FORMAT=MLN","Sort=A","Dates=H","DateFormat=P","Fill=—","Direction=H","UseDPDF=Y")</f>
        <v>8726</v>
      </c>
      <c r="Y28" s="13">
        <f>_xll.BDH("GILD US Equity","ARD_ACCRUED_EXPENSES","FQ2 2024","FQ2 2024","Currency=USD","Period=FQ","BEST_FPERIOD_OVERRIDE=FQ","FILING_STATUS=MR","SCALING_FORMAT=MLN","Sort=A","Dates=H","DateFormat=P","Fill=—","Direction=H","UseDPDF=Y")</f>
        <v>3923</v>
      </c>
      <c r="Z28" s="13">
        <f>_xll.BDH("GILD US Equity","ARD_ACCRUED_EXPENSES","FQ3 2024","FQ3 2024","Currency=USD","Period=FQ","BEST_FPERIOD_OVERRIDE=FQ","FILING_STATUS=MR","SCALING_FORMAT=MLN","Sort=A","Dates=H","DateFormat=P","Fill=—","Direction=H","UseDPDF=Y")</f>
        <v>4113</v>
      </c>
      <c r="AA28" s="13">
        <f>_xll.BDH("GILD US Equity","ARD_ACCRUED_EXPENSES","FQ4 2024","FQ4 2024","Currency=USD","Period=FQ","BEST_FPERIOD_OVERRIDE=FQ","FILING_STATUS=MR","SCALING_FORMAT=MLN","Sort=A","Dates=H","DateFormat=P","Fill=—","Direction=H","UseDPDF=Y")</f>
        <v>3892</v>
      </c>
    </row>
    <row r="29" spans="1:27" x14ac:dyDescent="0.25">
      <c r="A29" s="10" t="s">
        <v>941</v>
      </c>
      <c r="B29" s="10" t="s">
        <v>942</v>
      </c>
      <c r="C29" s="13" t="str">
        <f>_xll.BDH("GILD US Equity","ARD_OTHER_CURRENT_LIABILITIES","FQ4 2018","FQ4 2018","Currency=USD","Period=FQ","BEST_FPERIOD_OVERRIDE=FQ","FILING_STATUS=MR","SCALING_FORMAT=MLN","Sort=A","Dates=H","DateFormat=P","Fill=—","Direction=H","UseDPDF=Y")</f>
        <v>—</v>
      </c>
      <c r="D29" s="13" t="str">
        <f>_xll.BDH("GILD US Equity","ARD_OTHER_CURRENT_LIABILITIES","FQ1 2019","FQ1 2019","Currency=USD","Period=FQ","BEST_FPERIOD_OVERRIDE=FQ","FILING_STATUS=MR","SCALING_FORMAT=MLN","Sort=A","Dates=H","DateFormat=P","Fill=—","Direction=H","UseDPDF=Y")</f>
        <v>—</v>
      </c>
      <c r="E29" s="13" t="str">
        <f>_xll.BDH("GILD US Equity","ARD_OTHER_CURRENT_LIABILITIES","FQ2 2019","FQ2 2019","Currency=USD","Period=FQ","BEST_FPERIOD_OVERRIDE=FQ","FILING_STATUS=MR","SCALING_FORMAT=MLN","Sort=A","Dates=H","DateFormat=P","Fill=—","Direction=H","UseDPDF=Y")</f>
        <v>—</v>
      </c>
      <c r="F29" s="13" t="str">
        <f>_xll.BDH("GILD US Equity","ARD_OTHER_CURRENT_LIABILITIES","FQ3 2019","FQ3 2019","Currency=USD","Period=FQ","BEST_FPERIOD_OVERRIDE=FQ","FILING_STATUS=MR","SCALING_FORMAT=MLN","Sort=A","Dates=H","DateFormat=P","Fill=—","Direction=H","UseDPDF=Y")</f>
        <v>—</v>
      </c>
      <c r="G29" s="13" t="str">
        <f>_xll.BDH("GILD US Equity","ARD_OTHER_CURRENT_LIABILITIES","FQ4 2019","FQ4 2019","Currency=USD","Period=FQ","BEST_FPERIOD_OVERRIDE=FQ","FILING_STATUS=MR","SCALING_FORMAT=MLN","Sort=A","Dates=H","DateFormat=P","Fill=—","Direction=H","UseDPDF=Y")</f>
        <v>—</v>
      </c>
      <c r="H29" s="13" t="str">
        <f>_xll.BDH("GILD US Equity","ARD_OTHER_CURRENT_LIABILITIES","FQ1 2020","FQ1 2020","Currency=USD","Period=FQ","BEST_FPERIOD_OVERRIDE=FQ","FILING_STATUS=MR","SCALING_FORMAT=MLN","Sort=A","Dates=H","DateFormat=P","Fill=—","Direction=H","UseDPDF=Y")</f>
        <v>—</v>
      </c>
      <c r="I29" s="13">
        <f>_xll.BDH("GILD US Equity","ARD_OTHER_CURRENT_LIABILITIES","FQ2 2020","FQ2 2020","Currency=USD","Period=FQ","BEST_FPERIOD_OVERRIDE=FQ","FILING_STATUS=MR","SCALING_FORMAT=MLN","Sort=A","Dates=H","DateFormat=P","Fill=—","Direction=H","UseDPDF=Y")</f>
        <v>10564</v>
      </c>
      <c r="J29" s="13" t="str">
        <f>_xll.BDH("GILD US Equity","ARD_OTHER_CURRENT_LIABILITIES","FQ3 2020","FQ3 2020","Currency=USD","Period=FQ","BEST_FPERIOD_OVERRIDE=FQ","FILING_STATUS=MR","SCALING_FORMAT=MLN","Sort=A","Dates=H","DateFormat=P","Fill=—","Direction=H","UseDPDF=Y")</f>
        <v>—</v>
      </c>
      <c r="K29" s="13" t="str">
        <f>_xll.BDH("GILD US Equity","ARD_OTHER_CURRENT_LIABILITIES","FQ4 2020","FQ4 2020","Currency=USD","Period=FQ","BEST_FPERIOD_OVERRIDE=FQ","FILING_STATUS=MR","SCALING_FORMAT=MLN","Sort=A","Dates=H","DateFormat=P","Fill=—","Direction=H","UseDPDF=Y")</f>
        <v>—</v>
      </c>
      <c r="L29" s="13" t="str">
        <f>_xll.BDH("GILD US Equity","ARD_OTHER_CURRENT_LIABILITIES","FQ1 2021","FQ1 2021","Currency=USD","Period=FQ","BEST_FPERIOD_OVERRIDE=FQ","FILING_STATUS=MR","SCALING_FORMAT=MLN","Sort=A","Dates=H","DateFormat=P","Fill=—","Direction=H","UseDPDF=Y")</f>
        <v>—</v>
      </c>
      <c r="M29" s="13" t="str">
        <f>_xll.BDH("GILD US Equity","ARD_OTHER_CURRENT_LIABILITIES","FQ2 2021","FQ2 2021","Currency=USD","Period=FQ","BEST_FPERIOD_OVERRIDE=FQ","FILING_STATUS=MR","SCALING_FORMAT=MLN","Sort=A","Dates=H","DateFormat=P","Fill=—","Direction=H","UseDPDF=Y")</f>
        <v>—</v>
      </c>
      <c r="N29" s="13" t="str">
        <f>_xll.BDH("GILD US Equity","ARD_OTHER_CURRENT_LIABILITIES","FQ3 2021","FQ3 2021","Currency=USD","Period=FQ","BEST_FPERIOD_OVERRIDE=FQ","FILING_STATUS=MR","SCALING_FORMAT=MLN","Sort=A","Dates=H","DateFormat=P","Fill=—","Direction=H","UseDPDF=Y")</f>
        <v>—</v>
      </c>
      <c r="O29" s="13" t="str">
        <f>_xll.BDH("GILD US Equity","ARD_OTHER_CURRENT_LIABILITIES","FQ4 2021","FQ4 2021","Currency=USD","Period=FQ","BEST_FPERIOD_OVERRIDE=FQ","FILING_STATUS=MR","SCALING_FORMAT=MLN","Sort=A","Dates=H","DateFormat=P","Fill=—","Direction=H","UseDPDF=Y")</f>
        <v>—</v>
      </c>
      <c r="P29" s="13" t="str">
        <f>_xll.BDH("GILD US Equity","ARD_OTHER_CURRENT_LIABILITIES","FQ1 2022","FQ1 2022","Currency=USD","Period=FQ","BEST_FPERIOD_OVERRIDE=FQ","FILING_STATUS=MR","SCALING_FORMAT=MLN","Sort=A","Dates=H","DateFormat=P","Fill=—","Direction=H","UseDPDF=Y")</f>
        <v>—</v>
      </c>
      <c r="Q29" s="13" t="str">
        <f>_xll.BDH("GILD US Equity","ARD_OTHER_CURRENT_LIABILITIES","FQ2 2022","FQ2 2022","Currency=USD","Period=FQ","BEST_FPERIOD_OVERRIDE=FQ","FILING_STATUS=MR","SCALING_FORMAT=MLN","Sort=A","Dates=H","DateFormat=P","Fill=—","Direction=H","UseDPDF=Y")</f>
        <v>—</v>
      </c>
      <c r="R29" s="13" t="str">
        <f>_xll.BDH("GILD US Equity","ARD_OTHER_CURRENT_LIABILITIES","FQ3 2022","FQ3 2022","Currency=USD","Period=FQ","BEST_FPERIOD_OVERRIDE=FQ","FILING_STATUS=MR","SCALING_FORMAT=MLN","Sort=A","Dates=H","DateFormat=P","Fill=—","Direction=H","UseDPDF=Y")</f>
        <v>—</v>
      </c>
      <c r="S29" s="13" t="str">
        <f>_xll.BDH("GILD US Equity","ARD_OTHER_CURRENT_LIABILITIES","FQ4 2022","FQ4 2022","Currency=USD","Period=FQ","BEST_FPERIOD_OVERRIDE=FQ","FILING_STATUS=MR","SCALING_FORMAT=MLN","Sort=A","Dates=H","DateFormat=P","Fill=—","Direction=H","UseDPDF=Y")</f>
        <v>—</v>
      </c>
      <c r="T29" s="13">
        <f>_xll.BDH("GILD US Equity","ARD_OTHER_CURRENT_LIABILITIES","FQ1 2023","FQ1 2023","Currency=USD","Period=FQ","BEST_FPERIOD_OVERRIDE=FQ","FILING_STATUS=MR","SCALING_FORMAT=MLN","Sort=A","Dates=H","DateFormat=P","Fill=—","Direction=H","UseDPDF=Y")</f>
        <v>1</v>
      </c>
      <c r="U29" s="13">
        <f>_xll.BDH("GILD US Equity","ARD_OTHER_CURRENT_LIABILITIES","FQ2 2023","FQ2 2023","Currency=USD","Period=FQ","BEST_FPERIOD_OVERRIDE=FQ","FILING_STATUS=MR","SCALING_FORMAT=MLN","Sort=A","Dates=H","DateFormat=P","Fill=—","Direction=H","UseDPDF=Y")</f>
        <v>1</v>
      </c>
      <c r="V29" s="13">
        <f>_xll.BDH("GILD US Equity","ARD_OTHER_CURRENT_LIABILITIES","FQ3 2023","FQ3 2023","Currency=USD","Period=FQ","BEST_FPERIOD_OVERRIDE=FQ","FILING_STATUS=MR","SCALING_FORMAT=MLN","Sort=A","Dates=H","DateFormat=P","Fill=—","Direction=H","UseDPDF=Y")</f>
        <v>5852</v>
      </c>
      <c r="W29" s="13" t="str">
        <f>_xll.BDH("GILD US Equity","ARD_OTHER_CURRENT_LIABILITIES","FQ4 2023","FQ4 2023","Currency=USD","Period=FQ","BEST_FPERIOD_OVERRIDE=FQ","FILING_STATUS=MR","SCALING_FORMAT=MLN","Sort=A","Dates=H","DateFormat=P","Fill=—","Direction=H","UseDPDF=Y")</f>
        <v>—</v>
      </c>
      <c r="X29" s="13" t="str">
        <f>_xll.BDH("GILD US Equity","ARD_OTHER_CURRENT_LIABILITIES","FQ1 2024","FQ1 2024","Currency=USD","Period=FQ","BEST_FPERIOD_OVERRIDE=FQ","FILING_STATUS=MR","SCALING_FORMAT=MLN","Sort=A","Dates=H","DateFormat=P","Fill=—","Direction=H","UseDPDF=Y")</f>
        <v>—</v>
      </c>
      <c r="Y29" s="13">
        <f>_xll.BDH("GILD US Equity","ARD_OTHER_CURRENT_LIABILITIES","FQ2 2024","FQ2 2024","Currency=USD","Period=FQ","BEST_FPERIOD_OVERRIDE=FQ","FILING_STATUS=MR","SCALING_FORMAT=MLN","Sort=A","Dates=H","DateFormat=P","Fill=—","Direction=H","UseDPDF=Y")</f>
        <v>4511</v>
      </c>
      <c r="Z29" s="13">
        <f>_xll.BDH("GILD US Equity","ARD_OTHER_CURRENT_LIABILITIES","FQ3 2024","FQ3 2024","Currency=USD","Period=FQ","BEST_FPERIOD_OVERRIDE=FQ","FILING_STATUS=MR","SCALING_FORMAT=MLN","Sort=A","Dates=H","DateFormat=P","Fill=—","Direction=H","UseDPDF=Y")</f>
        <v>4897</v>
      </c>
      <c r="AA29" s="13">
        <f>_xll.BDH("GILD US Equity","ARD_OTHER_CURRENT_LIABILITIES","FQ4 2024","FQ4 2024","Currency=USD","Period=FQ","BEST_FPERIOD_OVERRIDE=FQ","FILING_STATUS=MR","SCALING_FORMAT=MLN","Sort=A","Dates=H","DateFormat=P","Fill=—","Direction=H","UseDPDF=Y")</f>
        <v>5464</v>
      </c>
    </row>
    <row r="30" spans="1:27" x14ac:dyDescent="0.25">
      <c r="A30" s="6" t="s">
        <v>114</v>
      </c>
      <c r="B30" s="6" t="s">
        <v>943</v>
      </c>
      <c r="C30" s="19">
        <f>_xll.BDH("GILD US Equity","ARD_TOTAL_CURRENT_LIABILITIES","FQ4 2018","FQ4 2018","Currency=USD","Period=FQ","BEST_FPERIOD_OVERRIDE=FQ","FILING_STATUS=MR","SCALING_FORMAT=MLN","Sort=A","Dates=H","DateFormat=P","Fill=—","Direction=H","UseDPDF=Y")</f>
        <v>10605</v>
      </c>
      <c r="D30" s="19">
        <f>_xll.BDH("GILD US Equity","ARD_TOTAL_CURRENT_LIABILITIES","FQ1 2019","FQ1 2019","Currency=USD","Period=FQ","BEST_FPERIOD_OVERRIDE=FQ","FILING_STATUS=MR","SCALING_FORMAT=MLN","Sort=A","Dates=H","DateFormat=P","Fill=—","Direction=H","UseDPDF=Y")</f>
        <v>9397</v>
      </c>
      <c r="E30" s="19">
        <f>_xll.BDH("GILD US Equity","ARD_TOTAL_CURRENT_LIABILITIES","FQ2 2019","FQ2 2019","Currency=USD","Period=FQ","BEST_FPERIOD_OVERRIDE=FQ","FILING_STATUS=MR","SCALING_FORMAT=MLN","Sort=A","Dates=H","DateFormat=P","Fill=—","Direction=H","UseDPDF=Y")</f>
        <v>8961</v>
      </c>
      <c r="F30" s="19">
        <f>_xll.BDH("GILD US Equity","ARD_TOTAL_CURRENT_LIABILITIES","FQ3 2019","FQ3 2019","Currency=USD","Period=FQ","BEST_FPERIOD_OVERRIDE=FQ","FILING_STATUS=MR","SCALING_FORMAT=MLN","Sort=A","Dates=H","DateFormat=P","Fill=—","Direction=H","UseDPDF=Y")</f>
        <v>9567</v>
      </c>
      <c r="G30" s="19">
        <f>_xll.BDH("GILD US Equity","ARD_TOTAL_CURRENT_LIABILITIES","FQ4 2019","FQ4 2019","Currency=USD","Period=FQ","BEST_FPERIOD_OVERRIDE=FQ","FILING_STATUS=MR","SCALING_FORMAT=MLN","Sort=A","Dates=H","DateFormat=P","Fill=—","Direction=H","UseDPDF=Y")</f>
        <v>9759</v>
      </c>
      <c r="H30" s="19">
        <f>_xll.BDH("GILD US Equity","ARD_TOTAL_CURRENT_LIABILITIES","FQ1 2020","FQ1 2020","Currency=USD","Period=FQ","BEST_FPERIOD_OVERRIDE=FQ","FILING_STATUS=MR","SCALING_FORMAT=MLN","Sort=A","Dates=H","DateFormat=P","Fill=—","Direction=H","UseDPDF=Y")</f>
        <v>8879</v>
      </c>
      <c r="I30" s="19">
        <f>_xll.BDH("GILD US Equity","ARD_TOTAL_CURRENT_LIABILITIES","FQ2 2020","FQ2 2020","Currency=USD","Period=FQ","BEST_FPERIOD_OVERRIDE=FQ","FILING_STATUS=MR","SCALING_FORMAT=MLN","Sort=A","Dates=H","DateFormat=P","Fill=—","Direction=H","UseDPDF=Y")</f>
        <v>10564</v>
      </c>
      <c r="J30" s="19">
        <f>_xll.BDH("GILD US Equity","ARD_TOTAL_CURRENT_LIABILITIES","FQ3 2020","FQ3 2020","Currency=USD","Period=FQ","BEST_FPERIOD_OVERRIDE=FQ","FILING_STATUS=MR","SCALING_FORMAT=MLN","Sort=A","Dates=H","DateFormat=P","Fill=—","Direction=H","UseDPDF=Y")</f>
        <v>9509</v>
      </c>
      <c r="K30" s="19">
        <f>_xll.BDH("GILD US Equity","ARD_TOTAL_CURRENT_LIABILITIES","FQ4 2020","FQ4 2020","Currency=USD","Period=FQ","BEST_FPERIOD_OVERRIDE=FQ","FILING_STATUS=MR","SCALING_FORMAT=MLN","Sort=A","Dates=H","DateFormat=P","Fill=—","Direction=H","UseDPDF=Y")</f>
        <v>11397</v>
      </c>
      <c r="L30" s="19">
        <f>_xll.BDH("GILD US Equity","ARD_TOTAL_CURRENT_LIABILITIES","FQ1 2021","FQ1 2021","Currency=USD","Period=FQ","BEST_FPERIOD_OVERRIDE=FQ","FILING_STATUS=MR","SCALING_FORMAT=MLN","Sort=A","Dates=H","DateFormat=P","Fill=—","Direction=H","UseDPDF=Y")</f>
        <v>9705</v>
      </c>
      <c r="M30" s="19">
        <f>_xll.BDH("GILD US Equity","ARD_TOTAL_CURRENT_LIABILITIES","FQ2 2021","FQ2 2021","Currency=USD","Period=FQ","BEST_FPERIOD_OVERRIDE=FQ","FILING_STATUS=MR","SCALING_FORMAT=MLN","Sort=A","Dates=H","DateFormat=P","Fill=—","Direction=H","UseDPDF=Y")</f>
        <v>10214</v>
      </c>
      <c r="N30" s="19">
        <f>_xll.BDH("GILD US Equity","ARD_TOTAL_CURRENT_LIABILITIES","FQ3 2021","FQ3 2021","Currency=USD","Period=FQ","BEST_FPERIOD_OVERRIDE=FQ","FILING_STATUS=MR","SCALING_FORMAT=MLN","Sort=A","Dates=H","DateFormat=P","Fill=—","Direction=H","UseDPDF=Y")</f>
        <v>10245</v>
      </c>
      <c r="O30" s="19">
        <f>_xll.BDH("GILD US Equity","ARD_TOTAL_CURRENT_LIABILITIES","FQ4 2021","FQ4 2021","Currency=USD","Period=FQ","BEST_FPERIOD_OVERRIDE=FQ","FILING_STATUS=MR","SCALING_FORMAT=MLN","Sort=A","Dates=H","DateFormat=P","Fill=—","Direction=H","UseDPDF=Y")</f>
        <v>11610</v>
      </c>
      <c r="P30" s="19">
        <f>_xll.BDH("GILD US Equity","ARD_TOTAL_CURRENT_LIABILITIES","FQ1 2022","FQ1 2022","Currency=USD","Period=FQ","BEST_FPERIOD_OVERRIDE=FQ","FILING_STATUS=MR","SCALING_FORMAT=MLN","Sort=A","Dates=H","DateFormat=P","Fill=—","Direction=H","UseDPDF=Y")</f>
        <v>8558</v>
      </c>
      <c r="Q30" s="19">
        <f>_xll.BDH("GILD US Equity","ARD_TOTAL_CURRENT_LIABILITIES","FQ2 2022","FQ2 2022","Currency=USD","Period=FQ","BEST_FPERIOD_OVERRIDE=FQ","FILING_STATUS=MR","SCALING_FORMAT=MLN","Sort=A","Dates=H","DateFormat=P","Fill=—","Direction=H","UseDPDF=Y")</f>
        <v>9220</v>
      </c>
      <c r="R30" s="19">
        <f>_xll.BDH("GILD US Equity","ARD_TOTAL_CURRENT_LIABILITIES","FQ3 2022","FQ3 2022","Currency=USD","Period=FQ","BEST_FPERIOD_OVERRIDE=FQ","FILING_STATUS=MR","SCALING_FORMAT=MLN","Sort=A","Dates=H","DateFormat=P","Fill=—","Direction=H","UseDPDF=Y")</f>
        <v>10423</v>
      </c>
      <c r="S30" s="19">
        <f>_xll.BDH("GILD US Equity","ARD_TOTAL_CURRENT_LIABILITIES","FQ4 2022","FQ4 2022","Currency=USD","Period=FQ","BEST_FPERIOD_OVERRIDE=FQ","FILING_STATUS=MR","SCALING_FORMAT=MLN","Sort=A","Dates=H","DateFormat=P","Fill=—","Direction=H","UseDPDF=Y")</f>
        <v>11237</v>
      </c>
      <c r="T30" s="19">
        <f>_xll.BDH("GILD US Equity","ARD_TOTAL_CURRENT_LIABILITIES","FQ1 2023","FQ1 2023","Currency=USD","Period=FQ","BEST_FPERIOD_OVERRIDE=FQ","FILING_STATUS=MR","SCALING_FORMAT=MLN","Sort=A","Dates=H","DateFormat=P","Fill=—","Direction=H","UseDPDF=Y")</f>
        <v>10528</v>
      </c>
      <c r="U30" s="19">
        <f>_xll.BDH("GILD US Equity","ARD_TOTAL_CURRENT_LIABILITIES","FQ2 2023","FQ2 2023","Currency=USD","Period=FQ","BEST_FPERIOD_OVERRIDE=FQ","FILING_STATUS=MR","SCALING_FORMAT=MLN","Sort=A","Dates=H","DateFormat=P","Fill=—","Direction=H","UseDPDF=Y")</f>
        <v>13964</v>
      </c>
      <c r="V30" s="19">
        <f>_xll.BDH("GILD US Equity","ARD_TOTAL_CURRENT_LIABILITIES","FQ3 2023","FQ3 2023","Currency=USD","Period=FQ","BEST_FPERIOD_OVERRIDE=FQ","FILING_STATUS=MR","SCALING_FORMAT=MLN","Sort=A","Dates=H","DateFormat=P","Fill=—","Direction=H","UseDPDF=Y")</f>
        <v>11945</v>
      </c>
      <c r="W30" s="19">
        <f>_xll.BDH("GILD US Equity","ARD_TOTAL_CURRENT_LIABILITIES","FQ4 2023","FQ4 2023","Currency=USD","Period=FQ","BEST_FPERIOD_OVERRIDE=FQ","FILING_STATUS=MR","SCALING_FORMAT=MLN","Sort=A","Dates=H","DateFormat=P","Fill=—","Direction=H","UseDPDF=Y")</f>
        <v>11280</v>
      </c>
      <c r="X30" s="19">
        <f>_xll.BDH("GILD US Equity","ARD_TOTAL_CURRENT_LIABILITIES","FQ1 2024","FQ1 2024","Currency=USD","Period=FQ","BEST_FPERIOD_OVERRIDE=FQ","FILING_STATUS=MR","SCALING_FORMAT=MLN","Sort=A","Dates=H","DateFormat=P","Fill=—","Direction=H","UseDPDF=Y")</f>
        <v>13015</v>
      </c>
      <c r="Y30" s="19">
        <f>_xll.BDH("GILD US Equity","ARD_TOTAL_CURRENT_LIABILITIES","FQ2 2024","FQ2 2024","Currency=USD","Period=FQ","BEST_FPERIOD_OVERRIDE=FQ","FILING_STATUS=MR","SCALING_FORMAT=MLN","Sort=A","Dates=H","DateFormat=P","Fill=—","Direction=H","UseDPDF=Y")</f>
        <v>10781</v>
      </c>
      <c r="Z30" s="19">
        <f>_xll.BDH("GILD US Equity","ARD_TOTAL_CURRENT_LIABILITIES","FQ3 2024","FQ3 2024","Currency=USD","Period=FQ","BEST_FPERIOD_OVERRIDE=FQ","FILING_STATUS=MR","SCALING_FORMAT=MLN","Sort=A","Dates=H","DateFormat=P","Fill=—","Direction=H","UseDPDF=Y")</f>
        <v>11725</v>
      </c>
      <c r="AA30" s="19">
        <f>_xll.BDH("GILD US Equity","ARD_TOTAL_CURRENT_LIABILITIES","FQ4 2024","FQ4 2024","Currency=USD","Period=FQ","BEST_FPERIOD_OVERRIDE=FQ","FILING_STATUS=MR","SCALING_FORMAT=MLN","Sort=A","Dates=H","DateFormat=P","Fill=—","Direction=H","UseDPDF=Y")</f>
        <v>12004</v>
      </c>
    </row>
    <row r="31" spans="1:27" x14ac:dyDescent="0.25">
      <c r="A31" s="10" t="s">
        <v>944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5">
      <c r="A32" s="10" t="s">
        <v>855</v>
      </c>
      <c r="B32" s="10" t="s">
        <v>945</v>
      </c>
      <c r="C32" s="13" t="str">
        <f>_xll.BDH("GILD US Equity","ARD_TOT_NONCURRENT_LIABILITIES","FQ4 2018","FQ4 2018","Currency=USD","Period=FQ","BEST_FPERIOD_OVERRIDE=FQ","FILING_STATUS=MR","SCALING_FORMAT=MLN","Sort=A","Dates=H","DateFormat=P","Fill=—","Direction=H","UseDPDF=Y")</f>
        <v>—</v>
      </c>
      <c r="D32" s="13" t="str">
        <f>_xll.BDH("GILD US Equity","ARD_TOT_NONCURRENT_LIABILITIES","FQ1 2019","FQ1 2019","Currency=USD","Period=FQ","BEST_FPERIOD_OVERRIDE=FQ","FILING_STATUS=MR","SCALING_FORMAT=MLN","Sort=A","Dates=H","DateFormat=P","Fill=—","Direction=H","UseDPDF=Y")</f>
        <v>—</v>
      </c>
      <c r="E32" s="13" t="str">
        <f>_xll.BDH("GILD US Equity","ARD_TOT_NONCURRENT_LIABILITIES","FQ2 2019","FQ2 2019","Currency=USD","Period=FQ","BEST_FPERIOD_OVERRIDE=FQ","FILING_STATUS=MR","SCALING_FORMAT=MLN","Sort=A","Dates=H","DateFormat=P","Fill=—","Direction=H","UseDPDF=Y")</f>
        <v>—</v>
      </c>
      <c r="F32" s="13" t="str">
        <f>_xll.BDH("GILD US Equity","ARD_TOT_NONCURRENT_LIABILITIES","FQ3 2019","FQ3 2019","Currency=USD","Period=FQ","BEST_FPERIOD_OVERRIDE=FQ","FILING_STATUS=MR","SCALING_FORMAT=MLN","Sort=A","Dates=H","DateFormat=P","Fill=—","Direction=H","UseDPDF=Y")</f>
        <v>—</v>
      </c>
      <c r="G32" s="13" t="str">
        <f>_xll.BDH("GILD US Equity","ARD_TOT_NONCURRENT_LIABILITIES","FQ4 2019","FQ4 2019","Currency=USD","Period=FQ","BEST_FPERIOD_OVERRIDE=FQ","FILING_STATUS=MR","SCALING_FORMAT=MLN","Sort=A","Dates=H","DateFormat=P","Fill=—","Direction=H","UseDPDF=Y")</f>
        <v>—</v>
      </c>
      <c r="H32" s="13" t="str">
        <f>_xll.BDH("GILD US Equity","ARD_TOT_NONCURRENT_LIABILITIES","FQ1 2020","FQ1 2020","Currency=USD","Period=FQ","BEST_FPERIOD_OVERRIDE=FQ","FILING_STATUS=MR","SCALING_FORMAT=MLN","Sort=A","Dates=H","DateFormat=P","Fill=—","Direction=H","UseDPDF=Y")</f>
        <v>—</v>
      </c>
      <c r="I32" s="13">
        <f>_xll.BDH("GILD US Equity","ARD_TOT_NONCURRENT_LIABILITIES","FQ2 2020","FQ2 2020","Currency=USD","Period=FQ","BEST_FPERIOD_OVERRIDE=FQ","FILING_STATUS=MR","SCALING_FORMAT=MLN","Sort=A","Dates=H","DateFormat=P","Fill=—","Direction=H","UseDPDF=Y")</f>
        <v>27228</v>
      </c>
      <c r="J32" s="13" t="str">
        <f>_xll.BDH("GILD US Equity","ARD_TOT_NONCURRENT_LIABILITIES","FQ3 2020","FQ3 2020","Currency=USD","Period=FQ","BEST_FPERIOD_OVERRIDE=FQ","FILING_STATUS=MR","SCALING_FORMAT=MLN","Sort=A","Dates=H","DateFormat=P","Fill=—","Direction=H","UseDPDF=Y")</f>
        <v>—</v>
      </c>
      <c r="K32" s="13">
        <f>_xll.BDH("GILD US Equity","ARD_TOT_NONCURRENT_LIABILITIES","FQ4 2020","FQ4 2020","Currency=USD","Period=FQ","BEST_FPERIOD_OVERRIDE=FQ","FILING_STATUS=MR","SCALING_FORMAT=MLN","Sort=A","Dates=H","DateFormat=P","Fill=—","Direction=H","UseDPDF=Y")</f>
        <v>38789</v>
      </c>
      <c r="L32" s="13" t="str">
        <f>_xll.BDH("GILD US Equity","ARD_TOT_NONCURRENT_LIABILITIES","FQ1 2021","FQ1 2021","Currency=USD","Period=FQ","BEST_FPERIOD_OVERRIDE=FQ","FILING_STATUS=MR","SCALING_FORMAT=MLN","Sort=A","Dates=H","DateFormat=P","Fill=—","Direction=H","UseDPDF=Y")</f>
        <v>—</v>
      </c>
      <c r="M32" s="13" t="str">
        <f>_xll.BDH("GILD US Equity","ARD_TOT_NONCURRENT_LIABILITIES","FQ2 2021","FQ2 2021","Currency=USD","Period=FQ","BEST_FPERIOD_OVERRIDE=FQ","FILING_STATUS=MR","SCALING_FORMAT=MLN","Sort=A","Dates=H","DateFormat=P","Fill=—","Direction=H","UseDPDF=Y")</f>
        <v>—</v>
      </c>
      <c r="N32" s="13" t="str">
        <f>_xll.BDH("GILD US Equity","ARD_TOT_NONCURRENT_LIABILITIES","FQ3 2021","FQ3 2021","Currency=USD","Period=FQ","BEST_FPERIOD_OVERRIDE=FQ","FILING_STATUS=MR","SCALING_FORMAT=MLN","Sort=A","Dates=H","DateFormat=P","Fill=—","Direction=H","UseDPDF=Y")</f>
        <v>—</v>
      </c>
      <c r="O32" s="13">
        <f>_xll.BDH("GILD US Equity","ARD_TOT_NONCURRENT_LIABILITIES","FQ4 2021","FQ4 2021","Currency=USD","Period=FQ","BEST_FPERIOD_OVERRIDE=FQ","FILING_STATUS=MR","SCALING_FORMAT=MLN","Sort=A","Dates=H","DateFormat=P","Fill=—","Direction=H","UseDPDF=Y")</f>
        <v>35278</v>
      </c>
      <c r="P32" s="13">
        <f>_xll.BDH("GILD US Equity","ARD_TOT_NONCURRENT_LIABILITIES","FQ1 2022","FQ1 2022","Currency=USD","Period=FQ","BEST_FPERIOD_OVERRIDE=FQ","FILING_STATUS=MR","SCALING_FORMAT=MLN","Sort=A","Dates=H","DateFormat=P","Fill=—","Direction=H","UseDPDF=Y")</f>
        <v>34607</v>
      </c>
      <c r="Q32" s="13">
        <f>_xll.BDH("GILD US Equity","ARD_TOT_NONCURRENT_LIABILITIES","FQ2 2022","FQ2 2022","Currency=USD","Period=FQ","BEST_FPERIOD_OVERRIDE=FQ","FILING_STATUS=MR","SCALING_FORMAT=MLN","Sort=A","Dates=H","DateFormat=P","Fill=—","Direction=H","UseDPDF=Y")</f>
        <v>33435</v>
      </c>
      <c r="R32" s="13">
        <f>_xll.BDH("GILD US Equity","ARD_TOT_NONCURRENT_LIABILITIES","FQ3 2022","FQ3 2022","Currency=USD","Period=FQ","BEST_FPERIOD_OVERRIDE=FQ","FILING_STATUS=MR","SCALING_FORMAT=MLN","Sort=A","Dates=H","DateFormat=P","Fill=—","Direction=H","UseDPDF=Y")</f>
        <v>31077</v>
      </c>
      <c r="S32" s="13">
        <f>_xll.BDH("GILD US Equity","ARD_TOT_NONCURRENT_LIABILITIES","FQ4 2022","FQ4 2022","Currency=USD","Period=FQ","BEST_FPERIOD_OVERRIDE=FQ","FILING_STATUS=MR","SCALING_FORMAT=MLN","Sort=A","Dates=H","DateFormat=P","Fill=—","Direction=H","UseDPDF=Y")</f>
        <v>30725</v>
      </c>
      <c r="T32" s="13">
        <f>_xll.BDH("GILD US Equity","ARD_TOT_NONCURRENT_LIABILITIES","FQ1 2023","FQ1 2023","Currency=USD","Period=FQ","BEST_FPERIOD_OVERRIDE=FQ","FILING_STATUS=MR","SCALING_FORMAT=MLN","Sort=A","Dates=H","DateFormat=P","Fill=—","Direction=H","UseDPDF=Y")</f>
        <v>30409</v>
      </c>
      <c r="U32" s="13">
        <f>_xll.BDH("GILD US Equity","ARD_TOT_NONCURRENT_LIABILITIES","FQ2 2023","FQ2 2023","Currency=USD","Period=FQ","BEST_FPERIOD_OVERRIDE=FQ","FILING_STATUS=MR","SCALING_FORMAT=MLN","Sort=A","Dates=H","DateFormat=P","Fill=—","Direction=H","UseDPDF=Y")</f>
        <v>26527</v>
      </c>
      <c r="V32" s="13">
        <f>_xll.BDH("GILD US Equity","ARD_TOT_NONCURRENT_LIABILITIES","FQ3 2023","FQ3 2023","Currency=USD","Period=FQ","BEST_FPERIOD_OVERRIDE=FQ","FILING_STATUS=MR","SCALING_FORMAT=MLN","Sort=A","Dates=H","DateFormat=P","Fill=—","Direction=H","UseDPDF=Y")</f>
        <v>28185</v>
      </c>
      <c r="W32" s="13">
        <f>_xll.BDH("GILD US Equity","ARD_TOT_NONCURRENT_LIABILITIES","FQ4 2023","FQ4 2023","Currency=USD","Period=FQ","BEST_FPERIOD_OVERRIDE=FQ","FILING_STATUS=MR","SCALING_FORMAT=MLN","Sort=A","Dates=H","DateFormat=P","Fill=—","Direction=H","UseDPDF=Y")</f>
        <v>28096</v>
      </c>
      <c r="X32" s="13">
        <f>_xll.BDH("GILD US Equity","ARD_TOT_NONCURRENT_LIABILITIES","FQ1 2024","FQ1 2024","Currency=USD","Period=FQ","BEST_FPERIOD_OVERRIDE=FQ","FILING_STATUS=MR","SCALING_FORMAT=MLN","Sort=A","Dates=H","DateFormat=P","Fill=—","Direction=H","UseDPDF=Y")</f>
        <v>25822</v>
      </c>
      <c r="Y32" s="13" t="str">
        <f>_xll.BDH("GILD US Equity","ARD_TOT_NONCURRENT_LIABILITIES","FQ2 2024","FQ2 2024","Currency=USD","Period=FQ","BEST_FPERIOD_OVERRIDE=FQ","FILING_STATUS=MR","SCALING_FORMAT=MLN","Sort=A","Dates=H","DateFormat=P","Fill=—","Direction=H","UseDPDF=Y")</f>
        <v>—</v>
      </c>
      <c r="Z32" s="13" t="str">
        <f>_xll.BDH("GILD US Equity","ARD_TOT_NONCURRENT_LIABILITIES","FQ3 2024","FQ3 2024","Currency=USD","Period=FQ","BEST_FPERIOD_OVERRIDE=FQ","FILING_STATUS=MR","SCALING_FORMAT=MLN","Sort=A","Dates=H","DateFormat=P","Fill=—","Direction=H","UseDPDF=Y")</f>
        <v>—</v>
      </c>
      <c r="AA32" s="13" t="str">
        <f>_xll.BDH("GILD US Equity","ARD_TOT_NONCURRENT_LIABILITIES","FQ4 2024","FQ4 2024","Currency=USD","Period=FQ","BEST_FPERIOD_OVERRIDE=FQ","FILING_STATUS=MR","SCALING_FORMAT=MLN","Sort=A","Dates=H","DateFormat=P","Fill=—","Direction=H","UseDPDF=Y")</f>
        <v>—</v>
      </c>
    </row>
    <row r="33" spans="1:27" x14ac:dyDescent="0.25">
      <c r="A33" s="10" t="s">
        <v>946</v>
      </c>
      <c r="B33" s="10" t="s">
        <v>947</v>
      </c>
      <c r="C33" s="13">
        <f>_xll.BDH("GILD US Equity","ARD_LT_DEBT","FQ4 2018","FQ4 2018","Currency=USD","Period=FQ","BEST_FPERIOD_OVERRIDE=FQ","FILING_STATUS=MR","SCALING_FORMAT=MLN","Sort=A","Dates=H","DateFormat=P","Fill=—","Direction=H","UseDPDF=Y")</f>
        <v>24574</v>
      </c>
      <c r="D33" s="13">
        <f>_xll.BDH("GILD US Equity","ARD_LT_DEBT","FQ1 2019","FQ1 2019","Currency=USD","Period=FQ","BEST_FPERIOD_OVERRIDE=FQ","FILING_STATUS=MR","SCALING_FORMAT=MLN","Sort=A","Dates=H","DateFormat=P","Fill=—","Direction=H","UseDPDF=Y")</f>
        <v>24080</v>
      </c>
      <c r="E33" s="13">
        <f>_xll.BDH("GILD US Equity","ARD_LT_DEBT","FQ2 2019","FQ2 2019","Currency=USD","Period=FQ","BEST_FPERIOD_OVERRIDE=FQ","FILING_STATUS=MR","SCALING_FORMAT=MLN","Sort=A","Dates=H","DateFormat=P","Fill=—","Direction=H","UseDPDF=Y")</f>
        <v>24084</v>
      </c>
      <c r="F33" s="13">
        <f>_xll.BDH("GILD US Equity","ARD_LT_DEBT","FQ3 2019","FQ3 2019","Currency=USD","Period=FQ","BEST_FPERIOD_OVERRIDE=FQ","FILING_STATUS=MR","SCALING_FORMAT=MLN","Sort=A","Dates=H","DateFormat=P","Fill=—","Direction=H","UseDPDF=Y")</f>
        <v>22090</v>
      </c>
      <c r="G33" s="13">
        <f>_xll.BDH("GILD US Equity","ARD_LT_DEBT","FQ4 2019","FQ4 2019","Currency=USD","Period=FQ","BEST_FPERIOD_OVERRIDE=FQ","FILING_STATUS=MR","SCALING_FORMAT=MLN","Sort=A","Dates=H","DateFormat=P","Fill=—","Direction=H","UseDPDF=Y")</f>
        <v>22094</v>
      </c>
      <c r="H33" s="13">
        <f>_xll.BDH("GILD US Equity","ARD_LT_DEBT","FQ1 2020","FQ1 2020","Currency=USD","Period=FQ","BEST_FPERIOD_OVERRIDE=FQ","FILING_STATUS=MR","SCALING_FORMAT=MLN","Sort=A","Dates=H","DateFormat=P","Fill=—","Direction=H","UseDPDF=Y")</f>
        <v>22098</v>
      </c>
      <c r="I33" s="13">
        <f>_xll.BDH("GILD US Equity","ARD_LT_DEBT","FQ2 2020","FQ2 2020","Currency=USD","Period=FQ","BEST_FPERIOD_OVERRIDE=FQ","FILING_STATUS=MR","SCALING_FORMAT=MLN","Sort=A","Dates=H","DateFormat=P","Fill=—","Direction=H","UseDPDF=Y")</f>
        <v>21103</v>
      </c>
      <c r="J33" s="13">
        <f>_xll.BDH("GILD US Equity","ARD_LT_DEBT","FQ3 2020","FQ3 2020","Currency=USD","Period=FQ","BEST_FPERIOD_OVERRIDE=FQ","FILING_STATUS=MR","SCALING_FORMAT=MLN","Sort=A","Dates=H","DateFormat=P","Fill=—","Direction=H","UseDPDF=Y")</f>
        <v>27792</v>
      </c>
      <c r="K33" s="13">
        <f>_xll.BDH("GILD US Equity","ARD_LT_DEBT","FQ4 2020","FQ4 2020","Currency=USD","Period=FQ","BEST_FPERIOD_OVERRIDE=FQ","FILING_STATUS=MR","SCALING_FORMAT=MLN","Sort=A","Dates=H","DateFormat=P","Fill=—","Direction=H","UseDPDF=Y")</f>
        <v>28645</v>
      </c>
      <c r="L33" s="13">
        <f>_xll.BDH("GILD US Equity","ARD_LT_DEBT","FQ1 2021","FQ1 2021","Currency=USD","Period=FQ","BEST_FPERIOD_OVERRIDE=FQ","FILING_STATUS=MR","SCALING_FORMAT=MLN","Sort=A","Dates=H","DateFormat=P","Fill=—","Direction=H","UseDPDF=Y")</f>
        <v>27907</v>
      </c>
      <c r="M33" s="13">
        <f>_xll.BDH("GILD US Equity","ARD_LT_DEBT","FQ2 2021","FQ2 2021","Currency=USD","Period=FQ","BEST_FPERIOD_OVERRIDE=FQ","FILING_STATUS=MR","SCALING_FORMAT=MLN","Sort=A","Dates=H","DateFormat=P","Fill=—","Direction=H","UseDPDF=Y")</f>
        <v>27914</v>
      </c>
      <c r="N33" s="13">
        <f>_xll.BDH("GILD US Equity","ARD_LT_DEBT","FQ3 2021","FQ3 2021","Currency=USD","Period=FQ","BEST_FPERIOD_OVERRIDE=FQ","FILING_STATUS=MR","SCALING_FORMAT=MLN","Sort=A","Dates=H","DateFormat=P","Fill=—","Direction=H","UseDPDF=Y")</f>
        <v>25175</v>
      </c>
      <c r="O33" s="13">
        <f>_xll.BDH("GILD US Equity","ARD_LT_DEBT","FQ4 2021","FQ4 2021","Currency=USD","Period=FQ","BEST_FPERIOD_OVERRIDE=FQ","FILING_STATUS=MR","SCALING_FORMAT=MLN","Sort=A","Dates=H","DateFormat=P","Fill=—","Direction=H","UseDPDF=Y")</f>
        <v>25179</v>
      </c>
      <c r="P33" s="13">
        <f>_xll.BDH("GILD US Equity","ARD_LT_DEBT","FQ1 2022","FQ1 2022","Currency=USD","Period=FQ","BEST_FPERIOD_OVERRIDE=FQ","FILING_STATUS=MR","SCALING_FORMAT=MLN","Sort=A","Dates=H","DateFormat=P","Fill=—","Direction=H","UseDPDF=Y")</f>
        <v>25183</v>
      </c>
      <c r="Q33" s="13">
        <f>_xll.BDH("GILD US Equity","ARD_LT_DEBT","FQ2 2022","FQ2 2022","Currency=USD","Period=FQ","BEST_FPERIOD_OVERRIDE=FQ","FILING_STATUS=MR","SCALING_FORMAT=MLN","Sort=A","Dates=H","DateFormat=P","Fill=—","Direction=H","UseDPDF=Y")</f>
        <v>25195</v>
      </c>
      <c r="R33" s="13">
        <f>_xll.BDH("GILD US Equity","ARD_LT_DEBT","FQ3 2022","FQ3 2022","Currency=USD","Period=FQ","BEST_FPERIOD_OVERRIDE=FQ","FILING_STATUS=MR","SCALING_FORMAT=MLN","Sort=A","Dates=H","DateFormat=P","Fill=—","Direction=H","UseDPDF=Y")</f>
        <v>22953</v>
      </c>
      <c r="S33" s="13">
        <f>_xll.BDH("GILD US Equity","ARD_LT_DEBT","FQ4 2022","FQ4 2022","Currency=USD","Period=FQ","BEST_FPERIOD_OVERRIDE=FQ","FILING_STATUS=MR","SCALING_FORMAT=MLN","Sort=A","Dates=H","DateFormat=P","Fill=—","Direction=H","UseDPDF=Y")</f>
        <v>22957</v>
      </c>
      <c r="T33" s="13">
        <f>_xll.BDH("GILD US Equity","ARD_LT_DEBT","FQ1 2023","FQ1 2023","Currency=USD","Period=FQ","BEST_FPERIOD_OVERRIDE=FQ","FILING_STATUS=MR","SCALING_FORMAT=MLN","Sort=A","Dates=H","DateFormat=P","Fill=—","Direction=H","UseDPDF=Y")</f>
        <v>22956</v>
      </c>
      <c r="U33" s="13">
        <f>_xll.BDH("GILD US Equity","ARD_LT_DEBT","FQ2 2023","FQ2 2023","Currency=USD","Period=FQ","BEST_FPERIOD_OVERRIDE=FQ","FILING_STATUS=MR","SCALING_FORMAT=MLN","Sort=A","Dates=H","DateFormat=P","Fill=—","Direction=H","UseDPDF=Y")</f>
        <v>21209</v>
      </c>
      <c r="V33" s="13">
        <f>_xll.BDH("GILD US Equity","ARD_LT_DEBT","FQ3 2023","FQ3 2023","Currency=USD","Period=FQ","BEST_FPERIOD_OVERRIDE=FQ","FILING_STATUS=MR","SCALING_FORMAT=MLN","Sort=A","Dates=H","DateFormat=P","Fill=—","Direction=H","UseDPDF=Y")</f>
        <v>23189</v>
      </c>
      <c r="W33" s="13">
        <f>_xll.BDH("GILD US Equity","ARD_LT_DEBT","FQ4 2023","FQ4 2023","Currency=USD","Period=FQ","BEST_FPERIOD_OVERRIDE=FQ","FILING_STATUS=MR","SCALING_FORMAT=MLN","Sort=A","Dates=H","DateFormat=P","Fill=—","Direction=H","UseDPDF=Y")</f>
        <v>23189</v>
      </c>
      <c r="X33" s="13">
        <f>_xll.BDH("GILD US Equity","ARD_LT_DEBT","FQ1 2024","FQ1 2024","Currency=USD","Period=FQ","BEST_FPERIOD_OVERRIDE=FQ","FILING_STATUS=MR","SCALING_FORMAT=MLN","Sort=A","Dates=H","DateFormat=P","Fill=—","Direction=H","UseDPDF=Y")</f>
        <v>21527</v>
      </c>
      <c r="Y33" s="13">
        <f>_xll.BDH("GILD US Equity","ARD_LT_DEBT","FQ2 2024","FQ2 2024","Currency=USD","Period=FQ","BEST_FPERIOD_OVERRIDE=FQ","FILING_STATUS=MR","SCALING_FORMAT=MLN","Sort=A","Dates=H","DateFormat=P","Fill=—","Direction=H","UseDPDF=Y")</f>
        <v>21540</v>
      </c>
      <c r="Z33" s="13">
        <f>_xll.BDH("GILD US Equity","ARD_LT_DEBT","FQ3 2024","FQ3 2024","Currency=USD","Period=FQ","BEST_FPERIOD_OVERRIDE=FQ","FILING_STATUS=MR","SCALING_FORMAT=MLN","Sort=A","Dates=H","DateFormat=P","Fill=—","Direction=H","UseDPDF=Y")</f>
        <v>21437</v>
      </c>
      <c r="AA33" s="13">
        <f>_xll.BDH("GILD US Equity","ARD_LT_DEBT","FQ4 2024","FQ4 2024","Currency=USD","Period=FQ","BEST_FPERIOD_OVERRIDE=FQ","FILING_STATUS=MR","SCALING_FORMAT=MLN","Sort=A","Dates=H","DateFormat=P","Fill=—","Direction=H","UseDPDF=Y")</f>
        <v>24896</v>
      </c>
    </row>
    <row r="34" spans="1:27" x14ac:dyDescent="0.25">
      <c r="A34" s="10" t="s">
        <v>948</v>
      </c>
      <c r="B34" s="10" t="s">
        <v>949</v>
      </c>
      <c r="C34" s="13" t="str">
        <f>_xll.BDH("GILD US Equity","ARD_DEFERRED_INCOME_TAXES_LIAB","FQ4 2018","FQ4 2018","Currency=USD","Period=FQ","BEST_FPERIOD_OVERRIDE=FQ","FILING_STATUS=MR","SCALING_FORMAT=MLN","Sort=A","Dates=H","DateFormat=P","Fill=—","Direction=H","UseDPDF=Y")</f>
        <v>—</v>
      </c>
      <c r="D34" s="13" t="str">
        <f>_xll.BDH("GILD US Equity","ARD_DEFERRED_INCOME_TAXES_LIAB","FQ1 2019","FQ1 2019","Currency=USD","Period=FQ","BEST_FPERIOD_OVERRIDE=FQ","FILING_STATUS=MR","SCALING_FORMAT=MLN","Sort=A","Dates=H","DateFormat=P","Fill=—","Direction=H","UseDPDF=Y")</f>
        <v>—</v>
      </c>
      <c r="E34" s="13" t="str">
        <f>_xll.BDH("GILD US Equity","ARD_DEFERRED_INCOME_TAXES_LIAB","FQ2 2019","FQ2 2019","Currency=USD","Period=FQ","BEST_FPERIOD_OVERRIDE=FQ","FILING_STATUS=MR","SCALING_FORMAT=MLN","Sort=A","Dates=H","DateFormat=P","Fill=—","Direction=H","UseDPDF=Y")</f>
        <v>—</v>
      </c>
      <c r="F34" s="13" t="str">
        <f>_xll.BDH("GILD US Equity","ARD_DEFERRED_INCOME_TAXES_LIAB","FQ3 2019","FQ3 2019","Currency=USD","Period=FQ","BEST_FPERIOD_OVERRIDE=FQ","FILING_STATUS=MR","SCALING_FORMAT=MLN","Sort=A","Dates=H","DateFormat=P","Fill=—","Direction=H","UseDPDF=Y")</f>
        <v>—</v>
      </c>
      <c r="G34" s="13" t="str">
        <f>_xll.BDH("GILD US Equity","ARD_DEFERRED_INCOME_TAXES_LIAB","FQ4 2019","FQ4 2019","Currency=USD","Period=FQ","BEST_FPERIOD_OVERRIDE=FQ","FILING_STATUS=MR","SCALING_FORMAT=MLN","Sort=A","Dates=H","DateFormat=P","Fill=—","Direction=H","UseDPDF=Y")</f>
        <v>—</v>
      </c>
      <c r="H34" s="13" t="str">
        <f>_xll.BDH("GILD US Equity","ARD_DEFERRED_INCOME_TAXES_LIAB","FQ1 2020","FQ1 2020","Currency=USD","Period=FQ","BEST_FPERIOD_OVERRIDE=FQ","FILING_STATUS=MR","SCALING_FORMAT=MLN","Sort=A","Dates=H","DateFormat=P","Fill=—","Direction=H","UseDPDF=Y")</f>
        <v>—</v>
      </c>
      <c r="I34" s="13" t="str">
        <f>_xll.BDH("GILD US Equity","ARD_DEFERRED_INCOME_TAXES_LIAB","FQ2 2020","FQ2 2020","Currency=USD","Period=FQ","BEST_FPERIOD_OVERRIDE=FQ","FILING_STATUS=MR","SCALING_FORMAT=MLN","Sort=A","Dates=H","DateFormat=P","Fill=—","Direction=H","UseDPDF=Y")</f>
        <v>—</v>
      </c>
      <c r="J34" s="13" t="str">
        <f>_xll.BDH("GILD US Equity","ARD_DEFERRED_INCOME_TAXES_LIAB","FQ3 2020","FQ3 2020","Currency=USD","Period=FQ","BEST_FPERIOD_OVERRIDE=FQ","FILING_STATUS=MR","SCALING_FORMAT=MLN","Sort=A","Dates=H","DateFormat=P","Fill=—","Direction=H","UseDPDF=Y")</f>
        <v>—</v>
      </c>
      <c r="K34" s="13">
        <f>_xll.BDH("GILD US Equity","ARD_DEFERRED_INCOME_TAXES_LIAB","FQ4 2020","FQ4 2020","Currency=USD","Period=FQ","BEST_FPERIOD_OVERRIDE=FQ","FILING_STATUS=MR","SCALING_FORMAT=MLN","Sort=A","Dates=H","DateFormat=P","Fill=—","Direction=H","UseDPDF=Y")</f>
        <v>3914</v>
      </c>
      <c r="L34" s="13">
        <f>_xll.BDH("GILD US Equity","ARD_DEFERRED_INCOME_TAXES_LIAB","FQ1 2021","FQ1 2021","Currency=USD","Period=FQ","BEST_FPERIOD_OVERRIDE=FQ","FILING_STATUS=MR","SCALING_FORMAT=MLN","Sort=A","Dates=H","DateFormat=P","Fill=—","Direction=H","UseDPDF=Y")</f>
        <v>4464</v>
      </c>
      <c r="M34" s="13">
        <f>_xll.BDH("GILD US Equity","ARD_DEFERRED_INCOME_TAXES_LIAB","FQ2 2021","FQ2 2021","Currency=USD","Period=FQ","BEST_FPERIOD_OVERRIDE=FQ","FILING_STATUS=MR","SCALING_FORMAT=MLN","Sort=A","Dates=H","DateFormat=P","Fill=—","Direction=H","UseDPDF=Y")</f>
        <v>4374</v>
      </c>
      <c r="N34" s="13">
        <f>_xll.BDH("GILD US Equity","ARD_DEFERRED_INCOME_TAXES_LIAB","FQ3 2021","FQ3 2021","Currency=USD","Period=FQ","BEST_FPERIOD_OVERRIDE=FQ","FILING_STATUS=MR","SCALING_FORMAT=MLN","Sort=A","Dates=H","DateFormat=P","Fill=—","Direction=H","UseDPDF=Y")</f>
        <v>4603</v>
      </c>
      <c r="O34" s="13">
        <f>_xll.BDH("GILD US Equity","ARD_DEFERRED_INCOME_TAXES_LIAB","FQ4 2021","FQ4 2021","Currency=USD","Period=FQ","BEST_FPERIOD_OVERRIDE=FQ","FILING_STATUS=MR","SCALING_FORMAT=MLN","Sort=A","Dates=H","DateFormat=P","Fill=—","Direction=H","UseDPDF=Y")</f>
        <v>4356</v>
      </c>
      <c r="P34" s="13">
        <f>_xll.BDH("GILD US Equity","ARD_DEFERRED_INCOME_TAXES_LIAB","FQ1 2022","FQ1 2022","Currency=USD","Period=FQ","BEST_FPERIOD_OVERRIDE=FQ","FILING_STATUS=MR","SCALING_FORMAT=MLN","Sort=A","Dates=H","DateFormat=P","Fill=—","Direction=H","UseDPDF=Y")</f>
        <v>3687</v>
      </c>
      <c r="Q34" s="13">
        <f>_xll.BDH("GILD US Equity","ARD_DEFERRED_INCOME_TAXES_LIAB","FQ2 2022","FQ2 2022","Currency=USD","Period=FQ","BEST_FPERIOD_OVERRIDE=FQ","FILING_STATUS=MR","SCALING_FORMAT=MLN","Sort=A","Dates=H","DateFormat=P","Fill=—","Direction=H","UseDPDF=Y")</f>
        <v>3364</v>
      </c>
      <c r="R34" s="13">
        <f>_xll.BDH("GILD US Equity","ARD_DEFERRED_INCOME_TAXES_LIAB","FQ3 2022","FQ3 2022","Currency=USD","Period=FQ","BEST_FPERIOD_OVERRIDE=FQ","FILING_STATUS=MR","SCALING_FORMAT=MLN","Sort=A","Dates=H","DateFormat=P","Fill=—","Direction=H","UseDPDF=Y")</f>
        <v>3036</v>
      </c>
      <c r="S34" s="13">
        <f>_xll.BDH("GILD US Equity","ARD_DEFERRED_INCOME_TAXES_LIAB","FQ4 2022","FQ4 2022","Currency=USD","Period=FQ","BEST_FPERIOD_OVERRIDE=FQ","FILING_STATUS=MR","SCALING_FORMAT=MLN","Sort=A","Dates=H","DateFormat=P","Fill=—","Direction=H","UseDPDF=Y")</f>
        <v>2673</v>
      </c>
      <c r="T34" s="13">
        <f>_xll.BDH("GILD US Equity","ARD_DEFERRED_INCOME_TAXES_LIAB","FQ1 2023","FQ1 2023","Currency=USD","Period=FQ","BEST_FPERIOD_OVERRIDE=FQ","FILING_STATUS=MR","SCALING_FORMAT=MLN","Sort=A","Dates=H","DateFormat=P","Fill=—","Direction=H","UseDPDF=Y")</f>
        <v>2401</v>
      </c>
      <c r="U34" s="13">
        <f>_xll.BDH("GILD US Equity","ARD_DEFERRED_INCOME_TAXES_LIAB","FQ2 2023","FQ2 2023","Currency=USD","Period=FQ","BEST_FPERIOD_OVERRIDE=FQ","FILING_STATUS=MR","SCALING_FORMAT=MLN","Sort=A","Dates=H","DateFormat=P","Fill=—","Direction=H","UseDPDF=Y")</f>
        <v>2106</v>
      </c>
      <c r="V34" s="13">
        <f>_xll.BDH("GILD US Equity","ARD_DEFERRED_INCOME_TAXES_LIAB","FQ3 2023","FQ3 2023","Currency=USD","Period=FQ","BEST_FPERIOD_OVERRIDE=FQ","FILING_STATUS=MR","SCALING_FORMAT=MLN","Sort=A","Dates=H","DateFormat=P","Fill=—","Direction=H","UseDPDF=Y")</f>
        <v>1984</v>
      </c>
      <c r="W34" s="13">
        <f>_xll.BDH("GILD US Equity","ARD_DEFERRED_INCOME_TAXES_LIAB","FQ4 2023","FQ4 2023","Currency=USD","Period=FQ","BEST_FPERIOD_OVERRIDE=FQ","FILING_STATUS=MR","SCALING_FORMAT=MLN","Sort=A","Dates=H","DateFormat=P","Fill=—","Direction=H","UseDPDF=Y")</f>
        <v>1588</v>
      </c>
      <c r="X34" s="13">
        <f>_xll.BDH("GILD US Equity","ARD_DEFERRED_INCOME_TAXES_LIAB","FQ1 2024","FQ1 2024","Currency=USD","Period=FQ","BEST_FPERIOD_OVERRIDE=FQ","FILING_STATUS=MR","SCALING_FORMAT=MLN","Sort=A","Dates=H","DateFormat=P","Fill=—","Direction=H","UseDPDF=Y")</f>
        <v>933</v>
      </c>
      <c r="Y34" s="13">
        <f>_xll.BDH("GILD US Equity","ARD_DEFERRED_INCOME_TAXES_LIAB","FQ2 2024","FQ2 2024","Currency=USD","Period=FQ","BEST_FPERIOD_OVERRIDE=FQ","FILING_STATUS=MR","SCALING_FORMAT=MLN","Sort=A","Dates=H","DateFormat=P","Fill=—","Direction=H","UseDPDF=Y")</f>
        <v>907</v>
      </c>
      <c r="Z34" s="13">
        <f>_xll.BDH("GILD US Equity","ARD_DEFERRED_INCOME_TAXES_LIAB","FQ3 2024","FQ3 2024","Currency=USD","Period=FQ","BEST_FPERIOD_OVERRIDE=FQ","FILING_STATUS=MR","SCALING_FORMAT=MLN","Sort=A","Dates=H","DateFormat=P","Fill=—","Direction=H","UseDPDF=Y")</f>
        <v>794</v>
      </c>
      <c r="AA34" s="13">
        <f>_xll.BDH("GILD US Equity","ARD_DEFERRED_INCOME_TAXES_LIAB","FQ4 2024","FQ4 2024","Currency=USD","Period=FQ","BEST_FPERIOD_OVERRIDE=FQ","FILING_STATUS=MR","SCALING_FORMAT=MLN","Sort=A","Dates=H","DateFormat=P","Fill=—","Direction=H","UseDPDF=Y")</f>
        <v>724</v>
      </c>
    </row>
    <row r="35" spans="1:27" x14ac:dyDescent="0.25">
      <c r="A35" s="10" t="s">
        <v>950</v>
      </c>
      <c r="B35" s="10" t="s">
        <v>951</v>
      </c>
      <c r="C35" s="13">
        <f>_xll.BDH("GILD US Equity","ARD_OTH_NONCURRENT_LIABILITIES","FQ4 2018","FQ4 2018","Currency=USD","Period=FQ","BEST_FPERIOD_OVERRIDE=FQ","FILING_STATUS=MR","SCALING_FORMAT=MLN","Sort=A","Dates=H","DateFormat=P","Fill=—","Direction=H","UseDPDF=Y")</f>
        <v>1040</v>
      </c>
      <c r="D35" s="13">
        <f>_xll.BDH("GILD US Equity","ARD_OTH_NONCURRENT_LIABILITIES","FQ1 2019","FQ1 2019","Currency=USD","Period=FQ","BEST_FPERIOD_OVERRIDE=FQ","FILING_STATUS=MR","SCALING_FORMAT=MLN","Sort=A","Dates=H","DateFormat=P","Fill=—","Direction=H","UseDPDF=Y")</f>
        <v>1460</v>
      </c>
      <c r="E35" s="13">
        <f>_xll.BDH("GILD US Equity","ARD_OTH_NONCURRENT_LIABILITIES","FQ2 2019","FQ2 2019","Currency=USD","Period=FQ","BEST_FPERIOD_OVERRIDE=FQ","FILING_STATUS=MR","SCALING_FORMAT=MLN","Sort=A","Dates=H","DateFormat=P","Fill=—","Direction=H","UseDPDF=Y")</f>
        <v>1577</v>
      </c>
      <c r="F35" s="13">
        <f>_xll.BDH("GILD US Equity","ARD_OTH_NONCURRENT_LIABILITIES","FQ3 2019","FQ3 2019","Currency=USD","Period=FQ","BEST_FPERIOD_OVERRIDE=FQ","FILING_STATUS=MR","SCALING_FORMAT=MLN","Sort=A","Dates=H","DateFormat=P","Fill=—","Direction=H","UseDPDF=Y")</f>
        <v>901</v>
      </c>
      <c r="G35" s="13">
        <f>_xll.BDH("GILD US Equity","ARD_OTH_NONCURRENT_LIABILITIES","FQ4 2019","FQ4 2019","Currency=USD","Period=FQ","BEST_FPERIOD_OVERRIDE=FQ","FILING_STATUS=MR","SCALING_FORMAT=MLN","Sort=A","Dates=H","DateFormat=P","Fill=—","Direction=H","UseDPDF=Y")</f>
        <v>1009</v>
      </c>
      <c r="H35" s="13">
        <f>_xll.BDH("GILD US Equity","ARD_OTH_NONCURRENT_LIABILITIES","FQ1 2020","FQ1 2020","Currency=USD","Period=FQ","BEST_FPERIOD_OVERRIDE=FQ","FILING_STATUS=MR","SCALING_FORMAT=MLN","Sort=A","Dates=H","DateFormat=P","Fill=—","Direction=H","UseDPDF=Y")</f>
        <v>990</v>
      </c>
      <c r="I35" s="13">
        <f>_xll.BDH("GILD US Equity","ARD_OTH_NONCURRENT_LIABILITIES","FQ2 2020","FQ2 2020","Currency=USD","Period=FQ","BEST_FPERIOD_OVERRIDE=FQ","FILING_STATUS=MR","SCALING_FORMAT=MLN","Sort=A","Dates=H","DateFormat=P","Fill=—","Direction=H","UseDPDF=Y")</f>
        <v>1018</v>
      </c>
      <c r="J35" s="13">
        <f>_xll.BDH("GILD US Equity","ARD_OTH_NONCURRENT_LIABILITIES","FQ3 2020","FQ3 2020","Currency=USD","Period=FQ","BEST_FPERIOD_OVERRIDE=FQ","FILING_STATUS=MR","SCALING_FORMAT=MLN","Sort=A","Dates=H","DateFormat=P","Fill=—","Direction=H","UseDPDF=Y")</f>
        <v>1086</v>
      </c>
      <c r="K35" s="13">
        <f>_xll.BDH("GILD US Equity","ARD_OTH_NONCURRENT_LIABILITIES","FQ4 2020","FQ4 2020","Currency=USD","Period=FQ","BEST_FPERIOD_OVERRIDE=FQ","FILING_STATUS=MR","SCALING_FORMAT=MLN","Sort=A","Dates=H","DateFormat=P","Fill=—","Direction=H","UseDPDF=Y")</f>
        <v>1214</v>
      </c>
      <c r="L35" s="13">
        <f>_xll.BDH("GILD US Equity","ARD_OTH_NONCURRENT_LIABILITIES","FQ1 2021","FQ1 2021","Currency=USD","Period=FQ","BEST_FPERIOD_OVERRIDE=FQ","FILING_STATUS=MR","SCALING_FORMAT=MLN","Sort=A","Dates=H","DateFormat=P","Fill=—","Direction=H","UseDPDF=Y")</f>
        <v>1430</v>
      </c>
      <c r="M35" s="13">
        <f>_xll.BDH("GILD US Equity","ARD_OTH_NONCURRENT_LIABILITIES","FQ2 2021","FQ2 2021","Currency=USD","Period=FQ","BEST_FPERIOD_OVERRIDE=FQ","FILING_STATUS=MR","SCALING_FORMAT=MLN","Sort=A","Dates=H","DateFormat=P","Fill=—","Direction=H","UseDPDF=Y")</f>
        <v>1176</v>
      </c>
      <c r="N35" s="13">
        <f>_xll.BDH("GILD US Equity","ARD_OTH_NONCURRENT_LIABILITIES","FQ3 2021","FQ3 2021","Currency=USD","Period=FQ","BEST_FPERIOD_OVERRIDE=FQ","FILING_STATUS=MR","SCALING_FORMAT=MLN","Sort=A","Dates=H","DateFormat=P","Fill=—","Direction=H","UseDPDF=Y")</f>
        <v>962</v>
      </c>
      <c r="O35" s="13">
        <f>_xll.BDH("GILD US Equity","ARD_OTH_NONCURRENT_LIABILITIES","FQ4 2021","FQ4 2021","Currency=USD","Period=FQ","BEST_FPERIOD_OVERRIDE=FQ","FILING_STATUS=MR","SCALING_FORMAT=MLN","Sort=A","Dates=H","DateFormat=P","Fill=—","Direction=H","UseDPDF=Y")</f>
        <v>976</v>
      </c>
      <c r="P35" s="13">
        <f>_xll.BDH("GILD US Equity","ARD_OTH_NONCURRENT_LIABILITIES","FQ1 2022","FQ1 2022","Currency=USD","Period=FQ","BEST_FPERIOD_OVERRIDE=FQ","FILING_STATUS=MR","SCALING_FORMAT=MLN","Sort=A","Dates=H","DateFormat=P","Fill=—","Direction=H","UseDPDF=Y")</f>
        <v>944</v>
      </c>
      <c r="Q35" s="13">
        <f>_xll.BDH("GILD US Equity","ARD_OTH_NONCURRENT_LIABILITIES","FQ2 2022","FQ2 2022","Currency=USD","Period=FQ","BEST_FPERIOD_OVERRIDE=FQ","FILING_STATUS=MR","SCALING_FORMAT=MLN","Sort=A","Dates=H","DateFormat=P","Fill=—","Direction=H","UseDPDF=Y")</f>
        <v>988</v>
      </c>
      <c r="R35" s="13">
        <f>_xll.BDH("GILD US Equity","ARD_OTH_NONCURRENT_LIABILITIES","FQ3 2022","FQ3 2022","Currency=USD","Period=FQ","BEST_FPERIOD_OVERRIDE=FQ","FILING_STATUS=MR","SCALING_FORMAT=MLN","Sort=A","Dates=H","DateFormat=P","Fill=—","Direction=H","UseDPDF=Y")</f>
        <v>1106</v>
      </c>
      <c r="S35" s="13">
        <f>_xll.BDH("GILD US Equity","ARD_OTH_NONCURRENT_LIABILITIES","FQ4 2022","FQ4 2022","Currency=USD","Period=FQ","BEST_FPERIOD_OVERRIDE=FQ","FILING_STATUS=MR","SCALING_FORMAT=MLN","Sort=A","Dates=H","DateFormat=P","Fill=—","Direction=H","UseDPDF=Y")</f>
        <v>1179</v>
      </c>
      <c r="T35" s="13">
        <f>_xll.BDH("GILD US Equity","ARD_OTH_NONCURRENT_LIABILITIES","FQ1 2023","FQ1 2023","Currency=USD","Period=FQ","BEST_FPERIOD_OVERRIDE=FQ","FILING_STATUS=MR","SCALING_FORMAT=MLN","Sort=A","Dates=H","DateFormat=P","Fill=—","Direction=H","UseDPDF=Y")</f>
        <v>1277</v>
      </c>
      <c r="U35" s="13">
        <f>_xll.BDH("GILD US Equity","ARD_OTH_NONCURRENT_LIABILITIES","FQ2 2023","FQ2 2023","Currency=USD","Period=FQ","BEST_FPERIOD_OVERRIDE=FQ","FILING_STATUS=MR","SCALING_FORMAT=MLN","Sort=A","Dates=H","DateFormat=P","Fill=—","Direction=H","UseDPDF=Y")</f>
        <v>1354</v>
      </c>
      <c r="V35" s="13">
        <f>_xll.BDH("GILD US Equity","ARD_OTH_NONCURRENT_LIABILITIES","FQ3 2023","FQ3 2023","Currency=USD","Period=FQ","BEST_FPERIOD_OVERRIDE=FQ","FILING_STATUS=MR","SCALING_FORMAT=MLN","Sort=A","Dates=H","DateFormat=P","Fill=—","Direction=H","UseDPDF=Y")</f>
        <v>924</v>
      </c>
      <c r="W35" s="13">
        <f>_xll.BDH("GILD US Equity","ARD_OTH_NONCURRENT_LIABILITIES","FQ4 2023","FQ4 2023","Currency=USD","Period=FQ","BEST_FPERIOD_OVERRIDE=FQ","FILING_STATUS=MR","SCALING_FORMAT=MLN","Sort=A","Dates=H","DateFormat=P","Fill=—","Direction=H","UseDPDF=Y")</f>
        <v>1280</v>
      </c>
      <c r="X35" s="13">
        <f>_xll.BDH("GILD US Equity","ARD_OTH_NONCURRENT_LIABILITIES","FQ1 2024","FQ1 2024","Currency=USD","Period=FQ","BEST_FPERIOD_OVERRIDE=FQ","FILING_STATUS=MR","SCALING_FORMAT=MLN","Sort=A","Dates=H","DateFormat=P","Fill=—","Direction=H","UseDPDF=Y")</f>
        <v>1395</v>
      </c>
      <c r="Y35" s="13">
        <f>_xll.BDH("GILD US Equity","ARD_OTH_NONCURRENT_LIABILITIES","FQ2 2024","FQ2 2024","Currency=USD","Period=FQ","BEST_FPERIOD_OVERRIDE=FQ","FILING_STATUS=MR","SCALING_FORMAT=MLN","Sort=A","Dates=H","DateFormat=P","Fill=—","Direction=H","UseDPDF=Y")</f>
        <v>1416</v>
      </c>
      <c r="Z35" s="13">
        <f>_xll.BDH("GILD US Equity","ARD_OTH_NONCURRENT_LIABILITIES","FQ3 2024","FQ3 2024","Currency=USD","Period=FQ","BEST_FPERIOD_OVERRIDE=FQ","FILING_STATUS=MR","SCALING_FORMAT=MLN","Sort=A","Dates=H","DateFormat=P","Fill=—","Direction=H","UseDPDF=Y")</f>
        <v>1397</v>
      </c>
      <c r="AA35" s="13">
        <f>_xll.BDH("GILD US Equity","ARD_OTH_NONCURRENT_LIABILITIES","FQ4 2024","FQ4 2024","Currency=USD","Period=FQ","BEST_FPERIOD_OVERRIDE=FQ","FILING_STATUS=MR","SCALING_FORMAT=MLN","Sort=A","Dates=H","DateFormat=P","Fill=—","Direction=H","UseDPDF=Y")</f>
        <v>1295</v>
      </c>
    </row>
    <row r="36" spans="1:27" x14ac:dyDescent="0.25">
      <c r="A36" s="10" t="s">
        <v>952</v>
      </c>
      <c r="B36" s="10" t="s">
        <v>953</v>
      </c>
      <c r="C36" s="13">
        <f>_xll.BDH("GILD US Equity","ARD_PROVISION_FOR_TAXATION","FQ4 2018","FQ4 2018","Currency=USD","Period=FQ","BEST_FPERIOD_OVERRIDE=FQ","FILING_STATUS=MR","SCALING_FORMAT=MLN","Sort=A","Dates=H","DateFormat=P","Fill=—","Direction=H","UseDPDF=Y")</f>
        <v>5922</v>
      </c>
      <c r="D36" s="13">
        <f>_xll.BDH("GILD US Equity","ARD_PROVISION_FOR_TAXATION","FQ1 2019","FQ1 2019","Currency=USD","Period=FQ","BEST_FPERIOD_OVERRIDE=FQ","FILING_STATUS=MR","SCALING_FORMAT=MLN","Sort=A","Dates=H","DateFormat=P","Fill=—","Direction=H","UseDPDF=Y")</f>
        <v>5809</v>
      </c>
      <c r="E36" s="13">
        <f>_xll.BDH("GILD US Equity","ARD_PROVISION_FOR_TAXATION","FQ2 2019","FQ2 2019","Currency=USD","Period=FQ","BEST_FPERIOD_OVERRIDE=FQ","FILING_STATUS=MR","SCALING_FORMAT=MLN","Sort=A","Dates=H","DateFormat=P","Fill=—","Direction=H","UseDPDF=Y")</f>
        <v>5837</v>
      </c>
      <c r="F36" s="13">
        <f>_xll.BDH("GILD US Equity","ARD_PROVISION_FOR_TAXATION","FQ3 2019","FQ3 2019","Currency=USD","Period=FQ","BEST_FPERIOD_OVERRIDE=FQ","FILING_STATUS=MR","SCALING_FORMAT=MLN","Sort=A","Dates=H","DateFormat=P","Fill=—","Direction=H","UseDPDF=Y")</f>
        <v>5852</v>
      </c>
      <c r="G36" s="13">
        <f>_xll.BDH("GILD US Equity","ARD_PROVISION_FOR_TAXATION","FQ4 2019","FQ4 2019","Currency=USD","Period=FQ","BEST_FPERIOD_OVERRIDE=FQ","FILING_STATUS=MR","SCALING_FORMAT=MLN","Sort=A","Dates=H","DateFormat=P","Fill=—","Direction=H","UseDPDF=Y")</f>
        <v>6115</v>
      </c>
      <c r="H36" s="13">
        <f>_xll.BDH("GILD US Equity","ARD_PROVISION_FOR_TAXATION","FQ1 2020","FQ1 2020","Currency=USD","Period=FQ","BEST_FPERIOD_OVERRIDE=FQ","FILING_STATUS=MR","SCALING_FORMAT=MLN","Sort=A","Dates=H","DateFormat=P","Fill=—","Direction=H","UseDPDF=Y")</f>
        <v>5595</v>
      </c>
      <c r="I36" s="13">
        <f>_xll.BDH("GILD US Equity","ARD_PROVISION_FOR_TAXATION","FQ2 2020","FQ2 2020","Currency=USD","Period=FQ","BEST_FPERIOD_OVERRIDE=FQ","FILING_STATUS=MR","SCALING_FORMAT=MLN","Sort=A","Dates=H","DateFormat=P","Fill=—","Direction=H","UseDPDF=Y")</f>
        <v>5107</v>
      </c>
      <c r="J36" s="13">
        <f>_xll.BDH("GILD US Equity","ARD_PROVISION_FOR_TAXATION","FQ3 2020","FQ3 2020","Currency=USD","Period=FQ","BEST_FPERIOD_OVERRIDE=FQ","FILING_STATUS=MR","SCALING_FORMAT=MLN","Sort=A","Dates=H","DateFormat=P","Fill=—","Direction=H","UseDPDF=Y")</f>
        <v>5020</v>
      </c>
      <c r="K36" s="13">
        <f>_xll.BDH("GILD US Equity","ARD_PROVISION_FOR_TAXATION","FQ4 2020","FQ4 2020","Currency=USD","Period=FQ","BEST_FPERIOD_OVERRIDE=FQ","FILING_STATUS=MR","SCALING_FORMAT=MLN","Sort=A","Dates=H","DateFormat=P","Fill=—","Direction=H","UseDPDF=Y")</f>
        <v>5016</v>
      </c>
      <c r="L36" s="13">
        <f>_xll.BDH("GILD US Equity","ARD_PROVISION_FOR_TAXATION","FQ1 2021","FQ1 2021","Currency=USD","Period=FQ","BEST_FPERIOD_OVERRIDE=FQ","FILING_STATUS=MR","SCALING_FORMAT=MLN","Sort=A","Dates=H","DateFormat=P","Fill=—","Direction=H","UseDPDF=Y")</f>
        <v>5022</v>
      </c>
      <c r="M36" s="13">
        <f>_xll.BDH("GILD US Equity","ARD_PROVISION_FOR_TAXATION","FQ2 2021","FQ2 2021","Currency=USD","Period=FQ","BEST_FPERIOD_OVERRIDE=FQ","FILING_STATUS=MR","SCALING_FORMAT=MLN","Sort=A","Dates=H","DateFormat=P","Fill=—","Direction=H","UseDPDF=Y")</f>
        <v>4596</v>
      </c>
      <c r="N36" s="13">
        <f>_xll.BDH("GILD US Equity","ARD_PROVISION_FOR_TAXATION","FQ3 2021","FQ3 2021","Currency=USD","Period=FQ","BEST_FPERIOD_OVERRIDE=FQ","FILING_STATUS=MR","SCALING_FORMAT=MLN","Sort=A","Dates=H","DateFormat=P","Fill=—","Direction=H","UseDPDF=Y")</f>
        <v>4642</v>
      </c>
      <c r="O36" s="13">
        <f>_xll.BDH("GILD US Equity","ARD_PROVISION_FOR_TAXATION","FQ4 2021","FQ4 2021","Currency=USD","Period=FQ","BEST_FPERIOD_OVERRIDE=FQ","FILING_STATUS=MR","SCALING_FORMAT=MLN","Sort=A","Dates=H","DateFormat=P","Fill=—","Direction=H","UseDPDF=Y")</f>
        <v>4767</v>
      </c>
      <c r="P36" s="13">
        <f>_xll.BDH("GILD US Equity","ARD_PROVISION_FOR_TAXATION","FQ1 2022","FQ1 2022","Currency=USD","Period=FQ","BEST_FPERIOD_OVERRIDE=FQ","FILING_STATUS=MR","SCALING_FORMAT=MLN","Sort=A","Dates=H","DateFormat=P","Fill=—","Direction=H","UseDPDF=Y")</f>
        <v>4793</v>
      </c>
      <c r="Q36" s="13">
        <f>_xll.BDH("GILD US Equity","ARD_PROVISION_FOR_TAXATION","FQ2 2022","FQ2 2022","Currency=USD","Period=FQ","BEST_FPERIOD_OVERRIDE=FQ","FILING_STATUS=MR","SCALING_FORMAT=MLN","Sort=A","Dates=H","DateFormat=P","Fill=—","Direction=H","UseDPDF=Y")</f>
        <v>3888</v>
      </c>
      <c r="R36" s="13">
        <f>_xll.BDH("GILD US Equity","ARD_PROVISION_FOR_TAXATION","FQ3 2022","FQ3 2022","Currency=USD","Period=FQ","BEST_FPERIOD_OVERRIDE=FQ","FILING_STATUS=MR","SCALING_FORMAT=MLN","Sort=A","Dates=H","DateFormat=P","Fill=—","Direction=H","UseDPDF=Y")</f>
        <v>3982</v>
      </c>
      <c r="S36" s="13">
        <f>_xll.BDH("GILD US Equity","ARD_PROVISION_FOR_TAXATION","FQ4 2022","FQ4 2022","Currency=USD","Period=FQ","BEST_FPERIOD_OVERRIDE=FQ","FILING_STATUS=MR","SCALING_FORMAT=MLN","Sort=A","Dates=H","DateFormat=P","Fill=—","Direction=H","UseDPDF=Y")</f>
        <v>3916</v>
      </c>
      <c r="T36" s="13">
        <f>_xll.BDH("GILD US Equity","ARD_PROVISION_FOR_TAXATION","FQ1 2023","FQ1 2023","Currency=USD","Period=FQ","BEST_FPERIOD_OVERRIDE=FQ","FILING_STATUS=MR","SCALING_FORMAT=MLN","Sort=A","Dates=H","DateFormat=P","Fill=—","Direction=H","UseDPDF=Y")</f>
        <v>3775</v>
      </c>
      <c r="U36" s="13">
        <f>_xll.BDH("GILD US Equity","ARD_PROVISION_FOR_TAXATION","FQ2 2023","FQ2 2023","Currency=USD","Period=FQ","BEST_FPERIOD_OVERRIDE=FQ","FILING_STATUS=MR","SCALING_FORMAT=MLN","Sort=A","Dates=H","DateFormat=P","Fill=—","Direction=H","UseDPDF=Y")</f>
        <v>2610</v>
      </c>
      <c r="V36" s="13">
        <f>_xll.BDH("GILD US Equity","ARD_PROVISION_FOR_TAXATION","FQ3 2023","FQ3 2023","Currency=USD","Period=FQ","BEST_FPERIOD_OVERRIDE=FQ","FILING_STATUS=MR","SCALING_FORMAT=MLN","Sort=A","Dates=H","DateFormat=P","Fill=—","Direction=H","UseDPDF=Y")</f>
        <v>2088</v>
      </c>
      <c r="W36" s="13">
        <f>_xll.BDH("GILD US Equity","ARD_PROVISION_FOR_TAXATION","FQ4 2023","FQ4 2023","Currency=USD","Period=FQ","BEST_FPERIOD_OVERRIDE=FQ","FILING_STATUS=MR","SCALING_FORMAT=MLN","Sort=A","Dates=H","DateFormat=P","Fill=—","Direction=H","UseDPDF=Y")</f>
        <v>2039</v>
      </c>
      <c r="X36" s="13">
        <f>_xll.BDH("GILD US Equity","ARD_PROVISION_FOR_TAXATION","FQ1 2024","FQ1 2024","Currency=USD","Period=FQ","BEST_FPERIOD_OVERRIDE=FQ","FILING_STATUS=MR","SCALING_FORMAT=MLN","Sort=A","Dates=H","DateFormat=P","Fill=—","Direction=H","UseDPDF=Y")</f>
        <v>1967</v>
      </c>
      <c r="Y36" s="13">
        <f>_xll.BDH("GILD US Equity","ARD_PROVISION_FOR_TAXATION","FQ2 2024","FQ2 2024","Currency=USD","Period=FQ","BEST_FPERIOD_OVERRIDE=FQ","FILING_STATUS=MR","SCALING_FORMAT=MLN","Sort=A","Dates=H","DateFormat=P","Fill=—","Direction=H","UseDPDF=Y")</f>
        <v>738</v>
      </c>
      <c r="Z36" s="13">
        <f>_xll.BDH("GILD US Equity","ARD_PROVISION_FOR_TAXATION","FQ3 2024","FQ3 2024","Currency=USD","Period=FQ","BEST_FPERIOD_OVERRIDE=FQ","FILING_STATUS=MR","SCALING_FORMAT=MLN","Sort=A","Dates=H","DateFormat=P","Fill=—","Direction=H","UseDPDF=Y")</f>
        <v>782</v>
      </c>
      <c r="AA36" s="13">
        <f>_xll.BDH("GILD US Equity","ARD_PROVISION_FOR_TAXATION","FQ4 2024","FQ4 2024","Currency=USD","Period=FQ","BEST_FPERIOD_OVERRIDE=FQ","FILING_STATUS=MR","SCALING_FORMAT=MLN","Sort=A","Dates=H","DateFormat=P","Fill=—","Direction=H","UseDPDF=Y")</f>
        <v>830</v>
      </c>
    </row>
    <row r="37" spans="1:27" x14ac:dyDescent="0.25">
      <c r="A37" s="6" t="s">
        <v>116</v>
      </c>
      <c r="B37" s="6" t="s">
        <v>954</v>
      </c>
      <c r="C37" s="19" t="str">
        <f>_xll.BDH("GILD US Equity","ARD_TOT_LIABILITIES","FQ4 2018","FQ4 2018","Currency=USD","Period=FQ","BEST_FPERIOD_OVERRIDE=FQ","FILING_STATUS=MR","SCALING_FORMAT=MLN","Sort=A","Dates=H","DateFormat=P","Fill=—","Direction=H","UseDPDF=Y")</f>
        <v>—</v>
      </c>
      <c r="D37" s="19" t="str">
        <f>_xll.BDH("GILD US Equity","ARD_TOT_LIABILITIES","FQ1 2019","FQ1 2019","Currency=USD","Period=FQ","BEST_FPERIOD_OVERRIDE=FQ","FILING_STATUS=MR","SCALING_FORMAT=MLN","Sort=A","Dates=H","DateFormat=P","Fill=—","Direction=H","UseDPDF=Y")</f>
        <v>—</v>
      </c>
      <c r="E37" s="19" t="str">
        <f>_xll.BDH("GILD US Equity","ARD_TOT_LIABILITIES","FQ2 2019","FQ2 2019","Currency=USD","Period=FQ","BEST_FPERIOD_OVERRIDE=FQ","FILING_STATUS=MR","SCALING_FORMAT=MLN","Sort=A","Dates=H","DateFormat=P","Fill=—","Direction=H","UseDPDF=Y")</f>
        <v>—</v>
      </c>
      <c r="F37" s="19" t="str">
        <f>_xll.BDH("GILD US Equity","ARD_TOT_LIABILITIES","FQ3 2019","FQ3 2019","Currency=USD","Period=FQ","BEST_FPERIOD_OVERRIDE=FQ","FILING_STATUS=MR","SCALING_FORMAT=MLN","Sort=A","Dates=H","DateFormat=P","Fill=—","Direction=H","UseDPDF=Y")</f>
        <v>—</v>
      </c>
      <c r="G37" s="19" t="str">
        <f>_xll.BDH("GILD US Equity","ARD_TOT_LIABILITIES","FQ4 2019","FQ4 2019","Currency=USD","Period=FQ","BEST_FPERIOD_OVERRIDE=FQ","FILING_STATUS=MR","SCALING_FORMAT=MLN","Sort=A","Dates=H","DateFormat=P","Fill=—","Direction=H","UseDPDF=Y")</f>
        <v>—</v>
      </c>
      <c r="H37" s="19" t="str">
        <f>_xll.BDH("GILD US Equity","ARD_TOT_LIABILITIES","FQ1 2020","FQ1 2020","Currency=USD","Period=FQ","BEST_FPERIOD_OVERRIDE=FQ","FILING_STATUS=MR","SCALING_FORMAT=MLN","Sort=A","Dates=H","DateFormat=P","Fill=—","Direction=H","UseDPDF=Y")</f>
        <v>—</v>
      </c>
      <c r="I37" s="19">
        <f>_xll.BDH("GILD US Equity","ARD_TOT_LIABILITIES","FQ2 2020","FQ2 2020","Currency=USD","Period=FQ","BEST_FPERIOD_OVERRIDE=FQ","FILING_STATUS=MR","SCALING_FORMAT=MLN","Sort=A","Dates=H","DateFormat=P","Fill=—","Direction=H","UseDPDF=Y")</f>
        <v>37792</v>
      </c>
      <c r="J37" s="19" t="str">
        <f>_xll.BDH("GILD US Equity","ARD_TOT_LIABILITIES","FQ3 2020","FQ3 2020","Currency=USD","Period=FQ","BEST_FPERIOD_OVERRIDE=FQ","FILING_STATUS=MR","SCALING_FORMAT=MLN","Sort=A","Dates=H","DateFormat=P","Fill=—","Direction=H","UseDPDF=Y")</f>
        <v>—</v>
      </c>
      <c r="K37" s="19">
        <f>_xll.BDH("GILD US Equity","ARD_TOT_LIABILITIES","FQ4 2020","FQ4 2020","Currency=USD","Period=FQ","BEST_FPERIOD_OVERRIDE=FQ","FILING_STATUS=MR","SCALING_FORMAT=MLN","Sort=A","Dates=H","DateFormat=P","Fill=—","Direction=H","UseDPDF=Y")</f>
        <v>50186</v>
      </c>
      <c r="L37" s="19" t="str">
        <f>_xll.BDH("GILD US Equity","ARD_TOT_LIABILITIES","FQ1 2021","FQ1 2021","Currency=USD","Period=FQ","BEST_FPERIOD_OVERRIDE=FQ","FILING_STATUS=MR","SCALING_FORMAT=MLN","Sort=A","Dates=H","DateFormat=P","Fill=—","Direction=H","UseDPDF=Y")</f>
        <v>—</v>
      </c>
      <c r="M37" s="19" t="str">
        <f>_xll.BDH("GILD US Equity","ARD_TOT_LIABILITIES","FQ2 2021","FQ2 2021","Currency=USD","Period=FQ","BEST_FPERIOD_OVERRIDE=FQ","FILING_STATUS=MR","SCALING_FORMAT=MLN","Sort=A","Dates=H","DateFormat=P","Fill=—","Direction=H","UseDPDF=Y")</f>
        <v>—</v>
      </c>
      <c r="N37" s="19" t="str">
        <f>_xll.BDH("GILD US Equity","ARD_TOT_LIABILITIES","FQ3 2021","FQ3 2021","Currency=USD","Period=FQ","BEST_FPERIOD_OVERRIDE=FQ","FILING_STATUS=MR","SCALING_FORMAT=MLN","Sort=A","Dates=H","DateFormat=P","Fill=—","Direction=H","UseDPDF=Y")</f>
        <v>—</v>
      </c>
      <c r="O37" s="19">
        <f>_xll.BDH("GILD US Equity","ARD_TOT_LIABILITIES","FQ4 2021","FQ4 2021","Currency=USD","Period=FQ","BEST_FPERIOD_OVERRIDE=FQ","FILING_STATUS=MR","SCALING_FORMAT=MLN","Sort=A","Dates=H","DateFormat=P","Fill=—","Direction=H","UseDPDF=Y")</f>
        <v>46888</v>
      </c>
      <c r="P37" s="19">
        <f>_xll.BDH("GILD US Equity","ARD_TOT_LIABILITIES","FQ1 2022","FQ1 2022","Currency=USD","Period=FQ","BEST_FPERIOD_OVERRIDE=FQ","FILING_STATUS=MR","SCALING_FORMAT=MLN","Sort=A","Dates=H","DateFormat=P","Fill=—","Direction=H","UseDPDF=Y")</f>
        <v>43165</v>
      </c>
      <c r="Q37" s="19">
        <f>_xll.BDH("GILD US Equity","ARD_TOT_LIABILITIES","FQ2 2022","FQ2 2022","Currency=USD","Period=FQ","BEST_FPERIOD_OVERRIDE=FQ","FILING_STATUS=MR","SCALING_FORMAT=MLN","Sort=A","Dates=H","DateFormat=P","Fill=—","Direction=H","UseDPDF=Y")</f>
        <v>42655</v>
      </c>
      <c r="R37" s="19">
        <f>_xll.BDH("GILD US Equity","ARD_TOT_LIABILITIES","FQ3 2022","FQ3 2022","Currency=USD","Period=FQ","BEST_FPERIOD_OVERRIDE=FQ","FILING_STATUS=MR","SCALING_FORMAT=MLN","Sort=A","Dates=H","DateFormat=P","Fill=—","Direction=H","UseDPDF=Y")</f>
        <v>41500</v>
      </c>
      <c r="S37" s="19">
        <f>_xll.BDH("GILD US Equity","ARD_TOT_LIABILITIES","FQ4 2022","FQ4 2022","Currency=USD","Period=FQ","BEST_FPERIOD_OVERRIDE=FQ","FILING_STATUS=MR","SCALING_FORMAT=MLN","Sort=A","Dates=H","DateFormat=P","Fill=—","Direction=H","UseDPDF=Y")</f>
        <v>41962</v>
      </c>
      <c r="T37" s="19" t="str">
        <f>_xll.BDH("GILD US Equity","ARD_TOT_LIABILITIES","FQ1 2023","FQ1 2023","Currency=USD","Period=FQ","BEST_FPERIOD_OVERRIDE=FQ","FILING_STATUS=MR","SCALING_FORMAT=MLN","Sort=A","Dates=H","DateFormat=P","Fill=—","Direction=H","UseDPDF=Y")</f>
        <v>—</v>
      </c>
      <c r="U37" s="19">
        <f>_xll.BDH("GILD US Equity","ARD_TOT_LIABILITIES","FQ2 2023","FQ2 2023","Currency=USD","Period=FQ","BEST_FPERIOD_OVERRIDE=FQ","FILING_STATUS=MR","SCALING_FORMAT=MLN","Sort=A","Dates=H","DateFormat=P","Fill=—","Direction=H","UseDPDF=Y")</f>
        <v>41243</v>
      </c>
      <c r="V37" s="19">
        <f>_xll.BDH("GILD US Equity","ARD_TOT_LIABILITIES","FQ3 2023","FQ3 2023","Currency=USD","Period=FQ","BEST_FPERIOD_OVERRIDE=FQ","FILING_STATUS=MR","SCALING_FORMAT=MLN","Sort=A","Dates=H","DateFormat=P","Fill=—","Direction=H","UseDPDF=Y")</f>
        <v>40130</v>
      </c>
      <c r="W37" s="19">
        <f>_xll.BDH("GILD US Equity","ARD_TOT_LIABILITIES","FQ4 2023","FQ4 2023","Currency=USD","Period=FQ","BEST_FPERIOD_OVERRIDE=FQ","FILING_STATUS=MR","SCALING_FORMAT=MLN","Sort=A","Dates=H","DateFormat=P","Fill=—","Direction=H","UseDPDF=Y")</f>
        <v>39376</v>
      </c>
      <c r="X37" s="19">
        <f>_xll.BDH("GILD US Equity","ARD_TOT_LIABILITIES","FQ1 2024","FQ1 2024","Currency=USD","Period=FQ","BEST_FPERIOD_OVERRIDE=FQ","FILING_STATUS=MR","SCALING_FORMAT=MLN","Sort=A","Dates=H","DateFormat=P","Fill=—","Direction=H","UseDPDF=Y")</f>
        <v>38837</v>
      </c>
      <c r="Y37" s="19" t="str">
        <f>_xll.BDH("GILD US Equity","ARD_TOT_LIABILITIES","FQ2 2024","FQ2 2024","Currency=USD","Period=FQ","BEST_FPERIOD_OVERRIDE=FQ","FILING_STATUS=MR","SCALING_FORMAT=MLN","Sort=A","Dates=H","DateFormat=P","Fill=—","Direction=H","UseDPDF=Y")</f>
        <v>—</v>
      </c>
      <c r="Z37" s="19" t="str">
        <f>_xll.BDH("GILD US Equity","ARD_TOT_LIABILITIES","FQ3 2024","FQ3 2024","Currency=USD","Period=FQ","BEST_FPERIOD_OVERRIDE=FQ","FILING_STATUS=MR","SCALING_FORMAT=MLN","Sort=A","Dates=H","DateFormat=P","Fill=—","Direction=H","UseDPDF=Y")</f>
        <v>—</v>
      </c>
      <c r="AA37" s="19" t="str">
        <f>_xll.BDH("GILD US Equity","ARD_TOT_LIABILITIES","FQ4 2024","FQ4 2024","Currency=USD","Period=FQ","BEST_FPERIOD_OVERRIDE=FQ","FILING_STATUS=MR","SCALING_FORMAT=MLN","Sort=A","Dates=H","DateFormat=P","Fill=—","Direction=H","UseDPDF=Y")</f>
        <v>—</v>
      </c>
    </row>
    <row r="38" spans="1:27" x14ac:dyDescent="0.25">
      <c r="A38" s="10" t="s">
        <v>955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25">
      <c r="A39" s="10" t="s">
        <v>956</v>
      </c>
      <c r="B39" s="10" t="s">
        <v>957</v>
      </c>
      <c r="C39" s="13">
        <f>_xll.BDH("GILD US Equity","ARD_PREFERRED_STOCK","FQ4 2018","FQ4 2018","Currency=USD","Period=FQ","BEST_FPERIOD_OVERRIDE=FQ","FILING_STATUS=MR","SCALING_FORMAT=MLN","Sort=A","Dates=H","DateFormat=P","Fill=—","Direction=H","UseDPDF=Y")</f>
        <v>0</v>
      </c>
      <c r="D39" s="13">
        <f>_xll.BDH("GILD US Equity","ARD_PREFERRED_STOCK","FQ1 2019","FQ1 2019","Currency=USD","Period=FQ","BEST_FPERIOD_OVERRIDE=FQ","FILING_STATUS=MR","SCALING_FORMAT=MLN","Sort=A","Dates=H","DateFormat=P","Fill=—","Direction=H","UseDPDF=Y")</f>
        <v>0</v>
      </c>
      <c r="E39" s="13">
        <f>_xll.BDH("GILD US Equity","ARD_PREFERRED_STOCK","FQ2 2019","FQ2 2019","Currency=USD","Period=FQ","BEST_FPERIOD_OVERRIDE=FQ","FILING_STATUS=MR","SCALING_FORMAT=MLN","Sort=A","Dates=H","DateFormat=P","Fill=—","Direction=H","UseDPDF=Y")</f>
        <v>0</v>
      </c>
      <c r="F39" s="13">
        <f>_xll.BDH("GILD US Equity","ARD_PREFERRED_STOCK","FQ3 2019","FQ3 2019","Currency=USD","Period=FQ","BEST_FPERIOD_OVERRIDE=FQ","FILING_STATUS=MR","SCALING_FORMAT=MLN","Sort=A","Dates=H","DateFormat=P","Fill=—","Direction=H","UseDPDF=Y")</f>
        <v>0</v>
      </c>
      <c r="G39" s="13">
        <f>_xll.BDH("GILD US Equity","ARD_PREFERRED_STOCK","FQ4 2019","FQ4 2019","Currency=USD","Period=FQ","BEST_FPERIOD_OVERRIDE=FQ","FILING_STATUS=MR","SCALING_FORMAT=MLN","Sort=A","Dates=H","DateFormat=P","Fill=—","Direction=H","UseDPDF=Y")</f>
        <v>0</v>
      </c>
      <c r="H39" s="13">
        <f>_xll.BDH("GILD US Equity","ARD_PREFERRED_STOCK","FQ1 2020","FQ1 2020","Currency=USD","Period=FQ","BEST_FPERIOD_OVERRIDE=FQ","FILING_STATUS=MR","SCALING_FORMAT=MLN","Sort=A","Dates=H","DateFormat=P","Fill=—","Direction=H","UseDPDF=Y")</f>
        <v>0</v>
      </c>
      <c r="I39" s="13">
        <f>_xll.BDH("GILD US Equity","ARD_PREFERRED_STOCK","FQ2 2020","FQ2 2020","Currency=USD","Period=FQ","BEST_FPERIOD_OVERRIDE=FQ","FILING_STATUS=MR","SCALING_FORMAT=MLN","Sort=A","Dates=H","DateFormat=P","Fill=—","Direction=H","UseDPDF=Y")</f>
        <v>0</v>
      </c>
      <c r="J39" s="13">
        <f>_xll.BDH("GILD US Equity","ARD_PREFERRED_STOCK","FQ3 2020","FQ3 2020","Currency=USD","Period=FQ","BEST_FPERIOD_OVERRIDE=FQ","FILING_STATUS=MR","SCALING_FORMAT=MLN","Sort=A","Dates=H","DateFormat=P","Fill=—","Direction=H","UseDPDF=Y")</f>
        <v>0</v>
      </c>
      <c r="K39" s="13">
        <f>_xll.BDH("GILD US Equity","ARD_PREFERRED_STOCK","FQ4 2020","FQ4 2020","Currency=USD","Period=FQ","BEST_FPERIOD_OVERRIDE=FQ","FILING_STATUS=MR","SCALING_FORMAT=MLN","Sort=A","Dates=H","DateFormat=P","Fill=—","Direction=H","UseDPDF=Y")</f>
        <v>0</v>
      </c>
      <c r="L39" s="13">
        <f>_xll.BDH("GILD US Equity","ARD_PREFERRED_STOCK","FQ1 2021","FQ1 2021","Currency=USD","Period=FQ","BEST_FPERIOD_OVERRIDE=FQ","FILING_STATUS=MR","SCALING_FORMAT=MLN","Sort=A","Dates=H","DateFormat=P","Fill=—","Direction=H","UseDPDF=Y")</f>
        <v>0</v>
      </c>
      <c r="M39" s="13">
        <f>_xll.BDH("GILD US Equity","ARD_PREFERRED_STOCK","FQ2 2021","FQ2 2021","Currency=USD","Period=FQ","BEST_FPERIOD_OVERRIDE=FQ","FILING_STATUS=MR","SCALING_FORMAT=MLN","Sort=A","Dates=H","DateFormat=P","Fill=—","Direction=H","UseDPDF=Y")</f>
        <v>0</v>
      </c>
      <c r="N39" s="13">
        <f>_xll.BDH("GILD US Equity","ARD_PREFERRED_STOCK","FQ3 2021","FQ3 2021","Currency=USD","Period=FQ","BEST_FPERIOD_OVERRIDE=FQ","FILING_STATUS=MR","SCALING_FORMAT=MLN","Sort=A","Dates=H","DateFormat=P","Fill=—","Direction=H","UseDPDF=Y")</f>
        <v>0</v>
      </c>
      <c r="O39" s="13">
        <f>_xll.BDH("GILD US Equity","ARD_PREFERRED_STOCK","FQ4 2021","FQ4 2021","Currency=USD","Period=FQ","BEST_FPERIOD_OVERRIDE=FQ","FILING_STATUS=MR","SCALING_FORMAT=MLN","Sort=A","Dates=H","DateFormat=P","Fill=—","Direction=H","UseDPDF=Y")</f>
        <v>0</v>
      </c>
      <c r="P39" s="13">
        <f>_xll.BDH("GILD US Equity","ARD_PREFERRED_STOCK","FQ1 2022","FQ1 2022","Currency=USD","Period=FQ","BEST_FPERIOD_OVERRIDE=FQ","FILING_STATUS=MR","SCALING_FORMAT=MLN","Sort=A","Dates=H","DateFormat=P","Fill=—","Direction=H","UseDPDF=Y")</f>
        <v>0</v>
      </c>
      <c r="Q39" s="13">
        <f>_xll.BDH("GILD US Equity","ARD_PREFERRED_STOCK","FQ2 2022","FQ2 2022","Currency=USD","Period=FQ","BEST_FPERIOD_OVERRIDE=FQ","FILING_STATUS=MR","SCALING_FORMAT=MLN","Sort=A","Dates=H","DateFormat=P","Fill=—","Direction=H","UseDPDF=Y")</f>
        <v>0</v>
      </c>
      <c r="R39" s="13">
        <f>_xll.BDH("GILD US Equity","ARD_PREFERRED_STOCK","FQ3 2022","FQ3 2022","Currency=USD","Period=FQ","BEST_FPERIOD_OVERRIDE=FQ","FILING_STATUS=MR","SCALING_FORMAT=MLN","Sort=A","Dates=H","DateFormat=P","Fill=—","Direction=H","UseDPDF=Y")</f>
        <v>0</v>
      </c>
      <c r="S39" s="13">
        <f>_xll.BDH("GILD US Equity","ARD_PREFERRED_STOCK","FQ4 2022","FQ4 2022","Currency=USD","Period=FQ","BEST_FPERIOD_OVERRIDE=FQ","FILING_STATUS=MR","SCALING_FORMAT=MLN","Sort=A","Dates=H","DateFormat=P","Fill=—","Direction=H","UseDPDF=Y")</f>
        <v>0</v>
      </c>
      <c r="T39" s="13">
        <f>_xll.BDH("GILD US Equity","ARD_PREFERRED_STOCK","FQ1 2023","FQ1 2023","Currency=USD","Period=FQ","BEST_FPERIOD_OVERRIDE=FQ","FILING_STATUS=MR","SCALING_FORMAT=MLN","Sort=A","Dates=H","DateFormat=P","Fill=—","Direction=H","UseDPDF=Y")</f>
        <v>0</v>
      </c>
      <c r="U39" s="13">
        <f>_xll.BDH("GILD US Equity","ARD_PREFERRED_STOCK","FQ2 2023","FQ2 2023","Currency=USD","Period=FQ","BEST_FPERIOD_OVERRIDE=FQ","FILING_STATUS=MR","SCALING_FORMAT=MLN","Sort=A","Dates=H","DateFormat=P","Fill=—","Direction=H","UseDPDF=Y")</f>
        <v>0</v>
      </c>
      <c r="V39" s="13">
        <f>_xll.BDH("GILD US Equity","ARD_PREFERRED_STOCK","FQ3 2023","FQ3 2023","Currency=USD","Period=FQ","BEST_FPERIOD_OVERRIDE=FQ","FILING_STATUS=MR","SCALING_FORMAT=MLN","Sort=A","Dates=H","DateFormat=P","Fill=—","Direction=H","UseDPDF=Y")</f>
        <v>0</v>
      </c>
      <c r="W39" s="13">
        <f>_xll.BDH("GILD US Equity","ARD_PREFERRED_STOCK","FQ4 2023","FQ4 2023","Currency=USD","Period=FQ","BEST_FPERIOD_OVERRIDE=FQ","FILING_STATUS=MR","SCALING_FORMAT=MLN","Sort=A","Dates=H","DateFormat=P","Fill=—","Direction=H","UseDPDF=Y")</f>
        <v>0</v>
      </c>
      <c r="X39" s="13">
        <f>_xll.BDH("GILD US Equity","ARD_PREFERRED_STOCK","FQ1 2024","FQ1 2024","Currency=USD","Period=FQ","BEST_FPERIOD_OVERRIDE=FQ","FILING_STATUS=MR","SCALING_FORMAT=MLN","Sort=A","Dates=H","DateFormat=P","Fill=—","Direction=H","UseDPDF=Y")</f>
        <v>0</v>
      </c>
      <c r="Y39" s="13">
        <f>_xll.BDH("GILD US Equity","ARD_PREFERRED_STOCK","FQ2 2024","FQ2 2024","Currency=USD","Period=FQ","BEST_FPERIOD_OVERRIDE=FQ","FILING_STATUS=MR","SCALING_FORMAT=MLN","Sort=A","Dates=H","DateFormat=P","Fill=—","Direction=H","UseDPDF=Y")</f>
        <v>0</v>
      </c>
      <c r="Z39" s="13">
        <f>_xll.BDH("GILD US Equity","ARD_PREFERRED_STOCK","FQ3 2024","FQ3 2024","Currency=USD","Period=FQ","BEST_FPERIOD_OVERRIDE=FQ","FILING_STATUS=MR","SCALING_FORMAT=MLN","Sort=A","Dates=H","DateFormat=P","Fill=—","Direction=H","UseDPDF=Y")</f>
        <v>0</v>
      </c>
      <c r="AA39" s="13">
        <f>_xll.BDH("GILD US Equity","ARD_PREFERRED_STOCK","FQ4 2024","FQ4 2024","Currency=USD","Period=FQ","BEST_FPERIOD_OVERRIDE=FQ","FILING_STATUS=MR","SCALING_FORMAT=MLN","Sort=A","Dates=H","DateFormat=P","Fill=—","Direction=H","UseDPDF=Y")</f>
        <v>0</v>
      </c>
    </row>
    <row r="40" spans="1:27" x14ac:dyDescent="0.25">
      <c r="A40" s="10" t="s">
        <v>958</v>
      </c>
      <c r="B40" s="10" t="s">
        <v>959</v>
      </c>
      <c r="C40" s="13">
        <f>_xll.BDH("GILD US Equity","ARD_MIN_NONCONTROL_INT_SE","FQ4 2018","FQ4 2018","Currency=USD","Period=FQ","BEST_FPERIOD_OVERRIDE=FQ","FILING_STATUS=MR","SCALING_FORMAT=MLN","Sort=A","Dates=H","DateFormat=P","Fill=—","Direction=H","UseDPDF=Y")</f>
        <v>147</v>
      </c>
      <c r="D40" s="13">
        <f>_xll.BDH("GILD US Equity","ARD_MIN_NONCONTROL_INT_SE","FQ1 2019","FQ1 2019","Currency=USD","Period=FQ","BEST_FPERIOD_OVERRIDE=FQ","FILING_STATUS=MR","SCALING_FORMAT=MLN","Sort=A","Dates=H","DateFormat=P","Fill=—","Direction=H","UseDPDF=Y")</f>
        <v>140</v>
      </c>
      <c r="E40" s="13">
        <f>_xll.BDH("GILD US Equity","ARD_MIN_NONCONTROL_INT_SE","FQ2 2019","FQ2 2019","Currency=USD","Period=FQ","BEST_FPERIOD_OVERRIDE=FQ","FILING_STATUS=MR","SCALING_FORMAT=MLN","Sort=A","Dates=H","DateFormat=P","Fill=—","Direction=H","UseDPDF=Y")</f>
        <v>135</v>
      </c>
      <c r="F40" s="13">
        <f>_xll.BDH("GILD US Equity","ARD_MIN_NONCONTROL_INT_SE","FQ3 2019","FQ3 2019","Currency=USD","Period=FQ","BEST_FPERIOD_OVERRIDE=FQ","FILING_STATUS=MR","SCALING_FORMAT=MLN","Sort=A","Dates=H","DateFormat=P","Fill=—","Direction=H","UseDPDF=Y")</f>
        <v>132</v>
      </c>
      <c r="G40" s="13">
        <f>_xll.BDH("GILD US Equity","ARD_MIN_NONCONTROL_INT_SE","FQ4 2019","FQ4 2019","Currency=USD","Period=FQ","BEST_FPERIOD_OVERRIDE=FQ","FILING_STATUS=MR","SCALING_FORMAT=MLN","Sort=A","Dates=H","DateFormat=P","Fill=—","Direction=H","UseDPDF=Y")</f>
        <v>125</v>
      </c>
      <c r="H40" s="13">
        <f>_xll.BDH("GILD US Equity","ARD_MIN_NONCONTROL_INT_SE","FQ1 2020","FQ1 2020","Currency=USD","Period=FQ","BEST_FPERIOD_OVERRIDE=FQ","FILING_STATUS=MR","SCALING_FORMAT=MLN","Sort=A","Dates=H","DateFormat=P","Fill=—","Direction=H","UseDPDF=Y")</f>
        <v>112</v>
      </c>
      <c r="I40" s="13">
        <f>_xll.BDH("GILD US Equity","ARD_MIN_NONCONTROL_INT_SE","FQ2 2020","FQ2 2020","Currency=USD","Period=FQ","BEST_FPERIOD_OVERRIDE=FQ","FILING_STATUS=MR","SCALING_FORMAT=MLN","Sort=A","Dates=H","DateFormat=P","Fill=—","Direction=H","UseDPDF=Y")</f>
        <v>115</v>
      </c>
      <c r="J40" s="13">
        <f>_xll.BDH("GILD US Equity","ARD_MIN_NONCONTROL_INT_SE","FQ3 2020","FQ3 2020","Currency=USD","Period=FQ","BEST_FPERIOD_OVERRIDE=FQ","FILING_STATUS=MR","SCALING_FORMAT=MLN","Sort=A","Dates=H","DateFormat=P","Fill=—","Direction=H","UseDPDF=Y")</f>
        <v>26</v>
      </c>
      <c r="K40" s="13">
        <f>_xll.BDH("GILD US Equity","ARD_MIN_NONCONTROL_INT_SE","FQ4 2020","FQ4 2020","Currency=USD","Period=FQ","BEST_FPERIOD_OVERRIDE=FQ","FILING_STATUS=MR","SCALING_FORMAT=MLN","Sort=A","Dates=H","DateFormat=P","Fill=—","Direction=H","UseDPDF=Y")</f>
        <v>19</v>
      </c>
      <c r="L40" s="13">
        <f>_xll.BDH("GILD US Equity","ARD_MIN_NONCONTROL_INT_SE","FQ1 2021","FQ1 2021","Currency=USD","Period=FQ","BEST_FPERIOD_OVERRIDE=FQ","FILING_STATUS=MR","SCALING_FORMAT=MLN","Sort=A","Dates=H","DateFormat=P","Fill=—","Direction=H","UseDPDF=Y")</f>
        <v>12</v>
      </c>
      <c r="M40" s="13">
        <f>_xll.BDH("GILD US Equity","ARD_MIN_NONCONTROL_INT_SE","FQ2 2021","FQ2 2021","Currency=USD","Period=FQ","BEST_FPERIOD_OVERRIDE=FQ","FILING_STATUS=MR","SCALING_FORMAT=MLN","Sort=A","Dates=H","DateFormat=P","Fill=—","Direction=H","UseDPDF=Y")</f>
        <v>7</v>
      </c>
      <c r="N40" s="13">
        <f>_xll.BDH("GILD US Equity","ARD_MIN_NONCONTROL_INT_SE","FQ3 2021","FQ3 2021","Currency=USD","Period=FQ","BEST_FPERIOD_OVERRIDE=FQ","FILING_STATUS=MR","SCALING_FORMAT=MLN","Sort=A","Dates=H","DateFormat=P","Fill=—","Direction=H","UseDPDF=Y")</f>
        <v>1</v>
      </c>
      <c r="O40" s="13">
        <f>_xll.BDH("GILD US Equity","ARD_MIN_NONCONTROL_INT_SE","FQ4 2021","FQ4 2021","Currency=USD","Period=FQ","BEST_FPERIOD_OVERRIDE=FQ","FILING_STATUS=MR","SCALING_FORMAT=MLN","Sort=A","Dates=H","DateFormat=P","Fill=—","Direction=H","UseDPDF=Y")</f>
        <v>-5</v>
      </c>
      <c r="P40" s="13">
        <f>_xll.BDH("GILD US Equity","ARD_MIN_NONCONTROL_INT_SE","FQ1 2022","FQ1 2022","Currency=USD","Period=FQ","BEST_FPERIOD_OVERRIDE=FQ","FILING_STATUS=MR","SCALING_FORMAT=MLN","Sort=A","Dates=H","DateFormat=P","Fill=—","Direction=H","UseDPDF=Y")</f>
        <v>-12</v>
      </c>
      <c r="Q40" s="13">
        <f>_xll.BDH("GILD US Equity","ARD_MIN_NONCONTROL_INT_SE","FQ2 2022","FQ2 2022","Currency=USD","Period=FQ","BEST_FPERIOD_OVERRIDE=FQ","FILING_STATUS=MR","SCALING_FORMAT=MLN","Sort=A","Dates=H","DateFormat=P","Fill=—","Direction=H","UseDPDF=Y")</f>
        <v>-21</v>
      </c>
      <c r="R40" s="13">
        <f>_xll.BDH("GILD US Equity","ARD_MIN_NONCONTROL_INT_SE","FQ3 2022","FQ3 2022","Currency=USD","Period=FQ","BEST_FPERIOD_OVERRIDE=FQ","FILING_STATUS=MR","SCALING_FORMAT=MLN","Sort=A","Dates=H","DateFormat=P","Fill=—","Direction=H","UseDPDF=Y")</f>
        <v>-24</v>
      </c>
      <c r="S40" s="13">
        <f>_xll.BDH("GILD US Equity","ARD_MIN_NONCONTROL_INT_SE","FQ4 2022","FQ4 2022","Currency=USD","Period=FQ","BEST_FPERIOD_OVERRIDE=FQ","FILING_STATUS=MR","SCALING_FORMAT=MLN","Sort=A","Dates=H","DateFormat=P","Fill=—","Direction=H","UseDPDF=Y")</f>
        <v>-31</v>
      </c>
      <c r="T40" s="13">
        <f>_xll.BDH("GILD US Equity","ARD_MIN_NONCONTROL_INT_SE","FQ1 2023","FQ1 2023","Currency=USD","Period=FQ","BEST_FPERIOD_OVERRIDE=FQ","FILING_STATUS=MR","SCALING_FORMAT=MLN","Sort=A","Dates=H","DateFormat=P","Fill=—","Direction=H","UseDPDF=Y")</f>
        <v>-58</v>
      </c>
      <c r="U40" s="13">
        <f>_xll.BDH("GILD US Equity","ARD_MIN_NONCONTROL_INT_SE","FQ2 2023","FQ2 2023","Currency=USD","Period=FQ","BEST_FPERIOD_OVERRIDE=FQ","FILING_STATUS=MR","SCALING_FORMAT=MLN","Sort=A","Dates=H","DateFormat=P","Fill=—","Direction=H","UseDPDF=Y")</f>
        <v>-64</v>
      </c>
      <c r="V40" s="13">
        <f>_xll.BDH("GILD US Equity","ARD_MIN_NONCONTROL_INT_SE","FQ3 2023","FQ3 2023","Currency=USD","Period=FQ","BEST_FPERIOD_OVERRIDE=FQ","FILING_STATUS=MR","SCALING_FORMAT=MLN","Sort=A","Dates=H","DateFormat=P","Fill=—","Direction=H","UseDPDF=Y")</f>
        <v>-72</v>
      </c>
      <c r="W40" s="13">
        <f>_xll.BDH("GILD US Equity","ARD_MIN_NONCONTROL_INT_SE","FQ4 2023","FQ4 2023","Currency=USD","Period=FQ","BEST_FPERIOD_OVERRIDE=FQ","FILING_STATUS=MR","SCALING_FORMAT=MLN","Sort=A","Dates=H","DateFormat=P","Fill=—","Direction=H","UseDPDF=Y")</f>
        <v>-84</v>
      </c>
      <c r="X40" s="13">
        <f>_xll.BDH("GILD US Equity","ARD_MIN_NONCONTROL_INT_SE","FQ1 2024","FQ1 2024","Currency=USD","Period=FQ","BEST_FPERIOD_OVERRIDE=FQ","FILING_STATUS=MR","SCALING_FORMAT=MLN","Sort=A","Dates=H","DateFormat=P","Fill=—","Direction=H","UseDPDF=Y")</f>
        <v>-84</v>
      </c>
      <c r="Y40" s="13">
        <f>_xll.BDH("GILD US Equity","ARD_MIN_NONCONTROL_INT_SE","FQ2 2024","FQ2 2024","Currency=USD","Period=FQ","BEST_FPERIOD_OVERRIDE=FQ","FILING_STATUS=MR","SCALING_FORMAT=MLN","Sort=A","Dates=H","DateFormat=P","Fill=—","Direction=H","UseDPDF=Y")</f>
        <v>-84</v>
      </c>
      <c r="Z40" s="13">
        <f>_xll.BDH("GILD US Equity","ARD_MIN_NONCONTROL_INT_SE","FQ3 2024","FQ3 2024","Currency=USD","Period=FQ","BEST_FPERIOD_OVERRIDE=FQ","FILING_STATUS=MR","SCALING_FORMAT=MLN","Sort=A","Dates=H","DateFormat=P","Fill=—","Direction=H","UseDPDF=Y")</f>
        <v>-84</v>
      </c>
      <c r="AA40" s="13">
        <f>_xll.BDH("GILD US Equity","ARD_MIN_NONCONTROL_INT_SE","FQ4 2024","FQ4 2024","Currency=USD","Period=FQ","BEST_FPERIOD_OVERRIDE=FQ","FILING_STATUS=MR","SCALING_FORMAT=MLN","Sort=A","Dates=H","DateFormat=P","Fill=—","Direction=H","UseDPDF=Y")</f>
        <v>-84</v>
      </c>
    </row>
    <row r="41" spans="1:27" x14ac:dyDescent="0.25">
      <c r="A41" s="10" t="s">
        <v>960</v>
      </c>
      <c r="B41" s="10" t="s">
        <v>961</v>
      </c>
      <c r="C41" s="13">
        <f>_xll.BDH("GILD US Equity","ARD_COMMON_STOCK","FQ4 2018","FQ4 2018","Currency=USD","Period=FQ","BEST_FPERIOD_OVERRIDE=FQ","FILING_STATUS=MR","SCALING_FORMAT=MLN","Sort=A","Dates=H","DateFormat=P","Fill=—","Direction=H","UseDPDF=Y")</f>
        <v>1</v>
      </c>
      <c r="D41" s="13">
        <f>_xll.BDH("GILD US Equity","ARD_COMMON_STOCK","FQ1 2019","FQ1 2019","Currency=USD","Period=FQ","BEST_FPERIOD_OVERRIDE=FQ","FILING_STATUS=MR","SCALING_FORMAT=MLN","Sort=A","Dates=H","DateFormat=P","Fill=—","Direction=H","UseDPDF=Y")</f>
        <v>1</v>
      </c>
      <c r="E41" s="13">
        <f>_xll.BDH("GILD US Equity","ARD_COMMON_STOCK","FQ2 2019","FQ2 2019","Currency=USD","Period=FQ","BEST_FPERIOD_OVERRIDE=FQ","FILING_STATUS=MR","SCALING_FORMAT=MLN","Sort=A","Dates=H","DateFormat=P","Fill=—","Direction=H","UseDPDF=Y")</f>
        <v>1</v>
      </c>
      <c r="F41" s="13">
        <f>_xll.BDH("GILD US Equity","ARD_COMMON_STOCK","FQ3 2019","FQ3 2019","Currency=USD","Period=FQ","BEST_FPERIOD_OVERRIDE=FQ","FILING_STATUS=MR","SCALING_FORMAT=MLN","Sort=A","Dates=H","DateFormat=P","Fill=—","Direction=H","UseDPDF=Y")</f>
        <v>1</v>
      </c>
      <c r="G41" s="13">
        <f>_xll.BDH("GILD US Equity","ARD_COMMON_STOCK","FQ4 2019","FQ4 2019","Currency=USD","Period=FQ","BEST_FPERIOD_OVERRIDE=FQ","FILING_STATUS=MR","SCALING_FORMAT=MLN","Sort=A","Dates=H","DateFormat=P","Fill=—","Direction=H","UseDPDF=Y")</f>
        <v>1</v>
      </c>
      <c r="H41" s="13">
        <f>_xll.BDH("GILD US Equity","ARD_COMMON_STOCK","FQ1 2020","FQ1 2020","Currency=USD","Period=FQ","BEST_FPERIOD_OVERRIDE=FQ","FILING_STATUS=MR","SCALING_FORMAT=MLN","Sort=A","Dates=H","DateFormat=P","Fill=—","Direction=H","UseDPDF=Y")</f>
        <v>1</v>
      </c>
      <c r="I41" s="13">
        <f>_xll.BDH("GILD US Equity","ARD_COMMON_STOCK","FQ2 2020","FQ2 2020","Currency=USD","Period=FQ","BEST_FPERIOD_OVERRIDE=FQ","FILING_STATUS=MR","SCALING_FORMAT=MLN","Sort=A","Dates=H","DateFormat=P","Fill=—","Direction=H","UseDPDF=Y")</f>
        <v>1</v>
      </c>
      <c r="J41" s="13">
        <f>_xll.BDH("GILD US Equity","ARD_COMMON_STOCK","FQ3 2020","FQ3 2020","Currency=USD","Period=FQ","BEST_FPERIOD_OVERRIDE=FQ","FILING_STATUS=MR","SCALING_FORMAT=MLN","Sort=A","Dates=H","DateFormat=P","Fill=—","Direction=H","UseDPDF=Y")</f>
        <v>1</v>
      </c>
      <c r="K41" s="13">
        <f>_xll.BDH("GILD US Equity","ARD_COMMON_STOCK","FQ4 2020","FQ4 2020","Currency=USD","Period=FQ","BEST_FPERIOD_OVERRIDE=FQ","FILING_STATUS=MR","SCALING_FORMAT=MLN","Sort=A","Dates=H","DateFormat=P","Fill=—","Direction=H","UseDPDF=Y")</f>
        <v>1</v>
      </c>
      <c r="L41" s="13">
        <f>_xll.BDH("GILD US Equity","ARD_COMMON_STOCK","FQ1 2021","FQ1 2021","Currency=USD","Period=FQ","BEST_FPERIOD_OVERRIDE=FQ","FILING_STATUS=MR","SCALING_FORMAT=MLN","Sort=A","Dates=H","DateFormat=P","Fill=—","Direction=H","UseDPDF=Y")</f>
        <v>1</v>
      </c>
      <c r="M41" s="13">
        <f>_xll.BDH("GILD US Equity","ARD_COMMON_STOCK","FQ2 2021","FQ2 2021","Currency=USD","Period=FQ","BEST_FPERIOD_OVERRIDE=FQ","FILING_STATUS=MR","SCALING_FORMAT=MLN","Sort=A","Dates=H","DateFormat=P","Fill=—","Direction=H","UseDPDF=Y")</f>
        <v>1</v>
      </c>
      <c r="N41" s="13">
        <f>_xll.BDH("GILD US Equity","ARD_COMMON_STOCK","FQ3 2021","FQ3 2021","Currency=USD","Period=FQ","BEST_FPERIOD_OVERRIDE=FQ","FILING_STATUS=MR","SCALING_FORMAT=MLN","Sort=A","Dates=H","DateFormat=P","Fill=—","Direction=H","UseDPDF=Y")</f>
        <v>1</v>
      </c>
      <c r="O41" s="13">
        <f>_xll.BDH("GILD US Equity","ARD_COMMON_STOCK","FQ4 2021","FQ4 2021","Currency=USD","Period=FQ","BEST_FPERIOD_OVERRIDE=FQ","FILING_STATUS=MR","SCALING_FORMAT=MLN","Sort=A","Dates=H","DateFormat=P","Fill=—","Direction=H","UseDPDF=Y")</f>
        <v>1</v>
      </c>
      <c r="P41" s="13">
        <f>_xll.BDH("GILD US Equity","ARD_COMMON_STOCK","FQ1 2022","FQ1 2022","Currency=USD","Period=FQ","BEST_FPERIOD_OVERRIDE=FQ","FILING_STATUS=MR","SCALING_FORMAT=MLN","Sort=A","Dates=H","DateFormat=P","Fill=—","Direction=H","UseDPDF=Y")</f>
        <v>1</v>
      </c>
      <c r="Q41" s="13">
        <f>_xll.BDH("GILD US Equity","ARD_COMMON_STOCK","FQ2 2022","FQ2 2022","Currency=USD","Period=FQ","BEST_FPERIOD_OVERRIDE=FQ","FILING_STATUS=MR","SCALING_FORMAT=MLN","Sort=A","Dates=H","DateFormat=P","Fill=—","Direction=H","UseDPDF=Y")</f>
        <v>1</v>
      </c>
      <c r="R41" s="13">
        <f>_xll.BDH("GILD US Equity","ARD_COMMON_STOCK","FQ3 2022","FQ3 2022","Currency=USD","Period=FQ","BEST_FPERIOD_OVERRIDE=FQ","FILING_STATUS=MR","SCALING_FORMAT=MLN","Sort=A","Dates=H","DateFormat=P","Fill=—","Direction=H","UseDPDF=Y")</f>
        <v>1</v>
      </c>
      <c r="S41" s="13">
        <f>_xll.BDH("GILD US Equity","ARD_COMMON_STOCK","FQ4 2022","FQ4 2022","Currency=USD","Period=FQ","BEST_FPERIOD_OVERRIDE=FQ","FILING_STATUS=MR","SCALING_FORMAT=MLN","Sort=A","Dates=H","DateFormat=P","Fill=—","Direction=H","UseDPDF=Y")</f>
        <v>1</v>
      </c>
      <c r="T41" s="13">
        <f>_xll.BDH("GILD US Equity","ARD_COMMON_STOCK","FQ1 2023","FQ1 2023","Currency=USD","Period=FQ","BEST_FPERIOD_OVERRIDE=FQ","FILING_STATUS=MR","SCALING_FORMAT=MLN","Sort=A","Dates=H","DateFormat=P","Fill=—","Direction=H","UseDPDF=Y")</f>
        <v>1</v>
      </c>
      <c r="U41" s="13">
        <f>_xll.BDH("GILD US Equity","ARD_COMMON_STOCK","FQ2 2023","FQ2 2023","Currency=USD","Period=FQ","BEST_FPERIOD_OVERRIDE=FQ","FILING_STATUS=MR","SCALING_FORMAT=MLN","Sort=A","Dates=H","DateFormat=P","Fill=—","Direction=H","UseDPDF=Y")</f>
        <v>1</v>
      </c>
      <c r="V41" s="13">
        <f>_xll.BDH("GILD US Equity","ARD_COMMON_STOCK","FQ3 2023","FQ3 2023","Currency=USD","Period=FQ","BEST_FPERIOD_OVERRIDE=FQ","FILING_STATUS=MR","SCALING_FORMAT=MLN","Sort=A","Dates=H","DateFormat=P","Fill=—","Direction=H","UseDPDF=Y")</f>
        <v>1</v>
      </c>
      <c r="W41" s="13">
        <f>_xll.BDH("GILD US Equity","ARD_COMMON_STOCK","FQ4 2023","FQ4 2023","Currency=USD","Period=FQ","BEST_FPERIOD_OVERRIDE=FQ","FILING_STATUS=MR","SCALING_FORMAT=MLN","Sort=A","Dates=H","DateFormat=P","Fill=—","Direction=H","UseDPDF=Y")</f>
        <v>1</v>
      </c>
      <c r="X41" s="13">
        <f>_xll.BDH("GILD US Equity","ARD_COMMON_STOCK","FQ1 2024","FQ1 2024","Currency=USD","Period=FQ","BEST_FPERIOD_OVERRIDE=FQ","FILING_STATUS=MR","SCALING_FORMAT=MLN","Sort=A","Dates=H","DateFormat=P","Fill=—","Direction=H","UseDPDF=Y")</f>
        <v>1</v>
      </c>
      <c r="Y41" s="13">
        <f>_xll.BDH("GILD US Equity","ARD_COMMON_STOCK","FQ2 2024","FQ2 2024","Currency=USD","Period=FQ","BEST_FPERIOD_OVERRIDE=FQ","FILING_STATUS=MR","SCALING_FORMAT=MLN","Sort=A","Dates=H","DateFormat=P","Fill=—","Direction=H","UseDPDF=Y")</f>
        <v>1</v>
      </c>
      <c r="Z41" s="13">
        <f>_xll.BDH("GILD US Equity","ARD_COMMON_STOCK","FQ3 2024","FQ3 2024","Currency=USD","Period=FQ","BEST_FPERIOD_OVERRIDE=FQ","FILING_STATUS=MR","SCALING_FORMAT=MLN","Sort=A","Dates=H","DateFormat=P","Fill=—","Direction=H","UseDPDF=Y")</f>
        <v>1</v>
      </c>
      <c r="AA41" s="13">
        <f>_xll.BDH("GILD US Equity","ARD_COMMON_STOCK","FQ4 2024","FQ4 2024","Currency=USD","Period=FQ","BEST_FPERIOD_OVERRIDE=FQ","FILING_STATUS=MR","SCALING_FORMAT=MLN","Sort=A","Dates=H","DateFormat=P","Fill=—","Direction=H","UseDPDF=Y")</f>
        <v>1</v>
      </c>
    </row>
    <row r="42" spans="1:27" x14ac:dyDescent="0.25">
      <c r="A42" s="10" t="s">
        <v>962</v>
      </c>
      <c r="B42" s="10" t="s">
        <v>963</v>
      </c>
      <c r="C42" s="13">
        <f>_xll.BDH("GILD US Equity","ARD_ADDITIONAL_PAID_IN_CAPITAL","FQ4 2018","FQ4 2018","Currency=USD","Period=FQ","BEST_FPERIOD_OVERRIDE=FQ","FILING_STATUS=MR","SCALING_FORMAT=MLN","Sort=A","Dates=H","DateFormat=P","Fill=—","Direction=H","UseDPDF=Y")</f>
        <v>2282</v>
      </c>
      <c r="D42" s="13">
        <f>_xll.BDH("GILD US Equity","ARD_ADDITIONAL_PAID_IN_CAPITAL","FQ1 2019","FQ1 2019","Currency=USD","Period=FQ","BEST_FPERIOD_OVERRIDE=FQ","FILING_STATUS=MR","SCALING_FORMAT=MLN","Sort=A","Dates=H","DateFormat=P","Fill=—","Direction=H","UseDPDF=Y")</f>
        <v>2494</v>
      </c>
      <c r="E42" s="13">
        <f>_xll.BDH("GILD US Equity","ARD_ADDITIONAL_PAID_IN_CAPITAL","FQ2 2019","FQ2 2019","Currency=USD","Period=FQ","BEST_FPERIOD_OVERRIDE=FQ","FILING_STATUS=MR","SCALING_FORMAT=MLN","Sort=A","Dates=H","DateFormat=P","Fill=—","Direction=H","UseDPDF=Y")</f>
        <v>2684</v>
      </c>
      <c r="F42" s="13">
        <f>_xll.BDH("GILD US Equity","ARD_ADDITIONAL_PAID_IN_CAPITAL","FQ3 2019","FQ3 2019","Currency=USD","Period=FQ","BEST_FPERIOD_OVERRIDE=FQ","FILING_STATUS=MR","SCALING_FORMAT=MLN","Sort=A","Dates=H","DateFormat=P","Fill=—","Direction=H","UseDPDF=Y")</f>
        <v>2870</v>
      </c>
      <c r="G42" s="13">
        <f>_xll.BDH("GILD US Equity","ARD_ADDITIONAL_PAID_IN_CAPITAL","FQ4 2019","FQ4 2019","Currency=USD","Period=FQ","BEST_FPERIOD_OVERRIDE=FQ","FILING_STATUS=MR","SCALING_FORMAT=MLN","Sort=A","Dates=H","DateFormat=P","Fill=—","Direction=H","UseDPDF=Y")</f>
        <v>3051</v>
      </c>
      <c r="H42" s="13">
        <f>_xll.BDH("GILD US Equity","ARD_ADDITIONAL_PAID_IN_CAPITAL","FQ1 2020","FQ1 2020","Currency=USD","Period=FQ","BEST_FPERIOD_OVERRIDE=FQ","FILING_STATUS=MR","SCALING_FORMAT=MLN","Sort=A","Dates=H","DateFormat=P","Fill=—","Direction=H","UseDPDF=Y")</f>
        <v>3311</v>
      </c>
      <c r="I42" s="13">
        <f>_xll.BDH("GILD US Equity","ARD_ADDITIONAL_PAID_IN_CAPITAL","FQ2 2020","FQ2 2020","Currency=USD","Period=FQ","BEST_FPERIOD_OVERRIDE=FQ","FILING_STATUS=MR","SCALING_FORMAT=MLN","Sort=A","Dates=H","DateFormat=P","Fill=—","Direction=H","UseDPDF=Y")</f>
        <v>3511</v>
      </c>
      <c r="J42" s="13">
        <f>_xll.BDH("GILD US Equity","ARD_ADDITIONAL_PAID_IN_CAPITAL","FQ3 2020","FQ3 2020","Currency=USD","Period=FQ","BEST_FPERIOD_OVERRIDE=FQ","FILING_STATUS=MR","SCALING_FORMAT=MLN","Sort=A","Dates=H","DateFormat=P","Fill=—","Direction=H","UseDPDF=Y")</f>
        <v>3712</v>
      </c>
      <c r="K42" s="13">
        <f>_xll.BDH("GILD US Equity","ARD_ADDITIONAL_PAID_IN_CAPITAL","FQ4 2020","FQ4 2020","Currency=USD","Period=FQ","BEST_FPERIOD_OVERRIDE=FQ","FILING_STATUS=MR","SCALING_FORMAT=MLN","Sort=A","Dates=H","DateFormat=P","Fill=—","Direction=H","UseDPDF=Y")</f>
        <v>3880</v>
      </c>
      <c r="L42" s="13">
        <f>_xll.BDH("GILD US Equity","ARD_ADDITIONAL_PAID_IN_CAPITAL","FQ1 2021","FQ1 2021","Currency=USD","Period=FQ","BEST_FPERIOD_OVERRIDE=FQ","FILING_STATUS=MR","SCALING_FORMAT=MLN","Sort=A","Dates=H","DateFormat=P","Fill=—","Direction=H","UseDPDF=Y")</f>
        <v>4092</v>
      </c>
      <c r="M42" s="13">
        <f>_xll.BDH("GILD US Equity","ARD_ADDITIONAL_PAID_IN_CAPITAL","FQ2 2021","FQ2 2021","Currency=USD","Period=FQ","BEST_FPERIOD_OVERRIDE=FQ","FILING_STATUS=MR","SCALING_FORMAT=MLN","Sort=A","Dates=H","DateFormat=P","Fill=—","Direction=H","UseDPDF=Y")</f>
        <v>4271</v>
      </c>
      <c r="N42" s="13">
        <f>_xll.BDH("GILD US Equity","ARD_ADDITIONAL_PAID_IN_CAPITAL","FQ3 2021","FQ3 2021","Currency=USD","Period=FQ","BEST_FPERIOD_OVERRIDE=FQ","FILING_STATUS=MR","SCALING_FORMAT=MLN","Sort=A","Dates=H","DateFormat=P","Fill=—","Direction=H","UseDPDF=Y")</f>
        <v>4492</v>
      </c>
      <c r="O42" s="13">
        <f>_xll.BDH("GILD US Equity","ARD_ADDITIONAL_PAID_IN_CAPITAL","FQ4 2021","FQ4 2021","Currency=USD","Period=FQ","BEST_FPERIOD_OVERRIDE=FQ","FILING_STATUS=MR","SCALING_FORMAT=MLN","Sort=A","Dates=H","DateFormat=P","Fill=—","Direction=H","UseDPDF=Y")</f>
        <v>4661</v>
      </c>
      <c r="P42" s="13">
        <f>_xll.BDH("GILD US Equity","ARD_ADDITIONAL_PAID_IN_CAPITAL","FQ1 2022","FQ1 2022","Currency=USD","Period=FQ","BEST_FPERIOD_OVERRIDE=FQ","FILING_STATUS=MR","SCALING_FORMAT=MLN","Sort=A","Dates=H","DateFormat=P","Fill=—","Direction=H","UseDPDF=Y")</f>
        <v>4867</v>
      </c>
      <c r="Q42" s="13">
        <f>_xll.BDH("GILD US Equity","ARD_ADDITIONAL_PAID_IN_CAPITAL","FQ2 2022","FQ2 2022","Currency=USD","Period=FQ","BEST_FPERIOD_OVERRIDE=FQ","FILING_STATUS=MR","SCALING_FORMAT=MLN","Sort=A","Dates=H","DateFormat=P","Fill=—","Direction=H","UseDPDF=Y")</f>
        <v>5031</v>
      </c>
      <c r="R42" s="13">
        <f>_xll.BDH("GILD US Equity","ARD_ADDITIONAL_PAID_IN_CAPITAL","FQ3 2022","FQ3 2022","Currency=USD","Period=FQ","BEST_FPERIOD_OVERRIDE=FQ","FILING_STATUS=MR","SCALING_FORMAT=MLN","Sort=A","Dates=H","DateFormat=P","Fill=—","Direction=H","UseDPDF=Y")</f>
        <v>5226</v>
      </c>
      <c r="S42" s="13">
        <f>_xll.BDH("GILD US Equity","ARD_ADDITIONAL_PAID_IN_CAPITAL","FQ4 2022","FQ4 2022","Currency=USD","Period=FQ","BEST_FPERIOD_OVERRIDE=FQ","FILING_STATUS=MR","SCALING_FORMAT=MLN","Sort=A","Dates=H","DateFormat=P","Fill=—","Direction=H","UseDPDF=Y")</f>
        <v>5550</v>
      </c>
      <c r="T42" s="13">
        <f>_xll.BDH("GILD US Equity","ARD_ADDITIONAL_PAID_IN_CAPITAL","FQ1 2023","FQ1 2023","Currency=USD","Period=FQ","BEST_FPERIOD_OVERRIDE=FQ","FILING_STATUS=MR","SCALING_FORMAT=MLN","Sort=A","Dates=H","DateFormat=P","Fill=—","Direction=H","UseDPDF=Y")</f>
        <v>5793</v>
      </c>
      <c r="U42" s="13">
        <f>_xll.BDH("GILD US Equity","ARD_ADDITIONAL_PAID_IN_CAPITAL","FQ2 2023","FQ2 2023","Currency=USD","Period=FQ","BEST_FPERIOD_OVERRIDE=FQ","FILING_STATUS=MR","SCALING_FORMAT=MLN","Sort=A","Dates=H","DateFormat=P","Fill=—","Direction=H","UseDPDF=Y")</f>
        <v>6008</v>
      </c>
      <c r="V42" s="13">
        <f>_xll.BDH("GILD US Equity","ARD_ADDITIONAL_PAID_IN_CAPITAL","FQ3 2023","FQ3 2023","Currency=USD","Period=FQ","BEST_FPERIOD_OVERRIDE=FQ","FILING_STATUS=MR","SCALING_FORMAT=MLN","Sort=A","Dates=H","DateFormat=P","Fill=—","Direction=H","UseDPDF=Y")</f>
        <v>6279</v>
      </c>
      <c r="W42" s="13">
        <f>_xll.BDH("GILD US Equity","ARD_ADDITIONAL_PAID_IN_CAPITAL","FQ4 2023","FQ4 2023","Currency=USD","Period=FQ","BEST_FPERIOD_OVERRIDE=FQ","FILING_STATUS=MR","SCALING_FORMAT=MLN","Sort=A","Dates=H","DateFormat=P","Fill=—","Direction=H","UseDPDF=Y")</f>
        <v>6500</v>
      </c>
      <c r="X42" s="13">
        <f>_xll.BDH("GILD US Equity","ARD_ADDITIONAL_PAID_IN_CAPITAL","FQ1 2024","FQ1 2024","Currency=USD","Period=FQ","BEST_FPERIOD_OVERRIDE=FQ","FILING_STATUS=MR","SCALING_FORMAT=MLN","Sort=A","Dates=H","DateFormat=P","Fill=—","Direction=H","UseDPDF=Y")</f>
        <v>6813</v>
      </c>
      <c r="Y42" s="13">
        <f>_xll.BDH("GILD US Equity","ARD_ADDITIONAL_PAID_IN_CAPITAL","FQ2 2024","FQ2 2024","Currency=USD","Period=FQ","BEST_FPERIOD_OVERRIDE=FQ","FILING_STATUS=MR","SCALING_FORMAT=MLN","Sort=A","Dates=H","DateFormat=P","Fill=—","Direction=H","UseDPDF=Y")</f>
        <v>7022</v>
      </c>
      <c r="Z42" s="13">
        <f>_xll.BDH("GILD US Equity","ARD_ADDITIONAL_PAID_IN_CAPITAL","FQ3 2024","FQ3 2024","Currency=USD","Period=FQ","BEST_FPERIOD_OVERRIDE=FQ","FILING_STATUS=MR","SCALING_FORMAT=MLN","Sort=A","Dates=H","DateFormat=P","Fill=—","Direction=H","UseDPDF=Y")</f>
        <v>7327</v>
      </c>
      <c r="AA42" s="13">
        <f>_xll.BDH("GILD US Equity","ARD_ADDITIONAL_PAID_IN_CAPITAL","FQ4 2024","FQ4 2024","Currency=USD","Period=FQ","BEST_FPERIOD_OVERRIDE=FQ","FILING_STATUS=MR","SCALING_FORMAT=MLN","Sort=A","Dates=H","DateFormat=P","Fill=—","Direction=H","UseDPDF=Y")</f>
        <v>7700</v>
      </c>
    </row>
    <row r="43" spans="1:27" x14ac:dyDescent="0.25">
      <c r="A43" s="10" t="s">
        <v>964</v>
      </c>
      <c r="B43" s="10" t="s">
        <v>965</v>
      </c>
      <c r="C43" s="13">
        <f>_xll.BDH("GILD US Equity","ARD_ACC_OTH_COMPREHENSIVE_INC","FQ4 2018","FQ4 2018","Currency=USD","Period=FQ","BEST_FPERIOD_OVERRIDE=FQ","FILING_STATUS=MR","SCALING_FORMAT=MLN","Sort=A","Dates=H","DateFormat=P","Fill=—","Direction=H","UseDPDF=Y")</f>
        <v>80</v>
      </c>
      <c r="D43" s="13">
        <f>_xll.BDH("GILD US Equity","ARD_ACC_OTH_COMPREHENSIVE_INC","FQ1 2019","FQ1 2019","Currency=USD","Period=FQ","BEST_FPERIOD_OVERRIDE=FQ","FILING_STATUS=MR","SCALING_FORMAT=MLN","Sort=A","Dates=H","DateFormat=P","Fill=—","Direction=H","UseDPDF=Y")</f>
        <v>130</v>
      </c>
      <c r="E43" s="13">
        <f>_xll.BDH("GILD US Equity","ARD_ACC_OTH_COMPREHENSIVE_INC","FQ2 2019","FQ2 2019","Currency=USD","Period=FQ","BEST_FPERIOD_OVERRIDE=FQ","FILING_STATUS=MR","SCALING_FORMAT=MLN","Sort=A","Dates=H","DateFormat=P","Fill=—","Direction=H","UseDPDF=Y")</f>
        <v>102</v>
      </c>
      <c r="F43" s="13">
        <f>_xll.BDH("GILD US Equity","ARD_ACC_OTH_COMPREHENSIVE_INC","FQ3 2019","FQ3 2019","Currency=USD","Period=FQ","BEST_FPERIOD_OVERRIDE=FQ","FILING_STATUS=MR","SCALING_FORMAT=MLN","Sort=A","Dates=H","DateFormat=P","Fill=—","Direction=H","UseDPDF=Y")</f>
        <v>117</v>
      </c>
      <c r="G43" s="13">
        <f>_xll.BDH("GILD US Equity","ARD_ACC_OTH_COMPREHENSIVE_INC","FQ4 2019","FQ4 2019","Currency=USD","Period=FQ","BEST_FPERIOD_OVERRIDE=FQ","FILING_STATUS=MR","SCALING_FORMAT=MLN","Sort=A","Dates=H","DateFormat=P","Fill=—","Direction=H","UseDPDF=Y")</f>
        <v>85</v>
      </c>
      <c r="H43" s="13">
        <f>_xll.BDH("GILD US Equity","ARD_ACC_OTH_COMPREHENSIVE_INC","FQ1 2020","FQ1 2020","Currency=USD","Period=FQ","BEST_FPERIOD_OVERRIDE=FQ","FILING_STATUS=MR","SCALING_FORMAT=MLN","Sort=A","Dates=H","DateFormat=P","Fill=—","Direction=H","UseDPDF=Y")</f>
        <v>46</v>
      </c>
      <c r="I43" s="13">
        <f>_xll.BDH("GILD US Equity","ARD_ACC_OTH_COMPREHENSIVE_INC","FQ2 2020","FQ2 2020","Currency=USD","Period=FQ","BEST_FPERIOD_OVERRIDE=FQ","FILING_STATUS=MR","SCALING_FORMAT=MLN","Sort=A","Dates=H","DateFormat=P","Fill=—","Direction=H","UseDPDF=Y")</f>
        <v>70</v>
      </c>
      <c r="J43" s="13">
        <f>_xll.BDH("GILD US Equity","ARD_ACC_OTH_COMPREHENSIVE_INC","FQ3 2020","FQ3 2020","Currency=USD","Period=FQ","BEST_FPERIOD_OVERRIDE=FQ","FILING_STATUS=MR","SCALING_FORMAT=MLN","Sort=A","Dates=H","DateFormat=P","Fill=—","Direction=H","UseDPDF=Y")</f>
        <v>23</v>
      </c>
      <c r="K43" s="13">
        <f>_xll.BDH("GILD US Equity","ARD_ACC_OTH_COMPREHENSIVE_INC","FQ4 2020","FQ4 2020","Currency=USD","Period=FQ","BEST_FPERIOD_OVERRIDE=FQ","FILING_STATUS=MR","SCALING_FORMAT=MLN","Sort=A","Dates=H","DateFormat=P","Fill=—","Direction=H","UseDPDF=Y")</f>
        <v>-60</v>
      </c>
      <c r="L43" s="13">
        <f>_xll.BDH("GILD US Equity","ARD_ACC_OTH_COMPREHENSIVE_INC","FQ1 2021","FQ1 2021","Currency=USD","Period=FQ","BEST_FPERIOD_OVERRIDE=FQ","FILING_STATUS=MR","SCALING_FORMAT=MLN","Sort=A","Dates=H","DateFormat=P","Fill=—","Direction=H","UseDPDF=Y")</f>
        <v>38</v>
      </c>
      <c r="M43" s="13">
        <f>_xll.BDH("GILD US Equity","ARD_ACC_OTH_COMPREHENSIVE_INC","FQ2 2021","FQ2 2021","Currency=USD","Period=FQ","BEST_FPERIOD_OVERRIDE=FQ","FILING_STATUS=MR","SCALING_FORMAT=MLN","Sort=A","Dates=H","DateFormat=P","Fill=—","Direction=H","UseDPDF=Y")</f>
        <v>39</v>
      </c>
      <c r="N43" s="13">
        <f>_xll.BDH("GILD US Equity","ARD_ACC_OTH_COMPREHENSIVE_INC","FQ3 2021","FQ3 2021","Currency=USD","Period=FQ","BEST_FPERIOD_OVERRIDE=FQ","FILING_STATUS=MR","SCALING_FORMAT=MLN","Sort=A","Dates=H","DateFormat=P","Fill=—","Direction=H","UseDPDF=Y")</f>
        <v>74</v>
      </c>
      <c r="O43" s="13">
        <f>_xll.BDH("GILD US Equity","ARD_ACC_OTH_COMPREHENSIVE_INC","FQ4 2021","FQ4 2021","Currency=USD","Period=FQ","BEST_FPERIOD_OVERRIDE=FQ","FILING_STATUS=MR","SCALING_FORMAT=MLN","Sort=A","Dates=H","DateFormat=P","Fill=—","Direction=H","UseDPDF=Y")</f>
        <v>83</v>
      </c>
      <c r="P43" s="13">
        <f>_xll.BDH("GILD US Equity","ARD_ACC_OTH_COMPREHENSIVE_INC","FQ1 2022","FQ1 2022","Currency=USD","Period=FQ","BEST_FPERIOD_OVERRIDE=FQ","FILING_STATUS=MR","SCALING_FORMAT=MLN","Sort=A","Dates=H","DateFormat=P","Fill=—","Direction=H","UseDPDF=Y")</f>
        <v>73</v>
      </c>
      <c r="Q43" s="13">
        <f>_xll.BDH("GILD US Equity","ARD_ACC_OTH_COMPREHENSIVE_INC","FQ2 2022","FQ2 2022","Currency=USD","Period=FQ","BEST_FPERIOD_OVERRIDE=FQ","FILING_STATUS=MR","SCALING_FORMAT=MLN","Sort=A","Dates=H","DateFormat=P","Fill=—","Direction=H","UseDPDF=Y")</f>
        <v>87</v>
      </c>
      <c r="R43" s="13">
        <f>_xll.BDH("GILD US Equity","ARD_ACC_OTH_COMPREHENSIVE_INC","FQ3 2022","FQ3 2022","Currency=USD","Period=FQ","BEST_FPERIOD_OVERRIDE=FQ","FILING_STATUS=MR","SCALING_FORMAT=MLN","Sort=A","Dates=H","DateFormat=P","Fill=—","Direction=H","UseDPDF=Y")</f>
        <v>98</v>
      </c>
      <c r="S43" s="13">
        <f>_xll.BDH("GILD US Equity","ARD_ACC_OTH_COMPREHENSIVE_INC","FQ4 2022","FQ4 2022","Currency=USD","Period=FQ","BEST_FPERIOD_OVERRIDE=FQ","FILING_STATUS=MR","SCALING_FORMAT=MLN","Sort=A","Dates=H","DateFormat=P","Fill=—","Direction=H","UseDPDF=Y")</f>
        <v>2</v>
      </c>
      <c r="T43" s="13">
        <f>_xll.BDH("GILD US Equity","ARD_ACC_OTH_COMPREHENSIVE_INC","FQ1 2023","FQ1 2023","Currency=USD","Period=FQ","BEST_FPERIOD_OVERRIDE=FQ","FILING_STATUS=MR","SCALING_FORMAT=MLN","Sort=A","Dates=H","DateFormat=P","Fill=—","Direction=H","UseDPDF=Y")</f>
        <v>-20</v>
      </c>
      <c r="U43" s="13">
        <f>_xll.BDH("GILD US Equity","ARD_ACC_OTH_COMPREHENSIVE_INC","FQ2 2023","FQ2 2023","Currency=USD","Period=FQ","BEST_FPERIOD_OVERRIDE=FQ","FILING_STATUS=MR","SCALING_FORMAT=MLN","Sort=A","Dates=H","DateFormat=P","Fill=—","Direction=H","UseDPDF=Y")</f>
        <v>10</v>
      </c>
      <c r="V43" s="13">
        <f>_xll.BDH("GILD US Equity","ARD_ACC_OTH_COMPREHENSIVE_INC","FQ3 2023","FQ3 2023","Currency=USD","Period=FQ","BEST_FPERIOD_OVERRIDE=FQ","FILING_STATUS=MR","SCALING_FORMAT=MLN","Sort=A","Dates=H","DateFormat=P","Fill=—","Direction=H","UseDPDF=Y")</f>
        <v>31</v>
      </c>
      <c r="W43" s="13">
        <f>_xll.BDH("GILD US Equity","ARD_ACC_OTH_COMPREHENSIVE_INC","FQ4 2023","FQ4 2023","Currency=USD","Period=FQ","BEST_FPERIOD_OVERRIDE=FQ","FILING_STATUS=MR","SCALING_FORMAT=MLN","Sort=A","Dates=H","DateFormat=P","Fill=—","Direction=H","UseDPDF=Y")</f>
        <v>28</v>
      </c>
      <c r="X43" s="13">
        <f>_xll.BDH("GILD US Equity","ARD_ACC_OTH_COMPREHENSIVE_INC","FQ1 2024","FQ1 2024","Currency=USD","Period=FQ","BEST_FPERIOD_OVERRIDE=FQ","FILING_STATUS=MR","SCALING_FORMAT=MLN","Sort=A","Dates=H","DateFormat=P","Fill=—","Direction=H","UseDPDF=Y")</f>
        <v>69</v>
      </c>
      <c r="Y43" s="13">
        <f>_xll.BDH("GILD US Equity","ARD_ACC_OTH_COMPREHENSIVE_INC","FQ2 2024","FQ2 2024","Currency=USD","Period=FQ","BEST_FPERIOD_OVERRIDE=FQ","FILING_STATUS=MR","SCALING_FORMAT=MLN","Sort=A","Dates=H","DateFormat=P","Fill=—","Direction=H","UseDPDF=Y")</f>
        <v>93</v>
      </c>
      <c r="Z43" s="13">
        <f>_xll.BDH("GILD US Equity","ARD_ACC_OTH_COMPREHENSIVE_INC","FQ3 2024","FQ3 2024","Currency=USD","Period=FQ","BEST_FPERIOD_OVERRIDE=FQ","FILING_STATUS=MR","SCALING_FORMAT=MLN","Sort=A","Dates=H","DateFormat=P","Fill=—","Direction=H","UseDPDF=Y")</f>
        <v>73</v>
      </c>
      <c r="AA43" s="13">
        <f>_xll.BDH("GILD US Equity","ARD_ACC_OTH_COMPREHENSIVE_INC","FQ4 2024","FQ4 2024","Currency=USD","Period=FQ","BEST_FPERIOD_OVERRIDE=FQ","FILING_STATUS=MR","SCALING_FORMAT=MLN","Sort=A","Dates=H","DateFormat=P","Fill=—","Direction=H","UseDPDF=Y")</f>
        <v>132</v>
      </c>
    </row>
    <row r="44" spans="1:27" x14ac:dyDescent="0.25">
      <c r="A44" s="10" t="s">
        <v>966</v>
      </c>
      <c r="B44" s="10" t="s">
        <v>967</v>
      </c>
      <c r="C44" s="13">
        <f>_xll.BDH("GILD US Equity","ARD_RETAINED_EARN_ACC_DEFICIT","FQ4 2018","FQ4 2018","Currency=USD","Period=FQ","BEST_FPERIOD_OVERRIDE=FQ","FILING_STATUS=MR","SCALING_FORMAT=MLN","Sort=A","Dates=H","DateFormat=P","Fill=—","Direction=H","UseDPDF=Y")</f>
        <v>19024</v>
      </c>
      <c r="D44" s="13">
        <f>_xll.BDH("GILD US Equity","ARD_RETAINED_EARN_ACC_DEFICIT","FQ1 2019","FQ1 2019","Currency=USD","Period=FQ","BEST_FPERIOD_OVERRIDE=FQ","FILING_STATUS=MR","SCALING_FORMAT=MLN","Sort=A","Dates=H","DateFormat=P","Fill=—","Direction=H","UseDPDF=Y")</f>
        <v>19326</v>
      </c>
      <c r="E44" s="13">
        <f>_xll.BDH("GILD US Equity","ARD_RETAINED_EARN_ACC_DEFICIT","FQ2 2019","FQ2 2019","Currency=USD","Period=FQ","BEST_FPERIOD_OVERRIDE=FQ","FILING_STATUS=MR","SCALING_FORMAT=MLN","Sort=A","Dates=H","DateFormat=P","Fill=—","Direction=H","UseDPDF=Y")</f>
        <v>19829</v>
      </c>
      <c r="F44" s="13">
        <f>_xll.BDH("GILD US Equity","ARD_RETAINED_EARN_ACC_DEFICIT","FQ3 2019","FQ3 2019","Currency=USD","Period=FQ","BEST_FPERIOD_OVERRIDE=FQ","FILING_STATUS=MR","SCALING_FORMAT=MLN","Sort=A","Dates=H","DateFormat=P","Fill=—","Direction=H","UseDPDF=Y")</f>
        <v>17616</v>
      </c>
      <c r="G44" s="13">
        <f>_xll.BDH("GILD US Equity","ARD_RETAINED_EARN_ACC_DEFICIT","FQ4 2019","FQ4 2019","Currency=USD","Period=FQ","BEST_FPERIOD_OVERRIDE=FQ","FILING_STATUS=MR","SCALING_FORMAT=MLN","Sort=A","Dates=H","DateFormat=P","Fill=—","Direction=H","UseDPDF=Y")</f>
        <v>19388</v>
      </c>
      <c r="H44" s="13">
        <f>_xll.BDH("GILD US Equity","ARD_RETAINED_EARN_ACC_DEFICIT","FQ1 2020","FQ1 2020","Currency=USD","Period=FQ","BEST_FPERIOD_OVERRIDE=FQ","FILING_STATUS=MR","SCALING_FORMAT=MLN","Sort=A","Dates=H","DateFormat=P","Fill=—","Direction=H","UseDPDF=Y")</f>
        <v>18709</v>
      </c>
      <c r="I44" s="13">
        <f>_xll.BDH("GILD US Equity","ARD_RETAINED_EARN_ACC_DEFICIT","FQ2 2020","FQ2 2020","Currency=USD","Period=FQ","BEST_FPERIOD_OVERRIDE=FQ","FILING_STATUS=MR","SCALING_FORMAT=MLN","Sort=A","Dates=H","DateFormat=P","Fill=—","Direction=H","UseDPDF=Y")</f>
        <v>14445</v>
      </c>
      <c r="J44" s="13">
        <f>_xll.BDH("GILD US Equity","ARD_RETAINED_EARN_ACC_DEFICIT","FQ3 2020","FQ3 2020","Currency=USD","Period=FQ","BEST_FPERIOD_OVERRIDE=FQ","FILING_STATUS=MR","SCALING_FORMAT=MLN","Sort=A","Dates=H","DateFormat=P","Fill=—","Direction=H","UseDPDF=Y")</f>
        <v>13709</v>
      </c>
      <c r="K44" s="13">
        <f>_xll.BDH("GILD US Equity","ARD_RETAINED_EARN_ACC_DEFICIT","FQ4 2020","FQ4 2020","Currency=USD","Period=FQ","BEST_FPERIOD_OVERRIDE=FQ","FILING_STATUS=MR","SCALING_FORMAT=MLN","Sort=A","Dates=H","DateFormat=P","Fill=—","Direction=H","UseDPDF=Y")</f>
        <v>14381</v>
      </c>
      <c r="L44" s="13">
        <f>_xll.BDH("GILD US Equity","ARD_RETAINED_EARN_ACC_DEFICIT","FQ1 2021","FQ1 2021","Currency=USD","Period=FQ","BEST_FPERIOD_OVERRIDE=FQ","FILING_STATUS=MR","SCALING_FORMAT=MLN","Sort=A","Dates=H","DateFormat=P","Fill=—","Direction=H","UseDPDF=Y")</f>
        <v>14821</v>
      </c>
      <c r="M44" s="13">
        <f>_xll.BDH("GILD US Equity","ARD_RETAINED_EARN_ACC_DEFICIT","FQ2 2021","FQ2 2021","Currency=USD","Period=FQ","BEST_FPERIOD_OVERRIDE=FQ","FILING_STATUS=MR","SCALING_FORMAT=MLN","Sort=A","Dates=H","DateFormat=P","Fill=—","Direction=H","UseDPDF=Y")</f>
        <v>15392</v>
      </c>
      <c r="N44" s="13">
        <f>_xll.BDH("GILD US Equity","ARD_RETAINED_EARN_ACC_DEFICIT","FQ3 2021","FQ3 2021","Currency=USD","Period=FQ","BEST_FPERIOD_OVERRIDE=FQ","FILING_STATUS=MR","SCALING_FORMAT=MLN","Sort=A","Dates=H","DateFormat=P","Fill=—","Direction=H","UseDPDF=Y")</f>
        <v>16903</v>
      </c>
      <c r="O44" s="13">
        <f>_xll.BDH("GILD US Equity","ARD_RETAINED_EARN_ACC_DEFICIT","FQ4 2021","FQ4 2021","Currency=USD","Period=FQ","BEST_FPERIOD_OVERRIDE=FQ","FILING_STATUS=MR","SCALING_FORMAT=MLN","Sort=A","Dates=H","DateFormat=P","Fill=—","Direction=H","UseDPDF=Y")</f>
        <v>16324</v>
      </c>
      <c r="P44" s="13">
        <f>_xll.BDH("GILD US Equity","ARD_RETAINED_EARN_ACC_DEFICIT","FQ1 2022","FQ1 2022","Currency=USD","Period=FQ","BEST_FPERIOD_OVERRIDE=FQ","FILING_STATUS=MR","SCALING_FORMAT=MLN","Sort=A","Dates=H","DateFormat=P","Fill=—","Direction=H","UseDPDF=Y")</f>
        <v>14986</v>
      </c>
      <c r="Q44" s="13">
        <f>_xll.BDH("GILD US Equity","ARD_RETAINED_EARN_ACC_DEFICIT","FQ2 2022","FQ2 2022","Currency=USD","Period=FQ","BEST_FPERIOD_OVERRIDE=FQ","FILING_STATUS=MR","SCALING_FORMAT=MLN","Sort=A","Dates=H","DateFormat=P","Fill=—","Direction=H","UseDPDF=Y")</f>
        <v>15117</v>
      </c>
      <c r="R44" s="13">
        <f>_xll.BDH("GILD US Equity","ARD_RETAINED_EARN_ACC_DEFICIT","FQ3 2022","FQ3 2022","Currency=USD","Period=FQ","BEST_FPERIOD_OVERRIDE=FQ","FILING_STATUS=MR","SCALING_FORMAT=MLN","Sort=A","Dates=H","DateFormat=P","Fill=—","Direction=H","UseDPDF=Y")</f>
        <v>15756</v>
      </c>
      <c r="S44" s="13">
        <f>_xll.BDH("GILD US Equity","ARD_RETAINED_EARN_ACC_DEFICIT","FQ4 2022","FQ4 2022","Currency=USD","Period=FQ","BEST_FPERIOD_OVERRIDE=FQ","FILING_STATUS=MR","SCALING_FORMAT=MLN","Sort=A","Dates=H","DateFormat=P","Fill=—","Direction=H","UseDPDF=Y")</f>
        <v>15687</v>
      </c>
      <c r="T44" s="13">
        <f>_xll.BDH("GILD US Equity","ARD_RETAINED_EARN_ACC_DEFICIT","FQ1 2023","FQ1 2023","Currency=USD","Period=FQ","BEST_FPERIOD_OVERRIDE=FQ","FILING_STATUS=MR","SCALING_FORMAT=MLN","Sort=A","Dates=H","DateFormat=P","Fill=—","Direction=H","UseDPDF=Y")</f>
        <v>15223</v>
      </c>
      <c r="U44" s="13">
        <f>_xll.BDH("GILD US Equity","ARD_RETAINED_EARN_ACC_DEFICIT","FQ2 2023","FQ2 2023","Currency=USD","Period=FQ","BEST_FPERIOD_OVERRIDE=FQ","FILING_STATUS=MR","SCALING_FORMAT=MLN","Sort=A","Dates=H","DateFormat=P","Fill=—","Direction=H","UseDPDF=Y")</f>
        <v>15138</v>
      </c>
      <c r="V44" s="13">
        <f>_xll.BDH("GILD US Equity","ARD_RETAINED_EARN_ACC_DEFICIT","FQ3 2023","FQ3 2023","Currency=USD","Period=FQ","BEST_FPERIOD_OVERRIDE=FQ","FILING_STATUS=MR","SCALING_FORMAT=MLN","Sort=A","Dates=H","DateFormat=P","Fill=—","Direction=H","UseDPDF=Y")</f>
        <v>16002</v>
      </c>
      <c r="W44" s="13">
        <f>_xll.BDH("GILD US Equity","ARD_RETAINED_EARN_ACC_DEFICIT","FQ4 2023","FQ4 2023","Currency=USD","Period=FQ","BEST_FPERIOD_OVERRIDE=FQ","FILING_STATUS=MR","SCALING_FORMAT=MLN","Sort=A","Dates=H","DateFormat=P","Fill=—","Direction=H","UseDPDF=Y")</f>
        <v>16304</v>
      </c>
      <c r="X44" s="13">
        <f>_xll.BDH("GILD US Equity","ARD_RETAINED_EARN_ACC_DEFICIT","FQ1 2024","FQ1 2024","Currency=USD","Period=FQ","BEST_FPERIOD_OVERRIDE=FQ","FILING_STATUS=MR","SCALING_FORMAT=MLN","Sort=A","Dates=H","DateFormat=P","Fill=—","Direction=H","UseDPDF=Y")</f>
        <v>10656</v>
      </c>
      <c r="Y44" s="13">
        <f>_xll.BDH("GILD US Equity","ARD_RETAINED_EARN_ACC_DEFICIT","FQ2 2024","FQ2 2024","Currency=USD","Period=FQ","BEST_FPERIOD_OVERRIDE=FQ","FILING_STATUS=MR","SCALING_FORMAT=MLN","Sort=A","Dates=H","DateFormat=P","Fill=—","Direction=H","UseDPDF=Y")</f>
        <v>11165</v>
      </c>
      <c r="Z44" s="13">
        <f>_xll.BDH("GILD US Equity","ARD_RETAINED_EARN_ACC_DEFICIT","FQ3 2024","FQ3 2024","Currency=USD","Period=FQ","BEST_FPERIOD_OVERRIDE=FQ","FILING_STATUS=MR","SCALING_FORMAT=MLN","Sort=A","Dates=H","DateFormat=P","Fill=—","Direction=H","UseDPDF=Y")</f>
        <v>11073</v>
      </c>
      <c r="AA44" s="13">
        <f>_xll.BDH("GILD US Equity","ARD_RETAINED_EARN_ACC_DEFICIT","FQ4 2024","FQ4 2024","Currency=USD","Period=FQ","BEST_FPERIOD_OVERRIDE=FQ","FILING_STATUS=MR","SCALING_FORMAT=MLN","Sort=A","Dates=H","DateFormat=P","Fill=—","Direction=H","UseDPDF=Y")</f>
        <v>11497</v>
      </c>
    </row>
    <row r="45" spans="1:27" x14ac:dyDescent="0.25">
      <c r="A45" s="10" t="s">
        <v>968</v>
      </c>
      <c r="B45" s="10" t="s">
        <v>969</v>
      </c>
      <c r="C45" s="13" t="str">
        <f>_xll.BDH("GILD US Equity","ARD_OTHER_EQUITY","FQ4 2018","FQ4 2018","Currency=USD","Period=FQ","BEST_FPERIOD_OVERRIDE=FQ","FILING_STATUS=MR","SCALING_FORMAT=MLN","Sort=A","Dates=H","DateFormat=P","Fill=—","Direction=H","UseDPDF=Y")</f>
        <v>—</v>
      </c>
      <c r="D45" s="13" t="str">
        <f>_xll.BDH("GILD US Equity","ARD_OTHER_EQUITY","FQ1 2019","FQ1 2019","Currency=USD","Period=FQ","BEST_FPERIOD_OVERRIDE=FQ","FILING_STATUS=MR","SCALING_FORMAT=MLN","Sort=A","Dates=H","DateFormat=P","Fill=—","Direction=H","UseDPDF=Y")</f>
        <v>—</v>
      </c>
      <c r="E45" s="13" t="str">
        <f>_xll.BDH("GILD US Equity","ARD_OTHER_EQUITY","FQ2 2019","FQ2 2019","Currency=USD","Period=FQ","BEST_FPERIOD_OVERRIDE=FQ","FILING_STATUS=MR","SCALING_FORMAT=MLN","Sort=A","Dates=H","DateFormat=P","Fill=—","Direction=H","UseDPDF=Y")</f>
        <v>—</v>
      </c>
      <c r="F45" s="13" t="str">
        <f>_xll.BDH("GILD US Equity","ARD_OTHER_EQUITY","FQ3 2019","FQ3 2019","Currency=USD","Period=FQ","BEST_FPERIOD_OVERRIDE=FQ","FILING_STATUS=MR","SCALING_FORMAT=MLN","Sort=A","Dates=H","DateFormat=P","Fill=—","Direction=H","UseDPDF=Y")</f>
        <v>—</v>
      </c>
      <c r="G45" s="13" t="str">
        <f>_xll.BDH("GILD US Equity","ARD_OTHER_EQUITY","FQ4 2019","FQ4 2019","Currency=USD","Period=FQ","BEST_FPERIOD_OVERRIDE=FQ","FILING_STATUS=MR","SCALING_FORMAT=MLN","Sort=A","Dates=H","DateFormat=P","Fill=—","Direction=H","UseDPDF=Y")</f>
        <v>—</v>
      </c>
      <c r="H45" s="13" t="str">
        <f>_xll.BDH("GILD US Equity","ARD_OTHER_EQUITY","FQ1 2020","FQ1 2020","Currency=USD","Period=FQ","BEST_FPERIOD_OVERRIDE=FQ","FILING_STATUS=MR","SCALING_FORMAT=MLN","Sort=A","Dates=H","DateFormat=P","Fill=—","Direction=H","UseDPDF=Y")</f>
        <v>—</v>
      </c>
      <c r="I45" s="13" t="str">
        <f>_xll.BDH("GILD US Equity","ARD_OTHER_EQUITY","FQ2 2020","FQ2 2020","Currency=USD","Period=FQ","BEST_FPERIOD_OVERRIDE=FQ","FILING_STATUS=MR","SCALING_FORMAT=MLN","Sort=A","Dates=H","DateFormat=P","Fill=—","Direction=H","UseDPDF=Y")</f>
        <v>—</v>
      </c>
      <c r="J45" s="13" t="str">
        <f>_xll.BDH("GILD US Equity","ARD_OTHER_EQUITY","FQ3 2020","FQ3 2020","Currency=USD","Period=FQ","BEST_FPERIOD_OVERRIDE=FQ","FILING_STATUS=MR","SCALING_FORMAT=MLN","Sort=A","Dates=H","DateFormat=P","Fill=—","Direction=H","UseDPDF=Y")</f>
        <v>—</v>
      </c>
      <c r="K45" s="13" t="str">
        <f>_xll.BDH("GILD US Equity","ARD_OTHER_EQUITY","FQ4 2020","FQ4 2020","Currency=USD","Period=FQ","BEST_FPERIOD_OVERRIDE=FQ","FILING_STATUS=MR","SCALING_FORMAT=MLN","Sort=A","Dates=H","DateFormat=P","Fill=—","Direction=H","UseDPDF=Y")</f>
        <v>—</v>
      </c>
      <c r="L45" s="13" t="str">
        <f>_xll.BDH("GILD US Equity","ARD_OTHER_EQUITY","FQ1 2021","FQ1 2021","Currency=USD","Period=FQ","BEST_FPERIOD_OVERRIDE=FQ","FILING_STATUS=MR","SCALING_FORMAT=MLN","Sort=A","Dates=H","DateFormat=P","Fill=—","Direction=H","UseDPDF=Y")</f>
        <v>—</v>
      </c>
      <c r="M45" s="13" t="str">
        <f>_xll.BDH("GILD US Equity","ARD_OTHER_EQUITY","FQ2 2021","FQ2 2021","Currency=USD","Period=FQ","BEST_FPERIOD_OVERRIDE=FQ","FILING_STATUS=MR","SCALING_FORMAT=MLN","Sort=A","Dates=H","DateFormat=P","Fill=—","Direction=H","UseDPDF=Y")</f>
        <v>—</v>
      </c>
      <c r="N45" s="13" t="str">
        <f>_xll.BDH("GILD US Equity","ARD_OTHER_EQUITY","FQ3 2021","FQ3 2021","Currency=USD","Period=FQ","BEST_FPERIOD_OVERRIDE=FQ","FILING_STATUS=MR","SCALING_FORMAT=MLN","Sort=A","Dates=H","DateFormat=P","Fill=—","Direction=H","UseDPDF=Y")</f>
        <v>—</v>
      </c>
      <c r="O45" s="13" t="str">
        <f>_xll.BDH("GILD US Equity","ARD_OTHER_EQUITY","FQ4 2021","FQ4 2021","Currency=USD","Period=FQ","BEST_FPERIOD_OVERRIDE=FQ","FILING_STATUS=MR","SCALING_FORMAT=MLN","Sort=A","Dates=H","DateFormat=P","Fill=—","Direction=H","UseDPDF=Y")</f>
        <v>—</v>
      </c>
      <c r="P45" s="13" t="str">
        <f>_xll.BDH("GILD US Equity","ARD_OTHER_EQUITY","FQ1 2022","FQ1 2022","Currency=USD","Period=FQ","BEST_FPERIOD_OVERRIDE=FQ","FILING_STATUS=MR","SCALING_FORMAT=MLN","Sort=A","Dates=H","DateFormat=P","Fill=—","Direction=H","UseDPDF=Y")</f>
        <v>—</v>
      </c>
      <c r="Q45" s="13" t="str">
        <f>_xll.BDH("GILD US Equity","ARD_OTHER_EQUITY","FQ2 2022","FQ2 2022","Currency=USD","Period=FQ","BEST_FPERIOD_OVERRIDE=FQ","FILING_STATUS=MR","SCALING_FORMAT=MLN","Sort=A","Dates=H","DateFormat=P","Fill=—","Direction=H","UseDPDF=Y")</f>
        <v>—</v>
      </c>
      <c r="R45" s="13" t="str">
        <f>_xll.BDH("GILD US Equity","ARD_OTHER_EQUITY","FQ3 2022","FQ3 2022","Currency=USD","Period=FQ","BEST_FPERIOD_OVERRIDE=FQ","FILING_STATUS=MR","SCALING_FORMAT=MLN","Sort=A","Dates=H","DateFormat=P","Fill=—","Direction=H","UseDPDF=Y")</f>
        <v>—</v>
      </c>
      <c r="S45" s="13" t="str">
        <f>_xll.BDH("GILD US Equity","ARD_OTHER_EQUITY","FQ4 2022","FQ4 2022","Currency=USD","Period=FQ","BEST_FPERIOD_OVERRIDE=FQ","FILING_STATUS=MR","SCALING_FORMAT=MLN","Sort=A","Dates=H","DateFormat=P","Fill=—","Direction=H","UseDPDF=Y")</f>
        <v>—</v>
      </c>
      <c r="T45" s="13" t="str">
        <f>_xll.BDH("GILD US Equity","ARD_OTHER_EQUITY","FQ1 2023","FQ1 2023","Currency=USD","Period=FQ","BEST_FPERIOD_OVERRIDE=FQ","FILING_STATUS=MR","SCALING_FORMAT=MLN","Sort=A","Dates=H","DateFormat=P","Fill=—","Direction=H","UseDPDF=Y")</f>
        <v>—</v>
      </c>
      <c r="U45" s="13">
        <f>_xll.BDH("GILD US Equity","ARD_OTHER_EQUITY","FQ2 2023","FQ2 2023","Currency=USD","Period=FQ","BEST_FPERIOD_OVERRIDE=FQ","FILING_STATUS=MR","SCALING_FORMAT=MLN","Sort=A","Dates=H","DateFormat=P","Fill=—","Direction=H","UseDPDF=Y")</f>
        <v>1</v>
      </c>
      <c r="V45" s="13">
        <f>_xll.BDH("GILD US Equity","ARD_OTHER_EQUITY","FQ3 2023","FQ3 2023","Currency=USD","Period=FQ","BEST_FPERIOD_OVERRIDE=FQ","FILING_STATUS=MR","SCALING_FORMAT=MLN","Sort=A","Dates=H","DateFormat=P","Fill=—","Direction=H","UseDPDF=Y")</f>
        <v>2</v>
      </c>
      <c r="W45" s="13" t="str">
        <f>_xll.BDH("GILD US Equity","ARD_OTHER_EQUITY","FQ4 2023","FQ4 2023","Currency=USD","Period=FQ","BEST_FPERIOD_OVERRIDE=FQ","FILING_STATUS=MR","SCALING_FORMAT=MLN","Sort=A","Dates=H","DateFormat=P","Fill=—","Direction=H","UseDPDF=Y")</f>
        <v>—</v>
      </c>
      <c r="X45" s="13" t="str">
        <f>_xll.BDH("GILD US Equity","ARD_OTHER_EQUITY","FQ1 2024","FQ1 2024","Currency=USD","Period=FQ","BEST_FPERIOD_OVERRIDE=FQ","FILING_STATUS=MR","SCALING_FORMAT=MLN","Sort=A","Dates=H","DateFormat=P","Fill=—","Direction=H","UseDPDF=Y")</f>
        <v>—</v>
      </c>
      <c r="Y45" s="13" t="str">
        <f>_xll.BDH("GILD US Equity","ARD_OTHER_EQUITY","FQ2 2024","FQ2 2024","Currency=USD","Period=FQ","BEST_FPERIOD_OVERRIDE=FQ","FILING_STATUS=MR","SCALING_FORMAT=MLN","Sort=A","Dates=H","DateFormat=P","Fill=—","Direction=H","UseDPDF=Y")</f>
        <v>—</v>
      </c>
      <c r="Z45" s="13" t="str">
        <f>_xll.BDH("GILD US Equity","ARD_OTHER_EQUITY","FQ3 2024","FQ3 2024","Currency=USD","Period=FQ","BEST_FPERIOD_OVERRIDE=FQ","FILING_STATUS=MR","SCALING_FORMAT=MLN","Sort=A","Dates=H","DateFormat=P","Fill=—","Direction=H","UseDPDF=Y")</f>
        <v>—</v>
      </c>
      <c r="AA45" s="13" t="str">
        <f>_xll.BDH("GILD US Equity","ARD_OTHER_EQUITY","FQ4 2024","FQ4 2024","Currency=USD","Period=FQ","BEST_FPERIOD_OVERRIDE=FQ","FILING_STATUS=MR","SCALING_FORMAT=MLN","Sort=A","Dates=H","DateFormat=P","Fill=—","Direction=H","UseDPDF=Y")</f>
        <v>—</v>
      </c>
    </row>
    <row r="46" spans="1:27" x14ac:dyDescent="0.25">
      <c r="A46" s="10" t="s">
        <v>875</v>
      </c>
      <c r="B46" s="10" t="s">
        <v>970</v>
      </c>
      <c r="C46" s="13">
        <f>_xll.BDH("GILD US Equity","ARD_SHARES_OUTSTANDING","FQ4 2018","FQ4 2018","Currency=USD","Period=FQ","BEST_FPERIOD_OVERRIDE=FQ","FILING_STATUS=MR","Sort=A","Dates=H","DateFormat=P","Fill=—","Direction=H","UseDPDF=Y")</f>
        <v>1282</v>
      </c>
      <c r="D46" s="13">
        <f>_xll.BDH("GILD US Equity","ARD_SHARES_OUTSTANDING","FQ1 2019","FQ1 2019","Currency=USD","Period=FQ","BEST_FPERIOD_OVERRIDE=FQ","FILING_STATUS=MR","Sort=A","Dates=H","DateFormat=P","Fill=—","Direction=H","UseDPDF=Y")</f>
        <v>1274</v>
      </c>
      <c r="E46" s="13">
        <f>_xll.BDH("GILD US Equity","ARD_SHARES_OUTSTANDING","FQ2 2019","FQ2 2019","Currency=USD","Period=FQ","BEST_FPERIOD_OVERRIDE=FQ","FILING_STATUS=MR","Sort=A","Dates=H","DateFormat=P","Fill=—","Direction=H","UseDPDF=Y")</f>
        <v>1267</v>
      </c>
      <c r="F46" s="13">
        <f>_xll.BDH("GILD US Equity","ARD_SHARES_OUTSTANDING","FQ3 2019","FQ3 2019","Currency=USD","Period=FQ","BEST_FPERIOD_OVERRIDE=FQ","FILING_STATUS=MR","Sort=A","Dates=H","DateFormat=P","Fill=—","Direction=H","UseDPDF=Y")</f>
        <v>1266</v>
      </c>
      <c r="G46" s="13">
        <f>_xll.BDH("GILD US Equity","ARD_SHARES_OUTSTANDING","FQ4 2019","FQ4 2019","Currency=USD","Period=FQ","BEST_FPERIOD_OVERRIDE=FQ","FILING_STATUS=MR","Sort=A","Dates=H","DateFormat=P","Fill=—","Direction=H","UseDPDF=Y")</f>
        <v>1266</v>
      </c>
      <c r="H46" s="13">
        <f>_xll.BDH("GILD US Equity","ARD_SHARES_OUTSTANDING","FQ1 2020","FQ1 2020","Currency=USD","Period=FQ","BEST_FPERIOD_OVERRIDE=FQ","FILING_STATUS=MR","Sort=A","Dates=H","DateFormat=P","Fill=—","Direction=H","UseDPDF=Y")</f>
        <v>1254</v>
      </c>
      <c r="I46" s="13">
        <f>_xll.BDH("GILD US Equity","ARD_SHARES_OUTSTANDING","FQ2 2020","FQ2 2020","Currency=USD","Period=FQ","BEST_FPERIOD_OVERRIDE=FQ","FILING_STATUS=MR","Sort=A","Dates=H","DateFormat=P","Fill=—","Direction=H","UseDPDF=Y")</f>
        <v>1254</v>
      </c>
      <c r="J46" s="13">
        <f>_xll.BDH("GILD US Equity","ARD_SHARES_OUTSTANDING","FQ3 2020","FQ3 2020","Currency=USD","Period=FQ","BEST_FPERIOD_OVERRIDE=FQ","FILING_STATUS=MR","Sort=A","Dates=H","DateFormat=P","Fill=—","Direction=H","UseDPDF=Y")</f>
        <v>1253</v>
      </c>
      <c r="K46" s="13">
        <f>_xll.BDH("GILD US Equity","ARD_SHARES_OUTSTANDING","FQ4 2020","FQ4 2020","Currency=USD","Period=FQ","BEST_FPERIOD_OVERRIDE=FQ","FILING_STATUS=MR","Sort=A","Dates=H","DateFormat=P","Fill=—","Direction=H","UseDPDF=Y")</f>
        <v>1254</v>
      </c>
      <c r="L46" s="13">
        <f>_xll.BDH("GILD US Equity","ARD_SHARES_OUTSTANDING","FQ1 2021","FQ1 2021","Currency=USD","Period=FQ","BEST_FPERIOD_OVERRIDE=FQ","FILING_STATUS=MR","Sort=A","Dates=H","DateFormat=P","Fill=—","Direction=H","UseDPDF=Y")</f>
        <v>1254</v>
      </c>
      <c r="M46" s="13">
        <f>_xll.BDH("GILD US Equity","ARD_SHARES_OUTSTANDING","FQ2 2021","FQ2 2021","Currency=USD","Period=FQ","BEST_FPERIOD_OVERRIDE=FQ","FILING_STATUS=MR","Sort=A","Dates=H","DateFormat=P","Fill=—","Direction=H","UseDPDF=Y")</f>
        <v>1254</v>
      </c>
      <c r="N46" s="13">
        <f>_xll.BDH("GILD US Equity","ARD_SHARES_OUTSTANDING","FQ3 2021","FQ3 2021","Currency=USD","Period=FQ","BEST_FPERIOD_OVERRIDE=FQ","FILING_STATUS=MR","Sort=A","Dates=H","DateFormat=P","Fill=—","Direction=H","UseDPDF=Y")</f>
        <v>1255</v>
      </c>
      <c r="O46" s="13">
        <f>_xll.BDH("GILD US Equity","ARD_SHARES_OUTSTANDING","FQ4 2021","FQ4 2021","Currency=USD","Period=FQ","BEST_FPERIOD_OVERRIDE=FQ","FILING_STATUS=MR","Sort=A","Dates=H","DateFormat=P","Fill=—","Direction=H","UseDPDF=Y")</f>
        <v>1254</v>
      </c>
      <c r="P46" s="13">
        <f>_xll.BDH("GILD US Equity","ARD_SHARES_OUTSTANDING","FQ1 2022","FQ1 2022","Currency=USD","Period=FQ","BEST_FPERIOD_OVERRIDE=FQ","FILING_STATUS=MR","Sort=A","Dates=H","DateFormat=P","Fill=—","Direction=H","UseDPDF=Y")</f>
        <v>1255</v>
      </c>
      <c r="Q46" s="13">
        <f>_xll.BDH("GILD US Equity","ARD_SHARES_OUTSTANDING","FQ2 2022","FQ2 2022","Currency=USD","Period=FQ","BEST_FPERIOD_OVERRIDE=FQ","FILING_STATUS=MR","Sort=A","Dates=H","DateFormat=P","Fill=—","Direction=H","UseDPDF=Y")</f>
        <v>1254</v>
      </c>
      <c r="R46" s="13">
        <f>_xll.BDH("GILD US Equity","ARD_SHARES_OUTSTANDING","FQ3 2022","FQ3 2022","Currency=USD","Period=FQ","BEST_FPERIOD_OVERRIDE=FQ","FILING_STATUS=MR","Sort=A","Dates=H","DateFormat=P","Fill=—","Direction=H","UseDPDF=Y")</f>
        <v>1254</v>
      </c>
      <c r="S46" s="13">
        <f>_xll.BDH("GILD US Equity","ARD_SHARES_OUTSTANDING","FQ4 2022","FQ4 2022","Currency=USD","Period=FQ","BEST_FPERIOD_OVERRIDE=FQ","FILING_STATUS=MR","Sort=A","Dates=H","DateFormat=P","Fill=—","Direction=H","UseDPDF=Y")</f>
        <v>1247</v>
      </c>
      <c r="T46" s="13">
        <f>_xll.BDH("GILD US Equity","ARD_SHARES_OUTSTANDING","FQ1 2023","FQ1 2023","Currency=USD","Period=FQ","BEST_FPERIOD_OVERRIDE=FQ","FILING_STATUS=MR","Sort=A","Dates=H","DateFormat=P","Fill=—","Direction=H","UseDPDF=Y")</f>
        <v>1248</v>
      </c>
      <c r="U46" s="13">
        <f>_xll.BDH("GILD US Equity","ARD_SHARES_OUTSTANDING","FQ2 2023","FQ2 2023","Currency=USD","Period=FQ","BEST_FPERIOD_OVERRIDE=FQ","FILING_STATUS=MR","Sort=A","Dates=H","DateFormat=P","Fill=—","Direction=H","UseDPDF=Y")</f>
        <v>1247</v>
      </c>
      <c r="V46" s="13">
        <f>_xll.BDH("GILD US Equity","ARD_SHARES_OUTSTANDING","FQ3 2023","FQ3 2023","Currency=USD","Period=FQ","BEST_FPERIOD_OVERRIDE=FQ","FILING_STATUS=MR","Sort=A","Dates=H","DateFormat=P","Fill=—","Direction=H","UseDPDF=Y")</f>
        <v>1247</v>
      </c>
      <c r="W46" s="13">
        <f>_xll.BDH("GILD US Equity","ARD_SHARES_OUTSTANDING","FQ4 2023","FQ4 2023","Currency=USD","Period=FQ","BEST_FPERIOD_OVERRIDE=FQ","FILING_STATUS=MR","Sort=A","Dates=H","DateFormat=P","Fill=—","Direction=H","UseDPDF=Y")</f>
        <v>1246</v>
      </c>
      <c r="X46" s="13">
        <f>_xll.BDH("GILD US Equity","ARD_SHARES_OUTSTANDING","FQ1 2024","FQ1 2024","Currency=USD","Period=FQ","BEST_FPERIOD_OVERRIDE=FQ","FILING_STATUS=MR","Sort=A","Dates=H","DateFormat=P","Fill=—","Direction=H","UseDPDF=Y")</f>
        <v>1246</v>
      </c>
      <c r="Y46" s="13">
        <f>_xll.BDH("GILD US Equity","ARD_SHARES_OUTSTANDING","FQ2 2024","FQ2 2024","Currency=USD","Period=FQ","BEST_FPERIOD_OVERRIDE=FQ","FILING_STATUS=MR","Sort=A","Dates=H","DateFormat=P","Fill=—","Direction=H","UseDPDF=Y")</f>
        <v>1246</v>
      </c>
      <c r="Z46" s="13">
        <f>_xll.BDH("GILD US Equity","ARD_SHARES_OUTSTANDING","FQ3 2024","FQ3 2024","Currency=USD","Period=FQ","BEST_FPERIOD_OVERRIDE=FQ","FILING_STATUS=MR","Sort=A","Dates=H","DateFormat=P","Fill=—","Direction=H","UseDPDF=Y")</f>
        <v>1246</v>
      </c>
      <c r="AA46" s="13">
        <f>_xll.BDH("GILD US Equity","ARD_SHARES_OUTSTANDING","FQ4 2024","FQ4 2024","Currency=USD","Period=FQ","BEST_FPERIOD_OVERRIDE=FQ","FILING_STATUS=MR","Sort=A","Dates=H","DateFormat=P","Fill=—","Direction=H","UseDPDF=Y")</f>
        <v>1246</v>
      </c>
    </row>
    <row r="47" spans="1:27" x14ac:dyDescent="0.25">
      <c r="A47" s="10" t="s">
        <v>971</v>
      </c>
      <c r="B47" s="10" t="s">
        <v>972</v>
      </c>
      <c r="C47" s="14">
        <f>_xll.BDH("GILD US Equity","ARD_PAR_VALUE","FQ4 2018","FQ4 2018","Currency=USD","Period=FQ","BEST_FPERIOD_OVERRIDE=FQ","FILING_STATUS=MR","Sort=A","Dates=H","DateFormat=P","Fill=—","Direction=H","UseDPDF=Y")</f>
        <v>1E-3</v>
      </c>
      <c r="D47" s="14">
        <f>_xll.BDH("GILD US Equity","ARD_PAR_VALUE","FQ1 2019","FQ1 2019","Currency=USD","Period=FQ","BEST_FPERIOD_OVERRIDE=FQ","FILING_STATUS=MR","Sort=A","Dates=H","DateFormat=P","Fill=—","Direction=H","UseDPDF=Y")</f>
        <v>1E-3</v>
      </c>
      <c r="E47" s="14">
        <f>_xll.BDH("GILD US Equity","ARD_PAR_VALUE","FQ2 2019","FQ2 2019","Currency=USD","Period=FQ","BEST_FPERIOD_OVERRIDE=FQ","FILING_STATUS=MR","Sort=A","Dates=H","DateFormat=P","Fill=—","Direction=H","UseDPDF=Y")</f>
        <v>1E-3</v>
      </c>
      <c r="F47" s="14">
        <f>_xll.BDH("GILD US Equity","ARD_PAR_VALUE","FQ3 2019","FQ3 2019","Currency=USD","Period=FQ","BEST_FPERIOD_OVERRIDE=FQ","FILING_STATUS=MR","Sort=A","Dates=H","DateFormat=P","Fill=—","Direction=H","UseDPDF=Y")</f>
        <v>1E-3</v>
      </c>
      <c r="G47" s="14">
        <f>_xll.BDH("GILD US Equity","ARD_PAR_VALUE","FQ4 2019","FQ4 2019","Currency=USD","Period=FQ","BEST_FPERIOD_OVERRIDE=FQ","FILING_STATUS=MR","Sort=A","Dates=H","DateFormat=P","Fill=—","Direction=H","UseDPDF=Y")</f>
        <v>1E-3</v>
      </c>
      <c r="H47" s="14">
        <f>_xll.BDH("GILD US Equity","ARD_PAR_VALUE","FQ1 2020","FQ1 2020","Currency=USD","Period=FQ","BEST_FPERIOD_OVERRIDE=FQ","FILING_STATUS=MR","Sort=A","Dates=H","DateFormat=P","Fill=—","Direction=H","UseDPDF=Y")</f>
        <v>1E-3</v>
      </c>
      <c r="I47" s="14">
        <f>_xll.BDH("GILD US Equity","ARD_PAR_VALUE","FQ2 2020","FQ2 2020","Currency=USD","Period=FQ","BEST_FPERIOD_OVERRIDE=FQ","FILING_STATUS=MR","Sort=A","Dates=H","DateFormat=P","Fill=—","Direction=H","UseDPDF=Y")</f>
        <v>1E-3</v>
      </c>
      <c r="J47" s="14">
        <f>_xll.BDH("GILD US Equity","ARD_PAR_VALUE","FQ3 2020","FQ3 2020","Currency=USD","Period=FQ","BEST_FPERIOD_OVERRIDE=FQ","FILING_STATUS=MR","Sort=A","Dates=H","DateFormat=P","Fill=—","Direction=H","UseDPDF=Y")</f>
        <v>1E-3</v>
      </c>
      <c r="K47" s="14">
        <f>_xll.BDH("GILD US Equity","ARD_PAR_VALUE","FQ4 2020","FQ4 2020","Currency=USD","Period=FQ","BEST_FPERIOD_OVERRIDE=FQ","FILING_STATUS=MR","Sort=A","Dates=H","DateFormat=P","Fill=—","Direction=H","UseDPDF=Y")</f>
        <v>1E-3</v>
      </c>
      <c r="L47" s="14">
        <f>_xll.BDH("GILD US Equity","ARD_PAR_VALUE","FQ1 2021","FQ1 2021","Currency=USD","Period=FQ","BEST_FPERIOD_OVERRIDE=FQ","FILING_STATUS=MR","Sort=A","Dates=H","DateFormat=P","Fill=—","Direction=H","UseDPDF=Y")</f>
        <v>1E-3</v>
      </c>
      <c r="M47" s="14">
        <f>_xll.BDH("GILD US Equity","ARD_PAR_VALUE","FQ2 2021","FQ2 2021","Currency=USD","Period=FQ","BEST_FPERIOD_OVERRIDE=FQ","FILING_STATUS=MR","Sort=A","Dates=H","DateFormat=P","Fill=—","Direction=H","UseDPDF=Y")</f>
        <v>1E-3</v>
      </c>
      <c r="N47" s="14">
        <f>_xll.BDH("GILD US Equity","ARD_PAR_VALUE","FQ3 2021","FQ3 2021","Currency=USD","Period=FQ","BEST_FPERIOD_OVERRIDE=FQ","FILING_STATUS=MR","Sort=A","Dates=H","DateFormat=P","Fill=—","Direction=H","UseDPDF=Y")</f>
        <v>1E-3</v>
      </c>
      <c r="O47" s="14">
        <f>_xll.BDH("GILD US Equity","ARD_PAR_VALUE","FQ4 2021","FQ4 2021","Currency=USD","Period=FQ","BEST_FPERIOD_OVERRIDE=FQ","FILING_STATUS=MR","Sort=A","Dates=H","DateFormat=P","Fill=—","Direction=H","UseDPDF=Y")</f>
        <v>1E-3</v>
      </c>
      <c r="P47" s="14">
        <f>_xll.BDH("GILD US Equity","ARD_PAR_VALUE","FQ1 2022","FQ1 2022","Currency=USD","Period=FQ","BEST_FPERIOD_OVERRIDE=FQ","FILING_STATUS=MR","Sort=A","Dates=H","DateFormat=P","Fill=—","Direction=H","UseDPDF=Y")</f>
        <v>1E-3</v>
      </c>
      <c r="Q47" s="14">
        <f>_xll.BDH("GILD US Equity","ARD_PAR_VALUE","FQ2 2022","FQ2 2022","Currency=USD","Period=FQ","BEST_FPERIOD_OVERRIDE=FQ","FILING_STATUS=MR","Sort=A","Dates=H","DateFormat=P","Fill=—","Direction=H","UseDPDF=Y")</f>
        <v>1E-3</v>
      </c>
      <c r="R47" s="14">
        <f>_xll.BDH("GILD US Equity","ARD_PAR_VALUE","FQ3 2022","FQ3 2022","Currency=USD","Period=FQ","BEST_FPERIOD_OVERRIDE=FQ","FILING_STATUS=MR","Sort=A","Dates=H","DateFormat=P","Fill=—","Direction=H","UseDPDF=Y")</f>
        <v>1E-3</v>
      </c>
      <c r="S47" s="14">
        <f>_xll.BDH("GILD US Equity","ARD_PAR_VALUE","FQ4 2022","FQ4 2022","Currency=USD","Period=FQ","BEST_FPERIOD_OVERRIDE=FQ","FILING_STATUS=MR","Sort=A","Dates=H","DateFormat=P","Fill=—","Direction=H","UseDPDF=Y")</f>
        <v>1E-3</v>
      </c>
      <c r="T47" s="14">
        <f>_xll.BDH("GILD US Equity","ARD_PAR_VALUE","FQ1 2023","FQ1 2023","Currency=USD","Period=FQ","BEST_FPERIOD_OVERRIDE=FQ","FILING_STATUS=MR","Sort=A","Dates=H","DateFormat=P","Fill=—","Direction=H","UseDPDF=Y")</f>
        <v>1E-3</v>
      </c>
      <c r="U47" s="14">
        <f>_xll.BDH("GILD US Equity","ARD_PAR_VALUE","FQ2 2023","FQ2 2023","Currency=USD","Period=FQ","BEST_FPERIOD_OVERRIDE=FQ","FILING_STATUS=MR","Sort=A","Dates=H","DateFormat=P","Fill=—","Direction=H","UseDPDF=Y")</f>
        <v>1E-3</v>
      </c>
      <c r="V47" s="14">
        <f>_xll.BDH("GILD US Equity","ARD_PAR_VALUE","FQ3 2023","FQ3 2023","Currency=USD","Period=FQ","BEST_FPERIOD_OVERRIDE=FQ","FILING_STATUS=MR","Sort=A","Dates=H","DateFormat=P","Fill=—","Direction=H","UseDPDF=Y")</f>
        <v>1E-3</v>
      </c>
      <c r="W47" s="14">
        <f>_xll.BDH("GILD US Equity","ARD_PAR_VALUE","FQ4 2023","FQ4 2023","Currency=USD","Period=FQ","BEST_FPERIOD_OVERRIDE=FQ","FILING_STATUS=MR","Sort=A","Dates=H","DateFormat=P","Fill=—","Direction=H","UseDPDF=Y")</f>
        <v>1E-3</v>
      </c>
      <c r="X47" s="14">
        <f>_xll.BDH("GILD US Equity","ARD_PAR_VALUE","FQ1 2024","FQ1 2024","Currency=USD","Period=FQ","BEST_FPERIOD_OVERRIDE=FQ","FILING_STATUS=MR","Sort=A","Dates=H","DateFormat=P","Fill=—","Direction=H","UseDPDF=Y")</f>
        <v>1E-3</v>
      </c>
      <c r="Y47" s="14">
        <f>_xll.BDH("GILD US Equity","ARD_PAR_VALUE","FQ2 2024","FQ2 2024","Currency=USD","Period=FQ","BEST_FPERIOD_OVERRIDE=FQ","FILING_STATUS=MR","Sort=A","Dates=H","DateFormat=P","Fill=—","Direction=H","UseDPDF=Y")</f>
        <v>1E-3</v>
      </c>
      <c r="Z47" s="14">
        <f>_xll.BDH("GILD US Equity","ARD_PAR_VALUE","FQ3 2024","FQ3 2024","Currency=USD","Period=FQ","BEST_FPERIOD_OVERRIDE=FQ","FILING_STATUS=MR","Sort=A","Dates=H","DateFormat=P","Fill=—","Direction=H","UseDPDF=Y")</f>
        <v>1E-3</v>
      </c>
      <c r="AA47" s="14">
        <f>_xll.BDH("GILD US Equity","ARD_PAR_VALUE","FQ4 2024","FQ4 2024","Currency=USD","Period=FQ","BEST_FPERIOD_OVERRIDE=FQ","FILING_STATUS=MR","Sort=A","Dates=H","DateFormat=P","Fill=—","Direction=H","UseDPDF=Y")</f>
        <v>1E-3</v>
      </c>
    </row>
    <row r="48" spans="1:27" x14ac:dyDescent="0.25">
      <c r="A48" s="10" t="s">
        <v>973</v>
      </c>
      <c r="B48" s="10" t="s">
        <v>974</v>
      </c>
      <c r="C48" s="13" t="str">
        <f>_xll.BDH("GILD US Equity","ARD_COMMON_STOCK_AND_APIC","FQ4 2018","FQ4 2018","Currency=USD","Period=FQ","BEST_FPERIOD_OVERRIDE=FQ","FILING_STATUS=MR","SCALING_FORMAT=MLN","Sort=A","Dates=H","DateFormat=P","Fill=—","Direction=H","UseDPDF=Y")</f>
        <v>—</v>
      </c>
      <c r="D48" s="13" t="str">
        <f>_xll.BDH("GILD US Equity","ARD_COMMON_STOCK_AND_APIC","FQ1 2019","FQ1 2019","Currency=USD","Period=FQ","BEST_FPERIOD_OVERRIDE=FQ","FILING_STATUS=MR","SCALING_FORMAT=MLN","Sort=A","Dates=H","DateFormat=P","Fill=—","Direction=H","UseDPDF=Y")</f>
        <v>—</v>
      </c>
      <c r="E48" s="13" t="str">
        <f>_xll.BDH("GILD US Equity","ARD_COMMON_STOCK_AND_APIC","FQ2 2019","FQ2 2019","Currency=USD","Period=FQ","BEST_FPERIOD_OVERRIDE=FQ","FILING_STATUS=MR","SCALING_FORMAT=MLN","Sort=A","Dates=H","DateFormat=P","Fill=—","Direction=H","UseDPDF=Y")</f>
        <v>—</v>
      </c>
      <c r="F48" s="13" t="str">
        <f>_xll.BDH("GILD US Equity","ARD_COMMON_STOCK_AND_APIC","FQ3 2019","FQ3 2019","Currency=USD","Period=FQ","BEST_FPERIOD_OVERRIDE=FQ","FILING_STATUS=MR","SCALING_FORMAT=MLN","Sort=A","Dates=H","DateFormat=P","Fill=—","Direction=H","UseDPDF=Y")</f>
        <v>—</v>
      </c>
      <c r="G48" s="13" t="str">
        <f>_xll.BDH("GILD US Equity","ARD_COMMON_STOCK_AND_APIC","FQ4 2019","FQ4 2019","Currency=USD","Period=FQ","BEST_FPERIOD_OVERRIDE=FQ","FILING_STATUS=MR","SCALING_FORMAT=MLN","Sort=A","Dates=H","DateFormat=P","Fill=—","Direction=H","UseDPDF=Y")</f>
        <v>—</v>
      </c>
      <c r="H48" s="13" t="str">
        <f>_xll.BDH("GILD US Equity","ARD_COMMON_STOCK_AND_APIC","FQ1 2020","FQ1 2020","Currency=USD","Period=FQ","BEST_FPERIOD_OVERRIDE=FQ","FILING_STATUS=MR","SCALING_FORMAT=MLN","Sort=A","Dates=H","DateFormat=P","Fill=—","Direction=H","UseDPDF=Y")</f>
        <v>—</v>
      </c>
      <c r="I48" s="13" t="str">
        <f>_xll.BDH("GILD US Equity","ARD_COMMON_STOCK_AND_APIC","FQ2 2020","FQ2 2020","Currency=USD","Period=FQ","BEST_FPERIOD_OVERRIDE=FQ","FILING_STATUS=MR","SCALING_FORMAT=MLN","Sort=A","Dates=H","DateFormat=P","Fill=—","Direction=H","UseDPDF=Y")</f>
        <v>—</v>
      </c>
      <c r="J48" s="13" t="str">
        <f>_xll.BDH("GILD US Equity","ARD_COMMON_STOCK_AND_APIC","FQ3 2020","FQ3 2020","Currency=USD","Period=FQ","BEST_FPERIOD_OVERRIDE=FQ","FILING_STATUS=MR","SCALING_FORMAT=MLN","Sort=A","Dates=H","DateFormat=P","Fill=—","Direction=H","UseDPDF=Y")</f>
        <v>—</v>
      </c>
      <c r="K48" s="13" t="str">
        <f>_xll.BDH("GILD US Equity","ARD_COMMON_STOCK_AND_APIC","FQ4 2020","FQ4 2020","Currency=USD","Period=FQ","BEST_FPERIOD_OVERRIDE=FQ","FILING_STATUS=MR","SCALING_FORMAT=MLN","Sort=A","Dates=H","DateFormat=P","Fill=—","Direction=H","UseDPDF=Y")</f>
        <v>—</v>
      </c>
      <c r="L48" s="13" t="str">
        <f>_xll.BDH("GILD US Equity","ARD_COMMON_STOCK_AND_APIC","FQ1 2021","FQ1 2021","Currency=USD","Period=FQ","BEST_FPERIOD_OVERRIDE=FQ","FILING_STATUS=MR","SCALING_FORMAT=MLN","Sort=A","Dates=H","DateFormat=P","Fill=—","Direction=H","UseDPDF=Y")</f>
        <v>—</v>
      </c>
      <c r="M48" s="13" t="str">
        <f>_xll.BDH("GILD US Equity","ARD_COMMON_STOCK_AND_APIC","FQ2 2021","FQ2 2021","Currency=USD","Period=FQ","BEST_FPERIOD_OVERRIDE=FQ","FILING_STATUS=MR","SCALING_FORMAT=MLN","Sort=A","Dates=H","DateFormat=P","Fill=—","Direction=H","UseDPDF=Y")</f>
        <v>—</v>
      </c>
      <c r="N48" s="13" t="str">
        <f>_xll.BDH("GILD US Equity","ARD_COMMON_STOCK_AND_APIC","FQ3 2021","FQ3 2021","Currency=USD","Period=FQ","BEST_FPERIOD_OVERRIDE=FQ","FILING_STATUS=MR","SCALING_FORMAT=MLN","Sort=A","Dates=H","DateFormat=P","Fill=—","Direction=H","UseDPDF=Y")</f>
        <v>—</v>
      </c>
      <c r="O48" s="13" t="str">
        <f>_xll.BDH("GILD US Equity","ARD_COMMON_STOCK_AND_APIC","FQ4 2021","FQ4 2021","Currency=USD","Period=FQ","BEST_FPERIOD_OVERRIDE=FQ","FILING_STATUS=MR","SCALING_FORMAT=MLN","Sort=A","Dates=H","DateFormat=P","Fill=—","Direction=H","UseDPDF=Y")</f>
        <v>—</v>
      </c>
      <c r="P48" s="13" t="str">
        <f>_xll.BDH("GILD US Equity","ARD_COMMON_STOCK_AND_APIC","FQ1 2022","FQ1 2022","Currency=USD","Period=FQ","BEST_FPERIOD_OVERRIDE=FQ","FILING_STATUS=MR","SCALING_FORMAT=MLN","Sort=A","Dates=H","DateFormat=P","Fill=—","Direction=H","UseDPDF=Y")</f>
        <v>—</v>
      </c>
      <c r="Q48" s="13" t="str">
        <f>_xll.BDH("GILD US Equity","ARD_COMMON_STOCK_AND_APIC","FQ2 2022","FQ2 2022","Currency=USD","Period=FQ","BEST_FPERIOD_OVERRIDE=FQ","FILING_STATUS=MR","SCALING_FORMAT=MLN","Sort=A","Dates=H","DateFormat=P","Fill=—","Direction=H","UseDPDF=Y")</f>
        <v>—</v>
      </c>
      <c r="R48" s="13" t="str">
        <f>_xll.BDH("GILD US Equity","ARD_COMMON_STOCK_AND_APIC","FQ3 2022","FQ3 2022","Currency=USD","Period=FQ","BEST_FPERIOD_OVERRIDE=FQ","FILING_STATUS=MR","SCALING_FORMAT=MLN","Sort=A","Dates=H","DateFormat=P","Fill=—","Direction=H","UseDPDF=Y")</f>
        <v>—</v>
      </c>
      <c r="S48" s="13" t="str">
        <f>_xll.BDH("GILD US Equity","ARD_COMMON_STOCK_AND_APIC","FQ4 2022","FQ4 2022","Currency=USD","Period=FQ","BEST_FPERIOD_OVERRIDE=FQ","FILING_STATUS=MR","SCALING_FORMAT=MLN","Sort=A","Dates=H","DateFormat=P","Fill=—","Direction=H","UseDPDF=Y")</f>
        <v>—</v>
      </c>
      <c r="T48" s="13" t="str">
        <f>_xll.BDH("GILD US Equity","ARD_COMMON_STOCK_AND_APIC","FQ1 2023","FQ1 2023","Currency=USD","Period=FQ","BEST_FPERIOD_OVERRIDE=FQ","FILING_STATUS=MR","SCALING_FORMAT=MLN","Sort=A","Dates=H","DateFormat=P","Fill=—","Direction=H","UseDPDF=Y")</f>
        <v>—</v>
      </c>
      <c r="U48" s="13" t="str">
        <f>_xll.BDH("GILD US Equity","ARD_COMMON_STOCK_AND_APIC","FQ2 2023","FQ2 2023","Currency=USD","Period=FQ","BEST_FPERIOD_OVERRIDE=FQ","FILING_STATUS=MR","SCALING_FORMAT=MLN","Sort=A","Dates=H","DateFormat=P","Fill=—","Direction=H","UseDPDF=Y")</f>
        <v>—</v>
      </c>
      <c r="V48" s="13" t="str">
        <f>_xll.BDH("GILD US Equity","ARD_COMMON_STOCK_AND_APIC","FQ3 2023","FQ3 2023","Currency=USD","Period=FQ","BEST_FPERIOD_OVERRIDE=FQ","FILING_STATUS=MR","SCALING_FORMAT=MLN","Sort=A","Dates=H","DateFormat=P","Fill=—","Direction=H","UseDPDF=Y")</f>
        <v>—</v>
      </c>
      <c r="W48" s="13">
        <f>_xll.BDH("GILD US Equity","ARD_COMMON_STOCK_AND_APIC","FQ4 2023","FQ4 2023","Currency=USD","Period=FQ","BEST_FPERIOD_OVERRIDE=FQ","FILING_STATUS=MR","SCALING_FORMAT=MLN","Sort=A","Dates=H","DateFormat=P","Fill=—","Direction=H","UseDPDF=Y")</f>
        <v>22749</v>
      </c>
      <c r="X48" s="13" t="str">
        <f>_xll.BDH("GILD US Equity","ARD_COMMON_STOCK_AND_APIC","FQ1 2024","FQ1 2024","Currency=USD","Period=FQ","BEST_FPERIOD_OVERRIDE=FQ","FILING_STATUS=MR","SCALING_FORMAT=MLN","Sort=A","Dates=H","DateFormat=P","Fill=—","Direction=H","UseDPDF=Y")</f>
        <v>—</v>
      </c>
      <c r="Y48" s="13" t="str">
        <f>_xll.BDH("GILD US Equity","ARD_COMMON_STOCK_AND_APIC","FQ2 2024","FQ2 2024","Currency=USD","Period=FQ","BEST_FPERIOD_OVERRIDE=FQ","FILING_STATUS=MR","SCALING_FORMAT=MLN","Sort=A","Dates=H","DateFormat=P","Fill=—","Direction=H","UseDPDF=Y")</f>
        <v>—</v>
      </c>
      <c r="Z48" s="13" t="str">
        <f>_xll.BDH("GILD US Equity","ARD_COMMON_STOCK_AND_APIC","FQ3 2024","FQ3 2024","Currency=USD","Period=FQ","BEST_FPERIOD_OVERRIDE=FQ","FILING_STATUS=MR","SCALING_FORMAT=MLN","Sort=A","Dates=H","DateFormat=P","Fill=—","Direction=H","UseDPDF=Y")</f>
        <v>—</v>
      </c>
      <c r="AA48" s="13" t="str">
        <f>_xll.BDH("GILD US Equity","ARD_COMMON_STOCK_AND_APIC","FQ4 2024","FQ4 2024","Currency=USD","Period=FQ","BEST_FPERIOD_OVERRIDE=FQ","FILING_STATUS=MR","SCALING_FORMAT=MLN","Sort=A","Dates=H","DateFormat=P","Fill=—","Direction=H","UseDPDF=Y")</f>
        <v>—</v>
      </c>
    </row>
    <row r="49" spans="1:27" x14ac:dyDescent="0.25">
      <c r="A49" s="10" t="s">
        <v>975</v>
      </c>
      <c r="B49" s="10" t="s">
        <v>976</v>
      </c>
      <c r="C49" s="13">
        <f>_xll.BDH("GILD US Equity","ARD_SHARES_ISSUED","FQ4 2018","FQ4 2018","Currency=USD","Period=FQ","BEST_FPERIOD_OVERRIDE=FQ","FILING_STATUS=MR","Sort=A","Dates=H","DateFormat=P","Fill=—","Direction=H","UseDPDF=Y")</f>
        <v>1282</v>
      </c>
      <c r="D49" s="13">
        <f>_xll.BDH("GILD US Equity","ARD_SHARES_ISSUED","FQ1 2019","FQ1 2019","Currency=USD","Period=FQ","BEST_FPERIOD_OVERRIDE=FQ","FILING_STATUS=MR","Sort=A","Dates=H","DateFormat=P","Fill=—","Direction=H","UseDPDF=Y")</f>
        <v>1274</v>
      </c>
      <c r="E49" s="13">
        <f>_xll.BDH("GILD US Equity","ARD_SHARES_ISSUED","FQ2 2019","FQ2 2019","Currency=USD","Period=FQ","BEST_FPERIOD_OVERRIDE=FQ","FILING_STATUS=MR","Sort=A","Dates=H","DateFormat=P","Fill=—","Direction=H","UseDPDF=Y")</f>
        <v>1267</v>
      </c>
      <c r="F49" s="13">
        <f>_xll.BDH("GILD US Equity","ARD_SHARES_ISSUED","FQ3 2019","FQ3 2019","Currency=USD","Period=FQ","BEST_FPERIOD_OVERRIDE=FQ","FILING_STATUS=MR","Sort=A","Dates=H","DateFormat=P","Fill=—","Direction=H","UseDPDF=Y")</f>
        <v>1266</v>
      </c>
      <c r="G49" s="13">
        <f>_xll.BDH("GILD US Equity","ARD_SHARES_ISSUED","FQ4 2019","FQ4 2019","Currency=USD","Period=FQ","BEST_FPERIOD_OVERRIDE=FQ","FILING_STATUS=MR","Sort=A","Dates=H","DateFormat=P","Fill=—","Direction=H","UseDPDF=Y")</f>
        <v>1266</v>
      </c>
      <c r="H49" s="13">
        <f>_xll.BDH("GILD US Equity","ARD_SHARES_ISSUED","FQ1 2020","FQ1 2020","Currency=USD","Period=FQ","BEST_FPERIOD_OVERRIDE=FQ","FILING_STATUS=MR","Sort=A","Dates=H","DateFormat=P","Fill=—","Direction=H","UseDPDF=Y")</f>
        <v>1254</v>
      </c>
      <c r="I49" s="13" t="str">
        <f>_xll.BDH("GILD US Equity","ARD_SHARES_ISSUED","FQ2 2020","FQ2 2020","Currency=USD","Period=FQ","BEST_FPERIOD_OVERRIDE=FQ","FILING_STATUS=MR","Sort=A","Dates=H","DateFormat=P","Fill=—","Direction=H","UseDPDF=Y")</f>
        <v>—</v>
      </c>
      <c r="J49" s="13">
        <f>_xll.BDH("GILD US Equity","ARD_SHARES_ISSUED","FQ3 2020","FQ3 2020","Currency=USD","Period=FQ","BEST_FPERIOD_OVERRIDE=FQ","FILING_STATUS=MR","Sort=A","Dates=H","DateFormat=P","Fill=—","Direction=H","UseDPDF=Y")</f>
        <v>1253</v>
      </c>
      <c r="K49" s="13">
        <f>_xll.BDH("GILD US Equity","ARD_SHARES_ISSUED","FQ4 2020","FQ4 2020","Currency=USD","Period=FQ","BEST_FPERIOD_OVERRIDE=FQ","FILING_STATUS=MR","Sort=A","Dates=H","DateFormat=P","Fill=—","Direction=H","UseDPDF=Y")</f>
        <v>1254</v>
      </c>
      <c r="L49" s="13">
        <f>_xll.BDH("GILD US Equity","ARD_SHARES_ISSUED","FQ1 2021","FQ1 2021","Currency=USD","Period=FQ","BEST_FPERIOD_OVERRIDE=FQ","FILING_STATUS=MR","Sort=A","Dates=H","DateFormat=P","Fill=—","Direction=H","UseDPDF=Y")</f>
        <v>1254</v>
      </c>
      <c r="M49" s="13">
        <f>_xll.BDH("GILD US Equity","ARD_SHARES_ISSUED","FQ2 2021","FQ2 2021","Currency=USD","Period=FQ","BEST_FPERIOD_OVERRIDE=FQ","FILING_STATUS=MR","Sort=A","Dates=H","DateFormat=P","Fill=—","Direction=H","UseDPDF=Y")</f>
        <v>1254</v>
      </c>
      <c r="N49" s="13">
        <f>_xll.BDH("GILD US Equity","ARD_SHARES_ISSUED","FQ3 2021","FQ3 2021","Currency=USD","Period=FQ","BEST_FPERIOD_OVERRIDE=FQ","FILING_STATUS=MR","Sort=A","Dates=H","DateFormat=P","Fill=—","Direction=H","UseDPDF=Y")</f>
        <v>1255</v>
      </c>
      <c r="O49" s="13">
        <f>_xll.BDH("GILD US Equity","ARD_SHARES_ISSUED","FQ4 2021","FQ4 2021","Currency=USD","Period=FQ","BEST_FPERIOD_OVERRIDE=FQ","FILING_STATUS=MR","Sort=A","Dates=H","DateFormat=P","Fill=—","Direction=H","UseDPDF=Y")</f>
        <v>1254</v>
      </c>
      <c r="P49" s="13">
        <f>_xll.BDH("GILD US Equity","ARD_SHARES_ISSUED","FQ1 2022","FQ1 2022","Currency=USD","Period=FQ","BEST_FPERIOD_OVERRIDE=FQ","FILING_STATUS=MR","Sort=A","Dates=H","DateFormat=P","Fill=—","Direction=H","UseDPDF=Y")</f>
        <v>1255</v>
      </c>
      <c r="Q49" s="13">
        <f>_xll.BDH("GILD US Equity","ARD_SHARES_ISSUED","FQ2 2022","FQ2 2022","Currency=USD","Period=FQ","BEST_FPERIOD_OVERRIDE=FQ","FILING_STATUS=MR","Sort=A","Dates=H","DateFormat=P","Fill=—","Direction=H","UseDPDF=Y")</f>
        <v>1254</v>
      </c>
      <c r="R49" s="13">
        <f>_xll.BDH("GILD US Equity","ARD_SHARES_ISSUED","FQ3 2022","FQ3 2022","Currency=USD","Period=FQ","BEST_FPERIOD_OVERRIDE=FQ","FILING_STATUS=MR","Sort=A","Dates=H","DateFormat=P","Fill=—","Direction=H","UseDPDF=Y")</f>
        <v>1254</v>
      </c>
      <c r="S49" s="13">
        <f>_xll.BDH("GILD US Equity","ARD_SHARES_ISSUED","FQ4 2022","FQ4 2022","Currency=USD","Period=FQ","BEST_FPERIOD_OVERRIDE=FQ","FILING_STATUS=MR","Sort=A","Dates=H","DateFormat=P","Fill=—","Direction=H","UseDPDF=Y")</f>
        <v>1247</v>
      </c>
      <c r="T49" s="13">
        <f>_xll.BDH("GILD US Equity","ARD_SHARES_ISSUED","FQ1 2023","FQ1 2023","Currency=USD","Period=FQ","BEST_FPERIOD_OVERRIDE=FQ","FILING_STATUS=MR","Sort=A","Dates=H","DateFormat=P","Fill=—","Direction=H","UseDPDF=Y")</f>
        <v>1248</v>
      </c>
      <c r="U49" s="13">
        <f>_xll.BDH("GILD US Equity","ARD_SHARES_ISSUED","FQ2 2023","FQ2 2023","Currency=USD","Period=FQ","BEST_FPERIOD_OVERRIDE=FQ","FILING_STATUS=MR","Sort=A","Dates=H","DateFormat=P","Fill=—","Direction=H","UseDPDF=Y")</f>
        <v>1247</v>
      </c>
      <c r="V49" s="13">
        <f>_xll.BDH("GILD US Equity","ARD_SHARES_ISSUED","FQ3 2023","FQ3 2023","Currency=USD","Period=FQ","BEST_FPERIOD_OVERRIDE=FQ","FILING_STATUS=MR","Sort=A","Dates=H","DateFormat=P","Fill=—","Direction=H","UseDPDF=Y")</f>
        <v>1247</v>
      </c>
      <c r="W49" s="13">
        <f>_xll.BDH("GILD US Equity","ARD_SHARES_ISSUED","FQ4 2023","FQ4 2023","Currency=USD","Period=FQ","BEST_FPERIOD_OVERRIDE=FQ","FILING_STATUS=MR","Sort=A","Dates=H","DateFormat=P","Fill=—","Direction=H","UseDPDF=Y")</f>
        <v>1246</v>
      </c>
      <c r="X49" s="13">
        <f>_xll.BDH("GILD US Equity","ARD_SHARES_ISSUED","FQ1 2024","FQ1 2024","Currency=USD","Period=FQ","BEST_FPERIOD_OVERRIDE=FQ","FILING_STATUS=MR","Sort=A","Dates=H","DateFormat=P","Fill=—","Direction=H","UseDPDF=Y")</f>
        <v>1246</v>
      </c>
      <c r="Y49" s="13">
        <f>_xll.BDH("GILD US Equity","ARD_SHARES_ISSUED","FQ2 2024","FQ2 2024","Currency=USD","Period=FQ","BEST_FPERIOD_OVERRIDE=FQ","FILING_STATUS=MR","Sort=A","Dates=H","DateFormat=P","Fill=—","Direction=H","UseDPDF=Y")</f>
        <v>1246</v>
      </c>
      <c r="Z49" s="13">
        <f>_xll.BDH("GILD US Equity","ARD_SHARES_ISSUED","FQ3 2024","FQ3 2024","Currency=USD","Period=FQ","BEST_FPERIOD_OVERRIDE=FQ","FILING_STATUS=MR","Sort=A","Dates=H","DateFormat=P","Fill=—","Direction=H","UseDPDF=Y")</f>
        <v>1246</v>
      </c>
      <c r="AA49" s="13">
        <f>_xll.BDH("GILD US Equity","ARD_SHARES_ISSUED","FQ4 2024","FQ4 2024","Currency=USD","Period=FQ","BEST_FPERIOD_OVERRIDE=FQ","FILING_STATUS=MR","Sort=A","Dates=H","DateFormat=P","Fill=—","Direction=H","UseDPDF=Y")</f>
        <v>1246</v>
      </c>
    </row>
    <row r="50" spans="1:27" x14ac:dyDescent="0.25">
      <c r="A50" s="10" t="s">
        <v>977</v>
      </c>
      <c r="B50" s="10" t="s">
        <v>978</v>
      </c>
      <c r="C50" s="13">
        <f>_xll.BDH("GILD US Equity","ARD_TOTAL_SHAREHOLDERS_EQUITY","FQ4 2018","FQ4 2018","Currency=USD","Period=FQ","BEST_FPERIOD_OVERRIDE=FQ","FILING_STATUS=MR","SCALING_FORMAT=MLN","Sort=A","Dates=H","DateFormat=P","Fill=—","Direction=H","UseDPDF=Y")</f>
        <v>21534</v>
      </c>
      <c r="D50" s="13">
        <f>_xll.BDH("GILD US Equity","ARD_TOTAL_SHAREHOLDERS_EQUITY","FQ1 2019","FQ1 2019","Currency=USD","Period=FQ","BEST_FPERIOD_OVERRIDE=FQ","FILING_STATUS=MR","SCALING_FORMAT=MLN","Sort=A","Dates=H","DateFormat=P","Fill=—","Direction=H","UseDPDF=Y")</f>
        <v>22091</v>
      </c>
      <c r="E50" s="13">
        <f>_xll.BDH("GILD US Equity","ARD_TOTAL_SHAREHOLDERS_EQUITY","FQ2 2019","FQ2 2019","Currency=USD","Period=FQ","BEST_FPERIOD_OVERRIDE=FQ","FILING_STATUS=MR","SCALING_FORMAT=MLN","Sort=A","Dates=H","DateFormat=P","Fill=—","Direction=H","UseDPDF=Y")</f>
        <v>22751</v>
      </c>
      <c r="F50" s="13">
        <f>_xll.BDH("GILD US Equity","ARD_TOTAL_SHAREHOLDERS_EQUITY","FQ3 2019","FQ3 2019","Currency=USD","Period=FQ","BEST_FPERIOD_OVERRIDE=FQ","FILING_STATUS=MR","SCALING_FORMAT=MLN","Sort=A","Dates=H","DateFormat=P","Fill=—","Direction=H","UseDPDF=Y")</f>
        <v>20736</v>
      </c>
      <c r="G50" s="13">
        <f>_xll.BDH("GILD US Equity","ARD_TOTAL_SHAREHOLDERS_EQUITY","FQ4 2019","FQ4 2019","Currency=USD","Period=FQ","BEST_FPERIOD_OVERRIDE=FQ","FILING_STATUS=MR","SCALING_FORMAT=MLN","Sort=A","Dates=H","DateFormat=P","Fill=—","Direction=H","UseDPDF=Y")</f>
        <v>22650</v>
      </c>
      <c r="H50" s="13">
        <f>_xll.BDH("GILD US Equity","ARD_TOTAL_SHAREHOLDERS_EQUITY","FQ1 2020","FQ1 2020","Currency=USD","Period=FQ","BEST_FPERIOD_OVERRIDE=FQ","FILING_STATUS=MR","SCALING_FORMAT=MLN","Sort=A","Dates=H","DateFormat=P","Fill=—","Direction=H","UseDPDF=Y")</f>
        <v>22179</v>
      </c>
      <c r="I50" s="13">
        <f>_xll.BDH("GILD US Equity","ARD_TOTAL_SHAREHOLDERS_EQUITY","FQ2 2020","FQ2 2020","Currency=USD","Period=FQ","BEST_FPERIOD_OVERRIDE=FQ","FILING_STATUS=MR","SCALING_FORMAT=MLN","Sort=A","Dates=H","DateFormat=P","Fill=—","Direction=H","UseDPDF=Y")</f>
        <v>18142</v>
      </c>
      <c r="J50" s="13">
        <f>_xll.BDH("GILD US Equity","ARD_TOTAL_SHAREHOLDERS_EQUITY","FQ3 2020","FQ3 2020","Currency=USD","Period=FQ","BEST_FPERIOD_OVERRIDE=FQ","FILING_STATUS=MR","SCALING_FORMAT=MLN","Sort=A","Dates=H","DateFormat=P","Fill=—","Direction=H","UseDPDF=Y")</f>
        <v>17471</v>
      </c>
      <c r="K50" s="13">
        <f>_xll.BDH("GILD US Equity","ARD_TOTAL_SHAREHOLDERS_EQUITY","FQ4 2020","FQ4 2020","Currency=USD","Period=FQ","BEST_FPERIOD_OVERRIDE=FQ","FILING_STATUS=MR","SCALING_FORMAT=MLN","Sort=A","Dates=H","DateFormat=P","Fill=—","Direction=H","UseDPDF=Y")</f>
        <v>18221</v>
      </c>
      <c r="L50" s="13">
        <f>_xll.BDH("GILD US Equity","ARD_TOTAL_SHAREHOLDERS_EQUITY","FQ1 2021","FQ1 2021","Currency=USD","Period=FQ","BEST_FPERIOD_OVERRIDE=FQ","FILING_STATUS=MR","SCALING_FORMAT=MLN","Sort=A","Dates=H","DateFormat=P","Fill=—","Direction=H","UseDPDF=Y")</f>
        <v>18964</v>
      </c>
      <c r="M50" s="13">
        <f>_xll.BDH("GILD US Equity","ARD_TOTAL_SHAREHOLDERS_EQUITY","FQ2 2021","FQ2 2021","Currency=USD","Period=FQ","BEST_FPERIOD_OVERRIDE=FQ","FILING_STATUS=MR","SCALING_FORMAT=MLN","Sort=A","Dates=H","DateFormat=P","Fill=—","Direction=H","UseDPDF=Y")</f>
        <v>19710</v>
      </c>
      <c r="N50" s="13">
        <f>_xll.BDH("GILD US Equity","ARD_TOTAL_SHAREHOLDERS_EQUITY","FQ3 2021","FQ3 2021","Currency=USD","Period=FQ","BEST_FPERIOD_OVERRIDE=FQ","FILING_STATUS=MR","SCALING_FORMAT=MLN","Sort=A","Dates=H","DateFormat=P","Fill=—","Direction=H","UseDPDF=Y")</f>
        <v>21471</v>
      </c>
      <c r="O50" s="13">
        <f>_xll.BDH("GILD US Equity","ARD_TOTAL_SHAREHOLDERS_EQUITY","FQ4 2021","FQ4 2021","Currency=USD","Period=FQ","BEST_FPERIOD_OVERRIDE=FQ","FILING_STATUS=MR","SCALING_FORMAT=MLN","Sort=A","Dates=H","DateFormat=P","Fill=—","Direction=H","UseDPDF=Y")</f>
        <v>21064</v>
      </c>
      <c r="P50" s="13">
        <f>_xll.BDH("GILD US Equity","ARD_TOTAL_SHAREHOLDERS_EQUITY","FQ1 2022","FQ1 2022","Currency=USD","Period=FQ","BEST_FPERIOD_OVERRIDE=FQ","FILING_STATUS=MR","SCALING_FORMAT=MLN","Sort=A","Dates=H","DateFormat=P","Fill=—","Direction=H","UseDPDF=Y")</f>
        <v>19915</v>
      </c>
      <c r="Q50" s="13">
        <f>_xll.BDH("GILD US Equity","ARD_TOTAL_SHAREHOLDERS_EQUITY","FQ2 2022","FQ2 2022","Currency=USD","Period=FQ","BEST_FPERIOD_OVERRIDE=FQ","FILING_STATUS=MR","SCALING_FORMAT=MLN","Sort=A","Dates=H","DateFormat=P","Fill=—","Direction=H","UseDPDF=Y")</f>
        <v>20215</v>
      </c>
      <c r="R50" s="13">
        <f>_xll.BDH("GILD US Equity","ARD_TOTAL_SHAREHOLDERS_EQUITY","FQ3 2022","FQ3 2022","Currency=USD","Period=FQ","BEST_FPERIOD_OVERRIDE=FQ","FILING_STATUS=MR","SCALING_FORMAT=MLN","Sort=A","Dates=H","DateFormat=P","Fill=—","Direction=H","UseDPDF=Y")</f>
        <v>21057</v>
      </c>
      <c r="S50" s="13">
        <f>_xll.BDH("GILD US Equity","ARD_TOTAL_SHAREHOLDERS_EQUITY","FQ4 2022","FQ4 2022","Currency=USD","Period=FQ","BEST_FPERIOD_OVERRIDE=FQ","FILING_STATUS=MR","SCALING_FORMAT=MLN","Sort=A","Dates=H","DateFormat=P","Fill=—","Direction=H","UseDPDF=Y")</f>
        <v>21209</v>
      </c>
      <c r="T50" s="13">
        <f>_xll.BDH("GILD US Equity","ARD_TOTAL_SHAREHOLDERS_EQUITY","FQ1 2023","FQ1 2023","Currency=USD","Period=FQ","BEST_FPERIOD_OVERRIDE=FQ","FILING_STATUS=MR","SCALING_FORMAT=MLN","Sort=A","Dates=H","DateFormat=P","Fill=—","Direction=H","UseDPDF=Y")</f>
        <v>20939</v>
      </c>
      <c r="U50" s="13">
        <f>_xll.BDH("GILD US Equity","ARD_TOTAL_SHAREHOLDERS_EQUITY","FQ2 2023","FQ2 2023","Currency=USD","Period=FQ","BEST_FPERIOD_OVERRIDE=FQ","FILING_STATUS=MR","SCALING_FORMAT=MLN","Sort=A","Dates=H","DateFormat=P","Fill=—","Direction=H","UseDPDF=Y")</f>
        <v>21094</v>
      </c>
      <c r="V50" s="13">
        <f>_xll.BDH("GILD US Equity","ARD_TOTAL_SHAREHOLDERS_EQUITY","FQ3 2023","FQ3 2023","Currency=USD","Period=FQ","BEST_FPERIOD_OVERRIDE=FQ","FILING_STATUS=MR","SCALING_FORMAT=MLN","Sort=A","Dates=H","DateFormat=P","Fill=—","Direction=H","UseDPDF=Y")</f>
        <v>22243</v>
      </c>
      <c r="W50" s="13">
        <f>_xll.BDH("GILD US Equity","ARD_TOTAL_SHAREHOLDERS_EQUITY","FQ4 2023","FQ4 2023","Currency=USD","Period=FQ","BEST_FPERIOD_OVERRIDE=FQ","FILING_STATUS=MR","SCALING_FORMAT=MLN","Sort=A","Dates=H","DateFormat=P","Fill=—","Direction=H","UseDPDF=Y")</f>
        <v>22749</v>
      </c>
      <c r="X50" s="13">
        <f>_xll.BDH("GILD US Equity","ARD_TOTAL_SHAREHOLDERS_EQUITY","FQ1 2024","FQ1 2024","Currency=USD","Period=FQ","BEST_FPERIOD_OVERRIDE=FQ","FILING_STATUS=MR","SCALING_FORMAT=MLN","Sort=A","Dates=H","DateFormat=P","Fill=—","Direction=H","UseDPDF=Y")</f>
        <v>17455</v>
      </c>
      <c r="Y50" s="13">
        <f>_xll.BDH("GILD US Equity","ARD_TOTAL_SHAREHOLDERS_EQUITY","FQ2 2024","FQ2 2024","Currency=USD","Period=FQ","BEST_FPERIOD_OVERRIDE=FQ","FILING_STATUS=MR","SCALING_FORMAT=MLN","Sort=A","Dates=H","DateFormat=P","Fill=—","Direction=H","UseDPDF=Y")</f>
        <v>18197</v>
      </c>
      <c r="Z50" s="13">
        <f>_xll.BDH("GILD US Equity","ARD_TOTAL_SHAREHOLDERS_EQUITY","FQ3 2024","FQ3 2024","Currency=USD","Period=FQ","BEST_FPERIOD_OVERRIDE=FQ","FILING_STATUS=MR","SCALING_FORMAT=MLN","Sort=A","Dates=H","DateFormat=P","Fill=—","Direction=H","UseDPDF=Y")</f>
        <v>18390</v>
      </c>
      <c r="AA50" s="13">
        <f>_xll.BDH("GILD US Equity","ARD_TOTAL_SHAREHOLDERS_EQUITY","FQ4 2024","FQ4 2024","Currency=USD","Period=FQ","BEST_FPERIOD_OVERRIDE=FQ","FILING_STATUS=MR","SCALING_FORMAT=MLN","Sort=A","Dates=H","DateFormat=P","Fill=—","Direction=H","UseDPDF=Y")</f>
        <v>19246</v>
      </c>
    </row>
    <row r="51" spans="1:27" x14ac:dyDescent="0.25">
      <c r="A51" s="10" t="s">
        <v>979</v>
      </c>
      <c r="B51" s="10" t="s">
        <v>980</v>
      </c>
      <c r="C51" s="13">
        <f>_xll.BDH("GILD US Equity","ARD_SHARES_AUTHORIZED","FQ4 2018","FQ4 2018","Currency=USD","Period=FQ","BEST_FPERIOD_OVERRIDE=FQ","FILING_STATUS=MR","SCALING_FORMAT=MLN","Sort=A","Dates=H","DateFormat=P","Fill=—","Direction=H","UseDPDF=Y")</f>
        <v>5600</v>
      </c>
      <c r="D51" s="13">
        <f>_xll.BDH("GILD US Equity","ARD_SHARES_AUTHORIZED","FQ1 2019","FQ1 2019","Currency=USD","Period=FQ","BEST_FPERIOD_OVERRIDE=FQ","FILING_STATUS=MR","SCALING_FORMAT=MLN","Sort=A","Dates=H","DateFormat=P","Fill=—","Direction=H","UseDPDF=Y")</f>
        <v>5600</v>
      </c>
      <c r="E51" s="13">
        <f>_xll.BDH("GILD US Equity","ARD_SHARES_AUTHORIZED","FQ2 2019","FQ2 2019","Currency=USD","Period=FQ","BEST_FPERIOD_OVERRIDE=FQ","FILING_STATUS=MR","SCALING_FORMAT=MLN","Sort=A","Dates=H","DateFormat=P","Fill=—","Direction=H","UseDPDF=Y")</f>
        <v>5600</v>
      </c>
      <c r="F51" s="13">
        <f>_xll.BDH("GILD US Equity","ARD_SHARES_AUTHORIZED","FQ3 2019","FQ3 2019","Currency=USD","Period=FQ","BEST_FPERIOD_OVERRIDE=FQ","FILING_STATUS=MR","SCALING_FORMAT=MLN","Sort=A","Dates=H","DateFormat=P","Fill=—","Direction=H","UseDPDF=Y")</f>
        <v>5600</v>
      </c>
      <c r="G51" s="13">
        <f>_xll.BDH("GILD US Equity","ARD_SHARES_AUTHORIZED","FQ4 2019","FQ4 2019","Currency=USD","Period=FQ","BEST_FPERIOD_OVERRIDE=FQ","FILING_STATUS=MR","SCALING_FORMAT=MLN","Sort=A","Dates=H","DateFormat=P","Fill=—","Direction=H","UseDPDF=Y")</f>
        <v>5600</v>
      </c>
      <c r="H51" s="13">
        <f>_xll.BDH("GILD US Equity","ARD_SHARES_AUTHORIZED","FQ1 2020","FQ1 2020","Currency=USD","Period=FQ","BEST_FPERIOD_OVERRIDE=FQ","FILING_STATUS=MR","SCALING_FORMAT=MLN","Sort=A","Dates=H","DateFormat=P","Fill=—","Direction=H","UseDPDF=Y")</f>
        <v>5600</v>
      </c>
      <c r="I51" s="13">
        <f>_xll.BDH("GILD US Equity","ARD_SHARES_AUTHORIZED","FQ2 2020","FQ2 2020","Currency=USD","Period=FQ","BEST_FPERIOD_OVERRIDE=FQ","FILING_STATUS=MR","SCALING_FORMAT=MLN","Sort=A","Dates=H","DateFormat=P","Fill=—","Direction=H","UseDPDF=Y")</f>
        <v>5600</v>
      </c>
      <c r="J51" s="13">
        <f>_xll.BDH("GILD US Equity","ARD_SHARES_AUTHORIZED","FQ3 2020","FQ3 2020","Currency=USD","Period=FQ","BEST_FPERIOD_OVERRIDE=FQ","FILING_STATUS=MR","SCALING_FORMAT=MLN","Sort=A","Dates=H","DateFormat=P","Fill=—","Direction=H","UseDPDF=Y")</f>
        <v>5600</v>
      </c>
      <c r="K51" s="13">
        <f>_xll.BDH("GILD US Equity","ARD_SHARES_AUTHORIZED","FQ4 2020","FQ4 2020","Currency=USD","Period=FQ","BEST_FPERIOD_OVERRIDE=FQ","FILING_STATUS=MR","SCALING_FORMAT=MLN","Sort=A","Dates=H","DateFormat=P","Fill=—","Direction=H","UseDPDF=Y")</f>
        <v>5600</v>
      </c>
      <c r="L51" s="13">
        <f>_xll.BDH("GILD US Equity","ARD_SHARES_AUTHORIZED","FQ1 2021","FQ1 2021","Currency=USD","Period=FQ","BEST_FPERIOD_OVERRIDE=FQ","FILING_STATUS=MR","SCALING_FORMAT=MLN","Sort=A","Dates=H","DateFormat=P","Fill=—","Direction=H","UseDPDF=Y")</f>
        <v>5600</v>
      </c>
      <c r="M51" s="13">
        <f>_xll.BDH("GILD US Equity","ARD_SHARES_AUTHORIZED","FQ2 2021","FQ2 2021","Currency=USD","Period=FQ","BEST_FPERIOD_OVERRIDE=FQ","FILING_STATUS=MR","SCALING_FORMAT=MLN","Sort=A","Dates=H","DateFormat=P","Fill=—","Direction=H","UseDPDF=Y")</f>
        <v>5600</v>
      </c>
      <c r="N51" s="13">
        <f>_xll.BDH("GILD US Equity","ARD_SHARES_AUTHORIZED","FQ3 2021","FQ3 2021","Currency=USD","Period=FQ","BEST_FPERIOD_OVERRIDE=FQ","FILING_STATUS=MR","SCALING_FORMAT=MLN","Sort=A","Dates=H","DateFormat=P","Fill=—","Direction=H","UseDPDF=Y")</f>
        <v>5600</v>
      </c>
      <c r="O51" s="13">
        <f>_xll.BDH("GILD US Equity","ARD_SHARES_AUTHORIZED","FQ4 2021","FQ4 2021","Currency=USD","Period=FQ","BEST_FPERIOD_OVERRIDE=FQ","FILING_STATUS=MR","SCALING_FORMAT=MLN","Sort=A","Dates=H","DateFormat=P","Fill=—","Direction=H","UseDPDF=Y")</f>
        <v>5600</v>
      </c>
      <c r="P51" s="13">
        <f>_xll.BDH("GILD US Equity","ARD_SHARES_AUTHORIZED","FQ1 2022","FQ1 2022","Currency=USD","Period=FQ","BEST_FPERIOD_OVERRIDE=FQ","FILING_STATUS=MR","SCALING_FORMAT=MLN","Sort=A","Dates=H","DateFormat=P","Fill=—","Direction=H","UseDPDF=Y")</f>
        <v>5600</v>
      </c>
      <c r="Q51" s="13">
        <f>_xll.BDH("GILD US Equity","ARD_SHARES_AUTHORIZED","FQ2 2022","FQ2 2022","Currency=USD","Period=FQ","BEST_FPERIOD_OVERRIDE=FQ","FILING_STATUS=MR","SCALING_FORMAT=MLN","Sort=A","Dates=H","DateFormat=P","Fill=—","Direction=H","UseDPDF=Y")</f>
        <v>5600</v>
      </c>
      <c r="R51" s="13">
        <f>_xll.BDH("GILD US Equity","ARD_SHARES_AUTHORIZED","FQ3 2022","FQ3 2022","Currency=USD","Period=FQ","BEST_FPERIOD_OVERRIDE=FQ","FILING_STATUS=MR","SCALING_FORMAT=MLN","Sort=A","Dates=H","DateFormat=P","Fill=—","Direction=H","UseDPDF=Y")</f>
        <v>5600</v>
      </c>
      <c r="S51" s="13">
        <f>_xll.BDH("GILD US Equity","ARD_SHARES_AUTHORIZED","FQ4 2022","FQ4 2022","Currency=USD","Period=FQ","BEST_FPERIOD_OVERRIDE=FQ","FILING_STATUS=MR","SCALING_FORMAT=MLN","Sort=A","Dates=H","DateFormat=P","Fill=—","Direction=H","UseDPDF=Y")</f>
        <v>5600</v>
      </c>
      <c r="T51" s="13">
        <f>_xll.BDH("GILD US Equity","ARD_SHARES_AUTHORIZED","FQ1 2023","FQ1 2023","Currency=USD","Period=FQ","BEST_FPERIOD_OVERRIDE=FQ","FILING_STATUS=MR","SCALING_FORMAT=MLN","Sort=A","Dates=H","DateFormat=P","Fill=—","Direction=H","UseDPDF=Y")</f>
        <v>5600</v>
      </c>
      <c r="U51" s="13">
        <f>_xll.BDH("GILD US Equity","ARD_SHARES_AUTHORIZED","FQ2 2023","FQ2 2023","Currency=USD","Period=FQ","BEST_FPERIOD_OVERRIDE=FQ","FILING_STATUS=MR","SCALING_FORMAT=MLN","Sort=A","Dates=H","DateFormat=P","Fill=—","Direction=H","UseDPDF=Y")</f>
        <v>5600</v>
      </c>
      <c r="V51" s="13">
        <f>_xll.BDH("GILD US Equity","ARD_SHARES_AUTHORIZED","FQ3 2023","FQ3 2023","Currency=USD","Period=FQ","BEST_FPERIOD_OVERRIDE=FQ","FILING_STATUS=MR","SCALING_FORMAT=MLN","Sort=A","Dates=H","DateFormat=P","Fill=—","Direction=H","UseDPDF=Y")</f>
        <v>5600</v>
      </c>
      <c r="W51" s="13">
        <f>_xll.BDH("GILD US Equity","ARD_SHARES_AUTHORIZED","FQ4 2023","FQ4 2023","Currency=USD","Period=FQ","BEST_FPERIOD_OVERRIDE=FQ","FILING_STATUS=MR","SCALING_FORMAT=MLN","Sort=A","Dates=H","DateFormat=P","Fill=—","Direction=H","UseDPDF=Y")</f>
        <v>5600</v>
      </c>
      <c r="X51" s="13">
        <f>_xll.BDH("GILD US Equity","ARD_SHARES_AUTHORIZED","FQ1 2024","FQ1 2024","Currency=USD","Period=FQ","BEST_FPERIOD_OVERRIDE=FQ","FILING_STATUS=MR","SCALING_FORMAT=MLN","Sort=A","Dates=H","DateFormat=P","Fill=—","Direction=H","UseDPDF=Y")</f>
        <v>5600</v>
      </c>
      <c r="Y51" s="13">
        <f>_xll.BDH("GILD US Equity","ARD_SHARES_AUTHORIZED","FQ2 2024","FQ2 2024","Currency=USD","Period=FQ","BEST_FPERIOD_OVERRIDE=FQ","FILING_STATUS=MR","SCALING_FORMAT=MLN","Sort=A","Dates=H","DateFormat=P","Fill=—","Direction=H","UseDPDF=Y")</f>
        <v>5600</v>
      </c>
      <c r="Z51" s="13">
        <f>_xll.BDH("GILD US Equity","ARD_SHARES_AUTHORIZED","FQ3 2024","FQ3 2024","Currency=USD","Period=FQ","BEST_FPERIOD_OVERRIDE=FQ","FILING_STATUS=MR","SCALING_FORMAT=MLN","Sort=A","Dates=H","DateFormat=P","Fill=—","Direction=H","UseDPDF=Y")</f>
        <v>5600</v>
      </c>
      <c r="AA51" s="13">
        <f>_xll.BDH("GILD US Equity","ARD_SHARES_AUTHORIZED","FQ4 2024","FQ4 2024","Currency=USD","Period=FQ","BEST_FPERIOD_OVERRIDE=FQ","FILING_STATUS=MR","SCALING_FORMAT=MLN","Sort=A","Dates=H","DateFormat=P","Fill=—","Direction=H","UseDPDF=Y")</f>
        <v>5600</v>
      </c>
    </row>
    <row r="52" spans="1:27" x14ac:dyDescent="0.25">
      <c r="A52" s="10" t="s">
        <v>981</v>
      </c>
      <c r="B52" s="10" t="s">
        <v>982</v>
      </c>
      <c r="C52" s="13">
        <f>_xll.BDH("GILD US Equity","ARD_TOT_SHARE_EQY_EXCL_MINORITY","FQ4 2018","FQ4 2018","Currency=USD","Period=FQ","BEST_FPERIOD_OVERRIDE=FQ","FILING_STATUS=MR","SCALING_FORMAT=MLN","Sort=A","Dates=H","DateFormat=P","Fill=—","Direction=H","UseDPDF=Y")</f>
        <v>21387</v>
      </c>
      <c r="D52" s="13">
        <f>_xll.BDH("GILD US Equity","ARD_TOT_SHARE_EQY_EXCL_MINORITY","FQ1 2019","FQ1 2019","Currency=USD","Period=FQ","BEST_FPERIOD_OVERRIDE=FQ","FILING_STATUS=MR","SCALING_FORMAT=MLN","Sort=A","Dates=H","DateFormat=P","Fill=—","Direction=H","UseDPDF=Y")</f>
        <v>21951</v>
      </c>
      <c r="E52" s="13">
        <f>_xll.BDH("GILD US Equity","ARD_TOT_SHARE_EQY_EXCL_MINORITY","FQ2 2019","FQ2 2019","Currency=USD","Period=FQ","BEST_FPERIOD_OVERRIDE=FQ","FILING_STATUS=MR","SCALING_FORMAT=MLN","Sort=A","Dates=H","DateFormat=P","Fill=—","Direction=H","UseDPDF=Y")</f>
        <v>22616</v>
      </c>
      <c r="F52" s="13">
        <f>_xll.BDH("GILD US Equity","ARD_TOT_SHARE_EQY_EXCL_MINORITY","FQ3 2019","FQ3 2019","Currency=USD","Period=FQ","BEST_FPERIOD_OVERRIDE=FQ","FILING_STATUS=MR","SCALING_FORMAT=MLN","Sort=A","Dates=H","DateFormat=P","Fill=—","Direction=H","UseDPDF=Y")</f>
        <v>20604</v>
      </c>
      <c r="G52" s="13">
        <f>_xll.BDH("GILD US Equity","ARD_TOT_SHARE_EQY_EXCL_MINORITY","FQ4 2019","FQ4 2019","Currency=USD","Period=FQ","BEST_FPERIOD_OVERRIDE=FQ","FILING_STATUS=MR","SCALING_FORMAT=MLN","Sort=A","Dates=H","DateFormat=P","Fill=—","Direction=H","UseDPDF=Y")</f>
        <v>22525</v>
      </c>
      <c r="H52" s="13">
        <f>_xll.BDH("GILD US Equity","ARD_TOT_SHARE_EQY_EXCL_MINORITY","FQ1 2020","FQ1 2020","Currency=USD","Period=FQ","BEST_FPERIOD_OVERRIDE=FQ","FILING_STATUS=MR","SCALING_FORMAT=MLN","Sort=A","Dates=H","DateFormat=P","Fill=—","Direction=H","UseDPDF=Y")</f>
        <v>22067</v>
      </c>
      <c r="I52" s="13">
        <f>_xll.BDH("GILD US Equity","ARD_TOT_SHARE_EQY_EXCL_MINORITY","FQ2 2020","FQ2 2020","Currency=USD","Period=FQ","BEST_FPERIOD_OVERRIDE=FQ","FILING_STATUS=MR","SCALING_FORMAT=MLN","Sort=A","Dates=H","DateFormat=P","Fill=—","Direction=H","UseDPDF=Y")</f>
        <v>18027</v>
      </c>
      <c r="J52" s="13">
        <f>_xll.BDH("GILD US Equity","ARD_TOT_SHARE_EQY_EXCL_MINORITY","FQ3 2020","FQ3 2020","Currency=USD","Period=FQ","BEST_FPERIOD_OVERRIDE=FQ","FILING_STATUS=MR","SCALING_FORMAT=MLN","Sort=A","Dates=H","DateFormat=P","Fill=—","Direction=H","UseDPDF=Y")</f>
        <v>17445</v>
      </c>
      <c r="K52" s="13">
        <f>_xll.BDH("GILD US Equity","ARD_TOT_SHARE_EQY_EXCL_MINORITY","FQ4 2020","FQ4 2020","Currency=USD","Period=FQ","BEST_FPERIOD_OVERRIDE=FQ","FILING_STATUS=MR","SCALING_FORMAT=MLN","Sort=A","Dates=H","DateFormat=P","Fill=—","Direction=H","UseDPDF=Y")</f>
        <v>18202</v>
      </c>
      <c r="L52" s="13">
        <f>_xll.BDH("GILD US Equity","ARD_TOT_SHARE_EQY_EXCL_MINORITY","FQ1 2021","FQ1 2021","Currency=USD","Period=FQ","BEST_FPERIOD_OVERRIDE=FQ","FILING_STATUS=MR","SCALING_FORMAT=MLN","Sort=A","Dates=H","DateFormat=P","Fill=—","Direction=H","UseDPDF=Y")</f>
        <v>18952</v>
      </c>
      <c r="M52" s="13">
        <f>_xll.BDH("GILD US Equity","ARD_TOT_SHARE_EQY_EXCL_MINORITY","FQ2 2021","FQ2 2021","Currency=USD","Period=FQ","BEST_FPERIOD_OVERRIDE=FQ","FILING_STATUS=MR","SCALING_FORMAT=MLN","Sort=A","Dates=H","DateFormat=P","Fill=—","Direction=H","UseDPDF=Y")</f>
        <v>19703</v>
      </c>
      <c r="N52" s="13">
        <f>_xll.BDH("GILD US Equity","ARD_TOT_SHARE_EQY_EXCL_MINORITY","FQ3 2021","FQ3 2021","Currency=USD","Period=FQ","BEST_FPERIOD_OVERRIDE=FQ","FILING_STATUS=MR","SCALING_FORMAT=MLN","Sort=A","Dates=H","DateFormat=P","Fill=—","Direction=H","UseDPDF=Y")</f>
        <v>21470</v>
      </c>
      <c r="O52" s="13">
        <f>_xll.BDH("GILD US Equity","ARD_TOT_SHARE_EQY_EXCL_MINORITY","FQ4 2021","FQ4 2021","Currency=USD","Period=FQ","BEST_FPERIOD_OVERRIDE=FQ","FILING_STATUS=MR","SCALING_FORMAT=MLN","Sort=A","Dates=H","DateFormat=P","Fill=—","Direction=H","UseDPDF=Y")</f>
        <v>21069</v>
      </c>
      <c r="P52" s="13">
        <f>_xll.BDH("GILD US Equity","ARD_TOT_SHARE_EQY_EXCL_MINORITY","FQ1 2022","FQ1 2022","Currency=USD","Period=FQ","BEST_FPERIOD_OVERRIDE=FQ","FILING_STATUS=MR","SCALING_FORMAT=MLN","Sort=A","Dates=H","DateFormat=P","Fill=—","Direction=H","UseDPDF=Y")</f>
        <v>19927</v>
      </c>
      <c r="Q52" s="13">
        <f>_xll.BDH("GILD US Equity","ARD_TOT_SHARE_EQY_EXCL_MINORITY","FQ2 2022","FQ2 2022","Currency=USD","Period=FQ","BEST_FPERIOD_OVERRIDE=FQ","FILING_STATUS=MR","SCALING_FORMAT=MLN","Sort=A","Dates=H","DateFormat=P","Fill=—","Direction=H","UseDPDF=Y")</f>
        <v>20236</v>
      </c>
      <c r="R52" s="13">
        <f>_xll.BDH("GILD US Equity","ARD_TOT_SHARE_EQY_EXCL_MINORITY","FQ3 2022","FQ3 2022","Currency=USD","Period=FQ","BEST_FPERIOD_OVERRIDE=FQ","FILING_STATUS=MR","SCALING_FORMAT=MLN","Sort=A","Dates=H","DateFormat=P","Fill=—","Direction=H","UseDPDF=Y")</f>
        <v>21081</v>
      </c>
      <c r="S52" s="13">
        <f>_xll.BDH("GILD US Equity","ARD_TOT_SHARE_EQY_EXCL_MINORITY","FQ4 2022","FQ4 2022","Currency=USD","Period=FQ","BEST_FPERIOD_OVERRIDE=FQ","FILING_STATUS=MR","SCALING_FORMAT=MLN","Sort=A","Dates=H","DateFormat=P","Fill=—","Direction=H","UseDPDF=Y")</f>
        <v>21240</v>
      </c>
      <c r="T52" s="13">
        <f>_xll.BDH("GILD US Equity","ARD_TOT_SHARE_EQY_EXCL_MINORITY","FQ1 2023","FQ1 2023","Currency=USD","Period=FQ","BEST_FPERIOD_OVERRIDE=FQ","FILING_STATUS=MR","SCALING_FORMAT=MLN","Sort=A","Dates=H","DateFormat=P","Fill=—","Direction=H","UseDPDF=Y")</f>
        <v>20997</v>
      </c>
      <c r="U52" s="13">
        <f>_xll.BDH("GILD US Equity","ARD_TOT_SHARE_EQY_EXCL_MINORITY","FQ2 2023","FQ2 2023","Currency=USD","Period=FQ","BEST_FPERIOD_OVERRIDE=FQ","FILING_STATUS=MR","SCALING_FORMAT=MLN","Sort=A","Dates=H","DateFormat=P","Fill=—","Direction=H","UseDPDF=Y")</f>
        <v>21158</v>
      </c>
      <c r="V52" s="13">
        <f>_xll.BDH("GILD US Equity","ARD_TOT_SHARE_EQY_EXCL_MINORITY","FQ3 2023","FQ3 2023","Currency=USD","Period=FQ","BEST_FPERIOD_OVERRIDE=FQ","FILING_STATUS=MR","SCALING_FORMAT=MLN","Sort=A","Dates=H","DateFormat=P","Fill=—","Direction=H","UseDPDF=Y")</f>
        <v>22314</v>
      </c>
      <c r="W52" s="13">
        <f>_xll.BDH("GILD US Equity","ARD_TOT_SHARE_EQY_EXCL_MINORITY","FQ4 2023","FQ4 2023","Currency=USD","Period=FQ","BEST_FPERIOD_OVERRIDE=FQ","FILING_STATUS=MR","SCALING_FORMAT=MLN","Sort=A","Dates=H","DateFormat=P","Fill=—","Direction=H","UseDPDF=Y")</f>
        <v>22833</v>
      </c>
      <c r="X52" s="13">
        <f>_xll.BDH("GILD US Equity","ARD_TOT_SHARE_EQY_EXCL_MINORITY","FQ1 2024","FQ1 2024","Currency=USD","Period=FQ","BEST_FPERIOD_OVERRIDE=FQ","FILING_STATUS=MR","SCALING_FORMAT=MLN","Sort=A","Dates=H","DateFormat=P","Fill=—","Direction=H","UseDPDF=Y")</f>
        <v>17539</v>
      </c>
      <c r="Y52" s="13">
        <f>_xll.BDH("GILD US Equity","ARD_TOT_SHARE_EQY_EXCL_MINORITY","FQ2 2024","FQ2 2024","Currency=USD","Period=FQ","BEST_FPERIOD_OVERRIDE=FQ","FILING_STATUS=MR","SCALING_FORMAT=MLN","Sort=A","Dates=H","DateFormat=P","Fill=—","Direction=H","UseDPDF=Y")</f>
        <v>18281</v>
      </c>
      <c r="Z52" s="13">
        <f>_xll.BDH("GILD US Equity","ARD_TOT_SHARE_EQY_EXCL_MINORITY","FQ3 2024","FQ3 2024","Currency=USD","Period=FQ","BEST_FPERIOD_OVERRIDE=FQ","FILING_STATUS=MR","SCALING_FORMAT=MLN","Sort=A","Dates=H","DateFormat=P","Fill=—","Direction=H","UseDPDF=Y")</f>
        <v>18475</v>
      </c>
      <c r="AA52" s="13">
        <f>_xll.BDH("GILD US Equity","ARD_TOT_SHARE_EQY_EXCL_MINORITY","FQ4 2024","FQ4 2024","Currency=USD","Period=FQ","BEST_FPERIOD_OVERRIDE=FQ","FILING_STATUS=MR","SCALING_FORMAT=MLN","Sort=A","Dates=H","DateFormat=P","Fill=—","Direction=H","UseDPDF=Y")</f>
        <v>19330</v>
      </c>
    </row>
    <row r="53" spans="1:27" x14ac:dyDescent="0.25">
      <c r="A53" s="6" t="s">
        <v>983</v>
      </c>
      <c r="B53" s="6" t="s">
        <v>984</v>
      </c>
      <c r="C53" s="19">
        <f>_xll.BDH("GILD US Equity","ARD_TOT_LIAB_AND_SHAREHOLDER_EQY","FQ4 2018","FQ4 2018","Currency=USD","Period=FQ","BEST_FPERIOD_OVERRIDE=FQ","FILING_STATUS=MR","SCALING_FORMAT=MLN","Sort=A","Dates=H","DateFormat=P","Fill=—","Direction=H","UseDPDF=Y")</f>
        <v>63675</v>
      </c>
      <c r="D53" s="19">
        <f>_xll.BDH("GILD US Equity","ARD_TOT_LIAB_AND_SHAREHOLDER_EQY","FQ1 2019","FQ1 2019","Currency=USD","Period=FQ","BEST_FPERIOD_OVERRIDE=FQ","FILING_STATUS=MR","SCALING_FORMAT=MLN","Sort=A","Dates=H","DateFormat=P","Fill=—","Direction=H","UseDPDF=Y")</f>
        <v>62837</v>
      </c>
      <c r="E53" s="19">
        <f>_xll.BDH("GILD US Equity","ARD_TOT_LIAB_AND_SHAREHOLDER_EQY","FQ2 2019","FQ2 2019","Currency=USD","Period=FQ","BEST_FPERIOD_OVERRIDE=FQ","FILING_STATUS=MR","SCALING_FORMAT=MLN","Sort=A","Dates=H","DateFormat=P","Fill=—","Direction=H","UseDPDF=Y")</f>
        <v>63210</v>
      </c>
      <c r="F53" s="19">
        <f>_xll.BDH("GILD US Equity","ARD_TOT_LIAB_AND_SHAREHOLDER_EQY","FQ3 2019","FQ3 2019","Currency=USD","Period=FQ","BEST_FPERIOD_OVERRIDE=FQ","FILING_STATUS=MR","SCALING_FORMAT=MLN","Sort=A","Dates=H","DateFormat=P","Fill=—","Direction=H","UseDPDF=Y")</f>
        <v>59146</v>
      </c>
      <c r="G53" s="19">
        <f>_xll.BDH("GILD US Equity","ARD_TOT_LIAB_AND_SHAREHOLDER_EQY","FQ4 2019","FQ4 2019","Currency=USD","Period=FQ","BEST_FPERIOD_OVERRIDE=FQ","FILING_STATUS=MR","SCALING_FORMAT=MLN","Sort=A","Dates=H","DateFormat=P","Fill=—","Direction=H","UseDPDF=Y")</f>
        <v>61627</v>
      </c>
      <c r="H53" s="19">
        <f>_xll.BDH("GILD US Equity","ARD_TOT_LIAB_AND_SHAREHOLDER_EQY","FQ1 2020","FQ1 2020","Currency=USD","Period=FQ","BEST_FPERIOD_OVERRIDE=FQ","FILING_STATUS=MR","SCALING_FORMAT=MLN","Sort=A","Dates=H","DateFormat=P","Fill=—","Direction=H","UseDPDF=Y")</f>
        <v>59741</v>
      </c>
      <c r="I53" s="19">
        <f>_xll.BDH("GILD US Equity","ARD_TOT_LIAB_AND_SHAREHOLDER_EQY","FQ2 2020","FQ2 2020","Currency=USD","Period=FQ","BEST_FPERIOD_OVERRIDE=FQ","FILING_STATUS=MR","SCALING_FORMAT=MLN","Sort=A","Dates=H","DateFormat=P","Fill=—","Direction=H","UseDPDF=Y")</f>
        <v>55934</v>
      </c>
      <c r="J53" s="19">
        <f>_xll.BDH("GILD US Equity","ARD_TOT_LIAB_AND_SHAREHOLDER_EQY","FQ3 2020","FQ3 2020","Currency=USD","Period=FQ","BEST_FPERIOD_OVERRIDE=FQ","FILING_STATUS=MR","SCALING_FORMAT=MLN","Sort=A","Dates=H","DateFormat=P","Fill=—","Direction=H","UseDPDF=Y")</f>
        <v>60878</v>
      </c>
      <c r="K53" s="19">
        <f>_xll.BDH("GILD US Equity","ARD_TOT_LIAB_AND_SHAREHOLDER_EQY","FQ4 2020","FQ4 2020","Currency=USD","Period=FQ","BEST_FPERIOD_OVERRIDE=FQ","FILING_STATUS=MR","SCALING_FORMAT=MLN","Sort=A","Dates=H","DateFormat=P","Fill=—","Direction=H","UseDPDF=Y")</f>
        <v>68407</v>
      </c>
      <c r="L53" s="19">
        <f>_xll.BDH("GILD US Equity","ARD_TOT_LIAB_AND_SHAREHOLDER_EQY","FQ1 2021","FQ1 2021","Currency=USD","Period=FQ","BEST_FPERIOD_OVERRIDE=FQ","FILING_STATUS=MR","SCALING_FORMAT=MLN","Sort=A","Dates=H","DateFormat=P","Fill=—","Direction=H","UseDPDF=Y")</f>
        <v>67492</v>
      </c>
      <c r="M53" s="19">
        <f>_xll.BDH("GILD US Equity","ARD_TOT_LIAB_AND_SHAREHOLDER_EQY","FQ2 2021","FQ2 2021","Currency=USD","Period=FQ","BEST_FPERIOD_OVERRIDE=FQ","FILING_STATUS=MR","SCALING_FORMAT=MLN","Sort=A","Dates=H","DateFormat=P","Fill=—","Direction=H","UseDPDF=Y")</f>
        <v>67984</v>
      </c>
      <c r="N53" s="19">
        <f>_xll.BDH("GILD US Equity","ARD_TOT_LIAB_AND_SHAREHOLDER_EQY","FQ3 2021","FQ3 2021","Currency=USD","Period=FQ","BEST_FPERIOD_OVERRIDE=FQ","FILING_STATUS=MR","SCALING_FORMAT=MLN","Sort=A","Dates=H","DateFormat=P","Fill=—","Direction=H","UseDPDF=Y")</f>
        <v>67098</v>
      </c>
      <c r="O53" s="19">
        <f>_xll.BDH("GILD US Equity","ARD_TOT_LIAB_AND_SHAREHOLDER_EQY","FQ4 2021","FQ4 2021","Currency=USD","Period=FQ","BEST_FPERIOD_OVERRIDE=FQ","FILING_STATUS=MR","SCALING_FORMAT=MLN","Sort=A","Dates=H","DateFormat=P","Fill=—","Direction=H","UseDPDF=Y")</f>
        <v>67952</v>
      </c>
      <c r="P53" s="19">
        <f>_xll.BDH("GILD US Equity","ARD_TOT_LIAB_AND_SHAREHOLDER_EQY","FQ1 2022","FQ1 2022","Currency=USD","Period=FQ","BEST_FPERIOD_OVERRIDE=FQ","FILING_STATUS=MR","SCALING_FORMAT=MLN","Sort=A","Dates=H","DateFormat=P","Fill=—","Direction=H","UseDPDF=Y")</f>
        <v>63080</v>
      </c>
      <c r="Q53" s="19">
        <f>_xll.BDH("GILD US Equity","ARD_TOT_LIAB_AND_SHAREHOLDER_EQY","FQ2 2022","FQ2 2022","Currency=USD","Period=FQ","BEST_FPERIOD_OVERRIDE=FQ","FILING_STATUS=MR","SCALING_FORMAT=MLN","Sort=A","Dates=H","DateFormat=P","Fill=—","Direction=H","UseDPDF=Y")</f>
        <v>62870</v>
      </c>
      <c r="R53" s="19">
        <f>_xll.BDH("GILD US Equity","ARD_TOT_LIAB_AND_SHAREHOLDER_EQY","FQ3 2022","FQ3 2022","Currency=USD","Period=FQ","BEST_FPERIOD_OVERRIDE=FQ","FILING_STATUS=MR","SCALING_FORMAT=MLN","Sort=A","Dates=H","DateFormat=P","Fill=—","Direction=H","UseDPDF=Y")</f>
        <v>62557</v>
      </c>
      <c r="S53" s="19">
        <f>_xll.BDH("GILD US Equity","ARD_TOT_LIAB_AND_SHAREHOLDER_EQY","FQ4 2022","FQ4 2022","Currency=USD","Period=FQ","BEST_FPERIOD_OVERRIDE=FQ","FILING_STATUS=MR","SCALING_FORMAT=MLN","Sort=A","Dates=H","DateFormat=P","Fill=—","Direction=H","UseDPDF=Y")</f>
        <v>63171</v>
      </c>
      <c r="T53" s="19">
        <f>_xll.BDH("GILD US Equity","ARD_TOT_LIAB_AND_SHAREHOLDER_EQY","FQ1 2023","FQ1 2023","Currency=USD","Period=FQ","BEST_FPERIOD_OVERRIDE=FQ","FILING_STATUS=MR","SCALING_FORMAT=MLN","Sort=A","Dates=H","DateFormat=P","Fill=—","Direction=H","UseDPDF=Y")</f>
        <v>61876</v>
      </c>
      <c r="U53" s="19">
        <f>_xll.BDH("GILD US Equity","ARD_TOT_LIAB_AND_SHAREHOLDER_EQY","FQ2 2023","FQ2 2023","Currency=USD","Period=FQ","BEST_FPERIOD_OVERRIDE=FQ","FILING_STATUS=MR","SCALING_FORMAT=MLN","Sort=A","Dates=H","DateFormat=P","Fill=—","Direction=H","UseDPDF=Y")</f>
        <v>62337</v>
      </c>
      <c r="V53" s="19">
        <f>_xll.BDH("GILD US Equity","ARD_TOT_LIAB_AND_SHAREHOLDER_EQY","FQ3 2023","FQ3 2023","Currency=USD","Period=FQ","BEST_FPERIOD_OVERRIDE=FQ","FILING_STATUS=MR","SCALING_FORMAT=MLN","Sort=A","Dates=H","DateFormat=P","Fill=—","Direction=H","UseDPDF=Y")</f>
        <v>62373</v>
      </c>
      <c r="W53" s="19">
        <f>_xll.BDH("GILD US Equity","ARD_TOT_LIAB_AND_SHAREHOLDER_EQY","FQ4 2023","FQ4 2023","Currency=USD","Period=FQ","BEST_FPERIOD_OVERRIDE=FQ","FILING_STATUS=MR","SCALING_FORMAT=MLN","Sort=A","Dates=H","DateFormat=P","Fill=—","Direction=H","UseDPDF=Y")</f>
        <v>62125</v>
      </c>
      <c r="X53" s="19">
        <f>_xll.BDH("GILD US Equity","ARD_TOT_LIAB_AND_SHAREHOLDER_EQY","FQ1 2024","FQ1 2024","Currency=USD","Period=FQ","BEST_FPERIOD_OVERRIDE=FQ","FILING_STATUS=MR","SCALING_FORMAT=MLN","Sort=A","Dates=H","DateFormat=P","Fill=—","Direction=H","UseDPDF=Y")</f>
        <v>56292</v>
      </c>
      <c r="Y53" s="19">
        <f>_xll.BDH("GILD US Equity","ARD_TOT_LIAB_AND_SHAREHOLDER_EQY","FQ2 2024","FQ2 2024","Currency=USD","Period=FQ","BEST_FPERIOD_OVERRIDE=FQ","FILING_STATUS=MR","SCALING_FORMAT=MLN","Sort=A","Dates=H","DateFormat=P","Fill=—","Direction=H","UseDPDF=Y")</f>
        <v>53579</v>
      </c>
      <c r="Z53" s="19">
        <f>_xll.BDH("GILD US Equity","ARD_TOT_LIAB_AND_SHAREHOLDER_EQY","FQ3 2024","FQ3 2024","Currency=USD","Period=FQ","BEST_FPERIOD_OVERRIDE=FQ","FILING_STATUS=MR","SCALING_FORMAT=MLN","Sort=A","Dates=H","DateFormat=P","Fill=—","Direction=H","UseDPDF=Y")</f>
        <v>54525</v>
      </c>
      <c r="AA53" s="19">
        <f>_xll.BDH("GILD US Equity","ARD_TOT_LIAB_AND_SHAREHOLDER_EQY","FQ4 2024","FQ4 2024","Currency=USD","Period=FQ","BEST_FPERIOD_OVERRIDE=FQ","FILING_STATUS=MR","SCALING_FORMAT=MLN","Sort=A","Dates=H","DateFormat=P","Fill=—","Direction=H","UseDPDF=Y")</f>
        <v>58995</v>
      </c>
    </row>
    <row r="54" spans="1:27" x14ac:dyDescent="0.25">
      <c r="A54" s="10" t="s">
        <v>475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x14ac:dyDescent="0.25">
      <c r="A55" s="10" t="s">
        <v>985</v>
      </c>
      <c r="B55" s="10" t="s">
        <v>986</v>
      </c>
      <c r="C55" s="13" t="str">
        <f>_xll.BDH("GILD US Equity","ARDR_NUM_OF_RSU_BEGIN_OF_PER","FQ4 2018","FQ4 2018","Currency=USD","Period=FQ","BEST_FPERIOD_OVERRIDE=FQ","FILING_STATUS=MR","Sort=A","Dates=H","DateFormat=P","Fill=—","Direction=H","UseDPDF=Y")</f>
        <v>—</v>
      </c>
      <c r="D55" s="13" t="str">
        <f>_xll.BDH("GILD US Equity","ARDR_NUM_OF_RSU_BEGIN_OF_PER","FQ1 2019","FQ1 2019","Currency=USD","Period=FQ","BEST_FPERIOD_OVERRIDE=FQ","FILING_STATUS=MR","Sort=A","Dates=H","DateFormat=P","Fill=—","Direction=H","UseDPDF=Y")</f>
        <v>—</v>
      </c>
      <c r="E55" s="13" t="str">
        <f>_xll.BDH("GILD US Equity","ARDR_NUM_OF_RSU_BEGIN_OF_PER","FQ2 2019","FQ2 2019","Currency=USD","Period=FQ","BEST_FPERIOD_OVERRIDE=FQ","FILING_STATUS=MR","Sort=A","Dates=H","DateFormat=P","Fill=—","Direction=H","UseDPDF=Y")</f>
        <v>—</v>
      </c>
      <c r="F55" s="13" t="str">
        <f>_xll.BDH("GILD US Equity","ARDR_NUM_OF_RSU_BEGIN_OF_PER","FQ3 2019","FQ3 2019","Currency=USD","Period=FQ","BEST_FPERIOD_OVERRIDE=FQ","FILING_STATUS=MR","Sort=A","Dates=H","DateFormat=P","Fill=—","Direction=H","UseDPDF=Y")</f>
        <v>—</v>
      </c>
      <c r="G55" s="13" t="str">
        <f>_xll.BDH("GILD US Equity","ARDR_NUM_OF_RSU_BEGIN_OF_PER","FQ4 2019","FQ4 2019","Currency=USD","Period=FQ","BEST_FPERIOD_OVERRIDE=FQ","FILING_STATUS=MR","Sort=A","Dates=H","DateFormat=P","Fill=—","Direction=H","UseDPDF=Y")</f>
        <v>—</v>
      </c>
      <c r="H55" s="13" t="str">
        <f>_xll.BDH("GILD US Equity","ARDR_NUM_OF_RSU_BEGIN_OF_PER","FQ1 2020","FQ1 2020","Currency=USD","Period=FQ","BEST_FPERIOD_OVERRIDE=FQ","FILING_STATUS=MR","Sort=A","Dates=H","DateFormat=P","Fill=—","Direction=H","UseDPDF=Y")</f>
        <v>—</v>
      </c>
      <c r="I55" s="13" t="str">
        <f>_xll.BDH("GILD US Equity","ARDR_NUM_OF_RSU_BEGIN_OF_PER","FQ2 2020","FQ2 2020","Currency=USD","Period=FQ","BEST_FPERIOD_OVERRIDE=FQ","FILING_STATUS=MR","Sort=A","Dates=H","DateFormat=P","Fill=—","Direction=H","UseDPDF=Y")</f>
        <v>—</v>
      </c>
      <c r="J55" s="13" t="str">
        <f>_xll.BDH("GILD US Equity","ARDR_NUM_OF_RSU_BEGIN_OF_PER","FQ3 2020","FQ3 2020","Currency=USD","Period=FQ","BEST_FPERIOD_OVERRIDE=FQ","FILING_STATUS=MR","Sort=A","Dates=H","DateFormat=P","Fill=—","Direction=H","UseDPDF=Y")</f>
        <v>—</v>
      </c>
      <c r="K55" s="13" t="str">
        <f>_xll.BDH("GILD US Equity","ARDR_NUM_OF_RSU_BEGIN_OF_PER","FQ4 2020","FQ4 2020","Currency=USD","Period=FQ","BEST_FPERIOD_OVERRIDE=FQ","FILING_STATUS=MR","Sort=A","Dates=H","DateFormat=P","Fill=—","Direction=H","UseDPDF=Y")</f>
        <v>—</v>
      </c>
      <c r="L55" s="13" t="str">
        <f>_xll.BDH("GILD US Equity","ARDR_NUM_OF_RSU_BEGIN_OF_PER","FQ1 2021","FQ1 2021","Currency=USD","Period=FQ","BEST_FPERIOD_OVERRIDE=FQ","FILING_STATUS=MR","Sort=A","Dates=H","DateFormat=P","Fill=—","Direction=H","UseDPDF=Y")</f>
        <v>—</v>
      </c>
      <c r="M55" s="13" t="str">
        <f>_xll.BDH("GILD US Equity","ARDR_NUM_OF_RSU_BEGIN_OF_PER","FQ2 2021","FQ2 2021","Currency=USD","Period=FQ","BEST_FPERIOD_OVERRIDE=FQ","FILING_STATUS=MR","Sort=A","Dates=H","DateFormat=P","Fill=—","Direction=H","UseDPDF=Y")</f>
        <v>—</v>
      </c>
      <c r="N55" s="13" t="str">
        <f>_xll.BDH("GILD US Equity","ARDR_NUM_OF_RSU_BEGIN_OF_PER","FQ3 2021","FQ3 2021","Currency=USD","Period=FQ","BEST_FPERIOD_OVERRIDE=FQ","FILING_STATUS=MR","Sort=A","Dates=H","DateFormat=P","Fill=—","Direction=H","UseDPDF=Y")</f>
        <v>—</v>
      </c>
      <c r="O55" s="13" t="str">
        <f>_xll.BDH("GILD US Equity","ARDR_NUM_OF_RSU_BEGIN_OF_PER","FQ4 2021","FQ4 2021","Currency=USD","Period=FQ","BEST_FPERIOD_OVERRIDE=FQ","FILING_STATUS=MR","Sort=A","Dates=H","DateFormat=P","Fill=—","Direction=H","UseDPDF=Y")</f>
        <v>—</v>
      </c>
      <c r="P55" s="13" t="str">
        <f>_xll.BDH("GILD US Equity","ARDR_NUM_OF_RSU_BEGIN_OF_PER","FQ1 2022","FQ1 2022","Currency=USD","Period=FQ","BEST_FPERIOD_OVERRIDE=FQ","FILING_STATUS=MR","Sort=A","Dates=H","DateFormat=P","Fill=—","Direction=H","UseDPDF=Y")</f>
        <v>—</v>
      </c>
      <c r="Q55" s="13" t="str">
        <f>_xll.BDH("GILD US Equity","ARDR_NUM_OF_RSU_BEGIN_OF_PER","FQ2 2022","FQ2 2022","Currency=USD","Period=FQ","BEST_FPERIOD_OVERRIDE=FQ","FILING_STATUS=MR","Sort=A","Dates=H","DateFormat=P","Fill=—","Direction=H","UseDPDF=Y")</f>
        <v>—</v>
      </c>
      <c r="R55" s="13" t="str">
        <f>_xll.BDH("GILD US Equity","ARDR_NUM_OF_RSU_BEGIN_OF_PER","FQ3 2022","FQ3 2022","Currency=USD","Period=FQ","BEST_FPERIOD_OVERRIDE=FQ","FILING_STATUS=MR","Sort=A","Dates=H","DateFormat=P","Fill=—","Direction=H","UseDPDF=Y")</f>
        <v>—</v>
      </c>
      <c r="S55" s="13" t="str">
        <f>_xll.BDH("GILD US Equity","ARDR_NUM_OF_RSU_BEGIN_OF_PER","FQ4 2022","FQ4 2022","Currency=USD","Period=FQ","BEST_FPERIOD_OVERRIDE=FQ","FILING_STATUS=MR","Sort=A","Dates=H","DateFormat=P","Fill=—","Direction=H","UseDPDF=Y")</f>
        <v>—</v>
      </c>
      <c r="T55" s="13" t="str">
        <f>_xll.BDH("GILD US Equity","ARDR_NUM_OF_RSU_BEGIN_OF_PER","FQ1 2023","FQ1 2023","Currency=USD","Period=FQ","BEST_FPERIOD_OVERRIDE=FQ","FILING_STATUS=MR","Sort=A","Dates=H","DateFormat=P","Fill=—","Direction=H","UseDPDF=Y")</f>
        <v>—</v>
      </c>
      <c r="U55" s="13" t="str">
        <f>_xll.BDH("GILD US Equity","ARDR_NUM_OF_RSU_BEGIN_OF_PER","FQ2 2023","FQ2 2023","Currency=USD","Period=FQ","BEST_FPERIOD_OVERRIDE=FQ","FILING_STATUS=MR","Sort=A","Dates=H","DateFormat=P","Fill=—","Direction=H","UseDPDF=Y")</f>
        <v>—</v>
      </c>
      <c r="V55" s="13" t="str">
        <f>_xll.BDH("GILD US Equity","ARDR_NUM_OF_RSU_BEGIN_OF_PER","FQ3 2023","FQ3 2023","Currency=USD","Period=FQ","BEST_FPERIOD_OVERRIDE=FQ","FILING_STATUS=MR","Sort=A","Dates=H","DateFormat=P","Fill=—","Direction=H","UseDPDF=Y")</f>
        <v>—</v>
      </c>
      <c r="W55" s="13">
        <f>_xll.BDH("GILD US Equity","ARDR_NUM_OF_RSU_BEGIN_OF_PER","FQ4 2023","FQ4 2023","Currency=USD","Period=FQ","BEST_FPERIOD_OVERRIDE=FQ","FILING_STATUS=MR","Sort=A","Dates=H","DateFormat=P","Fill=—","Direction=H","UseDPDF=Y")</f>
        <v>23.6</v>
      </c>
      <c r="X55" s="13" t="str">
        <f>_xll.BDH("GILD US Equity","ARDR_NUM_OF_RSU_BEGIN_OF_PER","FQ1 2024","FQ1 2024","Currency=USD","Period=FQ","BEST_FPERIOD_OVERRIDE=FQ","FILING_STATUS=MR","Sort=A","Dates=H","DateFormat=P","Fill=—","Direction=H","UseDPDF=Y")</f>
        <v>—</v>
      </c>
      <c r="Y55" s="13" t="str">
        <f>_xll.BDH("GILD US Equity","ARDR_NUM_OF_RSU_BEGIN_OF_PER","FQ2 2024","FQ2 2024","Currency=USD","Period=FQ","BEST_FPERIOD_OVERRIDE=FQ","FILING_STATUS=MR","Sort=A","Dates=H","DateFormat=P","Fill=—","Direction=H","UseDPDF=Y")</f>
        <v>—</v>
      </c>
      <c r="Z55" s="13" t="str">
        <f>_xll.BDH("GILD US Equity","ARDR_NUM_OF_RSU_BEGIN_OF_PER","FQ3 2024","FQ3 2024","Currency=USD","Period=FQ","BEST_FPERIOD_OVERRIDE=FQ","FILING_STATUS=MR","Sort=A","Dates=H","DateFormat=P","Fill=—","Direction=H","UseDPDF=Y")</f>
        <v>—</v>
      </c>
      <c r="AA55" s="13" t="str">
        <f>_xll.BDH("GILD US Equity","ARDR_NUM_OF_RSU_BEGIN_OF_PER","FQ4 2024","FQ4 2024","Currency=USD","Period=FQ","BEST_FPERIOD_OVERRIDE=FQ","FILING_STATUS=MR","Sort=A","Dates=H","DateFormat=P","Fill=—","Direction=H","UseDPDF=Y")</f>
        <v>—</v>
      </c>
    </row>
    <row r="56" spans="1:27" x14ac:dyDescent="0.25">
      <c r="A56" s="10" t="s">
        <v>987</v>
      </c>
      <c r="B56" s="10" t="s">
        <v>988</v>
      </c>
      <c r="C56" s="13" t="str">
        <f>_xll.BDH("GILD US Equity","ARDR_NUMBER_OF_RSU_GRANTED","FQ4 2018","FQ4 2018","Currency=USD","Period=FQ","BEST_FPERIOD_OVERRIDE=FQ","FILING_STATUS=MR","Sort=A","Dates=H","DateFormat=P","Fill=—","Direction=H","UseDPDF=Y")</f>
        <v>—</v>
      </c>
      <c r="D56" s="13" t="str">
        <f>_xll.BDH("GILD US Equity","ARDR_NUMBER_OF_RSU_GRANTED","FQ1 2019","FQ1 2019","Currency=USD","Period=FQ","BEST_FPERIOD_OVERRIDE=FQ","FILING_STATUS=MR","Sort=A","Dates=H","DateFormat=P","Fill=—","Direction=H","UseDPDF=Y")</f>
        <v>—</v>
      </c>
      <c r="E56" s="13" t="str">
        <f>_xll.BDH("GILD US Equity","ARDR_NUMBER_OF_RSU_GRANTED","FQ2 2019","FQ2 2019","Currency=USD","Period=FQ","BEST_FPERIOD_OVERRIDE=FQ","FILING_STATUS=MR","Sort=A","Dates=H","DateFormat=P","Fill=—","Direction=H","UseDPDF=Y")</f>
        <v>—</v>
      </c>
      <c r="F56" s="13" t="str">
        <f>_xll.BDH("GILD US Equity","ARDR_NUMBER_OF_RSU_GRANTED","FQ3 2019","FQ3 2019","Currency=USD","Period=FQ","BEST_FPERIOD_OVERRIDE=FQ","FILING_STATUS=MR","Sort=A","Dates=H","DateFormat=P","Fill=—","Direction=H","UseDPDF=Y")</f>
        <v>—</v>
      </c>
      <c r="G56" s="13" t="str">
        <f>_xll.BDH("GILD US Equity","ARDR_NUMBER_OF_RSU_GRANTED","FQ4 2019","FQ4 2019","Currency=USD","Period=FQ","BEST_FPERIOD_OVERRIDE=FQ","FILING_STATUS=MR","Sort=A","Dates=H","DateFormat=P","Fill=—","Direction=H","UseDPDF=Y")</f>
        <v>—</v>
      </c>
      <c r="H56" s="13" t="str">
        <f>_xll.BDH("GILD US Equity","ARDR_NUMBER_OF_RSU_GRANTED","FQ1 2020","FQ1 2020","Currency=USD","Period=FQ","BEST_FPERIOD_OVERRIDE=FQ","FILING_STATUS=MR","Sort=A","Dates=H","DateFormat=P","Fill=—","Direction=H","UseDPDF=Y")</f>
        <v>—</v>
      </c>
      <c r="I56" s="13" t="str">
        <f>_xll.BDH("GILD US Equity","ARDR_NUMBER_OF_RSU_GRANTED","FQ2 2020","FQ2 2020","Currency=USD","Period=FQ","BEST_FPERIOD_OVERRIDE=FQ","FILING_STATUS=MR","Sort=A","Dates=H","DateFormat=P","Fill=—","Direction=H","UseDPDF=Y")</f>
        <v>—</v>
      </c>
      <c r="J56" s="13" t="str">
        <f>_xll.BDH("GILD US Equity","ARDR_NUMBER_OF_RSU_GRANTED","FQ3 2020","FQ3 2020","Currency=USD","Period=FQ","BEST_FPERIOD_OVERRIDE=FQ","FILING_STATUS=MR","Sort=A","Dates=H","DateFormat=P","Fill=—","Direction=H","UseDPDF=Y")</f>
        <v>—</v>
      </c>
      <c r="K56" s="13" t="str">
        <f>_xll.BDH("GILD US Equity","ARDR_NUMBER_OF_RSU_GRANTED","FQ4 2020","FQ4 2020","Currency=USD","Period=FQ","BEST_FPERIOD_OVERRIDE=FQ","FILING_STATUS=MR","Sort=A","Dates=H","DateFormat=P","Fill=—","Direction=H","UseDPDF=Y")</f>
        <v>—</v>
      </c>
      <c r="L56" s="13" t="str">
        <f>_xll.BDH("GILD US Equity","ARDR_NUMBER_OF_RSU_GRANTED","FQ1 2021","FQ1 2021","Currency=USD","Period=FQ","BEST_FPERIOD_OVERRIDE=FQ","FILING_STATUS=MR","Sort=A","Dates=H","DateFormat=P","Fill=—","Direction=H","UseDPDF=Y")</f>
        <v>—</v>
      </c>
      <c r="M56" s="13" t="str">
        <f>_xll.BDH("GILD US Equity","ARDR_NUMBER_OF_RSU_GRANTED","FQ2 2021","FQ2 2021","Currency=USD","Period=FQ","BEST_FPERIOD_OVERRIDE=FQ","FILING_STATUS=MR","Sort=A","Dates=H","DateFormat=P","Fill=—","Direction=H","UseDPDF=Y")</f>
        <v>—</v>
      </c>
      <c r="N56" s="13" t="str">
        <f>_xll.BDH("GILD US Equity","ARDR_NUMBER_OF_RSU_GRANTED","FQ3 2021","FQ3 2021","Currency=USD","Period=FQ","BEST_FPERIOD_OVERRIDE=FQ","FILING_STATUS=MR","Sort=A","Dates=H","DateFormat=P","Fill=—","Direction=H","UseDPDF=Y")</f>
        <v>—</v>
      </c>
      <c r="O56" s="13" t="str">
        <f>_xll.BDH("GILD US Equity","ARDR_NUMBER_OF_RSU_GRANTED","FQ4 2021","FQ4 2021","Currency=USD","Period=FQ","BEST_FPERIOD_OVERRIDE=FQ","FILING_STATUS=MR","Sort=A","Dates=H","DateFormat=P","Fill=—","Direction=H","UseDPDF=Y")</f>
        <v>—</v>
      </c>
      <c r="P56" s="13" t="str">
        <f>_xll.BDH("GILD US Equity","ARDR_NUMBER_OF_RSU_GRANTED","FQ1 2022","FQ1 2022","Currency=USD","Period=FQ","BEST_FPERIOD_OVERRIDE=FQ","FILING_STATUS=MR","Sort=A","Dates=H","DateFormat=P","Fill=—","Direction=H","UseDPDF=Y")</f>
        <v>—</v>
      </c>
      <c r="Q56" s="13" t="str">
        <f>_xll.BDH("GILD US Equity","ARDR_NUMBER_OF_RSU_GRANTED","FQ2 2022","FQ2 2022","Currency=USD","Period=FQ","BEST_FPERIOD_OVERRIDE=FQ","FILING_STATUS=MR","Sort=A","Dates=H","DateFormat=P","Fill=—","Direction=H","UseDPDF=Y")</f>
        <v>—</v>
      </c>
      <c r="R56" s="13" t="str">
        <f>_xll.BDH("GILD US Equity","ARDR_NUMBER_OF_RSU_GRANTED","FQ3 2022","FQ3 2022","Currency=USD","Period=FQ","BEST_FPERIOD_OVERRIDE=FQ","FILING_STATUS=MR","Sort=A","Dates=H","DateFormat=P","Fill=—","Direction=H","UseDPDF=Y")</f>
        <v>—</v>
      </c>
      <c r="S56" s="13" t="str">
        <f>_xll.BDH("GILD US Equity","ARDR_NUMBER_OF_RSU_GRANTED","FQ4 2022","FQ4 2022","Currency=USD","Period=FQ","BEST_FPERIOD_OVERRIDE=FQ","FILING_STATUS=MR","Sort=A","Dates=H","DateFormat=P","Fill=—","Direction=H","UseDPDF=Y")</f>
        <v>—</v>
      </c>
      <c r="T56" s="13" t="str">
        <f>_xll.BDH("GILD US Equity","ARDR_NUMBER_OF_RSU_GRANTED","FQ1 2023","FQ1 2023","Currency=USD","Period=FQ","BEST_FPERIOD_OVERRIDE=FQ","FILING_STATUS=MR","Sort=A","Dates=H","DateFormat=P","Fill=—","Direction=H","UseDPDF=Y")</f>
        <v>—</v>
      </c>
      <c r="U56" s="13" t="str">
        <f>_xll.BDH("GILD US Equity","ARDR_NUMBER_OF_RSU_GRANTED","FQ2 2023","FQ2 2023","Currency=USD","Period=FQ","BEST_FPERIOD_OVERRIDE=FQ","FILING_STATUS=MR","Sort=A","Dates=H","DateFormat=P","Fill=—","Direction=H","UseDPDF=Y")</f>
        <v>—</v>
      </c>
      <c r="V56" s="13" t="str">
        <f>_xll.BDH("GILD US Equity","ARDR_NUMBER_OF_RSU_GRANTED","FQ3 2023","FQ3 2023","Currency=USD","Period=FQ","BEST_FPERIOD_OVERRIDE=FQ","FILING_STATUS=MR","Sort=A","Dates=H","DateFormat=P","Fill=—","Direction=H","UseDPDF=Y")</f>
        <v>—</v>
      </c>
      <c r="W56" s="13">
        <f>_xll.BDH("GILD US Equity","ARDR_NUMBER_OF_RSU_GRANTED","FQ4 2023","FQ4 2023","Currency=USD","Period=FQ","BEST_FPERIOD_OVERRIDE=FQ","FILING_STATUS=MR","Sort=A","Dates=H","DateFormat=P","Fill=—","Direction=H","UseDPDF=Y")</f>
        <v>11.5</v>
      </c>
      <c r="X56" s="13" t="str">
        <f>_xll.BDH("GILD US Equity","ARDR_NUMBER_OF_RSU_GRANTED","FQ1 2024","FQ1 2024","Currency=USD","Period=FQ","BEST_FPERIOD_OVERRIDE=FQ","FILING_STATUS=MR","Sort=A","Dates=H","DateFormat=P","Fill=—","Direction=H","UseDPDF=Y")</f>
        <v>—</v>
      </c>
      <c r="Y56" s="13" t="str">
        <f>_xll.BDH("GILD US Equity","ARDR_NUMBER_OF_RSU_GRANTED","FQ2 2024","FQ2 2024","Currency=USD","Period=FQ","BEST_FPERIOD_OVERRIDE=FQ","FILING_STATUS=MR","Sort=A","Dates=H","DateFormat=P","Fill=—","Direction=H","UseDPDF=Y")</f>
        <v>—</v>
      </c>
      <c r="Z56" s="13" t="str">
        <f>_xll.BDH("GILD US Equity","ARDR_NUMBER_OF_RSU_GRANTED","FQ3 2024","FQ3 2024","Currency=USD","Period=FQ","BEST_FPERIOD_OVERRIDE=FQ","FILING_STATUS=MR","Sort=A","Dates=H","DateFormat=P","Fill=—","Direction=H","UseDPDF=Y")</f>
        <v>—</v>
      </c>
      <c r="AA56" s="13" t="str">
        <f>_xll.BDH("GILD US Equity","ARDR_NUMBER_OF_RSU_GRANTED","FQ4 2024","FQ4 2024","Currency=USD","Period=FQ","BEST_FPERIOD_OVERRIDE=FQ","FILING_STATUS=MR","Sort=A","Dates=H","DateFormat=P","Fill=—","Direction=H","UseDPDF=Y")</f>
        <v>—</v>
      </c>
    </row>
    <row r="57" spans="1:27" x14ac:dyDescent="0.25">
      <c r="A57" s="10" t="s">
        <v>989</v>
      </c>
      <c r="B57" s="10" t="s">
        <v>990</v>
      </c>
      <c r="C57" s="13" t="str">
        <f>_xll.BDH("GILD US Equity","ARDR_NUMBER_OF_RSU_VESTED","FQ4 2018","FQ4 2018","Currency=USD","Period=FQ","BEST_FPERIOD_OVERRIDE=FQ","FILING_STATUS=MR","Sort=A","Dates=H","DateFormat=P","Fill=—","Direction=H","UseDPDF=Y")</f>
        <v>—</v>
      </c>
      <c r="D57" s="13" t="str">
        <f>_xll.BDH("GILD US Equity","ARDR_NUMBER_OF_RSU_VESTED","FQ1 2019","FQ1 2019","Currency=USD","Period=FQ","BEST_FPERIOD_OVERRIDE=FQ","FILING_STATUS=MR","Sort=A","Dates=H","DateFormat=P","Fill=—","Direction=H","UseDPDF=Y")</f>
        <v>—</v>
      </c>
      <c r="E57" s="13" t="str">
        <f>_xll.BDH("GILD US Equity","ARDR_NUMBER_OF_RSU_VESTED","FQ2 2019","FQ2 2019","Currency=USD","Period=FQ","BEST_FPERIOD_OVERRIDE=FQ","FILING_STATUS=MR","Sort=A","Dates=H","DateFormat=P","Fill=—","Direction=H","UseDPDF=Y")</f>
        <v>—</v>
      </c>
      <c r="F57" s="13" t="str">
        <f>_xll.BDH("GILD US Equity","ARDR_NUMBER_OF_RSU_VESTED","FQ3 2019","FQ3 2019","Currency=USD","Period=FQ","BEST_FPERIOD_OVERRIDE=FQ","FILING_STATUS=MR","Sort=A","Dates=H","DateFormat=P","Fill=—","Direction=H","UseDPDF=Y")</f>
        <v>—</v>
      </c>
      <c r="G57" s="13" t="str">
        <f>_xll.BDH("GILD US Equity","ARDR_NUMBER_OF_RSU_VESTED","FQ4 2019","FQ4 2019","Currency=USD","Period=FQ","BEST_FPERIOD_OVERRIDE=FQ","FILING_STATUS=MR","Sort=A","Dates=H","DateFormat=P","Fill=—","Direction=H","UseDPDF=Y")</f>
        <v>—</v>
      </c>
      <c r="H57" s="13" t="str">
        <f>_xll.BDH("GILD US Equity","ARDR_NUMBER_OF_RSU_VESTED","FQ1 2020","FQ1 2020","Currency=USD","Period=FQ","BEST_FPERIOD_OVERRIDE=FQ","FILING_STATUS=MR","Sort=A","Dates=H","DateFormat=P","Fill=—","Direction=H","UseDPDF=Y")</f>
        <v>—</v>
      </c>
      <c r="I57" s="13" t="str">
        <f>_xll.BDH("GILD US Equity","ARDR_NUMBER_OF_RSU_VESTED","FQ2 2020","FQ2 2020","Currency=USD","Period=FQ","BEST_FPERIOD_OVERRIDE=FQ","FILING_STATUS=MR","Sort=A","Dates=H","DateFormat=P","Fill=—","Direction=H","UseDPDF=Y")</f>
        <v>—</v>
      </c>
      <c r="J57" s="13" t="str">
        <f>_xll.BDH("GILD US Equity","ARDR_NUMBER_OF_RSU_VESTED","FQ3 2020","FQ3 2020","Currency=USD","Period=FQ","BEST_FPERIOD_OVERRIDE=FQ","FILING_STATUS=MR","Sort=A","Dates=H","DateFormat=P","Fill=—","Direction=H","UseDPDF=Y")</f>
        <v>—</v>
      </c>
      <c r="K57" s="13" t="str">
        <f>_xll.BDH("GILD US Equity","ARDR_NUMBER_OF_RSU_VESTED","FQ4 2020","FQ4 2020","Currency=USD","Period=FQ","BEST_FPERIOD_OVERRIDE=FQ","FILING_STATUS=MR","Sort=A","Dates=H","DateFormat=P","Fill=—","Direction=H","UseDPDF=Y")</f>
        <v>—</v>
      </c>
      <c r="L57" s="13" t="str">
        <f>_xll.BDH("GILD US Equity","ARDR_NUMBER_OF_RSU_VESTED","FQ1 2021","FQ1 2021","Currency=USD","Period=FQ","BEST_FPERIOD_OVERRIDE=FQ","FILING_STATUS=MR","Sort=A","Dates=H","DateFormat=P","Fill=—","Direction=H","UseDPDF=Y")</f>
        <v>—</v>
      </c>
      <c r="M57" s="13" t="str">
        <f>_xll.BDH("GILD US Equity","ARDR_NUMBER_OF_RSU_VESTED","FQ2 2021","FQ2 2021","Currency=USD","Period=FQ","BEST_FPERIOD_OVERRIDE=FQ","FILING_STATUS=MR","Sort=A","Dates=H","DateFormat=P","Fill=—","Direction=H","UseDPDF=Y")</f>
        <v>—</v>
      </c>
      <c r="N57" s="13" t="str">
        <f>_xll.BDH("GILD US Equity","ARDR_NUMBER_OF_RSU_VESTED","FQ3 2021","FQ3 2021","Currency=USD","Period=FQ","BEST_FPERIOD_OVERRIDE=FQ","FILING_STATUS=MR","Sort=A","Dates=H","DateFormat=P","Fill=—","Direction=H","UseDPDF=Y")</f>
        <v>—</v>
      </c>
      <c r="O57" s="13" t="str">
        <f>_xll.BDH("GILD US Equity","ARDR_NUMBER_OF_RSU_VESTED","FQ4 2021","FQ4 2021","Currency=USD","Period=FQ","BEST_FPERIOD_OVERRIDE=FQ","FILING_STATUS=MR","Sort=A","Dates=H","DateFormat=P","Fill=—","Direction=H","UseDPDF=Y")</f>
        <v>—</v>
      </c>
      <c r="P57" s="13" t="str">
        <f>_xll.BDH("GILD US Equity","ARDR_NUMBER_OF_RSU_VESTED","FQ1 2022","FQ1 2022","Currency=USD","Period=FQ","BEST_FPERIOD_OVERRIDE=FQ","FILING_STATUS=MR","Sort=A","Dates=H","DateFormat=P","Fill=—","Direction=H","UseDPDF=Y")</f>
        <v>—</v>
      </c>
      <c r="Q57" s="13" t="str">
        <f>_xll.BDH("GILD US Equity","ARDR_NUMBER_OF_RSU_VESTED","FQ2 2022","FQ2 2022","Currency=USD","Period=FQ","BEST_FPERIOD_OVERRIDE=FQ","FILING_STATUS=MR","Sort=A","Dates=H","DateFormat=P","Fill=—","Direction=H","UseDPDF=Y")</f>
        <v>—</v>
      </c>
      <c r="R57" s="13" t="str">
        <f>_xll.BDH("GILD US Equity","ARDR_NUMBER_OF_RSU_VESTED","FQ3 2022","FQ3 2022","Currency=USD","Period=FQ","BEST_FPERIOD_OVERRIDE=FQ","FILING_STATUS=MR","Sort=A","Dates=H","DateFormat=P","Fill=—","Direction=H","UseDPDF=Y")</f>
        <v>—</v>
      </c>
      <c r="S57" s="13" t="str">
        <f>_xll.BDH("GILD US Equity","ARDR_NUMBER_OF_RSU_VESTED","FQ4 2022","FQ4 2022","Currency=USD","Period=FQ","BEST_FPERIOD_OVERRIDE=FQ","FILING_STATUS=MR","Sort=A","Dates=H","DateFormat=P","Fill=—","Direction=H","UseDPDF=Y")</f>
        <v>—</v>
      </c>
      <c r="T57" s="13" t="str">
        <f>_xll.BDH("GILD US Equity","ARDR_NUMBER_OF_RSU_VESTED","FQ1 2023","FQ1 2023","Currency=USD","Period=FQ","BEST_FPERIOD_OVERRIDE=FQ","FILING_STATUS=MR","Sort=A","Dates=H","DateFormat=P","Fill=—","Direction=H","UseDPDF=Y")</f>
        <v>—</v>
      </c>
      <c r="U57" s="13" t="str">
        <f>_xll.BDH("GILD US Equity","ARDR_NUMBER_OF_RSU_VESTED","FQ2 2023","FQ2 2023","Currency=USD","Period=FQ","BEST_FPERIOD_OVERRIDE=FQ","FILING_STATUS=MR","Sort=A","Dates=H","DateFormat=P","Fill=—","Direction=H","UseDPDF=Y")</f>
        <v>—</v>
      </c>
      <c r="V57" s="13" t="str">
        <f>_xll.BDH("GILD US Equity","ARDR_NUMBER_OF_RSU_VESTED","FQ3 2023","FQ3 2023","Currency=USD","Period=FQ","BEST_FPERIOD_OVERRIDE=FQ","FILING_STATUS=MR","Sort=A","Dates=H","DateFormat=P","Fill=—","Direction=H","UseDPDF=Y")</f>
        <v>—</v>
      </c>
      <c r="W57" s="13">
        <f>_xll.BDH("GILD US Equity","ARDR_NUMBER_OF_RSU_VESTED","FQ4 2023","FQ4 2023","Currency=USD","Period=FQ","BEST_FPERIOD_OVERRIDE=FQ","FILING_STATUS=MR","Sort=A","Dates=H","DateFormat=P","Fill=—","Direction=H","UseDPDF=Y")</f>
        <v>10.7</v>
      </c>
      <c r="X57" s="13" t="str">
        <f>_xll.BDH("GILD US Equity","ARDR_NUMBER_OF_RSU_VESTED","FQ1 2024","FQ1 2024","Currency=USD","Period=FQ","BEST_FPERIOD_OVERRIDE=FQ","FILING_STATUS=MR","Sort=A","Dates=H","DateFormat=P","Fill=—","Direction=H","UseDPDF=Y")</f>
        <v>—</v>
      </c>
      <c r="Y57" s="13" t="str">
        <f>_xll.BDH("GILD US Equity","ARDR_NUMBER_OF_RSU_VESTED","FQ2 2024","FQ2 2024","Currency=USD","Period=FQ","BEST_FPERIOD_OVERRIDE=FQ","FILING_STATUS=MR","Sort=A","Dates=H","DateFormat=P","Fill=—","Direction=H","UseDPDF=Y")</f>
        <v>—</v>
      </c>
      <c r="Z57" s="13" t="str">
        <f>_xll.BDH("GILD US Equity","ARDR_NUMBER_OF_RSU_VESTED","FQ3 2024","FQ3 2024","Currency=USD","Period=FQ","BEST_FPERIOD_OVERRIDE=FQ","FILING_STATUS=MR","Sort=A","Dates=H","DateFormat=P","Fill=—","Direction=H","UseDPDF=Y")</f>
        <v>—</v>
      </c>
      <c r="AA57" s="13" t="str">
        <f>_xll.BDH("GILD US Equity","ARDR_NUMBER_OF_RSU_VESTED","FQ4 2024","FQ4 2024","Currency=USD","Period=FQ","BEST_FPERIOD_OVERRIDE=FQ","FILING_STATUS=MR","Sort=A","Dates=H","DateFormat=P","Fill=—","Direction=H","UseDPDF=Y")</f>
        <v>—</v>
      </c>
    </row>
    <row r="58" spans="1:27" x14ac:dyDescent="0.25">
      <c r="A58" s="10" t="s">
        <v>991</v>
      </c>
      <c r="B58" s="10" t="s">
        <v>992</v>
      </c>
      <c r="C58" s="13" t="str">
        <f>_xll.BDH("GILD US Equity","ARDR_NUMBER_OF_RSU_FORFTD_CANCLD","FQ4 2018","FQ4 2018","Currency=USD","Period=FQ","BEST_FPERIOD_OVERRIDE=FQ","FILING_STATUS=MR","Sort=A","Dates=H","DateFormat=P","Fill=—","Direction=H","UseDPDF=Y")</f>
        <v>—</v>
      </c>
      <c r="D58" s="13" t="str">
        <f>_xll.BDH("GILD US Equity","ARDR_NUMBER_OF_RSU_FORFTD_CANCLD","FQ1 2019","FQ1 2019","Currency=USD","Period=FQ","BEST_FPERIOD_OVERRIDE=FQ","FILING_STATUS=MR","Sort=A","Dates=H","DateFormat=P","Fill=—","Direction=H","UseDPDF=Y")</f>
        <v>—</v>
      </c>
      <c r="E58" s="13" t="str">
        <f>_xll.BDH("GILD US Equity","ARDR_NUMBER_OF_RSU_FORFTD_CANCLD","FQ2 2019","FQ2 2019","Currency=USD","Period=FQ","BEST_FPERIOD_OVERRIDE=FQ","FILING_STATUS=MR","Sort=A","Dates=H","DateFormat=P","Fill=—","Direction=H","UseDPDF=Y")</f>
        <v>—</v>
      </c>
      <c r="F58" s="13" t="str">
        <f>_xll.BDH("GILD US Equity","ARDR_NUMBER_OF_RSU_FORFTD_CANCLD","FQ3 2019","FQ3 2019","Currency=USD","Period=FQ","BEST_FPERIOD_OVERRIDE=FQ","FILING_STATUS=MR","Sort=A","Dates=H","DateFormat=P","Fill=—","Direction=H","UseDPDF=Y")</f>
        <v>—</v>
      </c>
      <c r="G58" s="13" t="str">
        <f>_xll.BDH("GILD US Equity","ARDR_NUMBER_OF_RSU_FORFTD_CANCLD","FQ4 2019","FQ4 2019","Currency=USD","Period=FQ","BEST_FPERIOD_OVERRIDE=FQ","FILING_STATUS=MR","Sort=A","Dates=H","DateFormat=P","Fill=—","Direction=H","UseDPDF=Y")</f>
        <v>—</v>
      </c>
      <c r="H58" s="13" t="str">
        <f>_xll.BDH("GILD US Equity","ARDR_NUMBER_OF_RSU_FORFTD_CANCLD","FQ1 2020","FQ1 2020","Currency=USD","Period=FQ","BEST_FPERIOD_OVERRIDE=FQ","FILING_STATUS=MR","Sort=A","Dates=H","DateFormat=P","Fill=—","Direction=H","UseDPDF=Y")</f>
        <v>—</v>
      </c>
      <c r="I58" s="13" t="str">
        <f>_xll.BDH("GILD US Equity","ARDR_NUMBER_OF_RSU_FORFTD_CANCLD","FQ2 2020","FQ2 2020","Currency=USD","Period=FQ","BEST_FPERIOD_OVERRIDE=FQ","FILING_STATUS=MR","Sort=A","Dates=H","DateFormat=P","Fill=—","Direction=H","UseDPDF=Y")</f>
        <v>—</v>
      </c>
      <c r="J58" s="13" t="str">
        <f>_xll.BDH("GILD US Equity","ARDR_NUMBER_OF_RSU_FORFTD_CANCLD","FQ3 2020","FQ3 2020","Currency=USD","Period=FQ","BEST_FPERIOD_OVERRIDE=FQ","FILING_STATUS=MR","Sort=A","Dates=H","DateFormat=P","Fill=—","Direction=H","UseDPDF=Y")</f>
        <v>—</v>
      </c>
      <c r="K58" s="13" t="str">
        <f>_xll.BDH("GILD US Equity","ARDR_NUMBER_OF_RSU_FORFTD_CANCLD","FQ4 2020","FQ4 2020","Currency=USD","Period=FQ","BEST_FPERIOD_OVERRIDE=FQ","FILING_STATUS=MR","Sort=A","Dates=H","DateFormat=P","Fill=—","Direction=H","UseDPDF=Y")</f>
        <v>—</v>
      </c>
      <c r="L58" s="13" t="str">
        <f>_xll.BDH("GILD US Equity","ARDR_NUMBER_OF_RSU_FORFTD_CANCLD","FQ1 2021","FQ1 2021","Currency=USD","Period=FQ","BEST_FPERIOD_OVERRIDE=FQ","FILING_STATUS=MR","Sort=A","Dates=H","DateFormat=P","Fill=—","Direction=H","UseDPDF=Y")</f>
        <v>—</v>
      </c>
      <c r="M58" s="13" t="str">
        <f>_xll.BDH("GILD US Equity","ARDR_NUMBER_OF_RSU_FORFTD_CANCLD","FQ2 2021","FQ2 2021","Currency=USD","Period=FQ","BEST_FPERIOD_OVERRIDE=FQ","FILING_STATUS=MR","Sort=A","Dates=H","DateFormat=P","Fill=—","Direction=H","UseDPDF=Y")</f>
        <v>—</v>
      </c>
      <c r="N58" s="13" t="str">
        <f>_xll.BDH("GILD US Equity","ARDR_NUMBER_OF_RSU_FORFTD_CANCLD","FQ3 2021","FQ3 2021","Currency=USD","Period=FQ","BEST_FPERIOD_OVERRIDE=FQ","FILING_STATUS=MR","Sort=A","Dates=H","DateFormat=P","Fill=—","Direction=H","UseDPDF=Y")</f>
        <v>—</v>
      </c>
      <c r="O58" s="13" t="str">
        <f>_xll.BDH("GILD US Equity","ARDR_NUMBER_OF_RSU_FORFTD_CANCLD","FQ4 2021","FQ4 2021","Currency=USD","Period=FQ","BEST_FPERIOD_OVERRIDE=FQ","FILING_STATUS=MR","Sort=A","Dates=H","DateFormat=P","Fill=—","Direction=H","UseDPDF=Y")</f>
        <v>—</v>
      </c>
      <c r="P58" s="13" t="str">
        <f>_xll.BDH("GILD US Equity","ARDR_NUMBER_OF_RSU_FORFTD_CANCLD","FQ1 2022","FQ1 2022","Currency=USD","Period=FQ","BEST_FPERIOD_OVERRIDE=FQ","FILING_STATUS=MR","Sort=A","Dates=H","DateFormat=P","Fill=—","Direction=H","UseDPDF=Y")</f>
        <v>—</v>
      </c>
      <c r="Q58" s="13" t="str">
        <f>_xll.BDH("GILD US Equity","ARDR_NUMBER_OF_RSU_FORFTD_CANCLD","FQ2 2022","FQ2 2022","Currency=USD","Period=FQ","BEST_FPERIOD_OVERRIDE=FQ","FILING_STATUS=MR","Sort=A","Dates=H","DateFormat=P","Fill=—","Direction=H","UseDPDF=Y")</f>
        <v>—</v>
      </c>
      <c r="R58" s="13" t="str">
        <f>_xll.BDH("GILD US Equity","ARDR_NUMBER_OF_RSU_FORFTD_CANCLD","FQ3 2022","FQ3 2022","Currency=USD","Period=FQ","BEST_FPERIOD_OVERRIDE=FQ","FILING_STATUS=MR","Sort=A","Dates=H","DateFormat=P","Fill=—","Direction=H","UseDPDF=Y")</f>
        <v>—</v>
      </c>
      <c r="S58" s="13" t="str">
        <f>_xll.BDH("GILD US Equity","ARDR_NUMBER_OF_RSU_FORFTD_CANCLD","FQ4 2022","FQ4 2022","Currency=USD","Period=FQ","BEST_FPERIOD_OVERRIDE=FQ","FILING_STATUS=MR","Sort=A","Dates=H","DateFormat=P","Fill=—","Direction=H","UseDPDF=Y")</f>
        <v>—</v>
      </c>
      <c r="T58" s="13" t="str">
        <f>_xll.BDH("GILD US Equity","ARDR_NUMBER_OF_RSU_FORFTD_CANCLD","FQ1 2023","FQ1 2023","Currency=USD","Period=FQ","BEST_FPERIOD_OVERRIDE=FQ","FILING_STATUS=MR","Sort=A","Dates=H","DateFormat=P","Fill=—","Direction=H","UseDPDF=Y")</f>
        <v>—</v>
      </c>
      <c r="U58" s="13" t="str">
        <f>_xll.BDH("GILD US Equity","ARDR_NUMBER_OF_RSU_FORFTD_CANCLD","FQ2 2023","FQ2 2023","Currency=USD","Period=FQ","BEST_FPERIOD_OVERRIDE=FQ","FILING_STATUS=MR","Sort=A","Dates=H","DateFormat=P","Fill=—","Direction=H","UseDPDF=Y")</f>
        <v>—</v>
      </c>
      <c r="V58" s="13" t="str">
        <f>_xll.BDH("GILD US Equity","ARDR_NUMBER_OF_RSU_FORFTD_CANCLD","FQ3 2023","FQ3 2023","Currency=USD","Period=FQ","BEST_FPERIOD_OVERRIDE=FQ","FILING_STATUS=MR","Sort=A","Dates=H","DateFormat=P","Fill=—","Direction=H","UseDPDF=Y")</f>
        <v>—</v>
      </c>
      <c r="W58" s="13">
        <f>_xll.BDH("GILD US Equity","ARDR_NUMBER_OF_RSU_FORFTD_CANCLD","FQ4 2023","FQ4 2023","Currency=USD","Period=FQ","BEST_FPERIOD_OVERRIDE=FQ","FILING_STATUS=MR","Sort=A","Dates=H","DateFormat=P","Fill=—","Direction=H","UseDPDF=Y")</f>
        <v>1.6</v>
      </c>
      <c r="X58" s="13" t="str">
        <f>_xll.BDH("GILD US Equity","ARDR_NUMBER_OF_RSU_FORFTD_CANCLD","FQ1 2024","FQ1 2024","Currency=USD","Period=FQ","BEST_FPERIOD_OVERRIDE=FQ","FILING_STATUS=MR","Sort=A","Dates=H","DateFormat=P","Fill=—","Direction=H","UseDPDF=Y")</f>
        <v>—</v>
      </c>
      <c r="Y58" s="13" t="str">
        <f>_xll.BDH("GILD US Equity","ARDR_NUMBER_OF_RSU_FORFTD_CANCLD","FQ2 2024","FQ2 2024","Currency=USD","Period=FQ","BEST_FPERIOD_OVERRIDE=FQ","FILING_STATUS=MR","Sort=A","Dates=H","DateFormat=P","Fill=—","Direction=H","UseDPDF=Y")</f>
        <v>—</v>
      </c>
      <c r="Z58" s="13" t="str">
        <f>_xll.BDH("GILD US Equity","ARDR_NUMBER_OF_RSU_FORFTD_CANCLD","FQ3 2024","FQ3 2024","Currency=USD","Period=FQ","BEST_FPERIOD_OVERRIDE=FQ","FILING_STATUS=MR","Sort=A","Dates=H","DateFormat=P","Fill=—","Direction=H","UseDPDF=Y")</f>
        <v>—</v>
      </c>
      <c r="AA58" s="13" t="str">
        <f>_xll.BDH("GILD US Equity","ARDR_NUMBER_OF_RSU_FORFTD_CANCLD","FQ4 2024","FQ4 2024","Currency=USD","Period=FQ","BEST_FPERIOD_OVERRIDE=FQ","FILING_STATUS=MR","Sort=A","Dates=H","DateFormat=P","Fill=—","Direction=H","UseDPDF=Y")</f>
        <v>—</v>
      </c>
    </row>
    <row r="59" spans="1:27" x14ac:dyDescent="0.25">
      <c r="A59" s="10" t="s">
        <v>907</v>
      </c>
      <c r="B59" s="10" t="s">
        <v>993</v>
      </c>
      <c r="C59" s="13" t="str">
        <f>_xll.BDH("GILD US Equity","ARDR_ACCTS_RECEIVABLE_TRADE","FQ4 2018","FQ4 2018","Currency=USD","Period=FQ","BEST_FPERIOD_OVERRIDE=FQ","FILING_STATUS=MR","SCALING_FORMAT=MLN","Sort=A","Dates=H","DateFormat=P","Fill=—","Direction=H","UseDPDF=Y")</f>
        <v>—</v>
      </c>
      <c r="D59" s="13" t="str">
        <f>_xll.BDH("GILD US Equity","ARDR_ACCTS_RECEIVABLE_TRADE","FQ1 2019","FQ1 2019","Currency=USD","Period=FQ","BEST_FPERIOD_OVERRIDE=FQ","FILING_STATUS=MR","SCALING_FORMAT=MLN","Sort=A","Dates=H","DateFormat=P","Fill=—","Direction=H","UseDPDF=Y")</f>
        <v>—</v>
      </c>
      <c r="E59" s="13" t="str">
        <f>_xll.BDH("GILD US Equity","ARDR_ACCTS_RECEIVABLE_TRADE","FQ2 2019","FQ2 2019","Currency=USD","Period=FQ","BEST_FPERIOD_OVERRIDE=FQ","FILING_STATUS=MR","SCALING_FORMAT=MLN","Sort=A","Dates=H","DateFormat=P","Fill=—","Direction=H","UseDPDF=Y")</f>
        <v>—</v>
      </c>
      <c r="F59" s="13" t="str">
        <f>_xll.BDH("GILD US Equity","ARDR_ACCTS_RECEIVABLE_TRADE","FQ3 2019","FQ3 2019","Currency=USD","Period=FQ","BEST_FPERIOD_OVERRIDE=FQ","FILING_STATUS=MR","SCALING_FORMAT=MLN","Sort=A","Dates=H","DateFormat=P","Fill=—","Direction=H","UseDPDF=Y")</f>
        <v>—</v>
      </c>
      <c r="G59" s="13" t="str">
        <f>_xll.BDH("GILD US Equity","ARDR_ACCTS_RECEIVABLE_TRADE","FQ4 2019","FQ4 2019","Currency=USD","Period=FQ","BEST_FPERIOD_OVERRIDE=FQ","FILING_STATUS=MR","SCALING_FORMAT=MLN","Sort=A","Dates=H","DateFormat=P","Fill=—","Direction=H","UseDPDF=Y")</f>
        <v>—</v>
      </c>
      <c r="H59" s="13" t="str">
        <f>_xll.BDH("GILD US Equity","ARDR_ACCTS_RECEIVABLE_TRADE","FQ1 2020","FQ1 2020","Currency=USD","Period=FQ","BEST_FPERIOD_OVERRIDE=FQ","FILING_STATUS=MR","SCALING_FORMAT=MLN","Sort=A","Dates=H","DateFormat=P","Fill=—","Direction=H","UseDPDF=Y")</f>
        <v>—</v>
      </c>
      <c r="I59" s="13" t="str">
        <f>_xll.BDH("GILD US Equity","ARDR_ACCTS_RECEIVABLE_TRADE","FQ2 2020","FQ2 2020","Currency=USD","Period=FQ","BEST_FPERIOD_OVERRIDE=FQ","FILING_STATUS=MR","SCALING_FORMAT=MLN","Sort=A","Dates=H","DateFormat=P","Fill=—","Direction=H","UseDPDF=Y")</f>
        <v>—</v>
      </c>
      <c r="J59" s="13" t="str">
        <f>_xll.BDH("GILD US Equity","ARDR_ACCTS_RECEIVABLE_TRADE","FQ3 2020","FQ3 2020","Currency=USD","Period=FQ","BEST_FPERIOD_OVERRIDE=FQ","FILING_STATUS=MR","SCALING_FORMAT=MLN","Sort=A","Dates=H","DateFormat=P","Fill=—","Direction=H","UseDPDF=Y")</f>
        <v>—</v>
      </c>
      <c r="K59" s="13" t="str">
        <f>_xll.BDH("GILD US Equity","ARDR_ACCTS_RECEIVABLE_TRADE","FQ4 2020","FQ4 2020","Currency=USD","Period=FQ","BEST_FPERIOD_OVERRIDE=FQ","FILING_STATUS=MR","SCALING_FORMAT=MLN","Sort=A","Dates=H","DateFormat=P","Fill=—","Direction=H","UseDPDF=Y")</f>
        <v>—</v>
      </c>
      <c r="L59" s="13" t="str">
        <f>_xll.BDH("GILD US Equity","ARDR_ACCTS_RECEIVABLE_TRADE","FQ1 2021","FQ1 2021","Currency=USD","Period=FQ","BEST_FPERIOD_OVERRIDE=FQ","FILING_STATUS=MR","SCALING_FORMAT=MLN","Sort=A","Dates=H","DateFormat=P","Fill=—","Direction=H","UseDPDF=Y")</f>
        <v>—</v>
      </c>
      <c r="M59" s="13" t="str">
        <f>_xll.BDH("GILD US Equity","ARDR_ACCTS_RECEIVABLE_TRADE","FQ2 2021","FQ2 2021","Currency=USD","Period=FQ","BEST_FPERIOD_OVERRIDE=FQ","FILING_STATUS=MR","SCALING_FORMAT=MLN","Sort=A","Dates=H","DateFormat=P","Fill=—","Direction=H","UseDPDF=Y")</f>
        <v>—</v>
      </c>
      <c r="N59" s="13" t="str">
        <f>_xll.BDH("GILD US Equity","ARDR_ACCTS_RECEIVABLE_TRADE","FQ3 2021","FQ3 2021","Currency=USD","Period=FQ","BEST_FPERIOD_OVERRIDE=FQ","FILING_STATUS=MR","SCALING_FORMAT=MLN","Sort=A","Dates=H","DateFormat=P","Fill=—","Direction=H","UseDPDF=Y")</f>
        <v>—</v>
      </c>
      <c r="O59" s="13" t="str">
        <f>_xll.BDH("GILD US Equity","ARDR_ACCTS_RECEIVABLE_TRADE","FQ4 2021","FQ4 2021","Currency=USD","Period=FQ","BEST_FPERIOD_OVERRIDE=FQ","FILING_STATUS=MR","SCALING_FORMAT=MLN","Sort=A","Dates=H","DateFormat=P","Fill=—","Direction=H","UseDPDF=Y")</f>
        <v>—</v>
      </c>
      <c r="P59" s="13" t="str">
        <f>_xll.BDH("GILD US Equity","ARDR_ACCTS_RECEIVABLE_TRADE","FQ1 2022","FQ1 2022","Currency=USD","Period=FQ","BEST_FPERIOD_OVERRIDE=FQ","FILING_STATUS=MR","SCALING_FORMAT=MLN","Sort=A","Dates=H","DateFormat=P","Fill=—","Direction=H","UseDPDF=Y")</f>
        <v>—</v>
      </c>
      <c r="Q59" s="13" t="str">
        <f>_xll.BDH("GILD US Equity","ARDR_ACCTS_RECEIVABLE_TRADE","FQ2 2022","FQ2 2022","Currency=USD","Period=FQ","BEST_FPERIOD_OVERRIDE=FQ","FILING_STATUS=MR","SCALING_FORMAT=MLN","Sort=A","Dates=H","DateFormat=P","Fill=—","Direction=H","UseDPDF=Y")</f>
        <v>—</v>
      </c>
      <c r="R59" s="13" t="str">
        <f>_xll.BDH("GILD US Equity","ARDR_ACCTS_RECEIVABLE_TRADE","FQ3 2022","FQ3 2022","Currency=USD","Period=FQ","BEST_FPERIOD_OVERRIDE=FQ","FILING_STATUS=MR","SCALING_FORMAT=MLN","Sort=A","Dates=H","DateFormat=P","Fill=—","Direction=H","UseDPDF=Y")</f>
        <v>—</v>
      </c>
      <c r="S59" s="13" t="str">
        <f>_xll.BDH("GILD US Equity","ARDR_ACCTS_RECEIVABLE_TRADE","FQ4 2022","FQ4 2022","Currency=USD","Period=FQ","BEST_FPERIOD_OVERRIDE=FQ","FILING_STATUS=MR","SCALING_FORMAT=MLN","Sort=A","Dates=H","DateFormat=P","Fill=—","Direction=H","UseDPDF=Y")</f>
        <v>—</v>
      </c>
      <c r="T59" s="13" t="str">
        <f>_xll.BDH("GILD US Equity","ARDR_ACCTS_RECEIVABLE_TRADE","FQ1 2023","FQ1 2023","Currency=USD","Period=FQ","BEST_FPERIOD_OVERRIDE=FQ","FILING_STATUS=MR","SCALING_FORMAT=MLN","Sort=A","Dates=H","DateFormat=P","Fill=—","Direction=H","UseDPDF=Y")</f>
        <v>—</v>
      </c>
      <c r="U59" s="13" t="str">
        <f>_xll.BDH("GILD US Equity","ARDR_ACCTS_RECEIVABLE_TRADE","FQ2 2023","FQ2 2023","Currency=USD","Period=FQ","BEST_FPERIOD_OVERRIDE=FQ","FILING_STATUS=MR","SCALING_FORMAT=MLN","Sort=A","Dates=H","DateFormat=P","Fill=—","Direction=H","UseDPDF=Y")</f>
        <v>—</v>
      </c>
      <c r="V59" s="13" t="str">
        <f>_xll.BDH("GILD US Equity","ARDR_ACCTS_RECEIVABLE_TRADE","FQ3 2023","FQ3 2023","Currency=USD","Period=FQ","BEST_FPERIOD_OVERRIDE=FQ","FILING_STATUS=MR","SCALING_FORMAT=MLN","Sort=A","Dates=H","DateFormat=P","Fill=—","Direction=H","UseDPDF=Y")</f>
        <v>—</v>
      </c>
      <c r="W59" s="13" t="str">
        <f>_xll.BDH("GILD US Equity","ARDR_ACCTS_RECEIVABLE_TRADE","FQ4 2023","FQ4 2023","Currency=USD","Period=FQ","BEST_FPERIOD_OVERRIDE=FQ","FILING_STATUS=MR","SCALING_FORMAT=MLN","Sort=A","Dates=H","DateFormat=P","Fill=—","Direction=H","UseDPDF=Y")</f>
        <v>—</v>
      </c>
      <c r="X59" s="13">
        <f>_xll.BDH("GILD US Equity","ARDR_ACCTS_RECEIVABLE_TRADE","FQ1 2024","FQ1 2024","Currency=USD","Period=FQ","BEST_FPERIOD_OVERRIDE=FQ","FILING_STATUS=MR","SCALING_FORMAT=MLN","Sort=A","Dates=H","DateFormat=P","Fill=—","Direction=H","UseDPDF=Y")</f>
        <v>4669</v>
      </c>
      <c r="Y59" s="13" t="str">
        <f>_xll.BDH("GILD US Equity","ARDR_ACCTS_RECEIVABLE_TRADE","FQ2 2024","FQ2 2024","Currency=USD","Period=FQ","BEST_FPERIOD_OVERRIDE=FQ","FILING_STATUS=MR","SCALING_FORMAT=MLN","Sort=A","Dates=H","DateFormat=P","Fill=—","Direction=H","UseDPDF=Y")</f>
        <v>—</v>
      </c>
      <c r="Z59" s="13" t="str">
        <f>_xll.BDH("GILD US Equity","ARDR_ACCTS_RECEIVABLE_TRADE","FQ3 2024","FQ3 2024","Currency=USD","Period=FQ","BEST_FPERIOD_OVERRIDE=FQ","FILING_STATUS=MR","SCALING_FORMAT=MLN","Sort=A","Dates=H","DateFormat=P","Fill=—","Direction=H","UseDPDF=Y")</f>
        <v>—</v>
      </c>
      <c r="AA59" s="13" t="str">
        <f>_xll.BDH("GILD US Equity","ARDR_ACCTS_RECEIVABLE_TRADE","FQ4 2024","FQ4 2024","Currency=USD","Period=FQ","BEST_FPERIOD_OVERRIDE=FQ","FILING_STATUS=MR","SCALING_FORMAT=MLN","Sort=A","Dates=H","DateFormat=P","Fill=—","Direction=H","UseDPDF=Y")</f>
        <v>—</v>
      </c>
    </row>
    <row r="60" spans="1:27" x14ac:dyDescent="0.25">
      <c r="A60" s="10" t="s">
        <v>909</v>
      </c>
      <c r="B60" s="10" t="s">
        <v>994</v>
      </c>
      <c r="C60" s="13">
        <f>_xll.BDH("GILD US Equity","ARDR_INVENTORY","FQ4 2018","FQ4 2018","Currency=USD","Period=FQ","BEST_FPERIOD_OVERRIDE=FQ","FILING_STATUS=MR","SCALING_FORMAT=MLN","Sort=A","Dates=H","DateFormat=P","Fill=—","Direction=H","UseDPDF=Y")</f>
        <v>814</v>
      </c>
      <c r="D60" s="13">
        <f>_xll.BDH("GILD US Equity","ARDR_INVENTORY","FQ1 2019","FQ1 2019","Currency=USD","Period=FQ","BEST_FPERIOD_OVERRIDE=FQ","FILING_STATUS=MR","SCALING_FORMAT=MLN","Sort=A","Dates=H","DateFormat=P","Fill=—","Direction=H","UseDPDF=Y")</f>
        <v>898</v>
      </c>
      <c r="E60" s="13">
        <f>_xll.BDH("GILD US Equity","ARDR_INVENTORY","FQ2 2019","FQ2 2019","Currency=USD","Period=FQ","BEST_FPERIOD_OVERRIDE=FQ","FILING_STATUS=MR","SCALING_FORMAT=MLN","Sort=A","Dates=H","DateFormat=P","Fill=—","Direction=H","UseDPDF=Y")</f>
        <v>884</v>
      </c>
      <c r="F60" s="13">
        <f>_xll.BDH("GILD US Equity","ARDR_INVENTORY","FQ3 2019","FQ3 2019","Currency=USD","Period=FQ","BEST_FPERIOD_OVERRIDE=FQ","FILING_STATUS=MR","SCALING_FORMAT=MLN","Sort=A","Dates=H","DateFormat=P","Fill=—","Direction=H","UseDPDF=Y")</f>
        <v>882</v>
      </c>
      <c r="G60" s="13">
        <f>_xll.BDH("GILD US Equity","ARDR_INVENTORY","FQ4 2019","FQ4 2019","Currency=USD","Period=FQ","BEST_FPERIOD_OVERRIDE=FQ","FILING_STATUS=MR","SCALING_FORMAT=MLN","Sort=A","Dates=H","DateFormat=P","Fill=—","Direction=H","UseDPDF=Y")</f>
        <v>922</v>
      </c>
      <c r="H60" s="13">
        <f>_xll.BDH("GILD US Equity","ARDR_INVENTORY","FQ1 2020","FQ1 2020","Currency=USD","Period=FQ","BEST_FPERIOD_OVERRIDE=FQ","FILING_STATUS=MR","SCALING_FORMAT=MLN","Sort=A","Dates=H","DateFormat=P","Fill=—","Direction=H","UseDPDF=Y")</f>
        <v>986</v>
      </c>
      <c r="I60" s="13">
        <f>_xll.BDH("GILD US Equity","ARDR_INVENTORY","FQ2 2020","FQ2 2020","Currency=USD","Period=FQ","BEST_FPERIOD_OVERRIDE=FQ","FILING_STATUS=MR","SCALING_FORMAT=MLN","Sort=A","Dates=H","DateFormat=P","Fill=—","Direction=H","UseDPDF=Y")</f>
        <v>1052</v>
      </c>
      <c r="J60" s="13">
        <f>_xll.BDH("GILD US Equity","ARDR_INVENTORY","FQ3 2020","FQ3 2020","Currency=USD","Period=FQ","BEST_FPERIOD_OVERRIDE=FQ","FILING_STATUS=MR","SCALING_FORMAT=MLN","Sort=A","Dates=H","DateFormat=P","Fill=—","Direction=H","UseDPDF=Y")</f>
        <v>1008</v>
      </c>
      <c r="K60" s="13">
        <f>_xll.BDH("GILD US Equity","ARDR_INVENTORY","FQ4 2020","FQ4 2020","Currency=USD","Period=FQ","BEST_FPERIOD_OVERRIDE=FQ","FILING_STATUS=MR","SCALING_FORMAT=MLN","Sort=A","Dates=H","DateFormat=P","Fill=—","Direction=H","UseDPDF=Y")</f>
        <v>1683</v>
      </c>
      <c r="L60" s="13">
        <f>_xll.BDH("GILD US Equity","ARDR_INVENTORY","FQ1 2021","FQ1 2021","Currency=USD","Period=FQ","BEST_FPERIOD_OVERRIDE=FQ","FILING_STATUS=MR","SCALING_FORMAT=MLN","Sort=A","Dates=H","DateFormat=P","Fill=—","Direction=H","UseDPDF=Y")</f>
        <v>5992</v>
      </c>
      <c r="M60" s="13">
        <f>_xll.BDH("GILD US Equity","ARDR_INVENTORY","FQ2 2021","FQ2 2021","Currency=USD","Period=FQ","BEST_FPERIOD_OVERRIDE=FQ","FILING_STATUS=MR","SCALING_FORMAT=MLN","Sort=A","Dates=H","DateFormat=P","Fill=—","Direction=H","UseDPDF=Y")</f>
        <v>1772</v>
      </c>
      <c r="N60" s="13">
        <f>_xll.BDH("GILD US Equity","ARDR_INVENTORY","FQ3 2021","FQ3 2021","Currency=USD","Period=FQ","BEST_FPERIOD_OVERRIDE=FQ","FILING_STATUS=MR","SCALING_FORMAT=MLN","Sort=A","Dates=H","DateFormat=P","Fill=—","Direction=H","UseDPDF=Y")</f>
        <v>1676</v>
      </c>
      <c r="O60" s="13">
        <f>_xll.BDH("GILD US Equity","ARDR_INVENTORY","FQ4 2021","FQ4 2021","Currency=USD","Period=FQ","BEST_FPERIOD_OVERRIDE=FQ","FILING_STATUS=MR","SCALING_FORMAT=MLN","Sort=A","Dates=H","DateFormat=P","Fill=—","Direction=H","UseDPDF=Y")</f>
        <v>1618</v>
      </c>
      <c r="P60" s="13">
        <f>_xll.BDH("GILD US Equity","ARDR_INVENTORY","FQ1 2022","FQ1 2022","Currency=USD","Period=FQ","BEST_FPERIOD_OVERRIDE=FQ","FILING_STATUS=MR","SCALING_FORMAT=MLN","Sort=A","Dates=H","DateFormat=P","Fill=—","Direction=H","UseDPDF=Y")</f>
        <v>1482</v>
      </c>
      <c r="Q60" s="13">
        <f>_xll.BDH("GILD US Equity","ARDR_INVENTORY","FQ2 2022","FQ2 2022","Currency=USD","Period=FQ","BEST_FPERIOD_OVERRIDE=FQ","FILING_STATUS=MR","SCALING_FORMAT=MLN","Sort=A","Dates=H","DateFormat=P","Fill=—","Direction=H","UseDPDF=Y")</f>
        <v>1494</v>
      </c>
      <c r="R60" s="13">
        <f>_xll.BDH("GILD US Equity","ARDR_INVENTORY","FQ3 2022","FQ3 2022","Currency=USD","Period=FQ","BEST_FPERIOD_OVERRIDE=FQ","FILING_STATUS=MR","SCALING_FORMAT=MLN","Sort=A","Dates=H","DateFormat=P","Fill=—","Direction=H","UseDPDF=Y")</f>
        <v>1464</v>
      </c>
      <c r="S60" s="13">
        <f>_xll.BDH("GILD US Equity","ARDR_INVENTORY","FQ4 2022","FQ4 2022","Currency=USD","Period=FQ","BEST_FPERIOD_OVERRIDE=FQ","FILING_STATUS=MR","SCALING_FORMAT=MLN","Sort=A","Dates=H","DateFormat=P","Fill=—","Direction=H","UseDPDF=Y")</f>
        <v>1507</v>
      </c>
      <c r="T60" s="13">
        <f>_xll.BDH("GILD US Equity","ARDR_INVENTORY","FQ1 2023","FQ1 2023","Currency=USD","Period=FQ","BEST_FPERIOD_OVERRIDE=FQ","FILING_STATUS=MR","SCALING_FORMAT=MLN","Sort=A","Dates=H","DateFormat=P","Fill=—","Direction=H","UseDPDF=Y")</f>
        <v>1576</v>
      </c>
      <c r="U60" s="13">
        <f>_xll.BDH("GILD US Equity","ARDR_INVENTORY","FQ2 2023","FQ2 2023","Currency=USD","Period=FQ","BEST_FPERIOD_OVERRIDE=FQ","FILING_STATUS=MR","SCALING_FORMAT=MLN","Sort=A","Dates=H","DateFormat=P","Fill=—","Direction=H","UseDPDF=Y")</f>
        <v>1633</v>
      </c>
      <c r="V60" s="13">
        <f>_xll.BDH("GILD US Equity","ARDR_INVENTORY","FQ3 2023","FQ3 2023","Currency=USD","Period=FQ","BEST_FPERIOD_OVERRIDE=FQ","FILING_STATUS=MR","SCALING_FORMAT=MLN","Sort=A","Dates=H","DateFormat=P","Fill=—","Direction=H","UseDPDF=Y")</f>
        <v>1663</v>
      </c>
      <c r="W60" s="13">
        <f>_xll.BDH("GILD US Equity","ARDR_INVENTORY","FQ4 2023","FQ4 2023","Currency=USD","Period=FQ","BEST_FPERIOD_OVERRIDE=FQ","FILING_STATUS=MR","SCALING_FORMAT=MLN","Sort=A","Dates=H","DateFormat=P","Fill=—","Direction=H","UseDPDF=Y")</f>
        <v>1787</v>
      </c>
      <c r="X60" s="13">
        <f>_xll.BDH("GILD US Equity","ARDR_INVENTORY","FQ1 2024","FQ1 2024","Currency=USD","Period=FQ","BEST_FPERIOD_OVERRIDE=FQ","FILING_STATUS=MR","SCALING_FORMAT=MLN","Sort=A","Dates=H","DateFormat=P","Fill=—","Direction=H","UseDPDF=Y")</f>
        <v>1853</v>
      </c>
      <c r="Y60" s="13">
        <f>_xll.BDH("GILD US Equity","ARDR_INVENTORY","FQ2 2024","FQ2 2024","Currency=USD","Period=FQ","BEST_FPERIOD_OVERRIDE=FQ","FILING_STATUS=MR","SCALING_FORMAT=MLN","Sort=A","Dates=H","DateFormat=P","Fill=—","Direction=H","UseDPDF=Y")</f>
        <v>2026</v>
      </c>
      <c r="Z60" s="13">
        <f>_xll.BDH("GILD US Equity","ARDR_INVENTORY","FQ3 2024","FQ3 2024","Currency=USD","Period=FQ","BEST_FPERIOD_OVERRIDE=FQ","FILING_STATUS=MR","SCALING_FORMAT=MLN","Sort=A","Dates=H","DateFormat=P","Fill=—","Direction=H","UseDPDF=Y")</f>
        <v>1869</v>
      </c>
      <c r="AA60" s="13">
        <f>_xll.BDH("GILD US Equity","ARDR_INVENTORY","FQ4 2024","FQ4 2024","Currency=USD","Period=FQ","BEST_FPERIOD_OVERRIDE=FQ","FILING_STATUS=MR","SCALING_FORMAT=MLN","Sort=A","Dates=H","DateFormat=P","Fill=—","Direction=H","UseDPDF=Y")</f>
        <v>1710</v>
      </c>
    </row>
    <row r="61" spans="1:27" x14ac:dyDescent="0.25">
      <c r="A61" s="10" t="s">
        <v>995</v>
      </c>
      <c r="B61" s="10" t="s">
        <v>996</v>
      </c>
      <c r="C61" s="13">
        <f>_xll.BDH("GILD US Equity","ARDR_LAND","FQ4 2018","FQ4 2018","Currency=USD","Period=FQ","BEST_FPERIOD_OVERRIDE=FQ","FILING_STATUS=MR","SCALING_FORMAT=MLN","Sort=A","Dates=H","DateFormat=P","Fill=—","Direction=H","UseDPDF=Y")</f>
        <v>404</v>
      </c>
      <c r="D61" s="13" t="str">
        <f>_xll.BDH("GILD US Equity","ARDR_LAND","FQ1 2019","FQ1 2019","Currency=USD","Period=FQ","BEST_FPERIOD_OVERRIDE=FQ","FILING_STATUS=MR","SCALING_FORMAT=MLN","Sort=A","Dates=H","DateFormat=P","Fill=—","Direction=H","UseDPDF=Y")</f>
        <v>—</v>
      </c>
      <c r="E61" s="13" t="str">
        <f>_xll.BDH("GILD US Equity","ARDR_LAND","FQ2 2019","FQ2 2019","Currency=USD","Period=FQ","BEST_FPERIOD_OVERRIDE=FQ","FILING_STATUS=MR","SCALING_FORMAT=MLN","Sort=A","Dates=H","DateFormat=P","Fill=—","Direction=H","UseDPDF=Y")</f>
        <v>—</v>
      </c>
      <c r="F61" s="13" t="str">
        <f>_xll.BDH("GILD US Equity","ARDR_LAND","FQ3 2019","FQ3 2019","Currency=USD","Period=FQ","BEST_FPERIOD_OVERRIDE=FQ","FILING_STATUS=MR","SCALING_FORMAT=MLN","Sort=A","Dates=H","DateFormat=P","Fill=—","Direction=H","UseDPDF=Y")</f>
        <v>—</v>
      </c>
      <c r="G61" s="13">
        <f>_xll.BDH("GILD US Equity","ARDR_LAND","FQ4 2019","FQ4 2019","Currency=USD","Period=FQ","BEST_FPERIOD_OVERRIDE=FQ","FILING_STATUS=MR","SCALING_FORMAT=MLN","Sort=A","Dates=H","DateFormat=P","Fill=—","Direction=H","UseDPDF=Y")</f>
        <v>404</v>
      </c>
      <c r="H61" s="13" t="str">
        <f>_xll.BDH("GILD US Equity","ARDR_LAND","FQ1 2020","FQ1 2020","Currency=USD","Period=FQ","BEST_FPERIOD_OVERRIDE=FQ","FILING_STATUS=MR","SCALING_FORMAT=MLN","Sort=A","Dates=H","DateFormat=P","Fill=—","Direction=H","UseDPDF=Y")</f>
        <v>—</v>
      </c>
      <c r="I61" s="13" t="str">
        <f>_xll.BDH("GILD US Equity","ARDR_LAND","FQ2 2020","FQ2 2020","Currency=USD","Period=FQ","BEST_FPERIOD_OVERRIDE=FQ","FILING_STATUS=MR","SCALING_FORMAT=MLN","Sort=A","Dates=H","DateFormat=P","Fill=—","Direction=H","UseDPDF=Y")</f>
        <v>—</v>
      </c>
      <c r="J61" s="13" t="str">
        <f>_xll.BDH("GILD US Equity","ARDR_LAND","FQ3 2020","FQ3 2020","Currency=USD","Period=FQ","BEST_FPERIOD_OVERRIDE=FQ","FILING_STATUS=MR","SCALING_FORMAT=MLN","Sort=A","Dates=H","DateFormat=P","Fill=—","Direction=H","UseDPDF=Y")</f>
        <v>—</v>
      </c>
      <c r="K61" s="13">
        <f>_xll.BDH("GILD US Equity","ARDR_LAND","FQ4 2020","FQ4 2020","Currency=USD","Period=FQ","BEST_FPERIOD_OVERRIDE=FQ","FILING_STATUS=MR","SCALING_FORMAT=MLN","Sort=A","Dates=H","DateFormat=P","Fill=—","Direction=H","UseDPDF=Y")</f>
        <v>404</v>
      </c>
      <c r="L61" s="13" t="str">
        <f>_xll.BDH("GILD US Equity","ARDR_LAND","FQ1 2021","FQ1 2021","Currency=USD","Period=FQ","BEST_FPERIOD_OVERRIDE=FQ","FILING_STATUS=MR","SCALING_FORMAT=MLN","Sort=A","Dates=H","DateFormat=P","Fill=—","Direction=H","UseDPDF=Y")</f>
        <v>—</v>
      </c>
      <c r="M61" s="13" t="str">
        <f>_xll.BDH("GILD US Equity","ARDR_LAND","FQ2 2021","FQ2 2021","Currency=USD","Period=FQ","BEST_FPERIOD_OVERRIDE=FQ","FILING_STATUS=MR","SCALING_FORMAT=MLN","Sort=A","Dates=H","DateFormat=P","Fill=—","Direction=H","UseDPDF=Y")</f>
        <v>—</v>
      </c>
      <c r="N61" s="13" t="str">
        <f>_xll.BDH("GILD US Equity","ARDR_LAND","FQ3 2021","FQ3 2021","Currency=USD","Period=FQ","BEST_FPERIOD_OVERRIDE=FQ","FILING_STATUS=MR","SCALING_FORMAT=MLN","Sort=A","Dates=H","DateFormat=P","Fill=—","Direction=H","UseDPDF=Y")</f>
        <v>—</v>
      </c>
      <c r="O61" s="13">
        <f>_xll.BDH("GILD US Equity","ARDR_LAND","FQ4 2021","FQ4 2021","Currency=USD","Period=FQ","BEST_FPERIOD_OVERRIDE=FQ","FILING_STATUS=MR","SCALING_FORMAT=MLN","Sort=A","Dates=H","DateFormat=P","Fill=—","Direction=H","UseDPDF=Y")</f>
        <v>404</v>
      </c>
      <c r="P61" s="13" t="str">
        <f>_xll.BDH("GILD US Equity","ARDR_LAND","FQ1 2022","FQ1 2022","Currency=USD","Period=FQ","BEST_FPERIOD_OVERRIDE=FQ","FILING_STATUS=MR","SCALING_FORMAT=MLN","Sort=A","Dates=H","DateFormat=P","Fill=—","Direction=H","UseDPDF=Y")</f>
        <v>—</v>
      </c>
      <c r="Q61" s="13" t="str">
        <f>_xll.BDH("GILD US Equity","ARDR_LAND","FQ2 2022","FQ2 2022","Currency=USD","Period=FQ","BEST_FPERIOD_OVERRIDE=FQ","FILING_STATUS=MR","SCALING_FORMAT=MLN","Sort=A","Dates=H","DateFormat=P","Fill=—","Direction=H","UseDPDF=Y")</f>
        <v>—</v>
      </c>
      <c r="R61" s="13" t="str">
        <f>_xll.BDH("GILD US Equity","ARDR_LAND","FQ3 2022","FQ3 2022","Currency=USD","Period=FQ","BEST_FPERIOD_OVERRIDE=FQ","FILING_STATUS=MR","SCALING_FORMAT=MLN","Sort=A","Dates=H","DateFormat=P","Fill=—","Direction=H","UseDPDF=Y")</f>
        <v>—</v>
      </c>
      <c r="S61" s="13">
        <f>_xll.BDH("GILD US Equity","ARDR_LAND","FQ4 2022","FQ4 2022","Currency=USD","Period=FQ","BEST_FPERIOD_OVERRIDE=FQ","FILING_STATUS=MR","SCALING_FORMAT=MLN","Sort=A","Dates=H","DateFormat=P","Fill=—","Direction=H","UseDPDF=Y")</f>
        <v>562</v>
      </c>
      <c r="T61" s="13" t="str">
        <f>_xll.BDH("GILD US Equity","ARDR_LAND","FQ1 2023","FQ1 2023","Currency=USD","Period=FQ","BEST_FPERIOD_OVERRIDE=FQ","FILING_STATUS=MR","SCALING_FORMAT=MLN","Sort=A","Dates=H","DateFormat=P","Fill=—","Direction=H","UseDPDF=Y")</f>
        <v>—</v>
      </c>
      <c r="U61" s="13" t="str">
        <f>_xll.BDH("GILD US Equity","ARDR_LAND","FQ2 2023","FQ2 2023","Currency=USD","Period=FQ","BEST_FPERIOD_OVERRIDE=FQ","FILING_STATUS=MR","SCALING_FORMAT=MLN","Sort=A","Dates=H","DateFormat=P","Fill=—","Direction=H","UseDPDF=Y")</f>
        <v>—</v>
      </c>
      <c r="V61" s="13" t="str">
        <f>_xll.BDH("GILD US Equity","ARDR_LAND","FQ3 2023","FQ3 2023","Currency=USD","Period=FQ","BEST_FPERIOD_OVERRIDE=FQ","FILING_STATUS=MR","SCALING_FORMAT=MLN","Sort=A","Dates=H","DateFormat=P","Fill=—","Direction=H","UseDPDF=Y")</f>
        <v>—</v>
      </c>
      <c r="W61" s="13">
        <f>_xll.BDH("GILD US Equity","ARDR_LAND","FQ4 2023","FQ4 2023","Currency=USD","Period=FQ","BEST_FPERIOD_OVERRIDE=FQ","FILING_STATUS=MR","SCALING_FORMAT=MLN","Sort=A","Dates=H","DateFormat=P","Fill=—","Direction=H","UseDPDF=Y")</f>
        <v>561</v>
      </c>
      <c r="X61" s="13" t="str">
        <f>_xll.BDH("GILD US Equity","ARDR_LAND","FQ1 2024","FQ1 2024","Currency=USD","Period=FQ","BEST_FPERIOD_OVERRIDE=FQ","FILING_STATUS=MR","SCALING_FORMAT=MLN","Sort=A","Dates=H","DateFormat=P","Fill=—","Direction=H","UseDPDF=Y")</f>
        <v>—</v>
      </c>
      <c r="Y61" s="13" t="str">
        <f>_xll.BDH("GILD US Equity","ARDR_LAND","FQ2 2024","FQ2 2024","Currency=USD","Period=FQ","BEST_FPERIOD_OVERRIDE=FQ","FILING_STATUS=MR","SCALING_FORMAT=MLN","Sort=A","Dates=H","DateFormat=P","Fill=—","Direction=H","UseDPDF=Y")</f>
        <v>—</v>
      </c>
      <c r="Z61" s="13" t="str">
        <f>_xll.BDH("GILD US Equity","ARDR_LAND","FQ3 2024","FQ3 2024","Currency=USD","Period=FQ","BEST_FPERIOD_OVERRIDE=FQ","FILING_STATUS=MR","SCALING_FORMAT=MLN","Sort=A","Dates=H","DateFormat=P","Fill=—","Direction=H","UseDPDF=Y")</f>
        <v>—</v>
      </c>
      <c r="AA61" s="13">
        <f>_xll.BDH("GILD US Equity","ARDR_LAND","FQ4 2024","FQ4 2024","Currency=USD","Period=FQ","BEST_FPERIOD_OVERRIDE=FQ","FILING_STATUS=MR","SCALING_FORMAT=MLN","Sort=A","Dates=H","DateFormat=P","Fill=—","Direction=H","UseDPDF=Y")</f>
        <v>561</v>
      </c>
    </row>
    <row r="62" spans="1:27" x14ac:dyDescent="0.25">
      <c r="A62" s="10" t="s">
        <v>997</v>
      </c>
      <c r="B62" s="10" t="s">
        <v>998</v>
      </c>
      <c r="C62" s="13">
        <f>_xll.BDH("GILD US Equity","ARDR_BUILDING","FQ4 2018","FQ4 2018","Currency=USD","Period=FQ","BEST_FPERIOD_OVERRIDE=FQ","FILING_STATUS=MR","SCALING_FORMAT=MLN","Sort=A","Dates=H","DateFormat=P","Fill=—","Direction=H","UseDPDF=Y")</f>
        <v>2344</v>
      </c>
      <c r="D62" s="13" t="str">
        <f>_xll.BDH("GILD US Equity","ARDR_BUILDING","FQ1 2019","FQ1 2019","Currency=USD","Period=FQ","BEST_FPERIOD_OVERRIDE=FQ","FILING_STATUS=MR","SCALING_FORMAT=MLN","Sort=A","Dates=H","DateFormat=P","Fill=—","Direction=H","UseDPDF=Y")</f>
        <v>—</v>
      </c>
      <c r="E62" s="13" t="str">
        <f>_xll.BDH("GILD US Equity","ARDR_BUILDING","FQ2 2019","FQ2 2019","Currency=USD","Period=FQ","BEST_FPERIOD_OVERRIDE=FQ","FILING_STATUS=MR","SCALING_FORMAT=MLN","Sort=A","Dates=H","DateFormat=P","Fill=—","Direction=H","UseDPDF=Y")</f>
        <v>—</v>
      </c>
      <c r="F62" s="13" t="str">
        <f>_xll.BDH("GILD US Equity","ARDR_BUILDING","FQ3 2019","FQ3 2019","Currency=USD","Period=FQ","BEST_FPERIOD_OVERRIDE=FQ","FILING_STATUS=MR","SCALING_FORMAT=MLN","Sort=A","Dates=H","DateFormat=P","Fill=—","Direction=H","UseDPDF=Y")</f>
        <v>—</v>
      </c>
      <c r="G62" s="13">
        <f>_xll.BDH("GILD US Equity","ARDR_BUILDING","FQ4 2019","FQ4 2019","Currency=USD","Period=FQ","BEST_FPERIOD_OVERRIDE=FQ","FILING_STATUS=MR","SCALING_FORMAT=MLN","Sort=A","Dates=H","DateFormat=P","Fill=—","Direction=H","UseDPDF=Y")</f>
        <v>3358</v>
      </c>
      <c r="H62" s="13" t="str">
        <f>_xll.BDH("GILD US Equity","ARDR_BUILDING","FQ1 2020","FQ1 2020","Currency=USD","Period=FQ","BEST_FPERIOD_OVERRIDE=FQ","FILING_STATUS=MR","SCALING_FORMAT=MLN","Sort=A","Dates=H","DateFormat=P","Fill=—","Direction=H","UseDPDF=Y")</f>
        <v>—</v>
      </c>
      <c r="I62" s="13" t="str">
        <f>_xll.BDH("GILD US Equity","ARDR_BUILDING","FQ2 2020","FQ2 2020","Currency=USD","Period=FQ","BEST_FPERIOD_OVERRIDE=FQ","FILING_STATUS=MR","SCALING_FORMAT=MLN","Sort=A","Dates=H","DateFormat=P","Fill=—","Direction=H","UseDPDF=Y")</f>
        <v>—</v>
      </c>
      <c r="J62" s="13" t="str">
        <f>_xll.BDH("GILD US Equity","ARDR_BUILDING","FQ3 2020","FQ3 2020","Currency=USD","Period=FQ","BEST_FPERIOD_OVERRIDE=FQ","FILING_STATUS=MR","SCALING_FORMAT=MLN","Sort=A","Dates=H","DateFormat=P","Fill=—","Direction=H","UseDPDF=Y")</f>
        <v>—</v>
      </c>
      <c r="K62" s="13">
        <f>_xll.BDH("GILD US Equity","ARDR_BUILDING","FQ4 2020","FQ4 2020","Currency=USD","Period=FQ","BEST_FPERIOD_OVERRIDE=FQ","FILING_STATUS=MR","SCALING_FORMAT=MLN","Sort=A","Dates=H","DateFormat=P","Fill=—","Direction=H","UseDPDF=Y")</f>
        <v>3678</v>
      </c>
      <c r="L62" s="13" t="str">
        <f>_xll.BDH("GILD US Equity","ARDR_BUILDING","FQ1 2021","FQ1 2021","Currency=USD","Period=FQ","BEST_FPERIOD_OVERRIDE=FQ","FILING_STATUS=MR","SCALING_FORMAT=MLN","Sort=A","Dates=H","DateFormat=P","Fill=—","Direction=H","UseDPDF=Y")</f>
        <v>—</v>
      </c>
      <c r="M62" s="13" t="str">
        <f>_xll.BDH("GILD US Equity","ARDR_BUILDING","FQ2 2021","FQ2 2021","Currency=USD","Period=FQ","BEST_FPERIOD_OVERRIDE=FQ","FILING_STATUS=MR","SCALING_FORMAT=MLN","Sort=A","Dates=H","DateFormat=P","Fill=—","Direction=H","UseDPDF=Y")</f>
        <v>—</v>
      </c>
      <c r="N62" s="13" t="str">
        <f>_xll.BDH("GILD US Equity","ARDR_BUILDING","FQ3 2021","FQ3 2021","Currency=USD","Period=FQ","BEST_FPERIOD_OVERRIDE=FQ","FILING_STATUS=MR","SCALING_FORMAT=MLN","Sort=A","Dates=H","DateFormat=P","Fill=—","Direction=H","UseDPDF=Y")</f>
        <v>—</v>
      </c>
      <c r="O62" s="13">
        <f>_xll.BDH("GILD US Equity","ARDR_BUILDING","FQ4 2021","FQ4 2021","Currency=USD","Period=FQ","BEST_FPERIOD_OVERRIDE=FQ","FILING_STATUS=MR","SCALING_FORMAT=MLN","Sort=A","Dates=H","DateFormat=P","Fill=—","Direction=H","UseDPDF=Y")</f>
        <v>3794</v>
      </c>
      <c r="P62" s="13" t="str">
        <f>_xll.BDH("GILD US Equity","ARDR_BUILDING","FQ1 2022","FQ1 2022","Currency=USD","Period=FQ","BEST_FPERIOD_OVERRIDE=FQ","FILING_STATUS=MR","SCALING_FORMAT=MLN","Sort=A","Dates=H","DateFormat=P","Fill=—","Direction=H","UseDPDF=Y")</f>
        <v>—</v>
      </c>
      <c r="Q62" s="13" t="str">
        <f>_xll.BDH("GILD US Equity","ARDR_BUILDING","FQ2 2022","FQ2 2022","Currency=USD","Period=FQ","BEST_FPERIOD_OVERRIDE=FQ","FILING_STATUS=MR","SCALING_FORMAT=MLN","Sort=A","Dates=H","DateFormat=P","Fill=—","Direction=H","UseDPDF=Y")</f>
        <v>—</v>
      </c>
      <c r="R62" s="13" t="str">
        <f>_xll.BDH("GILD US Equity","ARDR_BUILDING","FQ3 2022","FQ3 2022","Currency=USD","Period=FQ","BEST_FPERIOD_OVERRIDE=FQ","FILING_STATUS=MR","SCALING_FORMAT=MLN","Sort=A","Dates=H","DateFormat=P","Fill=—","Direction=H","UseDPDF=Y")</f>
        <v>—</v>
      </c>
      <c r="S62" s="13">
        <f>_xll.BDH("GILD US Equity","ARDR_BUILDING","FQ4 2022","FQ4 2022","Currency=USD","Period=FQ","BEST_FPERIOD_OVERRIDE=FQ","FILING_STATUS=MR","SCALING_FORMAT=MLN","Sort=A","Dates=H","DateFormat=P","Fill=—","Direction=H","UseDPDF=Y")</f>
        <v>4390</v>
      </c>
      <c r="T62" s="13" t="str">
        <f>_xll.BDH("GILD US Equity","ARDR_BUILDING","FQ1 2023","FQ1 2023","Currency=USD","Period=FQ","BEST_FPERIOD_OVERRIDE=FQ","FILING_STATUS=MR","SCALING_FORMAT=MLN","Sort=A","Dates=H","DateFormat=P","Fill=—","Direction=H","UseDPDF=Y")</f>
        <v>—</v>
      </c>
      <c r="U62" s="13" t="str">
        <f>_xll.BDH("GILD US Equity","ARDR_BUILDING","FQ2 2023","FQ2 2023","Currency=USD","Period=FQ","BEST_FPERIOD_OVERRIDE=FQ","FILING_STATUS=MR","SCALING_FORMAT=MLN","Sort=A","Dates=H","DateFormat=P","Fill=—","Direction=H","UseDPDF=Y")</f>
        <v>—</v>
      </c>
      <c r="V62" s="13" t="str">
        <f>_xll.BDH("GILD US Equity","ARDR_BUILDING","FQ3 2023","FQ3 2023","Currency=USD","Period=FQ","BEST_FPERIOD_OVERRIDE=FQ","FILING_STATUS=MR","SCALING_FORMAT=MLN","Sort=A","Dates=H","DateFormat=P","Fill=—","Direction=H","UseDPDF=Y")</f>
        <v>—</v>
      </c>
      <c r="W62" s="13">
        <f>_xll.BDH("GILD US Equity","ARDR_BUILDING","FQ4 2023","FQ4 2023","Currency=USD","Period=FQ","BEST_FPERIOD_OVERRIDE=FQ","FILING_STATUS=MR","SCALING_FORMAT=MLN","Sort=A","Dates=H","DateFormat=P","Fill=—","Direction=H","UseDPDF=Y")</f>
        <v>4328</v>
      </c>
      <c r="X62" s="13" t="str">
        <f>_xll.BDH("GILD US Equity","ARDR_BUILDING","FQ1 2024","FQ1 2024","Currency=USD","Period=FQ","BEST_FPERIOD_OVERRIDE=FQ","FILING_STATUS=MR","SCALING_FORMAT=MLN","Sort=A","Dates=H","DateFormat=P","Fill=—","Direction=H","UseDPDF=Y")</f>
        <v>—</v>
      </c>
      <c r="Y62" s="13" t="str">
        <f>_xll.BDH("GILD US Equity","ARDR_BUILDING","FQ2 2024","FQ2 2024","Currency=USD","Period=FQ","BEST_FPERIOD_OVERRIDE=FQ","FILING_STATUS=MR","SCALING_FORMAT=MLN","Sort=A","Dates=H","DateFormat=P","Fill=—","Direction=H","UseDPDF=Y")</f>
        <v>—</v>
      </c>
      <c r="Z62" s="13" t="str">
        <f>_xll.BDH("GILD US Equity","ARDR_BUILDING","FQ3 2024","FQ3 2024","Currency=USD","Period=FQ","BEST_FPERIOD_OVERRIDE=FQ","FILING_STATUS=MR","SCALING_FORMAT=MLN","Sort=A","Dates=H","DateFormat=P","Fill=—","Direction=H","UseDPDF=Y")</f>
        <v>—</v>
      </c>
      <c r="AA62" s="13">
        <f>_xll.BDH("GILD US Equity","ARDR_BUILDING","FQ4 2024","FQ4 2024","Currency=USD","Period=FQ","BEST_FPERIOD_OVERRIDE=FQ","FILING_STATUS=MR","SCALING_FORMAT=MLN","Sort=A","Dates=H","DateFormat=P","Fill=—","Direction=H","UseDPDF=Y")</f>
        <v>4539</v>
      </c>
    </row>
    <row r="63" spans="1:27" x14ac:dyDescent="0.25">
      <c r="A63" s="10" t="s">
        <v>999</v>
      </c>
      <c r="B63" s="10" t="s">
        <v>1000</v>
      </c>
      <c r="C63" s="13">
        <f>_xll.BDH("GILD US Equity","ARDR_CONSTRUCTION_IN_PROGRESS","FQ4 2018","FQ4 2018","Currency=USD","Period=FQ","BEST_FPERIOD_OVERRIDE=FQ","FILING_STATUS=MR","SCALING_FORMAT=MLN","Sort=A","Dates=H","DateFormat=P","Fill=—","Direction=H","UseDPDF=Y")</f>
        <v>1194</v>
      </c>
      <c r="D63" s="13" t="str">
        <f>_xll.BDH("GILD US Equity","ARDR_CONSTRUCTION_IN_PROGRESS","FQ1 2019","FQ1 2019","Currency=USD","Period=FQ","BEST_FPERIOD_OVERRIDE=FQ","FILING_STATUS=MR","SCALING_FORMAT=MLN","Sort=A","Dates=H","DateFormat=P","Fill=—","Direction=H","UseDPDF=Y")</f>
        <v>—</v>
      </c>
      <c r="E63" s="13" t="str">
        <f>_xll.BDH("GILD US Equity","ARDR_CONSTRUCTION_IN_PROGRESS","FQ2 2019","FQ2 2019","Currency=USD","Period=FQ","BEST_FPERIOD_OVERRIDE=FQ","FILING_STATUS=MR","SCALING_FORMAT=MLN","Sort=A","Dates=H","DateFormat=P","Fill=—","Direction=H","UseDPDF=Y")</f>
        <v>—</v>
      </c>
      <c r="F63" s="13" t="str">
        <f>_xll.BDH("GILD US Equity","ARDR_CONSTRUCTION_IN_PROGRESS","FQ3 2019","FQ3 2019","Currency=USD","Period=FQ","BEST_FPERIOD_OVERRIDE=FQ","FILING_STATUS=MR","SCALING_FORMAT=MLN","Sort=A","Dates=H","DateFormat=P","Fill=—","Direction=H","UseDPDF=Y")</f>
        <v>—</v>
      </c>
      <c r="G63" s="13">
        <f>_xll.BDH("GILD US Equity","ARDR_CONSTRUCTION_IN_PROGRESS","FQ4 2019","FQ4 2019","Currency=USD","Period=FQ","BEST_FPERIOD_OVERRIDE=FQ","FILING_STATUS=MR","SCALING_FORMAT=MLN","Sort=A","Dates=H","DateFormat=P","Fill=—","Direction=H","UseDPDF=Y")</f>
        <v>723</v>
      </c>
      <c r="H63" s="13" t="str">
        <f>_xll.BDH("GILD US Equity","ARDR_CONSTRUCTION_IN_PROGRESS","FQ1 2020","FQ1 2020","Currency=USD","Period=FQ","BEST_FPERIOD_OVERRIDE=FQ","FILING_STATUS=MR","SCALING_FORMAT=MLN","Sort=A","Dates=H","DateFormat=P","Fill=—","Direction=H","UseDPDF=Y")</f>
        <v>—</v>
      </c>
      <c r="I63" s="13" t="str">
        <f>_xll.BDH("GILD US Equity","ARDR_CONSTRUCTION_IN_PROGRESS","FQ2 2020","FQ2 2020","Currency=USD","Period=FQ","BEST_FPERIOD_OVERRIDE=FQ","FILING_STATUS=MR","SCALING_FORMAT=MLN","Sort=A","Dates=H","DateFormat=P","Fill=—","Direction=H","UseDPDF=Y")</f>
        <v>—</v>
      </c>
      <c r="J63" s="13" t="str">
        <f>_xll.BDH("GILD US Equity","ARDR_CONSTRUCTION_IN_PROGRESS","FQ3 2020","FQ3 2020","Currency=USD","Period=FQ","BEST_FPERIOD_OVERRIDE=FQ","FILING_STATUS=MR","SCALING_FORMAT=MLN","Sort=A","Dates=H","DateFormat=P","Fill=—","Direction=H","UseDPDF=Y")</f>
        <v>—</v>
      </c>
      <c r="K63" s="13">
        <f>_xll.BDH("GILD US Equity","ARDR_CONSTRUCTION_IN_PROGRESS","FQ4 2020","FQ4 2020","Currency=USD","Period=FQ","BEST_FPERIOD_OVERRIDE=FQ","FILING_STATUS=MR","SCALING_FORMAT=MLN","Sort=A","Dates=H","DateFormat=P","Fill=—","Direction=H","UseDPDF=Y")</f>
        <v>856</v>
      </c>
      <c r="L63" s="13" t="str">
        <f>_xll.BDH("GILD US Equity","ARDR_CONSTRUCTION_IN_PROGRESS","FQ1 2021","FQ1 2021","Currency=USD","Period=FQ","BEST_FPERIOD_OVERRIDE=FQ","FILING_STATUS=MR","SCALING_FORMAT=MLN","Sort=A","Dates=H","DateFormat=P","Fill=—","Direction=H","UseDPDF=Y")</f>
        <v>—</v>
      </c>
      <c r="M63" s="13" t="str">
        <f>_xll.BDH("GILD US Equity","ARDR_CONSTRUCTION_IN_PROGRESS","FQ2 2021","FQ2 2021","Currency=USD","Period=FQ","BEST_FPERIOD_OVERRIDE=FQ","FILING_STATUS=MR","SCALING_FORMAT=MLN","Sort=A","Dates=H","DateFormat=P","Fill=—","Direction=H","UseDPDF=Y")</f>
        <v>—</v>
      </c>
      <c r="N63" s="13" t="str">
        <f>_xll.BDH("GILD US Equity","ARDR_CONSTRUCTION_IN_PROGRESS","FQ3 2021","FQ3 2021","Currency=USD","Period=FQ","BEST_FPERIOD_OVERRIDE=FQ","FILING_STATUS=MR","SCALING_FORMAT=MLN","Sort=A","Dates=H","DateFormat=P","Fill=—","Direction=H","UseDPDF=Y")</f>
        <v>—</v>
      </c>
      <c r="O63" s="13">
        <f>_xll.BDH("GILD US Equity","ARDR_CONSTRUCTION_IN_PROGRESS","FQ4 2021","FQ4 2021","Currency=USD","Period=FQ","BEST_FPERIOD_OVERRIDE=FQ","FILING_STATUS=MR","SCALING_FORMAT=MLN","Sort=A","Dates=H","DateFormat=P","Fill=—","Direction=H","UseDPDF=Y")</f>
        <v>1057</v>
      </c>
      <c r="P63" s="13" t="str">
        <f>_xll.BDH("GILD US Equity","ARDR_CONSTRUCTION_IN_PROGRESS","FQ1 2022","FQ1 2022","Currency=USD","Period=FQ","BEST_FPERIOD_OVERRIDE=FQ","FILING_STATUS=MR","SCALING_FORMAT=MLN","Sort=A","Dates=H","DateFormat=P","Fill=—","Direction=H","UseDPDF=Y")</f>
        <v>—</v>
      </c>
      <c r="Q63" s="13" t="str">
        <f>_xll.BDH("GILD US Equity","ARDR_CONSTRUCTION_IN_PROGRESS","FQ2 2022","FQ2 2022","Currency=USD","Period=FQ","BEST_FPERIOD_OVERRIDE=FQ","FILING_STATUS=MR","SCALING_FORMAT=MLN","Sort=A","Dates=H","DateFormat=P","Fill=—","Direction=H","UseDPDF=Y")</f>
        <v>—</v>
      </c>
      <c r="R63" s="13" t="str">
        <f>_xll.BDH("GILD US Equity","ARDR_CONSTRUCTION_IN_PROGRESS","FQ3 2022","FQ3 2022","Currency=USD","Period=FQ","BEST_FPERIOD_OVERRIDE=FQ","FILING_STATUS=MR","SCALING_FORMAT=MLN","Sort=A","Dates=H","DateFormat=P","Fill=—","Direction=H","UseDPDF=Y")</f>
        <v>—</v>
      </c>
      <c r="S63" s="13">
        <f>_xll.BDH("GILD US Equity","ARDR_CONSTRUCTION_IN_PROGRESS","FQ4 2022","FQ4 2022","Currency=USD","Period=FQ","BEST_FPERIOD_OVERRIDE=FQ","FILING_STATUS=MR","SCALING_FORMAT=MLN","Sort=A","Dates=H","DateFormat=P","Fill=—","Direction=H","UseDPDF=Y")</f>
        <v>719</v>
      </c>
      <c r="T63" s="13" t="str">
        <f>_xll.BDH("GILD US Equity","ARDR_CONSTRUCTION_IN_PROGRESS","FQ1 2023","FQ1 2023","Currency=USD","Period=FQ","BEST_FPERIOD_OVERRIDE=FQ","FILING_STATUS=MR","SCALING_FORMAT=MLN","Sort=A","Dates=H","DateFormat=P","Fill=—","Direction=H","UseDPDF=Y")</f>
        <v>—</v>
      </c>
      <c r="U63" s="13" t="str">
        <f>_xll.BDH("GILD US Equity","ARDR_CONSTRUCTION_IN_PROGRESS","FQ2 2023","FQ2 2023","Currency=USD","Period=FQ","BEST_FPERIOD_OVERRIDE=FQ","FILING_STATUS=MR","SCALING_FORMAT=MLN","Sort=A","Dates=H","DateFormat=P","Fill=—","Direction=H","UseDPDF=Y")</f>
        <v>—</v>
      </c>
      <c r="V63" s="13" t="str">
        <f>_xll.BDH("GILD US Equity","ARDR_CONSTRUCTION_IN_PROGRESS","FQ3 2023","FQ3 2023","Currency=USD","Period=FQ","BEST_FPERIOD_OVERRIDE=FQ","FILING_STATUS=MR","SCALING_FORMAT=MLN","Sort=A","Dates=H","DateFormat=P","Fill=—","Direction=H","UseDPDF=Y")</f>
        <v>—</v>
      </c>
      <c r="W63" s="13">
        <f>_xll.BDH("GILD US Equity","ARDR_CONSTRUCTION_IN_PROGRESS","FQ4 2023","FQ4 2023","Currency=USD","Period=FQ","BEST_FPERIOD_OVERRIDE=FQ","FILING_STATUS=MR","SCALING_FORMAT=MLN","Sort=A","Dates=H","DateFormat=P","Fill=—","Direction=H","UseDPDF=Y")</f>
        <v>661</v>
      </c>
      <c r="X63" s="13" t="str">
        <f>_xll.BDH("GILD US Equity","ARDR_CONSTRUCTION_IN_PROGRESS","FQ1 2024","FQ1 2024","Currency=USD","Period=FQ","BEST_FPERIOD_OVERRIDE=FQ","FILING_STATUS=MR","SCALING_FORMAT=MLN","Sort=A","Dates=H","DateFormat=P","Fill=—","Direction=H","UseDPDF=Y")</f>
        <v>—</v>
      </c>
      <c r="Y63" s="13" t="str">
        <f>_xll.BDH("GILD US Equity","ARDR_CONSTRUCTION_IN_PROGRESS","FQ2 2024","FQ2 2024","Currency=USD","Period=FQ","BEST_FPERIOD_OVERRIDE=FQ","FILING_STATUS=MR","SCALING_FORMAT=MLN","Sort=A","Dates=H","DateFormat=P","Fill=—","Direction=H","UseDPDF=Y")</f>
        <v>—</v>
      </c>
      <c r="Z63" s="13" t="str">
        <f>_xll.BDH("GILD US Equity","ARDR_CONSTRUCTION_IN_PROGRESS","FQ3 2024","FQ3 2024","Currency=USD","Period=FQ","BEST_FPERIOD_OVERRIDE=FQ","FILING_STATUS=MR","SCALING_FORMAT=MLN","Sort=A","Dates=H","DateFormat=P","Fill=—","Direction=H","UseDPDF=Y")</f>
        <v>—</v>
      </c>
      <c r="AA63" s="13">
        <f>_xll.BDH("GILD US Equity","ARDR_CONSTRUCTION_IN_PROGRESS","FQ4 2024","FQ4 2024","Currency=USD","Period=FQ","BEST_FPERIOD_OVERRIDE=FQ","FILING_STATUS=MR","SCALING_FORMAT=MLN","Sort=A","Dates=H","DateFormat=P","Fill=—","Direction=H","UseDPDF=Y")</f>
        <v>501</v>
      </c>
    </row>
    <row r="64" spans="1:27" x14ac:dyDescent="0.25">
      <c r="A64" s="10" t="s">
        <v>1001</v>
      </c>
      <c r="B64" s="10" t="s">
        <v>1002</v>
      </c>
      <c r="C64" s="13">
        <f>_xll.BDH("GILD US Equity","ARDR_FURNITURE_MACHINERY_EQUIP","FQ4 2018","FQ4 2018","Currency=USD","Period=FQ","BEST_FPERIOD_OVERRIDE=FQ","FILING_STATUS=MR","SCALING_FORMAT=MLN","Sort=A","Dates=H","DateFormat=P","Fill=—","Direction=H","UseDPDF=Y")</f>
        <v>1255</v>
      </c>
      <c r="D64" s="13" t="str">
        <f>_xll.BDH("GILD US Equity","ARDR_FURNITURE_MACHINERY_EQUIP","FQ1 2019","FQ1 2019","Currency=USD","Period=FQ","BEST_FPERIOD_OVERRIDE=FQ","FILING_STATUS=MR","SCALING_FORMAT=MLN","Sort=A","Dates=H","DateFormat=P","Fill=—","Direction=H","UseDPDF=Y")</f>
        <v>—</v>
      </c>
      <c r="E64" s="13" t="str">
        <f>_xll.BDH("GILD US Equity","ARDR_FURNITURE_MACHINERY_EQUIP","FQ2 2019","FQ2 2019","Currency=USD","Period=FQ","BEST_FPERIOD_OVERRIDE=FQ","FILING_STATUS=MR","SCALING_FORMAT=MLN","Sort=A","Dates=H","DateFormat=P","Fill=—","Direction=H","UseDPDF=Y")</f>
        <v>—</v>
      </c>
      <c r="F64" s="13" t="str">
        <f>_xll.BDH("GILD US Equity","ARDR_FURNITURE_MACHINERY_EQUIP","FQ3 2019","FQ3 2019","Currency=USD","Period=FQ","BEST_FPERIOD_OVERRIDE=FQ","FILING_STATUS=MR","SCALING_FORMAT=MLN","Sort=A","Dates=H","DateFormat=P","Fill=—","Direction=H","UseDPDF=Y")</f>
        <v>—</v>
      </c>
      <c r="G64" s="13">
        <f>_xll.BDH("GILD US Equity","ARDR_FURNITURE_MACHINERY_EQUIP","FQ4 2019","FQ4 2019","Currency=USD","Period=FQ","BEST_FPERIOD_OVERRIDE=FQ","FILING_STATUS=MR","SCALING_FORMAT=MLN","Sort=A","Dates=H","DateFormat=P","Fill=—","Direction=H","UseDPDF=Y")</f>
        <v>1439</v>
      </c>
      <c r="H64" s="13" t="str">
        <f>_xll.BDH("GILD US Equity","ARDR_FURNITURE_MACHINERY_EQUIP","FQ1 2020","FQ1 2020","Currency=USD","Period=FQ","BEST_FPERIOD_OVERRIDE=FQ","FILING_STATUS=MR","SCALING_FORMAT=MLN","Sort=A","Dates=H","DateFormat=P","Fill=—","Direction=H","UseDPDF=Y")</f>
        <v>—</v>
      </c>
      <c r="I64" s="13" t="str">
        <f>_xll.BDH("GILD US Equity","ARDR_FURNITURE_MACHINERY_EQUIP","FQ2 2020","FQ2 2020","Currency=USD","Period=FQ","BEST_FPERIOD_OVERRIDE=FQ","FILING_STATUS=MR","SCALING_FORMAT=MLN","Sort=A","Dates=H","DateFormat=P","Fill=—","Direction=H","UseDPDF=Y")</f>
        <v>—</v>
      </c>
      <c r="J64" s="13" t="str">
        <f>_xll.BDH("GILD US Equity","ARDR_FURNITURE_MACHINERY_EQUIP","FQ3 2020","FQ3 2020","Currency=USD","Period=FQ","BEST_FPERIOD_OVERRIDE=FQ","FILING_STATUS=MR","SCALING_FORMAT=MLN","Sort=A","Dates=H","DateFormat=P","Fill=—","Direction=H","UseDPDF=Y")</f>
        <v>—</v>
      </c>
      <c r="K64" s="13">
        <f>_xll.BDH("GILD US Equity","ARDR_FURNITURE_MACHINERY_EQUIP","FQ4 2020","FQ4 2020","Currency=USD","Period=FQ","BEST_FPERIOD_OVERRIDE=FQ","FILING_STATUS=MR","SCALING_FORMAT=MLN","Sort=A","Dates=H","DateFormat=P","Fill=—","Direction=H","UseDPDF=Y")</f>
        <v>1697</v>
      </c>
      <c r="L64" s="13" t="str">
        <f>_xll.BDH("GILD US Equity","ARDR_FURNITURE_MACHINERY_EQUIP","FQ1 2021","FQ1 2021","Currency=USD","Period=FQ","BEST_FPERIOD_OVERRIDE=FQ","FILING_STATUS=MR","SCALING_FORMAT=MLN","Sort=A","Dates=H","DateFormat=P","Fill=—","Direction=H","UseDPDF=Y")</f>
        <v>—</v>
      </c>
      <c r="M64" s="13" t="str">
        <f>_xll.BDH("GILD US Equity","ARDR_FURNITURE_MACHINERY_EQUIP","FQ2 2021","FQ2 2021","Currency=USD","Period=FQ","BEST_FPERIOD_OVERRIDE=FQ","FILING_STATUS=MR","SCALING_FORMAT=MLN","Sort=A","Dates=H","DateFormat=P","Fill=—","Direction=H","UseDPDF=Y")</f>
        <v>—</v>
      </c>
      <c r="N64" s="13" t="str">
        <f>_xll.BDH("GILD US Equity","ARDR_FURNITURE_MACHINERY_EQUIP","FQ3 2021","FQ3 2021","Currency=USD","Period=FQ","BEST_FPERIOD_OVERRIDE=FQ","FILING_STATUS=MR","SCALING_FORMAT=MLN","Sort=A","Dates=H","DateFormat=P","Fill=—","Direction=H","UseDPDF=Y")</f>
        <v>—</v>
      </c>
      <c r="O64" s="13">
        <f>_xll.BDH("GILD US Equity","ARDR_FURNITURE_MACHINERY_EQUIP","FQ4 2021","FQ4 2021","Currency=USD","Period=FQ","BEST_FPERIOD_OVERRIDE=FQ","FILING_STATUS=MR","SCALING_FORMAT=MLN","Sort=A","Dates=H","DateFormat=P","Fill=—","Direction=H","UseDPDF=Y")</f>
        <v>1759</v>
      </c>
      <c r="P64" s="13" t="str">
        <f>_xll.BDH("GILD US Equity","ARDR_FURNITURE_MACHINERY_EQUIP","FQ1 2022","FQ1 2022","Currency=USD","Period=FQ","BEST_FPERIOD_OVERRIDE=FQ","FILING_STATUS=MR","SCALING_FORMAT=MLN","Sort=A","Dates=H","DateFormat=P","Fill=—","Direction=H","UseDPDF=Y")</f>
        <v>—</v>
      </c>
      <c r="Q64" s="13" t="str">
        <f>_xll.BDH("GILD US Equity","ARDR_FURNITURE_MACHINERY_EQUIP","FQ2 2022","FQ2 2022","Currency=USD","Period=FQ","BEST_FPERIOD_OVERRIDE=FQ","FILING_STATUS=MR","SCALING_FORMAT=MLN","Sort=A","Dates=H","DateFormat=P","Fill=—","Direction=H","UseDPDF=Y")</f>
        <v>—</v>
      </c>
      <c r="R64" s="13" t="str">
        <f>_xll.BDH("GILD US Equity","ARDR_FURNITURE_MACHINERY_EQUIP","FQ3 2022","FQ3 2022","Currency=USD","Period=FQ","BEST_FPERIOD_OVERRIDE=FQ","FILING_STATUS=MR","SCALING_FORMAT=MLN","Sort=A","Dates=H","DateFormat=P","Fill=—","Direction=H","UseDPDF=Y")</f>
        <v>—</v>
      </c>
      <c r="S64" s="13">
        <f>_xll.BDH("GILD US Equity","ARDR_FURNITURE_MACHINERY_EQUIP","FQ4 2022","FQ4 2022","Currency=USD","Period=FQ","BEST_FPERIOD_OVERRIDE=FQ","FILING_STATUS=MR","SCALING_FORMAT=MLN","Sort=A","Dates=H","DateFormat=P","Fill=—","Direction=H","UseDPDF=Y")</f>
        <v>1990</v>
      </c>
      <c r="T64" s="13" t="str">
        <f>_xll.BDH("GILD US Equity","ARDR_FURNITURE_MACHINERY_EQUIP","FQ1 2023","FQ1 2023","Currency=USD","Period=FQ","BEST_FPERIOD_OVERRIDE=FQ","FILING_STATUS=MR","SCALING_FORMAT=MLN","Sort=A","Dates=H","DateFormat=P","Fill=—","Direction=H","UseDPDF=Y")</f>
        <v>—</v>
      </c>
      <c r="U64" s="13" t="str">
        <f>_xll.BDH("GILD US Equity","ARDR_FURNITURE_MACHINERY_EQUIP","FQ2 2023","FQ2 2023","Currency=USD","Period=FQ","BEST_FPERIOD_OVERRIDE=FQ","FILING_STATUS=MR","SCALING_FORMAT=MLN","Sort=A","Dates=H","DateFormat=P","Fill=—","Direction=H","UseDPDF=Y")</f>
        <v>—</v>
      </c>
      <c r="V64" s="13" t="str">
        <f>_xll.BDH("GILD US Equity","ARDR_FURNITURE_MACHINERY_EQUIP","FQ3 2023","FQ3 2023","Currency=USD","Period=FQ","BEST_FPERIOD_OVERRIDE=FQ","FILING_STATUS=MR","SCALING_FORMAT=MLN","Sort=A","Dates=H","DateFormat=P","Fill=—","Direction=H","UseDPDF=Y")</f>
        <v>—</v>
      </c>
      <c r="W64" s="13">
        <f>_xll.BDH("GILD US Equity","ARDR_FURNITURE_MACHINERY_EQUIP","FQ4 2023","FQ4 2023","Currency=USD","Period=FQ","BEST_FPERIOD_OVERRIDE=FQ","FILING_STATUS=MR","SCALING_FORMAT=MLN","Sort=A","Dates=H","DateFormat=P","Fill=—","Direction=H","UseDPDF=Y")</f>
        <v>2216</v>
      </c>
      <c r="X64" s="13" t="str">
        <f>_xll.BDH("GILD US Equity","ARDR_FURNITURE_MACHINERY_EQUIP","FQ1 2024","FQ1 2024","Currency=USD","Period=FQ","BEST_FPERIOD_OVERRIDE=FQ","FILING_STATUS=MR","SCALING_FORMAT=MLN","Sort=A","Dates=H","DateFormat=P","Fill=—","Direction=H","UseDPDF=Y")</f>
        <v>—</v>
      </c>
      <c r="Y64" s="13" t="str">
        <f>_xll.BDH("GILD US Equity","ARDR_FURNITURE_MACHINERY_EQUIP","FQ2 2024","FQ2 2024","Currency=USD","Period=FQ","BEST_FPERIOD_OVERRIDE=FQ","FILING_STATUS=MR","SCALING_FORMAT=MLN","Sort=A","Dates=H","DateFormat=P","Fill=—","Direction=H","UseDPDF=Y")</f>
        <v>—</v>
      </c>
      <c r="Z64" s="13" t="str">
        <f>_xll.BDH("GILD US Equity","ARDR_FURNITURE_MACHINERY_EQUIP","FQ3 2024","FQ3 2024","Currency=USD","Period=FQ","BEST_FPERIOD_OVERRIDE=FQ","FILING_STATUS=MR","SCALING_FORMAT=MLN","Sort=A","Dates=H","DateFormat=P","Fill=—","Direction=H","UseDPDF=Y")</f>
        <v>—</v>
      </c>
      <c r="AA64" s="13">
        <f>_xll.BDH("GILD US Equity","ARDR_FURNITURE_MACHINERY_EQUIP","FQ4 2024","FQ4 2024","Currency=USD","Period=FQ","BEST_FPERIOD_OVERRIDE=FQ","FILING_STATUS=MR","SCALING_FORMAT=MLN","Sort=A","Dates=H","DateFormat=P","Fill=—","Direction=H","UseDPDF=Y")</f>
        <v>2282</v>
      </c>
    </row>
    <row r="65" spans="1:27" x14ac:dyDescent="0.25">
      <c r="A65" s="10" t="s">
        <v>1003</v>
      </c>
      <c r="B65" s="10" t="s">
        <v>1004</v>
      </c>
      <c r="C65" s="13">
        <f>_xll.BDH("GILD US Equity","ARDR_PROPERTY_PLANT_EQUIP_GROSS","FQ4 2018","FQ4 2018","Currency=USD","Period=FQ","BEST_FPERIOD_OVERRIDE=FQ","FILING_STATUS=MR","SCALING_FORMAT=MLN","Sort=A","Dates=H","DateFormat=P","Fill=—","Direction=H","UseDPDF=Y")</f>
        <v>5197</v>
      </c>
      <c r="D65" s="13" t="str">
        <f>_xll.BDH("GILD US Equity","ARDR_PROPERTY_PLANT_EQUIP_GROSS","FQ1 2019","FQ1 2019","Currency=USD","Period=FQ","BEST_FPERIOD_OVERRIDE=FQ","FILING_STATUS=MR","SCALING_FORMAT=MLN","Sort=A","Dates=H","DateFormat=P","Fill=—","Direction=H","UseDPDF=Y")</f>
        <v>—</v>
      </c>
      <c r="E65" s="13" t="str">
        <f>_xll.BDH("GILD US Equity","ARDR_PROPERTY_PLANT_EQUIP_GROSS","FQ2 2019","FQ2 2019","Currency=USD","Period=FQ","BEST_FPERIOD_OVERRIDE=FQ","FILING_STATUS=MR","SCALING_FORMAT=MLN","Sort=A","Dates=H","DateFormat=P","Fill=—","Direction=H","UseDPDF=Y")</f>
        <v>—</v>
      </c>
      <c r="F65" s="13" t="str">
        <f>_xll.BDH("GILD US Equity","ARDR_PROPERTY_PLANT_EQUIP_GROSS","FQ3 2019","FQ3 2019","Currency=USD","Period=FQ","BEST_FPERIOD_OVERRIDE=FQ","FILING_STATUS=MR","SCALING_FORMAT=MLN","Sort=A","Dates=H","DateFormat=P","Fill=—","Direction=H","UseDPDF=Y")</f>
        <v>—</v>
      </c>
      <c r="G65" s="13">
        <f>_xll.BDH("GILD US Equity","ARDR_PROPERTY_PLANT_EQUIP_GROSS","FQ4 2019","FQ4 2019","Currency=USD","Period=FQ","BEST_FPERIOD_OVERRIDE=FQ","FILING_STATUS=MR","SCALING_FORMAT=MLN","Sort=A","Dates=H","DateFormat=P","Fill=—","Direction=H","UseDPDF=Y")</f>
        <v>5924</v>
      </c>
      <c r="H65" s="13" t="str">
        <f>_xll.BDH("GILD US Equity","ARDR_PROPERTY_PLANT_EQUIP_GROSS","FQ1 2020","FQ1 2020","Currency=USD","Period=FQ","BEST_FPERIOD_OVERRIDE=FQ","FILING_STATUS=MR","SCALING_FORMAT=MLN","Sort=A","Dates=H","DateFormat=P","Fill=—","Direction=H","UseDPDF=Y")</f>
        <v>—</v>
      </c>
      <c r="I65" s="13" t="str">
        <f>_xll.BDH("GILD US Equity","ARDR_PROPERTY_PLANT_EQUIP_GROSS","FQ2 2020","FQ2 2020","Currency=USD","Period=FQ","BEST_FPERIOD_OVERRIDE=FQ","FILING_STATUS=MR","SCALING_FORMAT=MLN","Sort=A","Dates=H","DateFormat=P","Fill=—","Direction=H","UseDPDF=Y")</f>
        <v>—</v>
      </c>
      <c r="J65" s="13" t="str">
        <f>_xll.BDH("GILD US Equity","ARDR_PROPERTY_PLANT_EQUIP_GROSS","FQ3 2020","FQ3 2020","Currency=USD","Period=FQ","BEST_FPERIOD_OVERRIDE=FQ","FILING_STATUS=MR","SCALING_FORMAT=MLN","Sort=A","Dates=H","DateFormat=P","Fill=—","Direction=H","UseDPDF=Y")</f>
        <v>—</v>
      </c>
      <c r="K65" s="13">
        <f>_xll.BDH("GILD US Equity","ARDR_PROPERTY_PLANT_EQUIP_GROSS","FQ4 2020","FQ4 2020","Currency=USD","Period=FQ","BEST_FPERIOD_OVERRIDE=FQ","FILING_STATUS=MR","SCALING_FORMAT=MLN","Sort=A","Dates=H","DateFormat=P","Fill=—","Direction=H","UseDPDF=Y")</f>
        <v>6635</v>
      </c>
      <c r="L65" s="13" t="str">
        <f>_xll.BDH("GILD US Equity","ARDR_PROPERTY_PLANT_EQUIP_GROSS","FQ1 2021","FQ1 2021","Currency=USD","Period=FQ","BEST_FPERIOD_OVERRIDE=FQ","FILING_STATUS=MR","SCALING_FORMAT=MLN","Sort=A","Dates=H","DateFormat=P","Fill=—","Direction=H","UseDPDF=Y")</f>
        <v>—</v>
      </c>
      <c r="M65" s="13" t="str">
        <f>_xll.BDH("GILD US Equity","ARDR_PROPERTY_PLANT_EQUIP_GROSS","FQ2 2021","FQ2 2021","Currency=USD","Period=FQ","BEST_FPERIOD_OVERRIDE=FQ","FILING_STATUS=MR","SCALING_FORMAT=MLN","Sort=A","Dates=H","DateFormat=P","Fill=—","Direction=H","UseDPDF=Y")</f>
        <v>—</v>
      </c>
      <c r="N65" s="13" t="str">
        <f>_xll.BDH("GILD US Equity","ARDR_PROPERTY_PLANT_EQUIP_GROSS","FQ3 2021","FQ3 2021","Currency=USD","Period=FQ","BEST_FPERIOD_OVERRIDE=FQ","FILING_STATUS=MR","SCALING_FORMAT=MLN","Sort=A","Dates=H","DateFormat=P","Fill=—","Direction=H","UseDPDF=Y")</f>
        <v>—</v>
      </c>
      <c r="O65" s="13">
        <f>_xll.BDH("GILD US Equity","ARDR_PROPERTY_PLANT_EQUIP_GROSS","FQ4 2021","FQ4 2021","Currency=USD","Period=FQ","BEST_FPERIOD_OVERRIDE=FQ","FILING_STATUS=MR","SCALING_FORMAT=MLN","Sort=A","Dates=H","DateFormat=P","Fill=—","Direction=H","UseDPDF=Y")</f>
        <v>7014</v>
      </c>
      <c r="P65" s="13" t="str">
        <f>_xll.BDH("GILD US Equity","ARDR_PROPERTY_PLANT_EQUIP_GROSS","FQ1 2022","FQ1 2022","Currency=USD","Period=FQ","BEST_FPERIOD_OVERRIDE=FQ","FILING_STATUS=MR","SCALING_FORMAT=MLN","Sort=A","Dates=H","DateFormat=P","Fill=—","Direction=H","UseDPDF=Y")</f>
        <v>—</v>
      </c>
      <c r="Q65" s="13" t="str">
        <f>_xll.BDH("GILD US Equity","ARDR_PROPERTY_PLANT_EQUIP_GROSS","FQ2 2022","FQ2 2022","Currency=USD","Period=FQ","BEST_FPERIOD_OVERRIDE=FQ","FILING_STATUS=MR","SCALING_FORMAT=MLN","Sort=A","Dates=H","DateFormat=P","Fill=—","Direction=H","UseDPDF=Y")</f>
        <v>—</v>
      </c>
      <c r="R65" s="13" t="str">
        <f>_xll.BDH("GILD US Equity","ARDR_PROPERTY_PLANT_EQUIP_GROSS","FQ3 2022","FQ3 2022","Currency=USD","Period=FQ","BEST_FPERIOD_OVERRIDE=FQ","FILING_STATUS=MR","SCALING_FORMAT=MLN","Sort=A","Dates=H","DateFormat=P","Fill=—","Direction=H","UseDPDF=Y")</f>
        <v>—</v>
      </c>
      <c r="S65" s="13">
        <f>_xll.BDH("GILD US Equity","ARDR_PROPERTY_PLANT_EQUIP_GROSS","FQ4 2022","FQ4 2022","Currency=USD","Period=FQ","BEST_FPERIOD_OVERRIDE=FQ","FILING_STATUS=MR","SCALING_FORMAT=MLN","Sort=A","Dates=H","DateFormat=P","Fill=—","Direction=H","UseDPDF=Y")</f>
        <v>7661</v>
      </c>
      <c r="T65" s="13" t="str">
        <f>_xll.BDH("GILD US Equity","ARDR_PROPERTY_PLANT_EQUIP_GROSS","FQ1 2023","FQ1 2023","Currency=USD","Period=FQ","BEST_FPERIOD_OVERRIDE=FQ","FILING_STATUS=MR","SCALING_FORMAT=MLN","Sort=A","Dates=H","DateFormat=P","Fill=—","Direction=H","UseDPDF=Y")</f>
        <v>—</v>
      </c>
      <c r="U65" s="13" t="str">
        <f>_xll.BDH("GILD US Equity","ARDR_PROPERTY_PLANT_EQUIP_GROSS","FQ2 2023","FQ2 2023","Currency=USD","Period=FQ","BEST_FPERIOD_OVERRIDE=FQ","FILING_STATUS=MR","SCALING_FORMAT=MLN","Sort=A","Dates=H","DateFormat=P","Fill=—","Direction=H","UseDPDF=Y")</f>
        <v>—</v>
      </c>
      <c r="V65" s="13" t="str">
        <f>_xll.BDH("GILD US Equity","ARDR_PROPERTY_PLANT_EQUIP_GROSS","FQ3 2023","FQ3 2023","Currency=USD","Period=FQ","BEST_FPERIOD_OVERRIDE=FQ","FILING_STATUS=MR","SCALING_FORMAT=MLN","Sort=A","Dates=H","DateFormat=P","Fill=—","Direction=H","UseDPDF=Y")</f>
        <v>—</v>
      </c>
      <c r="W65" s="13">
        <f>_xll.BDH("GILD US Equity","ARDR_PROPERTY_PLANT_EQUIP_GROSS","FQ4 2023","FQ4 2023","Currency=USD","Period=FQ","BEST_FPERIOD_OVERRIDE=FQ","FILING_STATUS=MR","SCALING_FORMAT=MLN","Sort=A","Dates=H","DateFormat=P","Fill=—","Direction=H","UseDPDF=Y")</f>
        <v>7766</v>
      </c>
      <c r="X65" s="13" t="str">
        <f>_xll.BDH("GILD US Equity","ARDR_PROPERTY_PLANT_EQUIP_GROSS","FQ1 2024","FQ1 2024","Currency=USD","Period=FQ","BEST_FPERIOD_OVERRIDE=FQ","FILING_STATUS=MR","SCALING_FORMAT=MLN","Sort=A","Dates=H","DateFormat=P","Fill=—","Direction=H","UseDPDF=Y")</f>
        <v>—</v>
      </c>
      <c r="Y65" s="13" t="str">
        <f>_xll.BDH("GILD US Equity","ARDR_PROPERTY_PLANT_EQUIP_GROSS","FQ2 2024","FQ2 2024","Currency=USD","Period=FQ","BEST_FPERIOD_OVERRIDE=FQ","FILING_STATUS=MR","SCALING_FORMAT=MLN","Sort=A","Dates=H","DateFormat=P","Fill=—","Direction=H","UseDPDF=Y")</f>
        <v>—</v>
      </c>
      <c r="Z65" s="13" t="str">
        <f>_xll.BDH("GILD US Equity","ARDR_PROPERTY_PLANT_EQUIP_GROSS","FQ3 2024","FQ3 2024","Currency=USD","Period=FQ","BEST_FPERIOD_OVERRIDE=FQ","FILING_STATUS=MR","SCALING_FORMAT=MLN","Sort=A","Dates=H","DateFormat=P","Fill=—","Direction=H","UseDPDF=Y")</f>
        <v>—</v>
      </c>
      <c r="AA65" s="13">
        <f>_xll.BDH("GILD US Equity","ARDR_PROPERTY_PLANT_EQUIP_GROSS","FQ4 2024","FQ4 2024","Currency=USD","Period=FQ","BEST_FPERIOD_OVERRIDE=FQ","FILING_STATUS=MR","SCALING_FORMAT=MLN","Sort=A","Dates=H","DateFormat=P","Fill=—","Direction=H","UseDPDF=Y")</f>
        <v>7884</v>
      </c>
    </row>
    <row r="66" spans="1:27" x14ac:dyDescent="0.25">
      <c r="A66" s="10" t="s">
        <v>1005</v>
      </c>
      <c r="B66" s="10" t="s">
        <v>1006</v>
      </c>
      <c r="C66" s="13">
        <f>_xll.BDH("GILD US Equity","ARDR_ACCUMULATED_DEPREC","FQ4 2018","FQ4 2018","Currency=USD","Period=FQ","BEST_FPERIOD_OVERRIDE=FQ","FILING_STATUS=MR","SCALING_FORMAT=MLN","Sort=A","Dates=H","DateFormat=P","Fill=—","Direction=H","UseDPDF=Y")</f>
        <v>1191</v>
      </c>
      <c r="D66" s="13" t="str">
        <f>_xll.BDH("GILD US Equity","ARDR_ACCUMULATED_DEPREC","FQ1 2019","FQ1 2019","Currency=USD","Period=FQ","BEST_FPERIOD_OVERRIDE=FQ","FILING_STATUS=MR","SCALING_FORMAT=MLN","Sort=A","Dates=H","DateFormat=P","Fill=—","Direction=H","UseDPDF=Y")</f>
        <v>—</v>
      </c>
      <c r="E66" s="13" t="str">
        <f>_xll.BDH("GILD US Equity","ARDR_ACCUMULATED_DEPREC","FQ2 2019","FQ2 2019","Currency=USD","Period=FQ","BEST_FPERIOD_OVERRIDE=FQ","FILING_STATUS=MR","SCALING_FORMAT=MLN","Sort=A","Dates=H","DateFormat=P","Fill=—","Direction=H","UseDPDF=Y")</f>
        <v>—</v>
      </c>
      <c r="F66" s="13" t="str">
        <f>_xll.BDH("GILD US Equity","ARDR_ACCUMULATED_DEPREC","FQ3 2019","FQ3 2019","Currency=USD","Period=FQ","BEST_FPERIOD_OVERRIDE=FQ","FILING_STATUS=MR","SCALING_FORMAT=MLN","Sort=A","Dates=H","DateFormat=P","Fill=—","Direction=H","UseDPDF=Y")</f>
        <v>—</v>
      </c>
      <c r="G66" s="13">
        <f>_xll.BDH("GILD US Equity","ARDR_ACCUMULATED_DEPREC","FQ4 2019","FQ4 2019","Currency=USD","Period=FQ","BEST_FPERIOD_OVERRIDE=FQ","FILING_STATUS=MR","SCALING_FORMAT=MLN","Sort=A","Dates=H","DateFormat=P","Fill=—","Direction=H","UseDPDF=Y")</f>
        <v>1422</v>
      </c>
      <c r="H66" s="13" t="str">
        <f>_xll.BDH("GILD US Equity","ARDR_ACCUMULATED_DEPREC","FQ1 2020","FQ1 2020","Currency=USD","Period=FQ","BEST_FPERIOD_OVERRIDE=FQ","FILING_STATUS=MR","SCALING_FORMAT=MLN","Sort=A","Dates=H","DateFormat=P","Fill=—","Direction=H","UseDPDF=Y")</f>
        <v>—</v>
      </c>
      <c r="I66" s="13" t="str">
        <f>_xll.BDH("GILD US Equity","ARDR_ACCUMULATED_DEPREC","FQ2 2020","FQ2 2020","Currency=USD","Period=FQ","BEST_FPERIOD_OVERRIDE=FQ","FILING_STATUS=MR","SCALING_FORMAT=MLN","Sort=A","Dates=H","DateFormat=P","Fill=—","Direction=H","UseDPDF=Y")</f>
        <v>—</v>
      </c>
      <c r="J66" s="13" t="str">
        <f>_xll.BDH("GILD US Equity","ARDR_ACCUMULATED_DEPREC","FQ3 2020","FQ3 2020","Currency=USD","Period=FQ","BEST_FPERIOD_OVERRIDE=FQ","FILING_STATUS=MR","SCALING_FORMAT=MLN","Sort=A","Dates=H","DateFormat=P","Fill=—","Direction=H","UseDPDF=Y")</f>
        <v>—</v>
      </c>
      <c r="K66" s="13">
        <f>_xll.BDH("GILD US Equity","ARDR_ACCUMULATED_DEPREC","FQ4 2020","FQ4 2020","Currency=USD","Period=FQ","BEST_FPERIOD_OVERRIDE=FQ","FILING_STATUS=MR","SCALING_FORMAT=MLN","Sort=A","Dates=H","DateFormat=P","Fill=—","Direction=H","UseDPDF=Y")</f>
        <v>1668</v>
      </c>
      <c r="L66" s="13" t="str">
        <f>_xll.BDH("GILD US Equity","ARDR_ACCUMULATED_DEPREC","FQ1 2021","FQ1 2021","Currency=USD","Period=FQ","BEST_FPERIOD_OVERRIDE=FQ","FILING_STATUS=MR","SCALING_FORMAT=MLN","Sort=A","Dates=H","DateFormat=P","Fill=—","Direction=H","UseDPDF=Y")</f>
        <v>—</v>
      </c>
      <c r="M66" s="13" t="str">
        <f>_xll.BDH("GILD US Equity","ARDR_ACCUMULATED_DEPREC","FQ2 2021","FQ2 2021","Currency=USD","Period=FQ","BEST_FPERIOD_OVERRIDE=FQ","FILING_STATUS=MR","SCALING_FORMAT=MLN","Sort=A","Dates=H","DateFormat=P","Fill=—","Direction=H","UseDPDF=Y")</f>
        <v>—</v>
      </c>
      <c r="N66" s="13" t="str">
        <f>_xll.BDH("GILD US Equity","ARDR_ACCUMULATED_DEPREC","FQ3 2021","FQ3 2021","Currency=USD","Period=FQ","BEST_FPERIOD_OVERRIDE=FQ","FILING_STATUS=MR","SCALING_FORMAT=MLN","Sort=A","Dates=H","DateFormat=P","Fill=—","Direction=H","UseDPDF=Y")</f>
        <v>—</v>
      </c>
      <c r="O66" s="13">
        <f>_xll.BDH("GILD US Equity","ARDR_ACCUMULATED_DEPREC","FQ4 2021","FQ4 2021","Currency=USD","Period=FQ","BEST_FPERIOD_OVERRIDE=FQ","FILING_STATUS=MR","SCALING_FORMAT=MLN","Sort=A","Dates=H","DateFormat=P","Fill=—","Direction=H","UseDPDF=Y")</f>
        <v>1893</v>
      </c>
      <c r="P66" s="13" t="str">
        <f>_xll.BDH("GILD US Equity","ARDR_ACCUMULATED_DEPREC","FQ1 2022","FQ1 2022","Currency=USD","Period=FQ","BEST_FPERIOD_OVERRIDE=FQ","FILING_STATUS=MR","SCALING_FORMAT=MLN","Sort=A","Dates=H","DateFormat=P","Fill=—","Direction=H","UseDPDF=Y")</f>
        <v>—</v>
      </c>
      <c r="Q66" s="13" t="str">
        <f>_xll.BDH("GILD US Equity","ARDR_ACCUMULATED_DEPREC","FQ2 2022","FQ2 2022","Currency=USD","Period=FQ","BEST_FPERIOD_OVERRIDE=FQ","FILING_STATUS=MR","SCALING_FORMAT=MLN","Sort=A","Dates=H","DateFormat=P","Fill=—","Direction=H","UseDPDF=Y")</f>
        <v>—</v>
      </c>
      <c r="R66" s="13" t="str">
        <f>_xll.BDH("GILD US Equity","ARDR_ACCUMULATED_DEPREC","FQ3 2022","FQ3 2022","Currency=USD","Period=FQ","BEST_FPERIOD_OVERRIDE=FQ","FILING_STATUS=MR","SCALING_FORMAT=MLN","Sort=A","Dates=H","DateFormat=P","Fill=—","Direction=H","UseDPDF=Y")</f>
        <v>—</v>
      </c>
      <c r="S66" s="13">
        <f>_xll.BDH("GILD US Equity","ARDR_ACCUMULATED_DEPREC","FQ4 2022","FQ4 2022","Currency=USD","Period=FQ","BEST_FPERIOD_OVERRIDE=FQ","FILING_STATUS=MR","SCALING_FORMAT=MLN","Sort=A","Dates=H","DateFormat=P","Fill=—","Direction=H","UseDPDF=Y")</f>
        <v>2186</v>
      </c>
      <c r="T66" s="13" t="str">
        <f>_xll.BDH("GILD US Equity","ARDR_ACCUMULATED_DEPREC","FQ1 2023","FQ1 2023","Currency=USD","Period=FQ","BEST_FPERIOD_OVERRIDE=FQ","FILING_STATUS=MR","SCALING_FORMAT=MLN","Sort=A","Dates=H","DateFormat=P","Fill=—","Direction=H","UseDPDF=Y")</f>
        <v>—</v>
      </c>
      <c r="U66" s="13" t="str">
        <f>_xll.BDH("GILD US Equity","ARDR_ACCUMULATED_DEPREC","FQ2 2023","FQ2 2023","Currency=USD","Period=FQ","BEST_FPERIOD_OVERRIDE=FQ","FILING_STATUS=MR","SCALING_FORMAT=MLN","Sort=A","Dates=H","DateFormat=P","Fill=—","Direction=H","UseDPDF=Y")</f>
        <v>—</v>
      </c>
      <c r="V66" s="13" t="str">
        <f>_xll.BDH("GILD US Equity","ARDR_ACCUMULATED_DEPREC","FQ3 2023","FQ3 2023","Currency=USD","Period=FQ","BEST_FPERIOD_OVERRIDE=FQ","FILING_STATUS=MR","SCALING_FORMAT=MLN","Sort=A","Dates=H","DateFormat=P","Fill=—","Direction=H","UseDPDF=Y")</f>
        <v>—</v>
      </c>
      <c r="W66" s="13">
        <f>_xll.BDH("GILD US Equity","ARDR_ACCUMULATED_DEPREC","FQ4 2023","FQ4 2023","Currency=USD","Period=FQ","BEST_FPERIOD_OVERRIDE=FQ","FILING_STATUS=MR","SCALING_FORMAT=MLN","Sort=A","Dates=H","DateFormat=P","Fill=—","Direction=H","UseDPDF=Y")</f>
        <v>2449</v>
      </c>
      <c r="X66" s="13" t="str">
        <f>_xll.BDH("GILD US Equity","ARDR_ACCUMULATED_DEPREC","FQ1 2024","FQ1 2024","Currency=USD","Period=FQ","BEST_FPERIOD_OVERRIDE=FQ","FILING_STATUS=MR","SCALING_FORMAT=MLN","Sort=A","Dates=H","DateFormat=P","Fill=—","Direction=H","UseDPDF=Y")</f>
        <v>—</v>
      </c>
      <c r="Y66" s="13" t="str">
        <f>_xll.BDH("GILD US Equity","ARDR_ACCUMULATED_DEPREC","FQ2 2024","FQ2 2024","Currency=USD","Period=FQ","BEST_FPERIOD_OVERRIDE=FQ","FILING_STATUS=MR","SCALING_FORMAT=MLN","Sort=A","Dates=H","DateFormat=P","Fill=—","Direction=H","UseDPDF=Y")</f>
        <v>—</v>
      </c>
      <c r="Z66" s="13" t="str">
        <f>_xll.BDH("GILD US Equity","ARDR_ACCUMULATED_DEPREC","FQ3 2024","FQ3 2024","Currency=USD","Period=FQ","BEST_FPERIOD_OVERRIDE=FQ","FILING_STATUS=MR","SCALING_FORMAT=MLN","Sort=A","Dates=H","DateFormat=P","Fill=—","Direction=H","UseDPDF=Y")</f>
        <v>—</v>
      </c>
      <c r="AA66" s="13">
        <f>_xll.BDH("GILD US Equity","ARDR_ACCUMULATED_DEPREC","FQ4 2024","FQ4 2024","Currency=USD","Period=FQ","BEST_FPERIOD_OVERRIDE=FQ","FILING_STATUS=MR","SCALING_FORMAT=MLN","Sort=A","Dates=H","DateFormat=P","Fill=—","Direction=H","UseDPDF=Y")</f>
        <v>2470</v>
      </c>
    </row>
    <row r="67" spans="1:27" x14ac:dyDescent="0.25">
      <c r="A67" s="10" t="s">
        <v>921</v>
      </c>
      <c r="B67" s="10" t="s">
        <v>1007</v>
      </c>
      <c r="C67" s="13">
        <f>_xll.BDH("GILD US Equity","ARDR_PROPERTY_PLANT_EQUIP_NET","FQ4 2018","FQ4 2018","Currency=USD","Period=FQ","BEST_FPERIOD_OVERRIDE=FQ","FILING_STATUS=MR","SCALING_FORMAT=MLN","Sort=A","Dates=H","DateFormat=P","Fill=—","Direction=H","UseDPDF=Y")</f>
        <v>4006</v>
      </c>
      <c r="D67" s="13" t="str">
        <f>_xll.BDH("GILD US Equity","ARDR_PROPERTY_PLANT_EQUIP_NET","FQ1 2019","FQ1 2019","Currency=USD","Period=FQ","BEST_FPERIOD_OVERRIDE=FQ","FILING_STATUS=MR","SCALING_FORMAT=MLN","Sort=A","Dates=H","DateFormat=P","Fill=—","Direction=H","UseDPDF=Y")</f>
        <v>—</v>
      </c>
      <c r="E67" s="13" t="str">
        <f>_xll.BDH("GILD US Equity","ARDR_PROPERTY_PLANT_EQUIP_NET","FQ2 2019","FQ2 2019","Currency=USD","Period=FQ","BEST_FPERIOD_OVERRIDE=FQ","FILING_STATUS=MR","SCALING_FORMAT=MLN","Sort=A","Dates=H","DateFormat=P","Fill=—","Direction=H","UseDPDF=Y")</f>
        <v>—</v>
      </c>
      <c r="F67" s="13" t="str">
        <f>_xll.BDH("GILD US Equity","ARDR_PROPERTY_PLANT_EQUIP_NET","FQ3 2019","FQ3 2019","Currency=USD","Period=FQ","BEST_FPERIOD_OVERRIDE=FQ","FILING_STATUS=MR","SCALING_FORMAT=MLN","Sort=A","Dates=H","DateFormat=P","Fill=—","Direction=H","UseDPDF=Y")</f>
        <v>—</v>
      </c>
      <c r="G67" s="13">
        <f>_xll.BDH("GILD US Equity","ARDR_PROPERTY_PLANT_EQUIP_NET","FQ4 2019","FQ4 2019","Currency=USD","Period=FQ","BEST_FPERIOD_OVERRIDE=FQ","FILING_STATUS=MR","SCALING_FORMAT=MLN","Sort=A","Dates=H","DateFormat=P","Fill=—","Direction=H","UseDPDF=Y")</f>
        <v>4502</v>
      </c>
      <c r="H67" s="13" t="str">
        <f>_xll.BDH("GILD US Equity","ARDR_PROPERTY_PLANT_EQUIP_NET","FQ1 2020","FQ1 2020","Currency=USD","Period=FQ","BEST_FPERIOD_OVERRIDE=FQ","FILING_STATUS=MR","SCALING_FORMAT=MLN","Sort=A","Dates=H","DateFormat=P","Fill=—","Direction=H","UseDPDF=Y")</f>
        <v>—</v>
      </c>
      <c r="I67" s="13" t="str">
        <f>_xll.BDH("GILD US Equity","ARDR_PROPERTY_PLANT_EQUIP_NET","FQ2 2020","FQ2 2020","Currency=USD","Period=FQ","BEST_FPERIOD_OVERRIDE=FQ","FILING_STATUS=MR","SCALING_FORMAT=MLN","Sort=A","Dates=H","DateFormat=P","Fill=—","Direction=H","UseDPDF=Y")</f>
        <v>—</v>
      </c>
      <c r="J67" s="13" t="str">
        <f>_xll.BDH("GILD US Equity","ARDR_PROPERTY_PLANT_EQUIP_NET","FQ3 2020","FQ3 2020","Currency=USD","Period=FQ","BEST_FPERIOD_OVERRIDE=FQ","FILING_STATUS=MR","SCALING_FORMAT=MLN","Sort=A","Dates=H","DateFormat=P","Fill=—","Direction=H","UseDPDF=Y")</f>
        <v>—</v>
      </c>
      <c r="K67" s="13">
        <f>_xll.BDH("GILD US Equity","ARDR_PROPERTY_PLANT_EQUIP_NET","FQ4 2020","FQ4 2020","Currency=USD","Period=FQ","BEST_FPERIOD_OVERRIDE=FQ","FILING_STATUS=MR","SCALING_FORMAT=MLN","Sort=A","Dates=H","DateFormat=P","Fill=—","Direction=H","UseDPDF=Y")</f>
        <v>4967</v>
      </c>
      <c r="L67" s="13" t="str">
        <f>_xll.BDH("GILD US Equity","ARDR_PROPERTY_PLANT_EQUIP_NET","FQ1 2021","FQ1 2021","Currency=USD","Period=FQ","BEST_FPERIOD_OVERRIDE=FQ","FILING_STATUS=MR","SCALING_FORMAT=MLN","Sort=A","Dates=H","DateFormat=P","Fill=—","Direction=H","UseDPDF=Y")</f>
        <v>—</v>
      </c>
      <c r="M67" s="13" t="str">
        <f>_xll.BDH("GILD US Equity","ARDR_PROPERTY_PLANT_EQUIP_NET","FQ2 2021","FQ2 2021","Currency=USD","Period=FQ","BEST_FPERIOD_OVERRIDE=FQ","FILING_STATUS=MR","SCALING_FORMAT=MLN","Sort=A","Dates=H","DateFormat=P","Fill=—","Direction=H","UseDPDF=Y")</f>
        <v>—</v>
      </c>
      <c r="N67" s="13" t="str">
        <f>_xll.BDH("GILD US Equity","ARDR_PROPERTY_PLANT_EQUIP_NET","FQ3 2021","FQ3 2021","Currency=USD","Period=FQ","BEST_FPERIOD_OVERRIDE=FQ","FILING_STATUS=MR","SCALING_FORMAT=MLN","Sort=A","Dates=H","DateFormat=P","Fill=—","Direction=H","UseDPDF=Y")</f>
        <v>—</v>
      </c>
      <c r="O67" s="13">
        <f>_xll.BDH("GILD US Equity","ARDR_PROPERTY_PLANT_EQUIP_NET","FQ4 2021","FQ4 2021","Currency=USD","Period=FQ","BEST_FPERIOD_OVERRIDE=FQ","FILING_STATUS=MR","SCALING_FORMAT=MLN","Sort=A","Dates=H","DateFormat=P","Fill=—","Direction=H","UseDPDF=Y")</f>
        <v>5121</v>
      </c>
      <c r="P67" s="13" t="str">
        <f>_xll.BDH("GILD US Equity","ARDR_PROPERTY_PLANT_EQUIP_NET","FQ1 2022","FQ1 2022","Currency=USD","Period=FQ","BEST_FPERIOD_OVERRIDE=FQ","FILING_STATUS=MR","SCALING_FORMAT=MLN","Sort=A","Dates=H","DateFormat=P","Fill=—","Direction=H","UseDPDF=Y")</f>
        <v>—</v>
      </c>
      <c r="Q67" s="13" t="str">
        <f>_xll.BDH("GILD US Equity","ARDR_PROPERTY_PLANT_EQUIP_NET","FQ2 2022","FQ2 2022","Currency=USD","Period=FQ","BEST_FPERIOD_OVERRIDE=FQ","FILING_STATUS=MR","SCALING_FORMAT=MLN","Sort=A","Dates=H","DateFormat=P","Fill=—","Direction=H","UseDPDF=Y")</f>
        <v>—</v>
      </c>
      <c r="R67" s="13" t="str">
        <f>_xll.BDH("GILD US Equity","ARDR_PROPERTY_PLANT_EQUIP_NET","FQ3 2022","FQ3 2022","Currency=USD","Period=FQ","BEST_FPERIOD_OVERRIDE=FQ","FILING_STATUS=MR","SCALING_FORMAT=MLN","Sort=A","Dates=H","DateFormat=P","Fill=—","Direction=H","UseDPDF=Y")</f>
        <v>—</v>
      </c>
      <c r="S67" s="13">
        <f>_xll.BDH("GILD US Equity","ARDR_PROPERTY_PLANT_EQUIP_NET","FQ4 2022","FQ4 2022","Currency=USD","Period=FQ","BEST_FPERIOD_OVERRIDE=FQ","FILING_STATUS=MR","SCALING_FORMAT=MLN","Sort=A","Dates=H","DateFormat=P","Fill=—","Direction=H","UseDPDF=Y")</f>
        <v>5475</v>
      </c>
      <c r="T67" s="13" t="str">
        <f>_xll.BDH("GILD US Equity","ARDR_PROPERTY_PLANT_EQUIP_NET","FQ1 2023","FQ1 2023","Currency=USD","Period=FQ","BEST_FPERIOD_OVERRIDE=FQ","FILING_STATUS=MR","SCALING_FORMAT=MLN","Sort=A","Dates=H","DateFormat=P","Fill=—","Direction=H","UseDPDF=Y")</f>
        <v>—</v>
      </c>
      <c r="U67" s="13" t="str">
        <f>_xll.BDH("GILD US Equity","ARDR_PROPERTY_PLANT_EQUIP_NET","FQ2 2023","FQ2 2023","Currency=USD","Period=FQ","BEST_FPERIOD_OVERRIDE=FQ","FILING_STATUS=MR","SCALING_FORMAT=MLN","Sort=A","Dates=H","DateFormat=P","Fill=—","Direction=H","UseDPDF=Y")</f>
        <v>—</v>
      </c>
      <c r="V67" s="13" t="str">
        <f>_xll.BDH("GILD US Equity","ARDR_PROPERTY_PLANT_EQUIP_NET","FQ3 2023","FQ3 2023","Currency=USD","Period=FQ","BEST_FPERIOD_OVERRIDE=FQ","FILING_STATUS=MR","SCALING_FORMAT=MLN","Sort=A","Dates=H","DateFormat=P","Fill=—","Direction=H","UseDPDF=Y")</f>
        <v>—</v>
      </c>
      <c r="W67" s="13">
        <f>_xll.BDH("GILD US Equity","ARDR_PROPERTY_PLANT_EQUIP_NET","FQ4 2023","FQ4 2023","Currency=USD","Period=FQ","BEST_FPERIOD_OVERRIDE=FQ","FILING_STATUS=MR","SCALING_FORMAT=MLN","Sort=A","Dates=H","DateFormat=P","Fill=—","Direction=H","UseDPDF=Y")</f>
        <v>5317</v>
      </c>
      <c r="X67" s="13" t="str">
        <f>_xll.BDH("GILD US Equity","ARDR_PROPERTY_PLANT_EQUIP_NET","FQ1 2024","FQ1 2024","Currency=USD","Period=FQ","BEST_FPERIOD_OVERRIDE=FQ","FILING_STATUS=MR","SCALING_FORMAT=MLN","Sort=A","Dates=H","DateFormat=P","Fill=—","Direction=H","UseDPDF=Y")</f>
        <v>—</v>
      </c>
      <c r="Y67" s="13" t="str">
        <f>_xll.BDH("GILD US Equity","ARDR_PROPERTY_PLANT_EQUIP_NET","FQ2 2024","FQ2 2024","Currency=USD","Period=FQ","BEST_FPERIOD_OVERRIDE=FQ","FILING_STATUS=MR","SCALING_FORMAT=MLN","Sort=A","Dates=H","DateFormat=P","Fill=—","Direction=H","UseDPDF=Y")</f>
        <v>—</v>
      </c>
      <c r="Z67" s="13" t="str">
        <f>_xll.BDH("GILD US Equity","ARDR_PROPERTY_PLANT_EQUIP_NET","FQ3 2024","FQ3 2024","Currency=USD","Period=FQ","BEST_FPERIOD_OVERRIDE=FQ","FILING_STATUS=MR","SCALING_FORMAT=MLN","Sort=A","Dates=H","DateFormat=P","Fill=—","Direction=H","UseDPDF=Y")</f>
        <v>—</v>
      </c>
      <c r="AA67" s="13">
        <f>_xll.BDH("GILD US Equity","ARDR_PROPERTY_PLANT_EQUIP_NET","FQ4 2024","FQ4 2024","Currency=USD","Period=FQ","BEST_FPERIOD_OVERRIDE=FQ","FILING_STATUS=MR","SCALING_FORMAT=MLN","Sort=A","Dates=H","DateFormat=P","Fill=—","Direction=H","UseDPDF=Y")</f>
        <v>5414</v>
      </c>
    </row>
    <row r="68" spans="1:27" x14ac:dyDescent="0.25">
      <c r="A68" s="10" t="s">
        <v>1008</v>
      </c>
      <c r="B68" s="10" t="s">
        <v>1009</v>
      </c>
      <c r="C68" s="13">
        <f>_xll.BDH("GILD US Equity","ARDR_DEFERRED_INC_TAX_ASSET_LT","FQ4 2018","FQ4 2018","Currency=USD","Period=FQ","BEST_FPERIOD_OVERRIDE=FQ","FILING_STATUS=MR","SCALING_FORMAT=MLN","Sort=A","Dates=H","DateFormat=P","Fill=—","Direction=H","UseDPDF=Y")</f>
        <v>1245</v>
      </c>
      <c r="D68" s="13" t="str">
        <f>_xll.BDH("GILD US Equity","ARDR_DEFERRED_INC_TAX_ASSET_LT","FQ1 2019","FQ1 2019","Currency=USD","Period=FQ","BEST_FPERIOD_OVERRIDE=FQ","FILING_STATUS=MR","SCALING_FORMAT=MLN","Sort=A","Dates=H","DateFormat=P","Fill=—","Direction=H","UseDPDF=Y")</f>
        <v>—</v>
      </c>
      <c r="E68" s="13" t="str">
        <f>_xll.BDH("GILD US Equity","ARDR_DEFERRED_INC_TAX_ASSET_LT","FQ2 2019","FQ2 2019","Currency=USD","Period=FQ","BEST_FPERIOD_OVERRIDE=FQ","FILING_STATUS=MR","SCALING_FORMAT=MLN","Sort=A","Dates=H","DateFormat=P","Fill=—","Direction=H","UseDPDF=Y")</f>
        <v>—</v>
      </c>
      <c r="F68" s="13" t="str">
        <f>_xll.BDH("GILD US Equity","ARDR_DEFERRED_INC_TAX_ASSET_LT","FQ3 2019","FQ3 2019","Currency=USD","Period=FQ","BEST_FPERIOD_OVERRIDE=FQ","FILING_STATUS=MR","SCALING_FORMAT=MLN","Sort=A","Dates=H","DateFormat=P","Fill=—","Direction=H","UseDPDF=Y")</f>
        <v>—</v>
      </c>
      <c r="G68" s="13">
        <f>_xll.BDH("GILD US Equity","ARDR_DEFERRED_INC_TAX_ASSET_LT","FQ4 2019","FQ4 2019","Currency=USD","Period=FQ","BEST_FPERIOD_OVERRIDE=FQ","FILING_STATUS=MR","SCALING_FORMAT=MLN","Sort=A","Dates=H","DateFormat=P","Fill=—","Direction=H","UseDPDF=Y")</f>
        <v>3138</v>
      </c>
      <c r="H68" s="13" t="str">
        <f>_xll.BDH("GILD US Equity","ARDR_DEFERRED_INC_TAX_ASSET_LT","FQ1 2020","FQ1 2020","Currency=USD","Period=FQ","BEST_FPERIOD_OVERRIDE=FQ","FILING_STATUS=MR","SCALING_FORMAT=MLN","Sort=A","Dates=H","DateFormat=P","Fill=—","Direction=H","UseDPDF=Y")</f>
        <v>—</v>
      </c>
      <c r="I68" s="13" t="str">
        <f>_xll.BDH("GILD US Equity","ARDR_DEFERRED_INC_TAX_ASSET_LT","FQ2 2020","FQ2 2020","Currency=USD","Period=FQ","BEST_FPERIOD_OVERRIDE=FQ","FILING_STATUS=MR","SCALING_FORMAT=MLN","Sort=A","Dates=H","DateFormat=P","Fill=—","Direction=H","UseDPDF=Y")</f>
        <v>—</v>
      </c>
      <c r="J68" s="13" t="str">
        <f>_xll.BDH("GILD US Equity","ARDR_DEFERRED_INC_TAX_ASSET_LT","FQ3 2020","FQ3 2020","Currency=USD","Period=FQ","BEST_FPERIOD_OVERRIDE=FQ","FILING_STATUS=MR","SCALING_FORMAT=MLN","Sort=A","Dates=H","DateFormat=P","Fill=—","Direction=H","UseDPDF=Y")</f>
        <v>—</v>
      </c>
      <c r="K68" s="13">
        <f>_xll.BDH("GILD US Equity","ARDR_DEFERRED_INC_TAX_ASSET_LT","FQ4 2020","FQ4 2020","Currency=USD","Period=FQ","BEST_FPERIOD_OVERRIDE=FQ","FILING_STATUS=MR","SCALING_FORMAT=MLN","Sort=A","Dates=H","DateFormat=P","Fill=—","Direction=H","UseDPDF=Y")</f>
        <v>3960</v>
      </c>
      <c r="L68" s="13" t="str">
        <f>_xll.BDH("GILD US Equity","ARDR_DEFERRED_INC_TAX_ASSET_LT","FQ1 2021","FQ1 2021","Currency=USD","Period=FQ","BEST_FPERIOD_OVERRIDE=FQ","FILING_STATUS=MR","SCALING_FORMAT=MLN","Sort=A","Dates=H","DateFormat=P","Fill=—","Direction=H","UseDPDF=Y")</f>
        <v>—</v>
      </c>
      <c r="M68" s="13" t="str">
        <f>_xll.BDH("GILD US Equity","ARDR_DEFERRED_INC_TAX_ASSET_LT","FQ2 2021","FQ2 2021","Currency=USD","Period=FQ","BEST_FPERIOD_OVERRIDE=FQ","FILING_STATUS=MR","SCALING_FORMAT=MLN","Sort=A","Dates=H","DateFormat=P","Fill=—","Direction=H","UseDPDF=Y")</f>
        <v>—</v>
      </c>
      <c r="N68" s="13" t="str">
        <f>_xll.BDH("GILD US Equity","ARDR_DEFERRED_INC_TAX_ASSET_LT","FQ3 2021","FQ3 2021","Currency=USD","Period=FQ","BEST_FPERIOD_OVERRIDE=FQ","FILING_STATUS=MR","SCALING_FORMAT=MLN","Sort=A","Dates=H","DateFormat=P","Fill=—","Direction=H","UseDPDF=Y")</f>
        <v>—</v>
      </c>
      <c r="O68" s="13">
        <f>_xll.BDH("GILD US Equity","ARDR_DEFERRED_INC_TAX_ASSET_LT","FQ4 2021","FQ4 2021","Currency=USD","Period=FQ","BEST_FPERIOD_OVERRIDE=FQ","FILING_STATUS=MR","SCALING_FORMAT=MLN","Sort=A","Dates=H","DateFormat=P","Fill=—","Direction=H","UseDPDF=Y")</f>
        <v>4121</v>
      </c>
      <c r="P68" s="13" t="str">
        <f>_xll.BDH("GILD US Equity","ARDR_DEFERRED_INC_TAX_ASSET_LT","FQ1 2022","FQ1 2022","Currency=USD","Period=FQ","BEST_FPERIOD_OVERRIDE=FQ","FILING_STATUS=MR","SCALING_FORMAT=MLN","Sort=A","Dates=H","DateFormat=P","Fill=—","Direction=H","UseDPDF=Y")</f>
        <v>—</v>
      </c>
      <c r="Q68" s="13" t="str">
        <f>_xll.BDH("GILD US Equity","ARDR_DEFERRED_INC_TAX_ASSET_LT","FQ2 2022","FQ2 2022","Currency=USD","Period=FQ","BEST_FPERIOD_OVERRIDE=FQ","FILING_STATUS=MR","SCALING_FORMAT=MLN","Sort=A","Dates=H","DateFormat=P","Fill=—","Direction=H","UseDPDF=Y")</f>
        <v>—</v>
      </c>
      <c r="R68" s="13" t="str">
        <f>_xll.BDH("GILD US Equity","ARDR_DEFERRED_INC_TAX_ASSET_LT","FQ3 2022","FQ3 2022","Currency=USD","Period=FQ","BEST_FPERIOD_OVERRIDE=FQ","FILING_STATUS=MR","SCALING_FORMAT=MLN","Sort=A","Dates=H","DateFormat=P","Fill=—","Direction=H","UseDPDF=Y")</f>
        <v>—</v>
      </c>
      <c r="S68" s="13">
        <f>_xll.BDH("GILD US Equity","ARDR_DEFERRED_INC_TAX_ASSET_LT","FQ4 2022","FQ4 2022","Currency=USD","Period=FQ","BEST_FPERIOD_OVERRIDE=FQ","FILING_STATUS=MR","SCALING_FORMAT=MLN","Sort=A","Dates=H","DateFormat=P","Fill=—","Direction=H","UseDPDF=Y")</f>
        <v>4690</v>
      </c>
      <c r="T68" s="13" t="str">
        <f>_xll.BDH("GILD US Equity","ARDR_DEFERRED_INC_TAX_ASSET_LT","FQ1 2023","FQ1 2023","Currency=USD","Period=FQ","BEST_FPERIOD_OVERRIDE=FQ","FILING_STATUS=MR","SCALING_FORMAT=MLN","Sort=A","Dates=H","DateFormat=P","Fill=—","Direction=H","UseDPDF=Y")</f>
        <v>—</v>
      </c>
      <c r="U68" s="13" t="str">
        <f>_xll.BDH("GILD US Equity","ARDR_DEFERRED_INC_TAX_ASSET_LT","FQ2 2023","FQ2 2023","Currency=USD","Period=FQ","BEST_FPERIOD_OVERRIDE=FQ","FILING_STATUS=MR","SCALING_FORMAT=MLN","Sort=A","Dates=H","DateFormat=P","Fill=—","Direction=H","UseDPDF=Y")</f>
        <v>—</v>
      </c>
      <c r="V68" s="13" t="str">
        <f>_xll.BDH("GILD US Equity","ARDR_DEFERRED_INC_TAX_ASSET_LT","FQ3 2023","FQ3 2023","Currency=USD","Period=FQ","BEST_FPERIOD_OVERRIDE=FQ","FILING_STATUS=MR","SCALING_FORMAT=MLN","Sort=A","Dates=H","DateFormat=P","Fill=—","Direction=H","UseDPDF=Y")</f>
        <v>—</v>
      </c>
      <c r="W68" s="13">
        <f>_xll.BDH("GILD US Equity","ARDR_DEFERRED_INC_TAX_ASSET_LT","FQ4 2023","FQ4 2023","Currency=USD","Period=FQ","BEST_FPERIOD_OVERRIDE=FQ","FILING_STATUS=MR","SCALING_FORMAT=MLN","Sort=A","Dates=H","DateFormat=P","Fill=—","Direction=H","UseDPDF=Y")</f>
        <v>5547</v>
      </c>
      <c r="X68" s="13" t="str">
        <f>_xll.BDH("GILD US Equity","ARDR_DEFERRED_INC_TAX_ASSET_LT","FQ1 2024","FQ1 2024","Currency=USD","Period=FQ","BEST_FPERIOD_OVERRIDE=FQ","FILING_STATUS=MR","SCALING_FORMAT=MLN","Sort=A","Dates=H","DateFormat=P","Fill=—","Direction=H","UseDPDF=Y")</f>
        <v>—</v>
      </c>
      <c r="Y68" s="13" t="str">
        <f>_xll.BDH("GILD US Equity","ARDR_DEFERRED_INC_TAX_ASSET_LT","FQ2 2024","FQ2 2024","Currency=USD","Period=FQ","BEST_FPERIOD_OVERRIDE=FQ","FILING_STATUS=MR","SCALING_FORMAT=MLN","Sort=A","Dates=H","DateFormat=P","Fill=—","Direction=H","UseDPDF=Y")</f>
        <v>—</v>
      </c>
      <c r="Z68" s="13" t="str">
        <f>_xll.BDH("GILD US Equity","ARDR_DEFERRED_INC_TAX_ASSET_LT","FQ3 2024","FQ3 2024","Currency=USD","Period=FQ","BEST_FPERIOD_OVERRIDE=FQ","FILING_STATUS=MR","SCALING_FORMAT=MLN","Sort=A","Dates=H","DateFormat=P","Fill=—","Direction=H","UseDPDF=Y")</f>
        <v>—</v>
      </c>
      <c r="AA68" s="13">
        <f>_xll.BDH("GILD US Equity","ARDR_DEFERRED_INC_TAX_ASSET_LT","FQ4 2024","FQ4 2024","Currency=USD","Period=FQ","BEST_FPERIOD_OVERRIDE=FQ","FILING_STATUS=MR","SCALING_FORMAT=MLN","Sort=A","Dates=H","DateFormat=P","Fill=—","Direction=H","UseDPDF=Y")</f>
        <v>5990</v>
      </c>
    </row>
    <row r="69" spans="1:27" x14ac:dyDescent="0.25">
      <c r="A69" s="10" t="s">
        <v>923</v>
      </c>
      <c r="B69" s="10" t="s">
        <v>1010</v>
      </c>
      <c r="C69" s="13" t="str">
        <f>_xll.BDH("GILD US Equity","ARDR_TOTAL_INTANGIBLE_ASSET_NET","FQ4 2018","FQ4 2018","Currency=USD","Period=FQ","BEST_FPERIOD_OVERRIDE=FQ","FILING_STATUS=MR","SCALING_FORMAT=MLN","Sort=A","Dates=H","DateFormat=P","Fill=—","Direction=H","UseDPDF=Y")</f>
        <v>—</v>
      </c>
      <c r="D69" s="13" t="str">
        <f>_xll.BDH("GILD US Equity","ARDR_TOTAL_INTANGIBLE_ASSET_NET","FQ1 2019","FQ1 2019","Currency=USD","Period=FQ","BEST_FPERIOD_OVERRIDE=FQ","FILING_STATUS=MR","SCALING_FORMAT=MLN","Sort=A","Dates=H","DateFormat=P","Fill=—","Direction=H","UseDPDF=Y")</f>
        <v>—</v>
      </c>
      <c r="E69" s="13" t="str">
        <f>_xll.BDH("GILD US Equity","ARDR_TOTAL_INTANGIBLE_ASSET_NET","FQ2 2019","FQ2 2019","Currency=USD","Period=FQ","BEST_FPERIOD_OVERRIDE=FQ","FILING_STATUS=MR","SCALING_FORMAT=MLN","Sort=A","Dates=H","DateFormat=P","Fill=—","Direction=H","UseDPDF=Y")</f>
        <v>—</v>
      </c>
      <c r="F69" s="13" t="str">
        <f>_xll.BDH("GILD US Equity","ARDR_TOTAL_INTANGIBLE_ASSET_NET","FQ3 2019","FQ3 2019","Currency=USD","Period=FQ","BEST_FPERIOD_OVERRIDE=FQ","FILING_STATUS=MR","SCALING_FORMAT=MLN","Sort=A","Dates=H","DateFormat=P","Fill=—","Direction=H","UseDPDF=Y")</f>
        <v>—</v>
      </c>
      <c r="G69" s="13" t="str">
        <f>_xll.BDH("GILD US Equity","ARDR_TOTAL_INTANGIBLE_ASSET_NET","FQ4 2019","FQ4 2019","Currency=USD","Period=FQ","BEST_FPERIOD_OVERRIDE=FQ","FILING_STATUS=MR","SCALING_FORMAT=MLN","Sort=A","Dates=H","DateFormat=P","Fill=—","Direction=H","UseDPDF=Y")</f>
        <v>—</v>
      </c>
      <c r="H69" s="13" t="str">
        <f>_xll.BDH("GILD US Equity","ARDR_TOTAL_INTANGIBLE_ASSET_NET","FQ1 2020","FQ1 2020","Currency=USD","Period=FQ","BEST_FPERIOD_OVERRIDE=FQ","FILING_STATUS=MR","SCALING_FORMAT=MLN","Sort=A","Dates=H","DateFormat=P","Fill=—","Direction=H","UseDPDF=Y")</f>
        <v>—</v>
      </c>
      <c r="I69" s="13" t="str">
        <f>_xll.BDH("GILD US Equity","ARDR_TOTAL_INTANGIBLE_ASSET_NET","FQ2 2020","FQ2 2020","Currency=USD","Period=FQ","BEST_FPERIOD_OVERRIDE=FQ","FILING_STATUS=MR","SCALING_FORMAT=MLN","Sort=A","Dates=H","DateFormat=P","Fill=—","Direction=H","UseDPDF=Y")</f>
        <v>—</v>
      </c>
      <c r="J69" s="13" t="str">
        <f>_xll.BDH("GILD US Equity","ARDR_TOTAL_INTANGIBLE_ASSET_NET","FQ3 2020","FQ3 2020","Currency=USD","Period=FQ","BEST_FPERIOD_OVERRIDE=FQ","FILING_STATUS=MR","SCALING_FORMAT=MLN","Sort=A","Dates=H","DateFormat=P","Fill=—","Direction=H","UseDPDF=Y")</f>
        <v>—</v>
      </c>
      <c r="K69" s="13" t="str">
        <f>_xll.BDH("GILD US Equity","ARDR_TOTAL_INTANGIBLE_ASSET_NET","FQ4 2020","FQ4 2020","Currency=USD","Period=FQ","BEST_FPERIOD_OVERRIDE=FQ","FILING_STATUS=MR","SCALING_FORMAT=MLN","Sort=A","Dates=H","DateFormat=P","Fill=—","Direction=H","UseDPDF=Y")</f>
        <v>—</v>
      </c>
      <c r="L69" s="13" t="str">
        <f>_xll.BDH("GILD US Equity","ARDR_TOTAL_INTANGIBLE_ASSET_NET","FQ1 2021","FQ1 2021","Currency=USD","Period=FQ","BEST_FPERIOD_OVERRIDE=FQ","FILING_STATUS=MR","SCALING_FORMAT=MLN","Sort=A","Dates=H","DateFormat=P","Fill=—","Direction=H","UseDPDF=Y")</f>
        <v>—</v>
      </c>
      <c r="M69" s="13" t="str">
        <f>_xll.BDH("GILD US Equity","ARDR_TOTAL_INTANGIBLE_ASSET_NET","FQ2 2021","FQ2 2021","Currency=USD","Period=FQ","BEST_FPERIOD_OVERRIDE=FQ","FILING_STATUS=MR","SCALING_FORMAT=MLN","Sort=A","Dates=H","DateFormat=P","Fill=—","Direction=H","UseDPDF=Y")</f>
        <v>—</v>
      </c>
      <c r="N69" s="13" t="str">
        <f>_xll.BDH("GILD US Equity","ARDR_TOTAL_INTANGIBLE_ASSET_NET","FQ3 2021","FQ3 2021","Currency=USD","Period=FQ","BEST_FPERIOD_OVERRIDE=FQ","FILING_STATUS=MR","SCALING_FORMAT=MLN","Sort=A","Dates=H","DateFormat=P","Fill=—","Direction=H","UseDPDF=Y")</f>
        <v>—</v>
      </c>
      <c r="O69" s="13" t="str">
        <f>_xll.BDH("GILD US Equity","ARDR_TOTAL_INTANGIBLE_ASSET_NET","FQ4 2021","FQ4 2021","Currency=USD","Period=FQ","BEST_FPERIOD_OVERRIDE=FQ","FILING_STATUS=MR","SCALING_FORMAT=MLN","Sort=A","Dates=H","DateFormat=P","Fill=—","Direction=H","UseDPDF=Y")</f>
        <v>—</v>
      </c>
      <c r="P69" s="13" t="str">
        <f>_xll.BDH("GILD US Equity","ARDR_TOTAL_INTANGIBLE_ASSET_NET","FQ1 2022","FQ1 2022","Currency=USD","Period=FQ","BEST_FPERIOD_OVERRIDE=FQ","FILING_STATUS=MR","SCALING_FORMAT=MLN","Sort=A","Dates=H","DateFormat=P","Fill=—","Direction=H","UseDPDF=Y")</f>
        <v>—</v>
      </c>
      <c r="Q69" s="13" t="str">
        <f>_xll.BDH("GILD US Equity","ARDR_TOTAL_INTANGIBLE_ASSET_NET","FQ2 2022","FQ2 2022","Currency=USD","Period=FQ","BEST_FPERIOD_OVERRIDE=FQ","FILING_STATUS=MR","SCALING_FORMAT=MLN","Sort=A","Dates=H","DateFormat=P","Fill=—","Direction=H","UseDPDF=Y")</f>
        <v>—</v>
      </c>
      <c r="R69" s="13" t="str">
        <f>_xll.BDH("GILD US Equity","ARDR_TOTAL_INTANGIBLE_ASSET_NET","FQ3 2022","FQ3 2022","Currency=USD","Period=FQ","BEST_FPERIOD_OVERRIDE=FQ","FILING_STATUS=MR","SCALING_FORMAT=MLN","Sort=A","Dates=H","DateFormat=P","Fill=—","Direction=H","UseDPDF=Y")</f>
        <v>—</v>
      </c>
      <c r="S69" s="13" t="str">
        <f>_xll.BDH("GILD US Equity","ARDR_TOTAL_INTANGIBLE_ASSET_NET","FQ4 2022","FQ4 2022","Currency=USD","Period=FQ","BEST_FPERIOD_OVERRIDE=FQ","FILING_STATUS=MR","SCALING_FORMAT=MLN","Sort=A","Dates=H","DateFormat=P","Fill=—","Direction=H","UseDPDF=Y")</f>
        <v>—</v>
      </c>
      <c r="T69" s="13" t="str">
        <f>_xll.BDH("GILD US Equity","ARDR_TOTAL_INTANGIBLE_ASSET_NET","FQ1 2023","FQ1 2023","Currency=USD","Period=FQ","BEST_FPERIOD_OVERRIDE=FQ","FILING_STATUS=MR","SCALING_FORMAT=MLN","Sort=A","Dates=H","DateFormat=P","Fill=—","Direction=H","UseDPDF=Y")</f>
        <v>—</v>
      </c>
      <c r="U69" s="13" t="str">
        <f>_xll.BDH("GILD US Equity","ARDR_TOTAL_INTANGIBLE_ASSET_NET","FQ2 2023","FQ2 2023","Currency=USD","Period=FQ","BEST_FPERIOD_OVERRIDE=FQ","FILING_STATUS=MR","SCALING_FORMAT=MLN","Sort=A","Dates=H","DateFormat=P","Fill=—","Direction=H","UseDPDF=Y")</f>
        <v>—</v>
      </c>
      <c r="V69" s="13" t="str">
        <f>_xll.BDH("GILD US Equity","ARDR_TOTAL_INTANGIBLE_ASSET_NET","FQ3 2023","FQ3 2023","Currency=USD","Period=FQ","BEST_FPERIOD_OVERRIDE=FQ","FILING_STATUS=MR","SCALING_FORMAT=MLN","Sort=A","Dates=H","DateFormat=P","Fill=—","Direction=H","UseDPDF=Y")</f>
        <v>—</v>
      </c>
      <c r="W69" s="13" t="str">
        <f>_xll.BDH("GILD US Equity","ARDR_TOTAL_INTANGIBLE_ASSET_NET","FQ4 2023","FQ4 2023","Currency=USD","Period=FQ","BEST_FPERIOD_OVERRIDE=FQ","FILING_STATUS=MR","SCALING_FORMAT=MLN","Sort=A","Dates=H","DateFormat=P","Fill=—","Direction=H","UseDPDF=Y")</f>
        <v>—</v>
      </c>
      <c r="X69" s="13">
        <f>_xll.BDH("GILD US Equity","ARDR_TOTAL_INTANGIBLE_ASSET_NET","FQ1 2024","FQ1 2024","Currency=USD","Period=FQ","BEST_FPERIOD_OVERRIDE=FQ","FILING_STATUS=MR","SCALING_FORMAT=MLN","Sort=A","Dates=H","DateFormat=P","Fill=—","Direction=H","UseDPDF=Y")</f>
        <v>31742</v>
      </c>
      <c r="Y69" s="13" t="str">
        <f>_xll.BDH("GILD US Equity","ARDR_TOTAL_INTANGIBLE_ASSET_NET","FQ2 2024","FQ2 2024","Currency=USD","Period=FQ","BEST_FPERIOD_OVERRIDE=FQ","FILING_STATUS=MR","SCALING_FORMAT=MLN","Sort=A","Dates=H","DateFormat=P","Fill=—","Direction=H","UseDPDF=Y")</f>
        <v>—</v>
      </c>
      <c r="Z69" s="13">
        <f>_xll.BDH("GILD US Equity","ARDR_TOTAL_INTANGIBLE_ASSET_NET","FQ3 2024","FQ3 2024","Currency=USD","Period=FQ","BEST_FPERIOD_OVERRIDE=FQ","FILING_STATUS=MR","SCALING_FORMAT=MLN","Sort=A","Dates=H","DateFormat=P","Fill=—","Direction=H","UseDPDF=Y")</f>
        <v>20546</v>
      </c>
      <c r="AA69" s="13">
        <f>_xll.BDH("GILD US Equity","ARDR_TOTAL_INTANGIBLE_ASSET_NET","FQ4 2024","FQ4 2024","Currency=USD","Period=FQ","BEST_FPERIOD_OVERRIDE=FQ","FILING_STATUS=MR","SCALING_FORMAT=MLN","Sort=A","Dates=H","DateFormat=P","Fill=—","Direction=H","UseDPDF=Y")</f>
        <v>28262</v>
      </c>
    </row>
    <row r="70" spans="1:27" x14ac:dyDescent="0.25">
      <c r="A70" s="10" t="s">
        <v>925</v>
      </c>
      <c r="B70" s="10" t="s">
        <v>1011</v>
      </c>
      <c r="C70" s="13">
        <f>_xll.BDH("GILD US Equity","ARDR_OTHER_INTANGIBLE_ASSET","FQ4 2018","FQ4 2018","Currency=USD","Period=FQ","BEST_FPERIOD_OVERRIDE=FQ","FILING_STATUS=MR","SCALING_FORMAT=MLN","Sort=A","Dates=H","DateFormat=P","Fill=—","Direction=H","UseDPDF=Y")</f>
        <v>15738</v>
      </c>
      <c r="D70" s="13">
        <f>_xll.BDH("GILD US Equity","ARDR_OTHER_INTANGIBLE_ASSET","FQ1 2019","FQ1 2019","Currency=USD","Period=FQ","BEST_FPERIOD_OVERRIDE=FQ","FILING_STATUS=MR","SCALING_FORMAT=MLN","Sort=A","Dates=H","DateFormat=P","Fill=—","Direction=H","UseDPDF=Y")</f>
        <v>15438</v>
      </c>
      <c r="E70" s="13">
        <f>_xll.BDH("GILD US Equity","ARDR_OTHER_INTANGIBLE_ASSET","FQ2 2019","FQ2 2019","Currency=USD","Period=FQ","BEST_FPERIOD_OVERRIDE=FQ","FILING_STATUS=MR","SCALING_FORMAT=MLN","Sort=A","Dates=H","DateFormat=P","Fill=—","Direction=H","UseDPDF=Y")</f>
        <v>15152</v>
      </c>
      <c r="F70" s="13">
        <f>_xll.BDH("GILD US Equity","ARDR_OTHER_INTANGIBLE_ASSET","FQ3 2019","FQ3 2019","Currency=USD","Period=FQ","BEST_FPERIOD_OVERRIDE=FQ","FILING_STATUS=MR","SCALING_FORMAT=MLN","Sort=A","Dates=H","DateFormat=P","Fill=—","Direction=H","UseDPDF=Y")</f>
        <v>14864</v>
      </c>
      <c r="G70" s="13">
        <f>_xll.BDH("GILD US Equity","ARDR_OTHER_INTANGIBLE_ASSET","FQ4 2019","FQ4 2019","Currency=USD","Period=FQ","BEST_FPERIOD_OVERRIDE=FQ","FILING_STATUS=MR","SCALING_FORMAT=MLN","Sort=A","Dates=H","DateFormat=P","Fill=—","Direction=H","UseDPDF=Y")</f>
        <v>13786</v>
      </c>
      <c r="H70" s="13">
        <f>_xll.BDH("GILD US Equity","ARDR_OTHER_INTANGIBLE_ASSET","FQ1 2020","FQ1 2020","Currency=USD","Period=FQ","BEST_FPERIOD_OVERRIDE=FQ","FILING_STATUS=MR","SCALING_FORMAT=MLN","Sort=A","Dates=H","DateFormat=P","Fill=—","Direction=H","UseDPDF=Y")</f>
        <v>13502</v>
      </c>
      <c r="I70" s="13">
        <f>_xll.BDH("GILD US Equity","ARDR_OTHER_INTANGIBLE_ASSET","FQ2 2020","FQ2 2020","Currency=USD","Period=FQ","BEST_FPERIOD_OVERRIDE=FQ","FILING_STATUS=MR","SCALING_FORMAT=MLN","Sort=A","Dates=H","DateFormat=P","Fill=—","Direction=H","UseDPDF=Y")</f>
        <v>13225</v>
      </c>
      <c r="J70" s="13">
        <f>_xll.BDH("GILD US Equity","ARDR_OTHER_INTANGIBLE_ASSET","FQ3 2020","FQ3 2020","Currency=USD","Period=FQ","BEST_FPERIOD_OVERRIDE=FQ","FILING_STATUS=MR","SCALING_FORMAT=MLN","Sort=A","Dates=H","DateFormat=P","Fill=—","Direction=H","UseDPDF=Y")</f>
        <v>12939</v>
      </c>
      <c r="K70" s="13">
        <f>_xll.BDH("GILD US Equity","ARDR_OTHER_INTANGIBLE_ASSET","FQ4 2020","FQ4 2020","Currency=USD","Period=FQ","BEST_FPERIOD_OVERRIDE=FQ","FILING_STATUS=MR","SCALING_FORMAT=MLN","Sort=A","Dates=H","DateFormat=P","Fill=—","Direction=H","UseDPDF=Y")</f>
        <v>33126</v>
      </c>
      <c r="L70" s="13">
        <f>_xll.BDH("GILD US Equity","ARDR_OTHER_INTANGIBLE_ASSET","FQ1 2021","FQ1 2021","Currency=USD","Period=FQ","BEST_FPERIOD_OVERRIDE=FQ","FILING_STATUS=MR","SCALING_FORMAT=MLN","Sort=A","Dates=H","DateFormat=P","Fill=—","Direction=H","UseDPDF=Y")</f>
        <v>34781</v>
      </c>
      <c r="M70" s="13">
        <f>_xll.BDH("GILD US Equity","ARDR_OTHER_INTANGIBLE_ASSET","FQ2 2021","FQ2 2021","Currency=USD","Period=FQ","BEST_FPERIOD_OVERRIDE=FQ","FILING_STATUS=MR","SCALING_FORMAT=MLN","Sort=A","Dates=H","DateFormat=P","Fill=—","Direction=H","UseDPDF=Y")</f>
        <v>34341</v>
      </c>
      <c r="N70" s="13">
        <f>_xll.BDH("GILD US Equity","ARDR_OTHER_INTANGIBLE_ASSET","FQ3 2021","FQ3 2021","Currency=USD","Period=FQ","BEST_FPERIOD_OVERRIDE=FQ","FILING_STATUS=MR","SCALING_FORMAT=MLN","Sort=A","Dates=H","DateFormat=P","Fill=—","Direction=H","UseDPDF=Y")</f>
        <v>33900</v>
      </c>
      <c r="O70" s="13">
        <f>_xll.BDH("GILD US Equity","ARDR_OTHER_INTANGIBLE_ASSET","FQ4 2021","FQ4 2021","Currency=USD","Period=FQ","BEST_FPERIOD_OVERRIDE=FQ","FILING_STATUS=MR","SCALING_FORMAT=MLN","Sort=A","Dates=H","DateFormat=P","Fill=—","Direction=H","UseDPDF=Y")</f>
        <v>33455</v>
      </c>
      <c r="P70" s="13">
        <f>_xll.BDH("GILD US Equity","ARDR_OTHER_INTANGIBLE_ASSET","FQ1 2022","FQ1 2022","Currency=USD","Period=FQ","BEST_FPERIOD_OVERRIDE=FQ","FILING_STATUS=MR","SCALING_FORMAT=MLN","Sort=A","Dates=H","DateFormat=P","Fill=—","Direction=H","UseDPDF=Y")</f>
        <v>30331</v>
      </c>
      <c r="Q70" s="13">
        <f>_xll.BDH("GILD US Equity","ARDR_OTHER_INTANGIBLE_ASSET","FQ2 2022","FQ2 2022","Currency=USD","Period=FQ","BEST_FPERIOD_OVERRIDE=FQ","FILING_STATUS=MR","SCALING_FORMAT=MLN","Sort=A","Dates=H","DateFormat=P","Fill=—","Direction=H","UseDPDF=Y")</f>
        <v>29885</v>
      </c>
      <c r="R70" s="13">
        <f>_xll.BDH("GILD US Equity","ARDR_OTHER_INTANGIBLE_ASSET","FQ3 2022","FQ3 2022","Currency=USD","Period=FQ","BEST_FPERIOD_OVERRIDE=FQ","FILING_STATUS=MR","SCALING_FORMAT=MLN","Sort=A","Dates=H","DateFormat=P","Fill=—","Direction=H","UseDPDF=Y")</f>
        <v>29440</v>
      </c>
      <c r="S70" s="13">
        <f>_xll.BDH("GILD US Equity","ARDR_OTHER_INTANGIBLE_ASSET","FQ4 2022","FQ4 2022","Currency=USD","Period=FQ","BEST_FPERIOD_OVERRIDE=FQ","FILING_STATUS=MR","SCALING_FORMAT=MLN","Sort=A","Dates=H","DateFormat=P","Fill=—","Direction=H","UseDPDF=Y")</f>
        <v>28894</v>
      </c>
      <c r="T70" s="13">
        <f>_xll.BDH("GILD US Equity","ARDR_OTHER_INTANGIBLE_ASSET","FQ1 2023","FQ1 2023","Currency=USD","Period=FQ","BEST_FPERIOD_OVERRIDE=FQ","FILING_STATUS=MR","SCALING_FORMAT=MLN","Sort=A","Dates=H","DateFormat=P","Fill=—","Direction=H","UseDPDF=Y")</f>
        <v>28348</v>
      </c>
      <c r="U70" s="13">
        <f>_xll.BDH("GILD US Equity","ARDR_OTHER_INTANGIBLE_ASSET","FQ2 2023","FQ2 2023","Currency=USD","Period=FQ","BEST_FPERIOD_OVERRIDE=FQ","FILING_STATUS=MR","SCALING_FORMAT=MLN","Sort=A","Dates=H","DateFormat=P","Fill=—","Direction=H","UseDPDF=Y")</f>
        <v>27750</v>
      </c>
      <c r="V70" s="13">
        <f>_xll.BDH("GILD US Equity","ARDR_OTHER_INTANGIBLE_ASSET","FQ3 2023","FQ3 2023","Currency=USD","Period=FQ","BEST_FPERIOD_OVERRIDE=FQ","FILING_STATUS=MR","SCALING_FORMAT=MLN","Sort=A","Dates=H","DateFormat=P","Fill=—","Direction=H","UseDPDF=Y")</f>
        <v>27152</v>
      </c>
      <c r="W70" s="13">
        <f>_xll.BDH("GILD US Equity","ARDR_OTHER_INTANGIBLE_ASSET","FQ4 2023","FQ4 2023","Currency=USD","Period=FQ","BEST_FPERIOD_OVERRIDE=FQ","FILING_STATUS=MR","SCALING_FORMAT=MLN","Sort=A","Dates=H","DateFormat=P","Fill=—","Direction=H","UseDPDF=Y")</f>
        <v>26454</v>
      </c>
      <c r="X70" s="13">
        <f>_xll.BDH("GILD US Equity","ARDR_OTHER_INTANGIBLE_ASSET","FQ1 2024","FQ1 2024","Currency=USD","Period=FQ","BEST_FPERIOD_OVERRIDE=FQ","FILING_STATUS=MR","SCALING_FORMAT=MLN","Sort=A","Dates=H","DateFormat=P","Fill=—","Direction=H","UseDPDF=Y")</f>
        <v>23428</v>
      </c>
      <c r="Y70" s="13">
        <f>_xll.BDH("GILD US Equity","ARDR_OTHER_INTANGIBLE_ASSET","FQ2 2024","FQ2 2024","Currency=USD","Period=FQ","BEST_FPERIOD_OVERRIDE=FQ","FILING_STATUS=MR","SCALING_FORMAT=MLN","Sort=A","Dates=H","DateFormat=P","Fill=—","Direction=H","UseDPDF=Y")</f>
        <v>22832</v>
      </c>
      <c r="Z70" s="13">
        <f>_xll.BDH("GILD US Equity","ARDR_OTHER_INTANGIBLE_ASSET","FQ3 2024","FQ3 2024","Currency=USD","Period=FQ","BEST_FPERIOD_OVERRIDE=FQ","FILING_STATUS=MR","SCALING_FORMAT=MLN","Sort=A","Dates=H","DateFormat=P","Fill=—","Direction=H","UseDPDF=Y")</f>
        <v>20546</v>
      </c>
      <c r="AA70" s="13">
        <f>_xll.BDH("GILD US Equity","ARDR_OTHER_INTANGIBLE_ASSET","FQ4 2024","FQ4 2024","Currency=USD","Period=FQ","BEST_FPERIOD_OVERRIDE=FQ","FILING_STATUS=MR","SCALING_FORMAT=MLN","Sort=A","Dates=H","DateFormat=P","Fill=—","Direction=H","UseDPDF=Y")</f>
        <v>19948</v>
      </c>
    </row>
    <row r="71" spans="1:27" x14ac:dyDescent="0.25">
      <c r="A71" s="10" t="s">
        <v>927</v>
      </c>
      <c r="B71" s="10" t="s">
        <v>1012</v>
      </c>
      <c r="C71" s="13">
        <f>_xll.BDH("GILD US Equity","ARDR_GOODWLL","FQ4 2018","FQ4 2018","Currency=USD","Period=FQ","BEST_FPERIOD_OVERRIDE=FQ","FILING_STATUS=MR","SCALING_FORMAT=MLN","Sort=A","Dates=H","DateFormat=P","Fill=—","Direction=H","UseDPDF=Y")</f>
        <v>4117</v>
      </c>
      <c r="D71" s="13">
        <f>_xll.BDH("GILD US Equity","ARDR_GOODWLL","FQ1 2019","FQ1 2019","Currency=USD","Period=FQ","BEST_FPERIOD_OVERRIDE=FQ","FILING_STATUS=MR","SCALING_FORMAT=MLN","Sort=A","Dates=H","DateFormat=P","Fill=—","Direction=H","UseDPDF=Y")</f>
        <v>4117</v>
      </c>
      <c r="E71" s="13">
        <f>_xll.BDH("GILD US Equity","ARDR_GOODWLL","FQ2 2019","FQ2 2019","Currency=USD","Period=FQ","BEST_FPERIOD_OVERRIDE=FQ","FILING_STATUS=MR","SCALING_FORMAT=MLN","Sort=A","Dates=H","DateFormat=P","Fill=—","Direction=H","UseDPDF=Y")</f>
        <v>4117</v>
      </c>
      <c r="F71" s="13">
        <f>_xll.BDH("GILD US Equity","ARDR_GOODWLL","FQ3 2019","FQ3 2019","Currency=USD","Period=FQ","BEST_FPERIOD_OVERRIDE=FQ","FILING_STATUS=MR","SCALING_FORMAT=MLN","Sort=A","Dates=H","DateFormat=P","Fill=—","Direction=H","UseDPDF=Y")</f>
        <v>4117</v>
      </c>
      <c r="G71" s="13">
        <f>_xll.BDH("GILD US Equity","ARDR_GOODWLL","FQ4 2019","FQ4 2019","Currency=USD","Period=FQ","BEST_FPERIOD_OVERRIDE=FQ","FILING_STATUS=MR","SCALING_FORMAT=MLN","Sort=A","Dates=H","DateFormat=P","Fill=—","Direction=H","UseDPDF=Y")</f>
        <v>4117</v>
      </c>
      <c r="H71" s="13" t="str">
        <f>_xll.BDH("GILD US Equity","ARDR_GOODWLL","FQ1 2020","FQ1 2020","Currency=USD","Period=FQ","BEST_FPERIOD_OVERRIDE=FQ","FILING_STATUS=MR","SCALING_FORMAT=MLN","Sort=A","Dates=H","DateFormat=P","Fill=—","Direction=H","UseDPDF=Y")</f>
        <v>—</v>
      </c>
      <c r="I71" s="13">
        <f>_xll.BDH("GILD US Equity","ARDR_GOODWLL","FQ2 2020","FQ2 2020","Currency=USD","Period=FQ","BEST_FPERIOD_OVERRIDE=FQ","FILING_STATUS=MR","SCALING_FORMAT=MLN","Sort=A","Dates=H","DateFormat=P","Fill=—","Direction=H","UseDPDF=Y")</f>
        <v>4117</v>
      </c>
      <c r="J71" s="13">
        <f>_xll.BDH("GILD US Equity","ARDR_GOODWLL","FQ3 2020","FQ3 2020","Currency=USD","Period=FQ","BEST_FPERIOD_OVERRIDE=FQ","FILING_STATUS=MR","SCALING_FORMAT=MLN","Sort=A","Dates=H","DateFormat=P","Fill=—","Direction=H","UseDPDF=Y")</f>
        <v>4117</v>
      </c>
      <c r="K71" s="13">
        <f>_xll.BDH("GILD US Equity","ARDR_GOODWLL","FQ4 2020","FQ4 2020","Currency=USD","Period=FQ","BEST_FPERIOD_OVERRIDE=FQ","FILING_STATUS=MR","SCALING_FORMAT=MLN","Sort=A","Dates=H","DateFormat=P","Fill=—","Direction=H","UseDPDF=Y")</f>
        <v>8108</v>
      </c>
      <c r="L71" s="13">
        <f>_xll.BDH("GILD US Equity","ARDR_GOODWLL","FQ1 2021","FQ1 2021","Currency=USD","Period=FQ","BEST_FPERIOD_OVERRIDE=FQ","FILING_STATUS=MR","SCALING_FORMAT=MLN","Sort=A","Dates=H","DateFormat=P","Fill=—","Direction=H","UseDPDF=Y")</f>
        <v>8334</v>
      </c>
      <c r="M71" s="13">
        <f>_xll.BDH("GILD US Equity","ARDR_GOODWLL","FQ2 2021","FQ2 2021","Currency=USD","Period=FQ","BEST_FPERIOD_OVERRIDE=FQ","FILING_STATUS=MR","SCALING_FORMAT=MLN","Sort=A","Dates=H","DateFormat=P","Fill=—","Direction=H","UseDPDF=Y")</f>
        <v>8334</v>
      </c>
      <c r="N71" s="13">
        <f>_xll.BDH("GILD US Equity","ARDR_GOODWLL","FQ3 2021","FQ3 2021","Currency=USD","Period=FQ","BEST_FPERIOD_OVERRIDE=FQ","FILING_STATUS=MR","SCALING_FORMAT=MLN","Sort=A","Dates=H","DateFormat=P","Fill=—","Direction=H","UseDPDF=Y")</f>
        <v>8332</v>
      </c>
      <c r="O71" s="13">
        <f>_xll.BDH("GILD US Equity","ARDR_GOODWLL","FQ4 2021","FQ4 2021","Currency=USD","Period=FQ","BEST_FPERIOD_OVERRIDE=FQ","FILING_STATUS=MR","SCALING_FORMAT=MLN","Sort=A","Dates=H","DateFormat=P","Fill=—","Direction=H","UseDPDF=Y")</f>
        <v>8332</v>
      </c>
      <c r="P71" s="13">
        <f>_xll.BDH("GILD US Equity","ARDR_GOODWLL","FQ1 2022","FQ1 2022","Currency=USD","Period=FQ","BEST_FPERIOD_OVERRIDE=FQ","FILING_STATUS=MR","SCALING_FORMAT=MLN","Sort=A","Dates=H","DateFormat=P","Fill=—","Direction=H","UseDPDF=Y")</f>
        <v>8314</v>
      </c>
      <c r="Q71" s="13">
        <f>_xll.BDH("GILD US Equity","ARDR_GOODWLL","FQ2 2022","FQ2 2022","Currency=USD","Period=FQ","BEST_FPERIOD_OVERRIDE=FQ","FILING_STATUS=MR","SCALING_FORMAT=MLN","Sort=A","Dates=H","DateFormat=P","Fill=—","Direction=H","UseDPDF=Y")</f>
        <v>8314</v>
      </c>
      <c r="R71" s="13">
        <f>_xll.BDH("GILD US Equity","ARDR_GOODWLL","FQ3 2022","FQ3 2022","Currency=USD","Period=FQ","BEST_FPERIOD_OVERRIDE=FQ","FILING_STATUS=MR","SCALING_FORMAT=MLN","Sort=A","Dates=H","DateFormat=P","Fill=—","Direction=H","UseDPDF=Y")</f>
        <v>8314</v>
      </c>
      <c r="S71" s="13">
        <f>_xll.BDH("GILD US Equity","ARDR_GOODWLL","FQ4 2022","FQ4 2022","Currency=USD","Period=FQ","BEST_FPERIOD_OVERRIDE=FQ","FILING_STATUS=MR","SCALING_FORMAT=MLN","Sort=A","Dates=H","DateFormat=P","Fill=—","Direction=H","UseDPDF=Y")</f>
        <v>8314</v>
      </c>
      <c r="T71" s="13">
        <f>_xll.BDH("GILD US Equity","ARDR_GOODWLL","FQ1 2023","FQ1 2023","Currency=USD","Period=FQ","BEST_FPERIOD_OVERRIDE=FQ","FILING_STATUS=MR","SCALING_FORMAT=MLN","Sort=A","Dates=H","DateFormat=P","Fill=—","Direction=H","UseDPDF=Y")</f>
        <v>8314</v>
      </c>
      <c r="U71" s="13">
        <f>_xll.BDH("GILD US Equity","ARDR_GOODWLL","FQ2 2023","FQ2 2023","Currency=USD","Period=FQ","BEST_FPERIOD_OVERRIDE=FQ","FILING_STATUS=MR","SCALING_FORMAT=MLN","Sort=A","Dates=H","DateFormat=P","Fill=—","Direction=H","UseDPDF=Y")</f>
        <v>8314</v>
      </c>
      <c r="V71" s="13">
        <f>_xll.BDH("GILD US Equity","ARDR_GOODWLL","FQ3 2023","FQ3 2023","Currency=USD","Period=FQ","BEST_FPERIOD_OVERRIDE=FQ","FILING_STATUS=MR","SCALING_FORMAT=MLN","Sort=A","Dates=H","DateFormat=P","Fill=—","Direction=H","UseDPDF=Y")</f>
        <v>8314</v>
      </c>
      <c r="W71" s="13">
        <f>_xll.BDH("GILD US Equity","ARDR_GOODWLL","FQ4 2023","FQ4 2023","Currency=USD","Period=FQ","BEST_FPERIOD_OVERRIDE=FQ","FILING_STATUS=MR","SCALING_FORMAT=MLN","Sort=A","Dates=H","DateFormat=P","Fill=—","Direction=H","UseDPDF=Y")</f>
        <v>8314</v>
      </c>
      <c r="X71" s="13">
        <f>_xll.BDH("GILD US Equity","ARDR_GOODWLL","FQ1 2024","FQ1 2024","Currency=USD","Period=FQ","BEST_FPERIOD_OVERRIDE=FQ","FILING_STATUS=MR","SCALING_FORMAT=MLN","Sort=A","Dates=H","DateFormat=P","Fill=—","Direction=H","UseDPDF=Y")</f>
        <v>8314</v>
      </c>
      <c r="Y71" s="13">
        <f>_xll.BDH("GILD US Equity","ARDR_GOODWLL","FQ2 2024","FQ2 2024","Currency=USD","Period=FQ","BEST_FPERIOD_OVERRIDE=FQ","FILING_STATUS=MR","SCALING_FORMAT=MLN","Sort=A","Dates=H","DateFormat=P","Fill=—","Direction=H","UseDPDF=Y")</f>
        <v>8314</v>
      </c>
      <c r="Z71" s="13">
        <f>_xll.BDH("GILD US Equity","ARDR_GOODWLL","FQ3 2024","FQ3 2024","Currency=USD","Period=FQ","BEST_FPERIOD_OVERRIDE=FQ","FILING_STATUS=MR","SCALING_FORMAT=MLN","Sort=A","Dates=H","DateFormat=P","Fill=—","Direction=H","UseDPDF=Y")</f>
        <v>8314</v>
      </c>
      <c r="AA71" s="13">
        <f>_xll.BDH("GILD US Equity","ARDR_GOODWLL","FQ4 2024","FQ4 2024","Currency=USD","Period=FQ","BEST_FPERIOD_OVERRIDE=FQ","FILING_STATUS=MR","SCALING_FORMAT=MLN","Sort=A","Dates=H","DateFormat=P","Fill=—","Direction=H","UseDPDF=Y")</f>
        <v>8314</v>
      </c>
    </row>
    <row r="72" spans="1:27" x14ac:dyDescent="0.25">
      <c r="A72" s="10" t="s">
        <v>937</v>
      </c>
      <c r="B72" s="10" t="s">
        <v>1013</v>
      </c>
      <c r="C72" s="13">
        <f>_xll.BDH("GILD US Equity","ARDR_CURRENT_PORTION_OF_LT_DEBT","FQ4 2018","FQ4 2018","Currency=USD","Period=FQ","BEST_FPERIOD_OVERRIDE=FQ","FILING_STATUS=MR","SCALING_FORMAT=MLN","Sort=A","Dates=H","DateFormat=P","Fill=—","Direction=H","UseDPDF=Y")</f>
        <v>2748</v>
      </c>
      <c r="D72" s="13">
        <f>_xll.BDH("GILD US Equity","ARDR_CURRENT_PORTION_OF_LT_DEBT","FQ1 2019","FQ1 2019","Currency=USD","Period=FQ","BEST_FPERIOD_OVERRIDE=FQ","FILING_STATUS=MR","SCALING_FORMAT=MLN","Sort=A","Dates=H","DateFormat=P","Fill=—","Direction=H","UseDPDF=Y")</f>
        <v>2498</v>
      </c>
      <c r="E72" s="13">
        <f>_xll.BDH("GILD US Equity","ARDR_CURRENT_PORTION_OF_LT_DEBT","FQ2 2019","FQ2 2019","Currency=USD","Period=FQ","BEST_FPERIOD_OVERRIDE=FQ","FILING_STATUS=MR","SCALING_FORMAT=MLN","Sort=A","Dates=H","DateFormat=P","Fill=—","Direction=H","UseDPDF=Y")</f>
        <v>1999</v>
      </c>
      <c r="F72" s="13">
        <f>_xll.BDH("GILD US Equity","ARDR_CURRENT_PORTION_OF_LT_DEBT","FQ3 2019","FQ3 2019","Currency=USD","Period=FQ","BEST_FPERIOD_OVERRIDE=FQ","FILING_STATUS=MR","SCALING_FORMAT=MLN","Sort=A","Dates=H","DateFormat=P","Fill=—","Direction=H","UseDPDF=Y")</f>
        <v>2498</v>
      </c>
      <c r="G72" s="13">
        <f>_xll.BDH("GILD US Equity","ARDR_CURRENT_PORTION_OF_LT_DEBT","FQ4 2019","FQ4 2019","Currency=USD","Period=FQ","BEST_FPERIOD_OVERRIDE=FQ","FILING_STATUS=MR","SCALING_FORMAT=MLN","Sort=A","Dates=H","DateFormat=P","Fill=—","Direction=H","UseDPDF=Y")</f>
        <v>2499</v>
      </c>
      <c r="H72" s="13">
        <f>_xll.BDH("GILD US Equity","ARDR_CURRENT_PORTION_OF_LT_DEBT","FQ1 2020","FQ1 2020","Currency=USD","Period=FQ","BEST_FPERIOD_OVERRIDE=FQ","FILING_STATUS=MR","SCALING_FORMAT=MLN","Sort=A","Dates=H","DateFormat=P","Fill=—","Direction=H","UseDPDF=Y")</f>
        <v>1999</v>
      </c>
      <c r="I72" s="13">
        <f>_xll.BDH("GILD US Equity","ARDR_CURRENT_PORTION_OF_LT_DEBT","FQ2 2020","FQ2 2020","Currency=USD","Period=FQ","BEST_FPERIOD_OVERRIDE=FQ","FILING_STATUS=MR","SCALING_FORMAT=MLN","Sort=A","Dates=H","DateFormat=P","Fill=—","Direction=H","UseDPDF=Y")</f>
        <v>2999</v>
      </c>
      <c r="J72" s="13">
        <f>_xll.BDH("GILD US Equity","ARDR_CURRENT_PORTION_OF_LT_DEBT","FQ3 2020","FQ3 2020","Currency=USD","Period=FQ","BEST_FPERIOD_OVERRIDE=FQ","FILING_STATUS=MR","SCALING_FORMAT=MLN","Sort=A","Dates=H","DateFormat=P","Fill=—","Direction=H","UseDPDF=Y")</f>
        <v>1498</v>
      </c>
      <c r="K72" s="13">
        <f>_xll.BDH("GILD US Equity","ARDR_CURRENT_PORTION_OF_LT_DEBT","FQ4 2020","FQ4 2020","Currency=USD","Period=FQ","BEST_FPERIOD_OVERRIDE=FQ","FILING_STATUS=MR","SCALING_FORMAT=MLN","Sort=A","Dates=H","DateFormat=P","Fill=—","Direction=H","UseDPDF=Y")</f>
        <v>2757</v>
      </c>
      <c r="L72" s="13">
        <f>_xll.BDH("GILD US Equity","ARDR_CURRENT_PORTION_OF_LT_DEBT","FQ1 2021","FQ1 2021","Currency=USD","Period=FQ","BEST_FPERIOD_OVERRIDE=FQ","FILING_STATUS=MR","SCALING_FORMAT=MLN","Sort=A","Dates=H","DateFormat=P","Fill=—","Direction=H","UseDPDF=Y")</f>
        <v>2259</v>
      </c>
      <c r="M72" s="13">
        <f>_xll.BDH("GILD US Equity","ARDR_CURRENT_PORTION_OF_LT_DEBT","FQ2 2021","FQ2 2021","Currency=USD","Period=FQ","BEST_FPERIOD_OVERRIDE=FQ","FILING_STATUS=MR","SCALING_FORMAT=MLN","Sort=A","Dates=H","DateFormat=P","Fill=—","Direction=H","UseDPDF=Y")</f>
        <v>2261</v>
      </c>
      <c r="N72" s="13">
        <f>_xll.BDH("GILD US Equity","ARDR_CURRENT_PORTION_OF_LT_DEBT","FQ3 2021","FQ3 2021","Currency=USD","Period=FQ","BEST_FPERIOD_OVERRIDE=FQ","FILING_STATUS=MR","SCALING_FORMAT=MLN","Sort=A","Dates=H","DateFormat=P","Fill=—","Direction=H","UseDPDF=Y")</f>
        <v>2511</v>
      </c>
      <c r="O72" s="13">
        <f>_xll.BDH("GILD US Equity","ARDR_CURRENT_PORTION_OF_LT_DEBT","FQ4 2021","FQ4 2021","Currency=USD","Period=FQ","BEST_FPERIOD_OVERRIDE=FQ","FILING_STATUS=MR","SCALING_FORMAT=MLN","Sort=A","Dates=H","DateFormat=P","Fill=—","Direction=H","UseDPDF=Y")</f>
        <v>1516</v>
      </c>
      <c r="P72" s="13">
        <f>_xll.BDH("GILD US Equity","ARDR_CURRENT_PORTION_OF_LT_DEBT","FQ1 2022","FQ1 2022","Currency=USD","Period=FQ","BEST_FPERIOD_OVERRIDE=FQ","FILING_STATUS=MR","SCALING_FORMAT=MLN","Sort=A","Dates=H","DateFormat=P","Fill=—","Direction=H","UseDPDF=Y")</f>
        <v>1025</v>
      </c>
      <c r="Q72" s="13">
        <f>_xll.BDH("GILD US Equity","ARDR_CURRENT_PORTION_OF_LT_DEBT","FQ2 2022","FQ2 2022","Currency=USD","Period=FQ","BEST_FPERIOD_OVERRIDE=FQ","FILING_STATUS=MR","SCALING_FORMAT=MLN","Sort=A","Dates=H","DateFormat=P","Fill=—","Direction=H","UseDPDF=Y")</f>
        <v>1021</v>
      </c>
      <c r="R72" s="13" t="str">
        <f>_xll.BDH("GILD US Equity","ARDR_CURRENT_PORTION_OF_LT_DEBT","FQ3 2022","FQ3 2022","Currency=USD","Period=FQ","BEST_FPERIOD_OVERRIDE=FQ","FILING_STATUS=MR","SCALING_FORMAT=MLN","Sort=A","Dates=H","DateFormat=P","Fill=—","Direction=H","UseDPDF=Y")</f>
        <v>—</v>
      </c>
      <c r="S72" s="13">
        <f>_xll.BDH("GILD US Equity","ARDR_CURRENT_PORTION_OF_LT_DEBT","FQ4 2022","FQ4 2022","Currency=USD","Period=FQ","BEST_FPERIOD_OVERRIDE=FQ","FILING_STATUS=MR","SCALING_FORMAT=MLN","Sort=A","Dates=H","DateFormat=P","Fill=—","Direction=H","UseDPDF=Y")</f>
        <v>2273</v>
      </c>
      <c r="T72" s="13">
        <f>_xll.BDH("GILD US Equity","ARDR_CURRENT_PORTION_OF_LT_DEBT","FQ1 2023","FQ1 2023","Currency=USD","Period=FQ","BEST_FPERIOD_OVERRIDE=FQ","FILING_STATUS=MR","SCALING_FORMAT=MLN","Sort=A","Dates=H","DateFormat=P","Fill=—","Direction=H","UseDPDF=Y")</f>
        <v>2283</v>
      </c>
      <c r="U72" s="13">
        <f>_xll.BDH("GILD US Equity","ARDR_CURRENT_PORTION_OF_LT_DEBT","FQ2 2023","FQ2 2023","Currency=USD","Period=FQ","BEST_FPERIOD_OVERRIDE=FQ","FILING_STATUS=MR","SCALING_FORMAT=MLN","Sort=A","Dates=H","DateFormat=P","Fill=—","Direction=H","UseDPDF=Y")</f>
        <v>4037</v>
      </c>
      <c r="V72" s="13">
        <f>_xll.BDH("GILD US Equity","ARDR_CURRENT_PORTION_OF_LT_DEBT","FQ3 2023","FQ3 2023","Currency=USD","Period=FQ","BEST_FPERIOD_OVERRIDE=FQ","FILING_STATUS=MR","SCALING_FORMAT=MLN","Sort=A","Dates=H","DateFormat=P","Fill=—","Direction=H","UseDPDF=Y")</f>
        <v>1793</v>
      </c>
      <c r="W72" s="13">
        <f>_xll.BDH("GILD US Equity","ARDR_CURRENT_PORTION_OF_LT_DEBT","FQ4 2023","FQ4 2023","Currency=USD","Period=FQ","BEST_FPERIOD_OVERRIDE=FQ","FILING_STATUS=MR","SCALING_FORMAT=MLN","Sort=A","Dates=H","DateFormat=P","Fill=—","Direction=H","UseDPDF=Y")</f>
        <v>1798</v>
      </c>
      <c r="X72" s="13">
        <f>_xll.BDH("GILD US Equity","ARDR_CURRENT_PORTION_OF_LT_DEBT","FQ1 2024","FQ1 2024","Currency=USD","Period=FQ","BEST_FPERIOD_OVERRIDE=FQ","FILING_STATUS=MR","SCALING_FORMAT=MLN","Sort=A","Dates=H","DateFormat=P","Fill=—","Direction=H","UseDPDF=Y")</f>
        <v>3667</v>
      </c>
      <c r="Y72" s="13">
        <f>_xll.BDH("GILD US Equity","ARDR_CURRENT_PORTION_OF_LT_DEBT","FQ2 2024","FQ2 2024","Currency=USD","Period=FQ","BEST_FPERIOD_OVERRIDE=FQ","FILING_STATUS=MR","SCALING_FORMAT=MLN","Sort=A","Dates=H","DateFormat=P","Fill=—","Direction=H","UseDPDF=Y")</f>
        <v>1810</v>
      </c>
      <c r="Z72" s="13">
        <f>_xll.BDH("GILD US Equity","ARDR_CURRENT_PORTION_OF_LT_DEBT","FQ3 2024","FQ3 2024","Currency=USD","Period=FQ","BEST_FPERIOD_OVERRIDE=FQ","FILING_STATUS=MR","SCALING_FORMAT=MLN","Sort=A","Dates=H","DateFormat=P","Fill=—","Direction=H","UseDPDF=Y")</f>
        <v>1812</v>
      </c>
      <c r="AA72" s="13">
        <f>_xll.BDH("GILD US Equity","ARDR_CURRENT_PORTION_OF_LT_DEBT","FQ4 2024","FQ4 2024","Currency=USD","Period=FQ","BEST_FPERIOD_OVERRIDE=FQ","FILING_STATUS=MR","SCALING_FORMAT=MLN","Sort=A","Dates=H","DateFormat=P","Fill=—","Direction=H","UseDPDF=Y")</f>
        <v>1815</v>
      </c>
    </row>
    <row r="73" spans="1:27" x14ac:dyDescent="0.25">
      <c r="A73" s="10" t="s">
        <v>948</v>
      </c>
      <c r="B73" s="10" t="s">
        <v>1014</v>
      </c>
      <c r="C73" s="13">
        <f>_xll.BDH("GILD US Equity","ARDR_DEFERRED_INCOME_TAXES_LIAB","FQ4 2018","FQ4 2018","Currency=USD","Period=FQ","BEST_FPERIOD_OVERRIDE=FQ","FILING_STATUS=MR","SCALING_FORMAT=MLN","Sort=A","Dates=H","DateFormat=P","Fill=—","Direction=H","UseDPDF=Y")</f>
        <v>1783</v>
      </c>
      <c r="D73" s="13" t="str">
        <f>_xll.BDH("GILD US Equity","ARDR_DEFERRED_INCOME_TAXES_LIAB","FQ1 2019","FQ1 2019","Currency=USD","Period=FQ","BEST_FPERIOD_OVERRIDE=FQ","FILING_STATUS=MR","SCALING_FORMAT=MLN","Sort=A","Dates=H","DateFormat=P","Fill=—","Direction=H","UseDPDF=Y")</f>
        <v>—</v>
      </c>
      <c r="E73" s="13" t="str">
        <f>_xll.BDH("GILD US Equity","ARDR_DEFERRED_INCOME_TAXES_LIAB","FQ2 2019","FQ2 2019","Currency=USD","Period=FQ","BEST_FPERIOD_OVERRIDE=FQ","FILING_STATUS=MR","SCALING_FORMAT=MLN","Sort=A","Dates=H","DateFormat=P","Fill=—","Direction=H","UseDPDF=Y")</f>
        <v>—</v>
      </c>
      <c r="F73" s="13" t="str">
        <f>_xll.BDH("GILD US Equity","ARDR_DEFERRED_INCOME_TAXES_LIAB","FQ3 2019","FQ3 2019","Currency=USD","Period=FQ","BEST_FPERIOD_OVERRIDE=FQ","FILING_STATUS=MR","SCALING_FORMAT=MLN","Sort=A","Dates=H","DateFormat=P","Fill=—","Direction=H","UseDPDF=Y")</f>
        <v>—</v>
      </c>
      <c r="G73" s="13">
        <f>_xll.BDH("GILD US Equity","ARDR_DEFERRED_INCOME_TAXES_LIAB","FQ4 2019","FQ4 2019","Currency=USD","Period=FQ","BEST_FPERIOD_OVERRIDE=FQ","FILING_STATUS=MR","SCALING_FORMAT=MLN","Sort=A","Dates=H","DateFormat=P","Fill=—","Direction=H","UseDPDF=Y")</f>
        <v>1582</v>
      </c>
      <c r="H73" s="13" t="str">
        <f>_xll.BDH("GILD US Equity","ARDR_DEFERRED_INCOME_TAXES_LIAB","FQ1 2020","FQ1 2020","Currency=USD","Period=FQ","BEST_FPERIOD_OVERRIDE=FQ","FILING_STATUS=MR","SCALING_FORMAT=MLN","Sort=A","Dates=H","DateFormat=P","Fill=—","Direction=H","UseDPDF=Y")</f>
        <v>—</v>
      </c>
      <c r="I73" s="13" t="str">
        <f>_xll.BDH("GILD US Equity","ARDR_DEFERRED_INCOME_TAXES_LIAB","FQ2 2020","FQ2 2020","Currency=USD","Period=FQ","BEST_FPERIOD_OVERRIDE=FQ","FILING_STATUS=MR","SCALING_FORMAT=MLN","Sort=A","Dates=H","DateFormat=P","Fill=—","Direction=H","UseDPDF=Y")</f>
        <v>—</v>
      </c>
      <c r="J73" s="13" t="str">
        <f>_xll.BDH("GILD US Equity","ARDR_DEFERRED_INCOME_TAXES_LIAB","FQ3 2020","FQ3 2020","Currency=USD","Period=FQ","BEST_FPERIOD_OVERRIDE=FQ","FILING_STATUS=MR","SCALING_FORMAT=MLN","Sort=A","Dates=H","DateFormat=P","Fill=—","Direction=H","UseDPDF=Y")</f>
        <v>—</v>
      </c>
      <c r="K73" s="13">
        <f>_xll.BDH("GILD US Equity","ARDR_DEFERRED_INCOME_TAXES_LIAB","FQ4 2020","FQ4 2020","Currency=USD","Period=FQ","BEST_FPERIOD_OVERRIDE=FQ","FILING_STATUS=MR","SCALING_FORMAT=MLN","Sort=A","Dates=H","DateFormat=P","Fill=—","Direction=H","UseDPDF=Y")</f>
        <v>6572</v>
      </c>
      <c r="L73" s="13" t="str">
        <f>_xll.BDH("GILD US Equity","ARDR_DEFERRED_INCOME_TAXES_LIAB","FQ1 2021","FQ1 2021","Currency=USD","Period=FQ","BEST_FPERIOD_OVERRIDE=FQ","FILING_STATUS=MR","SCALING_FORMAT=MLN","Sort=A","Dates=H","DateFormat=P","Fill=—","Direction=H","UseDPDF=Y")</f>
        <v>—</v>
      </c>
      <c r="M73" s="13" t="str">
        <f>_xll.BDH("GILD US Equity","ARDR_DEFERRED_INCOME_TAXES_LIAB","FQ2 2021","FQ2 2021","Currency=USD","Period=FQ","BEST_FPERIOD_OVERRIDE=FQ","FILING_STATUS=MR","SCALING_FORMAT=MLN","Sort=A","Dates=H","DateFormat=P","Fill=—","Direction=H","UseDPDF=Y")</f>
        <v>—</v>
      </c>
      <c r="N73" s="13" t="str">
        <f>_xll.BDH("GILD US Equity","ARDR_DEFERRED_INCOME_TAXES_LIAB","FQ3 2021","FQ3 2021","Currency=USD","Period=FQ","BEST_FPERIOD_OVERRIDE=FQ","FILING_STATUS=MR","SCALING_FORMAT=MLN","Sort=A","Dates=H","DateFormat=P","Fill=—","Direction=H","UseDPDF=Y")</f>
        <v>—</v>
      </c>
      <c r="O73" s="13">
        <f>_xll.BDH("GILD US Equity","ARDR_DEFERRED_INCOME_TAXES_LIAB","FQ4 2021","FQ4 2021","Currency=USD","Period=FQ","BEST_FPERIOD_OVERRIDE=FQ","FILING_STATUS=MR","SCALING_FORMAT=MLN","Sort=A","Dates=H","DateFormat=P","Fill=—","Direction=H","UseDPDF=Y")</f>
        <v>7138</v>
      </c>
      <c r="P73" s="13" t="str">
        <f>_xll.BDH("GILD US Equity","ARDR_DEFERRED_INCOME_TAXES_LIAB","FQ1 2022","FQ1 2022","Currency=USD","Period=FQ","BEST_FPERIOD_OVERRIDE=FQ","FILING_STATUS=MR","SCALING_FORMAT=MLN","Sort=A","Dates=H","DateFormat=P","Fill=—","Direction=H","UseDPDF=Y")</f>
        <v>—</v>
      </c>
      <c r="Q73" s="13" t="str">
        <f>_xll.BDH("GILD US Equity","ARDR_DEFERRED_INCOME_TAXES_LIAB","FQ2 2022","FQ2 2022","Currency=USD","Period=FQ","BEST_FPERIOD_OVERRIDE=FQ","FILING_STATUS=MR","SCALING_FORMAT=MLN","Sort=A","Dates=H","DateFormat=P","Fill=—","Direction=H","UseDPDF=Y")</f>
        <v>—</v>
      </c>
      <c r="R73" s="13" t="str">
        <f>_xll.BDH("GILD US Equity","ARDR_DEFERRED_INCOME_TAXES_LIAB","FQ3 2022","FQ3 2022","Currency=USD","Period=FQ","BEST_FPERIOD_OVERRIDE=FQ","FILING_STATUS=MR","SCALING_FORMAT=MLN","Sort=A","Dates=H","DateFormat=P","Fill=—","Direction=H","UseDPDF=Y")</f>
        <v>—</v>
      </c>
      <c r="S73" s="13">
        <f>_xll.BDH("GILD US Equity","ARDR_DEFERRED_INCOME_TAXES_LIAB","FQ4 2022","FQ4 2022","Currency=USD","Period=FQ","BEST_FPERIOD_OVERRIDE=FQ","FILING_STATUS=MR","SCALING_FORMAT=MLN","Sort=A","Dates=H","DateFormat=P","Fill=—","Direction=H","UseDPDF=Y")</f>
        <v>6122</v>
      </c>
      <c r="T73" s="13" t="str">
        <f>_xll.BDH("GILD US Equity","ARDR_DEFERRED_INCOME_TAXES_LIAB","FQ1 2023","FQ1 2023","Currency=USD","Period=FQ","BEST_FPERIOD_OVERRIDE=FQ","FILING_STATUS=MR","SCALING_FORMAT=MLN","Sort=A","Dates=H","DateFormat=P","Fill=—","Direction=H","UseDPDF=Y")</f>
        <v>—</v>
      </c>
      <c r="U73" s="13" t="str">
        <f>_xll.BDH("GILD US Equity","ARDR_DEFERRED_INCOME_TAXES_LIAB","FQ2 2023","FQ2 2023","Currency=USD","Period=FQ","BEST_FPERIOD_OVERRIDE=FQ","FILING_STATUS=MR","SCALING_FORMAT=MLN","Sort=A","Dates=H","DateFormat=P","Fill=—","Direction=H","UseDPDF=Y")</f>
        <v>—</v>
      </c>
      <c r="V73" s="13" t="str">
        <f>_xll.BDH("GILD US Equity","ARDR_DEFERRED_INCOME_TAXES_LIAB","FQ3 2023","FQ3 2023","Currency=USD","Period=FQ","BEST_FPERIOD_OVERRIDE=FQ","FILING_STATUS=MR","SCALING_FORMAT=MLN","Sort=A","Dates=H","DateFormat=P","Fill=—","Direction=H","UseDPDF=Y")</f>
        <v>—</v>
      </c>
      <c r="W73" s="13">
        <f>_xll.BDH("GILD US Equity","ARDR_DEFERRED_INCOME_TAXES_LIAB","FQ4 2023","FQ4 2023","Currency=USD","Period=FQ","BEST_FPERIOD_OVERRIDE=FQ","FILING_STATUS=MR","SCALING_FORMAT=MLN","Sort=A","Dates=H","DateFormat=P","Fill=—","Direction=H","UseDPDF=Y")</f>
        <v>5939</v>
      </c>
      <c r="X73" s="13" t="str">
        <f>_xll.BDH("GILD US Equity","ARDR_DEFERRED_INCOME_TAXES_LIAB","FQ1 2024","FQ1 2024","Currency=USD","Period=FQ","BEST_FPERIOD_OVERRIDE=FQ","FILING_STATUS=MR","SCALING_FORMAT=MLN","Sort=A","Dates=H","DateFormat=P","Fill=—","Direction=H","UseDPDF=Y")</f>
        <v>—</v>
      </c>
      <c r="Y73" s="13" t="str">
        <f>_xll.BDH("GILD US Equity","ARDR_DEFERRED_INCOME_TAXES_LIAB","FQ2 2024","FQ2 2024","Currency=USD","Period=FQ","BEST_FPERIOD_OVERRIDE=FQ","FILING_STATUS=MR","SCALING_FORMAT=MLN","Sort=A","Dates=H","DateFormat=P","Fill=—","Direction=H","UseDPDF=Y")</f>
        <v>—</v>
      </c>
      <c r="Z73" s="13" t="str">
        <f>_xll.BDH("GILD US Equity","ARDR_DEFERRED_INCOME_TAXES_LIAB","FQ3 2024","FQ3 2024","Currency=USD","Period=FQ","BEST_FPERIOD_OVERRIDE=FQ","FILING_STATUS=MR","SCALING_FORMAT=MLN","Sort=A","Dates=H","DateFormat=P","Fill=—","Direction=H","UseDPDF=Y")</f>
        <v>—</v>
      </c>
      <c r="AA73" s="13">
        <f>_xll.BDH("GILD US Equity","ARDR_DEFERRED_INCOME_TAXES_LIAB","FQ4 2024","FQ4 2024","Currency=USD","Period=FQ","BEST_FPERIOD_OVERRIDE=FQ","FILING_STATUS=MR","SCALING_FORMAT=MLN","Sort=A","Dates=H","DateFormat=P","Fill=—","Direction=H","UseDPDF=Y")</f>
        <v>4336</v>
      </c>
    </row>
    <row r="74" spans="1:27" x14ac:dyDescent="0.25">
      <c r="A74" s="10" t="s">
        <v>1015</v>
      </c>
      <c r="B74" s="10" t="s">
        <v>1016</v>
      </c>
      <c r="C74" s="13">
        <f>_xll.BDH("GILD US Equity","ARDR_MIN_NONCONTROL_INT_SE","FQ4 2018","FQ4 2018","Currency=USD","Period=FQ","BEST_FPERIOD_OVERRIDE=FQ","FILING_STATUS=MR","SCALING_FORMAT=MLN","Sort=A","Dates=H","DateFormat=P","Fill=—","Direction=H","UseDPDF=Y")</f>
        <v>147</v>
      </c>
      <c r="D74" s="13">
        <f>_xll.BDH("GILD US Equity","ARDR_MIN_NONCONTROL_INT_SE","FQ1 2019","FQ1 2019","Currency=USD","Period=FQ","BEST_FPERIOD_OVERRIDE=FQ","FILING_STATUS=MR","SCALING_FORMAT=MLN","Sort=A","Dates=H","DateFormat=P","Fill=—","Direction=H","UseDPDF=Y")</f>
        <v>140</v>
      </c>
      <c r="E74" s="13">
        <f>_xll.BDH("GILD US Equity","ARDR_MIN_NONCONTROL_INT_SE","FQ2 2019","FQ2 2019","Currency=USD","Period=FQ","BEST_FPERIOD_OVERRIDE=FQ","FILING_STATUS=MR","SCALING_FORMAT=MLN","Sort=A","Dates=H","DateFormat=P","Fill=—","Direction=H","UseDPDF=Y")</f>
        <v>135</v>
      </c>
      <c r="F74" s="13">
        <f>_xll.BDH("GILD US Equity","ARDR_MIN_NONCONTROL_INT_SE","FQ3 2019","FQ3 2019","Currency=USD","Period=FQ","BEST_FPERIOD_OVERRIDE=FQ","FILING_STATUS=MR","SCALING_FORMAT=MLN","Sort=A","Dates=H","DateFormat=P","Fill=—","Direction=H","UseDPDF=Y")</f>
        <v>132</v>
      </c>
      <c r="G74" s="13">
        <f>_xll.BDH("GILD US Equity","ARDR_MIN_NONCONTROL_INT_SE","FQ4 2019","FQ4 2019","Currency=USD","Period=FQ","BEST_FPERIOD_OVERRIDE=FQ","FILING_STATUS=MR","SCALING_FORMAT=MLN","Sort=A","Dates=H","DateFormat=P","Fill=—","Direction=H","UseDPDF=Y")</f>
        <v>125</v>
      </c>
      <c r="H74" s="13">
        <f>_xll.BDH("GILD US Equity","ARDR_MIN_NONCONTROL_INT_SE","FQ1 2020","FQ1 2020","Currency=USD","Period=FQ","BEST_FPERIOD_OVERRIDE=FQ","FILING_STATUS=MR","SCALING_FORMAT=MLN","Sort=A","Dates=H","DateFormat=P","Fill=—","Direction=H","UseDPDF=Y")</f>
        <v>112</v>
      </c>
      <c r="I74" s="13">
        <f>_xll.BDH("GILD US Equity","ARDR_MIN_NONCONTROL_INT_SE","FQ2 2020","FQ2 2020","Currency=USD","Period=FQ","BEST_FPERIOD_OVERRIDE=FQ","FILING_STATUS=MR","SCALING_FORMAT=MLN","Sort=A","Dates=H","DateFormat=P","Fill=—","Direction=H","UseDPDF=Y")</f>
        <v>115</v>
      </c>
      <c r="J74" s="13">
        <f>_xll.BDH("GILD US Equity","ARDR_MIN_NONCONTROL_INT_SE","FQ3 2020","FQ3 2020","Currency=USD","Period=FQ","BEST_FPERIOD_OVERRIDE=FQ","FILING_STATUS=MR","SCALING_FORMAT=MLN","Sort=A","Dates=H","DateFormat=P","Fill=—","Direction=H","UseDPDF=Y")</f>
        <v>26</v>
      </c>
      <c r="K74" s="13">
        <f>_xll.BDH("GILD US Equity","ARDR_MIN_NONCONTROL_INT_SE","FQ4 2020","FQ4 2020","Currency=USD","Period=FQ","BEST_FPERIOD_OVERRIDE=FQ","FILING_STATUS=MR","SCALING_FORMAT=MLN","Sort=A","Dates=H","DateFormat=P","Fill=—","Direction=H","UseDPDF=Y")</f>
        <v>19</v>
      </c>
      <c r="L74" s="13">
        <f>_xll.BDH("GILD US Equity","ARDR_MIN_NONCONTROL_INT_SE","FQ1 2021","FQ1 2021","Currency=USD","Period=FQ","BEST_FPERIOD_OVERRIDE=FQ","FILING_STATUS=MR","SCALING_FORMAT=MLN","Sort=A","Dates=H","DateFormat=P","Fill=—","Direction=H","UseDPDF=Y")</f>
        <v>12</v>
      </c>
      <c r="M74" s="13">
        <f>_xll.BDH("GILD US Equity","ARDR_MIN_NONCONTROL_INT_SE","FQ2 2021","FQ2 2021","Currency=USD","Period=FQ","BEST_FPERIOD_OVERRIDE=FQ","FILING_STATUS=MR","SCALING_FORMAT=MLN","Sort=A","Dates=H","DateFormat=P","Fill=—","Direction=H","UseDPDF=Y")</f>
        <v>7</v>
      </c>
      <c r="N74" s="13">
        <f>_xll.BDH("GILD US Equity","ARDR_MIN_NONCONTROL_INT_SE","FQ3 2021","FQ3 2021","Currency=USD","Period=FQ","BEST_FPERIOD_OVERRIDE=FQ","FILING_STATUS=MR","SCALING_FORMAT=MLN","Sort=A","Dates=H","DateFormat=P","Fill=—","Direction=H","UseDPDF=Y")</f>
        <v>1</v>
      </c>
      <c r="O74" s="13">
        <f>_xll.BDH("GILD US Equity","ARDR_MIN_NONCONTROL_INT_SE","FQ4 2021","FQ4 2021","Currency=USD","Period=FQ","BEST_FPERIOD_OVERRIDE=FQ","FILING_STATUS=MR","SCALING_FORMAT=MLN","Sort=A","Dates=H","DateFormat=P","Fill=—","Direction=H","UseDPDF=Y")</f>
        <v>-5</v>
      </c>
      <c r="P74" s="13">
        <f>_xll.BDH("GILD US Equity","ARDR_MIN_NONCONTROL_INT_SE","FQ1 2022","FQ1 2022","Currency=USD","Period=FQ","BEST_FPERIOD_OVERRIDE=FQ","FILING_STATUS=MR","SCALING_FORMAT=MLN","Sort=A","Dates=H","DateFormat=P","Fill=—","Direction=H","UseDPDF=Y")</f>
        <v>-12</v>
      </c>
      <c r="Q74" s="13">
        <f>_xll.BDH("GILD US Equity","ARDR_MIN_NONCONTROL_INT_SE","FQ2 2022","FQ2 2022","Currency=USD","Period=FQ","BEST_FPERIOD_OVERRIDE=FQ","FILING_STATUS=MR","SCALING_FORMAT=MLN","Sort=A","Dates=H","DateFormat=P","Fill=—","Direction=H","UseDPDF=Y")</f>
        <v>0</v>
      </c>
      <c r="R74" s="13">
        <f>_xll.BDH("GILD US Equity","ARDR_MIN_NONCONTROL_INT_SE","FQ3 2022","FQ3 2022","Currency=USD","Period=FQ","BEST_FPERIOD_OVERRIDE=FQ","FILING_STATUS=MR","SCALING_FORMAT=MLN","Sort=A","Dates=H","DateFormat=P","Fill=—","Direction=H","UseDPDF=Y")</f>
        <v>-24</v>
      </c>
      <c r="S74" s="13">
        <f>_xll.BDH("GILD US Equity","ARDR_MIN_NONCONTROL_INT_SE","FQ4 2022","FQ4 2022","Currency=USD","Period=FQ","BEST_FPERIOD_OVERRIDE=FQ","FILING_STATUS=MR","SCALING_FORMAT=MLN","Sort=A","Dates=H","DateFormat=P","Fill=—","Direction=H","UseDPDF=Y")</f>
        <v>-31</v>
      </c>
      <c r="T74" s="13">
        <f>_xll.BDH("GILD US Equity","ARDR_MIN_NONCONTROL_INT_SE","FQ1 2023","FQ1 2023","Currency=USD","Period=FQ","BEST_FPERIOD_OVERRIDE=FQ","FILING_STATUS=MR","SCALING_FORMAT=MLN","Sort=A","Dates=H","DateFormat=P","Fill=—","Direction=H","UseDPDF=Y")</f>
        <v>-58</v>
      </c>
      <c r="U74" s="13">
        <f>_xll.BDH("GILD US Equity","ARDR_MIN_NONCONTROL_INT_SE","FQ2 2023","FQ2 2023","Currency=USD","Period=FQ","BEST_FPERIOD_OVERRIDE=FQ","FILING_STATUS=MR","SCALING_FORMAT=MLN","Sort=A","Dates=H","DateFormat=P","Fill=—","Direction=H","UseDPDF=Y")</f>
        <v>-64</v>
      </c>
      <c r="V74" s="13">
        <f>_xll.BDH("GILD US Equity","ARDR_MIN_NONCONTROL_INT_SE","FQ3 2023","FQ3 2023","Currency=USD","Period=FQ","BEST_FPERIOD_OVERRIDE=FQ","FILING_STATUS=MR","SCALING_FORMAT=MLN","Sort=A","Dates=H","DateFormat=P","Fill=—","Direction=H","UseDPDF=Y")</f>
        <v>-72</v>
      </c>
      <c r="W74" s="13">
        <f>_xll.BDH("GILD US Equity","ARDR_MIN_NONCONTROL_INT_SE","FQ4 2023","FQ4 2023","Currency=USD","Period=FQ","BEST_FPERIOD_OVERRIDE=FQ","FILING_STATUS=MR","SCALING_FORMAT=MLN","Sort=A","Dates=H","DateFormat=P","Fill=—","Direction=H","UseDPDF=Y")</f>
        <v>-84</v>
      </c>
      <c r="X74" s="13">
        <f>_xll.BDH("GILD US Equity","ARDR_MIN_NONCONTROL_INT_SE","FQ1 2024","FQ1 2024","Currency=USD","Period=FQ","BEST_FPERIOD_OVERRIDE=FQ","FILING_STATUS=MR","SCALING_FORMAT=MLN","Sort=A","Dates=H","DateFormat=P","Fill=—","Direction=H","UseDPDF=Y")</f>
        <v>-84</v>
      </c>
      <c r="Y74" s="13">
        <f>_xll.BDH("GILD US Equity","ARDR_MIN_NONCONTROL_INT_SE","FQ2 2024","FQ2 2024","Currency=USD","Period=FQ","BEST_FPERIOD_OVERRIDE=FQ","FILING_STATUS=MR","SCALING_FORMAT=MLN","Sort=A","Dates=H","DateFormat=P","Fill=—","Direction=H","UseDPDF=Y")</f>
        <v>-84</v>
      </c>
      <c r="Z74" s="13">
        <f>_xll.BDH("GILD US Equity","ARDR_MIN_NONCONTROL_INT_SE","FQ3 2024","FQ3 2024","Currency=USD","Period=FQ","BEST_FPERIOD_OVERRIDE=FQ","FILING_STATUS=MR","SCALING_FORMAT=MLN","Sort=A","Dates=H","DateFormat=P","Fill=—","Direction=H","UseDPDF=Y")</f>
        <v>-84</v>
      </c>
      <c r="AA74" s="13">
        <f>_xll.BDH("GILD US Equity","ARDR_MIN_NONCONTROL_INT_SE","FQ4 2024","FQ4 2024","Currency=USD","Period=FQ","BEST_FPERIOD_OVERRIDE=FQ","FILING_STATUS=MR","SCALING_FORMAT=MLN","Sort=A","Dates=H","DateFormat=P","Fill=—","Direction=H","UseDPDF=Y")</f>
        <v>-84</v>
      </c>
    </row>
    <row r="75" spans="1:27" x14ac:dyDescent="0.25">
      <c r="A75" s="10" t="s">
        <v>960</v>
      </c>
      <c r="B75" s="10" t="s">
        <v>1017</v>
      </c>
      <c r="C75" s="13">
        <f>_xll.BDH("GILD US Equity","ARDR_COMMON_STOCK","FQ4 2018","FQ4 2018","Currency=USD","Period=FQ","BEST_FPERIOD_OVERRIDE=FQ","FILING_STATUS=MR","SCALING_FORMAT=MLN","Sort=A","Dates=H","DateFormat=P","Fill=—","Direction=H","UseDPDF=Y")</f>
        <v>1</v>
      </c>
      <c r="D75" s="13">
        <f>_xll.BDH("GILD US Equity","ARDR_COMMON_STOCK","FQ1 2019","FQ1 2019","Currency=USD","Period=FQ","BEST_FPERIOD_OVERRIDE=FQ","FILING_STATUS=MR","SCALING_FORMAT=MLN","Sort=A","Dates=H","DateFormat=P","Fill=—","Direction=H","UseDPDF=Y")</f>
        <v>1</v>
      </c>
      <c r="E75" s="13">
        <f>_xll.BDH("GILD US Equity","ARDR_COMMON_STOCK","FQ2 2019","FQ2 2019","Currency=USD","Period=FQ","BEST_FPERIOD_OVERRIDE=FQ","FILING_STATUS=MR","SCALING_FORMAT=MLN","Sort=A","Dates=H","DateFormat=P","Fill=—","Direction=H","UseDPDF=Y")</f>
        <v>1</v>
      </c>
      <c r="F75" s="13">
        <f>_xll.BDH("GILD US Equity","ARDR_COMMON_STOCK","FQ3 2019","FQ3 2019","Currency=USD","Period=FQ","BEST_FPERIOD_OVERRIDE=FQ","FILING_STATUS=MR","SCALING_FORMAT=MLN","Sort=A","Dates=H","DateFormat=P","Fill=—","Direction=H","UseDPDF=Y")</f>
        <v>1</v>
      </c>
      <c r="G75" s="13">
        <f>_xll.BDH("GILD US Equity","ARDR_COMMON_STOCK","FQ4 2019","FQ4 2019","Currency=USD","Period=FQ","BEST_FPERIOD_OVERRIDE=FQ","FILING_STATUS=MR","SCALING_FORMAT=MLN","Sort=A","Dates=H","DateFormat=P","Fill=—","Direction=H","UseDPDF=Y")</f>
        <v>1</v>
      </c>
      <c r="H75" s="13">
        <f>_xll.BDH("GILD US Equity","ARDR_COMMON_STOCK","FQ1 2020","FQ1 2020","Currency=USD","Period=FQ","BEST_FPERIOD_OVERRIDE=FQ","FILING_STATUS=MR","SCALING_FORMAT=MLN","Sort=A","Dates=H","DateFormat=P","Fill=—","Direction=H","UseDPDF=Y")</f>
        <v>1</v>
      </c>
      <c r="I75" s="13">
        <f>_xll.BDH("GILD US Equity","ARDR_COMMON_STOCK","FQ2 2020","FQ2 2020","Currency=USD","Period=FQ","BEST_FPERIOD_OVERRIDE=FQ","FILING_STATUS=MR","SCALING_FORMAT=MLN","Sort=A","Dates=H","DateFormat=P","Fill=—","Direction=H","UseDPDF=Y")</f>
        <v>1</v>
      </c>
      <c r="J75" s="13">
        <f>_xll.BDH("GILD US Equity","ARDR_COMMON_STOCK","FQ3 2020","FQ3 2020","Currency=USD","Period=FQ","BEST_FPERIOD_OVERRIDE=FQ","FILING_STATUS=MR","SCALING_FORMAT=MLN","Sort=A","Dates=H","DateFormat=P","Fill=—","Direction=H","UseDPDF=Y")</f>
        <v>1</v>
      </c>
      <c r="K75" s="13">
        <f>_xll.BDH("GILD US Equity","ARDR_COMMON_STOCK","FQ4 2020","FQ4 2020","Currency=USD","Period=FQ","BEST_FPERIOD_OVERRIDE=FQ","FILING_STATUS=MR","SCALING_FORMAT=MLN","Sort=A","Dates=H","DateFormat=P","Fill=—","Direction=H","UseDPDF=Y")</f>
        <v>1</v>
      </c>
      <c r="L75" s="13">
        <f>_xll.BDH("GILD US Equity","ARDR_COMMON_STOCK","FQ1 2021","FQ1 2021","Currency=USD","Period=FQ","BEST_FPERIOD_OVERRIDE=FQ","FILING_STATUS=MR","SCALING_FORMAT=MLN","Sort=A","Dates=H","DateFormat=P","Fill=—","Direction=H","UseDPDF=Y")</f>
        <v>1</v>
      </c>
      <c r="M75" s="13">
        <f>_xll.BDH("GILD US Equity","ARDR_COMMON_STOCK","FQ2 2021","FQ2 2021","Currency=USD","Period=FQ","BEST_FPERIOD_OVERRIDE=FQ","FILING_STATUS=MR","SCALING_FORMAT=MLN","Sort=A","Dates=H","DateFormat=P","Fill=—","Direction=H","UseDPDF=Y")</f>
        <v>1</v>
      </c>
      <c r="N75" s="13">
        <f>_xll.BDH("GILD US Equity","ARDR_COMMON_STOCK","FQ3 2021","FQ3 2021","Currency=USD","Period=FQ","BEST_FPERIOD_OVERRIDE=FQ","FILING_STATUS=MR","SCALING_FORMAT=MLN","Sort=A","Dates=H","DateFormat=P","Fill=—","Direction=H","UseDPDF=Y")</f>
        <v>1</v>
      </c>
      <c r="O75" s="13">
        <f>_xll.BDH("GILD US Equity","ARDR_COMMON_STOCK","FQ4 2021","FQ4 2021","Currency=USD","Period=FQ","BEST_FPERIOD_OVERRIDE=FQ","FILING_STATUS=MR","SCALING_FORMAT=MLN","Sort=A","Dates=H","DateFormat=P","Fill=—","Direction=H","UseDPDF=Y")</f>
        <v>1</v>
      </c>
      <c r="P75" s="13">
        <f>_xll.BDH("GILD US Equity","ARDR_COMMON_STOCK","FQ1 2022","FQ1 2022","Currency=USD","Period=FQ","BEST_FPERIOD_OVERRIDE=FQ","FILING_STATUS=MR","SCALING_FORMAT=MLN","Sort=A","Dates=H","DateFormat=P","Fill=—","Direction=H","UseDPDF=Y")</f>
        <v>1</v>
      </c>
      <c r="Q75" s="13">
        <f>_xll.BDH("GILD US Equity","ARDR_COMMON_STOCK","FQ2 2022","FQ2 2022","Currency=USD","Period=FQ","BEST_FPERIOD_OVERRIDE=FQ","FILING_STATUS=MR","SCALING_FORMAT=MLN","Sort=A","Dates=H","DateFormat=P","Fill=—","Direction=H","UseDPDF=Y")</f>
        <v>1</v>
      </c>
      <c r="R75" s="13">
        <f>_xll.BDH("GILD US Equity","ARDR_COMMON_STOCK","FQ3 2022","FQ3 2022","Currency=USD","Period=FQ","BEST_FPERIOD_OVERRIDE=FQ","FILING_STATUS=MR","SCALING_FORMAT=MLN","Sort=A","Dates=H","DateFormat=P","Fill=—","Direction=H","UseDPDF=Y")</f>
        <v>1</v>
      </c>
      <c r="S75" s="13">
        <f>_xll.BDH("GILD US Equity","ARDR_COMMON_STOCK","FQ4 2022","FQ4 2022","Currency=USD","Period=FQ","BEST_FPERIOD_OVERRIDE=FQ","FILING_STATUS=MR","SCALING_FORMAT=MLN","Sort=A","Dates=H","DateFormat=P","Fill=—","Direction=H","UseDPDF=Y")</f>
        <v>1</v>
      </c>
      <c r="T75" s="13">
        <f>_xll.BDH("GILD US Equity","ARDR_COMMON_STOCK","FQ1 2023","FQ1 2023","Currency=USD","Period=FQ","BEST_FPERIOD_OVERRIDE=FQ","FILING_STATUS=MR","SCALING_FORMAT=MLN","Sort=A","Dates=H","DateFormat=P","Fill=—","Direction=H","UseDPDF=Y")</f>
        <v>1</v>
      </c>
      <c r="U75" s="13">
        <f>_xll.BDH("GILD US Equity","ARDR_COMMON_STOCK","FQ2 2023","FQ2 2023","Currency=USD","Period=FQ","BEST_FPERIOD_OVERRIDE=FQ","FILING_STATUS=MR","SCALING_FORMAT=MLN","Sort=A","Dates=H","DateFormat=P","Fill=—","Direction=H","UseDPDF=Y")</f>
        <v>1</v>
      </c>
      <c r="V75" s="13">
        <f>_xll.BDH("GILD US Equity","ARDR_COMMON_STOCK","FQ3 2023","FQ3 2023","Currency=USD","Period=FQ","BEST_FPERIOD_OVERRIDE=FQ","FILING_STATUS=MR","SCALING_FORMAT=MLN","Sort=A","Dates=H","DateFormat=P","Fill=—","Direction=H","UseDPDF=Y")</f>
        <v>1</v>
      </c>
      <c r="W75" s="13">
        <f>_xll.BDH("GILD US Equity","ARDR_COMMON_STOCK","FQ4 2023","FQ4 2023","Currency=USD","Period=FQ","BEST_FPERIOD_OVERRIDE=FQ","FILING_STATUS=MR","SCALING_FORMAT=MLN","Sort=A","Dates=H","DateFormat=P","Fill=—","Direction=H","UseDPDF=Y")</f>
        <v>1</v>
      </c>
      <c r="X75" s="13">
        <f>_xll.BDH("GILD US Equity","ARDR_COMMON_STOCK","FQ1 2024","FQ1 2024","Currency=USD","Period=FQ","BEST_FPERIOD_OVERRIDE=FQ","FILING_STATUS=MR","SCALING_FORMAT=MLN","Sort=A","Dates=H","DateFormat=P","Fill=—","Direction=H","UseDPDF=Y")</f>
        <v>1</v>
      </c>
      <c r="Y75" s="13">
        <f>_xll.BDH("GILD US Equity","ARDR_COMMON_STOCK","FQ2 2024","FQ2 2024","Currency=USD","Period=FQ","BEST_FPERIOD_OVERRIDE=FQ","FILING_STATUS=MR","SCALING_FORMAT=MLN","Sort=A","Dates=H","DateFormat=P","Fill=—","Direction=H","UseDPDF=Y")</f>
        <v>1</v>
      </c>
      <c r="Z75" s="13">
        <f>_xll.BDH("GILD US Equity","ARDR_COMMON_STOCK","FQ3 2024","FQ3 2024","Currency=USD","Period=FQ","BEST_FPERIOD_OVERRIDE=FQ","FILING_STATUS=MR","SCALING_FORMAT=MLN","Sort=A","Dates=H","DateFormat=P","Fill=—","Direction=H","UseDPDF=Y")</f>
        <v>1</v>
      </c>
      <c r="AA75" s="13">
        <f>_xll.BDH("GILD US Equity","ARDR_COMMON_STOCK","FQ4 2024","FQ4 2024","Currency=USD","Period=FQ","BEST_FPERIOD_OVERRIDE=FQ","FILING_STATUS=MR","SCALING_FORMAT=MLN","Sort=A","Dates=H","DateFormat=P","Fill=—","Direction=H","UseDPDF=Y")</f>
        <v>1</v>
      </c>
    </row>
    <row r="76" spans="1:27" x14ac:dyDescent="0.25">
      <c r="A76" s="10" t="s">
        <v>962</v>
      </c>
      <c r="B76" s="10" t="s">
        <v>1018</v>
      </c>
      <c r="C76" s="13">
        <f>_xll.BDH("GILD US Equity","ARDR_ADDITIONAL_PAID_IN_CAPITAL","FQ4 2018","FQ4 2018","Currency=USD","Period=FQ","BEST_FPERIOD_OVERRIDE=FQ","FILING_STATUS=MR","SCALING_FORMAT=MLN","Sort=A","Dates=H","DateFormat=P","Fill=—","Direction=H","UseDPDF=Y")</f>
        <v>2282</v>
      </c>
      <c r="D76" s="13">
        <f>_xll.BDH("GILD US Equity","ARDR_ADDITIONAL_PAID_IN_CAPITAL","FQ1 2019","FQ1 2019","Currency=USD","Period=FQ","BEST_FPERIOD_OVERRIDE=FQ","FILING_STATUS=MR","SCALING_FORMAT=MLN","Sort=A","Dates=H","DateFormat=P","Fill=—","Direction=H","UseDPDF=Y")</f>
        <v>2494</v>
      </c>
      <c r="E76" s="13">
        <f>_xll.BDH("GILD US Equity","ARDR_ADDITIONAL_PAID_IN_CAPITAL","FQ2 2019","FQ2 2019","Currency=USD","Period=FQ","BEST_FPERIOD_OVERRIDE=FQ","FILING_STATUS=MR","SCALING_FORMAT=MLN","Sort=A","Dates=H","DateFormat=P","Fill=—","Direction=H","UseDPDF=Y")</f>
        <v>2684</v>
      </c>
      <c r="F76" s="13">
        <f>_xll.BDH("GILD US Equity","ARDR_ADDITIONAL_PAID_IN_CAPITAL","FQ3 2019","FQ3 2019","Currency=USD","Period=FQ","BEST_FPERIOD_OVERRIDE=FQ","FILING_STATUS=MR","SCALING_FORMAT=MLN","Sort=A","Dates=H","DateFormat=P","Fill=—","Direction=H","UseDPDF=Y")</f>
        <v>2870</v>
      </c>
      <c r="G76" s="13">
        <f>_xll.BDH("GILD US Equity","ARDR_ADDITIONAL_PAID_IN_CAPITAL","FQ4 2019","FQ4 2019","Currency=USD","Period=FQ","BEST_FPERIOD_OVERRIDE=FQ","FILING_STATUS=MR","SCALING_FORMAT=MLN","Sort=A","Dates=H","DateFormat=P","Fill=—","Direction=H","UseDPDF=Y")</f>
        <v>3051</v>
      </c>
      <c r="H76" s="13">
        <f>_xll.BDH("GILD US Equity","ARDR_ADDITIONAL_PAID_IN_CAPITAL","FQ1 2020","FQ1 2020","Currency=USD","Period=FQ","BEST_FPERIOD_OVERRIDE=FQ","FILING_STATUS=MR","SCALING_FORMAT=MLN","Sort=A","Dates=H","DateFormat=P","Fill=—","Direction=H","UseDPDF=Y")</f>
        <v>3311</v>
      </c>
      <c r="I76" s="13">
        <f>_xll.BDH("GILD US Equity","ARDR_ADDITIONAL_PAID_IN_CAPITAL","FQ2 2020","FQ2 2020","Currency=USD","Period=FQ","BEST_FPERIOD_OVERRIDE=FQ","FILING_STATUS=MR","SCALING_FORMAT=MLN","Sort=A","Dates=H","DateFormat=P","Fill=—","Direction=H","UseDPDF=Y")</f>
        <v>3511</v>
      </c>
      <c r="J76" s="13">
        <f>_xll.BDH("GILD US Equity","ARDR_ADDITIONAL_PAID_IN_CAPITAL","FQ3 2020","FQ3 2020","Currency=USD","Period=FQ","BEST_FPERIOD_OVERRIDE=FQ","FILING_STATUS=MR","SCALING_FORMAT=MLN","Sort=A","Dates=H","DateFormat=P","Fill=—","Direction=H","UseDPDF=Y")</f>
        <v>3712</v>
      </c>
      <c r="K76" s="13">
        <f>_xll.BDH("GILD US Equity","ARDR_ADDITIONAL_PAID_IN_CAPITAL","FQ4 2020","FQ4 2020","Currency=USD","Period=FQ","BEST_FPERIOD_OVERRIDE=FQ","FILING_STATUS=MR","SCALING_FORMAT=MLN","Sort=A","Dates=H","DateFormat=P","Fill=—","Direction=H","UseDPDF=Y")</f>
        <v>3880</v>
      </c>
      <c r="L76" s="13">
        <f>_xll.BDH("GILD US Equity","ARDR_ADDITIONAL_PAID_IN_CAPITAL","FQ1 2021","FQ1 2021","Currency=USD","Period=FQ","BEST_FPERIOD_OVERRIDE=FQ","FILING_STATUS=MR","SCALING_FORMAT=MLN","Sort=A","Dates=H","DateFormat=P","Fill=—","Direction=H","UseDPDF=Y")</f>
        <v>4092</v>
      </c>
      <c r="M76" s="13">
        <f>_xll.BDH("GILD US Equity","ARDR_ADDITIONAL_PAID_IN_CAPITAL","FQ2 2021","FQ2 2021","Currency=USD","Period=FQ","BEST_FPERIOD_OVERRIDE=FQ","FILING_STATUS=MR","SCALING_FORMAT=MLN","Sort=A","Dates=H","DateFormat=P","Fill=—","Direction=H","UseDPDF=Y")</f>
        <v>4271</v>
      </c>
      <c r="N76" s="13">
        <f>_xll.BDH("GILD US Equity","ARDR_ADDITIONAL_PAID_IN_CAPITAL","FQ3 2021","FQ3 2021","Currency=USD","Period=FQ","BEST_FPERIOD_OVERRIDE=FQ","FILING_STATUS=MR","SCALING_FORMAT=MLN","Sort=A","Dates=H","DateFormat=P","Fill=—","Direction=H","UseDPDF=Y")</f>
        <v>4492</v>
      </c>
      <c r="O76" s="13">
        <f>_xll.BDH("GILD US Equity","ARDR_ADDITIONAL_PAID_IN_CAPITAL","FQ4 2021","FQ4 2021","Currency=USD","Period=FQ","BEST_FPERIOD_OVERRIDE=FQ","FILING_STATUS=MR","SCALING_FORMAT=MLN","Sort=A","Dates=H","DateFormat=P","Fill=—","Direction=H","UseDPDF=Y")</f>
        <v>4661</v>
      </c>
      <c r="P76" s="13">
        <f>_xll.BDH("GILD US Equity","ARDR_ADDITIONAL_PAID_IN_CAPITAL","FQ1 2022","FQ1 2022","Currency=USD","Period=FQ","BEST_FPERIOD_OVERRIDE=FQ","FILING_STATUS=MR","SCALING_FORMAT=MLN","Sort=A","Dates=H","DateFormat=P","Fill=—","Direction=H","UseDPDF=Y")</f>
        <v>4867</v>
      </c>
      <c r="Q76" s="13">
        <f>_xll.BDH("GILD US Equity","ARDR_ADDITIONAL_PAID_IN_CAPITAL","FQ2 2022","FQ2 2022","Currency=USD","Period=FQ","BEST_FPERIOD_OVERRIDE=FQ","FILING_STATUS=MR","SCALING_FORMAT=MLN","Sort=A","Dates=H","DateFormat=P","Fill=—","Direction=H","UseDPDF=Y")</f>
        <v>5031</v>
      </c>
      <c r="R76" s="13">
        <f>_xll.BDH("GILD US Equity","ARDR_ADDITIONAL_PAID_IN_CAPITAL","FQ3 2022","FQ3 2022","Currency=USD","Period=FQ","BEST_FPERIOD_OVERRIDE=FQ","FILING_STATUS=MR","SCALING_FORMAT=MLN","Sort=A","Dates=H","DateFormat=P","Fill=—","Direction=H","UseDPDF=Y")</f>
        <v>5226</v>
      </c>
      <c r="S76" s="13">
        <f>_xll.BDH("GILD US Equity","ARDR_ADDITIONAL_PAID_IN_CAPITAL","FQ4 2022","FQ4 2022","Currency=USD","Period=FQ","BEST_FPERIOD_OVERRIDE=FQ","FILING_STATUS=MR","SCALING_FORMAT=MLN","Sort=A","Dates=H","DateFormat=P","Fill=—","Direction=H","UseDPDF=Y")</f>
        <v>5550</v>
      </c>
      <c r="T76" s="13">
        <f>_xll.BDH("GILD US Equity","ARDR_ADDITIONAL_PAID_IN_CAPITAL","FQ1 2023","FQ1 2023","Currency=USD","Period=FQ","BEST_FPERIOD_OVERRIDE=FQ","FILING_STATUS=MR","SCALING_FORMAT=MLN","Sort=A","Dates=H","DateFormat=P","Fill=—","Direction=H","UseDPDF=Y")</f>
        <v>5793</v>
      </c>
      <c r="U76" s="13">
        <f>_xll.BDH("GILD US Equity","ARDR_ADDITIONAL_PAID_IN_CAPITAL","FQ2 2023","FQ2 2023","Currency=USD","Period=FQ","BEST_FPERIOD_OVERRIDE=FQ","FILING_STATUS=MR","SCALING_FORMAT=MLN","Sort=A","Dates=H","DateFormat=P","Fill=—","Direction=H","UseDPDF=Y")</f>
        <v>6008</v>
      </c>
      <c r="V76" s="13">
        <f>_xll.BDH("GILD US Equity","ARDR_ADDITIONAL_PAID_IN_CAPITAL","FQ3 2023","FQ3 2023","Currency=USD","Period=FQ","BEST_FPERIOD_OVERRIDE=FQ","FILING_STATUS=MR","SCALING_FORMAT=MLN","Sort=A","Dates=H","DateFormat=P","Fill=—","Direction=H","UseDPDF=Y")</f>
        <v>6279</v>
      </c>
      <c r="W76" s="13">
        <f>_xll.BDH("GILD US Equity","ARDR_ADDITIONAL_PAID_IN_CAPITAL","FQ4 2023","FQ4 2023","Currency=USD","Period=FQ","BEST_FPERIOD_OVERRIDE=FQ","FILING_STATUS=MR","SCALING_FORMAT=MLN","Sort=A","Dates=H","DateFormat=P","Fill=—","Direction=H","UseDPDF=Y")</f>
        <v>6500</v>
      </c>
      <c r="X76" s="13">
        <f>_xll.BDH("GILD US Equity","ARDR_ADDITIONAL_PAID_IN_CAPITAL","FQ1 2024","FQ1 2024","Currency=USD","Period=FQ","BEST_FPERIOD_OVERRIDE=FQ","FILING_STATUS=MR","SCALING_FORMAT=MLN","Sort=A","Dates=H","DateFormat=P","Fill=—","Direction=H","UseDPDF=Y")</f>
        <v>6813</v>
      </c>
      <c r="Y76" s="13">
        <f>_xll.BDH("GILD US Equity","ARDR_ADDITIONAL_PAID_IN_CAPITAL","FQ2 2024","FQ2 2024","Currency=USD","Period=FQ","BEST_FPERIOD_OVERRIDE=FQ","FILING_STATUS=MR","SCALING_FORMAT=MLN","Sort=A","Dates=H","DateFormat=P","Fill=—","Direction=H","UseDPDF=Y")</f>
        <v>7022</v>
      </c>
      <c r="Z76" s="13">
        <f>_xll.BDH("GILD US Equity","ARDR_ADDITIONAL_PAID_IN_CAPITAL","FQ3 2024","FQ3 2024","Currency=USD","Period=FQ","BEST_FPERIOD_OVERRIDE=FQ","FILING_STATUS=MR","SCALING_FORMAT=MLN","Sort=A","Dates=H","DateFormat=P","Fill=—","Direction=H","UseDPDF=Y")</f>
        <v>7327</v>
      </c>
      <c r="AA76" s="13">
        <f>_xll.BDH("GILD US Equity","ARDR_ADDITIONAL_PAID_IN_CAPITAL","FQ4 2024","FQ4 2024","Currency=USD","Period=FQ","BEST_FPERIOD_OVERRIDE=FQ","FILING_STATUS=MR","SCALING_FORMAT=MLN","Sort=A","Dates=H","DateFormat=P","Fill=—","Direction=H","UseDPDF=Y")</f>
        <v>7700</v>
      </c>
    </row>
    <row r="77" spans="1:27" x14ac:dyDescent="0.25">
      <c r="A77" s="10" t="s">
        <v>964</v>
      </c>
      <c r="B77" s="10" t="s">
        <v>1019</v>
      </c>
      <c r="C77" s="13">
        <f>_xll.BDH("GILD US Equity","ARDR_ACC_OTH_COMPREHENSIVE_INC","FQ4 2018","FQ4 2018","Currency=USD","Period=FQ","BEST_FPERIOD_OVERRIDE=FQ","FILING_STATUS=MR","SCALING_FORMAT=MLN","Sort=A","Dates=H","DateFormat=P","Fill=—","Direction=H","UseDPDF=Y")</f>
        <v>80</v>
      </c>
      <c r="D77" s="13">
        <f>_xll.BDH("GILD US Equity","ARDR_ACC_OTH_COMPREHENSIVE_INC","FQ1 2019","FQ1 2019","Currency=USD","Period=FQ","BEST_FPERIOD_OVERRIDE=FQ","FILING_STATUS=MR","SCALING_FORMAT=MLN","Sort=A","Dates=H","DateFormat=P","Fill=—","Direction=H","UseDPDF=Y")</f>
        <v>130</v>
      </c>
      <c r="E77" s="13">
        <f>_xll.BDH("GILD US Equity","ARDR_ACC_OTH_COMPREHENSIVE_INC","FQ2 2019","FQ2 2019","Currency=USD","Period=FQ","BEST_FPERIOD_OVERRIDE=FQ","FILING_STATUS=MR","SCALING_FORMAT=MLN","Sort=A","Dates=H","DateFormat=P","Fill=—","Direction=H","UseDPDF=Y")</f>
        <v>102</v>
      </c>
      <c r="F77" s="13">
        <f>_xll.BDH("GILD US Equity","ARDR_ACC_OTH_COMPREHENSIVE_INC","FQ3 2019","FQ3 2019","Currency=USD","Period=FQ","BEST_FPERIOD_OVERRIDE=FQ","FILING_STATUS=MR","SCALING_FORMAT=MLN","Sort=A","Dates=H","DateFormat=P","Fill=—","Direction=H","UseDPDF=Y")</f>
        <v>117</v>
      </c>
      <c r="G77" s="13">
        <f>_xll.BDH("GILD US Equity","ARDR_ACC_OTH_COMPREHENSIVE_INC","FQ4 2019","FQ4 2019","Currency=USD","Period=FQ","BEST_FPERIOD_OVERRIDE=FQ","FILING_STATUS=MR","SCALING_FORMAT=MLN","Sort=A","Dates=H","DateFormat=P","Fill=—","Direction=H","UseDPDF=Y")</f>
        <v>85</v>
      </c>
      <c r="H77" s="13">
        <f>_xll.BDH("GILD US Equity","ARDR_ACC_OTH_COMPREHENSIVE_INC","FQ1 2020","FQ1 2020","Currency=USD","Period=FQ","BEST_FPERIOD_OVERRIDE=FQ","FILING_STATUS=MR","SCALING_FORMAT=MLN","Sort=A","Dates=H","DateFormat=P","Fill=—","Direction=H","UseDPDF=Y")</f>
        <v>46</v>
      </c>
      <c r="I77" s="13">
        <f>_xll.BDH("GILD US Equity","ARDR_ACC_OTH_COMPREHENSIVE_INC","FQ2 2020","FQ2 2020","Currency=USD","Period=FQ","BEST_FPERIOD_OVERRIDE=FQ","FILING_STATUS=MR","SCALING_FORMAT=MLN","Sort=A","Dates=H","DateFormat=P","Fill=—","Direction=H","UseDPDF=Y")</f>
        <v>70</v>
      </c>
      <c r="J77" s="13">
        <f>_xll.BDH("GILD US Equity","ARDR_ACC_OTH_COMPREHENSIVE_INC","FQ3 2020","FQ3 2020","Currency=USD","Period=FQ","BEST_FPERIOD_OVERRIDE=FQ","FILING_STATUS=MR","SCALING_FORMAT=MLN","Sort=A","Dates=H","DateFormat=P","Fill=—","Direction=H","UseDPDF=Y")</f>
        <v>23</v>
      </c>
      <c r="K77" s="13">
        <f>_xll.BDH("GILD US Equity","ARDR_ACC_OTH_COMPREHENSIVE_INC","FQ4 2020","FQ4 2020","Currency=USD","Period=FQ","BEST_FPERIOD_OVERRIDE=FQ","FILING_STATUS=MR","SCALING_FORMAT=MLN","Sort=A","Dates=H","DateFormat=P","Fill=—","Direction=H","UseDPDF=Y")</f>
        <v>-60</v>
      </c>
      <c r="L77" s="13">
        <f>_xll.BDH("GILD US Equity","ARDR_ACC_OTH_COMPREHENSIVE_INC","FQ1 2021","FQ1 2021","Currency=USD","Period=FQ","BEST_FPERIOD_OVERRIDE=FQ","FILING_STATUS=MR","SCALING_FORMAT=MLN","Sort=A","Dates=H","DateFormat=P","Fill=—","Direction=H","UseDPDF=Y")</f>
        <v>38</v>
      </c>
      <c r="M77" s="13">
        <f>_xll.BDH("GILD US Equity","ARDR_ACC_OTH_COMPREHENSIVE_INC","FQ2 2021","FQ2 2021","Currency=USD","Period=FQ","BEST_FPERIOD_OVERRIDE=FQ","FILING_STATUS=MR","SCALING_FORMAT=MLN","Sort=A","Dates=H","DateFormat=P","Fill=—","Direction=H","UseDPDF=Y")</f>
        <v>39</v>
      </c>
      <c r="N77" s="13">
        <f>_xll.BDH("GILD US Equity","ARDR_ACC_OTH_COMPREHENSIVE_INC","FQ3 2021","FQ3 2021","Currency=USD","Period=FQ","BEST_FPERIOD_OVERRIDE=FQ","FILING_STATUS=MR","SCALING_FORMAT=MLN","Sort=A","Dates=H","DateFormat=P","Fill=—","Direction=H","UseDPDF=Y")</f>
        <v>74</v>
      </c>
      <c r="O77" s="13">
        <f>_xll.BDH("GILD US Equity","ARDR_ACC_OTH_COMPREHENSIVE_INC","FQ4 2021","FQ4 2021","Currency=USD","Period=FQ","BEST_FPERIOD_OVERRIDE=FQ","FILING_STATUS=MR","SCALING_FORMAT=MLN","Sort=A","Dates=H","DateFormat=P","Fill=—","Direction=H","UseDPDF=Y")</f>
        <v>83</v>
      </c>
      <c r="P77" s="13">
        <f>_xll.BDH("GILD US Equity","ARDR_ACC_OTH_COMPREHENSIVE_INC","FQ1 2022","FQ1 2022","Currency=USD","Period=FQ","BEST_FPERIOD_OVERRIDE=FQ","FILING_STATUS=MR","SCALING_FORMAT=MLN","Sort=A","Dates=H","DateFormat=P","Fill=—","Direction=H","UseDPDF=Y")</f>
        <v>73</v>
      </c>
      <c r="Q77" s="13">
        <f>_xll.BDH("GILD US Equity","ARDR_ACC_OTH_COMPREHENSIVE_INC","FQ2 2022","FQ2 2022","Currency=USD","Period=FQ","BEST_FPERIOD_OVERRIDE=FQ","FILING_STATUS=MR","SCALING_FORMAT=MLN","Sort=A","Dates=H","DateFormat=P","Fill=—","Direction=H","UseDPDF=Y")</f>
        <v>87</v>
      </c>
      <c r="R77" s="13">
        <f>_xll.BDH("GILD US Equity","ARDR_ACC_OTH_COMPREHENSIVE_INC","FQ3 2022","FQ3 2022","Currency=USD","Period=FQ","BEST_FPERIOD_OVERRIDE=FQ","FILING_STATUS=MR","SCALING_FORMAT=MLN","Sort=A","Dates=H","DateFormat=P","Fill=—","Direction=H","UseDPDF=Y")</f>
        <v>98</v>
      </c>
      <c r="S77" s="13">
        <f>_xll.BDH("GILD US Equity","ARDR_ACC_OTH_COMPREHENSIVE_INC","FQ4 2022","FQ4 2022","Currency=USD","Period=FQ","BEST_FPERIOD_OVERRIDE=FQ","FILING_STATUS=MR","SCALING_FORMAT=MLN","Sort=A","Dates=H","DateFormat=P","Fill=—","Direction=H","UseDPDF=Y")</f>
        <v>2</v>
      </c>
      <c r="T77" s="13">
        <f>_xll.BDH("GILD US Equity","ARDR_ACC_OTH_COMPREHENSIVE_INC","FQ1 2023","FQ1 2023","Currency=USD","Period=FQ","BEST_FPERIOD_OVERRIDE=FQ","FILING_STATUS=MR","SCALING_FORMAT=MLN","Sort=A","Dates=H","DateFormat=P","Fill=—","Direction=H","UseDPDF=Y")</f>
        <v>-20</v>
      </c>
      <c r="U77" s="13">
        <f>_xll.BDH("GILD US Equity","ARDR_ACC_OTH_COMPREHENSIVE_INC","FQ2 2023","FQ2 2023","Currency=USD","Period=FQ","BEST_FPERIOD_OVERRIDE=FQ","FILING_STATUS=MR","SCALING_FORMAT=MLN","Sort=A","Dates=H","DateFormat=P","Fill=—","Direction=H","UseDPDF=Y")</f>
        <v>10</v>
      </c>
      <c r="V77" s="13">
        <f>_xll.BDH("GILD US Equity","ARDR_ACC_OTH_COMPREHENSIVE_INC","FQ3 2023","FQ3 2023","Currency=USD","Period=FQ","BEST_FPERIOD_OVERRIDE=FQ","FILING_STATUS=MR","SCALING_FORMAT=MLN","Sort=A","Dates=H","DateFormat=P","Fill=—","Direction=H","UseDPDF=Y")</f>
        <v>31</v>
      </c>
      <c r="W77" s="13">
        <f>_xll.BDH("GILD US Equity","ARDR_ACC_OTH_COMPREHENSIVE_INC","FQ4 2023","FQ4 2023","Currency=USD","Period=FQ","BEST_FPERIOD_OVERRIDE=FQ","FILING_STATUS=MR","SCALING_FORMAT=MLN","Sort=A","Dates=H","DateFormat=P","Fill=—","Direction=H","UseDPDF=Y")</f>
        <v>28</v>
      </c>
      <c r="X77" s="13">
        <f>_xll.BDH("GILD US Equity","ARDR_ACC_OTH_COMPREHENSIVE_INC","FQ1 2024","FQ1 2024","Currency=USD","Period=FQ","BEST_FPERIOD_OVERRIDE=FQ","FILING_STATUS=MR","SCALING_FORMAT=MLN","Sort=A","Dates=H","DateFormat=P","Fill=—","Direction=H","UseDPDF=Y")</f>
        <v>69</v>
      </c>
      <c r="Y77" s="13">
        <f>_xll.BDH("GILD US Equity","ARDR_ACC_OTH_COMPREHENSIVE_INC","FQ2 2024","FQ2 2024","Currency=USD","Period=FQ","BEST_FPERIOD_OVERRIDE=FQ","FILING_STATUS=MR","SCALING_FORMAT=MLN","Sort=A","Dates=H","DateFormat=P","Fill=—","Direction=H","UseDPDF=Y")</f>
        <v>93</v>
      </c>
      <c r="Z77" s="13">
        <f>_xll.BDH("GILD US Equity","ARDR_ACC_OTH_COMPREHENSIVE_INC","FQ3 2024","FQ3 2024","Currency=USD","Period=FQ","BEST_FPERIOD_OVERRIDE=FQ","FILING_STATUS=MR","SCALING_FORMAT=MLN","Sort=A","Dates=H","DateFormat=P","Fill=—","Direction=H","UseDPDF=Y")</f>
        <v>73</v>
      </c>
      <c r="AA77" s="13">
        <f>_xll.BDH("GILD US Equity","ARDR_ACC_OTH_COMPREHENSIVE_INC","FQ4 2024","FQ4 2024","Currency=USD","Period=FQ","BEST_FPERIOD_OVERRIDE=FQ","FILING_STATUS=MR","SCALING_FORMAT=MLN","Sort=A","Dates=H","DateFormat=P","Fill=—","Direction=H","UseDPDF=Y")</f>
        <v>132</v>
      </c>
    </row>
    <row r="78" spans="1:27" x14ac:dyDescent="0.25">
      <c r="A78" s="10" t="s">
        <v>966</v>
      </c>
      <c r="B78" s="10" t="s">
        <v>1020</v>
      </c>
      <c r="C78" s="13">
        <f>_xll.BDH("GILD US Equity","ARDR_RETAINED_EARN_ACC_DEFICIT","FQ4 2018","FQ4 2018","Currency=USD","Period=FQ","BEST_FPERIOD_OVERRIDE=FQ","FILING_STATUS=MR","SCALING_FORMAT=MLN","Sort=A","Dates=H","DateFormat=P","Fill=—","Direction=H","UseDPDF=Y")</f>
        <v>19024</v>
      </c>
      <c r="D78" s="13">
        <f>_xll.BDH("GILD US Equity","ARDR_RETAINED_EARN_ACC_DEFICIT","FQ1 2019","FQ1 2019","Currency=USD","Period=FQ","BEST_FPERIOD_OVERRIDE=FQ","FILING_STATUS=MR","SCALING_FORMAT=MLN","Sort=A","Dates=H","DateFormat=P","Fill=—","Direction=H","UseDPDF=Y")</f>
        <v>19326</v>
      </c>
      <c r="E78" s="13">
        <f>_xll.BDH("GILD US Equity","ARDR_RETAINED_EARN_ACC_DEFICIT","FQ2 2019","FQ2 2019","Currency=USD","Period=FQ","BEST_FPERIOD_OVERRIDE=FQ","FILING_STATUS=MR","SCALING_FORMAT=MLN","Sort=A","Dates=H","DateFormat=P","Fill=—","Direction=H","UseDPDF=Y")</f>
        <v>19829</v>
      </c>
      <c r="F78" s="13">
        <f>_xll.BDH("GILD US Equity","ARDR_RETAINED_EARN_ACC_DEFICIT","FQ3 2019","FQ3 2019","Currency=USD","Period=FQ","BEST_FPERIOD_OVERRIDE=FQ","FILING_STATUS=MR","SCALING_FORMAT=MLN","Sort=A","Dates=H","DateFormat=P","Fill=—","Direction=H","UseDPDF=Y")</f>
        <v>17616</v>
      </c>
      <c r="G78" s="13">
        <f>_xll.BDH("GILD US Equity","ARDR_RETAINED_EARN_ACC_DEFICIT","FQ4 2019","FQ4 2019","Currency=USD","Period=FQ","BEST_FPERIOD_OVERRIDE=FQ","FILING_STATUS=MR","SCALING_FORMAT=MLN","Sort=A","Dates=H","DateFormat=P","Fill=—","Direction=H","UseDPDF=Y")</f>
        <v>19388</v>
      </c>
      <c r="H78" s="13">
        <f>_xll.BDH("GILD US Equity","ARDR_RETAINED_EARN_ACC_DEFICIT","FQ1 2020","FQ1 2020","Currency=USD","Period=FQ","BEST_FPERIOD_OVERRIDE=FQ","FILING_STATUS=MR","SCALING_FORMAT=MLN","Sort=A","Dates=H","DateFormat=P","Fill=—","Direction=H","UseDPDF=Y")</f>
        <v>18709</v>
      </c>
      <c r="I78" s="13">
        <f>_xll.BDH("GILD US Equity","ARDR_RETAINED_EARN_ACC_DEFICIT","FQ2 2020","FQ2 2020","Currency=USD","Period=FQ","BEST_FPERIOD_OVERRIDE=FQ","FILING_STATUS=MR","SCALING_FORMAT=MLN","Sort=A","Dates=H","DateFormat=P","Fill=—","Direction=H","UseDPDF=Y")</f>
        <v>14445</v>
      </c>
      <c r="J78" s="13">
        <f>_xll.BDH("GILD US Equity","ARDR_RETAINED_EARN_ACC_DEFICIT","FQ3 2020","FQ3 2020","Currency=USD","Period=FQ","BEST_FPERIOD_OVERRIDE=FQ","FILING_STATUS=MR","SCALING_FORMAT=MLN","Sort=A","Dates=H","DateFormat=P","Fill=—","Direction=H","UseDPDF=Y")</f>
        <v>13709</v>
      </c>
      <c r="K78" s="13">
        <f>_xll.BDH("GILD US Equity","ARDR_RETAINED_EARN_ACC_DEFICIT","FQ4 2020","FQ4 2020","Currency=USD","Period=FQ","BEST_FPERIOD_OVERRIDE=FQ","FILING_STATUS=MR","SCALING_FORMAT=MLN","Sort=A","Dates=H","DateFormat=P","Fill=—","Direction=H","UseDPDF=Y")</f>
        <v>14381</v>
      </c>
      <c r="L78" s="13">
        <f>_xll.BDH("GILD US Equity","ARDR_RETAINED_EARN_ACC_DEFICIT","FQ1 2021","FQ1 2021","Currency=USD","Period=FQ","BEST_FPERIOD_OVERRIDE=FQ","FILING_STATUS=MR","SCALING_FORMAT=MLN","Sort=A","Dates=H","DateFormat=P","Fill=—","Direction=H","UseDPDF=Y")</f>
        <v>14821</v>
      </c>
      <c r="M78" s="13">
        <f>_xll.BDH("GILD US Equity","ARDR_RETAINED_EARN_ACC_DEFICIT","FQ2 2021","FQ2 2021","Currency=USD","Period=FQ","BEST_FPERIOD_OVERRIDE=FQ","FILING_STATUS=MR","SCALING_FORMAT=MLN","Sort=A","Dates=H","DateFormat=P","Fill=—","Direction=H","UseDPDF=Y")</f>
        <v>15392</v>
      </c>
      <c r="N78" s="13">
        <f>_xll.BDH("GILD US Equity","ARDR_RETAINED_EARN_ACC_DEFICIT","FQ3 2021","FQ3 2021","Currency=USD","Period=FQ","BEST_FPERIOD_OVERRIDE=FQ","FILING_STATUS=MR","SCALING_FORMAT=MLN","Sort=A","Dates=H","DateFormat=P","Fill=—","Direction=H","UseDPDF=Y")</f>
        <v>16903</v>
      </c>
      <c r="O78" s="13">
        <f>_xll.BDH("GILD US Equity","ARDR_RETAINED_EARN_ACC_DEFICIT","FQ4 2021","FQ4 2021","Currency=USD","Period=FQ","BEST_FPERIOD_OVERRIDE=FQ","FILING_STATUS=MR","SCALING_FORMAT=MLN","Sort=A","Dates=H","DateFormat=P","Fill=—","Direction=H","UseDPDF=Y")</f>
        <v>16324</v>
      </c>
      <c r="P78" s="13">
        <f>_xll.BDH("GILD US Equity","ARDR_RETAINED_EARN_ACC_DEFICIT","FQ1 2022","FQ1 2022","Currency=USD","Period=FQ","BEST_FPERIOD_OVERRIDE=FQ","FILING_STATUS=MR","SCALING_FORMAT=MLN","Sort=A","Dates=H","DateFormat=P","Fill=—","Direction=H","UseDPDF=Y")</f>
        <v>14986</v>
      </c>
      <c r="Q78" s="13">
        <f>_xll.BDH("GILD US Equity","ARDR_RETAINED_EARN_ACC_DEFICIT","FQ2 2022","FQ2 2022","Currency=USD","Period=FQ","BEST_FPERIOD_OVERRIDE=FQ","FILING_STATUS=MR","SCALING_FORMAT=MLN","Sort=A","Dates=H","DateFormat=P","Fill=—","Direction=H","UseDPDF=Y")</f>
        <v>15117</v>
      </c>
      <c r="R78" s="13">
        <f>_xll.BDH("GILD US Equity","ARDR_RETAINED_EARN_ACC_DEFICIT","FQ3 2022","FQ3 2022","Currency=USD","Period=FQ","BEST_FPERIOD_OVERRIDE=FQ","FILING_STATUS=MR","SCALING_FORMAT=MLN","Sort=A","Dates=H","DateFormat=P","Fill=—","Direction=H","UseDPDF=Y")</f>
        <v>15756</v>
      </c>
      <c r="S78" s="13">
        <f>_xll.BDH("GILD US Equity","ARDR_RETAINED_EARN_ACC_DEFICIT","FQ4 2022","FQ4 2022","Currency=USD","Period=FQ","BEST_FPERIOD_OVERRIDE=FQ","FILING_STATUS=MR","SCALING_FORMAT=MLN","Sort=A","Dates=H","DateFormat=P","Fill=—","Direction=H","UseDPDF=Y")</f>
        <v>15687</v>
      </c>
      <c r="T78" s="13">
        <f>_xll.BDH("GILD US Equity","ARDR_RETAINED_EARN_ACC_DEFICIT","FQ1 2023","FQ1 2023","Currency=USD","Period=FQ","BEST_FPERIOD_OVERRIDE=FQ","FILING_STATUS=MR","SCALING_FORMAT=MLN","Sort=A","Dates=H","DateFormat=P","Fill=—","Direction=H","UseDPDF=Y")</f>
        <v>15223</v>
      </c>
      <c r="U78" s="13">
        <f>_xll.BDH("GILD US Equity","ARDR_RETAINED_EARN_ACC_DEFICIT","FQ2 2023","FQ2 2023","Currency=USD","Period=FQ","BEST_FPERIOD_OVERRIDE=FQ","FILING_STATUS=MR","SCALING_FORMAT=MLN","Sort=A","Dates=H","DateFormat=P","Fill=—","Direction=H","UseDPDF=Y")</f>
        <v>15138</v>
      </c>
      <c r="V78" s="13">
        <f>_xll.BDH("GILD US Equity","ARDR_RETAINED_EARN_ACC_DEFICIT","FQ3 2023","FQ3 2023","Currency=USD","Period=FQ","BEST_FPERIOD_OVERRIDE=FQ","FILING_STATUS=MR","SCALING_FORMAT=MLN","Sort=A","Dates=H","DateFormat=P","Fill=—","Direction=H","UseDPDF=Y")</f>
        <v>16002</v>
      </c>
      <c r="W78" s="13">
        <f>_xll.BDH("GILD US Equity","ARDR_RETAINED_EARN_ACC_DEFICIT","FQ4 2023","FQ4 2023","Currency=USD","Period=FQ","BEST_FPERIOD_OVERRIDE=FQ","FILING_STATUS=MR","SCALING_FORMAT=MLN","Sort=A","Dates=H","DateFormat=P","Fill=—","Direction=H","UseDPDF=Y")</f>
        <v>16304</v>
      </c>
      <c r="X78" s="13">
        <f>_xll.BDH("GILD US Equity","ARDR_RETAINED_EARN_ACC_DEFICIT","FQ1 2024","FQ1 2024","Currency=USD","Period=FQ","BEST_FPERIOD_OVERRIDE=FQ","FILING_STATUS=MR","SCALING_FORMAT=MLN","Sort=A","Dates=H","DateFormat=P","Fill=—","Direction=H","UseDPDF=Y")</f>
        <v>10656</v>
      </c>
      <c r="Y78" s="13">
        <f>_xll.BDH("GILD US Equity","ARDR_RETAINED_EARN_ACC_DEFICIT","FQ2 2024","FQ2 2024","Currency=USD","Period=FQ","BEST_FPERIOD_OVERRIDE=FQ","FILING_STATUS=MR","SCALING_FORMAT=MLN","Sort=A","Dates=H","DateFormat=P","Fill=—","Direction=H","UseDPDF=Y")</f>
        <v>11165</v>
      </c>
      <c r="Z78" s="13">
        <f>_xll.BDH("GILD US Equity","ARDR_RETAINED_EARN_ACC_DEFICIT","FQ3 2024","FQ3 2024","Currency=USD","Period=FQ","BEST_FPERIOD_OVERRIDE=FQ","FILING_STATUS=MR","SCALING_FORMAT=MLN","Sort=A","Dates=H","DateFormat=P","Fill=—","Direction=H","UseDPDF=Y")</f>
        <v>11073</v>
      </c>
      <c r="AA78" s="13">
        <f>_xll.BDH("GILD US Equity","ARDR_RETAINED_EARN_ACC_DEFICIT","FQ4 2024","FQ4 2024","Currency=USD","Period=FQ","BEST_FPERIOD_OVERRIDE=FQ","FILING_STATUS=MR","SCALING_FORMAT=MLN","Sort=A","Dates=H","DateFormat=P","Fill=—","Direction=H","UseDPDF=Y")</f>
        <v>11497</v>
      </c>
    </row>
    <row r="79" spans="1:27" x14ac:dyDescent="0.25">
      <c r="A79" s="10" t="s">
        <v>875</v>
      </c>
      <c r="B79" s="10" t="s">
        <v>1021</v>
      </c>
      <c r="C79" s="13">
        <f>_xll.BDH("GILD US Equity","ARDR_SHARES_OUTSTANDING","FQ4 2018","FQ4 2018","Currency=USD","Period=FQ","BEST_FPERIOD_OVERRIDE=FQ","FILING_STATUS=MR","Sort=A","Dates=H","DateFormat=P","Fill=—","Direction=H","UseDPDF=Y")</f>
        <v>1282</v>
      </c>
      <c r="D79" s="13">
        <f>_xll.BDH("GILD US Equity","ARDR_SHARES_OUTSTANDING","FQ1 2019","FQ1 2019","Currency=USD","Period=FQ","BEST_FPERIOD_OVERRIDE=FQ","FILING_STATUS=MR","Sort=A","Dates=H","DateFormat=P","Fill=—","Direction=H","UseDPDF=Y")</f>
        <v>1274</v>
      </c>
      <c r="E79" s="13">
        <f>_xll.BDH("GILD US Equity","ARDR_SHARES_OUTSTANDING","FQ2 2019","FQ2 2019","Currency=USD","Period=FQ","BEST_FPERIOD_OVERRIDE=FQ","FILING_STATUS=MR","Sort=A","Dates=H","DateFormat=P","Fill=—","Direction=H","UseDPDF=Y")</f>
        <v>1267</v>
      </c>
      <c r="F79" s="13">
        <f>_xll.BDH("GILD US Equity","ARDR_SHARES_OUTSTANDING","FQ3 2019","FQ3 2019","Currency=USD","Period=FQ","BEST_FPERIOD_OVERRIDE=FQ","FILING_STATUS=MR","Sort=A","Dates=H","DateFormat=P","Fill=—","Direction=H","UseDPDF=Y")</f>
        <v>1266</v>
      </c>
      <c r="G79" s="13">
        <f>_xll.BDH("GILD US Equity","ARDR_SHARES_OUTSTANDING","FQ4 2019","FQ4 2019","Currency=USD","Period=FQ","BEST_FPERIOD_OVERRIDE=FQ","FILING_STATUS=MR","Sort=A","Dates=H","DateFormat=P","Fill=—","Direction=H","UseDPDF=Y")</f>
        <v>1266</v>
      </c>
      <c r="H79" s="13">
        <f>_xll.BDH("GILD US Equity","ARDR_SHARES_OUTSTANDING","FQ1 2020","FQ1 2020","Currency=USD","Period=FQ","BEST_FPERIOD_OVERRIDE=FQ","FILING_STATUS=MR","Sort=A","Dates=H","DateFormat=P","Fill=—","Direction=H","UseDPDF=Y")</f>
        <v>1254</v>
      </c>
      <c r="I79" s="13">
        <f>_xll.BDH("GILD US Equity","ARDR_SHARES_OUTSTANDING","FQ2 2020","FQ2 2020","Currency=USD","Period=FQ","BEST_FPERIOD_OVERRIDE=FQ","FILING_STATUS=MR","Sort=A","Dates=H","DateFormat=P","Fill=—","Direction=H","UseDPDF=Y")</f>
        <v>1254</v>
      </c>
      <c r="J79" s="13">
        <f>_xll.BDH("GILD US Equity","ARDR_SHARES_OUTSTANDING","FQ3 2020","FQ3 2020","Currency=USD","Period=FQ","BEST_FPERIOD_OVERRIDE=FQ","FILING_STATUS=MR","Sort=A","Dates=H","DateFormat=P","Fill=—","Direction=H","UseDPDF=Y")</f>
        <v>1253</v>
      </c>
      <c r="K79" s="13">
        <f>_xll.BDH("GILD US Equity","ARDR_SHARES_OUTSTANDING","FQ4 2020","FQ4 2020","Currency=USD","Period=FQ","BEST_FPERIOD_OVERRIDE=FQ","FILING_STATUS=MR","Sort=A","Dates=H","DateFormat=P","Fill=—","Direction=H","UseDPDF=Y")</f>
        <v>1254</v>
      </c>
      <c r="L79" s="13">
        <f>_xll.BDH("GILD US Equity","ARDR_SHARES_OUTSTANDING","FQ1 2021","FQ1 2021","Currency=USD","Period=FQ","BEST_FPERIOD_OVERRIDE=FQ","FILING_STATUS=MR","Sort=A","Dates=H","DateFormat=P","Fill=—","Direction=H","UseDPDF=Y")</f>
        <v>1254</v>
      </c>
      <c r="M79" s="13">
        <f>_xll.BDH("GILD US Equity","ARDR_SHARES_OUTSTANDING","FQ2 2021","FQ2 2021","Currency=USD","Period=FQ","BEST_FPERIOD_OVERRIDE=FQ","FILING_STATUS=MR","Sort=A","Dates=H","DateFormat=P","Fill=—","Direction=H","UseDPDF=Y")</f>
        <v>1254</v>
      </c>
      <c r="N79" s="13">
        <f>_xll.BDH("GILD US Equity","ARDR_SHARES_OUTSTANDING","FQ3 2021","FQ3 2021","Currency=USD","Period=FQ","BEST_FPERIOD_OVERRIDE=FQ","FILING_STATUS=MR","Sort=A","Dates=H","DateFormat=P","Fill=—","Direction=H","UseDPDF=Y")</f>
        <v>1255</v>
      </c>
      <c r="O79" s="13">
        <f>_xll.BDH("GILD US Equity","ARDR_SHARES_OUTSTANDING","FQ4 2021","FQ4 2021","Currency=USD","Period=FQ","BEST_FPERIOD_OVERRIDE=FQ","FILING_STATUS=MR","Sort=A","Dates=H","DateFormat=P","Fill=—","Direction=H","UseDPDF=Y")</f>
        <v>1254</v>
      </c>
      <c r="P79" s="13">
        <f>_xll.BDH("GILD US Equity","ARDR_SHARES_OUTSTANDING","FQ1 2022","FQ1 2022","Currency=USD","Period=FQ","BEST_FPERIOD_OVERRIDE=FQ","FILING_STATUS=MR","Sort=A","Dates=H","DateFormat=P","Fill=—","Direction=H","UseDPDF=Y")</f>
        <v>1255</v>
      </c>
      <c r="Q79" s="13">
        <f>_xll.BDH("GILD US Equity","ARDR_SHARES_OUTSTANDING","FQ2 2022","FQ2 2022","Currency=USD","Period=FQ","BEST_FPERIOD_OVERRIDE=FQ","FILING_STATUS=MR","Sort=A","Dates=H","DateFormat=P","Fill=—","Direction=H","UseDPDF=Y")</f>
        <v>1254</v>
      </c>
      <c r="R79" s="13">
        <f>_xll.BDH("GILD US Equity","ARDR_SHARES_OUTSTANDING","FQ3 2022","FQ3 2022","Currency=USD","Period=FQ","BEST_FPERIOD_OVERRIDE=FQ","FILING_STATUS=MR","Sort=A","Dates=H","DateFormat=P","Fill=—","Direction=H","UseDPDF=Y")</f>
        <v>1254</v>
      </c>
      <c r="S79" s="13">
        <f>_xll.BDH("GILD US Equity","ARDR_SHARES_OUTSTANDING","FQ4 2022","FQ4 2022","Currency=USD","Period=FQ","BEST_FPERIOD_OVERRIDE=FQ","FILING_STATUS=MR","Sort=A","Dates=H","DateFormat=P","Fill=—","Direction=H","UseDPDF=Y")</f>
        <v>1247</v>
      </c>
      <c r="T79" s="13">
        <f>_xll.BDH("GILD US Equity","ARDR_SHARES_OUTSTANDING","FQ1 2023","FQ1 2023","Currency=USD","Period=FQ","BEST_FPERIOD_OVERRIDE=FQ","FILING_STATUS=MR","Sort=A","Dates=H","DateFormat=P","Fill=—","Direction=H","UseDPDF=Y")</f>
        <v>1248</v>
      </c>
      <c r="U79" s="13">
        <f>_xll.BDH("GILD US Equity","ARDR_SHARES_OUTSTANDING","FQ2 2023","FQ2 2023","Currency=USD","Period=FQ","BEST_FPERIOD_OVERRIDE=FQ","FILING_STATUS=MR","Sort=A","Dates=H","DateFormat=P","Fill=—","Direction=H","UseDPDF=Y")</f>
        <v>1247</v>
      </c>
      <c r="V79" s="13">
        <f>_xll.BDH("GILD US Equity","ARDR_SHARES_OUTSTANDING","FQ3 2023","FQ3 2023","Currency=USD","Period=FQ","BEST_FPERIOD_OVERRIDE=FQ","FILING_STATUS=MR","Sort=A","Dates=H","DateFormat=P","Fill=—","Direction=H","UseDPDF=Y")</f>
        <v>1247</v>
      </c>
      <c r="W79" s="13">
        <f>_xll.BDH("GILD US Equity","ARDR_SHARES_OUTSTANDING","FQ4 2023","FQ4 2023","Currency=USD","Period=FQ","BEST_FPERIOD_OVERRIDE=FQ","FILING_STATUS=MR","Sort=A","Dates=H","DateFormat=P","Fill=—","Direction=H","UseDPDF=Y")</f>
        <v>1246</v>
      </c>
      <c r="X79" s="13">
        <f>_xll.BDH("GILD US Equity","ARDR_SHARES_OUTSTANDING","FQ1 2024","FQ1 2024","Currency=USD","Period=FQ","BEST_FPERIOD_OVERRIDE=FQ","FILING_STATUS=MR","Sort=A","Dates=H","DateFormat=P","Fill=—","Direction=H","UseDPDF=Y")</f>
        <v>1246</v>
      </c>
      <c r="Y79" s="13">
        <f>_xll.BDH("GILD US Equity","ARDR_SHARES_OUTSTANDING","FQ2 2024","FQ2 2024","Currency=USD","Period=FQ","BEST_FPERIOD_OVERRIDE=FQ","FILING_STATUS=MR","Sort=A","Dates=H","DateFormat=P","Fill=—","Direction=H","UseDPDF=Y")</f>
        <v>1246</v>
      </c>
      <c r="Z79" s="13">
        <f>_xll.BDH("GILD US Equity","ARDR_SHARES_OUTSTANDING","FQ3 2024","FQ3 2024","Currency=USD","Period=FQ","BEST_FPERIOD_OVERRIDE=FQ","FILING_STATUS=MR","Sort=A","Dates=H","DateFormat=P","Fill=—","Direction=H","UseDPDF=Y")</f>
        <v>1246</v>
      </c>
      <c r="AA79" s="13">
        <f>_xll.BDH("GILD US Equity","ARDR_SHARES_OUTSTANDING","FQ4 2024","FQ4 2024","Currency=USD","Period=FQ","BEST_FPERIOD_OVERRIDE=FQ","FILING_STATUS=MR","Sort=A","Dates=H","DateFormat=P","Fill=—","Direction=H","UseDPDF=Y")</f>
        <v>1246</v>
      </c>
    </row>
    <row r="80" spans="1:27" x14ac:dyDescent="0.25">
      <c r="A80" s="10" t="s">
        <v>971</v>
      </c>
      <c r="B80" s="10" t="s">
        <v>1022</v>
      </c>
      <c r="C80" s="14">
        <f>_xll.BDH("GILD US Equity","ARDR_PAR_VALUE","FQ4 2018","FQ4 2018","Currency=USD","Period=FQ","BEST_FPERIOD_OVERRIDE=FQ","FILING_STATUS=MR","Sort=A","Dates=H","DateFormat=P","Fill=—","Direction=H","UseDPDF=Y")</f>
        <v>1E-3</v>
      </c>
      <c r="D80" s="14">
        <f>_xll.BDH("GILD US Equity","ARDR_PAR_VALUE","FQ1 2019","FQ1 2019","Currency=USD","Period=FQ","BEST_FPERIOD_OVERRIDE=FQ","FILING_STATUS=MR","Sort=A","Dates=H","DateFormat=P","Fill=—","Direction=H","UseDPDF=Y")</f>
        <v>1E-3</v>
      </c>
      <c r="E80" s="14">
        <f>_xll.BDH("GILD US Equity","ARDR_PAR_VALUE","FQ2 2019","FQ2 2019","Currency=USD","Period=FQ","BEST_FPERIOD_OVERRIDE=FQ","FILING_STATUS=MR","Sort=A","Dates=H","DateFormat=P","Fill=—","Direction=H","UseDPDF=Y")</f>
        <v>1E-3</v>
      </c>
      <c r="F80" s="14">
        <f>_xll.BDH("GILD US Equity","ARDR_PAR_VALUE","FQ3 2019","FQ3 2019","Currency=USD","Period=FQ","BEST_FPERIOD_OVERRIDE=FQ","FILING_STATUS=MR","Sort=A","Dates=H","DateFormat=P","Fill=—","Direction=H","UseDPDF=Y")</f>
        <v>1E-3</v>
      </c>
      <c r="G80" s="14">
        <f>_xll.BDH("GILD US Equity","ARDR_PAR_VALUE","FQ4 2019","FQ4 2019","Currency=USD","Period=FQ","BEST_FPERIOD_OVERRIDE=FQ","FILING_STATUS=MR","Sort=A","Dates=H","DateFormat=P","Fill=—","Direction=H","UseDPDF=Y")</f>
        <v>1E-3</v>
      </c>
      <c r="H80" s="14">
        <f>_xll.BDH("GILD US Equity","ARDR_PAR_VALUE","FQ1 2020","FQ1 2020","Currency=USD","Period=FQ","BEST_FPERIOD_OVERRIDE=FQ","FILING_STATUS=MR","Sort=A","Dates=H","DateFormat=P","Fill=—","Direction=H","UseDPDF=Y")</f>
        <v>1E-3</v>
      </c>
      <c r="I80" s="14">
        <f>_xll.BDH("GILD US Equity","ARDR_PAR_VALUE","FQ2 2020","FQ2 2020","Currency=USD","Period=FQ","BEST_FPERIOD_OVERRIDE=FQ","FILING_STATUS=MR","Sort=A","Dates=H","DateFormat=P","Fill=—","Direction=H","UseDPDF=Y")</f>
        <v>1E-3</v>
      </c>
      <c r="J80" s="14">
        <f>_xll.BDH("GILD US Equity","ARDR_PAR_VALUE","FQ3 2020","FQ3 2020","Currency=USD","Period=FQ","BEST_FPERIOD_OVERRIDE=FQ","FILING_STATUS=MR","Sort=A","Dates=H","DateFormat=P","Fill=—","Direction=H","UseDPDF=Y")</f>
        <v>1E-3</v>
      </c>
      <c r="K80" s="14">
        <f>_xll.BDH("GILD US Equity","ARDR_PAR_VALUE","FQ4 2020","FQ4 2020","Currency=USD","Period=FQ","BEST_FPERIOD_OVERRIDE=FQ","FILING_STATUS=MR","Sort=A","Dates=H","DateFormat=P","Fill=—","Direction=H","UseDPDF=Y")</f>
        <v>1E-3</v>
      </c>
      <c r="L80" s="14" t="str">
        <f>_xll.BDH("GILD US Equity","ARDR_PAR_VALUE","FQ1 2021","FQ1 2021","Currency=USD","Period=FQ","BEST_FPERIOD_OVERRIDE=FQ","FILING_STATUS=MR","Sort=A","Dates=H","DateFormat=P","Fill=—","Direction=H","UseDPDF=Y")</f>
        <v>—</v>
      </c>
      <c r="M80" s="14">
        <f>_xll.BDH("GILD US Equity","ARDR_PAR_VALUE","FQ2 2021","FQ2 2021","Currency=USD","Period=FQ","BEST_FPERIOD_OVERRIDE=FQ","FILING_STATUS=MR","Sort=A","Dates=H","DateFormat=P","Fill=—","Direction=H","UseDPDF=Y")</f>
        <v>1E-3</v>
      </c>
      <c r="N80" s="14">
        <f>_xll.BDH("GILD US Equity","ARDR_PAR_VALUE","FQ3 2021","FQ3 2021","Currency=USD","Period=FQ","BEST_FPERIOD_OVERRIDE=FQ","FILING_STATUS=MR","Sort=A","Dates=H","DateFormat=P","Fill=—","Direction=H","UseDPDF=Y")</f>
        <v>1E-3</v>
      </c>
      <c r="O80" s="14">
        <f>_xll.BDH("GILD US Equity","ARDR_PAR_VALUE","FQ4 2021","FQ4 2021","Currency=USD","Period=FQ","BEST_FPERIOD_OVERRIDE=FQ","FILING_STATUS=MR","Sort=A","Dates=H","DateFormat=P","Fill=—","Direction=H","UseDPDF=Y")</f>
        <v>1E-3</v>
      </c>
      <c r="P80" s="14">
        <f>_xll.BDH("GILD US Equity","ARDR_PAR_VALUE","FQ1 2022","FQ1 2022","Currency=USD","Period=FQ","BEST_FPERIOD_OVERRIDE=FQ","FILING_STATUS=MR","Sort=A","Dates=H","DateFormat=P","Fill=—","Direction=H","UseDPDF=Y")</f>
        <v>1E-3</v>
      </c>
      <c r="Q80" s="14">
        <f>_xll.BDH("GILD US Equity","ARDR_PAR_VALUE","FQ2 2022","FQ2 2022","Currency=USD","Period=FQ","BEST_FPERIOD_OVERRIDE=FQ","FILING_STATUS=MR","Sort=A","Dates=H","DateFormat=P","Fill=—","Direction=H","UseDPDF=Y")</f>
        <v>1E-3</v>
      </c>
      <c r="R80" s="14">
        <f>_xll.BDH("GILD US Equity","ARDR_PAR_VALUE","FQ3 2022","FQ3 2022","Currency=USD","Period=FQ","BEST_FPERIOD_OVERRIDE=FQ","FILING_STATUS=MR","Sort=A","Dates=H","DateFormat=P","Fill=—","Direction=H","UseDPDF=Y")</f>
        <v>1E-3</v>
      </c>
      <c r="S80" s="14">
        <f>_xll.BDH("GILD US Equity","ARDR_PAR_VALUE","FQ4 2022","FQ4 2022","Currency=USD","Period=FQ","BEST_FPERIOD_OVERRIDE=FQ","FILING_STATUS=MR","Sort=A","Dates=H","DateFormat=P","Fill=—","Direction=H","UseDPDF=Y")</f>
        <v>1E-3</v>
      </c>
      <c r="T80" s="14">
        <f>_xll.BDH("GILD US Equity","ARDR_PAR_VALUE","FQ1 2023","FQ1 2023","Currency=USD","Period=FQ","BEST_FPERIOD_OVERRIDE=FQ","FILING_STATUS=MR","Sort=A","Dates=H","DateFormat=P","Fill=—","Direction=H","UseDPDF=Y")</f>
        <v>1E-3</v>
      </c>
      <c r="U80" s="14">
        <f>_xll.BDH("GILD US Equity","ARDR_PAR_VALUE","FQ2 2023","FQ2 2023","Currency=USD","Period=FQ","BEST_FPERIOD_OVERRIDE=FQ","FILING_STATUS=MR","Sort=A","Dates=H","DateFormat=P","Fill=—","Direction=H","UseDPDF=Y")</f>
        <v>1E-3</v>
      </c>
      <c r="V80" s="14">
        <f>_xll.BDH("GILD US Equity","ARDR_PAR_VALUE","FQ3 2023","FQ3 2023","Currency=USD","Period=FQ","BEST_FPERIOD_OVERRIDE=FQ","FILING_STATUS=MR","Sort=A","Dates=H","DateFormat=P","Fill=—","Direction=H","UseDPDF=Y")</f>
        <v>1E-3</v>
      </c>
      <c r="W80" s="14">
        <f>_xll.BDH("GILD US Equity","ARDR_PAR_VALUE","FQ4 2023","FQ4 2023","Currency=USD","Period=FQ","BEST_FPERIOD_OVERRIDE=FQ","FILING_STATUS=MR","Sort=A","Dates=H","DateFormat=P","Fill=—","Direction=H","UseDPDF=Y")</f>
        <v>1E-3</v>
      </c>
      <c r="X80" s="14">
        <f>_xll.BDH("GILD US Equity","ARDR_PAR_VALUE","FQ1 2024","FQ1 2024","Currency=USD","Period=FQ","BEST_FPERIOD_OVERRIDE=FQ","FILING_STATUS=MR","Sort=A","Dates=H","DateFormat=P","Fill=—","Direction=H","UseDPDF=Y")</f>
        <v>1E-3</v>
      </c>
      <c r="Y80" s="14">
        <f>_xll.BDH("GILD US Equity","ARDR_PAR_VALUE","FQ2 2024","FQ2 2024","Currency=USD","Period=FQ","BEST_FPERIOD_OVERRIDE=FQ","FILING_STATUS=MR","Sort=A","Dates=H","DateFormat=P","Fill=—","Direction=H","UseDPDF=Y")</f>
        <v>1E-3</v>
      </c>
      <c r="Z80" s="14">
        <f>_xll.BDH("GILD US Equity","ARDR_PAR_VALUE","FQ3 2024","FQ3 2024","Currency=USD","Period=FQ","BEST_FPERIOD_OVERRIDE=FQ","FILING_STATUS=MR","Sort=A","Dates=H","DateFormat=P","Fill=—","Direction=H","UseDPDF=Y")</f>
        <v>1E-3</v>
      </c>
      <c r="AA80" s="14">
        <f>_xll.BDH("GILD US Equity","ARDR_PAR_VALUE","FQ4 2024","FQ4 2024","Currency=USD","Period=FQ","BEST_FPERIOD_OVERRIDE=FQ","FILING_STATUS=MR","Sort=A","Dates=H","DateFormat=P","Fill=—","Direction=H","UseDPDF=Y")</f>
        <v>1E-3</v>
      </c>
    </row>
    <row r="81" spans="1:27" x14ac:dyDescent="0.25">
      <c r="A81" s="10" t="s">
        <v>1023</v>
      </c>
      <c r="B81" s="10" t="s">
        <v>1024</v>
      </c>
      <c r="C81" s="13">
        <f>_xll.BDH("GILD US Equity","ARDR_RAW_MATERIAL","FQ4 2018","FQ4 2018","Currency=USD","Period=FQ","BEST_FPERIOD_OVERRIDE=FQ","FILING_STATUS=MR","SCALING_FORMAT=MLN","Sort=A","Dates=H","DateFormat=P","Fill=—","Direction=H","UseDPDF=Y")</f>
        <v>1888</v>
      </c>
      <c r="D81" s="13">
        <f>_xll.BDH("GILD US Equity","ARDR_RAW_MATERIAL","FQ1 2019","FQ1 2019","Currency=USD","Period=FQ","BEST_FPERIOD_OVERRIDE=FQ","FILING_STATUS=MR","SCALING_FORMAT=MLN","Sort=A","Dates=H","DateFormat=P","Fill=—","Direction=H","UseDPDF=Y")</f>
        <v>1860</v>
      </c>
      <c r="E81" s="13">
        <f>_xll.BDH("GILD US Equity","ARDR_RAW_MATERIAL","FQ2 2019","FQ2 2019","Currency=USD","Period=FQ","BEST_FPERIOD_OVERRIDE=FQ","FILING_STATUS=MR","SCALING_FORMAT=MLN","Sort=A","Dates=H","DateFormat=P","Fill=—","Direction=H","UseDPDF=Y")</f>
        <v>1832</v>
      </c>
      <c r="F81" s="13">
        <f>_xll.BDH("GILD US Equity","ARDR_RAW_MATERIAL","FQ3 2019","FQ3 2019","Currency=USD","Period=FQ","BEST_FPERIOD_OVERRIDE=FQ","FILING_STATUS=MR","SCALING_FORMAT=MLN","Sort=A","Dates=H","DateFormat=P","Fill=—","Direction=H","UseDPDF=Y")</f>
        <v>1776</v>
      </c>
      <c r="G81" s="13">
        <f>_xll.BDH("GILD US Equity","ARDR_RAW_MATERIAL","FQ4 2019","FQ4 2019","Currency=USD","Period=FQ","BEST_FPERIOD_OVERRIDE=FQ","FILING_STATUS=MR","SCALING_FORMAT=MLN","Sort=A","Dates=H","DateFormat=P","Fill=—","Direction=H","UseDPDF=Y")</f>
        <v>1348</v>
      </c>
      <c r="H81" s="13">
        <f>_xll.BDH("GILD US Equity","ARDR_RAW_MATERIAL","FQ1 2020","FQ1 2020","Currency=USD","Period=FQ","BEST_FPERIOD_OVERRIDE=FQ","FILING_STATUS=MR","SCALING_FORMAT=MLN","Sort=A","Dates=H","DateFormat=P","Fill=—","Direction=H","UseDPDF=Y")</f>
        <v>1237</v>
      </c>
      <c r="I81" s="13">
        <f>_xll.BDH("GILD US Equity","ARDR_RAW_MATERIAL","FQ2 2020","FQ2 2020","Currency=USD","Period=FQ","BEST_FPERIOD_OVERRIDE=FQ","FILING_STATUS=MR","SCALING_FORMAT=MLN","Sort=A","Dates=H","DateFormat=P","Fill=—","Direction=H","UseDPDF=Y")</f>
        <v>1142</v>
      </c>
      <c r="J81" s="13">
        <f>_xll.BDH("GILD US Equity","ARDR_RAW_MATERIAL","FQ3 2020","FQ3 2020","Currency=USD","Period=FQ","BEST_FPERIOD_OVERRIDE=FQ","FILING_STATUS=MR","SCALING_FORMAT=MLN","Sort=A","Dates=H","DateFormat=P","Fill=—","Direction=H","UseDPDF=Y")</f>
        <v>1061</v>
      </c>
      <c r="K81" s="13">
        <f>_xll.BDH("GILD US Equity","ARDR_RAW_MATERIAL","FQ4 2020","FQ4 2020","Currency=USD","Period=FQ","BEST_FPERIOD_OVERRIDE=FQ","FILING_STATUS=MR","SCALING_FORMAT=MLN","Sort=A","Dates=H","DateFormat=P","Fill=—","Direction=H","UseDPDF=Y")</f>
        <v>1080</v>
      </c>
      <c r="L81" s="13">
        <f>_xll.BDH("GILD US Equity","ARDR_RAW_MATERIAL","FQ1 2021","FQ1 2021","Currency=USD","Period=FQ","BEST_FPERIOD_OVERRIDE=FQ","FILING_STATUS=MR","SCALING_FORMAT=MLN","Sort=A","Dates=H","DateFormat=P","Fill=—","Direction=H","UseDPDF=Y")</f>
        <v>1023</v>
      </c>
      <c r="M81" s="13">
        <f>_xll.BDH("GILD US Equity","ARDR_RAW_MATERIAL","FQ2 2021","FQ2 2021","Currency=USD","Period=FQ","BEST_FPERIOD_OVERRIDE=FQ","FILING_STATUS=MR","SCALING_FORMAT=MLN","Sort=A","Dates=H","DateFormat=P","Fill=—","Direction=H","UseDPDF=Y")</f>
        <v>1021</v>
      </c>
      <c r="N81" s="13">
        <f>_xll.BDH("GILD US Equity","ARDR_RAW_MATERIAL","FQ3 2021","FQ3 2021","Currency=USD","Period=FQ","BEST_FPERIOD_OVERRIDE=FQ","FILING_STATUS=MR","SCALING_FORMAT=MLN","Sort=A","Dates=H","DateFormat=P","Fill=—","Direction=H","UseDPDF=Y")</f>
        <v>1067</v>
      </c>
      <c r="O81" s="13">
        <f>_xll.BDH("GILD US Equity","ARDR_RAW_MATERIAL","FQ4 2021","FQ4 2021","Currency=USD","Period=FQ","BEST_FPERIOD_OVERRIDE=FQ","FILING_STATUS=MR","SCALING_FORMAT=MLN","Sort=A","Dates=H","DateFormat=P","Fill=—","Direction=H","UseDPDF=Y")</f>
        <v>1112</v>
      </c>
      <c r="P81" s="13">
        <f>_xll.BDH("GILD US Equity","ARDR_RAW_MATERIAL","FQ1 2022","FQ1 2022","Currency=USD","Period=FQ","BEST_FPERIOD_OVERRIDE=FQ","FILING_STATUS=MR","SCALING_FORMAT=MLN","Sort=A","Dates=H","DateFormat=P","Fill=—","Direction=H","UseDPDF=Y")</f>
        <v>1091</v>
      </c>
      <c r="Q81" s="13">
        <f>_xll.BDH("GILD US Equity","ARDR_RAW_MATERIAL","FQ2 2022","FQ2 2022","Currency=USD","Period=FQ","BEST_FPERIOD_OVERRIDE=FQ","FILING_STATUS=MR","SCALING_FORMAT=MLN","Sort=A","Dates=H","DateFormat=P","Fill=—","Direction=H","UseDPDF=Y")</f>
        <v>1067</v>
      </c>
      <c r="R81" s="13">
        <f>_xll.BDH("GILD US Equity","ARDR_RAW_MATERIAL","FQ3 2022","FQ3 2022","Currency=USD","Period=FQ","BEST_FPERIOD_OVERRIDE=FQ","FILING_STATUS=MR","SCALING_FORMAT=MLN","Sort=A","Dates=H","DateFormat=P","Fill=—","Direction=H","UseDPDF=Y")</f>
        <v>1133</v>
      </c>
      <c r="S81" s="13">
        <f>_xll.BDH("GILD US Equity","ARDR_RAW_MATERIAL","FQ4 2022","FQ4 2022","Currency=USD","Period=FQ","BEST_FPERIOD_OVERRIDE=FQ","FILING_STATUS=MR","SCALING_FORMAT=MLN","Sort=A","Dates=H","DateFormat=P","Fill=—","Direction=H","UseDPDF=Y")</f>
        <v>1177</v>
      </c>
      <c r="T81" s="13">
        <f>_xll.BDH("GILD US Equity","ARDR_RAW_MATERIAL","FQ1 2023","FQ1 2023","Currency=USD","Period=FQ","BEST_FPERIOD_OVERRIDE=FQ","FILING_STATUS=MR","SCALING_FORMAT=MLN","Sort=A","Dates=H","DateFormat=P","Fill=—","Direction=H","UseDPDF=Y")</f>
        <v>1157</v>
      </c>
      <c r="U81" s="13">
        <f>_xll.BDH("GILD US Equity","ARDR_RAW_MATERIAL","FQ2 2023","FQ2 2023","Currency=USD","Period=FQ","BEST_FPERIOD_OVERRIDE=FQ","FILING_STATUS=MR","SCALING_FORMAT=MLN","Sort=A","Dates=H","DateFormat=P","Fill=—","Direction=H","UseDPDF=Y")</f>
        <v>1231</v>
      </c>
      <c r="V81" s="13">
        <f>_xll.BDH("GILD US Equity","ARDR_RAW_MATERIAL","FQ3 2023","FQ3 2023","Currency=USD","Period=FQ","BEST_FPERIOD_OVERRIDE=FQ","FILING_STATUS=MR","SCALING_FORMAT=MLN","Sort=A","Dates=H","DateFormat=P","Fill=—","Direction=H","UseDPDF=Y")</f>
        <v>1266</v>
      </c>
      <c r="W81" s="13">
        <f>_xll.BDH("GILD US Equity","ARDR_RAW_MATERIAL","FQ4 2023","FQ4 2023","Currency=USD","Period=FQ","BEST_FPERIOD_OVERRIDE=FQ","FILING_STATUS=MR","SCALING_FORMAT=MLN","Sort=A","Dates=H","DateFormat=P","Fill=—","Direction=H","UseDPDF=Y")</f>
        <v>1246</v>
      </c>
      <c r="X81" s="13">
        <f>_xll.BDH("GILD US Equity","ARDR_RAW_MATERIAL","FQ1 2024","FQ1 2024","Currency=USD","Period=FQ","BEST_FPERIOD_OVERRIDE=FQ","FILING_STATUS=MR","SCALING_FORMAT=MLN","Sort=A","Dates=H","DateFormat=P","Fill=—","Direction=H","UseDPDF=Y")</f>
        <v>1237</v>
      </c>
      <c r="Y81" s="13">
        <f>_xll.BDH("GILD US Equity","ARDR_RAW_MATERIAL","FQ2 2024","FQ2 2024","Currency=USD","Period=FQ","BEST_FPERIOD_OVERRIDE=FQ","FILING_STATUS=MR","SCALING_FORMAT=MLN","Sort=A","Dates=H","DateFormat=P","Fill=—","Direction=H","UseDPDF=Y")</f>
        <v>1259</v>
      </c>
      <c r="Z81" s="13">
        <f>_xll.BDH("GILD US Equity","ARDR_RAW_MATERIAL","FQ3 2024","FQ3 2024","Currency=USD","Period=FQ","BEST_FPERIOD_OVERRIDE=FQ","FILING_STATUS=MR","SCALING_FORMAT=MLN","Sort=A","Dates=H","DateFormat=P","Fill=—","Direction=H","UseDPDF=Y")</f>
        <v>1332</v>
      </c>
      <c r="AA81" s="13">
        <f>_xll.BDH("GILD US Equity","ARDR_RAW_MATERIAL","FQ4 2024","FQ4 2024","Currency=USD","Period=FQ","BEST_FPERIOD_OVERRIDE=FQ","FILING_STATUS=MR","SCALING_FORMAT=MLN","Sort=A","Dates=H","DateFormat=P","Fill=—","Direction=H","UseDPDF=Y")</f>
        <v>1295</v>
      </c>
    </row>
    <row r="82" spans="1:27" x14ac:dyDescent="0.25">
      <c r="A82" s="10" t="s">
        <v>1025</v>
      </c>
      <c r="B82" s="10" t="s">
        <v>1026</v>
      </c>
      <c r="C82" s="13">
        <f>_xll.BDH("GILD US Equity","ARDR_WORK_IN_PROGRESS","FQ4 2018","FQ4 2018","Currency=USD","Period=FQ","BEST_FPERIOD_OVERRIDE=FQ","FILING_STATUS=MR","SCALING_FORMAT=MLN","Sort=A","Dates=H","DateFormat=P","Fill=—","Direction=H","UseDPDF=Y")</f>
        <v>235</v>
      </c>
      <c r="D82" s="13">
        <f>_xll.BDH("GILD US Equity","ARDR_WORK_IN_PROGRESS","FQ1 2019","FQ1 2019","Currency=USD","Period=FQ","BEST_FPERIOD_OVERRIDE=FQ","FILING_STATUS=MR","SCALING_FORMAT=MLN","Sort=A","Dates=H","DateFormat=P","Fill=—","Direction=H","UseDPDF=Y")</f>
        <v>267</v>
      </c>
      <c r="E82" s="13">
        <f>_xll.BDH("GILD US Equity","ARDR_WORK_IN_PROGRESS","FQ2 2019","FQ2 2019","Currency=USD","Period=FQ","BEST_FPERIOD_OVERRIDE=FQ","FILING_STATUS=MR","SCALING_FORMAT=MLN","Sort=A","Dates=H","DateFormat=P","Fill=—","Direction=H","UseDPDF=Y")</f>
        <v>265</v>
      </c>
      <c r="F82" s="13">
        <f>_xll.BDH("GILD US Equity","ARDR_WORK_IN_PROGRESS","FQ3 2019","FQ3 2019","Currency=USD","Period=FQ","BEST_FPERIOD_OVERRIDE=FQ","FILING_STATUS=MR","SCALING_FORMAT=MLN","Sort=A","Dates=H","DateFormat=P","Fill=—","Direction=H","UseDPDF=Y")</f>
        <v>257</v>
      </c>
      <c r="G82" s="13">
        <f>_xll.BDH("GILD US Equity","ARDR_WORK_IN_PROGRESS","FQ4 2019","FQ4 2019","Currency=USD","Period=FQ","BEST_FPERIOD_OVERRIDE=FQ","FILING_STATUS=MR","SCALING_FORMAT=MLN","Sort=A","Dates=H","DateFormat=P","Fill=—","Direction=H","UseDPDF=Y")</f>
        <v>170</v>
      </c>
      <c r="H82" s="13">
        <f>_xll.BDH("GILD US Equity","ARDR_WORK_IN_PROGRESS","FQ1 2020","FQ1 2020","Currency=USD","Period=FQ","BEST_FPERIOD_OVERRIDE=FQ","FILING_STATUS=MR","SCALING_FORMAT=MLN","Sort=A","Dates=H","DateFormat=P","Fill=—","Direction=H","UseDPDF=Y")</f>
        <v>188</v>
      </c>
      <c r="I82" s="13">
        <f>_xll.BDH("GILD US Equity","ARDR_WORK_IN_PROGRESS","FQ2 2020","FQ2 2020","Currency=USD","Period=FQ","BEST_FPERIOD_OVERRIDE=FQ","FILING_STATUS=MR","SCALING_FORMAT=MLN","Sort=A","Dates=H","DateFormat=P","Fill=—","Direction=H","UseDPDF=Y")</f>
        <v>180</v>
      </c>
      <c r="J82" s="13">
        <f>_xll.BDH("GILD US Equity","ARDR_WORK_IN_PROGRESS","FQ3 2020","FQ3 2020","Currency=USD","Period=FQ","BEST_FPERIOD_OVERRIDE=FQ","FILING_STATUS=MR","SCALING_FORMAT=MLN","Sort=A","Dates=H","DateFormat=P","Fill=—","Direction=H","UseDPDF=Y")</f>
        <v>182</v>
      </c>
      <c r="K82" s="13">
        <f>_xll.BDH("GILD US Equity","ARDR_WORK_IN_PROGRESS","FQ4 2020","FQ4 2020","Currency=USD","Period=FQ","BEST_FPERIOD_OVERRIDE=FQ","FILING_STATUS=MR","SCALING_FORMAT=MLN","Sort=A","Dates=H","DateFormat=P","Fill=—","Direction=H","UseDPDF=Y")</f>
        <v>976</v>
      </c>
      <c r="L82" s="13">
        <f>_xll.BDH("GILD US Equity","ARDR_WORK_IN_PROGRESS","FQ1 2021","FQ1 2021","Currency=USD","Period=FQ","BEST_FPERIOD_OVERRIDE=FQ","FILING_STATUS=MR","SCALING_FORMAT=MLN","Sort=A","Dates=H","DateFormat=P","Fill=—","Direction=H","UseDPDF=Y")</f>
        <v>856</v>
      </c>
      <c r="M82" s="13">
        <f>_xll.BDH("GILD US Equity","ARDR_WORK_IN_PROGRESS","FQ2 2021","FQ2 2021","Currency=USD","Period=FQ","BEST_FPERIOD_OVERRIDE=FQ","FILING_STATUS=MR","SCALING_FORMAT=MLN","Sort=A","Dates=H","DateFormat=P","Fill=—","Direction=H","UseDPDF=Y")</f>
        <v>924</v>
      </c>
      <c r="N82" s="13">
        <f>_xll.BDH("GILD US Equity","ARDR_WORK_IN_PROGRESS","FQ3 2021","FQ3 2021","Currency=USD","Period=FQ","BEST_FPERIOD_OVERRIDE=FQ","FILING_STATUS=MR","SCALING_FORMAT=MLN","Sort=A","Dates=H","DateFormat=P","Fill=—","Direction=H","UseDPDF=Y")</f>
        <v>727</v>
      </c>
      <c r="O82" s="13">
        <f>_xll.BDH("GILD US Equity","ARDR_WORK_IN_PROGRESS","FQ4 2021","FQ4 2021","Currency=USD","Period=FQ","BEST_FPERIOD_OVERRIDE=FQ","FILING_STATUS=MR","SCALING_FORMAT=MLN","Sort=A","Dates=H","DateFormat=P","Fill=—","Direction=H","UseDPDF=Y")</f>
        <v>590</v>
      </c>
      <c r="P82" s="13">
        <f>_xll.BDH("GILD US Equity","ARDR_WORK_IN_PROGRESS","FQ1 2022","FQ1 2022","Currency=USD","Period=FQ","BEST_FPERIOD_OVERRIDE=FQ","FILING_STATUS=MR","SCALING_FORMAT=MLN","Sort=A","Dates=H","DateFormat=P","Fill=—","Direction=H","UseDPDF=Y")</f>
        <v>540</v>
      </c>
      <c r="Q82" s="13">
        <f>_xll.BDH("GILD US Equity","ARDR_WORK_IN_PROGRESS","FQ2 2022","FQ2 2022","Currency=USD","Period=FQ","BEST_FPERIOD_OVERRIDE=FQ","FILING_STATUS=MR","SCALING_FORMAT=MLN","Sort=A","Dates=H","DateFormat=P","Fill=—","Direction=H","UseDPDF=Y")</f>
        <v>484</v>
      </c>
      <c r="R82" s="13">
        <f>_xll.BDH("GILD US Equity","ARDR_WORK_IN_PROGRESS","FQ3 2022","FQ3 2022","Currency=USD","Period=FQ","BEST_FPERIOD_OVERRIDE=FQ","FILING_STATUS=MR","SCALING_FORMAT=MLN","Sort=A","Dates=H","DateFormat=P","Fill=—","Direction=H","UseDPDF=Y")</f>
        <v>430</v>
      </c>
      <c r="S82" s="13">
        <f>_xll.BDH("GILD US Equity","ARDR_WORK_IN_PROGRESS","FQ4 2022","FQ4 2022","Currency=USD","Period=FQ","BEST_FPERIOD_OVERRIDE=FQ","FILING_STATUS=MR","SCALING_FORMAT=MLN","Sort=A","Dates=H","DateFormat=P","Fill=—","Direction=H","UseDPDF=Y")</f>
        <v>577</v>
      </c>
      <c r="T82" s="13">
        <f>_xll.BDH("GILD US Equity","ARDR_WORK_IN_PROGRESS","FQ1 2023","FQ1 2023","Currency=USD","Period=FQ","BEST_FPERIOD_OVERRIDE=FQ","FILING_STATUS=MR","SCALING_FORMAT=MLN","Sort=A","Dates=H","DateFormat=P","Fill=—","Direction=H","UseDPDF=Y")</f>
        <v>570</v>
      </c>
      <c r="U82" s="13">
        <f>_xll.BDH("GILD US Equity","ARDR_WORK_IN_PROGRESS","FQ2 2023","FQ2 2023","Currency=USD","Period=FQ","BEST_FPERIOD_OVERRIDE=FQ","FILING_STATUS=MR","SCALING_FORMAT=MLN","Sort=A","Dates=H","DateFormat=P","Fill=—","Direction=H","UseDPDF=Y")</f>
        <v>622</v>
      </c>
      <c r="V82" s="13">
        <f>_xll.BDH("GILD US Equity","ARDR_WORK_IN_PROGRESS","FQ3 2023","FQ3 2023","Currency=USD","Period=FQ","BEST_FPERIOD_OVERRIDE=FQ","FILING_STATUS=MR","SCALING_FORMAT=MLN","Sort=A","Dates=H","DateFormat=P","Fill=—","Direction=H","UseDPDF=Y")</f>
        <v>614</v>
      </c>
      <c r="W82" s="13">
        <f>_xll.BDH("GILD US Equity","ARDR_WORK_IN_PROGRESS","FQ4 2023","FQ4 2023","Currency=USD","Period=FQ","BEST_FPERIOD_OVERRIDE=FQ","FILING_STATUS=MR","SCALING_FORMAT=MLN","Sort=A","Dates=H","DateFormat=P","Fill=—","Direction=H","UseDPDF=Y")</f>
        <v>847</v>
      </c>
      <c r="X82" s="13">
        <f>_xll.BDH("GILD US Equity","ARDR_WORK_IN_PROGRESS","FQ1 2024","FQ1 2024","Currency=USD","Period=FQ","BEST_FPERIOD_OVERRIDE=FQ","FILING_STATUS=MR","SCALING_FORMAT=MLN","Sort=A","Dates=H","DateFormat=P","Fill=—","Direction=H","UseDPDF=Y")</f>
        <v>778</v>
      </c>
      <c r="Y82" s="13">
        <f>_xll.BDH("GILD US Equity","ARDR_WORK_IN_PROGRESS","FQ2 2024","FQ2 2024","Currency=USD","Period=FQ","BEST_FPERIOD_OVERRIDE=FQ","FILING_STATUS=MR","SCALING_FORMAT=MLN","Sort=A","Dates=H","DateFormat=P","Fill=—","Direction=H","UseDPDF=Y")</f>
        <v>803</v>
      </c>
      <c r="Z82" s="13">
        <f>_xll.BDH("GILD US Equity","ARDR_WORK_IN_PROGRESS","FQ3 2024","FQ3 2024","Currency=USD","Period=FQ","BEST_FPERIOD_OVERRIDE=FQ","FILING_STATUS=MR","SCALING_FORMAT=MLN","Sort=A","Dates=H","DateFormat=P","Fill=—","Direction=H","UseDPDF=Y")</f>
        <v>684</v>
      </c>
      <c r="AA82" s="13">
        <f>_xll.BDH("GILD US Equity","ARDR_WORK_IN_PROGRESS","FQ4 2024","FQ4 2024","Currency=USD","Period=FQ","BEST_FPERIOD_OVERRIDE=FQ","FILING_STATUS=MR","SCALING_FORMAT=MLN","Sort=A","Dates=H","DateFormat=P","Fill=—","Direction=H","UseDPDF=Y")</f>
        <v>847</v>
      </c>
    </row>
    <row r="83" spans="1:27" x14ac:dyDescent="0.25">
      <c r="A83" s="10" t="s">
        <v>1027</v>
      </c>
      <c r="B83" s="10" t="s">
        <v>1028</v>
      </c>
      <c r="C83" s="13">
        <f>_xll.BDH("GILD US Equity","ARDR_FINISHED_GOOD","FQ4 2018","FQ4 2018","Currency=USD","Period=FQ","BEST_FPERIOD_OVERRIDE=FQ","FILING_STATUS=MR","SCALING_FORMAT=MLN","Sort=A","Dates=H","DateFormat=P","Fill=—","Direction=H","UseDPDF=Y")</f>
        <v>507</v>
      </c>
      <c r="D83" s="13">
        <f>_xll.BDH("GILD US Equity","ARDR_FINISHED_GOOD","FQ1 2019","FQ1 2019","Currency=USD","Period=FQ","BEST_FPERIOD_OVERRIDE=FQ","FILING_STATUS=MR","SCALING_FORMAT=MLN","Sort=A","Dates=H","DateFormat=P","Fill=—","Direction=H","UseDPDF=Y")</f>
        <v>501</v>
      </c>
      <c r="E83" s="13">
        <f>_xll.BDH("GILD US Equity","ARDR_FINISHED_GOOD","FQ2 2019","FQ2 2019","Currency=USD","Period=FQ","BEST_FPERIOD_OVERRIDE=FQ","FILING_STATUS=MR","SCALING_FORMAT=MLN","Sort=A","Dates=H","DateFormat=P","Fill=—","Direction=H","UseDPDF=Y")</f>
        <v>498</v>
      </c>
      <c r="F83" s="13">
        <f>_xll.BDH("GILD US Equity","ARDR_FINISHED_GOOD","FQ3 2019","FQ3 2019","Currency=USD","Period=FQ","BEST_FPERIOD_OVERRIDE=FQ","FILING_STATUS=MR","SCALING_FORMAT=MLN","Sort=A","Dates=H","DateFormat=P","Fill=—","Direction=H","UseDPDF=Y")</f>
        <v>524</v>
      </c>
      <c r="G83" s="13">
        <f>_xll.BDH("GILD US Equity","ARDR_FINISHED_GOOD","FQ4 2019","FQ4 2019","Currency=USD","Period=FQ","BEST_FPERIOD_OVERRIDE=FQ","FILING_STATUS=MR","SCALING_FORMAT=MLN","Sort=A","Dates=H","DateFormat=P","Fill=—","Direction=H","UseDPDF=Y")</f>
        <v>549</v>
      </c>
      <c r="H83" s="13">
        <f>_xll.BDH("GILD US Equity","ARDR_FINISHED_GOOD","FQ1 2020","FQ1 2020","Currency=USD","Period=FQ","BEST_FPERIOD_OVERRIDE=FQ","FILING_STATUS=MR","SCALING_FORMAT=MLN","Sort=A","Dates=H","DateFormat=P","Fill=—","Direction=H","UseDPDF=Y")</f>
        <v>596</v>
      </c>
      <c r="I83" s="13">
        <f>_xll.BDH("GILD US Equity","ARDR_FINISHED_GOOD","FQ2 2020","FQ2 2020","Currency=USD","Period=FQ","BEST_FPERIOD_OVERRIDE=FQ","FILING_STATUS=MR","SCALING_FORMAT=MLN","Sort=A","Dates=H","DateFormat=P","Fill=—","Direction=H","UseDPDF=Y")</f>
        <v>645</v>
      </c>
      <c r="J83" s="13">
        <f>_xll.BDH("GILD US Equity","ARDR_FINISHED_GOOD","FQ3 2020","FQ3 2020","Currency=USD","Period=FQ","BEST_FPERIOD_OVERRIDE=FQ","FILING_STATUS=MR","SCALING_FORMAT=MLN","Sort=A","Dates=H","DateFormat=P","Fill=—","Direction=H","UseDPDF=Y")</f>
        <v>710</v>
      </c>
      <c r="K83" s="13">
        <f>_xll.BDH("GILD US Equity","ARDR_FINISHED_GOOD","FQ4 2020","FQ4 2020","Currency=USD","Period=FQ","BEST_FPERIOD_OVERRIDE=FQ","FILING_STATUS=MR","SCALING_FORMAT=MLN","Sort=A","Dates=H","DateFormat=P","Fill=—","Direction=H","UseDPDF=Y")</f>
        <v>958</v>
      </c>
      <c r="L83" s="13">
        <f>_xll.BDH("GILD US Equity","ARDR_FINISHED_GOOD","FQ1 2021","FQ1 2021","Currency=USD","Period=FQ","BEST_FPERIOD_OVERRIDE=FQ","FILING_STATUS=MR","SCALING_FORMAT=MLN","Sort=A","Dates=H","DateFormat=P","Fill=—","Direction=H","UseDPDF=Y")</f>
        <v>1117</v>
      </c>
      <c r="M83" s="13">
        <f>_xll.BDH("GILD US Equity","ARDR_FINISHED_GOOD","FQ2 2021","FQ2 2021","Currency=USD","Period=FQ","BEST_FPERIOD_OVERRIDE=FQ","FILING_STATUS=MR","SCALING_FORMAT=MLN","Sort=A","Dates=H","DateFormat=P","Fill=—","Direction=H","UseDPDF=Y")</f>
        <v>1043</v>
      </c>
      <c r="N83" s="13">
        <f>_xll.BDH("GILD US Equity","ARDR_FINISHED_GOOD","FQ3 2021","FQ3 2021","Currency=USD","Period=FQ","BEST_FPERIOD_OVERRIDE=FQ","FILING_STATUS=MR","SCALING_FORMAT=MLN","Sort=A","Dates=H","DateFormat=P","Fill=—","Direction=H","UseDPDF=Y")</f>
        <v>1003</v>
      </c>
      <c r="O83" s="13">
        <f>_xll.BDH("GILD US Equity","ARDR_FINISHED_GOOD","FQ4 2021","FQ4 2021","Currency=USD","Period=FQ","BEST_FPERIOD_OVERRIDE=FQ","FILING_STATUS=MR","SCALING_FORMAT=MLN","Sort=A","Dates=H","DateFormat=P","Fill=—","Direction=H","UseDPDF=Y")</f>
        <v>1032</v>
      </c>
      <c r="P83" s="13">
        <f>_xll.BDH("GILD US Equity","ARDR_FINISHED_GOOD","FQ1 2022","FQ1 2022","Currency=USD","Period=FQ","BEST_FPERIOD_OVERRIDE=FQ","FILING_STATUS=MR","SCALING_FORMAT=MLN","Sort=A","Dates=H","DateFormat=P","Fill=—","Direction=H","UseDPDF=Y")</f>
        <v>1044</v>
      </c>
      <c r="Q83" s="13">
        <f>_xll.BDH("GILD US Equity","ARDR_FINISHED_GOOD","FQ2 2022","FQ2 2022","Currency=USD","Period=FQ","BEST_FPERIOD_OVERRIDE=FQ","FILING_STATUS=MR","SCALING_FORMAT=MLN","Sort=A","Dates=H","DateFormat=P","Fill=—","Direction=H","UseDPDF=Y")</f>
        <v>1036</v>
      </c>
      <c r="R83" s="13">
        <f>_xll.BDH("GILD US Equity","ARDR_FINISHED_GOOD","FQ3 2022","FQ3 2022","Currency=USD","Period=FQ","BEST_FPERIOD_OVERRIDE=FQ","FILING_STATUS=MR","SCALING_FORMAT=MLN","Sort=A","Dates=H","DateFormat=P","Fill=—","Direction=H","UseDPDF=Y")</f>
        <v>1039</v>
      </c>
      <c r="S83" s="13">
        <f>_xll.BDH("GILD US Equity","ARDR_FINISHED_GOOD","FQ4 2022","FQ4 2022","Currency=USD","Period=FQ","BEST_FPERIOD_OVERRIDE=FQ","FILING_STATUS=MR","SCALING_FORMAT=MLN","Sort=A","Dates=H","DateFormat=P","Fill=—","Direction=H","UseDPDF=Y")</f>
        <v>1066</v>
      </c>
      <c r="T83" s="13">
        <f>_xll.BDH("GILD US Equity","ARDR_FINISHED_GOOD","FQ1 2023","FQ1 2023","Currency=USD","Period=FQ","BEST_FPERIOD_OVERRIDE=FQ","FILING_STATUS=MR","SCALING_FORMAT=MLN","Sort=A","Dates=H","DateFormat=P","Fill=—","Direction=H","UseDPDF=Y")</f>
        <v>1283</v>
      </c>
      <c r="U83" s="13">
        <f>_xll.BDH("GILD US Equity","ARDR_FINISHED_GOOD","FQ2 2023","FQ2 2023","Currency=USD","Period=FQ","BEST_FPERIOD_OVERRIDE=FQ","FILING_STATUS=MR","SCALING_FORMAT=MLN","Sort=A","Dates=H","DateFormat=P","Fill=—","Direction=H","UseDPDF=Y")</f>
        <v>1327</v>
      </c>
      <c r="V83" s="13">
        <f>_xll.BDH("GILD US Equity","ARDR_FINISHED_GOOD","FQ3 2023","FQ3 2023","Currency=USD","Period=FQ","BEST_FPERIOD_OVERRIDE=FQ","FILING_STATUS=MR","SCALING_FORMAT=MLN","Sort=A","Dates=H","DateFormat=P","Fill=—","Direction=H","UseDPDF=Y")</f>
        <v>1323</v>
      </c>
      <c r="W83" s="13">
        <f>_xll.BDH("GILD US Equity","ARDR_FINISHED_GOOD","FQ4 2023","FQ4 2023","Currency=USD","Period=FQ","BEST_FPERIOD_OVERRIDE=FQ","FILING_STATUS=MR","SCALING_FORMAT=MLN","Sort=A","Dates=H","DateFormat=P","Fill=—","Direction=H","UseDPDF=Y")</f>
        <v>1272</v>
      </c>
      <c r="X83" s="13">
        <f>_xll.BDH("GILD US Equity","ARDR_FINISHED_GOOD","FQ1 2024","FQ1 2024","Currency=USD","Period=FQ","BEST_FPERIOD_OVERRIDE=FQ","FILING_STATUS=MR","SCALING_FORMAT=MLN","Sort=A","Dates=H","DateFormat=P","Fill=—","Direction=H","UseDPDF=Y")</f>
        <v>1348</v>
      </c>
      <c r="Y83" s="13">
        <f>_xll.BDH("GILD US Equity","ARDR_FINISHED_GOOD","FQ2 2024","FQ2 2024","Currency=USD","Period=FQ","BEST_FPERIOD_OVERRIDE=FQ","FILING_STATUS=MR","SCALING_FORMAT=MLN","Sort=A","Dates=H","DateFormat=P","Fill=—","Direction=H","UseDPDF=Y")</f>
        <v>1326</v>
      </c>
      <c r="Z83" s="13">
        <f>_xll.BDH("GILD US Equity","ARDR_FINISHED_GOOD","FQ3 2024","FQ3 2024","Currency=USD","Period=FQ","BEST_FPERIOD_OVERRIDE=FQ","FILING_STATUS=MR","SCALING_FORMAT=MLN","Sort=A","Dates=H","DateFormat=P","Fill=—","Direction=H","UseDPDF=Y")</f>
        <v>1419</v>
      </c>
      <c r="AA83" s="13">
        <f>_xll.BDH("GILD US Equity","ARDR_FINISHED_GOOD","FQ4 2024","FQ4 2024","Currency=USD","Period=FQ","BEST_FPERIOD_OVERRIDE=FQ","FILING_STATUS=MR","SCALING_FORMAT=MLN","Sort=A","Dates=H","DateFormat=P","Fill=—","Direction=H","UseDPDF=Y")</f>
        <v>1447</v>
      </c>
    </row>
    <row r="84" spans="1:27" x14ac:dyDescent="0.25">
      <c r="A84" s="10" t="s">
        <v>1029</v>
      </c>
      <c r="B84" s="10" t="s">
        <v>1030</v>
      </c>
      <c r="C84" s="13" t="str">
        <f>_xll.BDH("GILD US Equity","ARDR_INCOME_TAX_ACCRUED_PAYABLE","FQ4 2018","FQ4 2018","Currency=USD","Period=FQ","BEST_FPERIOD_OVERRIDE=FQ","FILING_STATUS=MR","SCALING_FORMAT=MLN","Sort=A","Dates=H","DateFormat=P","Fill=—","Direction=H","UseDPDF=Y")</f>
        <v>—</v>
      </c>
      <c r="D84" s="13" t="str">
        <f>_xll.BDH("GILD US Equity","ARDR_INCOME_TAX_ACCRUED_PAYABLE","FQ1 2019","FQ1 2019","Currency=USD","Period=FQ","BEST_FPERIOD_OVERRIDE=FQ","FILING_STATUS=MR","SCALING_FORMAT=MLN","Sort=A","Dates=H","DateFormat=P","Fill=—","Direction=H","UseDPDF=Y")</f>
        <v>—</v>
      </c>
      <c r="E84" s="13" t="str">
        <f>_xll.BDH("GILD US Equity","ARDR_INCOME_TAX_ACCRUED_PAYABLE","FQ2 2019","FQ2 2019","Currency=USD","Period=FQ","BEST_FPERIOD_OVERRIDE=FQ","FILING_STATUS=MR","SCALING_FORMAT=MLN","Sort=A","Dates=H","DateFormat=P","Fill=—","Direction=H","UseDPDF=Y")</f>
        <v>—</v>
      </c>
      <c r="F84" s="13" t="str">
        <f>_xll.BDH("GILD US Equity","ARDR_INCOME_TAX_ACCRUED_PAYABLE","FQ3 2019","FQ3 2019","Currency=USD","Period=FQ","BEST_FPERIOD_OVERRIDE=FQ","FILING_STATUS=MR","SCALING_FORMAT=MLN","Sort=A","Dates=H","DateFormat=P","Fill=—","Direction=H","UseDPDF=Y")</f>
        <v>—</v>
      </c>
      <c r="G84" s="13" t="str">
        <f>_xll.BDH("GILD US Equity","ARDR_INCOME_TAX_ACCRUED_PAYABLE","FQ4 2019","FQ4 2019","Currency=USD","Period=FQ","BEST_FPERIOD_OVERRIDE=FQ","FILING_STATUS=MR","SCALING_FORMAT=MLN","Sort=A","Dates=H","DateFormat=P","Fill=—","Direction=H","UseDPDF=Y")</f>
        <v>—</v>
      </c>
      <c r="H84" s="13" t="str">
        <f>_xll.BDH("GILD US Equity","ARDR_INCOME_TAX_ACCRUED_PAYABLE","FQ1 2020","FQ1 2020","Currency=USD","Period=FQ","BEST_FPERIOD_OVERRIDE=FQ","FILING_STATUS=MR","SCALING_FORMAT=MLN","Sort=A","Dates=H","DateFormat=P","Fill=—","Direction=H","UseDPDF=Y")</f>
        <v>—</v>
      </c>
      <c r="I84" s="13" t="str">
        <f>_xll.BDH("GILD US Equity","ARDR_INCOME_TAX_ACCRUED_PAYABLE","FQ2 2020","FQ2 2020","Currency=USD","Period=FQ","BEST_FPERIOD_OVERRIDE=FQ","FILING_STATUS=MR","SCALING_FORMAT=MLN","Sort=A","Dates=H","DateFormat=P","Fill=—","Direction=H","UseDPDF=Y")</f>
        <v>—</v>
      </c>
      <c r="J84" s="13" t="str">
        <f>_xll.BDH("GILD US Equity","ARDR_INCOME_TAX_ACCRUED_PAYABLE","FQ3 2020","FQ3 2020","Currency=USD","Period=FQ","BEST_FPERIOD_OVERRIDE=FQ","FILING_STATUS=MR","SCALING_FORMAT=MLN","Sort=A","Dates=H","DateFormat=P","Fill=—","Direction=H","UseDPDF=Y")</f>
        <v>—</v>
      </c>
      <c r="K84" s="13" t="str">
        <f>_xll.BDH("GILD US Equity","ARDR_INCOME_TAX_ACCRUED_PAYABLE","FQ4 2020","FQ4 2020","Currency=USD","Period=FQ","BEST_FPERIOD_OVERRIDE=FQ","FILING_STATUS=MR","SCALING_FORMAT=MLN","Sort=A","Dates=H","DateFormat=P","Fill=—","Direction=H","UseDPDF=Y")</f>
        <v>—</v>
      </c>
      <c r="L84" s="13" t="str">
        <f>_xll.BDH("GILD US Equity","ARDR_INCOME_TAX_ACCRUED_PAYABLE","FQ1 2021","FQ1 2021","Currency=USD","Period=FQ","BEST_FPERIOD_OVERRIDE=FQ","FILING_STATUS=MR","SCALING_FORMAT=MLN","Sort=A","Dates=H","DateFormat=P","Fill=—","Direction=H","UseDPDF=Y")</f>
        <v>—</v>
      </c>
      <c r="M84" s="13" t="str">
        <f>_xll.BDH("GILD US Equity","ARDR_INCOME_TAX_ACCRUED_PAYABLE","FQ2 2021","FQ2 2021","Currency=USD","Period=FQ","BEST_FPERIOD_OVERRIDE=FQ","FILING_STATUS=MR","SCALING_FORMAT=MLN","Sort=A","Dates=H","DateFormat=P","Fill=—","Direction=H","UseDPDF=Y")</f>
        <v>—</v>
      </c>
      <c r="N84" s="13" t="str">
        <f>_xll.BDH("GILD US Equity","ARDR_INCOME_TAX_ACCRUED_PAYABLE","FQ3 2021","FQ3 2021","Currency=USD","Period=FQ","BEST_FPERIOD_OVERRIDE=FQ","FILING_STATUS=MR","SCALING_FORMAT=MLN","Sort=A","Dates=H","DateFormat=P","Fill=—","Direction=H","UseDPDF=Y")</f>
        <v>—</v>
      </c>
      <c r="O84" s="13" t="str">
        <f>_xll.BDH("GILD US Equity","ARDR_INCOME_TAX_ACCRUED_PAYABLE","FQ4 2021","FQ4 2021","Currency=USD","Period=FQ","BEST_FPERIOD_OVERRIDE=FQ","FILING_STATUS=MR","SCALING_FORMAT=MLN","Sort=A","Dates=H","DateFormat=P","Fill=—","Direction=H","UseDPDF=Y")</f>
        <v>—</v>
      </c>
      <c r="P84" s="13" t="str">
        <f>_xll.BDH("GILD US Equity","ARDR_INCOME_TAX_ACCRUED_PAYABLE","FQ1 2022","FQ1 2022","Currency=USD","Period=FQ","BEST_FPERIOD_OVERRIDE=FQ","FILING_STATUS=MR","SCALING_FORMAT=MLN","Sort=A","Dates=H","DateFormat=P","Fill=—","Direction=H","UseDPDF=Y")</f>
        <v>—</v>
      </c>
      <c r="Q84" s="13" t="str">
        <f>_xll.BDH("GILD US Equity","ARDR_INCOME_TAX_ACCRUED_PAYABLE","FQ2 2022","FQ2 2022","Currency=USD","Period=FQ","BEST_FPERIOD_OVERRIDE=FQ","FILING_STATUS=MR","SCALING_FORMAT=MLN","Sort=A","Dates=H","DateFormat=P","Fill=—","Direction=H","UseDPDF=Y")</f>
        <v>—</v>
      </c>
      <c r="R84" s="13" t="str">
        <f>_xll.BDH("GILD US Equity","ARDR_INCOME_TAX_ACCRUED_PAYABLE","FQ3 2022","FQ3 2022","Currency=USD","Period=FQ","BEST_FPERIOD_OVERRIDE=FQ","FILING_STATUS=MR","SCALING_FORMAT=MLN","Sort=A","Dates=H","DateFormat=P","Fill=—","Direction=H","UseDPDF=Y")</f>
        <v>—</v>
      </c>
      <c r="S84" s="13" t="str">
        <f>_xll.BDH("GILD US Equity","ARDR_INCOME_TAX_ACCRUED_PAYABLE","FQ4 2022","FQ4 2022","Currency=USD","Period=FQ","BEST_FPERIOD_OVERRIDE=FQ","FILING_STATUS=MR","SCALING_FORMAT=MLN","Sort=A","Dates=H","DateFormat=P","Fill=—","Direction=H","UseDPDF=Y")</f>
        <v>—</v>
      </c>
      <c r="T84" s="13" t="str">
        <f>_xll.BDH("GILD US Equity","ARDR_INCOME_TAX_ACCRUED_PAYABLE","FQ1 2023","FQ1 2023","Currency=USD","Period=FQ","BEST_FPERIOD_OVERRIDE=FQ","FILING_STATUS=MR","SCALING_FORMAT=MLN","Sort=A","Dates=H","DateFormat=P","Fill=—","Direction=H","UseDPDF=Y")</f>
        <v>—</v>
      </c>
      <c r="U84" s="13" t="str">
        <f>_xll.BDH("GILD US Equity","ARDR_INCOME_TAX_ACCRUED_PAYABLE","FQ2 2023","FQ2 2023","Currency=USD","Period=FQ","BEST_FPERIOD_OVERRIDE=FQ","FILING_STATUS=MR","SCALING_FORMAT=MLN","Sort=A","Dates=H","DateFormat=P","Fill=—","Direction=H","UseDPDF=Y")</f>
        <v>—</v>
      </c>
      <c r="V84" s="13" t="str">
        <f>_xll.BDH("GILD US Equity","ARDR_INCOME_TAX_ACCRUED_PAYABLE","FQ3 2023","FQ3 2023","Currency=USD","Period=FQ","BEST_FPERIOD_OVERRIDE=FQ","FILING_STATUS=MR","SCALING_FORMAT=MLN","Sort=A","Dates=H","DateFormat=P","Fill=—","Direction=H","UseDPDF=Y")</f>
        <v>—</v>
      </c>
      <c r="W84" s="13" t="str">
        <f>_xll.BDH("GILD US Equity","ARDR_INCOME_TAX_ACCRUED_PAYABLE","FQ4 2023","FQ4 2023","Currency=USD","Period=FQ","BEST_FPERIOD_OVERRIDE=FQ","FILING_STATUS=MR","SCALING_FORMAT=MLN","Sort=A","Dates=H","DateFormat=P","Fill=—","Direction=H","UseDPDF=Y")</f>
        <v>—</v>
      </c>
      <c r="X84" s="13" t="str">
        <f>_xll.BDH("GILD US Equity","ARDR_INCOME_TAX_ACCRUED_PAYABLE","FQ1 2024","FQ1 2024","Currency=USD","Period=FQ","BEST_FPERIOD_OVERRIDE=FQ","FILING_STATUS=MR","SCALING_FORMAT=MLN","Sort=A","Dates=H","DateFormat=P","Fill=—","Direction=H","UseDPDF=Y")</f>
        <v>—</v>
      </c>
      <c r="Y84" s="13" t="str">
        <f>_xll.BDH("GILD US Equity","ARDR_INCOME_TAX_ACCRUED_PAYABLE","FQ2 2024","FQ2 2024","Currency=USD","Period=FQ","BEST_FPERIOD_OVERRIDE=FQ","FILING_STATUS=MR","SCALING_FORMAT=MLN","Sort=A","Dates=H","DateFormat=P","Fill=—","Direction=H","UseDPDF=Y")</f>
        <v>—</v>
      </c>
      <c r="Z84" s="13">
        <f>_xll.BDH("GILD US Equity","ARDR_INCOME_TAX_ACCRUED_PAYABLE","FQ3 2024","FQ3 2024","Currency=USD","Period=FQ","BEST_FPERIOD_OVERRIDE=FQ","FILING_STATUS=MR","SCALING_FORMAT=MLN","Sort=A","Dates=H","DateFormat=P","Fill=—","Direction=H","UseDPDF=Y")</f>
        <v>1536</v>
      </c>
      <c r="AA84" s="13">
        <f>_xll.BDH("GILD US Equity","ARDR_INCOME_TAX_ACCRUED_PAYABLE","FQ4 2024","FQ4 2024","Currency=USD","Period=FQ","BEST_FPERIOD_OVERRIDE=FQ","FILING_STATUS=MR","SCALING_FORMAT=MLN","Sort=A","Dates=H","DateFormat=P","Fill=—","Direction=H","UseDPDF=Y")</f>
        <v>1646</v>
      </c>
    </row>
    <row r="85" spans="1:27" x14ac:dyDescent="0.25">
      <c r="A85" s="10" t="s">
        <v>1031</v>
      </c>
      <c r="B85" s="10" t="s">
        <v>1032</v>
      </c>
      <c r="C85" s="13">
        <f>_xll.BDH("GILD US Equity","ARDR_TOTAL_LINE_OF_CREDIT","FQ4 2018","FQ4 2018","Currency=USD","Period=FQ","BEST_FPERIOD_OVERRIDE=FQ","FILING_STATUS=MR","SCALING_FORMAT=MLN","Sort=A","Dates=H","DateFormat=P","Fill=—","Direction=H","UseDPDF=Y")</f>
        <v>2500</v>
      </c>
      <c r="D85" s="13" t="str">
        <f>_xll.BDH("GILD US Equity","ARDR_TOTAL_LINE_OF_CREDIT","FQ1 2019","FQ1 2019","Currency=USD","Period=FQ","BEST_FPERIOD_OVERRIDE=FQ","FILING_STATUS=MR","SCALING_FORMAT=MLN","Sort=A","Dates=H","DateFormat=P","Fill=—","Direction=H","UseDPDF=Y")</f>
        <v>—</v>
      </c>
      <c r="E85" s="13" t="str">
        <f>_xll.BDH("GILD US Equity","ARDR_TOTAL_LINE_OF_CREDIT","FQ2 2019","FQ2 2019","Currency=USD","Period=FQ","BEST_FPERIOD_OVERRIDE=FQ","FILING_STATUS=MR","SCALING_FORMAT=MLN","Sort=A","Dates=H","DateFormat=P","Fill=—","Direction=H","UseDPDF=Y")</f>
        <v>—</v>
      </c>
      <c r="F85" s="13" t="str">
        <f>_xll.BDH("GILD US Equity","ARDR_TOTAL_LINE_OF_CREDIT","FQ3 2019","FQ3 2019","Currency=USD","Period=FQ","BEST_FPERIOD_OVERRIDE=FQ","FILING_STATUS=MR","SCALING_FORMAT=MLN","Sort=A","Dates=H","DateFormat=P","Fill=—","Direction=H","UseDPDF=Y")</f>
        <v>—</v>
      </c>
      <c r="G85" s="13">
        <f>_xll.BDH("GILD US Equity","ARDR_TOTAL_LINE_OF_CREDIT","FQ4 2019","FQ4 2019","Currency=USD","Period=FQ","BEST_FPERIOD_OVERRIDE=FQ","FILING_STATUS=MR","SCALING_FORMAT=MLN","Sort=A","Dates=H","DateFormat=P","Fill=—","Direction=H","UseDPDF=Y")</f>
        <v>2500</v>
      </c>
      <c r="H85" s="13">
        <f>_xll.BDH("GILD US Equity","ARDR_TOTAL_LINE_OF_CREDIT","FQ1 2020","FQ1 2020","Currency=USD","Period=FQ","BEST_FPERIOD_OVERRIDE=FQ","FILING_STATUS=MR","SCALING_FORMAT=MLN","Sort=A","Dates=H","DateFormat=P","Fill=—","Direction=H","UseDPDF=Y")</f>
        <v>2500</v>
      </c>
      <c r="I85" s="13">
        <f>_xll.BDH("GILD US Equity","ARDR_TOTAL_LINE_OF_CREDIT","FQ2 2020","FQ2 2020","Currency=USD","Period=FQ","BEST_FPERIOD_OVERRIDE=FQ","FILING_STATUS=MR","SCALING_FORMAT=MLN","Sort=A","Dates=H","DateFormat=P","Fill=—","Direction=H","UseDPDF=Y")</f>
        <v>2500</v>
      </c>
      <c r="J85" s="13">
        <f>_xll.BDH("GILD US Equity","ARDR_TOTAL_LINE_OF_CREDIT","FQ3 2020","FQ3 2020","Currency=USD","Period=FQ","BEST_FPERIOD_OVERRIDE=FQ","FILING_STATUS=MR","SCALING_FORMAT=MLN","Sort=A","Dates=H","DateFormat=P","Fill=—","Direction=H","UseDPDF=Y")</f>
        <v>2500</v>
      </c>
      <c r="K85" s="13">
        <f>_xll.BDH("GILD US Equity","ARDR_TOTAL_LINE_OF_CREDIT","FQ4 2020","FQ4 2020","Currency=USD","Period=FQ","BEST_FPERIOD_OVERRIDE=FQ","FILING_STATUS=MR","SCALING_FORMAT=MLN","Sort=A","Dates=H","DateFormat=P","Fill=—","Direction=H","UseDPDF=Y")</f>
        <v>2500</v>
      </c>
      <c r="L85" s="13">
        <f>_xll.BDH("GILD US Equity","ARDR_TOTAL_LINE_OF_CREDIT","FQ1 2021","FQ1 2021","Currency=USD","Period=FQ","BEST_FPERIOD_OVERRIDE=FQ","FILING_STATUS=MR","SCALING_FORMAT=MLN","Sort=A","Dates=H","DateFormat=P","Fill=—","Direction=H","UseDPDF=Y")</f>
        <v>2500</v>
      </c>
      <c r="M85" s="13">
        <f>_xll.BDH("GILD US Equity","ARDR_TOTAL_LINE_OF_CREDIT","FQ2 2021","FQ2 2021","Currency=USD","Period=FQ","BEST_FPERIOD_OVERRIDE=FQ","FILING_STATUS=MR","SCALING_FORMAT=MLN","Sort=A","Dates=H","DateFormat=P","Fill=—","Direction=H","UseDPDF=Y")</f>
        <v>2500</v>
      </c>
      <c r="N85" s="13">
        <f>_xll.BDH("GILD US Equity","ARDR_TOTAL_LINE_OF_CREDIT","FQ3 2021","FQ3 2021","Currency=USD","Period=FQ","BEST_FPERIOD_OVERRIDE=FQ","FILING_STATUS=MR","SCALING_FORMAT=MLN","Sort=A","Dates=H","DateFormat=P","Fill=—","Direction=H","UseDPDF=Y")</f>
        <v>2500</v>
      </c>
      <c r="O85" s="13">
        <f>_xll.BDH("GILD US Equity","ARDR_TOTAL_LINE_OF_CREDIT","FQ4 2021","FQ4 2021","Currency=USD","Period=FQ","BEST_FPERIOD_OVERRIDE=FQ","FILING_STATUS=MR","SCALING_FORMAT=MLN","Sort=A","Dates=H","DateFormat=P","Fill=—","Direction=H","UseDPDF=Y")</f>
        <v>2500</v>
      </c>
      <c r="P85" s="13">
        <f>_xll.BDH("GILD US Equity","ARDR_TOTAL_LINE_OF_CREDIT","FQ1 2022","FQ1 2022","Currency=USD","Period=FQ","BEST_FPERIOD_OVERRIDE=FQ","FILING_STATUS=MR","SCALING_FORMAT=MLN","Sort=A","Dates=H","DateFormat=P","Fill=—","Direction=H","UseDPDF=Y")</f>
        <v>2500</v>
      </c>
      <c r="Q85" s="13">
        <f>_xll.BDH("GILD US Equity","ARDR_TOTAL_LINE_OF_CREDIT","FQ2 2022","FQ2 2022","Currency=USD","Period=FQ","BEST_FPERIOD_OVERRIDE=FQ","FILING_STATUS=MR","SCALING_FORMAT=MLN","Sort=A","Dates=H","DateFormat=P","Fill=—","Direction=H","UseDPDF=Y")</f>
        <v>2500</v>
      </c>
      <c r="R85" s="13">
        <f>_xll.BDH("GILD US Equity","ARDR_TOTAL_LINE_OF_CREDIT","FQ3 2022","FQ3 2022","Currency=USD","Period=FQ","BEST_FPERIOD_OVERRIDE=FQ","FILING_STATUS=MR","SCALING_FORMAT=MLN","Sort=A","Dates=H","DateFormat=P","Fill=—","Direction=H","UseDPDF=Y")</f>
        <v>2500</v>
      </c>
      <c r="S85" s="13">
        <f>_xll.BDH("GILD US Equity","ARDR_TOTAL_LINE_OF_CREDIT","FQ4 2022","FQ4 2022","Currency=USD","Period=FQ","BEST_FPERIOD_OVERRIDE=FQ","FILING_STATUS=MR","SCALING_FORMAT=MLN","Sort=A","Dates=H","DateFormat=P","Fill=—","Direction=H","UseDPDF=Y")</f>
        <v>2500</v>
      </c>
      <c r="T85" s="13">
        <f>_xll.BDH("GILD US Equity","ARDR_TOTAL_LINE_OF_CREDIT","FQ1 2023","FQ1 2023","Currency=USD","Period=FQ","BEST_FPERIOD_OVERRIDE=FQ","FILING_STATUS=MR","SCALING_FORMAT=MLN","Sort=A","Dates=H","DateFormat=P","Fill=—","Direction=H","UseDPDF=Y")</f>
        <v>2500</v>
      </c>
      <c r="U85" s="13">
        <f>_xll.BDH("GILD US Equity","ARDR_TOTAL_LINE_OF_CREDIT","FQ2 2023","FQ2 2023","Currency=USD","Period=FQ","BEST_FPERIOD_OVERRIDE=FQ","FILING_STATUS=MR","SCALING_FORMAT=MLN","Sort=A","Dates=H","DateFormat=P","Fill=—","Direction=H","UseDPDF=Y")</f>
        <v>2500</v>
      </c>
      <c r="V85" s="13">
        <f>_xll.BDH("GILD US Equity","ARDR_TOTAL_LINE_OF_CREDIT","FQ3 2023","FQ3 2023","Currency=USD","Period=FQ","BEST_FPERIOD_OVERRIDE=FQ","FILING_STATUS=MR","SCALING_FORMAT=MLN","Sort=A","Dates=H","DateFormat=P","Fill=—","Direction=H","UseDPDF=Y")</f>
        <v>2500</v>
      </c>
      <c r="W85" s="13">
        <f>_xll.BDH("GILD US Equity","ARDR_TOTAL_LINE_OF_CREDIT","FQ4 2023","FQ4 2023","Currency=USD","Period=FQ","BEST_FPERIOD_OVERRIDE=FQ","FILING_STATUS=MR","SCALING_FORMAT=MLN","Sort=A","Dates=H","DateFormat=P","Fill=—","Direction=H","UseDPDF=Y")</f>
        <v>2500</v>
      </c>
      <c r="X85" s="13">
        <f>_xll.BDH("GILD US Equity","ARDR_TOTAL_LINE_OF_CREDIT","FQ1 2024","FQ1 2024","Currency=USD","Period=FQ","BEST_FPERIOD_OVERRIDE=FQ","FILING_STATUS=MR","SCALING_FORMAT=MLN","Sort=A","Dates=H","DateFormat=P","Fill=—","Direction=H","UseDPDF=Y")</f>
        <v>2500</v>
      </c>
      <c r="Y85" s="13">
        <f>_xll.BDH("GILD US Equity","ARDR_TOTAL_LINE_OF_CREDIT","FQ2 2024","FQ2 2024","Currency=USD","Period=FQ","BEST_FPERIOD_OVERRIDE=FQ","FILING_STATUS=MR","SCALING_FORMAT=MLN","Sort=A","Dates=H","DateFormat=P","Fill=—","Direction=H","UseDPDF=Y")</f>
        <v>2500</v>
      </c>
      <c r="Z85" s="13">
        <f>_xll.BDH("GILD US Equity","ARDR_TOTAL_LINE_OF_CREDIT","FQ3 2024","FQ3 2024","Currency=USD","Period=FQ","BEST_FPERIOD_OVERRIDE=FQ","FILING_STATUS=MR","SCALING_FORMAT=MLN","Sort=A","Dates=H","DateFormat=P","Fill=—","Direction=H","UseDPDF=Y")</f>
        <v>2500</v>
      </c>
      <c r="AA85" s="13">
        <f>_xll.BDH("GILD US Equity","ARDR_TOTAL_LINE_OF_CREDIT","FQ4 2024","FQ4 2024","Currency=USD","Period=FQ","BEST_FPERIOD_OVERRIDE=FQ","FILING_STATUS=MR","SCALING_FORMAT=MLN","Sort=A","Dates=H","DateFormat=P","Fill=—","Direction=H","UseDPDF=Y")</f>
        <v>2500</v>
      </c>
    </row>
    <row r="86" spans="1:27" x14ac:dyDescent="0.25">
      <c r="A86" s="10" t="s">
        <v>1033</v>
      </c>
      <c r="B86" s="10" t="s">
        <v>1034</v>
      </c>
      <c r="C86" s="13">
        <f>_xll.BDH("GILD US Equity","ARDR_TOTAL_AVAIL_LINE_OF_CREDIT","FQ4 2018","FQ4 2018","Currency=USD","Period=FQ","BEST_FPERIOD_OVERRIDE=FQ","FILING_STATUS=MR","SCALING_FORMAT=MLN","Sort=A","Dates=H","DateFormat=P","Fill=—","Direction=H","UseDPDF=Y")</f>
        <v>2500</v>
      </c>
      <c r="D86" s="13" t="str">
        <f>_xll.BDH("GILD US Equity","ARDR_TOTAL_AVAIL_LINE_OF_CREDIT","FQ1 2019","FQ1 2019","Currency=USD","Period=FQ","BEST_FPERIOD_OVERRIDE=FQ","FILING_STATUS=MR","SCALING_FORMAT=MLN","Sort=A","Dates=H","DateFormat=P","Fill=—","Direction=H","UseDPDF=Y")</f>
        <v>—</v>
      </c>
      <c r="E86" s="13" t="str">
        <f>_xll.BDH("GILD US Equity","ARDR_TOTAL_AVAIL_LINE_OF_CREDIT","FQ2 2019","FQ2 2019","Currency=USD","Period=FQ","BEST_FPERIOD_OVERRIDE=FQ","FILING_STATUS=MR","SCALING_FORMAT=MLN","Sort=A","Dates=H","DateFormat=P","Fill=—","Direction=H","UseDPDF=Y")</f>
        <v>—</v>
      </c>
      <c r="F86" s="13" t="str">
        <f>_xll.BDH("GILD US Equity","ARDR_TOTAL_AVAIL_LINE_OF_CREDIT","FQ3 2019","FQ3 2019","Currency=USD","Period=FQ","BEST_FPERIOD_OVERRIDE=FQ","FILING_STATUS=MR","SCALING_FORMAT=MLN","Sort=A","Dates=H","DateFormat=P","Fill=—","Direction=H","UseDPDF=Y")</f>
        <v>—</v>
      </c>
      <c r="G86" s="13">
        <f>_xll.BDH("GILD US Equity","ARDR_TOTAL_AVAIL_LINE_OF_CREDIT","FQ4 2019","FQ4 2019","Currency=USD","Period=FQ","BEST_FPERIOD_OVERRIDE=FQ","FILING_STATUS=MR","SCALING_FORMAT=MLN","Sort=A","Dates=H","DateFormat=P","Fill=—","Direction=H","UseDPDF=Y")</f>
        <v>2500</v>
      </c>
      <c r="H86" s="13">
        <f>_xll.BDH("GILD US Equity","ARDR_TOTAL_AVAIL_LINE_OF_CREDIT","FQ1 2020","FQ1 2020","Currency=USD","Period=FQ","BEST_FPERIOD_OVERRIDE=FQ","FILING_STATUS=MR","SCALING_FORMAT=MLN","Sort=A","Dates=H","DateFormat=P","Fill=—","Direction=H","UseDPDF=Y")</f>
        <v>2500</v>
      </c>
      <c r="I86" s="13">
        <f>_xll.BDH("GILD US Equity","ARDR_TOTAL_AVAIL_LINE_OF_CREDIT","FQ2 2020","FQ2 2020","Currency=USD","Period=FQ","BEST_FPERIOD_OVERRIDE=FQ","FILING_STATUS=MR","SCALING_FORMAT=MLN","Sort=A","Dates=H","DateFormat=P","Fill=—","Direction=H","UseDPDF=Y")</f>
        <v>2500</v>
      </c>
      <c r="J86" s="13">
        <f>_xll.BDH("GILD US Equity","ARDR_TOTAL_AVAIL_LINE_OF_CREDIT","FQ3 2020","FQ3 2020","Currency=USD","Period=FQ","BEST_FPERIOD_OVERRIDE=FQ","FILING_STATUS=MR","SCALING_FORMAT=MLN","Sort=A","Dates=H","DateFormat=P","Fill=—","Direction=H","UseDPDF=Y")</f>
        <v>2500</v>
      </c>
      <c r="K86" s="13">
        <f>_xll.BDH("GILD US Equity","ARDR_TOTAL_AVAIL_LINE_OF_CREDIT","FQ4 2020","FQ4 2020","Currency=USD","Period=FQ","BEST_FPERIOD_OVERRIDE=FQ","FILING_STATUS=MR","SCALING_FORMAT=MLN","Sort=A","Dates=H","DateFormat=P","Fill=—","Direction=H","UseDPDF=Y")</f>
        <v>2500</v>
      </c>
      <c r="L86" s="13">
        <f>_xll.BDH("GILD US Equity","ARDR_TOTAL_AVAIL_LINE_OF_CREDIT","FQ1 2021","FQ1 2021","Currency=USD","Period=FQ","BEST_FPERIOD_OVERRIDE=FQ","FILING_STATUS=MR","SCALING_FORMAT=MLN","Sort=A","Dates=H","DateFormat=P","Fill=—","Direction=H","UseDPDF=Y")</f>
        <v>2500</v>
      </c>
      <c r="M86" s="13">
        <f>_xll.BDH("GILD US Equity","ARDR_TOTAL_AVAIL_LINE_OF_CREDIT","FQ2 2021","FQ2 2021","Currency=USD","Period=FQ","BEST_FPERIOD_OVERRIDE=FQ","FILING_STATUS=MR","SCALING_FORMAT=MLN","Sort=A","Dates=H","DateFormat=P","Fill=—","Direction=H","UseDPDF=Y")</f>
        <v>2500</v>
      </c>
      <c r="N86" s="13">
        <f>_xll.BDH("GILD US Equity","ARDR_TOTAL_AVAIL_LINE_OF_CREDIT","FQ3 2021","FQ3 2021","Currency=USD","Period=FQ","BEST_FPERIOD_OVERRIDE=FQ","FILING_STATUS=MR","SCALING_FORMAT=MLN","Sort=A","Dates=H","DateFormat=P","Fill=—","Direction=H","UseDPDF=Y")</f>
        <v>2500</v>
      </c>
      <c r="O86" s="13">
        <f>_xll.BDH("GILD US Equity","ARDR_TOTAL_AVAIL_LINE_OF_CREDIT","FQ4 2021","FQ4 2021","Currency=USD","Period=FQ","BEST_FPERIOD_OVERRIDE=FQ","FILING_STATUS=MR","SCALING_FORMAT=MLN","Sort=A","Dates=H","DateFormat=P","Fill=—","Direction=H","UseDPDF=Y")</f>
        <v>2500</v>
      </c>
      <c r="P86" s="13">
        <f>_xll.BDH("GILD US Equity","ARDR_TOTAL_AVAIL_LINE_OF_CREDIT","FQ1 2022","FQ1 2022","Currency=USD","Period=FQ","BEST_FPERIOD_OVERRIDE=FQ","FILING_STATUS=MR","SCALING_FORMAT=MLN","Sort=A","Dates=H","DateFormat=P","Fill=—","Direction=H","UseDPDF=Y")</f>
        <v>2500</v>
      </c>
      <c r="Q86" s="13">
        <f>_xll.BDH("GILD US Equity","ARDR_TOTAL_AVAIL_LINE_OF_CREDIT","FQ2 2022","FQ2 2022","Currency=USD","Period=FQ","BEST_FPERIOD_OVERRIDE=FQ","FILING_STATUS=MR","SCALING_FORMAT=MLN","Sort=A","Dates=H","DateFormat=P","Fill=—","Direction=H","UseDPDF=Y")</f>
        <v>2500</v>
      </c>
      <c r="R86" s="13">
        <f>_xll.BDH("GILD US Equity","ARDR_TOTAL_AVAIL_LINE_OF_CREDIT","FQ3 2022","FQ3 2022","Currency=USD","Period=FQ","BEST_FPERIOD_OVERRIDE=FQ","FILING_STATUS=MR","SCALING_FORMAT=MLN","Sort=A","Dates=H","DateFormat=P","Fill=—","Direction=H","UseDPDF=Y")</f>
        <v>2500</v>
      </c>
      <c r="S86" s="13">
        <f>_xll.BDH("GILD US Equity","ARDR_TOTAL_AVAIL_LINE_OF_CREDIT","FQ4 2022","FQ4 2022","Currency=USD","Period=FQ","BEST_FPERIOD_OVERRIDE=FQ","FILING_STATUS=MR","SCALING_FORMAT=MLN","Sort=A","Dates=H","DateFormat=P","Fill=—","Direction=H","UseDPDF=Y")</f>
        <v>2500</v>
      </c>
      <c r="T86" s="13">
        <f>_xll.BDH("GILD US Equity","ARDR_TOTAL_AVAIL_LINE_OF_CREDIT","FQ1 2023","FQ1 2023","Currency=USD","Period=FQ","BEST_FPERIOD_OVERRIDE=FQ","FILING_STATUS=MR","SCALING_FORMAT=MLN","Sort=A","Dates=H","DateFormat=P","Fill=—","Direction=H","UseDPDF=Y")</f>
        <v>2500</v>
      </c>
      <c r="U86" s="13">
        <f>_xll.BDH("GILD US Equity","ARDR_TOTAL_AVAIL_LINE_OF_CREDIT","FQ2 2023","FQ2 2023","Currency=USD","Period=FQ","BEST_FPERIOD_OVERRIDE=FQ","FILING_STATUS=MR","SCALING_FORMAT=MLN","Sort=A","Dates=H","DateFormat=P","Fill=—","Direction=H","UseDPDF=Y")</f>
        <v>2500</v>
      </c>
      <c r="V86" s="13">
        <f>_xll.BDH("GILD US Equity","ARDR_TOTAL_AVAIL_LINE_OF_CREDIT","FQ3 2023","FQ3 2023","Currency=USD","Period=FQ","BEST_FPERIOD_OVERRIDE=FQ","FILING_STATUS=MR","SCALING_FORMAT=MLN","Sort=A","Dates=H","DateFormat=P","Fill=—","Direction=H","UseDPDF=Y")</f>
        <v>2500</v>
      </c>
      <c r="W86" s="13">
        <f>_xll.BDH("GILD US Equity","ARDR_TOTAL_AVAIL_LINE_OF_CREDIT","FQ4 2023","FQ4 2023","Currency=USD","Period=FQ","BEST_FPERIOD_OVERRIDE=FQ","FILING_STATUS=MR","SCALING_FORMAT=MLN","Sort=A","Dates=H","DateFormat=P","Fill=—","Direction=H","UseDPDF=Y")</f>
        <v>2500</v>
      </c>
      <c r="X86" s="13">
        <f>_xll.BDH("GILD US Equity","ARDR_TOTAL_AVAIL_LINE_OF_CREDIT","FQ1 2024","FQ1 2024","Currency=USD","Period=FQ","BEST_FPERIOD_OVERRIDE=FQ","FILING_STATUS=MR","SCALING_FORMAT=MLN","Sort=A","Dates=H","DateFormat=P","Fill=—","Direction=H","UseDPDF=Y")</f>
        <v>2500</v>
      </c>
      <c r="Y86" s="13">
        <f>_xll.BDH("GILD US Equity","ARDR_TOTAL_AVAIL_LINE_OF_CREDIT","FQ2 2024","FQ2 2024","Currency=USD","Period=FQ","BEST_FPERIOD_OVERRIDE=FQ","FILING_STATUS=MR","SCALING_FORMAT=MLN","Sort=A","Dates=H","DateFormat=P","Fill=—","Direction=H","UseDPDF=Y")</f>
        <v>2500</v>
      </c>
      <c r="Z86" s="13">
        <f>_xll.BDH("GILD US Equity","ARDR_TOTAL_AVAIL_LINE_OF_CREDIT","FQ3 2024","FQ3 2024","Currency=USD","Period=FQ","BEST_FPERIOD_OVERRIDE=FQ","FILING_STATUS=MR","SCALING_FORMAT=MLN","Sort=A","Dates=H","DateFormat=P","Fill=—","Direction=H","UseDPDF=Y")</f>
        <v>2500</v>
      </c>
      <c r="AA86" s="13">
        <f>_xll.BDH("GILD US Equity","ARDR_TOTAL_AVAIL_LINE_OF_CREDIT","FQ4 2024","FQ4 2024","Currency=USD","Period=FQ","BEST_FPERIOD_OVERRIDE=FQ","FILING_STATUS=MR","SCALING_FORMAT=MLN","Sort=A","Dates=H","DateFormat=P","Fill=—","Direction=H","UseDPDF=Y")</f>
        <v>2500</v>
      </c>
    </row>
    <row r="87" spans="1:27" x14ac:dyDescent="0.25">
      <c r="A87" s="10" t="s">
        <v>880</v>
      </c>
      <c r="B87" s="10" t="s">
        <v>1035</v>
      </c>
      <c r="C87" s="13">
        <f>_xll.BDH("GILD US Equity","ARDR_FUT_MIN_OPER_LEASE_OBLIG","FQ4 2018","FQ4 2018","Currency=USD","Period=FQ","BEST_FPERIOD_OVERRIDE=FQ","FILING_STATUS=MR","SCALING_FORMAT=MLN","Sort=A","Dates=H","DateFormat=P","Fill=—","Direction=H","UseDPDF=Y")</f>
        <v>574</v>
      </c>
      <c r="D87" s="13">
        <f>_xll.BDH("GILD US Equity","ARDR_FUT_MIN_OPER_LEASE_OBLIG","FQ1 2019","FQ1 2019","Currency=USD","Period=FQ","BEST_FPERIOD_OVERRIDE=FQ","FILING_STATUS=MR","SCALING_FORMAT=MLN","Sort=A","Dates=H","DateFormat=P","Fill=—","Direction=H","UseDPDF=Y")</f>
        <v>604</v>
      </c>
      <c r="E87" s="13">
        <f>_xll.BDH("GILD US Equity","ARDR_FUT_MIN_OPER_LEASE_OBLIG","FQ2 2019","FQ2 2019","Currency=USD","Period=FQ","BEST_FPERIOD_OVERRIDE=FQ","FILING_STATUS=MR","SCALING_FORMAT=MLN","Sort=A","Dates=H","DateFormat=P","Fill=—","Direction=H","UseDPDF=Y")</f>
        <v>663</v>
      </c>
      <c r="F87" s="13">
        <f>_xll.BDH("GILD US Equity","ARDR_FUT_MIN_OPER_LEASE_OBLIG","FQ3 2019","FQ3 2019","Currency=USD","Period=FQ","BEST_FPERIOD_OVERRIDE=FQ","FILING_STATUS=MR","SCALING_FORMAT=MLN","Sort=A","Dates=H","DateFormat=P","Fill=—","Direction=H","UseDPDF=Y")</f>
        <v>838</v>
      </c>
      <c r="G87" s="13">
        <f>_xll.BDH("GILD US Equity","ARDR_FUT_MIN_OPER_LEASE_OBLIG","FQ4 2019","FQ4 2019","Currency=USD","Period=FQ","BEST_FPERIOD_OVERRIDE=FQ","FILING_STATUS=MR","SCALING_FORMAT=MLN","Sort=A","Dates=H","DateFormat=P","Fill=—","Direction=H","UseDPDF=Y")</f>
        <v>850</v>
      </c>
      <c r="H87" s="13" t="str">
        <f>_xll.BDH("GILD US Equity","ARDR_FUT_MIN_OPER_LEASE_OBLIG","FQ1 2020","FQ1 2020","Currency=USD","Period=FQ","BEST_FPERIOD_OVERRIDE=FQ","FILING_STATUS=MR","SCALING_FORMAT=MLN","Sort=A","Dates=H","DateFormat=P","Fill=—","Direction=H","UseDPDF=Y")</f>
        <v>—</v>
      </c>
      <c r="I87" s="13" t="str">
        <f>_xll.BDH("GILD US Equity","ARDR_FUT_MIN_OPER_LEASE_OBLIG","FQ2 2020","FQ2 2020","Currency=USD","Period=FQ","BEST_FPERIOD_OVERRIDE=FQ","FILING_STATUS=MR","SCALING_FORMAT=MLN","Sort=A","Dates=H","DateFormat=P","Fill=—","Direction=H","UseDPDF=Y")</f>
        <v>—</v>
      </c>
      <c r="J87" s="13" t="str">
        <f>_xll.BDH("GILD US Equity","ARDR_FUT_MIN_OPER_LEASE_OBLIG","FQ3 2020","FQ3 2020","Currency=USD","Period=FQ","BEST_FPERIOD_OVERRIDE=FQ","FILING_STATUS=MR","SCALING_FORMAT=MLN","Sort=A","Dates=H","DateFormat=P","Fill=—","Direction=H","UseDPDF=Y")</f>
        <v>—</v>
      </c>
      <c r="K87" s="13">
        <f>_xll.BDH("GILD US Equity","ARDR_FUT_MIN_OPER_LEASE_OBLIG","FQ4 2020","FQ4 2020","Currency=USD","Period=FQ","BEST_FPERIOD_OVERRIDE=FQ","FILING_STATUS=MR","SCALING_FORMAT=MLN","Sort=A","Dates=H","DateFormat=P","Fill=—","Direction=H","UseDPDF=Y")</f>
        <v>828</v>
      </c>
      <c r="L87" s="13" t="str">
        <f>_xll.BDH("GILD US Equity","ARDR_FUT_MIN_OPER_LEASE_OBLIG","FQ1 2021","FQ1 2021","Currency=USD","Period=FQ","BEST_FPERIOD_OVERRIDE=FQ","FILING_STATUS=MR","SCALING_FORMAT=MLN","Sort=A","Dates=H","DateFormat=P","Fill=—","Direction=H","UseDPDF=Y")</f>
        <v>—</v>
      </c>
      <c r="M87" s="13" t="str">
        <f>_xll.BDH("GILD US Equity","ARDR_FUT_MIN_OPER_LEASE_OBLIG","FQ2 2021","FQ2 2021","Currency=USD","Period=FQ","BEST_FPERIOD_OVERRIDE=FQ","FILING_STATUS=MR","SCALING_FORMAT=MLN","Sort=A","Dates=H","DateFormat=P","Fill=—","Direction=H","UseDPDF=Y")</f>
        <v>—</v>
      </c>
      <c r="N87" s="13" t="str">
        <f>_xll.BDH("GILD US Equity","ARDR_FUT_MIN_OPER_LEASE_OBLIG","FQ3 2021","FQ3 2021","Currency=USD","Period=FQ","BEST_FPERIOD_OVERRIDE=FQ","FILING_STATUS=MR","SCALING_FORMAT=MLN","Sort=A","Dates=H","DateFormat=P","Fill=—","Direction=H","UseDPDF=Y")</f>
        <v>—</v>
      </c>
      <c r="O87" s="13">
        <f>_xll.BDH("GILD US Equity","ARDR_FUT_MIN_OPER_LEASE_OBLIG","FQ4 2021","FQ4 2021","Currency=USD","Period=FQ","BEST_FPERIOD_OVERRIDE=FQ","FILING_STATUS=MR","SCALING_FORMAT=MLN","Sort=A","Dates=H","DateFormat=P","Fill=—","Direction=H","UseDPDF=Y")</f>
        <v>677</v>
      </c>
      <c r="P87" s="13" t="str">
        <f>_xll.BDH("GILD US Equity","ARDR_FUT_MIN_OPER_LEASE_OBLIG","FQ1 2022","FQ1 2022","Currency=USD","Period=FQ","BEST_FPERIOD_OVERRIDE=FQ","FILING_STATUS=MR","SCALING_FORMAT=MLN","Sort=A","Dates=H","DateFormat=P","Fill=—","Direction=H","UseDPDF=Y")</f>
        <v>—</v>
      </c>
      <c r="Q87" s="13" t="str">
        <f>_xll.BDH("GILD US Equity","ARDR_FUT_MIN_OPER_LEASE_OBLIG","FQ2 2022","FQ2 2022","Currency=USD","Period=FQ","BEST_FPERIOD_OVERRIDE=FQ","FILING_STATUS=MR","SCALING_FORMAT=MLN","Sort=A","Dates=H","DateFormat=P","Fill=—","Direction=H","UseDPDF=Y")</f>
        <v>—</v>
      </c>
      <c r="R87" s="13" t="str">
        <f>_xll.BDH("GILD US Equity","ARDR_FUT_MIN_OPER_LEASE_OBLIG","FQ3 2022","FQ3 2022","Currency=USD","Period=FQ","BEST_FPERIOD_OVERRIDE=FQ","FILING_STATUS=MR","SCALING_FORMAT=MLN","Sort=A","Dates=H","DateFormat=P","Fill=—","Direction=H","UseDPDF=Y")</f>
        <v>—</v>
      </c>
      <c r="S87" s="13">
        <f>_xll.BDH("GILD US Equity","ARDR_FUT_MIN_OPER_LEASE_OBLIG","FQ4 2022","FQ4 2022","Currency=USD","Period=FQ","BEST_FPERIOD_OVERRIDE=FQ","FILING_STATUS=MR","SCALING_FORMAT=MLN","Sort=A","Dates=H","DateFormat=P","Fill=—","Direction=H","UseDPDF=Y")</f>
        <v>651</v>
      </c>
      <c r="T87" s="13" t="str">
        <f>_xll.BDH("GILD US Equity","ARDR_FUT_MIN_OPER_LEASE_OBLIG","FQ1 2023","FQ1 2023","Currency=USD","Period=FQ","BEST_FPERIOD_OVERRIDE=FQ","FILING_STATUS=MR","SCALING_FORMAT=MLN","Sort=A","Dates=H","DateFormat=P","Fill=—","Direction=H","UseDPDF=Y")</f>
        <v>—</v>
      </c>
      <c r="U87" s="13" t="str">
        <f>_xll.BDH("GILD US Equity","ARDR_FUT_MIN_OPER_LEASE_OBLIG","FQ2 2023","FQ2 2023","Currency=USD","Period=FQ","BEST_FPERIOD_OVERRIDE=FQ","FILING_STATUS=MR","SCALING_FORMAT=MLN","Sort=A","Dates=H","DateFormat=P","Fill=—","Direction=H","UseDPDF=Y")</f>
        <v>—</v>
      </c>
      <c r="V87" s="13" t="str">
        <f>_xll.BDH("GILD US Equity","ARDR_FUT_MIN_OPER_LEASE_OBLIG","FQ3 2023","FQ3 2023","Currency=USD","Period=FQ","BEST_FPERIOD_OVERRIDE=FQ","FILING_STATUS=MR","SCALING_FORMAT=MLN","Sort=A","Dates=H","DateFormat=P","Fill=—","Direction=H","UseDPDF=Y")</f>
        <v>—</v>
      </c>
      <c r="W87" s="13">
        <f>_xll.BDH("GILD US Equity","ARDR_FUT_MIN_OPER_LEASE_OBLIG","FQ4 2023","FQ4 2023","Currency=USD","Period=FQ","BEST_FPERIOD_OVERRIDE=FQ","FILING_STATUS=MR","SCALING_FORMAT=MLN","Sort=A","Dates=H","DateFormat=P","Fill=—","Direction=H","UseDPDF=Y")</f>
        <v>763</v>
      </c>
      <c r="X87" s="13" t="str">
        <f>_xll.BDH("GILD US Equity","ARDR_FUT_MIN_OPER_LEASE_OBLIG","FQ1 2024","FQ1 2024","Currency=USD","Period=FQ","BEST_FPERIOD_OVERRIDE=FQ","FILING_STATUS=MR","SCALING_FORMAT=MLN","Sort=A","Dates=H","DateFormat=P","Fill=—","Direction=H","UseDPDF=Y")</f>
        <v>—</v>
      </c>
      <c r="Y87" s="13" t="str">
        <f>_xll.BDH("GILD US Equity","ARDR_FUT_MIN_OPER_LEASE_OBLIG","FQ2 2024","FQ2 2024","Currency=USD","Period=FQ","BEST_FPERIOD_OVERRIDE=FQ","FILING_STATUS=MR","SCALING_FORMAT=MLN","Sort=A","Dates=H","DateFormat=P","Fill=—","Direction=H","UseDPDF=Y")</f>
        <v>—</v>
      </c>
      <c r="Z87" s="13" t="str">
        <f>_xll.BDH("GILD US Equity","ARDR_FUT_MIN_OPER_LEASE_OBLIG","FQ3 2024","FQ3 2024","Currency=USD","Period=FQ","BEST_FPERIOD_OVERRIDE=FQ","FILING_STATUS=MR","SCALING_FORMAT=MLN","Sort=A","Dates=H","DateFormat=P","Fill=—","Direction=H","UseDPDF=Y")</f>
        <v>—</v>
      </c>
      <c r="AA87" s="13">
        <f>_xll.BDH("GILD US Equity","ARDR_FUT_MIN_OPER_LEASE_OBLIG","FQ4 2024","FQ4 2024","Currency=USD","Period=FQ","BEST_FPERIOD_OVERRIDE=FQ","FILING_STATUS=MR","SCALING_FORMAT=MLN","Sort=A","Dates=H","DateFormat=P","Fill=—","Direction=H","UseDPDF=Y")</f>
        <v>698</v>
      </c>
    </row>
    <row r="88" spans="1:27" x14ac:dyDescent="0.25">
      <c r="A88" s="10" t="s">
        <v>1036</v>
      </c>
      <c r="B88" s="10" t="s">
        <v>1037</v>
      </c>
      <c r="C88" s="13">
        <f>_xll.BDH("GILD US Equity","ARDR_RENTAL_EXP_YR1","FQ4 2018","FQ4 2018","Currency=USD","Period=FQ","BEST_FPERIOD_OVERRIDE=FQ","FILING_STATUS=MR","SCALING_FORMAT=MLN","Sort=A","Dates=H","DateFormat=P","Fill=—","Direction=H","UseDPDF=Y")</f>
        <v>89</v>
      </c>
      <c r="D88" s="13">
        <f>_xll.BDH("GILD US Equity","ARDR_RENTAL_EXP_YR1","FQ1 2019","FQ1 2019","Currency=USD","Period=FQ","BEST_FPERIOD_OVERRIDE=FQ","FILING_STATUS=MR","SCALING_FORMAT=MLN","Sort=A","Dates=H","DateFormat=P","Fill=—","Direction=H","UseDPDF=Y")</f>
        <v>69</v>
      </c>
      <c r="E88" s="13">
        <f>_xll.BDH("GILD US Equity","ARDR_RENTAL_EXP_YR1","FQ2 2019","FQ2 2019","Currency=USD","Period=FQ","BEST_FPERIOD_OVERRIDE=FQ","FILING_STATUS=MR","SCALING_FORMAT=MLN","Sort=A","Dates=H","DateFormat=P","Fill=—","Direction=H","UseDPDF=Y")</f>
        <v>47</v>
      </c>
      <c r="F88" s="13">
        <f>_xll.BDH("GILD US Equity","ARDR_RENTAL_EXP_YR1","FQ3 2019","FQ3 2019","Currency=USD","Period=FQ","BEST_FPERIOD_OVERRIDE=FQ","FILING_STATUS=MR","SCALING_FORMAT=MLN","Sort=A","Dates=H","DateFormat=P","Fill=—","Direction=H","UseDPDF=Y")</f>
        <v>30</v>
      </c>
      <c r="G88" s="13">
        <f>_xll.BDH("GILD US Equity","ARDR_RENTAL_EXP_YR1","FQ4 2019","FQ4 2019","Currency=USD","Period=FQ","BEST_FPERIOD_OVERRIDE=FQ","FILING_STATUS=MR","SCALING_FORMAT=MLN","Sort=A","Dates=H","DateFormat=P","Fill=—","Direction=H","UseDPDF=Y")</f>
        <v>125</v>
      </c>
      <c r="H88" s="13" t="str">
        <f>_xll.BDH("GILD US Equity","ARDR_RENTAL_EXP_YR1","FQ1 2020","FQ1 2020","Currency=USD","Period=FQ","BEST_FPERIOD_OVERRIDE=FQ","FILING_STATUS=MR","SCALING_FORMAT=MLN","Sort=A","Dates=H","DateFormat=P","Fill=—","Direction=H","UseDPDF=Y")</f>
        <v>—</v>
      </c>
      <c r="I88" s="13" t="str">
        <f>_xll.BDH("GILD US Equity","ARDR_RENTAL_EXP_YR1","FQ2 2020","FQ2 2020","Currency=USD","Period=FQ","BEST_FPERIOD_OVERRIDE=FQ","FILING_STATUS=MR","SCALING_FORMAT=MLN","Sort=A","Dates=H","DateFormat=P","Fill=—","Direction=H","UseDPDF=Y")</f>
        <v>—</v>
      </c>
      <c r="J88" s="13" t="str">
        <f>_xll.BDH("GILD US Equity","ARDR_RENTAL_EXP_YR1","FQ3 2020","FQ3 2020","Currency=USD","Period=FQ","BEST_FPERIOD_OVERRIDE=FQ","FILING_STATUS=MR","SCALING_FORMAT=MLN","Sort=A","Dates=H","DateFormat=P","Fill=—","Direction=H","UseDPDF=Y")</f>
        <v>—</v>
      </c>
      <c r="K88" s="13">
        <f>_xll.BDH("GILD US Equity","ARDR_RENTAL_EXP_YR1","FQ4 2020","FQ4 2020","Currency=USD","Period=FQ","BEST_FPERIOD_OVERRIDE=FQ","FILING_STATUS=MR","SCALING_FORMAT=MLN","Sort=A","Dates=H","DateFormat=P","Fill=—","Direction=H","UseDPDF=Y")</f>
        <v>127</v>
      </c>
      <c r="L88" s="13" t="str">
        <f>_xll.BDH("GILD US Equity","ARDR_RENTAL_EXP_YR1","FQ1 2021","FQ1 2021","Currency=USD","Period=FQ","BEST_FPERIOD_OVERRIDE=FQ","FILING_STATUS=MR","SCALING_FORMAT=MLN","Sort=A","Dates=H","DateFormat=P","Fill=—","Direction=H","UseDPDF=Y")</f>
        <v>—</v>
      </c>
      <c r="M88" s="13" t="str">
        <f>_xll.BDH("GILD US Equity","ARDR_RENTAL_EXP_YR1","FQ2 2021","FQ2 2021","Currency=USD","Period=FQ","BEST_FPERIOD_OVERRIDE=FQ","FILING_STATUS=MR","SCALING_FORMAT=MLN","Sort=A","Dates=H","DateFormat=P","Fill=—","Direction=H","UseDPDF=Y")</f>
        <v>—</v>
      </c>
      <c r="N88" s="13" t="str">
        <f>_xll.BDH("GILD US Equity","ARDR_RENTAL_EXP_YR1","FQ3 2021","FQ3 2021","Currency=USD","Period=FQ","BEST_FPERIOD_OVERRIDE=FQ","FILING_STATUS=MR","SCALING_FORMAT=MLN","Sort=A","Dates=H","DateFormat=P","Fill=—","Direction=H","UseDPDF=Y")</f>
        <v>—</v>
      </c>
      <c r="O88" s="13">
        <f>_xll.BDH("GILD US Equity","ARDR_RENTAL_EXP_YR1","FQ4 2021","FQ4 2021","Currency=USD","Period=FQ","BEST_FPERIOD_OVERRIDE=FQ","FILING_STATUS=MR","SCALING_FORMAT=MLN","Sort=A","Dates=H","DateFormat=P","Fill=—","Direction=H","UseDPDF=Y")</f>
        <v>117</v>
      </c>
      <c r="P88" s="13" t="str">
        <f>_xll.BDH("GILD US Equity","ARDR_RENTAL_EXP_YR1","FQ1 2022","FQ1 2022","Currency=USD","Period=FQ","BEST_FPERIOD_OVERRIDE=FQ","FILING_STATUS=MR","SCALING_FORMAT=MLN","Sort=A","Dates=H","DateFormat=P","Fill=—","Direction=H","UseDPDF=Y")</f>
        <v>—</v>
      </c>
      <c r="Q88" s="13" t="str">
        <f>_xll.BDH("GILD US Equity","ARDR_RENTAL_EXP_YR1","FQ2 2022","FQ2 2022","Currency=USD","Period=FQ","BEST_FPERIOD_OVERRIDE=FQ","FILING_STATUS=MR","SCALING_FORMAT=MLN","Sort=A","Dates=H","DateFormat=P","Fill=—","Direction=H","UseDPDF=Y")</f>
        <v>—</v>
      </c>
      <c r="R88" s="13" t="str">
        <f>_xll.BDH("GILD US Equity","ARDR_RENTAL_EXP_YR1","FQ3 2022","FQ3 2022","Currency=USD","Period=FQ","BEST_FPERIOD_OVERRIDE=FQ","FILING_STATUS=MR","SCALING_FORMAT=MLN","Sort=A","Dates=H","DateFormat=P","Fill=—","Direction=H","UseDPDF=Y")</f>
        <v>—</v>
      </c>
      <c r="S88" s="13">
        <f>_xll.BDH("GILD US Equity","ARDR_RENTAL_EXP_YR1","FQ4 2022","FQ4 2022","Currency=USD","Period=FQ","BEST_FPERIOD_OVERRIDE=FQ","FILING_STATUS=MR","SCALING_FORMAT=MLN","Sort=A","Dates=H","DateFormat=P","Fill=—","Direction=H","UseDPDF=Y")</f>
        <v>117</v>
      </c>
      <c r="T88" s="13" t="str">
        <f>_xll.BDH("GILD US Equity","ARDR_RENTAL_EXP_YR1","FQ1 2023","FQ1 2023","Currency=USD","Period=FQ","BEST_FPERIOD_OVERRIDE=FQ","FILING_STATUS=MR","SCALING_FORMAT=MLN","Sort=A","Dates=H","DateFormat=P","Fill=—","Direction=H","UseDPDF=Y")</f>
        <v>—</v>
      </c>
      <c r="U88" s="13" t="str">
        <f>_xll.BDH("GILD US Equity","ARDR_RENTAL_EXP_YR1","FQ2 2023","FQ2 2023","Currency=USD","Period=FQ","BEST_FPERIOD_OVERRIDE=FQ","FILING_STATUS=MR","SCALING_FORMAT=MLN","Sort=A","Dates=H","DateFormat=P","Fill=—","Direction=H","UseDPDF=Y")</f>
        <v>—</v>
      </c>
      <c r="V88" s="13" t="str">
        <f>_xll.BDH("GILD US Equity","ARDR_RENTAL_EXP_YR1","FQ3 2023","FQ3 2023","Currency=USD","Period=FQ","BEST_FPERIOD_OVERRIDE=FQ","FILING_STATUS=MR","SCALING_FORMAT=MLN","Sort=A","Dates=H","DateFormat=P","Fill=—","Direction=H","UseDPDF=Y")</f>
        <v>—</v>
      </c>
      <c r="W88" s="13">
        <f>_xll.BDH("GILD US Equity","ARDR_RENTAL_EXP_YR1","FQ4 2023","FQ4 2023","Currency=USD","Period=FQ","BEST_FPERIOD_OVERRIDE=FQ","FILING_STATUS=MR","SCALING_FORMAT=MLN","Sort=A","Dates=H","DateFormat=P","Fill=—","Direction=H","UseDPDF=Y")</f>
        <v>143</v>
      </c>
      <c r="X88" s="13" t="str">
        <f>_xll.BDH("GILD US Equity","ARDR_RENTAL_EXP_YR1","FQ1 2024","FQ1 2024","Currency=USD","Period=FQ","BEST_FPERIOD_OVERRIDE=FQ","FILING_STATUS=MR","SCALING_FORMAT=MLN","Sort=A","Dates=H","DateFormat=P","Fill=—","Direction=H","UseDPDF=Y")</f>
        <v>—</v>
      </c>
      <c r="Y88" s="13" t="str">
        <f>_xll.BDH("GILD US Equity","ARDR_RENTAL_EXP_YR1","FQ2 2024","FQ2 2024","Currency=USD","Period=FQ","BEST_FPERIOD_OVERRIDE=FQ","FILING_STATUS=MR","SCALING_FORMAT=MLN","Sort=A","Dates=H","DateFormat=P","Fill=—","Direction=H","UseDPDF=Y")</f>
        <v>—</v>
      </c>
      <c r="Z88" s="13" t="str">
        <f>_xll.BDH("GILD US Equity","ARDR_RENTAL_EXP_YR1","FQ3 2024","FQ3 2024","Currency=USD","Period=FQ","BEST_FPERIOD_OVERRIDE=FQ","FILING_STATUS=MR","SCALING_FORMAT=MLN","Sort=A","Dates=H","DateFormat=P","Fill=—","Direction=H","UseDPDF=Y")</f>
        <v>—</v>
      </c>
      <c r="AA88" s="13">
        <f>_xll.BDH("GILD US Equity","ARDR_RENTAL_EXP_YR1","FQ4 2024","FQ4 2024","Currency=USD","Period=FQ","BEST_FPERIOD_OVERRIDE=FQ","FILING_STATUS=MR","SCALING_FORMAT=MLN","Sort=A","Dates=H","DateFormat=P","Fill=—","Direction=H","UseDPDF=Y")</f>
        <v>132</v>
      </c>
    </row>
    <row r="89" spans="1:27" x14ac:dyDescent="0.25">
      <c r="A89" s="10" t="s">
        <v>1038</v>
      </c>
      <c r="B89" s="10" t="s">
        <v>1039</v>
      </c>
      <c r="C89" s="13">
        <f>_xll.BDH("GILD US Equity","ARDR_RENTAL_EXP_YR2","FQ4 2018","FQ4 2018","Currency=USD","Period=FQ","BEST_FPERIOD_OVERRIDE=FQ","FILING_STATUS=MR","SCALING_FORMAT=MLN","Sort=A","Dates=H","DateFormat=P","Fill=—","Direction=H","UseDPDF=Y")</f>
        <v>78</v>
      </c>
      <c r="D89" s="13">
        <f>_xll.BDH("GILD US Equity","ARDR_RENTAL_EXP_YR2","FQ1 2019","FQ1 2019","Currency=USD","Period=FQ","BEST_FPERIOD_OVERRIDE=FQ","FILING_STATUS=MR","SCALING_FORMAT=MLN","Sort=A","Dates=H","DateFormat=P","Fill=—","Direction=H","UseDPDF=Y")</f>
        <v>84</v>
      </c>
      <c r="E89" s="13">
        <f>_xll.BDH("GILD US Equity","ARDR_RENTAL_EXP_YR2","FQ2 2019","FQ2 2019","Currency=USD","Period=FQ","BEST_FPERIOD_OVERRIDE=FQ","FILING_STATUS=MR","SCALING_FORMAT=MLN","Sort=A","Dates=H","DateFormat=P","Fill=—","Direction=H","UseDPDF=Y")</f>
        <v>87</v>
      </c>
      <c r="F89" s="13">
        <f>_xll.BDH("GILD US Equity","ARDR_RENTAL_EXP_YR2","FQ3 2019","FQ3 2019","Currency=USD","Period=FQ","BEST_FPERIOD_OVERRIDE=FQ","FILING_STATUS=MR","SCALING_FORMAT=MLN","Sort=A","Dates=H","DateFormat=P","Fill=—","Direction=H","UseDPDF=Y")</f>
        <v>114</v>
      </c>
      <c r="G89" s="13">
        <f>_xll.BDH("GILD US Equity","ARDR_RENTAL_EXP_YR2","FQ4 2019","FQ4 2019","Currency=USD","Period=FQ","BEST_FPERIOD_OVERRIDE=FQ","FILING_STATUS=MR","SCALING_FORMAT=MLN","Sort=A","Dates=H","DateFormat=P","Fill=—","Direction=H","UseDPDF=Y")</f>
        <v>117</v>
      </c>
      <c r="H89" s="13" t="str">
        <f>_xll.BDH("GILD US Equity","ARDR_RENTAL_EXP_YR2","FQ1 2020","FQ1 2020","Currency=USD","Period=FQ","BEST_FPERIOD_OVERRIDE=FQ","FILING_STATUS=MR","SCALING_FORMAT=MLN","Sort=A","Dates=H","DateFormat=P","Fill=—","Direction=H","UseDPDF=Y")</f>
        <v>—</v>
      </c>
      <c r="I89" s="13" t="str">
        <f>_xll.BDH("GILD US Equity","ARDR_RENTAL_EXP_YR2","FQ2 2020","FQ2 2020","Currency=USD","Period=FQ","BEST_FPERIOD_OVERRIDE=FQ","FILING_STATUS=MR","SCALING_FORMAT=MLN","Sort=A","Dates=H","DateFormat=P","Fill=—","Direction=H","UseDPDF=Y")</f>
        <v>—</v>
      </c>
      <c r="J89" s="13" t="str">
        <f>_xll.BDH("GILD US Equity","ARDR_RENTAL_EXP_YR2","FQ3 2020","FQ3 2020","Currency=USD","Period=FQ","BEST_FPERIOD_OVERRIDE=FQ","FILING_STATUS=MR","SCALING_FORMAT=MLN","Sort=A","Dates=H","DateFormat=P","Fill=—","Direction=H","UseDPDF=Y")</f>
        <v>—</v>
      </c>
      <c r="K89" s="13">
        <f>_xll.BDH("GILD US Equity","ARDR_RENTAL_EXP_YR2","FQ4 2020","FQ4 2020","Currency=USD","Period=FQ","BEST_FPERIOD_OVERRIDE=FQ","FILING_STATUS=MR","SCALING_FORMAT=MLN","Sort=A","Dates=H","DateFormat=P","Fill=—","Direction=H","UseDPDF=Y")</f>
        <v>122</v>
      </c>
      <c r="L89" s="13" t="str">
        <f>_xll.BDH("GILD US Equity","ARDR_RENTAL_EXP_YR2","FQ1 2021","FQ1 2021","Currency=USD","Period=FQ","BEST_FPERIOD_OVERRIDE=FQ","FILING_STATUS=MR","SCALING_FORMAT=MLN","Sort=A","Dates=H","DateFormat=P","Fill=—","Direction=H","UseDPDF=Y")</f>
        <v>—</v>
      </c>
      <c r="M89" s="13" t="str">
        <f>_xll.BDH("GILD US Equity","ARDR_RENTAL_EXP_YR2","FQ2 2021","FQ2 2021","Currency=USD","Period=FQ","BEST_FPERIOD_OVERRIDE=FQ","FILING_STATUS=MR","SCALING_FORMAT=MLN","Sort=A","Dates=H","DateFormat=P","Fill=—","Direction=H","UseDPDF=Y")</f>
        <v>—</v>
      </c>
      <c r="N89" s="13" t="str">
        <f>_xll.BDH("GILD US Equity","ARDR_RENTAL_EXP_YR2","FQ3 2021","FQ3 2021","Currency=USD","Period=FQ","BEST_FPERIOD_OVERRIDE=FQ","FILING_STATUS=MR","SCALING_FORMAT=MLN","Sort=A","Dates=H","DateFormat=P","Fill=—","Direction=H","UseDPDF=Y")</f>
        <v>—</v>
      </c>
      <c r="O89" s="13">
        <f>_xll.BDH("GILD US Equity","ARDR_RENTAL_EXP_YR2","FQ4 2021","FQ4 2021","Currency=USD","Period=FQ","BEST_FPERIOD_OVERRIDE=FQ","FILING_STATUS=MR","SCALING_FORMAT=MLN","Sort=A","Dates=H","DateFormat=P","Fill=—","Direction=H","UseDPDF=Y")</f>
        <v>108</v>
      </c>
      <c r="P89" s="13" t="str">
        <f>_xll.BDH("GILD US Equity","ARDR_RENTAL_EXP_YR2","FQ1 2022","FQ1 2022","Currency=USD","Period=FQ","BEST_FPERIOD_OVERRIDE=FQ","FILING_STATUS=MR","SCALING_FORMAT=MLN","Sort=A","Dates=H","DateFormat=P","Fill=—","Direction=H","UseDPDF=Y")</f>
        <v>—</v>
      </c>
      <c r="Q89" s="13" t="str">
        <f>_xll.BDH("GILD US Equity","ARDR_RENTAL_EXP_YR2","FQ2 2022","FQ2 2022","Currency=USD","Period=FQ","BEST_FPERIOD_OVERRIDE=FQ","FILING_STATUS=MR","SCALING_FORMAT=MLN","Sort=A","Dates=H","DateFormat=P","Fill=—","Direction=H","UseDPDF=Y")</f>
        <v>—</v>
      </c>
      <c r="R89" s="13" t="str">
        <f>_xll.BDH("GILD US Equity","ARDR_RENTAL_EXP_YR2","FQ3 2022","FQ3 2022","Currency=USD","Period=FQ","BEST_FPERIOD_OVERRIDE=FQ","FILING_STATUS=MR","SCALING_FORMAT=MLN","Sort=A","Dates=H","DateFormat=P","Fill=—","Direction=H","UseDPDF=Y")</f>
        <v>—</v>
      </c>
      <c r="S89" s="13">
        <f>_xll.BDH("GILD US Equity","ARDR_RENTAL_EXP_YR2","FQ4 2022","FQ4 2022","Currency=USD","Period=FQ","BEST_FPERIOD_OVERRIDE=FQ","FILING_STATUS=MR","SCALING_FORMAT=MLN","Sort=A","Dates=H","DateFormat=P","Fill=—","Direction=H","UseDPDF=Y")</f>
        <v>111</v>
      </c>
      <c r="T89" s="13" t="str">
        <f>_xll.BDH("GILD US Equity","ARDR_RENTAL_EXP_YR2","FQ1 2023","FQ1 2023","Currency=USD","Period=FQ","BEST_FPERIOD_OVERRIDE=FQ","FILING_STATUS=MR","SCALING_FORMAT=MLN","Sort=A","Dates=H","DateFormat=P","Fill=—","Direction=H","UseDPDF=Y")</f>
        <v>—</v>
      </c>
      <c r="U89" s="13" t="str">
        <f>_xll.BDH("GILD US Equity","ARDR_RENTAL_EXP_YR2","FQ2 2023","FQ2 2023","Currency=USD","Period=FQ","BEST_FPERIOD_OVERRIDE=FQ","FILING_STATUS=MR","SCALING_FORMAT=MLN","Sort=A","Dates=H","DateFormat=P","Fill=—","Direction=H","UseDPDF=Y")</f>
        <v>—</v>
      </c>
      <c r="V89" s="13" t="str">
        <f>_xll.BDH("GILD US Equity","ARDR_RENTAL_EXP_YR2","FQ3 2023","FQ3 2023","Currency=USD","Period=FQ","BEST_FPERIOD_OVERRIDE=FQ","FILING_STATUS=MR","SCALING_FORMAT=MLN","Sort=A","Dates=H","DateFormat=P","Fill=—","Direction=H","UseDPDF=Y")</f>
        <v>—</v>
      </c>
      <c r="W89" s="13">
        <f>_xll.BDH("GILD US Equity","ARDR_RENTAL_EXP_YR2","FQ4 2023","FQ4 2023","Currency=USD","Period=FQ","BEST_FPERIOD_OVERRIDE=FQ","FILING_STATUS=MR","SCALING_FORMAT=MLN","Sort=A","Dates=H","DateFormat=P","Fill=—","Direction=H","UseDPDF=Y")</f>
        <v>123</v>
      </c>
      <c r="X89" s="13" t="str">
        <f>_xll.BDH("GILD US Equity","ARDR_RENTAL_EXP_YR2","FQ1 2024","FQ1 2024","Currency=USD","Period=FQ","BEST_FPERIOD_OVERRIDE=FQ","FILING_STATUS=MR","SCALING_FORMAT=MLN","Sort=A","Dates=H","DateFormat=P","Fill=—","Direction=H","UseDPDF=Y")</f>
        <v>—</v>
      </c>
      <c r="Y89" s="13" t="str">
        <f>_xll.BDH("GILD US Equity","ARDR_RENTAL_EXP_YR2","FQ2 2024","FQ2 2024","Currency=USD","Period=FQ","BEST_FPERIOD_OVERRIDE=FQ","FILING_STATUS=MR","SCALING_FORMAT=MLN","Sort=A","Dates=H","DateFormat=P","Fill=—","Direction=H","UseDPDF=Y")</f>
        <v>—</v>
      </c>
      <c r="Z89" s="13" t="str">
        <f>_xll.BDH("GILD US Equity","ARDR_RENTAL_EXP_YR2","FQ3 2024","FQ3 2024","Currency=USD","Period=FQ","BEST_FPERIOD_OVERRIDE=FQ","FILING_STATUS=MR","SCALING_FORMAT=MLN","Sort=A","Dates=H","DateFormat=P","Fill=—","Direction=H","UseDPDF=Y")</f>
        <v>—</v>
      </c>
      <c r="AA89" s="13">
        <f>_xll.BDH("GILD US Equity","ARDR_RENTAL_EXP_YR2","FQ4 2024","FQ4 2024","Currency=USD","Period=FQ","BEST_FPERIOD_OVERRIDE=FQ","FILING_STATUS=MR","SCALING_FORMAT=MLN","Sort=A","Dates=H","DateFormat=P","Fill=—","Direction=H","UseDPDF=Y")</f>
        <v>109</v>
      </c>
    </row>
    <row r="90" spans="1:27" x14ac:dyDescent="0.25">
      <c r="A90" s="10" t="s">
        <v>1040</v>
      </c>
      <c r="B90" s="10" t="s">
        <v>1041</v>
      </c>
      <c r="C90" s="13">
        <f>_xll.BDH("GILD US Equity","ARDR_RENTAL_EXP_YR3","FQ4 2018","FQ4 2018","Currency=USD","Period=FQ","BEST_FPERIOD_OVERRIDE=FQ","FILING_STATUS=MR","SCALING_FORMAT=MLN","Sort=A","Dates=H","DateFormat=P","Fill=—","Direction=H","UseDPDF=Y")</f>
        <v>66</v>
      </c>
      <c r="D90" s="13">
        <f>_xll.BDH("GILD US Equity","ARDR_RENTAL_EXP_YR3","FQ1 2019","FQ1 2019","Currency=USD","Period=FQ","BEST_FPERIOD_OVERRIDE=FQ","FILING_STATUS=MR","SCALING_FORMAT=MLN","Sort=A","Dates=H","DateFormat=P","Fill=—","Direction=H","UseDPDF=Y")</f>
        <v>72</v>
      </c>
      <c r="E90" s="13">
        <f>_xll.BDH("GILD US Equity","ARDR_RENTAL_EXP_YR3","FQ2 2019","FQ2 2019","Currency=USD","Period=FQ","BEST_FPERIOD_OVERRIDE=FQ","FILING_STATUS=MR","SCALING_FORMAT=MLN","Sort=A","Dates=H","DateFormat=P","Fill=—","Direction=H","UseDPDF=Y")</f>
        <v>83</v>
      </c>
      <c r="F90" s="13">
        <f>_xll.BDH("GILD US Equity","ARDR_RENTAL_EXP_YR3","FQ3 2019","FQ3 2019","Currency=USD","Period=FQ","BEST_FPERIOD_OVERRIDE=FQ","FILING_STATUS=MR","SCALING_FORMAT=MLN","Sort=A","Dates=H","DateFormat=P","Fill=—","Direction=H","UseDPDF=Y")</f>
        <v>111</v>
      </c>
      <c r="G90" s="13">
        <f>_xll.BDH("GILD US Equity","ARDR_RENTAL_EXP_YR3","FQ4 2019","FQ4 2019","Currency=USD","Period=FQ","BEST_FPERIOD_OVERRIDE=FQ","FILING_STATUS=MR","SCALING_FORMAT=MLN","Sort=A","Dates=H","DateFormat=P","Fill=—","Direction=H","UseDPDF=Y")</f>
        <v>109</v>
      </c>
      <c r="H90" s="13" t="str">
        <f>_xll.BDH("GILD US Equity","ARDR_RENTAL_EXP_YR3","FQ1 2020","FQ1 2020","Currency=USD","Period=FQ","BEST_FPERIOD_OVERRIDE=FQ","FILING_STATUS=MR","SCALING_FORMAT=MLN","Sort=A","Dates=H","DateFormat=P","Fill=—","Direction=H","UseDPDF=Y")</f>
        <v>—</v>
      </c>
      <c r="I90" s="13" t="str">
        <f>_xll.BDH("GILD US Equity","ARDR_RENTAL_EXP_YR3","FQ2 2020","FQ2 2020","Currency=USD","Period=FQ","BEST_FPERIOD_OVERRIDE=FQ","FILING_STATUS=MR","SCALING_FORMAT=MLN","Sort=A","Dates=H","DateFormat=P","Fill=—","Direction=H","UseDPDF=Y")</f>
        <v>—</v>
      </c>
      <c r="J90" s="13" t="str">
        <f>_xll.BDH("GILD US Equity","ARDR_RENTAL_EXP_YR3","FQ3 2020","FQ3 2020","Currency=USD","Period=FQ","BEST_FPERIOD_OVERRIDE=FQ","FILING_STATUS=MR","SCALING_FORMAT=MLN","Sort=A","Dates=H","DateFormat=P","Fill=—","Direction=H","UseDPDF=Y")</f>
        <v>—</v>
      </c>
      <c r="K90" s="13">
        <f>_xll.BDH("GILD US Equity","ARDR_RENTAL_EXP_YR3","FQ4 2020","FQ4 2020","Currency=USD","Period=FQ","BEST_FPERIOD_OVERRIDE=FQ","FILING_STATUS=MR","SCALING_FORMAT=MLN","Sort=A","Dates=H","DateFormat=P","Fill=—","Direction=H","UseDPDF=Y")</f>
        <v>112</v>
      </c>
      <c r="L90" s="13" t="str">
        <f>_xll.BDH("GILD US Equity","ARDR_RENTAL_EXP_YR3","FQ1 2021","FQ1 2021","Currency=USD","Period=FQ","BEST_FPERIOD_OVERRIDE=FQ","FILING_STATUS=MR","SCALING_FORMAT=MLN","Sort=A","Dates=H","DateFormat=P","Fill=—","Direction=H","UseDPDF=Y")</f>
        <v>—</v>
      </c>
      <c r="M90" s="13" t="str">
        <f>_xll.BDH("GILD US Equity","ARDR_RENTAL_EXP_YR3","FQ2 2021","FQ2 2021","Currency=USD","Period=FQ","BEST_FPERIOD_OVERRIDE=FQ","FILING_STATUS=MR","SCALING_FORMAT=MLN","Sort=A","Dates=H","DateFormat=P","Fill=—","Direction=H","UseDPDF=Y")</f>
        <v>—</v>
      </c>
      <c r="N90" s="13" t="str">
        <f>_xll.BDH("GILD US Equity","ARDR_RENTAL_EXP_YR3","FQ3 2021","FQ3 2021","Currency=USD","Period=FQ","BEST_FPERIOD_OVERRIDE=FQ","FILING_STATUS=MR","SCALING_FORMAT=MLN","Sort=A","Dates=H","DateFormat=P","Fill=—","Direction=H","UseDPDF=Y")</f>
        <v>—</v>
      </c>
      <c r="O90" s="13">
        <f>_xll.BDH("GILD US Equity","ARDR_RENTAL_EXP_YR3","FQ4 2021","FQ4 2021","Currency=USD","Period=FQ","BEST_FPERIOD_OVERRIDE=FQ","FILING_STATUS=MR","SCALING_FORMAT=MLN","Sort=A","Dates=H","DateFormat=P","Fill=—","Direction=H","UseDPDF=Y")</f>
        <v>92</v>
      </c>
      <c r="P90" s="13" t="str">
        <f>_xll.BDH("GILD US Equity","ARDR_RENTAL_EXP_YR3","FQ1 2022","FQ1 2022","Currency=USD","Period=FQ","BEST_FPERIOD_OVERRIDE=FQ","FILING_STATUS=MR","SCALING_FORMAT=MLN","Sort=A","Dates=H","DateFormat=P","Fill=—","Direction=H","UseDPDF=Y")</f>
        <v>—</v>
      </c>
      <c r="Q90" s="13" t="str">
        <f>_xll.BDH("GILD US Equity","ARDR_RENTAL_EXP_YR3","FQ2 2022","FQ2 2022","Currency=USD","Period=FQ","BEST_FPERIOD_OVERRIDE=FQ","FILING_STATUS=MR","SCALING_FORMAT=MLN","Sort=A","Dates=H","DateFormat=P","Fill=—","Direction=H","UseDPDF=Y")</f>
        <v>—</v>
      </c>
      <c r="R90" s="13" t="str">
        <f>_xll.BDH("GILD US Equity","ARDR_RENTAL_EXP_YR3","FQ3 2022","FQ3 2022","Currency=USD","Period=FQ","BEST_FPERIOD_OVERRIDE=FQ","FILING_STATUS=MR","SCALING_FORMAT=MLN","Sort=A","Dates=H","DateFormat=P","Fill=—","Direction=H","UseDPDF=Y")</f>
        <v>—</v>
      </c>
      <c r="S90" s="13">
        <f>_xll.BDH("GILD US Equity","ARDR_RENTAL_EXP_YR3","FQ4 2022","FQ4 2022","Currency=USD","Period=FQ","BEST_FPERIOD_OVERRIDE=FQ","FILING_STATUS=MR","SCALING_FORMAT=MLN","Sort=A","Dates=H","DateFormat=P","Fill=—","Direction=H","UseDPDF=Y")</f>
        <v>79</v>
      </c>
      <c r="T90" s="13" t="str">
        <f>_xll.BDH("GILD US Equity","ARDR_RENTAL_EXP_YR3","FQ1 2023","FQ1 2023","Currency=USD","Period=FQ","BEST_FPERIOD_OVERRIDE=FQ","FILING_STATUS=MR","SCALING_FORMAT=MLN","Sort=A","Dates=H","DateFormat=P","Fill=—","Direction=H","UseDPDF=Y")</f>
        <v>—</v>
      </c>
      <c r="U90" s="13" t="str">
        <f>_xll.BDH("GILD US Equity","ARDR_RENTAL_EXP_YR3","FQ2 2023","FQ2 2023","Currency=USD","Period=FQ","BEST_FPERIOD_OVERRIDE=FQ","FILING_STATUS=MR","SCALING_FORMAT=MLN","Sort=A","Dates=H","DateFormat=P","Fill=—","Direction=H","UseDPDF=Y")</f>
        <v>—</v>
      </c>
      <c r="V90" s="13" t="str">
        <f>_xll.BDH("GILD US Equity","ARDR_RENTAL_EXP_YR3","FQ3 2023","FQ3 2023","Currency=USD","Period=FQ","BEST_FPERIOD_OVERRIDE=FQ","FILING_STATUS=MR","SCALING_FORMAT=MLN","Sort=A","Dates=H","DateFormat=P","Fill=—","Direction=H","UseDPDF=Y")</f>
        <v>—</v>
      </c>
      <c r="W90" s="13">
        <f>_xll.BDH("GILD US Equity","ARDR_RENTAL_EXP_YR3","FQ4 2023","FQ4 2023","Currency=USD","Period=FQ","BEST_FPERIOD_OVERRIDE=FQ","FILING_STATUS=MR","SCALING_FORMAT=MLN","Sort=A","Dates=H","DateFormat=P","Fill=—","Direction=H","UseDPDF=Y")</f>
        <v>95</v>
      </c>
      <c r="X90" s="13" t="str">
        <f>_xll.BDH("GILD US Equity","ARDR_RENTAL_EXP_YR3","FQ1 2024","FQ1 2024","Currency=USD","Period=FQ","BEST_FPERIOD_OVERRIDE=FQ","FILING_STATUS=MR","SCALING_FORMAT=MLN","Sort=A","Dates=H","DateFormat=P","Fill=—","Direction=H","UseDPDF=Y")</f>
        <v>—</v>
      </c>
      <c r="Y90" s="13" t="str">
        <f>_xll.BDH("GILD US Equity","ARDR_RENTAL_EXP_YR3","FQ2 2024","FQ2 2024","Currency=USD","Period=FQ","BEST_FPERIOD_OVERRIDE=FQ","FILING_STATUS=MR","SCALING_FORMAT=MLN","Sort=A","Dates=H","DateFormat=P","Fill=—","Direction=H","UseDPDF=Y")</f>
        <v>—</v>
      </c>
      <c r="Z90" s="13" t="str">
        <f>_xll.BDH("GILD US Equity","ARDR_RENTAL_EXP_YR3","FQ3 2024","FQ3 2024","Currency=USD","Period=FQ","BEST_FPERIOD_OVERRIDE=FQ","FILING_STATUS=MR","SCALING_FORMAT=MLN","Sort=A","Dates=H","DateFormat=P","Fill=—","Direction=H","UseDPDF=Y")</f>
        <v>—</v>
      </c>
      <c r="AA90" s="13">
        <f>_xll.BDH("GILD US Equity","ARDR_RENTAL_EXP_YR3","FQ4 2024","FQ4 2024","Currency=USD","Period=FQ","BEST_FPERIOD_OVERRIDE=FQ","FILING_STATUS=MR","SCALING_FORMAT=MLN","Sort=A","Dates=H","DateFormat=P","Fill=—","Direction=H","UseDPDF=Y")</f>
        <v>88</v>
      </c>
    </row>
    <row r="91" spans="1:27" x14ac:dyDescent="0.25">
      <c r="A91" s="10" t="s">
        <v>1042</v>
      </c>
      <c r="B91" s="10" t="s">
        <v>1043</v>
      </c>
      <c r="C91" s="13">
        <f>_xll.BDH("GILD US Equity","ARDR_RENTAL_EXP_YR4","FQ4 2018","FQ4 2018","Currency=USD","Period=FQ","BEST_FPERIOD_OVERRIDE=FQ","FILING_STATUS=MR","SCALING_FORMAT=MLN","Sort=A","Dates=H","DateFormat=P","Fill=—","Direction=H","UseDPDF=Y")</f>
        <v>60</v>
      </c>
      <c r="D91" s="13">
        <f>_xll.BDH("GILD US Equity","ARDR_RENTAL_EXP_YR4","FQ1 2019","FQ1 2019","Currency=USD","Period=FQ","BEST_FPERIOD_OVERRIDE=FQ","FILING_STATUS=MR","SCALING_FORMAT=MLN","Sort=A","Dates=H","DateFormat=P","Fill=—","Direction=H","UseDPDF=Y")</f>
        <v>65</v>
      </c>
      <c r="E91" s="13">
        <f>_xll.BDH("GILD US Equity","ARDR_RENTAL_EXP_YR4","FQ2 2019","FQ2 2019","Currency=USD","Period=FQ","BEST_FPERIOD_OVERRIDE=FQ","FILING_STATUS=MR","SCALING_FORMAT=MLN","Sort=A","Dates=H","DateFormat=P","Fill=—","Direction=H","UseDPDF=Y")</f>
        <v>75</v>
      </c>
      <c r="F91" s="13">
        <f>_xll.BDH("GILD US Equity","ARDR_RENTAL_EXP_YR4","FQ3 2019","FQ3 2019","Currency=USD","Period=FQ","BEST_FPERIOD_OVERRIDE=FQ","FILING_STATUS=MR","SCALING_FORMAT=MLN","Sort=A","Dates=H","DateFormat=P","Fill=—","Direction=H","UseDPDF=Y")</f>
        <v>103</v>
      </c>
      <c r="G91" s="13">
        <f>_xll.BDH("GILD US Equity","ARDR_RENTAL_EXP_YR4","FQ4 2019","FQ4 2019","Currency=USD","Period=FQ","BEST_FPERIOD_OVERRIDE=FQ","FILING_STATUS=MR","SCALING_FORMAT=MLN","Sort=A","Dates=H","DateFormat=P","Fill=—","Direction=H","UseDPDF=Y")</f>
        <v>100</v>
      </c>
      <c r="H91" s="13" t="str">
        <f>_xll.BDH("GILD US Equity","ARDR_RENTAL_EXP_YR4","FQ1 2020","FQ1 2020","Currency=USD","Period=FQ","BEST_FPERIOD_OVERRIDE=FQ","FILING_STATUS=MR","SCALING_FORMAT=MLN","Sort=A","Dates=H","DateFormat=P","Fill=—","Direction=H","UseDPDF=Y")</f>
        <v>—</v>
      </c>
      <c r="I91" s="13" t="str">
        <f>_xll.BDH("GILD US Equity","ARDR_RENTAL_EXP_YR4","FQ2 2020","FQ2 2020","Currency=USD","Period=FQ","BEST_FPERIOD_OVERRIDE=FQ","FILING_STATUS=MR","SCALING_FORMAT=MLN","Sort=A","Dates=H","DateFormat=P","Fill=—","Direction=H","UseDPDF=Y")</f>
        <v>—</v>
      </c>
      <c r="J91" s="13" t="str">
        <f>_xll.BDH("GILD US Equity","ARDR_RENTAL_EXP_YR4","FQ3 2020","FQ3 2020","Currency=USD","Period=FQ","BEST_FPERIOD_OVERRIDE=FQ","FILING_STATUS=MR","SCALING_FORMAT=MLN","Sort=A","Dates=H","DateFormat=P","Fill=—","Direction=H","UseDPDF=Y")</f>
        <v>—</v>
      </c>
      <c r="K91" s="13">
        <f>_xll.BDH("GILD US Equity","ARDR_RENTAL_EXP_YR4","FQ4 2020","FQ4 2020","Currency=USD","Period=FQ","BEST_FPERIOD_OVERRIDE=FQ","FILING_STATUS=MR","SCALING_FORMAT=MLN","Sort=A","Dates=H","DateFormat=P","Fill=—","Direction=H","UseDPDF=Y")</f>
        <v>97</v>
      </c>
      <c r="L91" s="13" t="str">
        <f>_xll.BDH("GILD US Equity","ARDR_RENTAL_EXP_YR4","FQ1 2021","FQ1 2021","Currency=USD","Period=FQ","BEST_FPERIOD_OVERRIDE=FQ","FILING_STATUS=MR","SCALING_FORMAT=MLN","Sort=A","Dates=H","DateFormat=P","Fill=—","Direction=H","UseDPDF=Y")</f>
        <v>—</v>
      </c>
      <c r="M91" s="13" t="str">
        <f>_xll.BDH("GILD US Equity","ARDR_RENTAL_EXP_YR4","FQ2 2021","FQ2 2021","Currency=USD","Period=FQ","BEST_FPERIOD_OVERRIDE=FQ","FILING_STATUS=MR","SCALING_FORMAT=MLN","Sort=A","Dates=H","DateFormat=P","Fill=—","Direction=H","UseDPDF=Y")</f>
        <v>—</v>
      </c>
      <c r="N91" s="13" t="str">
        <f>_xll.BDH("GILD US Equity","ARDR_RENTAL_EXP_YR4","FQ3 2021","FQ3 2021","Currency=USD","Period=FQ","BEST_FPERIOD_OVERRIDE=FQ","FILING_STATUS=MR","SCALING_FORMAT=MLN","Sort=A","Dates=H","DateFormat=P","Fill=—","Direction=H","UseDPDF=Y")</f>
        <v>—</v>
      </c>
      <c r="O91" s="13">
        <f>_xll.BDH("GILD US Equity","ARDR_RENTAL_EXP_YR4","FQ4 2021","FQ4 2021","Currency=USD","Period=FQ","BEST_FPERIOD_OVERRIDE=FQ","FILING_STATUS=MR","SCALING_FORMAT=MLN","Sort=A","Dates=H","DateFormat=P","Fill=—","Direction=H","UseDPDF=Y")</f>
        <v>61</v>
      </c>
      <c r="P91" s="13" t="str">
        <f>_xll.BDH("GILD US Equity","ARDR_RENTAL_EXP_YR4","FQ1 2022","FQ1 2022","Currency=USD","Period=FQ","BEST_FPERIOD_OVERRIDE=FQ","FILING_STATUS=MR","SCALING_FORMAT=MLN","Sort=A","Dates=H","DateFormat=P","Fill=—","Direction=H","UseDPDF=Y")</f>
        <v>—</v>
      </c>
      <c r="Q91" s="13" t="str">
        <f>_xll.BDH("GILD US Equity","ARDR_RENTAL_EXP_YR4","FQ2 2022","FQ2 2022","Currency=USD","Period=FQ","BEST_FPERIOD_OVERRIDE=FQ","FILING_STATUS=MR","SCALING_FORMAT=MLN","Sort=A","Dates=H","DateFormat=P","Fill=—","Direction=H","UseDPDF=Y")</f>
        <v>—</v>
      </c>
      <c r="R91" s="13" t="str">
        <f>_xll.BDH("GILD US Equity","ARDR_RENTAL_EXP_YR4","FQ3 2022","FQ3 2022","Currency=USD","Period=FQ","BEST_FPERIOD_OVERRIDE=FQ","FILING_STATUS=MR","SCALING_FORMAT=MLN","Sort=A","Dates=H","DateFormat=P","Fill=—","Direction=H","UseDPDF=Y")</f>
        <v>—</v>
      </c>
      <c r="S91" s="13">
        <f>_xll.BDH("GILD US Equity","ARDR_RENTAL_EXP_YR4","FQ4 2022","FQ4 2022","Currency=USD","Period=FQ","BEST_FPERIOD_OVERRIDE=FQ","FILING_STATUS=MR","SCALING_FORMAT=MLN","Sort=A","Dates=H","DateFormat=P","Fill=—","Direction=H","UseDPDF=Y")</f>
        <v>56</v>
      </c>
      <c r="T91" s="13" t="str">
        <f>_xll.BDH("GILD US Equity","ARDR_RENTAL_EXP_YR4","FQ1 2023","FQ1 2023","Currency=USD","Period=FQ","BEST_FPERIOD_OVERRIDE=FQ","FILING_STATUS=MR","SCALING_FORMAT=MLN","Sort=A","Dates=H","DateFormat=P","Fill=—","Direction=H","UseDPDF=Y")</f>
        <v>—</v>
      </c>
      <c r="U91" s="13" t="str">
        <f>_xll.BDH("GILD US Equity","ARDR_RENTAL_EXP_YR4","FQ2 2023","FQ2 2023","Currency=USD","Period=FQ","BEST_FPERIOD_OVERRIDE=FQ","FILING_STATUS=MR","SCALING_FORMAT=MLN","Sort=A","Dates=H","DateFormat=P","Fill=—","Direction=H","UseDPDF=Y")</f>
        <v>—</v>
      </c>
      <c r="V91" s="13" t="str">
        <f>_xll.BDH("GILD US Equity","ARDR_RENTAL_EXP_YR4","FQ3 2023","FQ3 2023","Currency=USD","Period=FQ","BEST_FPERIOD_OVERRIDE=FQ","FILING_STATUS=MR","SCALING_FORMAT=MLN","Sort=A","Dates=H","DateFormat=P","Fill=—","Direction=H","UseDPDF=Y")</f>
        <v>—</v>
      </c>
      <c r="W91" s="13">
        <f>_xll.BDH("GILD US Equity","ARDR_RENTAL_EXP_YR4","FQ4 2023","FQ4 2023","Currency=USD","Period=FQ","BEST_FPERIOD_OVERRIDE=FQ","FILING_STATUS=MR","SCALING_FORMAT=MLN","Sort=A","Dates=H","DateFormat=P","Fill=—","Direction=H","UseDPDF=Y")</f>
        <v>76</v>
      </c>
      <c r="X91" s="13" t="str">
        <f>_xll.BDH("GILD US Equity","ARDR_RENTAL_EXP_YR4","FQ1 2024","FQ1 2024","Currency=USD","Period=FQ","BEST_FPERIOD_OVERRIDE=FQ","FILING_STATUS=MR","SCALING_FORMAT=MLN","Sort=A","Dates=H","DateFormat=P","Fill=—","Direction=H","UseDPDF=Y")</f>
        <v>—</v>
      </c>
      <c r="Y91" s="13" t="str">
        <f>_xll.BDH("GILD US Equity","ARDR_RENTAL_EXP_YR4","FQ2 2024","FQ2 2024","Currency=USD","Period=FQ","BEST_FPERIOD_OVERRIDE=FQ","FILING_STATUS=MR","SCALING_FORMAT=MLN","Sort=A","Dates=H","DateFormat=P","Fill=—","Direction=H","UseDPDF=Y")</f>
        <v>—</v>
      </c>
      <c r="Z91" s="13" t="str">
        <f>_xll.BDH("GILD US Equity","ARDR_RENTAL_EXP_YR4","FQ3 2024","FQ3 2024","Currency=USD","Period=FQ","BEST_FPERIOD_OVERRIDE=FQ","FILING_STATUS=MR","SCALING_FORMAT=MLN","Sort=A","Dates=H","DateFormat=P","Fill=—","Direction=H","UseDPDF=Y")</f>
        <v>—</v>
      </c>
      <c r="AA91" s="13">
        <f>_xll.BDH("GILD US Equity","ARDR_RENTAL_EXP_YR4","FQ4 2024","FQ4 2024","Currency=USD","Period=FQ","BEST_FPERIOD_OVERRIDE=FQ","FILING_STATUS=MR","SCALING_FORMAT=MLN","Sort=A","Dates=H","DateFormat=P","Fill=—","Direction=H","UseDPDF=Y")</f>
        <v>77</v>
      </c>
    </row>
    <row r="92" spans="1:27" x14ac:dyDescent="0.25">
      <c r="A92" s="10" t="s">
        <v>1044</v>
      </c>
      <c r="B92" s="10" t="s">
        <v>1045</v>
      </c>
      <c r="C92" s="13">
        <f>_xll.BDH("GILD US Equity","ARDR_RENTAL_EXP_YR5","FQ4 2018","FQ4 2018","Currency=USD","Period=FQ","BEST_FPERIOD_OVERRIDE=FQ","FILING_STATUS=MR","SCALING_FORMAT=MLN","Sort=A","Dates=H","DateFormat=P","Fill=—","Direction=H","UseDPDF=Y")</f>
        <v>52</v>
      </c>
      <c r="D92" s="13">
        <f>_xll.BDH("GILD US Equity","ARDR_RENTAL_EXP_YR5","FQ1 2019","FQ1 2019","Currency=USD","Period=FQ","BEST_FPERIOD_OVERRIDE=FQ","FILING_STATUS=MR","SCALING_FORMAT=MLN","Sort=A","Dates=H","DateFormat=P","Fill=—","Direction=H","UseDPDF=Y")</f>
        <v>57</v>
      </c>
      <c r="E92" s="13">
        <f>_xll.BDH("GILD US Equity","ARDR_RENTAL_EXP_YR5","FQ2 2019","FQ2 2019","Currency=USD","Period=FQ","BEST_FPERIOD_OVERRIDE=FQ","FILING_STATUS=MR","SCALING_FORMAT=MLN","Sort=A","Dates=H","DateFormat=P","Fill=—","Direction=H","UseDPDF=Y")</f>
        <v>66</v>
      </c>
      <c r="F92" s="13">
        <f>_xll.BDH("GILD US Equity","ARDR_RENTAL_EXP_YR5","FQ3 2019","FQ3 2019","Currency=USD","Period=FQ","BEST_FPERIOD_OVERRIDE=FQ","FILING_STATUS=MR","SCALING_FORMAT=MLN","Sort=A","Dates=H","DateFormat=P","Fill=—","Direction=H","UseDPDF=Y")</f>
        <v>94</v>
      </c>
      <c r="G92" s="13">
        <f>_xll.BDH("GILD US Equity","ARDR_RENTAL_EXP_YR5","FQ4 2019","FQ4 2019","Currency=USD","Period=FQ","BEST_FPERIOD_OVERRIDE=FQ","FILING_STATUS=MR","SCALING_FORMAT=MLN","Sort=A","Dates=H","DateFormat=P","Fill=—","Direction=H","UseDPDF=Y")</f>
        <v>87</v>
      </c>
      <c r="H92" s="13" t="str">
        <f>_xll.BDH("GILD US Equity","ARDR_RENTAL_EXP_YR5","FQ1 2020","FQ1 2020","Currency=USD","Period=FQ","BEST_FPERIOD_OVERRIDE=FQ","FILING_STATUS=MR","SCALING_FORMAT=MLN","Sort=A","Dates=H","DateFormat=P","Fill=—","Direction=H","UseDPDF=Y")</f>
        <v>—</v>
      </c>
      <c r="I92" s="13" t="str">
        <f>_xll.BDH("GILD US Equity","ARDR_RENTAL_EXP_YR5","FQ2 2020","FQ2 2020","Currency=USD","Period=FQ","BEST_FPERIOD_OVERRIDE=FQ","FILING_STATUS=MR","SCALING_FORMAT=MLN","Sort=A","Dates=H","DateFormat=P","Fill=—","Direction=H","UseDPDF=Y")</f>
        <v>—</v>
      </c>
      <c r="J92" s="13" t="str">
        <f>_xll.BDH("GILD US Equity","ARDR_RENTAL_EXP_YR5","FQ3 2020","FQ3 2020","Currency=USD","Period=FQ","BEST_FPERIOD_OVERRIDE=FQ","FILING_STATUS=MR","SCALING_FORMAT=MLN","Sort=A","Dates=H","DateFormat=P","Fill=—","Direction=H","UseDPDF=Y")</f>
        <v>—</v>
      </c>
      <c r="K92" s="13">
        <f>_xll.BDH("GILD US Equity","ARDR_RENTAL_EXP_YR5","FQ4 2020","FQ4 2020","Currency=USD","Period=FQ","BEST_FPERIOD_OVERRIDE=FQ","FILING_STATUS=MR","SCALING_FORMAT=MLN","Sort=A","Dates=H","DateFormat=P","Fill=—","Direction=H","UseDPDF=Y")</f>
        <v>70</v>
      </c>
      <c r="L92" s="13" t="str">
        <f>_xll.BDH("GILD US Equity","ARDR_RENTAL_EXP_YR5","FQ1 2021","FQ1 2021","Currency=USD","Period=FQ","BEST_FPERIOD_OVERRIDE=FQ","FILING_STATUS=MR","SCALING_FORMAT=MLN","Sort=A","Dates=H","DateFormat=P","Fill=—","Direction=H","UseDPDF=Y")</f>
        <v>—</v>
      </c>
      <c r="M92" s="13" t="str">
        <f>_xll.BDH("GILD US Equity","ARDR_RENTAL_EXP_YR5","FQ2 2021","FQ2 2021","Currency=USD","Period=FQ","BEST_FPERIOD_OVERRIDE=FQ","FILING_STATUS=MR","SCALING_FORMAT=MLN","Sort=A","Dates=H","DateFormat=P","Fill=—","Direction=H","UseDPDF=Y")</f>
        <v>—</v>
      </c>
      <c r="N92" s="13" t="str">
        <f>_xll.BDH("GILD US Equity","ARDR_RENTAL_EXP_YR5","FQ3 2021","FQ3 2021","Currency=USD","Period=FQ","BEST_FPERIOD_OVERRIDE=FQ","FILING_STATUS=MR","SCALING_FORMAT=MLN","Sort=A","Dates=H","DateFormat=P","Fill=—","Direction=H","UseDPDF=Y")</f>
        <v>—</v>
      </c>
      <c r="O92" s="13">
        <f>_xll.BDH("GILD US Equity","ARDR_RENTAL_EXP_YR5","FQ4 2021","FQ4 2021","Currency=USD","Period=FQ","BEST_FPERIOD_OVERRIDE=FQ","FILING_STATUS=MR","SCALING_FORMAT=MLN","Sort=A","Dates=H","DateFormat=P","Fill=—","Direction=H","UseDPDF=Y")</f>
        <v>50</v>
      </c>
      <c r="P92" s="13" t="str">
        <f>_xll.BDH("GILD US Equity","ARDR_RENTAL_EXP_YR5","FQ1 2022","FQ1 2022","Currency=USD","Period=FQ","BEST_FPERIOD_OVERRIDE=FQ","FILING_STATUS=MR","SCALING_FORMAT=MLN","Sort=A","Dates=H","DateFormat=P","Fill=—","Direction=H","UseDPDF=Y")</f>
        <v>—</v>
      </c>
      <c r="Q92" s="13" t="str">
        <f>_xll.BDH("GILD US Equity","ARDR_RENTAL_EXP_YR5","FQ2 2022","FQ2 2022","Currency=USD","Period=FQ","BEST_FPERIOD_OVERRIDE=FQ","FILING_STATUS=MR","SCALING_FORMAT=MLN","Sort=A","Dates=H","DateFormat=P","Fill=—","Direction=H","UseDPDF=Y")</f>
        <v>—</v>
      </c>
      <c r="R92" s="13" t="str">
        <f>_xll.BDH("GILD US Equity","ARDR_RENTAL_EXP_YR5","FQ3 2022","FQ3 2022","Currency=USD","Period=FQ","BEST_FPERIOD_OVERRIDE=FQ","FILING_STATUS=MR","SCALING_FORMAT=MLN","Sort=A","Dates=H","DateFormat=P","Fill=—","Direction=H","UseDPDF=Y")</f>
        <v>—</v>
      </c>
      <c r="S92" s="13">
        <f>_xll.BDH("GILD US Equity","ARDR_RENTAL_EXP_YR5","FQ4 2022","FQ4 2022","Currency=USD","Period=FQ","BEST_FPERIOD_OVERRIDE=FQ","FILING_STATUS=MR","SCALING_FORMAT=MLN","Sort=A","Dates=H","DateFormat=P","Fill=—","Direction=H","UseDPDF=Y")</f>
        <v>52</v>
      </c>
      <c r="T92" s="13" t="str">
        <f>_xll.BDH("GILD US Equity","ARDR_RENTAL_EXP_YR5","FQ1 2023","FQ1 2023","Currency=USD","Period=FQ","BEST_FPERIOD_OVERRIDE=FQ","FILING_STATUS=MR","SCALING_FORMAT=MLN","Sort=A","Dates=H","DateFormat=P","Fill=—","Direction=H","UseDPDF=Y")</f>
        <v>—</v>
      </c>
      <c r="U92" s="13" t="str">
        <f>_xll.BDH("GILD US Equity","ARDR_RENTAL_EXP_YR5","FQ2 2023","FQ2 2023","Currency=USD","Period=FQ","BEST_FPERIOD_OVERRIDE=FQ","FILING_STATUS=MR","SCALING_FORMAT=MLN","Sort=A","Dates=H","DateFormat=P","Fill=—","Direction=H","UseDPDF=Y")</f>
        <v>—</v>
      </c>
      <c r="V92" s="13" t="str">
        <f>_xll.BDH("GILD US Equity","ARDR_RENTAL_EXP_YR5","FQ3 2023","FQ3 2023","Currency=USD","Period=FQ","BEST_FPERIOD_OVERRIDE=FQ","FILING_STATUS=MR","SCALING_FORMAT=MLN","Sort=A","Dates=H","DateFormat=P","Fill=—","Direction=H","UseDPDF=Y")</f>
        <v>—</v>
      </c>
      <c r="W92" s="13">
        <f>_xll.BDH("GILD US Equity","ARDR_RENTAL_EXP_YR5","FQ4 2023","FQ4 2023","Currency=USD","Period=FQ","BEST_FPERIOD_OVERRIDE=FQ","FILING_STATUS=MR","SCALING_FORMAT=MLN","Sort=A","Dates=H","DateFormat=P","Fill=—","Direction=H","UseDPDF=Y")</f>
        <v>70</v>
      </c>
      <c r="X92" s="13" t="str">
        <f>_xll.BDH("GILD US Equity","ARDR_RENTAL_EXP_YR5","FQ1 2024","FQ1 2024","Currency=USD","Period=FQ","BEST_FPERIOD_OVERRIDE=FQ","FILING_STATUS=MR","SCALING_FORMAT=MLN","Sort=A","Dates=H","DateFormat=P","Fill=—","Direction=H","UseDPDF=Y")</f>
        <v>—</v>
      </c>
      <c r="Y92" s="13" t="str">
        <f>_xll.BDH("GILD US Equity","ARDR_RENTAL_EXP_YR5","FQ2 2024","FQ2 2024","Currency=USD","Period=FQ","BEST_FPERIOD_OVERRIDE=FQ","FILING_STATUS=MR","SCALING_FORMAT=MLN","Sort=A","Dates=H","DateFormat=P","Fill=—","Direction=H","UseDPDF=Y")</f>
        <v>—</v>
      </c>
      <c r="Z92" s="13" t="str">
        <f>_xll.BDH("GILD US Equity","ARDR_RENTAL_EXP_YR5","FQ3 2024","FQ3 2024","Currency=USD","Period=FQ","BEST_FPERIOD_OVERRIDE=FQ","FILING_STATUS=MR","SCALING_FORMAT=MLN","Sort=A","Dates=H","DateFormat=P","Fill=—","Direction=H","UseDPDF=Y")</f>
        <v>—</v>
      </c>
      <c r="AA92" s="13">
        <f>_xll.BDH("GILD US Equity","ARDR_RENTAL_EXP_YR5","FQ4 2024","FQ4 2024","Currency=USD","Period=FQ","BEST_FPERIOD_OVERRIDE=FQ","FILING_STATUS=MR","SCALING_FORMAT=MLN","Sort=A","Dates=H","DateFormat=P","Fill=—","Direction=H","UseDPDF=Y")</f>
        <v>64</v>
      </c>
    </row>
    <row r="93" spans="1:27" x14ac:dyDescent="0.25">
      <c r="A93" s="10" t="s">
        <v>1046</v>
      </c>
      <c r="B93" s="10" t="s">
        <v>1047</v>
      </c>
      <c r="C93" s="13">
        <f>_xll.BDH("GILD US Equity","ARDR_RENTAL_EXP_BEYOND_YR5","FQ4 2018","FQ4 2018","Currency=USD","Period=FQ","BEST_FPERIOD_OVERRIDE=FQ","FILING_STATUS=MR","SCALING_FORMAT=MLN","Sort=A","Dates=H","DateFormat=P","Fill=—","Direction=H","UseDPDF=Y")</f>
        <v>229</v>
      </c>
      <c r="D93" s="13">
        <f>_xll.BDH("GILD US Equity","ARDR_RENTAL_EXP_BEYOND_YR5","FQ1 2019","FQ1 2019","Currency=USD","Period=FQ","BEST_FPERIOD_OVERRIDE=FQ","FILING_STATUS=MR","SCALING_FORMAT=MLN","Sort=A","Dates=H","DateFormat=P","Fill=—","Direction=H","UseDPDF=Y")</f>
        <v>257</v>
      </c>
      <c r="E93" s="13">
        <f>_xll.BDH("GILD US Equity","ARDR_RENTAL_EXP_BEYOND_YR5","FQ2 2019","FQ2 2019","Currency=USD","Period=FQ","BEST_FPERIOD_OVERRIDE=FQ","FILING_STATUS=MR","SCALING_FORMAT=MLN","Sort=A","Dates=H","DateFormat=P","Fill=—","Direction=H","UseDPDF=Y")</f>
        <v>305</v>
      </c>
      <c r="F93" s="13">
        <f>_xll.BDH("GILD US Equity","ARDR_RENTAL_EXP_BEYOND_YR5","FQ3 2019","FQ3 2019","Currency=USD","Period=FQ","BEST_FPERIOD_OVERRIDE=FQ","FILING_STATUS=MR","SCALING_FORMAT=MLN","Sort=A","Dates=H","DateFormat=P","Fill=—","Direction=H","UseDPDF=Y")</f>
        <v>386</v>
      </c>
      <c r="G93" s="13">
        <f>_xll.BDH("GILD US Equity","ARDR_RENTAL_EXP_BEYOND_YR5","FQ4 2019","FQ4 2019","Currency=USD","Period=FQ","BEST_FPERIOD_OVERRIDE=FQ","FILING_STATUS=MR","SCALING_FORMAT=MLN","Sort=A","Dates=H","DateFormat=P","Fill=—","Direction=H","UseDPDF=Y")</f>
        <v>312</v>
      </c>
      <c r="H93" s="13" t="str">
        <f>_xll.BDH("GILD US Equity","ARDR_RENTAL_EXP_BEYOND_YR5","FQ1 2020","FQ1 2020","Currency=USD","Period=FQ","BEST_FPERIOD_OVERRIDE=FQ","FILING_STATUS=MR","SCALING_FORMAT=MLN","Sort=A","Dates=H","DateFormat=P","Fill=—","Direction=H","UseDPDF=Y")</f>
        <v>—</v>
      </c>
      <c r="I93" s="13" t="str">
        <f>_xll.BDH("GILD US Equity","ARDR_RENTAL_EXP_BEYOND_YR5","FQ2 2020","FQ2 2020","Currency=USD","Period=FQ","BEST_FPERIOD_OVERRIDE=FQ","FILING_STATUS=MR","SCALING_FORMAT=MLN","Sort=A","Dates=H","DateFormat=P","Fill=—","Direction=H","UseDPDF=Y")</f>
        <v>—</v>
      </c>
      <c r="J93" s="13" t="str">
        <f>_xll.BDH("GILD US Equity","ARDR_RENTAL_EXP_BEYOND_YR5","FQ3 2020","FQ3 2020","Currency=USD","Period=FQ","BEST_FPERIOD_OVERRIDE=FQ","FILING_STATUS=MR","SCALING_FORMAT=MLN","Sort=A","Dates=H","DateFormat=P","Fill=—","Direction=H","UseDPDF=Y")</f>
        <v>—</v>
      </c>
      <c r="K93" s="13">
        <f>_xll.BDH("GILD US Equity","ARDR_RENTAL_EXP_BEYOND_YR5","FQ4 2020","FQ4 2020","Currency=USD","Period=FQ","BEST_FPERIOD_OVERRIDE=FQ","FILING_STATUS=MR","SCALING_FORMAT=MLN","Sort=A","Dates=H","DateFormat=P","Fill=—","Direction=H","UseDPDF=Y")</f>
        <v>300</v>
      </c>
      <c r="L93" s="13" t="str">
        <f>_xll.BDH("GILD US Equity","ARDR_RENTAL_EXP_BEYOND_YR5","FQ1 2021","FQ1 2021","Currency=USD","Period=FQ","BEST_FPERIOD_OVERRIDE=FQ","FILING_STATUS=MR","SCALING_FORMAT=MLN","Sort=A","Dates=H","DateFormat=P","Fill=—","Direction=H","UseDPDF=Y")</f>
        <v>—</v>
      </c>
      <c r="M93" s="13" t="str">
        <f>_xll.BDH("GILD US Equity","ARDR_RENTAL_EXP_BEYOND_YR5","FQ2 2021","FQ2 2021","Currency=USD","Period=FQ","BEST_FPERIOD_OVERRIDE=FQ","FILING_STATUS=MR","SCALING_FORMAT=MLN","Sort=A","Dates=H","DateFormat=P","Fill=—","Direction=H","UseDPDF=Y")</f>
        <v>—</v>
      </c>
      <c r="N93" s="13" t="str">
        <f>_xll.BDH("GILD US Equity","ARDR_RENTAL_EXP_BEYOND_YR5","FQ3 2021","FQ3 2021","Currency=USD","Period=FQ","BEST_FPERIOD_OVERRIDE=FQ","FILING_STATUS=MR","SCALING_FORMAT=MLN","Sort=A","Dates=H","DateFormat=P","Fill=—","Direction=H","UseDPDF=Y")</f>
        <v>—</v>
      </c>
      <c r="O93" s="13">
        <f>_xll.BDH("GILD US Equity","ARDR_RENTAL_EXP_BEYOND_YR5","FQ4 2021","FQ4 2021","Currency=USD","Period=FQ","BEST_FPERIOD_OVERRIDE=FQ","FILING_STATUS=MR","SCALING_FORMAT=MLN","Sort=A","Dates=H","DateFormat=P","Fill=—","Direction=H","UseDPDF=Y")</f>
        <v>249</v>
      </c>
      <c r="P93" s="13" t="str">
        <f>_xll.BDH("GILD US Equity","ARDR_RENTAL_EXP_BEYOND_YR5","FQ1 2022","FQ1 2022","Currency=USD","Period=FQ","BEST_FPERIOD_OVERRIDE=FQ","FILING_STATUS=MR","SCALING_FORMAT=MLN","Sort=A","Dates=H","DateFormat=P","Fill=—","Direction=H","UseDPDF=Y")</f>
        <v>—</v>
      </c>
      <c r="Q93" s="13" t="str">
        <f>_xll.BDH("GILD US Equity","ARDR_RENTAL_EXP_BEYOND_YR5","FQ2 2022","FQ2 2022","Currency=USD","Period=FQ","BEST_FPERIOD_OVERRIDE=FQ","FILING_STATUS=MR","SCALING_FORMAT=MLN","Sort=A","Dates=H","DateFormat=P","Fill=—","Direction=H","UseDPDF=Y")</f>
        <v>—</v>
      </c>
      <c r="R93" s="13" t="str">
        <f>_xll.BDH("GILD US Equity","ARDR_RENTAL_EXP_BEYOND_YR5","FQ3 2022","FQ3 2022","Currency=USD","Period=FQ","BEST_FPERIOD_OVERRIDE=FQ","FILING_STATUS=MR","SCALING_FORMAT=MLN","Sort=A","Dates=H","DateFormat=P","Fill=—","Direction=H","UseDPDF=Y")</f>
        <v>—</v>
      </c>
      <c r="S93" s="13">
        <f>_xll.BDH("GILD US Equity","ARDR_RENTAL_EXP_BEYOND_YR5","FQ4 2022","FQ4 2022","Currency=USD","Period=FQ","BEST_FPERIOD_OVERRIDE=FQ","FILING_STATUS=MR","SCALING_FORMAT=MLN","Sort=A","Dates=H","DateFormat=P","Fill=—","Direction=H","UseDPDF=Y")</f>
        <v>236</v>
      </c>
      <c r="T93" s="13" t="str">
        <f>_xll.BDH("GILD US Equity","ARDR_RENTAL_EXP_BEYOND_YR5","FQ1 2023","FQ1 2023","Currency=USD","Period=FQ","BEST_FPERIOD_OVERRIDE=FQ","FILING_STATUS=MR","SCALING_FORMAT=MLN","Sort=A","Dates=H","DateFormat=P","Fill=—","Direction=H","UseDPDF=Y")</f>
        <v>—</v>
      </c>
      <c r="U93" s="13" t="str">
        <f>_xll.BDH("GILD US Equity","ARDR_RENTAL_EXP_BEYOND_YR5","FQ2 2023","FQ2 2023","Currency=USD","Period=FQ","BEST_FPERIOD_OVERRIDE=FQ","FILING_STATUS=MR","SCALING_FORMAT=MLN","Sort=A","Dates=H","DateFormat=P","Fill=—","Direction=H","UseDPDF=Y")</f>
        <v>—</v>
      </c>
      <c r="V93" s="13" t="str">
        <f>_xll.BDH("GILD US Equity","ARDR_RENTAL_EXP_BEYOND_YR5","FQ3 2023","FQ3 2023","Currency=USD","Period=FQ","BEST_FPERIOD_OVERRIDE=FQ","FILING_STATUS=MR","SCALING_FORMAT=MLN","Sort=A","Dates=H","DateFormat=P","Fill=—","Direction=H","UseDPDF=Y")</f>
        <v>—</v>
      </c>
      <c r="W93" s="13">
        <f>_xll.BDH("GILD US Equity","ARDR_RENTAL_EXP_BEYOND_YR5","FQ4 2023","FQ4 2023","Currency=USD","Period=FQ","BEST_FPERIOD_OVERRIDE=FQ","FILING_STATUS=MR","SCALING_FORMAT=MLN","Sort=A","Dates=H","DateFormat=P","Fill=—","Direction=H","UseDPDF=Y")</f>
        <v>256</v>
      </c>
      <c r="X93" s="13" t="str">
        <f>_xll.BDH("GILD US Equity","ARDR_RENTAL_EXP_BEYOND_YR5","FQ1 2024","FQ1 2024","Currency=USD","Period=FQ","BEST_FPERIOD_OVERRIDE=FQ","FILING_STATUS=MR","SCALING_FORMAT=MLN","Sort=A","Dates=H","DateFormat=P","Fill=—","Direction=H","UseDPDF=Y")</f>
        <v>—</v>
      </c>
      <c r="Y93" s="13" t="str">
        <f>_xll.BDH("GILD US Equity","ARDR_RENTAL_EXP_BEYOND_YR5","FQ2 2024","FQ2 2024","Currency=USD","Period=FQ","BEST_FPERIOD_OVERRIDE=FQ","FILING_STATUS=MR","SCALING_FORMAT=MLN","Sort=A","Dates=H","DateFormat=P","Fill=—","Direction=H","UseDPDF=Y")</f>
        <v>—</v>
      </c>
      <c r="Z93" s="13" t="str">
        <f>_xll.BDH("GILD US Equity","ARDR_RENTAL_EXP_BEYOND_YR5","FQ3 2024","FQ3 2024","Currency=USD","Period=FQ","BEST_FPERIOD_OVERRIDE=FQ","FILING_STATUS=MR","SCALING_FORMAT=MLN","Sort=A","Dates=H","DateFormat=P","Fill=—","Direction=H","UseDPDF=Y")</f>
        <v>—</v>
      </c>
      <c r="AA93" s="13">
        <f>_xll.BDH("GILD US Equity","ARDR_RENTAL_EXP_BEYOND_YR5","FQ4 2024","FQ4 2024","Currency=USD","Period=FQ","BEST_FPERIOD_OVERRIDE=FQ","FILING_STATUS=MR","SCALING_FORMAT=MLN","Sort=A","Dates=H","DateFormat=P","Fill=—","Direction=H","UseDPDF=Y")</f>
        <v>228</v>
      </c>
    </row>
    <row r="94" spans="1:27" x14ac:dyDescent="0.25">
      <c r="A94" s="10" t="s">
        <v>1048</v>
      </c>
      <c r="B94" s="10" t="s">
        <v>1049</v>
      </c>
      <c r="C94" s="13">
        <f>_xll.BDH("GILD US Equity","ARDR_OTHER_INVENTORY_RESERVES","FQ4 2018","FQ4 2018","Currency=USD","Period=FQ","BEST_FPERIOD_OVERRIDE=FQ","FILING_STATUS=MR","SCALING_FORMAT=MLN","Sort=A","Dates=H","DateFormat=P","Fill=—","Direction=H","UseDPDF=Y")</f>
        <v>-1816</v>
      </c>
      <c r="D94" s="13">
        <f>_xll.BDH("GILD US Equity","ARDR_OTHER_INVENTORY_RESERVES","FQ1 2019","FQ1 2019","Currency=USD","Period=FQ","BEST_FPERIOD_OVERRIDE=FQ","FILING_STATUS=MR","SCALING_FORMAT=MLN","Sort=A","Dates=H","DateFormat=P","Fill=—","Direction=H","UseDPDF=Y")</f>
        <v>-1730</v>
      </c>
      <c r="E94" s="13">
        <f>_xll.BDH("GILD US Equity","ARDR_OTHER_INVENTORY_RESERVES","FQ2 2019","FQ2 2019","Currency=USD","Period=FQ","BEST_FPERIOD_OVERRIDE=FQ","FILING_STATUS=MR","SCALING_FORMAT=MLN","Sort=A","Dates=H","DateFormat=P","Fill=—","Direction=H","UseDPDF=Y")</f>
        <v>-1711</v>
      </c>
      <c r="F94" s="13">
        <f>_xll.BDH("GILD US Equity","ARDR_OTHER_INVENTORY_RESERVES","FQ3 2019","FQ3 2019","Currency=USD","Period=FQ","BEST_FPERIOD_OVERRIDE=FQ","FILING_STATUS=MR","SCALING_FORMAT=MLN","Sort=A","Dates=H","DateFormat=P","Fill=—","Direction=H","UseDPDF=Y")</f>
        <v>-1675</v>
      </c>
      <c r="G94" s="13">
        <f>_xll.BDH("GILD US Equity","ARDR_OTHER_INVENTORY_RESERVES","FQ4 2019","FQ4 2019","Currency=USD","Period=FQ","BEST_FPERIOD_OVERRIDE=FQ","FILING_STATUS=MR","SCALING_FORMAT=MLN","Sort=A","Dates=H","DateFormat=P","Fill=—","Direction=H","UseDPDF=Y")</f>
        <v>-1145</v>
      </c>
      <c r="H94" s="13">
        <f>_xll.BDH("GILD US Equity","ARDR_OTHER_INVENTORY_RESERVES","FQ1 2020","FQ1 2020","Currency=USD","Period=FQ","BEST_FPERIOD_OVERRIDE=FQ","FILING_STATUS=MR","SCALING_FORMAT=MLN","Sort=A","Dates=H","DateFormat=P","Fill=—","Direction=H","UseDPDF=Y")</f>
        <v>-1035</v>
      </c>
      <c r="I94" s="13">
        <f>_xll.BDH("GILD US Equity","ARDR_OTHER_INVENTORY_RESERVES","FQ2 2020","FQ2 2020","Currency=USD","Period=FQ","BEST_FPERIOD_OVERRIDE=FQ","FILING_STATUS=MR","SCALING_FORMAT=MLN","Sort=A","Dates=H","DateFormat=P","Fill=—","Direction=H","UseDPDF=Y")</f>
        <v>-915</v>
      </c>
      <c r="J94" s="13">
        <f>_xll.BDH("GILD US Equity","ARDR_OTHER_INVENTORY_RESERVES","FQ3 2020","FQ3 2020","Currency=USD","Period=FQ","BEST_FPERIOD_OVERRIDE=FQ","FILING_STATUS=MR","SCALING_FORMAT=MLN","Sort=A","Dates=H","DateFormat=P","Fill=—","Direction=H","UseDPDF=Y")</f>
        <v>-945</v>
      </c>
      <c r="K94" s="13">
        <f>_xll.BDH("GILD US Equity","ARDR_OTHER_INVENTORY_RESERVES","FQ4 2020","FQ4 2020","Currency=USD","Period=FQ","BEST_FPERIOD_OVERRIDE=FQ","FILING_STATUS=MR","SCALING_FORMAT=MLN","Sort=A","Dates=H","DateFormat=P","Fill=—","Direction=H","UseDPDF=Y")</f>
        <v>-1331</v>
      </c>
      <c r="L94" s="13">
        <f>_xll.BDH("GILD US Equity","ARDR_OTHER_INVENTORY_RESERVES","FQ1 2021","FQ1 2021","Currency=USD","Period=FQ","BEST_FPERIOD_OVERRIDE=FQ","FILING_STATUS=MR","SCALING_FORMAT=MLN","Sort=A","Dates=H","DateFormat=P","Fill=—","Direction=H","UseDPDF=Y")</f>
        <v>-1217</v>
      </c>
      <c r="M94" s="13">
        <f>_xll.BDH("GILD US Equity","ARDR_OTHER_INVENTORY_RESERVES","FQ2 2021","FQ2 2021","Currency=USD","Period=FQ","BEST_FPERIOD_OVERRIDE=FQ","FILING_STATUS=MR","SCALING_FORMAT=MLN","Sort=A","Dates=H","DateFormat=P","Fill=—","Direction=H","UseDPDF=Y")</f>
        <v>-1216</v>
      </c>
      <c r="N94" s="13">
        <f>_xll.BDH("GILD US Equity","ARDR_OTHER_INVENTORY_RESERVES","FQ3 2021","FQ3 2021","Currency=USD","Period=FQ","BEST_FPERIOD_OVERRIDE=FQ","FILING_STATUS=MR","SCALING_FORMAT=MLN","Sort=A","Dates=H","DateFormat=P","Fill=—","Direction=H","UseDPDF=Y")</f>
        <v>-1121</v>
      </c>
      <c r="O94" s="13">
        <f>_xll.BDH("GILD US Equity","ARDR_OTHER_INVENTORY_RESERVES","FQ4 2021","FQ4 2021","Currency=USD","Period=FQ","BEST_FPERIOD_OVERRIDE=FQ","FILING_STATUS=MR","SCALING_FORMAT=MLN","Sort=A","Dates=H","DateFormat=P","Fill=—","Direction=H","UseDPDF=Y")</f>
        <v>-1116</v>
      </c>
      <c r="P94" s="13">
        <f>_xll.BDH("GILD US Equity","ARDR_OTHER_INVENTORY_RESERVES","FQ1 2022","FQ1 2022","Currency=USD","Period=FQ","BEST_FPERIOD_OVERRIDE=FQ","FILING_STATUS=MR","SCALING_FORMAT=MLN","Sort=A","Dates=H","DateFormat=P","Fill=—","Direction=H","UseDPDF=Y")</f>
        <v>-1193</v>
      </c>
      <c r="Q94" s="13">
        <f>_xll.BDH("GILD US Equity","ARDR_OTHER_INVENTORY_RESERVES","FQ2 2022","FQ2 2022","Currency=USD","Period=FQ","BEST_FPERIOD_OVERRIDE=FQ","FILING_STATUS=MR","SCALING_FORMAT=MLN","Sort=A","Dates=H","DateFormat=P","Fill=—","Direction=H","UseDPDF=Y")</f>
        <v>-1094</v>
      </c>
      <c r="R94" s="13">
        <f>_xll.BDH("GILD US Equity","ARDR_OTHER_INVENTORY_RESERVES","FQ3 2022","FQ3 2022","Currency=USD","Period=FQ","BEST_FPERIOD_OVERRIDE=FQ","FILING_STATUS=MR","SCALING_FORMAT=MLN","Sort=A","Dates=H","DateFormat=P","Fill=—","Direction=H","UseDPDF=Y")</f>
        <v>-1139</v>
      </c>
      <c r="S94" s="13">
        <f>_xll.BDH("GILD US Equity","ARDR_OTHER_INVENTORY_RESERVES","FQ4 2022","FQ4 2022","Currency=USD","Period=FQ","BEST_FPERIOD_OVERRIDE=FQ","FILING_STATUS=MR","SCALING_FORMAT=MLN","Sort=A","Dates=H","DateFormat=P","Fill=—","Direction=H","UseDPDF=Y")</f>
        <v>-1313</v>
      </c>
      <c r="T94" s="13">
        <f>_xll.BDH("GILD US Equity","ARDR_OTHER_INVENTORY_RESERVES","FQ1 2023","FQ1 2023","Currency=USD","Period=FQ","BEST_FPERIOD_OVERRIDE=FQ","FILING_STATUS=MR","SCALING_FORMAT=MLN","Sort=A","Dates=H","DateFormat=P","Fill=—","Direction=H","UseDPDF=Y")</f>
        <v>-1434</v>
      </c>
      <c r="U94" s="13">
        <f>_xll.BDH("GILD US Equity","ARDR_OTHER_INVENTORY_RESERVES","FQ2 2023","FQ2 2023","Currency=USD","Period=FQ","BEST_FPERIOD_OVERRIDE=FQ","FILING_STATUS=MR","SCALING_FORMAT=MLN","Sort=A","Dates=H","DateFormat=P","Fill=—","Direction=H","UseDPDF=Y")</f>
        <v>-1547</v>
      </c>
      <c r="V94" s="13">
        <f>_xll.BDH("GILD US Equity","ARDR_OTHER_INVENTORY_RESERVES","FQ3 2023","FQ3 2023","Currency=USD","Period=FQ","BEST_FPERIOD_OVERRIDE=FQ","FILING_STATUS=MR","SCALING_FORMAT=MLN","Sort=A","Dates=H","DateFormat=P","Fill=—","Direction=H","UseDPDF=Y")</f>
        <v>-1539</v>
      </c>
      <c r="W94" s="13">
        <f>_xll.BDH("GILD US Equity","ARDR_OTHER_INVENTORY_RESERVES","FQ4 2023","FQ4 2023","Currency=USD","Period=FQ","BEST_FPERIOD_OVERRIDE=FQ","FILING_STATUS=MR","SCALING_FORMAT=MLN","Sort=A","Dates=H","DateFormat=P","Fill=—","Direction=H","UseDPDF=Y")</f>
        <v>-1578</v>
      </c>
      <c r="X94" s="13">
        <f>_xll.BDH("GILD US Equity","ARDR_OTHER_INVENTORY_RESERVES","FQ1 2024","FQ1 2024","Currency=USD","Period=FQ","BEST_FPERIOD_OVERRIDE=FQ","FILING_STATUS=MR","SCALING_FORMAT=MLN","Sort=A","Dates=H","DateFormat=P","Fill=—","Direction=H","UseDPDF=Y")</f>
        <v>-1510</v>
      </c>
      <c r="Y94" s="13">
        <f>_xll.BDH("GILD US Equity","ARDR_OTHER_INVENTORY_RESERVES","FQ2 2024","FQ2 2024","Currency=USD","Period=FQ","BEST_FPERIOD_OVERRIDE=FQ","FILING_STATUS=MR","SCALING_FORMAT=MLN","Sort=A","Dates=H","DateFormat=P","Fill=—","Direction=H","UseDPDF=Y")</f>
        <v>-1362</v>
      </c>
      <c r="Z94" s="13">
        <f>_xll.BDH("GILD US Equity","ARDR_OTHER_INVENTORY_RESERVES","FQ3 2024","FQ3 2024","Currency=USD","Period=FQ","BEST_FPERIOD_OVERRIDE=FQ","FILING_STATUS=MR","SCALING_FORMAT=MLN","Sort=A","Dates=H","DateFormat=P","Fill=—","Direction=H","UseDPDF=Y")</f>
        <v>-1566</v>
      </c>
      <c r="AA94" s="13">
        <f>_xll.BDH("GILD US Equity","ARDR_OTHER_INVENTORY_RESERVES","FQ4 2024","FQ4 2024","Currency=USD","Period=FQ","BEST_FPERIOD_OVERRIDE=FQ","FILING_STATUS=MR","SCALING_FORMAT=MLN","Sort=A","Dates=H","DateFormat=P","Fill=—","Direction=H","UseDPDF=Y")</f>
        <v>-1879</v>
      </c>
    </row>
    <row r="95" spans="1:27" x14ac:dyDescent="0.25">
      <c r="A95" s="10" t="s">
        <v>915</v>
      </c>
      <c r="B95" s="10" t="s">
        <v>1050</v>
      </c>
      <c r="C95" s="13" t="str">
        <f>_xll.BDH("GILD US Equity","ARDR_ALLOW_FOR_DOUBTFUL_ACCTS","FQ4 2018","FQ4 2018","Currency=USD","Period=FQ","BEST_FPERIOD_OVERRIDE=FQ","FILING_STATUS=MR","SCALING_FORMAT=MLN","Sort=A","Dates=H","DateFormat=P","Fill=—","Direction=H","UseDPDF=Y")</f>
        <v>—</v>
      </c>
      <c r="D95" s="13" t="str">
        <f>_xll.BDH("GILD US Equity","ARDR_ALLOW_FOR_DOUBTFUL_ACCTS","FQ1 2019","FQ1 2019","Currency=USD","Period=FQ","BEST_FPERIOD_OVERRIDE=FQ","FILING_STATUS=MR","SCALING_FORMAT=MLN","Sort=A","Dates=H","DateFormat=P","Fill=—","Direction=H","UseDPDF=Y")</f>
        <v>—</v>
      </c>
      <c r="E95" s="13" t="str">
        <f>_xll.BDH("GILD US Equity","ARDR_ALLOW_FOR_DOUBTFUL_ACCTS","FQ2 2019","FQ2 2019","Currency=USD","Period=FQ","BEST_FPERIOD_OVERRIDE=FQ","FILING_STATUS=MR","SCALING_FORMAT=MLN","Sort=A","Dates=H","DateFormat=P","Fill=—","Direction=H","UseDPDF=Y")</f>
        <v>—</v>
      </c>
      <c r="F95" s="13" t="str">
        <f>_xll.BDH("GILD US Equity","ARDR_ALLOW_FOR_DOUBTFUL_ACCTS","FQ3 2019","FQ3 2019","Currency=USD","Period=FQ","BEST_FPERIOD_OVERRIDE=FQ","FILING_STATUS=MR","SCALING_FORMAT=MLN","Sort=A","Dates=H","DateFormat=P","Fill=—","Direction=H","UseDPDF=Y")</f>
        <v>—</v>
      </c>
      <c r="G95" s="13" t="str">
        <f>_xll.BDH("GILD US Equity","ARDR_ALLOW_FOR_DOUBTFUL_ACCTS","FQ4 2019","FQ4 2019","Currency=USD","Period=FQ","BEST_FPERIOD_OVERRIDE=FQ","FILING_STATUS=MR","SCALING_FORMAT=MLN","Sort=A","Dates=H","DateFormat=P","Fill=—","Direction=H","UseDPDF=Y")</f>
        <v>—</v>
      </c>
      <c r="H95" s="13" t="str">
        <f>_xll.BDH("GILD US Equity","ARDR_ALLOW_FOR_DOUBTFUL_ACCTS","FQ1 2020","FQ1 2020","Currency=USD","Period=FQ","BEST_FPERIOD_OVERRIDE=FQ","FILING_STATUS=MR","SCALING_FORMAT=MLN","Sort=A","Dates=H","DateFormat=P","Fill=—","Direction=H","UseDPDF=Y")</f>
        <v>—</v>
      </c>
      <c r="I95" s="13" t="str">
        <f>_xll.BDH("GILD US Equity","ARDR_ALLOW_FOR_DOUBTFUL_ACCTS","FQ2 2020","FQ2 2020","Currency=USD","Period=FQ","BEST_FPERIOD_OVERRIDE=FQ","FILING_STATUS=MR","SCALING_FORMAT=MLN","Sort=A","Dates=H","DateFormat=P","Fill=—","Direction=H","UseDPDF=Y")</f>
        <v>—</v>
      </c>
      <c r="J95" s="13" t="str">
        <f>_xll.BDH("GILD US Equity","ARDR_ALLOW_FOR_DOUBTFUL_ACCTS","FQ3 2020","FQ3 2020","Currency=USD","Period=FQ","BEST_FPERIOD_OVERRIDE=FQ","FILING_STATUS=MR","SCALING_FORMAT=MLN","Sort=A","Dates=H","DateFormat=P","Fill=—","Direction=H","UseDPDF=Y")</f>
        <v>—</v>
      </c>
      <c r="K95" s="13">
        <f>_xll.BDH("GILD US Equity","ARDR_ALLOW_FOR_DOUBTFUL_ACCTS","FQ4 2020","FQ4 2020","Currency=USD","Period=FQ","BEST_FPERIOD_OVERRIDE=FQ","FILING_STATUS=MR","SCALING_FORMAT=MLN","Sort=A","Dates=H","DateFormat=P","Fill=—","Direction=H","UseDPDF=Y")</f>
        <v>44</v>
      </c>
      <c r="L95" s="13">
        <f>_xll.BDH("GILD US Equity","ARDR_ALLOW_FOR_DOUBTFUL_ACCTS","FQ1 2021","FQ1 2021","Currency=USD","Period=FQ","BEST_FPERIOD_OVERRIDE=FQ","FILING_STATUS=MR","SCALING_FORMAT=MLN","Sort=A","Dates=H","DateFormat=P","Fill=—","Direction=H","UseDPDF=Y")</f>
        <v>51</v>
      </c>
      <c r="M95" s="13">
        <f>_xll.BDH("GILD US Equity","ARDR_ALLOW_FOR_DOUBTFUL_ACCTS","FQ2 2021","FQ2 2021","Currency=USD","Period=FQ","BEST_FPERIOD_OVERRIDE=FQ","FILING_STATUS=MR","SCALING_FORMAT=MLN","Sort=A","Dates=H","DateFormat=P","Fill=—","Direction=H","UseDPDF=Y")</f>
        <v>57</v>
      </c>
      <c r="N95" s="13">
        <f>_xll.BDH("GILD US Equity","ARDR_ALLOW_FOR_DOUBTFUL_ACCTS","FQ3 2021","FQ3 2021","Currency=USD","Period=FQ","BEST_FPERIOD_OVERRIDE=FQ","FILING_STATUS=MR","SCALING_FORMAT=MLN","Sort=A","Dates=H","DateFormat=P","Fill=—","Direction=H","UseDPDF=Y")</f>
        <v>57</v>
      </c>
      <c r="O95" s="13">
        <f>_xll.BDH("GILD US Equity","ARDR_ALLOW_FOR_DOUBTFUL_ACCTS","FQ4 2021","FQ4 2021","Currency=USD","Period=FQ","BEST_FPERIOD_OVERRIDE=FQ","FILING_STATUS=MR","SCALING_FORMAT=MLN","Sort=A","Dates=H","DateFormat=P","Fill=—","Direction=H","UseDPDF=Y")</f>
        <v>47</v>
      </c>
      <c r="P95" s="13">
        <f>_xll.BDH("GILD US Equity","ARDR_ALLOW_FOR_DOUBTFUL_ACCTS","FQ1 2022","FQ1 2022","Currency=USD","Period=FQ","BEST_FPERIOD_OVERRIDE=FQ","FILING_STATUS=MR","SCALING_FORMAT=MLN","Sort=A","Dates=H","DateFormat=P","Fill=—","Direction=H","UseDPDF=Y")</f>
        <v>54</v>
      </c>
      <c r="Q95" s="13">
        <f>_xll.BDH("GILD US Equity","ARDR_ALLOW_FOR_DOUBTFUL_ACCTS","FQ2 2022","FQ2 2022","Currency=USD","Period=FQ","BEST_FPERIOD_OVERRIDE=FQ","FILING_STATUS=MR","SCALING_FORMAT=MLN","Sort=A","Dates=H","DateFormat=P","Fill=—","Direction=H","UseDPDF=Y")</f>
        <v>51</v>
      </c>
      <c r="R95" s="13">
        <f>_xll.BDH("GILD US Equity","ARDR_ALLOW_FOR_DOUBTFUL_ACCTS","FQ3 2022","FQ3 2022","Currency=USD","Period=FQ","BEST_FPERIOD_OVERRIDE=FQ","FILING_STATUS=MR","SCALING_FORMAT=MLN","Sort=A","Dates=H","DateFormat=P","Fill=—","Direction=H","UseDPDF=Y")</f>
        <v>51</v>
      </c>
      <c r="S95" s="13">
        <f>_xll.BDH("GILD US Equity","ARDR_ALLOW_FOR_DOUBTFUL_ACCTS","FQ4 2022","FQ4 2022","Currency=USD","Period=FQ","BEST_FPERIOD_OVERRIDE=FQ","FILING_STATUS=MR","SCALING_FORMAT=MLN","Sort=A","Dates=H","DateFormat=P","Fill=—","Direction=H","UseDPDF=Y")</f>
        <v>55</v>
      </c>
      <c r="T95" s="13">
        <f>_xll.BDH("GILD US Equity","ARDR_ALLOW_FOR_DOUBTFUL_ACCTS","FQ1 2023","FQ1 2023","Currency=USD","Period=FQ","BEST_FPERIOD_OVERRIDE=FQ","FILING_STATUS=MR","SCALING_FORMAT=MLN","Sort=A","Dates=H","DateFormat=P","Fill=—","Direction=H","UseDPDF=Y")</f>
        <v>56</v>
      </c>
      <c r="U95" s="13">
        <f>_xll.BDH("GILD US Equity","ARDR_ALLOW_FOR_DOUBTFUL_ACCTS","FQ2 2023","FQ2 2023","Currency=USD","Period=FQ","BEST_FPERIOD_OVERRIDE=FQ","FILING_STATUS=MR","SCALING_FORMAT=MLN","Sort=A","Dates=H","DateFormat=P","Fill=—","Direction=H","UseDPDF=Y")</f>
        <v>59</v>
      </c>
      <c r="V95" s="13">
        <f>_xll.BDH("GILD US Equity","ARDR_ALLOW_FOR_DOUBTFUL_ACCTS","FQ3 2023","FQ3 2023","Currency=USD","Period=FQ","BEST_FPERIOD_OVERRIDE=FQ","FILING_STATUS=MR","SCALING_FORMAT=MLN","Sort=A","Dates=H","DateFormat=P","Fill=—","Direction=H","UseDPDF=Y")</f>
        <v>54</v>
      </c>
      <c r="W95" s="13">
        <f>_xll.BDH("GILD US Equity","ARDR_ALLOW_FOR_DOUBTFUL_ACCTS","FQ4 2023","FQ4 2023","Currency=USD","Period=FQ","BEST_FPERIOD_OVERRIDE=FQ","FILING_STATUS=MR","SCALING_FORMAT=MLN","Sort=A","Dates=H","DateFormat=P","Fill=—","Direction=H","UseDPDF=Y")</f>
        <v>56</v>
      </c>
      <c r="X95" s="13">
        <f>_xll.BDH("GILD US Equity","ARDR_ALLOW_FOR_DOUBTFUL_ACCTS","FQ1 2024","FQ1 2024","Currency=USD","Period=FQ","BEST_FPERIOD_OVERRIDE=FQ","FILING_STATUS=MR","SCALING_FORMAT=MLN","Sort=A","Dates=H","DateFormat=P","Fill=—","Direction=H","UseDPDF=Y")</f>
        <v>59</v>
      </c>
      <c r="Y95" s="13">
        <f>_xll.BDH("GILD US Equity","ARDR_ALLOW_FOR_DOUBTFUL_ACCTS","FQ2 2024","FQ2 2024","Currency=USD","Period=FQ","BEST_FPERIOD_OVERRIDE=FQ","FILING_STATUS=MR","SCALING_FORMAT=MLN","Sort=A","Dates=H","DateFormat=P","Fill=—","Direction=H","UseDPDF=Y")</f>
        <v>60</v>
      </c>
      <c r="Z95" s="13">
        <f>_xll.BDH("GILD US Equity","ARDR_ALLOW_FOR_DOUBTFUL_ACCTS","FQ3 2024","FQ3 2024","Currency=USD","Period=FQ","BEST_FPERIOD_OVERRIDE=FQ","FILING_STATUS=MR","SCALING_FORMAT=MLN","Sort=A","Dates=H","DateFormat=P","Fill=—","Direction=H","UseDPDF=Y")</f>
        <v>65</v>
      </c>
      <c r="AA95" s="13">
        <f>_xll.BDH("GILD US Equity","ARDR_ALLOW_FOR_DOUBTFUL_ACCTS","FQ4 2024","FQ4 2024","Currency=USD","Period=FQ","BEST_FPERIOD_OVERRIDE=FQ","FILING_STATUS=MR","SCALING_FORMAT=MLN","Sort=A","Dates=H","DateFormat=P","Fill=—","Direction=H","UseDPDF=Y")</f>
        <v>52</v>
      </c>
    </row>
    <row r="96" spans="1:27" x14ac:dyDescent="0.25">
      <c r="A96" s="10" t="s">
        <v>977</v>
      </c>
      <c r="B96" s="10" t="s">
        <v>1051</v>
      </c>
      <c r="C96" s="13">
        <f>_xll.BDH("GILD US Equity","ARDR_TOTAL_SHAREHOLDERS_EQUITY","FQ4 2018","FQ4 2018","Currency=USD","Period=FQ","BEST_FPERIOD_OVERRIDE=FQ","FILING_STATUS=MR","SCALING_FORMAT=MLN","Sort=A","Dates=H","DateFormat=P","Fill=—","Direction=H","UseDPDF=Y")</f>
        <v>21534</v>
      </c>
      <c r="D96" s="13">
        <f>_xll.BDH("GILD US Equity","ARDR_TOTAL_SHAREHOLDERS_EQUITY","FQ1 2019","FQ1 2019","Currency=USD","Period=FQ","BEST_FPERIOD_OVERRIDE=FQ","FILING_STATUS=MR","SCALING_FORMAT=MLN","Sort=A","Dates=H","DateFormat=P","Fill=—","Direction=H","UseDPDF=Y")</f>
        <v>22091</v>
      </c>
      <c r="E96" s="13">
        <f>_xll.BDH("GILD US Equity","ARDR_TOTAL_SHAREHOLDERS_EQUITY","FQ2 2019","FQ2 2019","Currency=USD","Period=FQ","BEST_FPERIOD_OVERRIDE=FQ","FILING_STATUS=MR","SCALING_FORMAT=MLN","Sort=A","Dates=H","DateFormat=P","Fill=—","Direction=H","UseDPDF=Y")</f>
        <v>22751</v>
      </c>
      <c r="F96" s="13">
        <f>_xll.BDH("GILD US Equity","ARDR_TOTAL_SHAREHOLDERS_EQUITY","FQ3 2019","FQ3 2019","Currency=USD","Period=FQ","BEST_FPERIOD_OVERRIDE=FQ","FILING_STATUS=MR","SCALING_FORMAT=MLN","Sort=A","Dates=H","DateFormat=P","Fill=—","Direction=H","UseDPDF=Y")</f>
        <v>20736</v>
      </c>
      <c r="G96" s="13">
        <f>_xll.BDH("GILD US Equity","ARDR_TOTAL_SHAREHOLDERS_EQUITY","FQ4 2019","FQ4 2019","Currency=USD","Period=FQ","BEST_FPERIOD_OVERRIDE=FQ","FILING_STATUS=MR","SCALING_FORMAT=MLN","Sort=A","Dates=H","DateFormat=P","Fill=—","Direction=H","UseDPDF=Y")</f>
        <v>22650</v>
      </c>
      <c r="H96" s="13">
        <f>_xll.BDH("GILD US Equity","ARDR_TOTAL_SHAREHOLDERS_EQUITY","FQ1 2020","FQ1 2020","Currency=USD","Period=FQ","BEST_FPERIOD_OVERRIDE=FQ","FILING_STATUS=MR","SCALING_FORMAT=MLN","Sort=A","Dates=H","DateFormat=P","Fill=—","Direction=H","UseDPDF=Y")</f>
        <v>22179</v>
      </c>
      <c r="I96" s="13">
        <f>_xll.BDH("GILD US Equity","ARDR_TOTAL_SHAREHOLDERS_EQUITY","FQ2 2020","FQ2 2020","Currency=USD","Period=FQ","BEST_FPERIOD_OVERRIDE=FQ","FILING_STATUS=MR","SCALING_FORMAT=MLN","Sort=A","Dates=H","DateFormat=P","Fill=—","Direction=H","UseDPDF=Y")</f>
        <v>18142</v>
      </c>
      <c r="J96" s="13">
        <f>_xll.BDH("GILD US Equity","ARDR_TOTAL_SHAREHOLDERS_EQUITY","FQ3 2020","FQ3 2020","Currency=USD","Period=FQ","BEST_FPERIOD_OVERRIDE=FQ","FILING_STATUS=MR","SCALING_FORMAT=MLN","Sort=A","Dates=H","DateFormat=P","Fill=—","Direction=H","UseDPDF=Y")</f>
        <v>17471</v>
      </c>
      <c r="K96" s="13">
        <f>_xll.BDH("GILD US Equity","ARDR_TOTAL_SHAREHOLDERS_EQUITY","FQ4 2020","FQ4 2020","Currency=USD","Period=FQ","BEST_FPERIOD_OVERRIDE=FQ","FILING_STATUS=MR","SCALING_FORMAT=MLN","Sort=A","Dates=H","DateFormat=P","Fill=—","Direction=H","UseDPDF=Y")</f>
        <v>18221</v>
      </c>
      <c r="L96" s="13">
        <f>_xll.BDH("GILD US Equity","ARDR_TOTAL_SHAREHOLDERS_EQUITY","FQ1 2021","FQ1 2021","Currency=USD","Period=FQ","BEST_FPERIOD_OVERRIDE=FQ","FILING_STATUS=MR","SCALING_FORMAT=MLN","Sort=A","Dates=H","DateFormat=P","Fill=—","Direction=H","UseDPDF=Y")</f>
        <v>18964</v>
      </c>
      <c r="M96" s="13">
        <f>_xll.BDH("GILD US Equity","ARDR_TOTAL_SHAREHOLDERS_EQUITY","FQ2 2021","FQ2 2021","Currency=USD","Period=FQ","BEST_FPERIOD_OVERRIDE=FQ","FILING_STATUS=MR","SCALING_FORMAT=MLN","Sort=A","Dates=H","DateFormat=P","Fill=—","Direction=H","UseDPDF=Y")</f>
        <v>19710</v>
      </c>
      <c r="N96" s="13">
        <f>_xll.BDH("GILD US Equity","ARDR_TOTAL_SHAREHOLDERS_EQUITY","FQ3 2021","FQ3 2021","Currency=USD","Period=FQ","BEST_FPERIOD_OVERRIDE=FQ","FILING_STATUS=MR","SCALING_FORMAT=MLN","Sort=A","Dates=H","DateFormat=P","Fill=—","Direction=H","UseDPDF=Y")</f>
        <v>21471</v>
      </c>
      <c r="O96" s="13">
        <f>_xll.BDH("GILD US Equity","ARDR_TOTAL_SHAREHOLDERS_EQUITY","FQ4 2021","FQ4 2021","Currency=USD","Period=FQ","BEST_FPERIOD_OVERRIDE=FQ","FILING_STATUS=MR","SCALING_FORMAT=MLN","Sort=A","Dates=H","DateFormat=P","Fill=—","Direction=H","UseDPDF=Y")</f>
        <v>21064</v>
      </c>
      <c r="P96" s="13">
        <f>_xll.BDH("GILD US Equity","ARDR_TOTAL_SHAREHOLDERS_EQUITY","FQ1 2022","FQ1 2022","Currency=USD","Period=FQ","BEST_FPERIOD_OVERRIDE=FQ","FILING_STATUS=MR","SCALING_FORMAT=MLN","Sort=A","Dates=H","DateFormat=P","Fill=—","Direction=H","UseDPDF=Y")</f>
        <v>19915</v>
      </c>
      <c r="Q96" s="13">
        <f>_xll.BDH("GILD US Equity","ARDR_TOTAL_SHAREHOLDERS_EQUITY","FQ2 2022","FQ2 2022","Currency=USD","Period=FQ","BEST_FPERIOD_OVERRIDE=FQ","FILING_STATUS=MR","SCALING_FORMAT=MLN","Sort=A","Dates=H","DateFormat=P","Fill=—","Direction=H","UseDPDF=Y")</f>
        <v>20215</v>
      </c>
      <c r="R96" s="13">
        <f>_xll.BDH("GILD US Equity","ARDR_TOTAL_SHAREHOLDERS_EQUITY","FQ3 2022","FQ3 2022","Currency=USD","Period=FQ","BEST_FPERIOD_OVERRIDE=FQ","FILING_STATUS=MR","SCALING_FORMAT=MLN","Sort=A","Dates=H","DateFormat=P","Fill=—","Direction=H","UseDPDF=Y")</f>
        <v>21057</v>
      </c>
      <c r="S96" s="13">
        <f>_xll.BDH("GILD US Equity","ARDR_TOTAL_SHAREHOLDERS_EQUITY","FQ4 2022","FQ4 2022","Currency=USD","Period=FQ","BEST_FPERIOD_OVERRIDE=FQ","FILING_STATUS=MR","SCALING_FORMAT=MLN","Sort=A","Dates=H","DateFormat=P","Fill=—","Direction=H","UseDPDF=Y")</f>
        <v>21209</v>
      </c>
      <c r="T96" s="13">
        <f>_xll.BDH("GILD US Equity","ARDR_TOTAL_SHAREHOLDERS_EQUITY","FQ1 2023","FQ1 2023","Currency=USD","Period=FQ","BEST_FPERIOD_OVERRIDE=FQ","FILING_STATUS=MR","SCALING_FORMAT=MLN","Sort=A","Dates=H","DateFormat=P","Fill=—","Direction=H","UseDPDF=Y")</f>
        <v>20939</v>
      </c>
      <c r="U96" s="13">
        <f>_xll.BDH("GILD US Equity","ARDR_TOTAL_SHAREHOLDERS_EQUITY","FQ2 2023","FQ2 2023","Currency=USD","Period=FQ","BEST_FPERIOD_OVERRIDE=FQ","FILING_STATUS=MR","SCALING_FORMAT=MLN","Sort=A","Dates=H","DateFormat=P","Fill=—","Direction=H","UseDPDF=Y")</f>
        <v>21094</v>
      </c>
      <c r="V96" s="13">
        <f>_xll.BDH("GILD US Equity","ARDR_TOTAL_SHAREHOLDERS_EQUITY","FQ3 2023","FQ3 2023","Currency=USD","Period=FQ","BEST_FPERIOD_OVERRIDE=FQ","FILING_STATUS=MR","SCALING_FORMAT=MLN","Sort=A","Dates=H","DateFormat=P","Fill=—","Direction=H","UseDPDF=Y")</f>
        <v>22243</v>
      </c>
      <c r="W96" s="13">
        <f>_xll.BDH("GILD US Equity","ARDR_TOTAL_SHAREHOLDERS_EQUITY","FQ4 2023","FQ4 2023","Currency=USD","Period=FQ","BEST_FPERIOD_OVERRIDE=FQ","FILING_STATUS=MR","SCALING_FORMAT=MLN","Sort=A","Dates=H","DateFormat=P","Fill=—","Direction=H","UseDPDF=Y")</f>
        <v>22749</v>
      </c>
      <c r="X96" s="13">
        <f>_xll.BDH("GILD US Equity","ARDR_TOTAL_SHAREHOLDERS_EQUITY","FQ1 2024","FQ1 2024","Currency=USD","Period=FQ","BEST_FPERIOD_OVERRIDE=FQ","FILING_STATUS=MR","SCALING_FORMAT=MLN","Sort=A","Dates=H","DateFormat=P","Fill=—","Direction=H","UseDPDF=Y")</f>
        <v>17455</v>
      </c>
      <c r="Y96" s="13">
        <f>_xll.BDH("GILD US Equity","ARDR_TOTAL_SHAREHOLDERS_EQUITY","FQ2 2024","FQ2 2024","Currency=USD","Period=FQ","BEST_FPERIOD_OVERRIDE=FQ","FILING_STATUS=MR","SCALING_FORMAT=MLN","Sort=A","Dates=H","DateFormat=P","Fill=—","Direction=H","UseDPDF=Y")</f>
        <v>18197</v>
      </c>
      <c r="Z96" s="13">
        <f>_xll.BDH("GILD US Equity","ARDR_TOTAL_SHAREHOLDERS_EQUITY","FQ3 2024","FQ3 2024","Currency=USD","Period=FQ","BEST_FPERIOD_OVERRIDE=FQ","FILING_STATUS=MR","SCALING_FORMAT=MLN","Sort=A","Dates=H","DateFormat=P","Fill=—","Direction=H","UseDPDF=Y")</f>
        <v>18390</v>
      </c>
      <c r="AA96" s="13">
        <f>_xll.BDH("GILD US Equity","ARDR_TOTAL_SHAREHOLDERS_EQUITY","FQ4 2024","FQ4 2024","Currency=USD","Period=FQ","BEST_FPERIOD_OVERRIDE=FQ","FILING_STATUS=MR","SCALING_FORMAT=MLN","Sort=A","Dates=H","DateFormat=P","Fill=—","Direction=H","UseDPDF=Y")</f>
        <v>19246</v>
      </c>
    </row>
    <row r="97" spans="1:27" x14ac:dyDescent="0.25">
      <c r="A97" s="10" t="s">
        <v>1052</v>
      </c>
      <c r="B97" s="10" t="s">
        <v>1053</v>
      </c>
      <c r="C97" s="13">
        <f>_xll.BDH("GILD US Equity","ARDR_DERIVATIVE_ASSET_ST","FQ4 2018","FQ4 2018","Currency=USD","Period=FQ","BEST_FPERIOD_OVERRIDE=FQ","FILING_STATUS=MR","SCALING_FORMAT=MLN","Sort=A","Dates=H","DateFormat=P","Fill=—","Direction=H","UseDPDF=Y")</f>
        <v>73</v>
      </c>
      <c r="D97" s="13">
        <f>_xll.BDH("GILD US Equity","ARDR_DERIVATIVE_ASSET_ST","FQ1 2019","FQ1 2019","Currency=USD","Period=FQ","BEST_FPERIOD_OVERRIDE=FQ","FILING_STATUS=MR","SCALING_FORMAT=MLN","Sort=A","Dates=H","DateFormat=P","Fill=—","Direction=H","UseDPDF=Y")</f>
        <v>74</v>
      </c>
      <c r="E97" s="13">
        <f>_xll.BDH("GILD US Equity","ARDR_DERIVATIVE_ASSET_ST","FQ2 2019","FQ2 2019","Currency=USD","Period=FQ","BEST_FPERIOD_OVERRIDE=FQ","FILING_STATUS=MR","SCALING_FORMAT=MLN","Sort=A","Dates=H","DateFormat=P","Fill=—","Direction=H","UseDPDF=Y")</f>
        <v>47</v>
      </c>
      <c r="F97" s="13">
        <f>_xll.BDH("GILD US Equity","ARDR_DERIVATIVE_ASSET_ST","FQ3 2019","FQ3 2019","Currency=USD","Period=FQ","BEST_FPERIOD_OVERRIDE=FQ","FILING_STATUS=MR","SCALING_FORMAT=MLN","Sort=A","Dates=H","DateFormat=P","Fill=—","Direction=H","UseDPDF=Y")</f>
        <v>75</v>
      </c>
      <c r="G97" s="13">
        <f>_xll.BDH("GILD US Equity","ARDR_DERIVATIVE_ASSET_ST","FQ4 2019","FQ4 2019","Currency=USD","Period=FQ","BEST_FPERIOD_OVERRIDE=FQ","FILING_STATUS=MR","SCALING_FORMAT=MLN","Sort=A","Dates=H","DateFormat=P","Fill=—","Direction=H","UseDPDF=Y")</f>
        <v>37</v>
      </c>
      <c r="H97" s="13">
        <f>_xll.BDH("GILD US Equity","ARDR_DERIVATIVE_ASSET_ST","FQ1 2020","FQ1 2020","Currency=USD","Period=FQ","BEST_FPERIOD_OVERRIDE=FQ","FILING_STATUS=MR","SCALING_FORMAT=MLN","Sort=A","Dates=H","DateFormat=P","Fill=—","Direction=H","UseDPDF=Y")</f>
        <v>69</v>
      </c>
      <c r="I97" s="13">
        <f>_xll.BDH("GILD US Equity","ARDR_DERIVATIVE_ASSET_ST","FQ2 2020","FQ2 2020","Currency=USD","Period=FQ","BEST_FPERIOD_OVERRIDE=FQ","FILING_STATUS=MR","SCALING_FORMAT=MLN","Sort=A","Dates=H","DateFormat=P","Fill=—","Direction=H","UseDPDF=Y")</f>
        <v>20</v>
      </c>
      <c r="J97" s="13">
        <f>_xll.BDH("GILD US Equity","ARDR_DERIVATIVE_ASSET_ST","FQ3 2020","FQ3 2020","Currency=USD","Period=FQ","BEST_FPERIOD_OVERRIDE=FQ","FILING_STATUS=MR","SCALING_FORMAT=MLN","Sort=A","Dates=H","DateFormat=P","Fill=—","Direction=H","UseDPDF=Y")</f>
        <v>4</v>
      </c>
      <c r="K97" s="13">
        <f>_xll.BDH("GILD US Equity","ARDR_DERIVATIVE_ASSET_ST","FQ4 2020","FQ4 2020","Currency=USD","Period=FQ","BEST_FPERIOD_OVERRIDE=FQ","FILING_STATUS=MR","SCALING_FORMAT=MLN","Sort=A","Dates=H","DateFormat=P","Fill=—","Direction=H","UseDPDF=Y")</f>
        <v>12</v>
      </c>
      <c r="L97" s="13">
        <f>_xll.BDH("GILD US Equity","ARDR_DERIVATIVE_ASSET_ST","FQ1 2021","FQ1 2021","Currency=USD","Period=FQ","BEST_FPERIOD_OVERRIDE=FQ","FILING_STATUS=MR","SCALING_FORMAT=MLN","Sort=A","Dates=H","DateFormat=P","Fill=—","Direction=H","UseDPDF=Y")</f>
        <v>32</v>
      </c>
      <c r="M97" s="13">
        <f>_xll.BDH("GILD US Equity","ARDR_DERIVATIVE_ASSET_ST","FQ2 2021","FQ2 2021","Currency=USD","Period=FQ","BEST_FPERIOD_OVERRIDE=FQ","FILING_STATUS=MR","SCALING_FORMAT=MLN","Sort=A","Dates=H","DateFormat=P","Fill=—","Direction=H","UseDPDF=Y")</f>
        <v>28</v>
      </c>
      <c r="N97" s="13">
        <f>_xll.BDH("GILD US Equity","ARDR_DERIVATIVE_ASSET_ST","FQ3 2021","FQ3 2021","Currency=USD","Period=FQ","BEST_FPERIOD_OVERRIDE=FQ","FILING_STATUS=MR","SCALING_FORMAT=MLN","Sort=A","Dates=H","DateFormat=P","Fill=—","Direction=H","UseDPDF=Y")</f>
        <v>55</v>
      </c>
      <c r="O97" s="13">
        <f>_xll.BDH("GILD US Equity","ARDR_DERIVATIVE_ASSET_ST","FQ4 2021","FQ4 2021","Currency=USD","Period=FQ","BEST_FPERIOD_OVERRIDE=FQ","FILING_STATUS=MR","SCALING_FORMAT=MLN","Sort=A","Dates=H","DateFormat=P","Fill=—","Direction=H","UseDPDF=Y")</f>
        <v>80</v>
      </c>
      <c r="P97" s="13">
        <f>_xll.BDH("GILD US Equity","ARDR_DERIVATIVE_ASSET_ST","FQ1 2022","FQ1 2022","Currency=USD","Period=FQ","BEST_FPERIOD_OVERRIDE=FQ","FILING_STATUS=MR","SCALING_FORMAT=MLN","Sort=A","Dates=H","DateFormat=P","Fill=—","Direction=H","UseDPDF=Y")</f>
        <v>80</v>
      </c>
      <c r="Q97" s="13">
        <f>_xll.BDH("GILD US Equity","ARDR_DERIVATIVE_ASSET_ST","FQ2 2022","FQ2 2022","Currency=USD","Period=FQ","BEST_FPERIOD_OVERRIDE=FQ","FILING_STATUS=MR","SCALING_FORMAT=MLN","Sort=A","Dates=H","DateFormat=P","Fill=—","Direction=H","UseDPDF=Y")</f>
        <v>132</v>
      </c>
      <c r="R97" s="13">
        <f>_xll.BDH("GILD US Equity","ARDR_DERIVATIVE_ASSET_ST","FQ3 2022","FQ3 2022","Currency=USD","Period=FQ","BEST_FPERIOD_OVERRIDE=FQ","FILING_STATUS=MR","SCALING_FORMAT=MLN","Sort=A","Dates=H","DateFormat=P","Fill=—","Direction=H","UseDPDF=Y")</f>
        <v>232</v>
      </c>
      <c r="S97" s="13">
        <f>_xll.BDH("GILD US Equity","ARDR_DERIVATIVE_ASSET_ST","FQ4 2022","FQ4 2022","Currency=USD","Period=FQ","BEST_FPERIOD_OVERRIDE=FQ","FILING_STATUS=MR","SCALING_FORMAT=MLN","Sort=A","Dates=H","DateFormat=P","Fill=—","Direction=H","UseDPDF=Y")</f>
        <v>59</v>
      </c>
      <c r="T97" s="13" t="str">
        <f>_xll.BDH("GILD US Equity","ARDR_DERIVATIVE_ASSET_ST","FQ1 2023","FQ1 2023","Currency=USD","Period=FQ","BEST_FPERIOD_OVERRIDE=FQ","FILING_STATUS=MR","SCALING_FORMAT=MLN","Sort=A","Dates=H","DateFormat=P","Fill=—","Direction=H","UseDPDF=Y")</f>
        <v>—</v>
      </c>
      <c r="U97" s="13" t="str">
        <f>_xll.BDH("GILD US Equity","ARDR_DERIVATIVE_ASSET_ST","FQ2 2023","FQ2 2023","Currency=USD","Period=FQ","BEST_FPERIOD_OVERRIDE=FQ","FILING_STATUS=MR","SCALING_FORMAT=MLN","Sort=A","Dates=H","DateFormat=P","Fill=—","Direction=H","UseDPDF=Y")</f>
        <v>—</v>
      </c>
      <c r="V97" s="13">
        <f>_xll.BDH("GILD US Equity","ARDR_DERIVATIVE_ASSET_ST","FQ3 2023","FQ3 2023","Currency=USD","Period=FQ","BEST_FPERIOD_OVERRIDE=FQ","FILING_STATUS=MR","SCALING_FORMAT=MLN","Sort=A","Dates=H","DateFormat=P","Fill=—","Direction=H","UseDPDF=Y")</f>
        <v>57</v>
      </c>
      <c r="W97" s="13">
        <f>_xll.BDH("GILD US Equity","ARDR_DERIVATIVE_ASSET_ST","FQ4 2023","FQ4 2023","Currency=USD","Period=FQ","BEST_FPERIOD_OVERRIDE=FQ","FILING_STATUS=MR","SCALING_FORMAT=MLN","Sort=A","Dates=H","DateFormat=P","Fill=—","Direction=H","UseDPDF=Y")</f>
        <v>6</v>
      </c>
      <c r="X97" s="13" t="str">
        <f>_xll.BDH("GILD US Equity","ARDR_DERIVATIVE_ASSET_ST","FQ1 2024","FQ1 2024","Currency=USD","Period=FQ","BEST_FPERIOD_OVERRIDE=FQ","FILING_STATUS=MR","SCALING_FORMAT=MLN","Sort=A","Dates=H","DateFormat=P","Fill=—","Direction=H","UseDPDF=Y")</f>
        <v>—</v>
      </c>
      <c r="Y97" s="13" t="str">
        <f>_xll.BDH("GILD US Equity","ARDR_DERIVATIVE_ASSET_ST","FQ2 2024","FQ2 2024","Currency=USD","Period=FQ","BEST_FPERIOD_OVERRIDE=FQ","FILING_STATUS=MR","SCALING_FORMAT=MLN","Sort=A","Dates=H","DateFormat=P","Fill=—","Direction=H","UseDPDF=Y")</f>
        <v>—</v>
      </c>
      <c r="Z97" s="13">
        <f>_xll.BDH("GILD US Equity","ARDR_DERIVATIVE_ASSET_ST","FQ3 2024","FQ3 2024","Currency=USD","Period=FQ","BEST_FPERIOD_OVERRIDE=FQ","FILING_STATUS=MR","SCALING_FORMAT=MLN","Sort=A","Dates=H","DateFormat=P","Fill=—","Direction=H","UseDPDF=Y")</f>
        <v>7</v>
      </c>
      <c r="AA97" s="13">
        <f>_xll.BDH("GILD US Equity","ARDR_DERIVATIVE_ASSET_ST","FQ4 2024","FQ4 2024","Currency=USD","Period=FQ","BEST_FPERIOD_OVERRIDE=FQ","FILING_STATUS=MR","SCALING_FORMAT=MLN","Sort=A","Dates=H","DateFormat=P","Fill=—","Direction=H","UseDPDF=Y")</f>
        <v>128</v>
      </c>
    </row>
    <row r="98" spans="1:27" x14ac:dyDescent="0.25">
      <c r="A98" s="10" t="s">
        <v>1054</v>
      </c>
      <c r="B98" s="10" t="s">
        <v>1055</v>
      </c>
      <c r="C98" s="13">
        <f>_xll.BDH("GILD US Equity","ARDR_DERIVATIVE_ASSET_LT","FQ4 2018","FQ4 2018","Currency=USD","Period=FQ","BEST_FPERIOD_OVERRIDE=FQ","FILING_STATUS=MR","SCALING_FORMAT=MLN","Sort=A","Dates=H","DateFormat=P","Fill=—","Direction=H","UseDPDF=Y")</f>
        <v>5</v>
      </c>
      <c r="D98" s="13">
        <f>_xll.BDH("GILD US Equity","ARDR_DERIVATIVE_ASSET_LT","FQ1 2019","FQ1 2019","Currency=USD","Period=FQ","BEST_FPERIOD_OVERRIDE=FQ","FILING_STATUS=MR","SCALING_FORMAT=MLN","Sort=A","Dates=H","DateFormat=P","Fill=—","Direction=H","UseDPDF=Y")</f>
        <v>3</v>
      </c>
      <c r="E98" s="13">
        <f>_xll.BDH("GILD US Equity","ARDR_DERIVATIVE_ASSET_LT","FQ2 2019","FQ2 2019","Currency=USD","Period=FQ","BEST_FPERIOD_OVERRIDE=FQ","FILING_STATUS=MR","SCALING_FORMAT=MLN","Sort=A","Dates=H","DateFormat=P","Fill=—","Direction=H","UseDPDF=Y")</f>
        <v>1</v>
      </c>
      <c r="F98" s="13">
        <f>_xll.BDH("GILD US Equity","ARDR_DERIVATIVE_ASSET_LT","FQ3 2019","FQ3 2019","Currency=USD","Period=FQ","BEST_FPERIOD_OVERRIDE=FQ","FILING_STATUS=MR","SCALING_FORMAT=MLN","Sort=A","Dates=H","DateFormat=P","Fill=—","Direction=H","UseDPDF=Y")</f>
        <v>5</v>
      </c>
      <c r="G98" s="13">
        <f>_xll.BDH("GILD US Equity","ARDR_DERIVATIVE_ASSET_LT","FQ4 2019","FQ4 2019","Currency=USD","Period=FQ","BEST_FPERIOD_OVERRIDE=FQ","FILING_STATUS=MR","SCALING_FORMAT=MLN","Sort=A","Dates=H","DateFormat=P","Fill=—","Direction=H","UseDPDF=Y")</f>
        <v>0</v>
      </c>
      <c r="H98" s="13">
        <f>_xll.BDH("GILD US Equity","ARDR_DERIVATIVE_ASSET_LT","FQ1 2020","FQ1 2020","Currency=USD","Period=FQ","BEST_FPERIOD_OVERRIDE=FQ","FILING_STATUS=MR","SCALING_FORMAT=MLN","Sort=A","Dates=H","DateFormat=P","Fill=—","Direction=H","UseDPDF=Y")</f>
        <v>7</v>
      </c>
      <c r="I98" s="13">
        <f>_xll.BDH("GILD US Equity","ARDR_DERIVATIVE_ASSET_LT","FQ2 2020","FQ2 2020","Currency=USD","Period=FQ","BEST_FPERIOD_OVERRIDE=FQ","FILING_STATUS=MR","SCALING_FORMAT=MLN","Sort=A","Dates=H","DateFormat=P","Fill=—","Direction=H","UseDPDF=Y")</f>
        <v>1</v>
      </c>
      <c r="J98" s="13">
        <f>_xll.BDH("GILD US Equity","ARDR_DERIVATIVE_ASSET_LT","FQ3 2020","FQ3 2020","Currency=USD","Period=FQ","BEST_FPERIOD_OVERRIDE=FQ","FILING_STATUS=MR","SCALING_FORMAT=MLN","Sort=A","Dates=H","DateFormat=P","Fill=—","Direction=H","UseDPDF=Y")</f>
        <v>2</v>
      </c>
      <c r="K98" s="13">
        <f>_xll.BDH("GILD US Equity","ARDR_DERIVATIVE_ASSET_LT","FQ4 2020","FQ4 2020","Currency=USD","Period=FQ","BEST_FPERIOD_OVERRIDE=FQ","FILING_STATUS=MR","SCALING_FORMAT=MLN","Sort=A","Dates=H","DateFormat=P","Fill=—","Direction=H","UseDPDF=Y")</f>
        <v>0</v>
      </c>
      <c r="L98" s="13">
        <f>_xll.BDH("GILD US Equity","ARDR_DERIVATIVE_ASSET_LT","FQ1 2021","FQ1 2021","Currency=USD","Period=FQ","BEST_FPERIOD_OVERRIDE=FQ","FILING_STATUS=MR","SCALING_FORMAT=MLN","Sort=A","Dates=H","DateFormat=P","Fill=—","Direction=H","UseDPDF=Y")</f>
        <v>0</v>
      </c>
      <c r="M98" s="13">
        <f>_xll.BDH("GILD US Equity","ARDR_DERIVATIVE_ASSET_LT","FQ2 2021","FQ2 2021","Currency=USD","Period=FQ","BEST_FPERIOD_OVERRIDE=FQ","FILING_STATUS=MR","SCALING_FORMAT=MLN","Sort=A","Dates=H","DateFormat=P","Fill=—","Direction=H","UseDPDF=Y")</f>
        <v>0</v>
      </c>
      <c r="N98" s="13">
        <f>_xll.BDH("GILD US Equity","ARDR_DERIVATIVE_ASSET_LT","FQ3 2021","FQ3 2021","Currency=USD","Period=FQ","BEST_FPERIOD_OVERRIDE=FQ","FILING_STATUS=MR","SCALING_FORMAT=MLN","Sort=A","Dates=H","DateFormat=P","Fill=—","Direction=H","UseDPDF=Y")</f>
        <v>0</v>
      </c>
      <c r="O98" s="13">
        <f>_xll.BDH("GILD US Equity","ARDR_DERIVATIVE_ASSET_LT","FQ4 2021","FQ4 2021","Currency=USD","Period=FQ","BEST_FPERIOD_OVERRIDE=FQ","FILING_STATUS=MR","SCALING_FORMAT=MLN","Sort=A","Dates=H","DateFormat=P","Fill=—","Direction=H","UseDPDF=Y")</f>
        <v>0</v>
      </c>
      <c r="P98" s="13">
        <f>_xll.BDH("GILD US Equity","ARDR_DERIVATIVE_ASSET_LT","FQ1 2022","FQ1 2022","Currency=USD","Period=FQ","BEST_FPERIOD_OVERRIDE=FQ","FILING_STATUS=MR","SCALING_FORMAT=MLN","Sort=A","Dates=H","DateFormat=P","Fill=—","Direction=H","UseDPDF=Y")</f>
        <v>3</v>
      </c>
      <c r="Q98" s="13">
        <f>_xll.BDH("GILD US Equity","ARDR_DERIVATIVE_ASSET_LT","FQ2 2022","FQ2 2022","Currency=USD","Period=FQ","BEST_FPERIOD_OVERRIDE=FQ","FILING_STATUS=MR","SCALING_FORMAT=MLN","Sort=A","Dates=H","DateFormat=P","Fill=—","Direction=H","UseDPDF=Y")</f>
        <v>4</v>
      </c>
      <c r="R98" s="13">
        <f>_xll.BDH("GILD US Equity","ARDR_DERIVATIVE_ASSET_LT","FQ3 2022","FQ3 2022","Currency=USD","Period=FQ","BEST_FPERIOD_OVERRIDE=FQ","FILING_STATUS=MR","SCALING_FORMAT=MLN","Sort=A","Dates=H","DateFormat=P","Fill=—","Direction=H","UseDPDF=Y")</f>
        <v>10</v>
      </c>
      <c r="S98" s="13">
        <f>_xll.BDH("GILD US Equity","ARDR_DERIVATIVE_ASSET_LT","FQ4 2022","FQ4 2022","Currency=USD","Period=FQ","BEST_FPERIOD_OVERRIDE=FQ","FILING_STATUS=MR","SCALING_FORMAT=MLN","Sort=A","Dates=H","DateFormat=P","Fill=—","Direction=H","UseDPDF=Y")</f>
        <v>1</v>
      </c>
      <c r="T98" s="13" t="str">
        <f>_xll.BDH("GILD US Equity","ARDR_DERIVATIVE_ASSET_LT","FQ1 2023","FQ1 2023","Currency=USD","Period=FQ","BEST_FPERIOD_OVERRIDE=FQ","FILING_STATUS=MR","SCALING_FORMAT=MLN","Sort=A","Dates=H","DateFormat=P","Fill=—","Direction=H","UseDPDF=Y")</f>
        <v>—</v>
      </c>
      <c r="U98" s="13" t="str">
        <f>_xll.BDH("GILD US Equity","ARDR_DERIVATIVE_ASSET_LT","FQ2 2023","FQ2 2023","Currency=USD","Period=FQ","BEST_FPERIOD_OVERRIDE=FQ","FILING_STATUS=MR","SCALING_FORMAT=MLN","Sort=A","Dates=H","DateFormat=P","Fill=—","Direction=H","UseDPDF=Y")</f>
        <v>—</v>
      </c>
      <c r="V98" s="13">
        <f>_xll.BDH("GILD US Equity","ARDR_DERIVATIVE_ASSET_LT","FQ3 2023","FQ3 2023","Currency=USD","Period=FQ","BEST_FPERIOD_OVERRIDE=FQ","FILING_STATUS=MR","SCALING_FORMAT=MLN","Sort=A","Dates=H","DateFormat=P","Fill=—","Direction=H","UseDPDF=Y")</f>
        <v>10</v>
      </c>
      <c r="W98" s="13">
        <f>_xll.BDH("GILD US Equity","ARDR_DERIVATIVE_ASSET_LT","FQ4 2023","FQ4 2023","Currency=USD","Period=FQ","BEST_FPERIOD_OVERRIDE=FQ","FILING_STATUS=MR","SCALING_FORMAT=MLN","Sort=A","Dates=H","DateFormat=P","Fill=—","Direction=H","UseDPDF=Y")</f>
        <v>1</v>
      </c>
      <c r="X98" s="13" t="str">
        <f>_xll.BDH("GILD US Equity","ARDR_DERIVATIVE_ASSET_LT","FQ1 2024","FQ1 2024","Currency=USD","Period=FQ","BEST_FPERIOD_OVERRIDE=FQ","FILING_STATUS=MR","SCALING_FORMAT=MLN","Sort=A","Dates=H","DateFormat=P","Fill=—","Direction=H","UseDPDF=Y")</f>
        <v>—</v>
      </c>
      <c r="Y98" s="13" t="str">
        <f>_xll.BDH("GILD US Equity","ARDR_DERIVATIVE_ASSET_LT","FQ2 2024","FQ2 2024","Currency=USD","Period=FQ","BEST_FPERIOD_OVERRIDE=FQ","FILING_STATUS=MR","SCALING_FORMAT=MLN","Sort=A","Dates=H","DateFormat=P","Fill=—","Direction=H","UseDPDF=Y")</f>
        <v>—</v>
      </c>
      <c r="Z98" s="13">
        <f>_xll.BDH("GILD US Equity","ARDR_DERIVATIVE_ASSET_LT","FQ3 2024","FQ3 2024","Currency=USD","Period=FQ","BEST_FPERIOD_OVERRIDE=FQ","FILING_STATUS=MR","SCALING_FORMAT=MLN","Sort=A","Dates=H","DateFormat=P","Fill=—","Direction=H","UseDPDF=Y")</f>
        <v>0</v>
      </c>
      <c r="AA98" s="13" t="str">
        <f>_xll.BDH("GILD US Equity","ARDR_DERIVATIVE_ASSET_LT","FQ4 2024","FQ4 2024","Currency=USD","Period=FQ","BEST_FPERIOD_OVERRIDE=FQ","FILING_STATUS=MR","SCALING_FORMAT=MLN","Sort=A","Dates=H","DateFormat=P","Fill=—","Direction=H","UseDPDF=Y")</f>
        <v>—</v>
      </c>
    </row>
    <row r="99" spans="1:27" x14ac:dyDescent="0.25">
      <c r="A99" s="10" t="s">
        <v>1056</v>
      </c>
      <c r="B99" s="10" t="s">
        <v>1057</v>
      </c>
      <c r="C99" s="13" t="str">
        <f>_xll.BDH("GILD US Equity","ARDR_DERIVATIVE_LIABILITIES_ST","FQ4 2018","FQ4 2018","Currency=USD","Period=FQ","BEST_FPERIOD_OVERRIDE=FQ","FILING_STATUS=MR","SCALING_FORMAT=MLN","Sort=A","Dates=H","DateFormat=P","Fill=—","Direction=H","UseDPDF=Y")</f>
        <v>—</v>
      </c>
      <c r="D99" s="13" t="str">
        <f>_xll.BDH("GILD US Equity","ARDR_DERIVATIVE_LIABILITIES_ST","FQ1 2019","FQ1 2019","Currency=USD","Period=FQ","BEST_FPERIOD_OVERRIDE=FQ","FILING_STATUS=MR","SCALING_FORMAT=MLN","Sort=A","Dates=H","DateFormat=P","Fill=—","Direction=H","UseDPDF=Y")</f>
        <v>—</v>
      </c>
      <c r="E99" s="13" t="str">
        <f>_xll.BDH("GILD US Equity","ARDR_DERIVATIVE_LIABILITIES_ST","FQ2 2019","FQ2 2019","Currency=USD","Period=FQ","BEST_FPERIOD_OVERRIDE=FQ","FILING_STATUS=MR","SCALING_FORMAT=MLN","Sort=A","Dates=H","DateFormat=P","Fill=—","Direction=H","UseDPDF=Y")</f>
        <v>—</v>
      </c>
      <c r="F99" s="13" t="str">
        <f>_xll.BDH("GILD US Equity","ARDR_DERIVATIVE_LIABILITIES_ST","FQ3 2019","FQ3 2019","Currency=USD","Period=FQ","BEST_FPERIOD_OVERRIDE=FQ","FILING_STATUS=MR","SCALING_FORMAT=MLN","Sort=A","Dates=H","DateFormat=P","Fill=—","Direction=H","UseDPDF=Y")</f>
        <v>—</v>
      </c>
      <c r="G99" s="13" t="str">
        <f>_xll.BDH("GILD US Equity","ARDR_DERIVATIVE_LIABILITIES_ST","FQ4 2019","FQ4 2019","Currency=USD","Period=FQ","BEST_FPERIOD_OVERRIDE=FQ","FILING_STATUS=MR","SCALING_FORMAT=MLN","Sort=A","Dates=H","DateFormat=P","Fill=—","Direction=H","UseDPDF=Y")</f>
        <v>—</v>
      </c>
      <c r="H99" s="13" t="str">
        <f>_xll.BDH("GILD US Equity","ARDR_DERIVATIVE_LIABILITIES_ST","FQ1 2020","FQ1 2020","Currency=USD","Period=FQ","BEST_FPERIOD_OVERRIDE=FQ","FILING_STATUS=MR","SCALING_FORMAT=MLN","Sort=A","Dates=H","DateFormat=P","Fill=—","Direction=H","UseDPDF=Y")</f>
        <v>—</v>
      </c>
      <c r="I99" s="13" t="str">
        <f>_xll.BDH("GILD US Equity","ARDR_DERIVATIVE_LIABILITIES_ST","FQ2 2020","FQ2 2020","Currency=USD","Period=FQ","BEST_FPERIOD_OVERRIDE=FQ","FILING_STATUS=MR","SCALING_FORMAT=MLN","Sort=A","Dates=H","DateFormat=P","Fill=—","Direction=H","UseDPDF=Y")</f>
        <v>—</v>
      </c>
      <c r="J99" s="13" t="str">
        <f>_xll.BDH("GILD US Equity","ARDR_DERIVATIVE_LIABILITIES_ST","FQ3 2020","FQ3 2020","Currency=USD","Period=FQ","BEST_FPERIOD_OVERRIDE=FQ","FILING_STATUS=MR","SCALING_FORMAT=MLN","Sort=A","Dates=H","DateFormat=P","Fill=—","Direction=H","UseDPDF=Y")</f>
        <v>—</v>
      </c>
      <c r="K99" s="13" t="str">
        <f>_xll.BDH("GILD US Equity","ARDR_DERIVATIVE_LIABILITIES_ST","FQ4 2020","FQ4 2020","Currency=USD","Period=FQ","BEST_FPERIOD_OVERRIDE=FQ","FILING_STATUS=MR","SCALING_FORMAT=MLN","Sort=A","Dates=H","DateFormat=P","Fill=—","Direction=H","UseDPDF=Y")</f>
        <v>—</v>
      </c>
      <c r="L99" s="13" t="str">
        <f>_xll.BDH("GILD US Equity","ARDR_DERIVATIVE_LIABILITIES_ST","FQ1 2021","FQ1 2021","Currency=USD","Period=FQ","BEST_FPERIOD_OVERRIDE=FQ","FILING_STATUS=MR","SCALING_FORMAT=MLN","Sort=A","Dates=H","DateFormat=P","Fill=—","Direction=H","UseDPDF=Y")</f>
        <v>—</v>
      </c>
      <c r="M99" s="13" t="str">
        <f>_xll.BDH("GILD US Equity","ARDR_DERIVATIVE_LIABILITIES_ST","FQ2 2021","FQ2 2021","Currency=USD","Period=FQ","BEST_FPERIOD_OVERRIDE=FQ","FILING_STATUS=MR","SCALING_FORMAT=MLN","Sort=A","Dates=H","DateFormat=P","Fill=—","Direction=H","UseDPDF=Y")</f>
        <v>—</v>
      </c>
      <c r="N99" s="13" t="str">
        <f>_xll.BDH("GILD US Equity","ARDR_DERIVATIVE_LIABILITIES_ST","FQ3 2021","FQ3 2021","Currency=USD","Period=FQ","BEST_FPERIOD_OVERRIDE=FQ","FILING_STATUS=MR","SCALING_FORMAT=MLN","Sort=A","Dates=H","DateFormat=P","Fill=—","Direction=H","UseDPDF=Y")</f>
        <v>—</v>
      </c>
      <c r="O99" s="13" t="str">
        <f>_xll.BDH("GILD US Equity","ARDR_DERIVATIVE_LIABILITIES_ST","FQ4 2021","FQ4 2021","Currency=USD","Period=FQ","BEST_FPERIOD_OVERRIDE=FQ","FILING_STATUS=MR","SCALING_FORMAT=MLN","Sort=A","Dates=H","DateFormat=P","Fill=—","Direction=H","UseDPDF=Y")</f>
        <v>—</v>
      </c>
      <c r="P99" s="13" t="str">
        <f>_xll.BDH("GILD US Equity","ARDR_DERIVATIVE_LIABILITIES_ST","FQ1 2022","FQ1 2022","Currency=USD","Period=FQ","BEST_FPERIOD_OVERRIDE=FQ","FILING_STATUS=MR","SCALING_FORMAT=MLN","Sort=A","Dates=H","DateFormat=P","Fill=—","Direction=H","UseDPDF=Y")</f>
        <v>—</v>
      </c>
      <c r="Q99" s="13" t="str">
        <f>_xll.BDH("GILD US Equity","ARDR_DERIVATIVE_LIABILITIES_ST","FQ2 2022","FQ2 2022","Currency=USD","Period=FQ","BEST_FPERIOD_OVERRIDE=FQ","FILING_STATUS=MR","SCALING_FORMAT=MLN","Sort=A","Dates=H","DateFormat=P","Fill=—","Direction=H","UseDPDF=Y")</f>
        <v>—</v>
      </c>
      <c r="R99" s="13" t="str">
        <f>_xll.BDH("GILD US Equity","ARDR_DERIVATIVE_LIABILITIES_ST","FQ3 2022","FQ3 2022","Currency=USD","Period=FQ","BEST_FPERIOD_OVERRIDE=FQ","FILING_STATUS=MR","SCALING_FORMAT=MLN","Sort=A","Dates=H","DateFormat=P","Fill=—","Direction=H","UseDPDF=Y")</f>
        <v>—</v>
      </c>
      <c r="S99" s="13" t="str">
        <f>_xll.BDH("GILD US Equity","ARDR_DERIVATIVE_LIABILITIES_ST","FQ4 2022","FQ4 2022","Currency=USD","Period=FQ","BEST_FPERIOD_OVERRIDE=FQ","FILING_STATUS=MR","SCALING_FORMAT=MLN","Sort=A","Dates=H","DateFormat=P","Fill=—","Direction=H","UseDPDF=Y")</f>
        <v>—</v>
      </c>
      <c r="T99" s="13" t="str">
        <f>_xll.BDH("GILD US Equity","ARDR_DERIVATIVE_LIABILITIES_ST","FQ1 2023","FQ1 2023","Currency=USD","Period=FQ","BEST_FPERIOD_OVERRIDE=FQ","FILING_STATUS=MR","SCALING_FORMAT=MLN","Sort=A","Dates=H","DateFormat=P","Fill=—","Direction=H","UseDPDF=Y")</f>
        <v>—</v>
      </c>
      <c r="U99" s="13" t="str">
        <f>_xll.BDH("GILD US Equity","ARDR_DERIVATIVE_LIABILITIES_ST","FQ2 2023","FQ2 2023","Currency=USD","Period=FQ","BEST_FPERIOD_OVERRIDE=FQ","FILING_STATUS=MR","SCALING_FORMAT=MLN","Sort=A","Dates=H","DateFormat=P","Fill=—","Direction=H","UseDPDF=Y")</f>
        <v>—</v>
      </c>
      <c r="V99" s="13" t="str">
        <f>_xll.BDH("GILD US Equity","ARDR_DERIVATIVE_LIABILITIES_ST","FQ3 2023","FQ3 2023","Currency=USD","Period=FQ","BEST_FPERIOD_OVERRIDE=FQ","FILING_STATUS=MR","SCALING_FORMAT=MLN","Sort=A","Dates=H","DateFormat=P","Fill=—","Direction=H","UseDPDF=Y")</f>
        <v>—</v>
      </c>
      <c r="W99" s="13" t="str">
        <f>_xll.BDH("GILD US Equity","ARDR_DERIVATIVE_LIABILITIES_ST","FQ4 2023","FQ4 2023","Currency=USD","Period=FQ","BEST_FPERIOD_OVERRIDE=FQ","FILING_STATUS=MR","SCALING_FORMAT=MLN","Sort=A","Dates=H","DateFormat=P","Fill=—","Direction=H","UseDPDF=Y")</f>
        <v>—</v>
      </c>
      <c r="X99" s="13" t="str">
        <f>_xll.BDH("GILD US Equity","ARDR_DERIVATIVE_LIABILITIES_ST","FQ1 2024","FQ1 2024","Currency=USD","Period=FQ","BEST_FPERIOD_OVERRIDE=FQ","FILING_STATUS=MR","SCALING_FORMAT=MLN","Sort=A","Dates=H","DateFormat=P","Fill=—","Direction=H","UseDPDF=Y")</f>
        <v>—</v>
      </c>
      <c r="Y99" s="13" t="str">
        <f>_xll.BDH("GILD US Equity","ARDR_DERIVATIVE_LIABILITIES_ST","FQ2 2024","FQ2 2024","Currency=USD","Period=FQ","BEST_FPERIOD_OVERRIDE=FQ","FILING_STATUS=MR","SCALING_FORMAT=MLN","Sort=A","Dates=H","DateFormat=P","Fill=—","Direction=H","UseDPDF=Y")</f>
        <v>—</v>
      </c>
      <c r="Z99" s="13">
        <f>_xll.BDH("GILD US Equity","ARDR_DERIVATIVE_LIABILITIES_ST","FQ3 2024","FQ3 2024","Currency=USD","Period=FQ","BEST_FPERIOD_OVERRIDE=FQ","FILING_STATUS=MR","SCALING_FORMAT=MLN","Sort=A","Dates=H","DateFormat=P","Fill=—","Direction=H","UseDPDF=Y")</f>
        <v>34</v>
      </c>
      <c r="AA99" s="13" t="str">
        <f>_xll.BDH("GILD US Equity","ARDR_DERIVATIVE_LIABILITIES_ST","FQ4 2024","FQ4 2024","Currency=USD","Period=FQ","BEST_FPERIOD_OVERRIDE=FQ","FILING_STATUS=MR","SCALING_FORMAT=MLN","Sort=A","Dates=H","DateFormat=P","Fill=—","Direction=H","UseDPDF=Y")</f>
        <v>—</v>
      </c>
    </row>
    <row r="100" spans="1:27" x14ac:dyDescent="0.25">
      <c r="A100" s="10" t="s">
        <v>1058</v>
      </c>
      <c r="B100" s="10" t="s">
        <v>1059</v>
      </c>
      <c r="C100" s="13">
        <f>_xll.BDH("GILD US Equity","ARDR_DERIVATIVE_LIABILITIES_LT","FQ4 2018","FQ4 2018","Currency=USD","Period=FQ","BEST_FPERIOD_OVERRIDE=FQ","FILING_STATUS=MR","SCALING_FORMAT=MLN","Sort=A","Dates=H","DateFormat=P","Fill=—","Direction=H","UseDPDF=Y")</f>
        <v>0</v>
      </c>
      <c r="D100" s="13">
        <f>_xll.BDH("GILD US Equity","ARDR_DERIVATIVE_LIABILITIES_LT","FQ1 2019","FQ1 2019","Currency=USD","Period=FQ","BEST_FPERIOD_OVERRIDE=FQ","FILING_STATUS=MR","SCALING_FORMAT=MLN","Sort=A","Dates=H","DateFormat=P","Fill=—","Direction=H","UseDPDF=Y")</f>
        <v>1</v>
      </c>
      <c r="E100" s="13">
        <f>_xll.BDH("GILD US Equity","ARDR_DERIVATIVE_LIABILITIES_LT","FQ2 2019","FQ2 2019","Currency=USD","Period=FQ","BEST_FPERIOD_OVERRIDE=FQ","FILING_STATUS=MR","SCALING_FORMAT=MLN","Sort=A","Dates=H","DateFormat=P","Fill=—","Direction=H","UseDPDF=Y")</f>
        <v>2</v>
      </c>
      <c r="F100" s="13">
        <f>_xll.BDH("GILD US Equity","ARDR_DERIVATIVE_LIABILITIES_LT","FQ3 2019","FQ3 2019","Currency=USD","Period=FQ","BEST_FPERIOD_OVERRIDE=FQ","FILING_STATUS=MR","SCALING_FORMAT=MLN","Sort=A","Dates=H","DateFormat=P","Fill=—","Direction=H","UseDPDF=Y")</f>
        <v>0</v>
      </c>
      <c r="G100" s="13">
        <f>_xll.BDH("GILD US Equity","ARDR_DERIVATIVE_LIABILITIES_LT","FQ4 2019","FQ4 2019","Currency=USD","Period=FQ","BEST_FPERIOD_OVERRIDE=FQ","FILING_STATUS=MR","SCALING_FORMAT=MLN","Sort=A","Dates=H","DateFormat=P","Fill=—","Direction=H","UseDPDF=Y")</f>
        <v>2</v>
      </c>
      <c r="H100" s="13">
        <f>_xll.BDH("GILD US Equity","ARDR_DERIVATIVE_LIABILITIES_LT","FQ1 2020","FQ1 2020","Currency=USD","Period=FQ","BEST_FPERIOD_OVERRIDE=FQ","FILING_STATUS=MR","SCALING_FORMAT=MLN","Sort=A","Dates=H","DateFormat=P","Fill=—","Direction=H","UseDPDF=Y")</f>
        <v>1</v>
      </c>
      <c r="I100" s="13">
        <f>_xll.BDH("GILD US Equity","ARDR_DERIVATIVE_LIABILITIES_LT","FQ2 2020","FQ2 2020","Currency=USD","Period=FQ","BEST_FPERIOD_OVERRIDE=FQ","FILING_STATUS=MR","SCALING_FORMAT=MLN","Sort=A","Dates=H","DateFormat=P","Fill=—","Direction=H","UseDPDF=Y")</f>
        <v>5</v>
      </c>
      <c r="J100" s="13">
        <f>_xll.BDH("GILD US Equity","ARDR_DERIVATIVE_LIABILITIES_LT","FQ3 2020","FQ3 2020","Currency=USD","Period=FQ","BEST_FPERIOD_OVERRIDE=FQ","FILING_STATUS=MR","SCALING_FORMAT=MLN","Sort=A","Dates=H","DateFormat=P","Fill=—","Direction=H","UseDPDF=Y")</f>
        <v>5</v>
      </c>
      <c r="K100" s="13">
        <f>_xll.BDH("GILD US Equity","ARDR_DERIVATIVE_LIABILITIES_LT","FQ4 2020","FQ4 2020","Currency=USD","Period=FQ","BEST_FPERIOD_OVERRIDE=FQ","FILING_STATUS=MR","SCALING_FORMAT=MLN","Sort=A","Dates=H","DateFormat=P","Fill=—","Direction=H","UseDPDF=Y")</f>
        <v>7</v>
      </c>
      <c r="L100" s="13">
        <f>_xll.BDH("GILD US Equity","ARDR_DERIVATIVE_LIABILITIES_LT","FQ1 2021","FQ1 2021","Currency=USD","Period=FQ","BEST_FPERIOD_OVERRIDE=FQ","FILING_STATUS=MR","SCALING_FORMAT=MLN","Sort=A","Dates=H","DateFormat=P","Fill=—","Direction=H","UseDPDF=Y")</f>
        <v>0</v>
      </c>
      <c r="M100" s="13">
        <f>_xll.BDH("GILD US Equity","ARDR_DERIVATIVE_LIABILITIES_LT","FQ2 2021","FQ2 2021","Currency=USD","Period=FQ","BEST_FPERIOD_OVERRIDE=FQ","FILING_STATUS=MR","SCALING_FORMAT=MLN","Sort=A","Dates=H","DateFormat=P","Fill=—","Direction=H","UseDPDF=Y")</f>
        <v>0</v>
      </c>
      <c r="N100" s="13">
        <f>_xll.BDH("GILD US Equity","ARDR_DERIVATIVE_LIABILITIES_LT","FQ3 2021","FQ3 2021","Currency=USD","Period=FQ","BEST_FPERIOD_OVERRIDE=FQ","FILING_STATUS=MR","SCALING_FORMAT=MLN","Sort=A","Dates=H","DateFormat=P","Fill=—","Direction=H","UseDPDF=Y")</f>
        <v>0</v>
      </c>
      <c r="O100" s="13">
        <f>_xll.BDH("GILD US Equity","ARDR_DERIVATIVE_LIABILITIES_LT","FQ4 2021","FQ4 2021","Currency=USD","Period=FQ","BEST_FPERIOD_OVERRIDE=FQ","FILING_STATUS=MR","SCALING_FORMAT=MLN","Sort=A","Dates=H","DateFormat=P","Fill=—","Direction=H","UseDPDF=Y")</f>
        <v>1</v>
      </c>
      <c r="P100" s="13">
        <f>_xll.BDH("GILD US Equity","ARDR_DERIVATIVE_LIABILITIES_LT","FQ1 2022","FQ1 2022","Currency=USD","Period=FQ","BEST_FPERIOD_OVERRIDE=FQ","FILING_STATUS=MR","SCALING_FORMAT=MLN","Sort=A","Dates=H","DateFormat=P","Fill=—","Direction=H","UseDPDF=Y")</f>
        <v>6</v>
      </c>
      <c r="Q100" s="13">
        <f>_xll.BDH("GILD US Equity","ARDR_DERIVATIVE_LIABILITIES_LT","FQ2 2022","FQ2 2022","Currency=USD","Period=FQ","BEST_FPERIOD_OVERRIDE=FQ","FILING_STATUS=MR","SCALING_FORMAT=MLN","Sort=A","Dates=H","DateFormat=P","Fill=—","Direction=H","UseDPDF=Y")</f>
        <v>0</v>
      </c>
      <c r="R100" s="13">
        <f>_xll.BDH("GILD US Equity","ARDR_DERIVATIVE_LIABILITIES_LT","FQ3 2022","FQ3 2022","Currency=USD","Period=FQ","BEST_FPERIOD_OVERRIDE=FQ","FILING_STATUS=MR","SCALING_FORMAT=MLN","Sort=A","Dates=H","DateFormat=P","Fill=—","Direction=H","UseDPDF=Y")</f>
        <v>2</v>
      </c>
      <c r="S100" s="13">
        <f>_xll.BDH("GILD US Equity","ARDR_DERIVATIVE_LIABILITIES_LT","FQ4 2022","FQ4 2022","Currency=USD","Period=FQ","BEST_FPERIOD_OVERRIDE=FQ","FILING_STATUS=MR","SCALING_FORMAT=MLN","Sort=A","Dates=H","DateFormat=P","Fill=—","Direction=H","UseDPDF=Y")</f>
        <v>9</v>
      </c>
      <c r="T100" s="13" t="str">
        <f>_xll.BDH("GILD US Equity","ARDR_DERIVATIVE_LIABILITIES_LT","FQ1 2023","FQ1 2023","Currency=USD","Period=FQ","BEST_FPERIOD_OVERRIDE=FQ","FILING_STATUS=MR","SCALING_FORMAT=MLN","Sort=A","Dates=H","DateFormat=P","Fill=—","Direction=H","UseDPDF=Y")</f>
        <v>—</v>
      </c>
      <c r="U100" s="13" t="str">
        <f>_xll.BDH("GILD US Equity","ARDR_DERIVATIVE_LIABILITIES_LT","FQ2 2023","FQ2 2023","Currency=USD","Period=FQ","BEST_FPERIOD_OVERRIDE=FQ","FILING_STATUS=MR","SCALING_FORMAT=MLN","Sort=A","Dates=H","DateFormat=P","Fill=—","Direction=H","UseDPDF=Y")</f>
        <v>—</v>
      </c>
      <c r="V100" s="13">
        <f>_xll.BDH("GILD US Equity","ARDR_DERIVATIVE_LIABILITIES_LT","FQ3 2023","FQ3 2023","Currency=USD","Period=FQ","BEST_FPERIOD_OVERRIDE=FQ","FILING_STATUS=MR","SCALING_FORMAT=MLN","Sort=A","Dates=H","DateFormat=P","Fill=—","Direction=H","UseDPDF=Y")</f>
        <v>0</v>
      </c>
      <c r="W100" s="13">
        <f>_xll.BDH("GILD US Equity","ARDR_DERIVATIVE_LIABILITIES_LT","FQ4 2023","FQ4 2023","Currency=USD","Period=FQ","BEST_FPERIOD_OVERRIDE=FQ","FILING_STATUS=MR","SCALING_FORMAT=MLN","Sort=A","Dates=H","DateFormat=P","Fill=—","Direction=H","UseDPDF=Y")</f>
        <v>7</v>
      </c>
      <c r="X100" s="13" t="str">
        <f>_xll.BDH("GILD US Equity","ARDR_DERIVATIVE_LIABILITIES_LT","FQ1 2024","FQ1 2024","Currency=USD","Period=FQ","BEST_FPERIOD_OVERRIDE=FQ","FILING_STATUS=MR","SCALING_FORMAT=MLN","Sort=A","Dates=H","DateFormat=P","Fill=—","Direction=H","UseDPDF=Y")</f>
        <v>—</v>
      </c>
      <c r="Y100" s="13" t="str">
        <f>_xll.BDH("GILD US Equity","ARDR_DERIVATIVE_LIABILITIES_LT","FQ2 2024","FQ2 2024","Currency=USD","Period=FQ","BEST_FPERIOD_OVERRIDE=FQ","FILING_STATUS=MR","SCALING_FORMAT=MLN","Sort=A","Dates=H","DateFormat=P","Fill=—","Direction=H","UseDPDF=Y")</f>
        <v>—</v>
      </c>
      <c r="Z100" s="13">
        <f>_xll.BDH("GILD US Equity","ARDR_DERIVATIVE_LIABILITIES_LT","FQ3 2024","FQ3 2024","Currency=USD","Period=FQ","BEST_FPERIOD_OVERRIDE=FQ","FILING_STATUS=MR","SCALING_FORMAT=MLN","Sort=A","Dates=H","DateFormat=P","Fill=—","Direction=H","UseDPDF=Y")</f>
        <v>6</v>
      </c>
      <c r="AA100" s="13">
        <f>_xll.BDH("GILD US Equity","ARDR_DERIVATIVE_LIABILITIES_LT","FQ4 2024","FQ4 2024","Currency=USD","Period=FQ","BEST_FPERIOD_OVERRIDE=FQ","FILING_STATUS=MR","SCALING_FORMAT=MLN","Sort=A","Dates=H","DateFormat=P","Fill=—","Direction=H","UseDPDF=Y")</f>
        <v>3</v>
      </c>
    </row>
    <row r="101" spans="1:27" x14ac:dyDescent="0.25">
      <c r="A101" s="10" t="s">
        <v>1060</v>
      </c>
      <c r="B101" s="10" t="s">
        <v>1061</v>
      </c>
      <c r="C101" s="13">
        <f>_xll.BDH("GILD US Equity","ARDR_SHARE_OUT_FROM_FRONT_COVER","FQ4 2018","FQ4 2018","Currency=USD","Period=FQ","BEST_FPERIOD_OVERRIDE=FQ","FILING_STATUS=MR","Sort=A","Dates=H","DateFormat=P","Fill=—","Direction=H","UseDPDF=Y")</f>
        <v>1275.5106000000001</v>
      </c>
      <c r="D101" s="13">
        <f>_xll.BDH("GILD US Equity","ARDR_SHARE_OUT_FROM_FRONT_COVER","FQ1 2019","FQ1 2019","Currency=USD","Period=FQ","BEST_FPERIOD_OVERRIDE=FQ","FILING_STATUS=MR","Sort=A","Dates=H","DateFormat=P","Fill=—","Direction=H","UseDPDF=Y")</f>
        <v>1271.5546999999999</v>
      </c>
      <c r="E101" s="13">
        <f>_xll.BDH("GILD US Equity","ARDR_SHARE_OUT_FROM_FRONT_COVER","FQ2 2019","FQ2 2019","Currency=USD","Period=FQ","BEST_FPERIOD_OVERRIDE=FQ","FILING_STATUS=MR","Sort=A","Dates=H","DateFormat=P","Fill=—","Direction=H","UseDPDF=Y")</f>
        <v>1266.4555</v>
      </c>
      <c r="F101" s="13">
        <f>_xll.BDH("GILD US Equity","ARDR_SHARE_OUT_FROM_FRONT_COVER","FQ3 2019","FQ3 2019","Currency=USD","Period=FQ","BEST_FPERIOD_OVERRIDE=FQ","FILING_STATUS=MR","Sort=A","Dates=H","DateFormat=P","Fill=—","Direction=H","UseDPDF=Y")</f>
        <v>1265.1456000000001</v>
      </c>
      <c r="G101" s="13">
        <f>_xll.BDH("GILD US Equity","ARDR_SHARE_OUT_FROM_FRONT_COVER","FQ4 2019","FQ4 2019","Currency=USD","Period=FQ","BEST_FPERIOD_OVERRIDE=FQ","FILING_STATUS=MR","Sort=A","Dates=H","DateFormat=P","Fill=—","Direction=H","UseDPDF=Y")</f>
        <v>1263.6367</v>
      </c>
      <c r="H101" s="13">
        <f>_xll.BDH("GILD US Equity","ARDR_SHARE_OUT_FROM_FRONT_COVER","FQ1 2020","FQ1 2020","Currency=USD","Period=FQ","BEST_FPERIOD_OVERRIDE=FQ","FILING_STATUS=MR","Sort=A","Dates=H","DateFormat=P","Fill=—","Direction=H","UseDPDF=Y")</f>
        <v>1254.3733999999999</v>
      </c>
      <c r="I101" s="13">
        <f>_xll.BDH("GILD US Equity","ARDR_SHARE_OUT_FROM_FRONT_COVER","FQ2 2020","FQ2 2020","Currency=USD","Period=FQ","BEST_FPERIOD_OVERRIDE=FQ","FILING_STATUS=MR","Sort=A","Dates=H","DateFormat=P","Fill=—","Direction=H","UseDPDF=Y")</f>
        <v>1253.7244000000001</v>
      </c>
      <c r="J101" s="13">
        <f>_xll.BDH("GILD US Equity","ARDR_SHARE_OUT_FROM_FRONT_COVER","FQ3 2020","FQ3 2020","Currency=USD","Period=FQ","BEST_FPERIOD_OVERRIDE=FQ","FILING_STATUS=MR","Sort=A","Dates=H","DateFormat=P","Fill=—","Direction=H","UseDPDF=Y")</f>
        <v>1253.5281</v>
      </c>
      <c r="K101" s="13">
        <f>_xll.BDH("GILD US Equity","ARDR_SHARE_OUT_FROM_FRONT_COVER","FQ4 2020","FQ4 2020","Currency=USD","Period=FQ","BEST_FPERIOD_OVERRIDE=FQ","FILING_STATUS=MR","Sort=A","Dates=H","DateFormat=P","Fill=—","Direction=H","UseDPDF=Y")</f>
        <v>1256.5932</v>
      </c>
      <c r="L101" s="13">
        <f>_xll.BDH("GILD US Equity","ARDR_SHARE_OUT_FROM_FRONT_COVER","FQ1 2021","FQ1 2021","Currency=USD","Period=FQ","BEST_FPERIOD_OVERRIDE=FQ","FILING_STATUS=MR","Sort=A","Dates=H","DateFormat=P","Fill=—","Direction=H","UseDPDF=Y")</f>
        <v>1254.1782000000001</v>
      </c>
      <c r="M101" s="13">
        <f>_xll.BDH("GILD US Equity","ARDR_SHARE_OUT_FROM_FRONT_COVER","FQ2 2021","FQ2 2021","Currency=USD","Period=FQ","BEST_FPERIOD_OVERRIDE=FQ","FILING_STATUS=MR","Sort=A","Dates=H","DateFormat=P","Fill=—","Direction=H","UseDPDF=Y")</f>
        <v>1253.8094000000001</v>
      </c>
      <c r="N101" s="13">
        <f>_xll.BDH("GILD US Equity","ARDR_SHARE_OUT_FROM_FRONT_COVER","FQ3 2021","FQ3 2021","Currency=USD","Period=FQ","BEST_FPERIOD_OVERRIDE=FQ","FILING_STATUS=MR","Sort=A","Dates=H","DateFormat=P","Fill=—","Direction=H","UseDPDF=Y")</f>
        <v>1253.8094000000001</v>
      </c>
      <c r="O101" s="13">
        <f>_xll.BDH("GILD US Equity","ARDR_SHARE_OUT_FROM_FRONT_COVER","FQ4 2021","FQ4 2021","Currency=USD","Period=FQ","BEST_FPERIOD_OVERRIDE=FQ","FILING_STATUS=MR","Sort=A","Dates=H","DateFormat=P","Fill=—","Direction=H","UseDPDF=Y")</f>
        <v>1253.8867</v>
      </c>
      <c r="P101" s="13">
        <f>_xll.BDH("GILD US Equity","ARDR_SHARE_OUT_FROM_FRONT_COVER","FQ1 2022","FQ1 2022","Currency=USD","Period=FQ","BEST_FPERIOD_OVERRIDE=FQ","FILING_STATUS=MR","Sort=A","Dates=H","DateFormat=P","Fill=—","Direction=H","UseDPDF=Y")</f>
        <v>1254.3134</v>
      </c>
      <c r="Q101" s="13">
        <f>_xll.BDH("GILD US Equity","ARDR_SHARE_OUT_FROM_FRONT_COVER","FQ2 2022","FQ2 2022","Currency=USD","Period=FQ","BEST_FPERIOD_OVERRIDE=FQ","FILING_STATUS=MR","Sort=A","Dates=H","DateFormat=P","Fill=—","Direction=H","UseDPDF=Y")</f>
        <v>1253.3674000000001</v>
      </c>
      <c r="R101" s="13">
        <f>_xll.BDH("GILD US Equity","ARDR_SHARE_OUT_FROM_FRONT_COVER","FQ3 2022","FQ3 2022","Currency=USD","Period=FQ","BEST_FPERIOD_OVERRIDE=FQ","FILING_STATUS=MR","Sort=A","Dates=H","DateFormat=P","Fill=—","Direction=H","UseDPDF=Y")</f>
        <v>1254.2438</v>
      </c>
      <c r="S101" s="13">
        <f>_xll.BDH("GILD US Equity","ARDR_SHARE_OUT_FROM_FRONT_COVER","FQ4 2022","FQ4 2022","Currency=USD","Period=FQ","BEST_FPERIOD_OVERRIDE=FQ","FILING_STATUS=MR","Sort=A","Dates=H","DateFormat=P","Fill=—","Direction=H","UseDPDF=Y")</f>
        <v>1247.1052</v>
      </c>
      <c r="T101" s="13">
        <f>_xll.BDH("GILD US Equity","ARDR_SHARE_OUT_FROM_FRONT_COVER","FQ1 2023","FQ1 2023","Currency=USD","Period=FQ","BEST_FPERIOD_OVERRIDE=FQ","FILING_STATUS=MR","Sort=A","Dates=H","DateFormat=P","Fill=—","Direction=H","UseDPDF=Y")</f>
        <v>1247.3526999999999</v>
      </c>
      <c r="U101" s="13">
        <f>_xll.BDH("GILD US Equity","ARDR_SHARE_OUT_FROM_FRONT_COVER","FQ2 2023","FQ2 2023","Currency=USD","Period=FQ","BEST_FPERIOD_OVERRIDE=FQ","FILING_STATUS=MR","Sort=A","Dates=H","DateFormat=P","Fill=—","Direction=H","UseDPDF=Y")</f>
        <v>1246.0144</v>
      </c>
      <c r="V101" s="13">
        <f>_xll.BDH("GILD US Equity","ARDR_SHARE_OUT_FROM_FRONT_COVER","FQ3 2023","FQ3 2023","Currency=USD","Period=FQ","BEST_FPERIOD_OVERRIDE=FQ","FILING_STATUS=MR","Sort=A","Dates=H","DateFormat=P","Fill=—","Direction=H","UseDPDF=Y")</f>
        <v>1246.0418999999999</v>
      </c>
      <c r="W101" s="13">
        <f>_xll.BDH("GILD US Equity","ARDR_SHARE_OUT_FROM_FRONT_COVER","FQ4 2023","FQ4 2023","Currency=USD","Period=FQ","BEST_FPERIOD_OVERRIDE=FQ","FILING_STATUS=MR","Sort=A","Dates=H","DateFormat=P","Fill=—","Direction=H","UseDPDF=Y")</f>
        <v>1245.7746</v>
      </c>
      <c r="X101" s="13">
        <f>_xll.BDH("GILD US Equity","ARDR_SHARE_OUT_FROM_FRONT_COVER","FQ1 2024","FQ1 2024","Currency=USD","Period=FQ","BEST_FPERIOD_OVERRIDE=FQ","FILING_STATUS=MR","Sort=A","Dates=H","DateFormat=P","Fill=—","Direction=H","UseDPDF=Y")</f>
        <v>1245.8532</v>
      </c>
      <c r="Y101" s="13">
        <f>_xll.BDH("GILD US Equity","ARDR_SHARE_OUT_FROM_FRONT_COVER","FQ2 2024","FQ2 2024","Currency=USD","Period=FQ","BEST_FPERIOD_OVERRIDE=FQ","FILING_STATUS=MR","Sort=A","Dates=H","DateFormat=P","Fill=—","Direction=H","UseDPDF=Y")</f>
        <v>1244.9920999999999</v>
      </c>
      <c r="Z101" s="13">
        <f>_xll.BDH("GILD US Equity","ARDR_SHARE_OUT_FROM_FRONT_COVER","FQ3 2024","FQ3 2024","Currency=USD","Period=FQ","BEST_FPERIOD_OVERRIDE=FQ","FILING_STATUS=MR","Sort=A","Dates=H","DateFormat=P","Fill=—","Direction=H","UseDPDF=Y")</f>
        <v>1246.2659000000001</v>
      </c>
      <c r="AA101" s="13">
        <f>_xll.BDH("GILD US Equity","ARDR_SHARE_OUT_FROM_FRONT_COVER","FQ4 2024","FQ4 2024","Currency=USD","Period=FQ","BEST_FPERIOD_OVERRIDE=FQ","FILING_STATUS=MR","Sort=A","Dates=H","DateFormat=P","Fill=—","Direction=H","UseDPDF=Y")</f>
        <v>1245.3461</v>
      </c>
    </row>
    <row r="102" spans="1:27" x14ac:dyDescent="0.25">
      <c r="A102" s="10" t="s">
        <v>1062</v>
      </c>
      <c r="B102" s="10" t="s">
        <v>1063</v>
      </c>
      <c r="C102" s="13" t="str">
        <f>_xll.BDH("GILD US Equity","ARDR_ACCCUM_AMORT_INTANG_ASSET","FQ4 2018","FQ4 2018","Currency=USD","Period=FQ","BEST_FPERIOD_OVERRIDE=FQ","FILING_STATUS=MR","SCALING_FORMAT=MLN","Sort=A","Dates=H","DateFormat=P","Fill=—","Direction=H","UseDPDF=Y")</f>
        <v>—</v>
      </c>
      <c r="D102" s="13" t="str">
        <f>_xll.BDH("GILD US Equity","ARDR_ACCCUM_AMORT_INTANG_ASSET","FQ1 2019","FQ1 2019","Currency=USD","Period=FQ","BEST_FPERIOD_OVERRIDE=FQ","FILING_STATUS=MR","SCALING_FORMAT=MLN","Sort=A","Dates=H","DateFormat=P","Fill=—","Direction=H","UseDPDF=Y")</f>
        <v>—</v>
      </c>
      <c r="E102" s="13" t="str">
        <f>_xll.BDH("GILD US Equity","ARDR_ACCCUM_AMORT_INTANG_ASSET","FQ2 2019","FQ2 2019","Currency=USD","Period=FQ","BEST_FPERIOD_OVERRIDE=FQ","FILING_STATUS=MR","SCALING_FORMAT=MLN","Sort=A","Dates=H","DateFormat=P","Fill=—","Direction=H","UseDPDF=Y")</f>
        <v>—</v>
      </c>
      <c r="F102" s="13" t="str">
        <f>_xll.BDH("GILD US Equity","ARDR_ACCCUM_AMORT_INTANG_ASSET","FQ3 2019","FQ3 2019","Currency=USD","Period=FQ","BEST_FPERIOD_OVERRIDE=FQ","FILING_STATUS=MR","SCALING_FORMAT=MLN","Sort=A","Dates=H","DateFormat=P","Fill=—","Direction=H","UseDPDF=Y")</f>
        <v>—</v>
      </c>
      <c r="G102" s="13" t="str">
        <f>_xll.BDH("GILD US Equity","ARDR_ACCCUM_AMORT_INTANG_ASSET","FQ4 2019","FQ4 2019","Currency=USD","Period=FQ","BEST_FPERIOD_OVERRIDE=FQ","FILING_STATUS=MR","SCALING_FORMAT=MLN","Sort=A","Dates=H","DateFormat=P","Fill=—","Direction=H","UseDPDF=Y")</f>
        <v>—</v>
      </c>
      <c r="H102" s="13" t="str">
        <f>_xll.BDH("GILD US Equity","ARDR_ACCCUM_AMORT_INTANG_ASSET","FQ1 2020","FQ1 2020","Currency=USD","Period=FQ","BEST_FPERIOD_OVERRIDE=FQ","FILING_STATUS=MR","SCALING_FORMAT=MLN","Sort=A","Dates=H","DateFormat=P","Fill=—","Direction=H","UseDPDF=Y")</f>
        <v>—</v>
      </c>
      <c r="I102" s="13" t="str">
        <f>_xll.BDH("GILD US Equity","ARDR_ACCCUM_AMORT_INTANG_ASSET","FQ2 2020","FQ2 2020","Currency=USD","Period=FQ","BEST_FPERIOD_OVERRIDE=FQ","FILING_STATUS=MR","SCALING_FORMAT=MLN","Sort=A","Dates=H","DateFormat=P","Fill=—","Direction=H","UseDPDF=Y")</f>
        <v>—</v>
      </c>
      <c r="J102" s="13">
        <f>_xll.BDH("GILD US Equity","ARDR_ACCCUM_AMORT_INTANG_ASSET","FQ3 2020","FQ3 2020","Currency=USD","Period=FQ","BEST_FPERIOD_OVERRIDE=FQ","FILING_STATUS=MR","SCALING_FORMAT=MLN","Sort=A","Dates=H","DateFormat=P","Fill=—","Direction=H","UseDPDF=Y")</f>
        <v>6312</v>
      </c>
      <c r="K102" s="13">
        <f>_xll.BDH("GILD US Equity","ARDR_ACCCUM_AMORT_INTANG_ASSET","FQ4 2020","FQ4 2020","Currency=USD","Period=FQ","BEST_FPERIOD_OVERRIDE=FQ","FILING_STATUS=MR","SCALING_FORMAT=MLN","Sort=A","Dates=H","DateFormat=P","Fill=—","Direction=H","UseDPDF=Y")</f>
        <v>6660</v>
      </c>
      <c r="L102" s="13" t="str">
        <f>_xll.BDH("GILD US Equity","ARDR_ACCCUM_AMORT_INTANG_ASSET","FQ1 2021","FQ1 2021","Currency=USD","Period=FQ","BEST_FPERIOD_OVERRIDE=FQ","FILING_STATUS=MR","SCALING_FORMAT=MLN","Sort=A","Dates=H","DateFormat=P","Fill=—","Direction=H","UseDPDF=Y")</f>
        <v>—</v>
      </c>
      <c r="M102" s="13">
        <f>_xll.BDH("GILD US Equity","ARDR_ACCCUM_AMORT_INTANG_ASSET","FQ2 2021","FQ2 2021","Currency=USD","Period=FQ","BEST_FPERIOD_OVERRIDE=FQ","FILING_STATUS=MR","SCALING_FORMAT=MLN","Sort=A","Dates=H","DateFormat=P","Fill=—","Direction=H","UseDPDF=Y")</f>
        <v>7495</v>
      </c>
      <c r="N102" s="13">
        <f>_xll.BDH("GILD US Equity","ARDR_ACCCUM_AMORT_INTANG_ASSET","FQ3 2021","FQ3 2021","Currency=USD","Period=FQ","BEST_FPERIOD_OVERRIDE=FQ","FILING_STATUS=MR","SCALING_FORMAT=MLN","Sort=A","Dates=H","DateFormat=P","Fill=—","Direction=H","UseDPDF=Y")</f>
        <v>7936</v>
      </c>
      <c r="O102" s="13">
        <f>_xll.BDH("GILD US Equity","ARDR_ACCCUM_AMORT_INTANG_ASSET","FQ4 2021","FQ4 2021","Currency=USD","Period=FQ","BEST_FPERIOD_OVERRIDE=FQ","FILING_STATUS=MR","SCALING_FORMAT=MLN","Sort=A","Dates=H","DateFormat=P","Fill=—","Direction=H","UseDPDF=Y")</f>
        <v>8381</v>
      </c>
      <c r="P102" s="13" t="str">
        <f>_xll.BDH("GILD US Equity","ARDR_ACCCUM_AMORT_INTANG_ASSET","FQ1 2022","FQ1 2022","Currency=USD","Period=FQ","BEST_FPERIOD_OVERRIDE=FQ","FILING_STATUS=MR","SCALING_FORMAT=MLN","Sort=A","Dates=H","DateFormat=P","Fill=—","Direction=H","UseDPDF=Y")</f>
        <v>—</v>
      </c>
      <c r="Q102" s="13" t="str">
        <f>_xll.BDH("GILD US Equity","ARDR_ACCCUM_AMORT_INTANG_ASSET","FQ2 2022","FQ2 2022","Currency=USD","Period=FQ","BEST_FPERIOD_OVERRIDE=FQ","FILING_STATUS=MR","SCALING_FORMAT=MLN","Sort=A","Dates=H","DateFormat=P","Fill=—","Direction=H","UseDPDF=Y")</f>
        <v>—</v>
      </c>
      <c r="R102" s="13">
        <f>_xll.BDH("GILD US Equity","ARDR_ACCCUM_AMORT_INTANG_ASSET","FQ3 2022","FQ3 2022","Currency=USD","Period=FQ","BEST_FPERIOD_OVERRIDE=FQ","FILING_STATUS=MR","SCALING_FORMAT=MLN","Sort=A","Dates=H","DateFormat=P","Fill=—","Direction=H","UseDPDF=Y")</f>
        <v>9700</v>
      </c>
      <c r="S102" s="13">
        <f>_xll.BDH("GILD US Equity","ARDR_ACCCUM_AMORT_INTANG_ASSET","FQ4 2022","FQ4 2022","Currency=USD","Period=FQ","BEST_FPERIOD_OVERRIDE=FQ","FILING_STATUS=MR","SCALING_FORMAT=MLN","Sort=A","Dates=H","DateFormat=P","Fill=—","Direction=H","UseDPDF=Y")</f>
        <v>10121</v>
      </c>
      <c r="T102" s="13">
        <f>_xll.BDH("GILD US Equity","ARDR_ACCCUM_AMORT_INTANG_ASSET","FQ1 2023","FQ1 2023","Currency=USD","Period=FQ","BEST_FPERIOD_OVERRIDE=FQ","FILING_STATUS=MR","SCALING_FORMAT=MLN","Sort=A","Dates=H","DateFormat=P","Fill=—","Direction=H","UseDPDF=Y")</f>
        <v>10667</v>
      </c>
      <c r="U102" s="13">
        <f>_xll.BDH("GILD US Equity","ARDR_ACCCUM_AMORT_INTANG_ASSET","FQ2 2023","FQ2 2023","Currency=USD","Period=FQ","BEST_FPERIOD_OVERRIDE=FQ","FILING_STATUS=MR","SCALING_FORMAT=MLN","Sort=A","Dates=H","DateFormat=P","Fill=—","Direction=H","UseDPDF=Y")</f>
        <v>11265</v>
      </c>
      <c r="V102" s="13">
        <f>_xll.BDH("GILD US Equity","ARDR_ACCCUM_AMORT_INTANG_ASSET","FQ3 2023","FQ3 2023","Currency=USD","Period=FQ","BEST_FPERIOD_OVERRIDE=FQ","FILING_STATUS=MR","SCALING_FORMAT=MLN","Sort=A","Dates=H","DateFormat=P","Fill=—","Direction=H","UseDPDF=Y")</f>
        <v>11863</v>
      </c>
      <c r="W102" s="13">
        <f>_xll.BDH("GILD US Equity","ARDR_ACCCUM_AMORT_INTANG_ASSET","FQ4 2023","FQ4 2023","Currency=USD","Period=FQ","BEST_FPERIOD_OVERRIDE=FQ","FILING_STATUS=MR","SCALING_FORMAT=MLN","Sort=A","Dates=H","DateFormat=P","Fill=—","Direction=H","UseDPDF=Y")</f>
        <v>12436</v>
      </c>
      <c r="X102" s="13">
        <f>_xll.BDH("GILD US Equity","ARDR_ACCCUM_AMORT_INTANG_ASSET","FQ1 2024","FQ1 2024","Currency=USD","Period=FQ","BEST_FPERIOD_OVERRIDE=FQ","FILING_STATUS=MR","SCALING_FORMAT=MLN","Sort=A","Dates=H","DateFormat=P","Fill=—","Direction=H","UseDPDF=Y")</f>
        <v>13032</v>
      </c>
      <c r="Y102" s="13">
        <f>_xll.BDH("GILD US Equity","ARDR_ACCCUM_AMORT_INTANG_ASSET","FQ2 2024","FQ2 2024","Currency=USD","Period=FQ","BEST_FPERIOD_OVERRIDE=FQ","FILING_STATUS=MR","SCALING_FORMAT=MLN","Sort=A","Dates=H","DateFormat=P","Fill=—","Direction=H","UseDPDF=Y")</f>
        <v>13628</v>
      </c>
      <c r="Z102" s="13">
        <f>_xll.BDH("GILD US Equity","ARDR_ACCCUM_AMORT_INTANG_ASSET","FQ3 2024","FQ3 2024","Currency=USD","Period=FQ","BEST_FPERIOD_OVERRIDE=FQ","FILING_STATUS=MR","SCALING_FORMAT=MLN","Sort=A","Dates=H","DateFormat=P","Fill=—","Direction=H","UseDPDF=Y")</f>
        <v>14224</v>
      </c>
      <c r="AA102" s="13">
        <f>_xll.BDH("GILD US Equity","ARDR_ACCCUM_AMORT_INTANG_ASSET","FQ4 2024","FQ4 2024","Currency=USD","Period=FQ","BEST_FPERIOD_OVERRIDE=FQ","FILING_STATUS=MR","SCALING_FORMAT=MLN","Sort=A","Dates=H","DateFormat=P","Fill=—","Direction=H","UseDPDF=Y")</f>
        <v>14822</v>
      </c>
    </row>
    <row r="103" spans="1:27" x14ac:dyDescent="0.25">
      <c r="A103" s="10" t="s">
        <v>1064</v>
      </c>
      <c r="B103" s="10" t="s">
        <v>1065</v>
      </c>
      <c r="C103" s="13">
        <f>_xll.BDH("GILD US Equity","ARDR_CASH_EQUIVALENTS_MKT_SECS","FQ4 2018","FQ4 2018","Currency=USD","Period=FQ","BEST_FPERIOD_OVERRIDE=FQ","FILING_STATUS=MR","SCALING_FORMAT=MLN","Sort=A","Dates=H","DateFormat=P","Fill=—","Direction=H","UseDPDF=Y")</f>
        <v>31500</v>
      </c>
      <c r="D103" s="13">
        <f>_xll.BDH("GILD US Equity","ARDR_CASH_EQUIVALENTS_MKT_SECS","FQ1 2019","FQ1 2019","Currency=USD","Period=FQ","BEST_FPERIOD_OVERRIDE=FQ","FILING_STATUS=MR","SCALING_FORMAT=MLN","Sort=A","Dates=H","DateFormat=P","Fill=—","Direction=H","UseDPDF=Y")</f>
        <v>30100</v>
      </c>
      <c r="E103" s="13" t="str">
        <f>_xll.BDH("GILD US Equity","ARDR_CASH_EQUIVALENTS_MKT_SECS","FQ2 2019","FQ2 2019","Currency=USD","Period=FQ","BEST_FPERIOD_OVERRIDE=FQ","FILING_STATUS=MR","SCALING_FORMAT=MLN","Sort=A","Dates=H","DateFormat=P","Fill=—","Direction=H","UseDPDF=Y")</f>
        <v>—</v>
      </c>
      <c r="F103" s="13">
        <f>_xll.BDH("GILD US Equity","ARDR_CASH_EQUIVALENTS_MKT_SECS","FQ3 2019","FQ3 2019","Currency=USD","Period=FQ","BEST_FPERIOD_OVERRIDE=FQ","FILING_STATUS=MR","SCALING_FORMAT=MLN","Sort=A","Dates=H","DateFormat=P","Fill=—","Direction=H","UseDPDF=Y")</f>
        <v>9474</v>
      </c>
      <c r="G103" s="13" t="str">
        <f>_xll.BDH("GILD US Equity","ARDR_CASH_EQUIVALENTS_MKT_SECS","FQ4 2019","FQ4 2019","Currency=USD","Period=FQ","BEST_FPERIOD_OVERRIDE=FQ","FILING_STATUS=MR","SCALING_FORMAT=MLN","Sort=A","Dates=H","DateFormat=P","Fill=—","Direction=H","UseDPDF=Y")</f>
        <v>—</v>
      </c>
      <c r="H103" s="13">
        <f>_xll.BDH("GILD US Equity","ARDR_CASH_EQUIVALENTS_MKT_SECS","FQ1 2020","FQ1 2020","Currency=USD","Period=FQ","BEST_FPERIOD_OVERRIDE=FQ","FILING_STATUS=MR","SCALING_FORMAT=MLN","Sort=A","Dates=H","DateFormat=P","Fill=—","Direction=H","UseDPDF=Y")</f>
        <v>24300</v>
      </c>
      <c r="I103" s="13">
        <f>_xll.BDH("GILD US Equity","ARDR_CASH_EQUIVALENTS_MKT_SECS","FQ2 2020","FQ2 2020","Currency=USD","Period=FQ","BEST_FPERIOD_OVERRIDE=FQ","FILING_STATUS=MR","SCALING_FORMAT=MLN","Sort=A","Dates=H","DateFormat=P","Fill=—","Direction=H","UseDPDF=Y")</f>
        <v>21200</v>
      </c>
      <c r="J103" s="13">
        <f>_xll.BDH("GILD US Equity","ARDR_CASH_EQUIVALENTS_MKT_SECS","FQ3 2020","FQ3 2020","Currency=USD","Period=FQ","BEST_FPERIOD_OVERRIDE=FQ","FILING_STATUS=MR","SCALING_FORMAT=MLN","Sort=A","Dates=H","DateFormat=P","Fill=—","Direction=H","UseDPDF=Y")</f>
        <v>26000</v>
      </c>
      <c r="K103" s="13">
        <f>_xll.BDH("GILD US Equity","ARDR_CASH_EQUIVALENTS_MKT_SECS","FQ4 2020","FQ4 2020","Currency=USD","Period=FQ","BEST_FPERIOD_OVERRIDE=FQ","FILING_STATUS=MR","SCALING_FORMAT=MLN","Sort=A","Dates=H","DateFormat=P","Fill=—","Direction=H","UseDPDF=Y")</f>
        <v>5997</v>
      </c>
      <c r="L103" s="13">
        <f>_xll.BDH("GILD US Equity","ARDR_CASH_EQUIVALENTS_MKT_SECS","FQ1 2021","FQ1 2021","Currency=USD","Period=FQ","BEST_FPERIOD_OVERRIDE=FQ","FILING_STATUS=MR","SCALING_FORMAT=MLN","Sort=A","Dates=H","DateFormat=P","Fill=—","Direction=H","UseDPDF=Y")</f>
        <v>4065</v>
      </c>
      <c r="M103" s="13">
        <f>_xll.BDH("GILD US Equity","ARDR_CASH_EQUIVALENTS_MKT_SECS","FQ2 2021","FQ2 2021","Currency=USD","Period=FQ","BEST_FPERIOD_OVERRIDE=FQ","FILING_STATUS=MR","SCALING_FORMAT=MLN","Sort=A","Dates=H","DateFormat=P","Fill=—","Direction=H","UseDPDF=Y")</f>
        <v>4893</v>
      </c>
      <c r="N103" s="13">
        <f>_xll.BDH("GILD US Equity","ARDR_CASH_EQUIVALENTS_MKT_SECS","FQ3 2021","FQ3 2021","Currency=USD","Period=FQ","BEST_FPERIOD_OVERRIDE=FQ","FILING_STATUS=MR","SCALING_FORMAT=MLN","Sort=A","Dates=H","DateFormat=P","Fill=—","Direction=H","UseDPDF=Y")</f>
        <v>2768</v>
      </c>
      <c r="O103" s="13">
        <f>_xll.BDH("GILD US Equity","ARDR_CASH_EQUIVALENTS_MKT_SECS","FQ4 2021","FQ4 2021","Currency=USD","Period=FQ","BEST_FPERIOD_OVERRIDE=FQ","FILING_STATUS=MR","SCALING_FORMAT=MLN","Sort=A","Dates=H","DateFormat=P","Fill=—","Direction=H","UseDPDF=Y")</f>
        <v>5338</v>
      </c>
      <c r="P103" s="13">
        <f>_xll.BDH("GILD US Equity","ARDR_CASH_EQUIVALENTS_MKT_SECS","FQ1 2022","FQ1 2022","Currency=USD","Period=FQ","BEST_FPERIOD_OVERRIDE=FQ","FILING_STATUS=MR","SCALING_FORMAT=MLN","Sort=A","Dates=H","DateFormat=P","Fill=—","Direction=H","UseDPDF=Y")</f>
        <v>4296</v>
      </c>
      <c r="Q103" s="13">
        <f>_xll.BDH("GILD US Equity","ARDR_CASH_EQUIVALENTS_MKT_SECS","FQ2 2022","FQ2 2022","Currency=USD","Period=FQ","BEST_FPERIOD_OVERRIDE=FQ","FILING_STATUS=MR","SCALING_FORMAT=MLN","Sort=A","Dates=H","DateFormat=P","Fill=—","Direction=H","UseDPDF=Y")</f>
        <v>4739</v>
      </c>
      <c r="R103" s="13">
        <f>_xll.BDH("GILD US Equity","ARDR_CASH_EQUIVALENTS_MKT_SECS","FQ3 2022","FQ3 2022","Currency=USD","Period=FQ","BEST_FPERIOD_OVERRIDE=FQ","FILING_STATUS=MR","SCALING_FORMAT=MLN","Sort=A","Dates=H","DateFormat=P","Fill=—","Direction=H","UseDPDF=Y")</f>
        <v>4699</v>
      </c>
      <c r="S103" s="13">
        <f>_xll.BDH("GILD US Equity","ARDR_CASH_EQUIVALENTS_MKT_SECS","FQ4 2022","FQ4 2022","Currency=USD","Period=FQ","BEST_FPERIOD_OVERRIDE=FQ","FILING_STATUS=MR","SCALING_FORMAT=MLN","Sort=A","Dates=H","DateFormat=P","Fill=—","Direction=H","UseDPDF=Y")</f>
        <v>5412</v>
      </c>
      <c r="T103" s="13">
        <f>_xll.BDH("GILD US Equity","ARDR_CASH_EQUIVALENTS_MKT_SECS","FQ1 2023","FQ1 2023","Currency=USD","Period=FQ","BEST_FPERIOD_OVERRIDE=FQ","FILING_STATUS=MR","SCALING_FORMAT=MLN","Sort=A","Dates=H","DateFormat=P","Fill=—","Direction=H","UseDPDF=Y")</f>
        <v>4936</v>
      </c>
      <c r="U103" s="13">
        <f>_xll.BDH("GILD US Equity","ARDR_CASH_EQUIVALENTS_MKT_SECS","FQ2 2023","FQ2 2023","Currency=USD","Period=FQ","BEST_FPERIOD_OVERRIDE=FQ","FILING_STATUS=MR","SCALING_FORMAT=MLN","Sort=A","Dates=H","DateFormat=P","Fill=—","Direction=H","UseDPDF=Y")</f>
        <v>5704</v>
      </c>
      <c r="V103" s="13">
        <f>_xll.BDH("GILD US Equity","ARDR_CASH_EQUIVALENTS_MKT_SECS","FQ3 2023","FQ3 2023","Currency=USD","Period=FQ","BEST_FPERIOD_OVERRIDE=FQ","FILING_STATUS=MR","SCALING_FORMAT=MLN","Sort=A","Dates=H","DateFormat=P","Fill=—","Direction=H","UseDPDF=Y")</f>
        <v>5705</v>
      </c>
      <c r="W103" s="13">
        <f>_xll.BDH("GILD US Equity","ARDR_CASH_EQUIVALENTS_MKT_SECS","FQ4 2023","FQ4 2023","Currency=USD","Period=FQ","BEST_FPERIOD_OVERRIDE=FQ","FILING_STATUS=MR","SCALING_FORMAT=MLN","Sort=A","Dates=H","DateFormat=P","Fill=—","Direction=H","UseDPDF=Y")</f>
        <v>6085</v>
      </c>
      <c r="X103" s="13">
        <f>_xll.BDH("GILD US Equity","ARDR_CASH_EQUIVALENTS_MKT_SECS","FQ1 2024","FQ1 2024","Currency=USD","Period=FQ","BEST_FPERIOD_OVERRIDE=FQ","FILING_STATUS=MR","SCALING_FORMAT=MLN","Sort=A","Dates=H","DateFormat=P","Fill=—","Direction=H","UseDPDF=Y")</f>
        <v>4718</v>
      </c>
      <c r="Y103" s="13">
        <f>_xll.BDH("GILD US Equity","ARDR_CASH_EQUIVALENTS_MKT_SECS","FQ2 2024","FQ2 2024","Currency=USD","Period=FQ","BEST_FPERIOD_OVERRIDE=FQ","FILING_STATUS=MR","SCALING_FORMAT=MLN","Sort=A","Dates=H","DateFormat=P","Fill=—","Direction=H","UseDPDF=Y")</f>
        <v>2772</v>
      </c>
      <c r="Z103" s="13">
        <f>_xll.BDH("GILD US Equity","ARDR_CASH_EQUIVALENTS_MKT_SECS","FQ3 2024","FQ3 2024","Currency=USD","Period=FQ","BEST_FPERIOD_OVERRIDE=FQ","FILING_STATUS=MR","SCALING_FORMAT=MLN","Sort=A","Dates=H","DateFormat=P","Fill=—","Direction=H","UseDPDF=Y")</f>
        <v>5037</v>
      </c>
      <c r="AA103" s="13">
        <f>_xll.BDH("GILD US Equity","ARDR_CASH_EQUIVALENTS_MKT_SECS","FQ4 2024","FQ4 2024","Currency=USD","Period=FQ","BEST_FPERIOD_OVERRIDE=FQ","FILING_STATUS=MR","SCALING_FORMAT=MLN","Sort=A","Dates=H","DateFormat=P","Fill=—","Direction=H","UseDPDF=Y")</f>
        <v>9991</v>
      </c>
    </row>
    <row r="104" spans="1:27" x14ac:dyDescent="0.25">
      <c r="A104" s="10" t="s">
        <v>884</v>
      </c>
      <c r="B104" s="10" t="s">
        <v>1066</v>
      </c>
      <c r="C104" s="13" t="str">
        <f>_xll.BDH("GILD US Equity","ARDR_OPTIONS_GRANTED_DURING_PER","FQ4 2018","FQ4 2018","Currency=USD","Period=FQ","BEST_FPERIOD_OVERRIDE=FQ","FILING_STATUS=MR","SCALING_FORMAT=MLN","Sort=A","Dates=H","DateFormat=P","Fill=—","Direction=H","UseDPDF=Y")</f>
        <v>—</v>
      </c>
      <c r="D104" s="13" t="str">
        <f>_xll.BDH("GILD US Equity","ARDR_OPTIONS_GRANTED_DURING_PER","FQ1 2019","FQ1 2019","Currency=USD","Period=FQ","BEST_FPERIOD_OVERRIDE=FQ","FILING_STATUS=MR","SCALING_FORMAT=MLN","Sort=A","Dates=H","DateFormat=P","Fill=—","Direction=H","UseDPDF=Y")</f>
        <v>—</v>
      </c>
      <c r="E104" s="13" t="str">
        <f>_xll.BDH("GILD US Equity","ARDR_OPTIONS_GRANTED_DURING_PER","FQ2 2019","FQ2 2019","Currency=USD","Period=FQ","BEST_FPERIOD_OVERRIDE=FQ","FILING_STATUS=MR","SCALING_FORMAT=MLN","Sort=A","Dates=H","DateFormat=P","Fill=—","Direction=H","UseDPDF=Y")</f>
        <v>—</v>
      </c>
      <c r="F104" s="13" t="str">
        <f>_xll.BDH("GILD US Equity","ARDR_OPTIONS_GRANTED_DURING_PER","FQ3 2019","FQ3 2019","Currency=USD","Period=FQ","BEST_FPERIOD_OVERRIDE=FQ","FILING_STATUS=MR","SCALING_FORMAT=MLN","Sort=A","Dates=H","DateFormat=P","Fill=—","Direction=H","UseDPDF=Y")</f>
        <v>—</v>
      </c>
      <c r="G104" s="13" t="str">
        <f>_xll.BDH("GILD US Equity","ARDR_OPTIONS_GRANTED_DURING_PER","FQ4 2019","FQ4 2019","Currency=USD","Period=FQ","BEST_FPERIOD_OVERRIDE=FQ","FILING_STATUS=MR","SCALING_FORMAT=MLN","Sort=A","Dates=H","DateFormat=P","Fill=—","Direction=H","UseDPDF=Y")</f>
        <v>—</v>
      </c>
      <c r="H104" s="13" t="str">
        <f>_xll.BDH("GILD US Equity","ARDR_OPTIONS_GRANTED_DURING_PER","FQ1 2020","FQ1 2020","Currency=USD","Period=FQ","BEST_FPERIOD_OVERRIDE=FQ","FILING_STATUS=MR","SCALING_FORMAT=MLN","Sort=A","Dates=H","DateFormat=P","Fill=—","Direction=H","UseDPDF=Y")</f>
        <v>—</v>
      </c>
      <c r="I104" s="13" t="str">
        <f>_xll.BDH("GILD US Equity","ARDR_OPTIONS_GRANTED_DURING_PER","FQ2 2020","FQ2 2020","Currency=USD","Period=FQ","BEST_FPERIOD_OVERRIDE=FQ","FILING_STATUS=MR","SCALING_FORMAT=MLN","Sort=A","Dates=H","DateFormat=P","Fill=—","Direction=H","UseDPDF=Y")</f>
        <v>—</v>
      </c>
      <c r="J104" s="13" t="str">
        <f>_xll.BDH("GILD US Equity","ARDR_OPTIONS_GRANTED_DURING_PER","FQ3 2020","FQ3 2020","Currency=USD","Period=FQ","BEST_FPERIOD_OVERRIDE=FQ","FILING_STATUS=MR","SCALING_FORMAT=MLN","Sort=A","Dates=H","DateFormat=P","Fill=—","Direction=H","UseDPDF=Y")</f>
        <v>—</v>
      </c>
      <c r="K104" s="13" t="str">
        <f>_xll.BDH("GILD US Equity","ARDR_OPTIONS_GRANTED_DURING_PER","FQ4 2020","FQ4 2020","Currency=USD","Period=FQ","BEST_FPERIOD_OVERRIDE=FQ","FILING_STATUS=MR","SCALING_FORMAT=MLN","Sort=A","Dates=H","DateFormat=P","Fill=—","Direction=H","UseDPDF=Y")</f>
        <v>—</v>
      </c>
      <c r="L104" s="13" t="str">
        <f>_xll.BDH("GILD US Equity","ARDR_OPTIONS_GRANTED_DURING_PER","FQ1 2021","FQ1 2021","Currency=USD","Period=FQ","BEST_FPERIOD_OVERRIDE=FQ","FILING_STATUS=MR","SCALING_FORMAT=MLN","Sort=A","Dates=H","DateFormat=P","Fill=—","Direction=H","UseDPDF=Y")</f>
        <v>—</v>
      </c>
      <c r="M104" s="13" t="str">
        <f>_xll.BDH("GILD US Equity","ARDR_OPTIONS_GRANTED_DURING_PER","FQ2 2021","FQ2 2021","Currency=USD","Period=FQ","BEST_FPERIOD_OVERRIDE=FQ","FILING_STATUS=MR","SCALING_FORMAT=MLN","Sort=A","Dates=H","DateFormat=P","Fill=—","Direction=H","UseDPDF=Y")</f>
        <v>—</v>
      </c>
      <c r="N104" s="13" t="str">
        <f>_xll.BDH("GILD US Equity","ARDR_OPTIONS_GRANTED_DURING_PER","FQ3 2021","FQ3 2021","Currency=USD","Period=FQ","BEST_FPERIOD_OVERRIDE=FQ","FILING_STATUS=MR","SCALING_FORMAT=MLN","Sort=A","Dates=H","DateFormat=P","Fill=—","Direction=H","UseDPDF=Y")</f>
        <v>—</v>
      </c>
      <c r="O104" s="13" t="str">
        <f>_xll.BDH("GILD US Equity","ARDR_OPTIONS_GRANTED_DURING_PER","FQ4 2021","FQ4 2021","Currency=USD","Period=FQ","BEST_FPERIOD_OVERRIDE=FQ","FILING_STATUS=MR","SCALING_FORMAT=MLN","Sort=A","Dates=H","DateFormat=P","Fill=—","Direction=H","UseDPDF=Y")</f>
        <v>—</v>
      </c>
      <c r="P104" s="13" t="str">
        <f>_xll.BDH("GILD US Equity","ARDR_OPTIONS_GRANTED_DURING_PER","FQ1 2022","FQ1 2022","Currency=USD","Period=FQ","BEST_FPERIOD_OVERRIDE=FQ","FILING_STATUS=MR","SCALING_FORMAT=MLN","Sort=A","Dates=H","DateFormat=P","Fill=—","Direction=H","UseDPDF=Y")</f>
        <v>—</v>
      </c>
      <c r="Q104" s="13" t="str">
        <f>_xll.BDH("GILD US Equity","ARDR_OPTIONS_GRANTED_DURING_PER","FQ2 2022","FQ2 2022","Currency=USD","Period=FQ","BEST_FPERIOD_OVERRIDE=FQ","FILING_STATUS=MR","SCALING_FORMAT=MLN","Sort=A","Dates=H","DateFormat=P","Fill=—","Direction=H","UseDPDF=Y")</f>
        <v>—</v>
      </c>
      <c r="R104" s="13" t="str">
        <f>_xll.BDH("GILD US Equity","ARDR_OPTIONS_GRANTED_DURING_PER","FQ3 2022","FQ3 2022","Currency=USD","Period=FQ","BEST_FPERIOD_OVERRIDE=FQ","FILING_STATUS=MR","SCALING_FORMAT=MLN","Sort=A","Dates=H","DateFormat=P","Fill=—","Direction=H","UseDPDF=Y")</f>
        <v>—</v>
      </c>
      <c r="S104" s="13" t="str">
        <f>_xll.BDH("GILD US Equity","ARDR_OPTIONS_GRANTED_DURING_PER","FQ4 2022","FQ4 2022","Currency=USD","Period=FQ","BEST_FPERIOD_OVERRIDE=FQ","FILING_STATUS=MR","SCALING_FORMAT=MLN","Sort=A","Dates=H","DateFormat=P","Fill=—","Direction=H","UseDPDF=Y")</f>
        <v>—</v>
      </c>
      <c r="T104" s="13" t="str">
        <f>_xll.BDH("GILD US Equity","ARDR_OPTIONS_GRANTED_DURING_PER","FQ1 2023","FQ1 2023","Currency=USD","Period=FQ","BEST_FPERIOD_OVERRIDE=FQ","FILING_STATUS=MR","SCALING_FORMAT=MLN","Sort=A","Dates=H","DateFormat=P","Fill=—","Direction=H","UseDPDF=Y")</f>
        <v>—</v>
      </c>
      <c r="U104" s="13" t="str">
        <f>_xll.BDH("GILD US Equity","ARDR_OPTIONS_GRANTED_DURING_PER","FQ2 2023","FQ2 2023","Currency=USD","Period=FQ","BEST_FPERIOD_OVERRIDE=FQ","FILING_STATUS=MR","SCALING_FORMAT=MLN","Sort=A","Dates=H","DateFormat=P","Fill=—","Direction=H","UseDPDF=Y")</f>
        <v>—</v>
      </c>
      <c r="V104" s="13" t="str">
        <f>_xll.BDH("GILD US Equity","ARDR_OPTIONS_GRANTED_DURING_PER","FQ3 2023","FQ3 2023","Currency=USD","Period=FQ","BEST_FPERIOD_OVERRIDE=FQ","FILING_STATUS=MR","SCALING_FORMAT=MLN","Sort=A","Dates=H","DateFormat=P","Fill=—","Direction=H","UseDPDF=Y")</f>
        <v>—</v>
      </c>
      <c r="W104" s="13">
        <f>_xll.BDH("GILD US Equity","ARDR_OPTIONS_GRANTED_DURING_PER","FQ4 2023","FQ4 2023","Currency=USD","Period=FQ","BEST_FPERIOD_OVERRIDE=FQ","FILING_STATUS=MR","SCALING_FORMAT=MLN","Sort=A","Dates=H","DateFormat=P","Fill=—","Direction=H","UseDPDF=Y")</f>
        <v>2.1</v>
      </c>
      <c r="X104" s="13" t="str">
        <f>_xll.BDH("GILD US Equity","ARDR_OPTIONS_GRANTED_DURING_PER","FQ1 2024","FQ1 2024","Currency=USD","Period=FQ","BEST_FPERIOD_OVERRIDE=FQ","FILING_STATUS=MR","SCALING_FORMAT=MLN","Sort=A","Dates=H","DateFormat=P","Fill=—","Direction=H","UseDPDF=Y")</f>
        <v>—</v>
      </c>
      <c r="Y104" s="13" t="str">
        <f>_xll.BDH("GILD US Equity","ARDR_OPTIONS_GRANTED_DURING_PER","FQ2 2024","FQ2 2024","Currency=USD","Period=FQ","BEST_FPERIOD_OVERRIDE=FQ","FILING_STATUS=MR","SCALING_FORMAT=MLN","Sort=A","Dates=H","DateFormat=P","Fill=—","Direction=H","UseDPDF=Y")</f>
        <v>—</v>
      </c>
      <c r="Z104" s="13" t="str">
        <f>_xll.BDH("GILD US Equity","ARDR_OPTIONS_GRANTED_DURING_PER","FQ3 2024","FQ3 2024","Currency=USD","Period=FQ","BEST_FPERIOD_OVERRIDE=FQ","FILING_STATUS=MR","SCALING_FORMAT=MLN","Sort=A","Dates=H","DateFormat=P","Fill=—","Direction=H","UseDPDF=Y")</f>
        <v>—</v>
      </c>
      <c r="AA104" s="13" t="str">
        <f>_xll.BDH("GILD US Equity","ARDR_OPTIONS_GRANTED_DURING_PER","FQ4 2024","FQ4 2024","Currency=USD","Period=FQ","BEST_FPERIOD_OVERRIDE=FQ","FILING_STATUS=MR","SCALING_FORMAT=MLN","Sort=A","Dates=H","DateFormat=P","Fill=—","Direction=H","UseDPDF=Y")</f>
        <v>—</v>
      </c>
    </row>
    <row r="105" spans="1:27" x14ac:dyDescent="0.25">
      <c r="A105" s="10" t="s">
        <v>1067</v>
      </c>
      <c r="B105" s="10" t="s">
        <v>1068</v>
      </c>
      <c r="C105" s="13">
        <f>_xll.BDH("GILD US Equity","ARDR_OPTIONS_OUTSTANDING_END_PER","FQ4 2018","FQ4 2018","Currency=USD","Period=FQ","BEST_FPERIOD_OVERRIDE=FQ","FILING_STATUS=MR","Sort=A","Dates=H","DateFormat=P","Fill=—","Direction=H","UseDPDF=Y")</f>
        <v>23.524000000000001</v>
      </c>
      <c r="D105" s="13" t="str">
        <f>_xll.BDH("GILD US Equity","ARDR_OPTIONS_OUTSTANDING_END_PER","FQ1 2019","FQ1 2019","Currency=USD","Period=FQ","BEST_FPERIOD_OVERRIDE=FQ","FILING_STATUS=MR","Sort=A","Dates=H","DateFormat=P","Fill=—","Direction=H","UseDPDF=Y")</f>
        <v>—</v>
      </c>
      <c r="E105" s="13" t="str">
        <f>_xll.BDH("GILD US Equity","ARDR_OPTIONS_OUTSTANDING_END_PER","FQ2 2019","FQ2 2019","Currency=USD","Period=FQ","BEST_FPERIOD_OVERRIDE=FQ","FILING_STATUS=MR","Sort=A","Dates=H","DateFormat=P","Fill=—","Direction=H","UseDPDF=Y")</f>
        <v>—</v>
      </c>
      <c r="F105" s="13" t="str">
        <f>_xll.BDH("GILD US Equity","ARDR_OPTIONS_OUTSTANDING_END_PER","FQ3 2019","FQ3 2019","Currency=USD","Period=FQ","BEST_FPERIOD_OVERRIDE=FQ","FILING_STATUS=MR","Sort=A","Dates=H","DateFormat=P","Fill=—","Direction=H","UseDPDF=Y")</f>
        <v>—</v>
      </c>
      <c r="G105" s="13">
        <f>_xll.BDH("GILD US Equity","ARDR_OPTIONS_OUTSTANDING_END_PER","FQ4 2019","FQ4 2019","Currency=USD","Period=FQ","BEST_FPERIOD_OVERRIDE=FQ","FILING_STATUS=MR","Sort=A","Dates=H","DateFormat=P","Fill=—","Direction=H","UseDPDF=Y")</f>
        <v>19.5</v>
      </c>
      <c r="H105" s="13" t="str">
        <f>_xll.BDH("GILD US Equity","ARDR_OPTIONS_OUTSTANDING_END_PER","FQ1 2020","FQ1 2020","Currency=USD","Period=FQ","BEST_FPERIOD_OVERRIDE=FQ","FILING_STATUS=MR","Sort=A","Dates=H","DateFormat=P","Fill=—","Direction=H","UseDPDF=Y")</f>
        <v>—</v>
      </c>
      <c r="I105" s="13" t="str">
        <f>_xll.BDH("GILD US Equity","ARDR_OPTIONS_OUTSTANDING_END_PER","FQ2 2020","FQ2 2020","Currency=USD","Period=FQ","BEST_FPERIOD_OVERRIDE=FQ","FILING_STATUS=MR","Sort=A","Dates=H","DateFormat=P","Fill=—","Direction=H","UseDPDF=Y")</f>
        <v>—</v>
      </c>
      <c r="J105" s="13" t="str">
        <f>_xll.BDH("GILD US Equity","ARDR_OPTIONS_OUTSTANDING_END_PER","FQ3 2020","FQ3 2020","Currency=USD","Period=FQ","BEST_FPERIOD_OVERRIDE=FQ","FILING_STATUS=MR","Sort=A","Dates=H","DateFormat=P","Fill=—","Direction=H","UseDPDF=Y")</f>
        <v>—</v>
      </c>
      <c r="K105" s="13">
        <f>_xll.BDH("GILD US Equity","ARDR_OPTIONS_OUTSTANDING_END_PER","FQ4 2020","FQ4 2020","Currency=USD","Period=FQ","BEST_FPERIOD_OVERRIDE=FQ","FILING_STATUS=MR","Sort=A","Dates=H","DateFormat=P","Fill=—","Direction=H","UseDPDF=Y")</f>
        <v>16.600000000000001</v>
      </c>
      <c r="L105" s="13" t="str">
        <f>_xll.BDH("GILD US Equity","ARDR_OPTIONS_OUTSTANDING_END_PER","FQ1 2021","FQ1 2021","Currency=USD","Period=FQ","BEST_FPERIOD_OVERRIDE=FQ","FILING_STATUS=MR","Sort=A","Dates=H","DateFormat=P","Fill=—","Direction=H","UseDPDF=Y")</f>
        <v>—</v>
      </c>
      <c r="M105" s="13" t="str">
        <f>_xll.BDH("GILD US Equity","ARDR_OPTIONS_OUTSTANDING_END_PER","FQ2 2021","FQ2 2021","Currency=USD","Period=FQ","BEST_FPERIOD_OVERRIDE=FQ","FILING_STATUS=MR","Sort=A","Dates=H","DateFormat=P","Fill=—","Direction=H","UseDPDF=Y")</f>
        <v>—</v>
      </c>
      <c r="N105" s="13" t="str">
        <f>_xll.BDH("GILD US Equity","ARDR_OPTIONS_OUTSTANDING_END_PER","FQ3 2021","FQ3 2021","Currency=USD","Period=FQ","BEST_FPERIOD_OVERRIDE=FQ","FILING_STATUS=MR","Sort=A","Dates=H","DateFormat=P","Fill=—","Direction=H","UseDPDF=Y")</f>
        <v>—</v>
      </c>
      <c r="O105" s="13">
        <f>_xll.BDH("GILD US Equity","ARDR_OPTIONS_OUTSTANDING_END_PER","FQ4 2021","FQ4 2021","Currency=USD","Period=FQ","BEST_FPERIOD_OVERRIDE=FQ","FILING_STATUS=MR","Sort=A","Dates=H","DateFormat=P","Fill=—","Direction=H","UseDPDF=Y")</f>
        <v>16.8</v>
      </c>
      <c r="P105" s="13" t="str">
        <f>_xll.BDH("GILD US Equity","ARDR_OPTIONS_OUTSTANDING_END_PER","FQ1 2022","FQ1 2022","Currency=USD","Period=FQ","BEST_FPERIOD_OVERRIDE=FQ","FILING_STATUS=MR","Sort=A","Dates=H","DateFormat=P","Fill=—","Direction=H","UseDPDF=Y")</f>
        <v>—</v>
      </c>
      <c r="Q105" s="13" t="str">
        <f>_xll.BDH("GILD US Equity","ARDR_OPTIONS_OUTSTANDING_END_PER","FQ2 2022","FQ2 2022","Currency=USD","Period=FQ","BEST_FPERIOD_OVERRIDE=FQ","FILING_STATUS=MR","Sort=A","Dates=H","DateFormat=P","Fill=—","Direction=H","UseDPDF=Y")</f>
        <v>—</v>
      </c>
      <c r="R105" s="13" t="str">
        <f>_xll.BDH("GILD US Equity","ARDR_OPTIONS_OUTSTANDING_END_PER","FQ3 2022","FQ3 2022","Currency=USD","Period=FQ","BEST_FPERIOD_OVERRIDE=FQ","FILING_STATUS=MR","Sort=A","Dates=H","DateFormat=P","Fill=—","Direction=H","UseDPDF=Y")</f>
        <v>—</v>
      </c>
      <c r="S105" s="13">
        <f>_xll.BDH("GILD US Equity","ARDR_OPTIONS_OUTSTANDING_END_PER","FQ4 2022","FQ4 2022","Currency=USD","Period=FQ","BEST_FPERIOD_OVERRIDE=FQ","FILING_STATUS=MR","Sort=A","Dates=H","DateFormat=P","Fill=—","Direction=H","UseDPDF=Y")</f>
        <v>14.4</v>
      </c>
      <c r="T105" s="13" t="str">
        <f>_xll.BDH("GILD US Equity","ARDR_OPTIONS_OUTSTANDING_END_PER","FQ1 2023","FQ1 2023","Currency=USD","Period=FQ","BEST_FPERIOD_OVERRIDE=FQ","FILING_STATUS=MR","Sort=A","Dates=H","DateFormat=P","Fill=—","Direction=H","UseDPDF=Y")</f>
        <v>—</v>
      </c>
      <c r="U105" s="13" t="str">
        <f>_xll.BDH("GILD US Equity","ARDR_OPTIONS_OUTSTANDING_END_PER","FQ2 2023","FQ2 2023","Currency=USD","Period=FQ","BEST_FPERIOD_OVERRIDE=FQ","FILING_STATUS=MR","Sort=A","Dates=H","DateFormat=P","Fill=—","Direction=H","UseDPDF=Y")</f>
        <v>—</v>
      </c>
      <c r="V105" s="13" t="str">
        <f>_xll.BDH("GILD US Equity","ARDR_OPTIONS_OUTSTANDING_END_PER","FQ3 2023","FQ3 2023","Currency=USD","Period=FQ","BEST_FPERIOD_OVERRIDE=FQ","FILING_STATUS=MR","Sort=A","Dates=H","DateFormat=P","Fill=—","Direction=H","UseDPDF=Y")</f>
        <v>—</v>
      </c>
      <c r="W105" s="13">
        <f>_xll.BDH("GILD US Equity","ARDR_OPTIONS_OUTSTANDING_END_PER","FQ4 2023","FQ4 2023","Currency=USD","Period=FQ","BEST_FPERIOD_OVERRIDE=FQ","FILING_STATUS=MR","Sort=A","Dates=H","DateFormat=P","Fill=—","Direction=H","UseDPDF=Y")</f>
        <v>14.3</v>
      </c>
      <c r="X105" s="13" t="str">
        <f>_xll.BDH("GILD US Equity","ARDR_OPTIONS_OUTSTANDING_END_PER","FQ1 2024","FQ1 2024","Currency=USD","Period=FQ","BEST_FPERIOD_OVERRIDE=FQ","FILING_STATUS=MR","Sort=A","Dates=H","DateFormat=P","Fill=—","Direction=H","UseDPDF=Y")</f>
        <v>—</v>
      </c>
      <c r="Y105" s="13" t="str">
        <f>_xll.BDH("GILD US Equity","ARDR_OPTIONS_OUTSTANDING_END_PER","FQ2 2024","FQ2 2024","Currency=USD","Period=FQ","BEST_FPERIOD_OVERRIDE=FQ","FILING_STATUS=MR","Sort=A","Dates=H","DateFormat=P","Fill=—","Direction=H","UseDPDF=Y")</f>
        <v>—</v>
      </c>
      <c r="Z105" s="13" t="str">
        <f>_xll.BDH("GILD US Equity","ARDR_OPTIONS_OUTSTANDING_END_PER","FQ3 2024","FQ3 2024","Currency=USD","Period=FQ","BEST_FPERIOD_OVERRIDE=FQ","FILING_STATUS=MR","Sort=A","Dates=H","DateFormat=P","Fill=—","Direction=H","UseDPDF=Y")</f>
        <v>—</v>
      </c>
      <c r="AA105" s="13">
        <f>_xll.BDH("GILD US Equity","ARDR_OPTIONS_OUTSTANDING_END_PER","FQ4 2024","FQ4 2024","Currency=USD","Period=FQ","BEST_FPERIOD_OVERRIDE=FQ","FILING_STATUS=MR","Sort=A","Dates=H","DateFormat=P","Fill=—","Direction=H","UseDPDF=Y")</f>
        <v>11.8</v>
      </c>
    </row>
    <row r="106" spans="1:27" x14ac:dyDescent="0.25">
      <c r="A106" s="10" t="s">
        <v>1069</v>
      </c>
      <c r="B106" s="10" t="s">
        <v>1070</v>
      </c>
      <c r="C106" s="13" t="str">
        <f>_xll.BDH("GILD US Equity","ARDR_OPTIONS_EXERCISED_DUR_PER","FQ4 2018","FQ4 2018","Currency=USD","Period=FQ","BEST_FPERIOD_OVERRIDE=FQ","FILING_STATUS=MR","SCALING_FORMAT=MLN","Sort=A","Dates=H","DateFormat=P","Fill=—","Direction=H","UseDPDF=Y")</f>
        <v>—</v>
      </c>
      <c r="D106" s="13" t="str">
        <f>_xll.BDH("GILD US Equity","ARDR_OPTIONS_EXERCISED_DUR_PER","FQ1 2019","FQ1 2019","Currency=USD","Period=FQ","BEST_FPERIOD_OVERRIDE=FQ","FILING_STATUS=MR","SCALING_FORMAT=MLN","Sort=A","Dates=H","DateFormat=P","Fill=—","Direction=H","UseDPDF=Y")</f>
        <v>—</v>
      </c>
      <c r="E106" s="13" t="str">
        <f>_xll.BDH("GILD US Equity","ARDR_OPTIONS_EXERCISED_DUR_PER","FQ2 2019","FQ2 2019","Currency=USD","Period=FQ","BEST_FPERIOD_OVERRIDE=FQ","FILING_STATUS=MR","SCALING_FORMAT=MLN","Sort=A","Dates=H","DateFormat=P","Fill=—","Direction=H","UseDPDF=Y")</f>
        <v>—</v>
      </c>
      <c r="F106" s="13" t="str">
        <f>_xll.BDH("GILD US Equity","ARDR_OPTIONS_EXERCISED_DUR_PER","FQ3 2019","FQ3 2019","Currency=USD","Period=FQ","BEST_FPERIOD_OVERRIDE=FQ","FILING_STATUS=MR","SCALING_FORMAT=MLN","Sort=A","Dates=H","DateFormat=P","Fill=—","Direction=H","UseDPDF=Y")</f>
        <v>—</v>
      </c>
      <c r="G106" s="13" t="str">
        <f>_xll.BDH("GILD US Equity","ARDR_OPTIONS_EXERCISED_DUR_PER","FQ4 2019","FQ4 2019","Currency=USD","Period=FQ","BEST_FPERIOD_OVERRIDE=FQ","FILING_STATUS=MR","SCALING_FORMAT=MLN","Sort=A","Dates=H","DateFormat=P","Fill=—","Direction=H","UseDPDF=Y")</f>
        <v>—</v>
      </c>
      <c r="H106" s="13" t="str">
        <f>_xll.BDH("GILD US Equity","ARDR_OPTIONS_EXERCISED_DUR_PER","FQ1 2020","FQ1 2020","Currency=USD","Period=FQ","BEST_FPERIOD_OVERRIDE=FQ","FILING_STATUS=MR","SCALING_FORMAT=MLN","Sort=A","Dates=H","DateFormat=P","Fill=—","Direction=H","UseDPDF=Y")</f>
        <v>—</v>
      </c>
      <c r="I106" s="13" t="str">
        <f>_xll.BDH("GILD US Equity","ARDR_OPTIONS_EXERCISED_DUR_PER","FQ2 2020","FQ2 2020","Currency=USD","Period=FQ","BEST_FPERIOD_OVERRIDE=FQ","FILING_STATUS=MR","SCALING_FORMAT=MLN","Sort=A","Dates=H","DateFormat=P","Fill=—","Direction=H","UseDPDF=Y")</f>
        <v>—</v>
      </c>
      <c r="J106" s="13" t="str">
        <f>_xll.BDH("GILD US Equity","ARDR_OPTIONS_EXERCISED_DUR_PER","FQ3 2020","FQ3 2020","Currency=USD","Period=FQ","BEST_FPERIOD_OVERRIDE=FQ","FILING_STATUS=MR","SCALING_FORMAT=MLN","Sort=A","Dates=H","DateFormat=P","Fill=—","Direction=H","UseDPDF=Y")</f>
        <v>—</v>
      </c>
      <c r="K106" s="13" t="str">
        <f>_xll.BDH("GILD US Equity","ARDR_OPTIONS_EXERCISED_DUR_PER","FQ4 2020","FQ4 2020","Currency=USD","Period=FQ","BEST_FPERIOD_OVERRIDE=FQ","FILING_STATUS=MR","SCALING_FORMAT=MLN","Sort=A","Dates=H","DateFormat=P","Fill=—","Direction=H","UseDPDF=Y")</f>
        <v>—</v>
      </c>
      <c r="L106" s="13" t="str">
        <f>_xll.BDH("GILD US Equity","ARDR_OPTIONS_EXERCISED_DUR_PER","FQ1 2021","FQ1 2021","Currency=USD","Period=FQ","BEST_FPERIOD_OVERRIDE=FQ","FILING_STATUS=MR","SCALING_FORMAT=MLN","Sort=A","Dates=H","DateFormat=P","Fill=—","Direction=H","UseDPDF=Y")</f>
        <v>—</v>
      </c>
      <c r="M106" s="13" t="str">
        <f>_xll.BDH("GILD US Equity","ARDR_OPTIONS_EXERCISED_DUR_PER","FQ2 2021","FQ2 2021","Currency=USD","Period=FQ","BEST_FPERIOD_OVERRIDE=FQ","FILING_STATUS=MR","SCALING_FORMAT=MLN","Sort=A","Dates=H","DateFormat=P","Fill=—","Direction=H","UseDPDF=Y")</f>
        <v>—</v>
      </c>
      <c r="N106" s="13" t="str">
        <f>_xll.BDH("GILD US Equity","ARDR_OPTIONS_EXERCISED_DUR_PER","FQ3 2021","FQ3 2021","Currency=USD","Period=FQ","BEST_FPERIOD_OVERRIDE=FQ","FILING_STATUS=MR","SCALING_FORMAT=MLN","Sort=A","Dates=H","DateFormat=P","Fill=—","Direction=H","UseDPDF=Y")</f>
        <v>—</v>
      </c>
      <c r="O106" s="13" t="str">
        <f>_xll.BDH("GILD US Equity","ARDR_OPTIONS_EXERCISED_DUR_PER","FQ4 2021","FQ4 2021","Currency=USD","Period=FQ","BEST_FPERIOD_OVERRIDE=FQ","FILING_STATUS=MR","SCALING_FORMAT=MLN","Sort=A","Dates=H","DateFormat=P","Fill=—","Direction=H","UseDPDF=Y")</f>
        <v>—</v>
      </c>
      <c r="P106" s="13" t="str">
        <f>_xll.BDH("GILD US Equity","ARDR_OPTIONS_EXERCISED_DUR_PER","FQ1 2022","FQ1 2022","Currency=USD","Period=FQ","BEST_FPERIOD_OVERRIDE=FQ","FILING_STATUS=MR","SCALING_FORMAT=MLN","Sort=A","Dates=H","DateFormat=P","Fill=—","Direction=H","UseDPDF=Y")</f>
        <v>—</v>
      </c>
      <c r="Q106" s="13" t="str">
        <f>_xll.BDH("GILD US Equity","ARDR_OPTIONS_EXERCISED_DUR_PER","FQ2 2022","FQ2 2022","Currency=USD","Period=FQ","BEST_FPERIOD_OVERRIDE=FQ","FILING_STATUS=MR","SCALING_FORMAT=MLN","Sort=A","Dates=H","DateFormat=P","Fill=—","Direction=H","UseDPDF=Y")</f>
        <v>—</v>
      </c>
      <c r="R106" s="13" t="str">
        <f>_xll.BDH("GILD US Equity","ARDR_OPTIONS_EXERCISED_DUR_PER","FQ3 2022","FQ3 2022","Currency=USD","Period=FQ","BEST_FPERIOD_OVERRIDE=FQ","FILING_STATUS=MR","SCALING_FORMAT=MLN","Sort=A","Dates=H","DateFormat=P","Fill=—","Direction=H","UseDPDF=Y")</f>
        <v>—</v>
      </c>
      <c r="S106" s="13" t="str">
        <f>_xll.BDH("GILD US Equity","ARDR_OPTIONS_EXERCISED_DUR_PER","FQ4 2022","FQ4 2022","Currency=USD","Period=FQ","BEST_FPERIOD_OVERRIDE=FQ","FILING_STATUS=MR","SCALING_FORMAT=MLN","Sort=A","Dates=H","DateFormat=P","Fill=—","Direction=H","UseDPDF=Y")</f>
        <v>—</v>
      </c>
      <c r="T106" s="13" t="str">
        <f>_xll.BDH("GILD US Equity","ARDR_OPTIONS_EXERCISED_DUR_PER","FQ1 2023","FQ1 2023","Currency=USD","Period=FQ","BEST_FPERIOD_OVERRIDE=FQ","FILING_STATUS=MR","SCALING_FORMAT=MLN","Sort=A","Dates=H","DateFormat=P","Fill=—","Direction=H","UseDPDF=Y")</f>
        <v>—</v>
      </c>
      <c r="U106" s="13" t="str">
        <f>_xll.BDH("GILD US Equity","ARDR_OPTIONS_EXERCISED_DUR_PER","FQ2 2023","FQ2 2023","Currency=USD","Period=FQ","BEST_FPERIOD_OVERRIDE=FQ","FILING_STATUS=MR","SCALING_FORMAT=MLN","Sort=A","Dates=H","DateFormat=P","Fill=—","Direction=H","UseDPDF=Y")</f>
        <v>—</v>
      </c>
      <c r="V106" s="13" t="str">
        <f>_xll.BDH("GILD US Equity","ARDR_OPTIONS_EXERCISED_DUR_PER","FQ3 2023","FQ3 2023","Currency=USD","Period=FQ","BEST_FPERIOD_OVERRIDE=FQ","FILING_STATUS=MR","SCALING_FORMAT=MLN","Sort=A","Dates=H","DateFormat=P","Fill=—","Direction=H","UseDPDF=Y")</f>
        <v>—</v>
      </c>
      <c r="W106" s="13">
        <f>_xll.BDH("GILD US Equity","ARDR_OPTIONS_EXERCISED_DUR_PER","FQ4 2023","FQ4 2023","Currency=USD","Period=FQ","BEST_FPERIOD_OVERRIDE=FQ","FILING_STATUS=MR","SCALING_FORMAT=MLN","Sort=A","Dates=H","DateFormat=P","Fill=—","Direction=H","UseDPDF=Y")</f>
        <v>1.5</v>
      </c>
      <c r="X106" s="13" t="str">
        <f>_xll.BDH("GILD US Equity","ARDR_OPTIONS_EXERCISED_DUR_PER","FQ1 2024","FQ1 2024","Currency=USD","Period=FQ","BEST_FPERIOD_OVERRIDE=FQ","FILING_STATUS=MR","SCALING_FORMAT=MLN","Sort=A","Dates=H","DateFormat=P","Fill=—","Direction=H","UseDPDF=Y")</f>
        <v>—</v>
      </c>
      <c r="Y106" s="13" t="str">
        <f>_xll.BDH("GILD US Equity","ARDR_OPTIONS_EXERCISED_DUR_PER","FQ2 2024","FQ2 2024","Currency=USD","Period=FQ","BEST_FPERIOD_OVERRIDE=FQ","FILING_STATUS=MR","SCALING_FORMAT=MLN","Sort=A","Dates=H","DateFormat=P","Fill=—","Direction=H","UseDPDF=Y")</f>
        <v>—</v>
      </c>
      <c r="Z106" s="13" t="str">
        <f>_xll.BDH("GILD US Equity","ARDR_OPTIONS_EXERCISED_DUR_PER","FQ3 2024","FQ3 2024","Currency=USD","Period=FQ","BEST_FPERIOD_OVERRIDE=FQ","FILING_STATUS=MR","SCALING_FORMAT=MLN","Sort=A","Dates=H","DateFormat=P","Fill=—","Direction=H","UseDPDF=Y")</f>
        <v>—</v>
      </c>
      <c r="AA106" s="13" t="str">
        <f>_xll.BDH("GILD US Equity","ARDR_OPTIONS_EXERCISED_DUR_PER","FQ4 2024","FQ4 2024","Currency=USD","Period=FQ","BEST_FPERIOD_OVERRIDE=FQ","FILING_STATUS=MR","SCALING_FORMAT=MLN","Sort=A","Dates=H","DateFormat=P","Fill=—","Direction=H","UseDPDF=Y")</f>
        <v>—</v>
      </c>
    </row>
    <row r="107" spans="1:27" x14ac:dyDescent="0.25">
      <c r="A107" s="10" t="s">
        <v>1071</v>
      </c>
      <c r="B107" s="10" t="s">
        <v>1072</v>
      </c>
      <c r="C107" s="13" t="str">
        <f>_xll.BDH("GILD US Equity","ARDR_OPTIONS_EXPIRED_DUR_PER","FQ4 2018","FQ4 2018","Currency=USD","Period=FQ","BEST_FPERIOD_OVERRIDE=FQ","FILING_STATUS=MR","SCALING_FORMAT=MLN","Sort=A","Dates=H","DateFormat=P","Fill=—","Direction=H","UseDPDF=Y")</f>
        <v>—</v>
      </c>
      <c r="D107" s="13" t="str">
        <f>_xll.BDH("GILD US Equity","ARDR_OPTIONS_EXPIRED_DUR_PER","FQ1 2019","FQ1 2019","Currency=USD","Period=FQ","BEST_FPERIOD_OVERRIDE=FQ","FILING_STATUS=MR","SCALING_FORMAT=MLN","Sort=A","Dates=H","DateFormat=P","Fill=—","Direction=H","UseDPDF=Y")</f>
        <v>—</v>
      </c>
      <c r="E107" s="13" t="str">
        <f>_xll.BDH("GILD US Equity","ARDR_OPTIONS_EXPIRED_DUR_PER","FQ2 2019","FQ2 2019","Currency=USD","Period=FQ","BEST_FPERIOD_OVERRIDE=FQ","FILING_STATUS=MR","SCALING_FORMAT=MLN","Sort=A","Dates=H","DateFormat=P","Fill=—","Direction=H","UseDPDF=Y")</f>
        <v>—</v>
      </c>
      <c r="F107" s="13" t="str">
        <f>_xll.BDH("GILD US Equity","ARDR_OPTIONS_EXPIRED_DUR_PER","FQ3 2019","FQ3 2019","Currency=USD","Period=FQ","BEST_FPERIOD_OVERRIDE=FQ","FILING_STATUS=MR","SCALING_FORMAT=MLN","Sort=A","Dates=H","DateFormat=P","Fill=—","Direction=H","UseDPDF=Y")</f>
        <v>—</v>
      </c>
      <c r="G107" s="13" t="str">
        <f>_xll.BDH("GILD US Equity","ARDR_OPTIONS_EXPIRED_DUR_PER","FQ4 2019","FQ4 2019","Currency=USD","Period=FQ","BEST_FPERIOD_OVERRIDE=FQ","FILING_STATUS=MR","SCALING_FORMAT=MLN","Sort=A","Dates=H","DateFormat=P","Fill=—","Direction=H","UseDPDF=Y")</f>
        <v>—</v>
      </c>
      <c r="H107" s="13" t="str">
        <f>_xll.BDH("GILD US Equity","ARDR_OPTIONS_EXPIRED_DUR_PER","FQ1 2020","FQ1 2020","Currency=USD","Period=FQ","BEST_FPERIOD_OVERRIDE=FQ","FILING_STATUS=MR","SCALING_FORMAT=MLN","Sort=A","Dates=H","DateFormat=P","Fill=—","Direction=H","UseDPDF=Y")</f>
        <v>—</v>
      </c>
      <c r="I107" s="13" t="str">
        <f>_xll.BDH("GILD US Equity","ARDR_OPTIONS_EXPIRED_DUR_PER","FQ2 2020","FQ2 2020","Currency=USD","Period=FQ","BEST_FPERIOD_OVERRIDE=FQ","FILING_STATUS=MR","SCALING_FORMAT=MLN","Sort=A","Dates=H","DateFormat=P","Fill=—","Direction=H","UseDPDF=Y")</f>
        <v>—</v>
      </c>
      <c r="J107" s="13" t="str">
        <f>_xll.BDH("GILD US Equity","ARDR_OPTIONS_EXPIRED_DUR_PER","FQ3 2020","FQ3 2020","Currency=USD","Period=FQ","BEST_FPERIOD_OVERRIDE=FQ","FILING_STATUS=MR","SCALING_FORMAT=MLN","Sort=A","Dates=H","DateFormat=P","Fill=—","Direction=H","UseDPDF=Y")</f>
        <v>—</v>
      </c>
      <c r="K107" s="13" t="str">
        <f>_xll.BDH("GILD US Equity","ARDR_OPTIONS_EXPIRED_DUR_PER","FQ4 2020","FQ4 2020","Currency=USD","Period=FQ","BEST_FPERIOD_OVERRIDE=FQ","FILING_STATUS=MR","SCALING_FORMAT=MLN","Sort=A","Dates=H","DateFormat=P","Fill=—","Direction=H","UseDPDF=Y")</f>
        <v>—</v>
      </c>
      <c r="L107" s="13" t="str">
        <f>_xll.BDH("GILD US Equity","ARDR_OPTIONS_EXPIRED_DUR_PER","FQ1 2021","FQ1 2021","Currency=USD","Period=FQ","BEST_FPERIOD_OVERRIDE=FQ","FILING_STATUS=MR","SCALING_FORMAT=MLN","Sort=A","Dates=H","DateFormat=P","Fill=—","Direction=H","UseDPDF=Y")</f>
        <v>—</v>
      </c>
      <c r="M107" s="13" t="str">
        <f>_xll.BDH("GILD US Equity","ARDR_OPTIONS_EXPIRED_DUR_PER","FQ2 2021","FQ2 2021","Currency=USD","Period=FQ","BEST_FPERIOD_OVERRIDE=FQ","FILING_STATUS=MR","SCALING_FORMAT=MLN","Sort=A","Dates=H","DateFormat=P","Fill=—","Direction=H","UseDPDF=Y")</f>
        <v>—</v>
      </c>
      <c r="N107" s="13" t="str">
        <f>_xll.BDH("GILD US Equity","ARDR_OPTIONS_EXPIRED_DUR_PER","FQ3 2021","FQ3 2021","Currency=USD","Period=FQ","BEST_FPERIOD_OVERRIDE=FQ","FILING_STATUS=MR","SCALING_FORMAT=MLN","Sort=A","Dates=H","DateFormat=P","Fill=—","Direction=H","UseDPDF=Y")</f>
        <v>—</v>
      </c>
      <c r="O107" s="13" t="str">
        <f>_xll.BDH("GILD US Equity","ARDR_OPTIONS_EXPIRED_DUR_PER","FQ4 2021","FQ4 2021","Currency=USD","Period=FQ","BEST_FPERIOD_OVERRIDE=FQ","FILING_STATUS=MR","SCALING_FORMAT=MLN","Sort=A","Dates=H","DateFormat=P","Fill=—","Direction=H","UseDPDF=Y")</f>
        <v>—</v>
      </c>
      <c r="P107" s="13" t="str">
        <f>_xll.BDH("GILD US Equity","ARDR_OPTIONS_EXPIRED_DUR_PER","FQ1 2022","FQ1 2022","Currency=USD","Period=FQ","BEST_FPERIOD_OVERRIDE=FQ","FILING_STATUS=MR","SCALING_FORMAT=MLN","Sort=A","Dates=H","DateFormat=P","Fill=—","Direction=H","UseDPDF=Y")</f>
        <v>—</v>
      </c>
      <c r="Q107" s="13" t="str">
        <f>_xll.BDH("GILD US Equity","ARDR_OPTIONS_EXPIRED_DUR_PER","FQ2 2022","FQ2 2022","Currency=USD","Period=FQ","BEST_FPERIOD_OVERRIDE=FQ","FILING_STATUS=MR","SCALING_FORMAT=MLN","Sort=A","Dates=H","DateFormat=P","Fill=—","Direction=H","UseDPDF=Y")</f>
        <v>—</v>
      </c>
      <c r="R107" s="13" t="str">
        <f>_xll.BDH("GILD US Equity","ARDR_OPTIONS_EXPIRED_DUR_PER","FQ3 2022","FQ3 2022","Currency=USD","Period=FQ","BEST_FPERIOD_OVERRIDE=FQ","FILING_STATUS=MR","SCALING_FORMAT=MLN","Sort=A","Dates=H","DateFormat=P","Fill=—","Direction=H","UseDPDF=Y")</f>
        <v>—</v>
      </c>
      <c r="S107" s="13" t="str">
        <f>_xll.BDH("GILD US Equity","ARDR_OPTIONS_EXPIRED_DUR_PER","FQ4 2022","FQ4 2022","Currency=USD","Period=FQ","BEST_FPERIOD_OVERRIDE=FQ","FILING_STATUS=MR","SCALING_FORMAT=MLN","Sort=A","Dates=H","DateFormat=P","Fill=—","Direction=H","UseDPDF=Y")</f>
        <v>—</v>
      </c>
      <c r="T107" s="13" t="str">
        <f>_xll.BDH("GILD US Equity","ARDR_OPTIONS_EXPIRED_DUR_PER","FQ1 2023","FQ1 2023","Currency=USD","Period=FQ","BEST_FPERIOD_OVERRIDE=FQ","FILING_STATUS=MR","SCALING_FORMAT=MLN","Sort=A","Dates=H","DateFormat=P","Fill=—","Direction=H","UseDPDF=Y")</f>
        <v>—</v>
      </c>
      <c r="U107" s="13" t="str">
        <f>_xll.BDH("GILD US Equity","ARDR_OPTIONS_EXPIRED_DUR_PER","FQ2 2023","FQ2 2023","Currency=USD","Period=FQ","BEST_FPERIOD_OVERRIDE=FQ","FILING_STATUS=MR","SCALING_FORMAT=MLN","Sort=A","Dates=H","DateFormat=P","Fill=—","Direction=H","UseDPDF=Y")</f>
        <v>—</v>
      </c>
      <c r="V107" s="13" t="str">
        <f>_xll.BDH("GILD US Equity","ARDR_OPTIONS_EXPIRED_DUR_PER","FQ3 2023","FQ3 2023","Currency=USD","Period=FQ","BEST_FPERIOD_OVERRIDE=FQ","FILING_STATUS=MR","SCALING_FORMAT=MLN","Sort=A","Dates=H","DateFormat=P","Fill=—","Direction=H","UseDPDF=Y")</f>
        <v>—</v>
      </c>
      <c r="W107" s="13">
        <f>_xll.BDH("GILD US Equity","ARDR_OPTIONS_EXPIRED_DUR_PER","FQ4 2023","FQ4 2023","Currency=USD","Period=FQ","BEST_FPERIOD_OVERRIDE=FQ","FILING_STATUS=MR","SCALING_FORMAT=MLN","Sort=A","Dates=H","DateFormat=P","Fill=—","Direction=H","UseDPDF=Y")</f>
        <v>0.2</v>
      </c>
      <c r="X107" s="13" t="str">
        <f>_xll.BDH("GILD US Equity","ARDR_OPTIONS_EXPIRED_DUR_PER","FQ1 2024","FQ1 2024","Currency=USD","Period=FQ","BEST_FPERIOD_OVERRIDE=FQ","FILING_STATUS=MR","SCALING_FORMAT=MLN","Sort=A","Dates=H","DateFormat=P","Fill=—","Direction=H","UseDPDF=Y")</f>
        <v>—</v>
      </c>
      <c r="Y107" s="13" t="str">
        <f>_xll.BDH("GILD US Equity","ARDR_OPTIONS_EXPIRED_DUR_PER","FQ2 2024","FQ2 2024","Currency=USD","Period=FQ","BEST_FPERIOD_OVERRIDE=FQ","FILING_STATUS=MR","SCALING_FORMAT=MLN","Sort=A","Dates=H","DateFormat=P","Fill=—","Direction=H","UseDPDF=Y")</f>
        <v>—</v>
      </c>
      <c r="Z107" s="13" t="str">
        <f>_xll.BDH("GILD US Equity","ARDR_OPTIONS_EXPIRED_DUR_PER","FQ3 2024","FQ3 2024","Currency=USD","Period=FQ","BEST_FPERIOD_OVERRIDE=FQ","FILING_STATUS=MR","SCALING_FORMAT=MLN","Sort=A","Dates=H","DateFormat=P","Fill=—","Direction=H","UseDPDF=Y")</f>
        <v>—</v>
      </c>
      <c r="AA107" s="13" t="str">
        <f>_xll.BDH("GILD US Equity","ARDR_OPTIONS_EXPIRED_DUR_PER","FQ4 2024","FQ4 2024","Currency=USD","Period=FQ","BEST_FPERIOD_OVERRIDE=FQ","FILING_STATUS=MR","SCALING_FORMAT=MLN","Sort=A","Dates=H","DateFormat=P","Fill=—","Direction=H","UseDPDF=Y")</f>
        <v>—</v>
      </c>
    </row>
    <row r="108" spans="1:27" x14ac:dyDescent="0.25">
      <c r="A108" s="10" t="s">
        <v>1073</v>
      </c>
      <c r="B108" s="10" t="s">
        <v>1074</v>
      </c>
      <c r="C108" s="13" t="str">
        <f>_xll.BDH("GILD US Equity","ARDR_ACCRUED_EXP_OTHER_ST","FQ4 2018","FQ4 2018","Currency=USD","Period=FQ","BEST_FPERIOD_OVERRIDE=FQ","FILING_STATUS=MR","SCALING_FORMAT=MLN","Sort=A","Dates=H","DateFormat=P","Fill=—","Direction=H","UseDPDF=Y")</f>
        <v>—</v>
      </c>
      <c r="D108" s="13" t="str">
        <f>_xll.BDH("GILD US Equity","ARDR_ACCRUED_EXP_OTHER_ST","FQ1 2019","FQ1 2019","Currency=USD","Period=FQ","BEST_FPERIOD_OVERRIDE=FQ","FILING_STATUS=MR","SCALING_FORMAT=MLN","Sort=A","Dates=H","DateFormat=P","Fill=—","Direction=H","UseDPDF=Y")</f>
        <v>—</v>
      </c>
      <c r="E108" s="13" t="str">
        <f>_xll.BDH("GILD US Equity","ARDR_ACCRUED_EXP_OTHER_ST","FQ2 2019","FQ2 2019","Currency=USD","Period=FQ","BEST_FPERIOD_OVERRIDE=FQ","FILING_STATUS=MR","SCALING_FORMAT=MLN","Sort=A","Dates=H","DateFormat=P","Fill=—","Direction=H","UseDPDF=Y")</f>
        <v>—</v>
      </c>
      <c r="F108" s="13" t="str">
        <f>_xll.BDH("GILD US Equity","ARDR_ACCRUED_EXP_OTHER_ST","FQ3 2019","FQ3 2019","Currency=USD","Period=FQ","BEST_FPERIOD_OVERRIDE=FQ","FILING_STATUS=MR","SCALING_FORMAT=MLN","Sort=A","Dates=H","DateFormat=P","Fill=—","Direction=H","UseDPDF=Y")</f>
        <v>—</v>
      </c>
      <c r="G108" s="13" t="str">
        <f>_xll.BDH("GILD US Equity","ARDR_ACCRUED_EXP_OTHER_ST","FQ4 2019","FQ4 2019","Currency=USD","Period=FQ","BEST_FPERIOD_OVERRIDE=FQ","FILING_STATUS=MR","SCALING_FORMAT=MLN","Sort=A","Dates=H","DateFormat=P","Fill=—","Direction=H","UseDPDF=Y")</f>
        <v>—</v>
      </c>
      <c r="H108" s="13" t="str">
        <f>_xll.BDH("GILD US Equity","ARDR_ACCRUED_EXP_OTHER_ST","FQ1 2020","FQ1 2020","Currency=USD","Period=FQ","BEST_FPERIOD_OVERRIDE=FQ","FILING_STATUS=MR","SCALING_FORMAT=MLN","Sort=A","Dates=H","DateFormat=P","Fill=—","Direction=H","UseDPDF=Y")</f>
        <v>—</v>
      </c>
      <c r="I108" s="13" t="str">
        <f>_xll.BDH("GILD US Equity","ARDR_ACCRUED_EXP_OTHER_ST","FQ2 2020","FQ2 2020","Currency=USD","Period=FQ","BEST_FPERIOD_OVERRIDE=FQ","FILING_STATUS=MR","SCALING_FORMAT=MLN","Sort=A","Dates=H","DateFormat=P","Fill=—","Direction=H","UseDPDF=Y")</f>
        <v>—</v>
      </c>
      <c r="J108" s="13" t="str">
        <f>_xll.BDH("GILD US Equity","ARDR_ACCRUED_EXP_OTHER_ST","FQ3 2020","FQ3 2020","Currency=USD","Period=FQ","BEST_FPERIOD_OVERRIDE=FQ","FILING_STATUS=MR","SCALING_FORMAT=MLN","Sort=A","Dates=H","DateFormat=P","Fill=—","Direction=H","UseDPDF=Y")</f>
        <v>—</v>
      </c>
      <c r="K108" s="13" t="str">
        <f>_xll.BDH("GILD US Equity","ARDR_ACCRUED_EXP_OTHER_ST","FQ4 2020","FQ4 2020","Currency=USD","Period=FQ","BEST_FPERIOD_OVERRIDE=FQ","FILING_STATUS=MR","SCALING_FORMAT=MLN","Sort=A","Dates=H","DateFormat=P","Fill=—","Direction=H","UseDPDF=Y")</f>
        <v>—</v>
      </c>
      <c r="L108" s="13" t="str">
        <f>_xll.BDH("GILD US Equity","ARDR_ACCRUED_EXP_OTHER_ST","FQ1 2021","FQ1 2021","Currency=USD","Period=FQ","BEST_FPERIOD_OVERRIDE=FQ","FILING_STATUS=MR","SCALING_FORMAT=MLN","Sort=A","Dates=H","DateFormat=P","Fill=—","Direction=H","UseDPDF=Y")</f>
        <v>—</v>
      </c>
      <c r="M108" s="13">
        <f>_xll.BDH("GILD US Equity","ARDR_ACCRUED_EXP_OTHER_ST","FQ2 2021","FQ2 2021","Currency=USD","Period=FQ","BEST_FPERIOD_OVERRIDE=FQ","FILING_STATUS=MR","SCALING_FORMAT=MLN","Sort=A","Dates=H","DateFormat=P","Fill=—","Direction=H","UseDPDF=Y")</f>
        <v>6906</v>
      </c>
      <c r="N108" s="13">
        <f>_xll.BDH("GILD US Equity","ARDR_ACCRUED_EXP_OTHER_ST","FQ3 2021","FQ3 2021","Currency=USD","Period=FQ","BEST_FPERIOD_OVERRIDE=FQ","FILING_STATUS=MR","SCALING_FORMAT=MLN","Sort=A","Dates=H","DateFormat=P","Fill=—","Direction=H","UseDPDF=Y")</f>
        <v>3334</v>
      </c>
      <c r="O108" s="13">
        <f>_xll.BDH("GILD US Equity","ARDR_ACCRUED_EXP_OTHER_ST","FQ4 2021","FQ4 2021","Currency=USD","Period=FQ","BEST_FPERIOD_OVERRIDE=FQ","FILING_STATUS=MR","SCALING_FORMAT=MLN","Sort=A","Dates=H","DateFormat=P","Fill=—","Direction=H","UseDPDF=Y")</f>
        <v>5606</v>
      </c>
      <c r="P108" s="13" t="str">
        <f>_xll.BDH("GILD US Equity","ARDR_ACCRUED_EXP_OTHER_ST","FQ1 2022","FQ1 2022","Currency=USD","Period=FQ","BEST_FPERIOD_OVERRIDE=FQ","FILING_STATUS=MR","SCALING_FORMAT=MLN","Sort=A","Dates=H","DateFormat=P","Fill=—","Direction=H","UseDPDF=Y")</f>
        <v>—</v>
      </c>
      <c r="Q108" s="13">
        <f>_xll.BDH("GILD US Equity","ARDR_ACCRUED_EXP_OTHER_ST","FQ2 2022","FQ2 2022","Currency=USD","Period=FQ","BEST_FPERIOD_OVERRIDE=FQ","FILING_STATUS=MR","SCALING_FORMAT=MLN","Sort=A","Dates=H","DateFormat=P","Fill=—","Direction=H","UseDPDF=Y")</f>
        <v>3213</v>
      </c>
      <c r="R108" s="13">
        <f>_xll.BDH("GILD US Equity","ARDR_ACCRUED_EXP_OTHER_ST","FQ3 2022","FQ3 2022","Currency=USD","Period=FQ","BEST_FPERIOD_OVERRIDE=FQ","FILING_STATUS=MR","SCALING_FORMAT=MLN","Sort=A","Dates=H","DateFormat=P","Fill=—","Direction=H","UseDPDF=Y")</f>
        <v>2963</v>
      </c>
      <c r="S108" s="13">
        <f>_xll.BDH("GILD US Equity","ARDR_ACCRUED_EXP_OTHER_ST","FQ4 2022","FQ4 2022","Currency=USD","Period=FQ","BEST_FPERIOD_OVERRIDE=FQ","FILING_STATUS=MR","SCALING_FORMAT=MLN","Sort=A","Dates=H","DateFormat=P","Fill=—","Direction=H","UseDPDF=Y")</f>
        <v>3622</v>
      </c>
      <c r="T108" s="13">
        <f>_xll.BDH("GILD US Equity","ARDR_ACCRUED_EXP_OTHER_ST","FQ1 2023","FQ1 2023","Currency=USD","Period=FQ","BEST_FPERIOD_OVERRIDE=FQ","FILING_STATUS=MR","SCALING_FORMAT=MLN","Sort=A","Dates=H","DateFormat=P","Fill=—","Direction=H","UseDPDF=Y")</f>
        <v>3002</v>
      </c>
      <c r="U108" s="13">
        <f>_xll.BDH("GILD US Equity","ARDR_ACCRUED_EXP_OTHER_ST","FQ2 2023","FQ2 2023","Currency=USD","Period=FQ","BEST_FPERIOD_OVERRIDE=FQ","FILING_STATUS=MR","SCALING_FORMAT=MLN","Sort=A","Dates=H","DateFormat=P","Fill=—","Direction=H","UseDPDF=Y")</f>
        <v>3585</v>
      </c>
      <c r="V108" s="13">
        <f>_xll.BDH("GILD US Equity","ARDR_ACCRUED_EXP_OTHER_ST","FQ3 2023","FQ3 2023","Currency=USD","Period=FQ","BEST_FPERIOD_OVERRIDE=FQ","FILING_STATUS=MR","SCALING_FORMAT=MLN","Sort=A","Dates=H","DateFormat=P","Fill=—","Direction=H","UseDPDF=Y")</f>
        <v>3766</v>
      </c>
      <c r="W108" s="13">
        <f>_xll.BDH("GILD US Equity","ARDR_ACCRUED_EXP_OTHER_ST","FQ4 2023","FQ4 2023","Currency=USD","Period=FQ","BEST_FPERIOD_OVERRIDE=FQ","FILING_STATUS=MR","SCALING_FORMAT=MLN","Sort=A","Dates=H","DateFormat=P","Fill=—","Direction=H","UseDPDF=Y")</f>
        <v>3922</v>
      </c>
      <c r="X108" s="13">
        <f>_xll.BDH("GILD US Equity","ARDR_ACCRUED_EXP_OTHER_ST","FQ1 2024","FQ1 2024","Currency=USD","Period=FQ","BEST_FPERIOD_OVERRIDE=FQ","FILING_STATUS=MR","SCALING_FORMAT=MLN","Sort=A","Dates=H","DateFormat=P","Fill=—","Direction=H","UseDPDF=Y")</f>
        <v>3265</v>
      </c>
      <c r="Y108" s="13">
        <f>_xll.BDH("GILD US Equity","ARDR_ACCRUED_EXP_OTHER_ST","FQ2 2024","FQ2 2024","Currency=USD","Period=FQ","BEST_FPERIOD_OVERRIDE=FQ","FILING_STATUS=MR","SCALING_FORMAT=MLN","Sort=A","Dates=H","DateFormat=P","Fill=—","Direction=H","UseDPDF=Y")</f>
        <v>3246</v>
      </c>
      <c r="Z108" s="13" t="str">
        <f>_xll.BDH("GILD US Equity","ARDR_ACCRUED_EXP_OTHER_ST","FQ3 2024","FQ3 2024","Currency=USD","Period=FQ","BEST_FPERIOD_OVERRIDE=FQ","FILING_STATUS=MR","SCALING_FORMAT=MLN","Sort=A","Dates=H","DateFormat=P","Fill=—","Direction=H","UseDPDF=Y")</f>
        <v>—</v>
      </c>
      <c r="AA108" s="13">
        <f>_xll.BDH("GILD US Equity","ARDR_ACCRUED_EXP_OTHER_ST","FQ4 2024","FQ4 2024","Currency=USD","Period=FQ","BEST_FPERIOD_OVERRIDE=FQ","FILING_STATUS=MR","SCALING_FORMAT=MLN","Sort=A","Dates=H","DateFormat=P","Fill=—","Direction=H","UseDPDF=Y")</f>
        <v>3818</v>
      </c>
    </row>
    <row r="109" spans="1:27" x14ac:dyDescent="0.25">
      <c r="A109" s="10" t="s">
        <v>1075</v>
      </c>
      <c r="B109" s="10" t="s">
        <v>1076</v>
      </c>
      <c r="C109" s="13">
        <f>_xll.BDH("GILD US Equity","ARDR_TOTAL_CREDIT_UTILIZED","FQ4 2018","FQ4 2018","Currency=USD","Period=FQ","BEST_FPERIOD_OVERRIDE=FQ","FILING_STATUS=MR","SCALING_FORMAT=MLN","Sort=A","Dates=H","DateFormat=P","Fill=—","Direction=H","UseDPDF=Y")</f>
        <v>0</v>
      </c>
      <c r="D109" s="13" t="str">
        <f>_xll.BDH("GILD US Equity","ARDR_TOTAL_CREDIT_UTILIZED","FQ1 2019","FQ1 2019","Currency=USD","Period=FQ","BEST_FPERIOD_OVERRIDE=FQ","FILING_STATUS=MR","SCALING_FORMAT=MLN","Sort=A","Dates=H","DateFormat=P","Fill=—","Direction=H","UseDPDF=Y")</f>
        <v>—</v>
      </c>
      <c r="E109" s="13" t="str">
        <f>_xll.BDH("GILD US Equity","ARDR_TOTAL_CREDIT_UTILIZED","FQ2 2019","FQ2 2019","Currency=USD","Period=FQ","BEST_FPERIOD_OVERRIDE=FQ","FILING_STATUS=MR","SCALING_FORMAT=MLN","Sort=A","Dates=H","DateFormat=P","Fill=—","Direction=H","UseDPDF=Y")</f>
        <v>—</v>
      </c>
      <c r="F109" s="13" t="str">
        <f>_xll.BDH("GILD US Equity","ARDR_TOTAL_CREDIT_UTILIZED","FQ3 2019","FQ3 2019","Currency=USD","Period=FQ","BEST_FPERIOD_OVERRIDE=FQ","FILING_STATUS=MR","SCALING_FORMAT=MLN","Sort=A","Dates=H","DateFormat=P","Fill=—","Direction=H","UseDPDF=Y")</f>
        <v>—</v>
      </c>
      <c r="G109" s="13">
        <f>_xll.BDH("GILD US Equity","ARDR_TOTAL_CREDIT_UTILIZED","FQ4 2019","FQ4 2019","Currency=USD","Period=FQ","BEST_FPERIOD_OVERRIDE=FQ","FILING_STATUS=MR","SCALING_FORMAT=MLN","Sort=A","Dates=H","DateFormat=P","Fill=—","Direction=H","UseDPDF=Y")</f>
        <v>0</v>
      </c>
      <c r="H109" s="13">
        <f>_xll.BDH("GILD US Equity","ARDR_TOTAL_CREDIT_UTILIZED","FQ1 2020","FQ1 2020","Currency=USD","Period=FQ","BEST_FPERIOD_OVERRIDE=FQ","FILING_STATUS=MR","SCALING_FORMAT=MLN","Sort=A","Dates=H","DateFormat=P","Fill=—","Direction=H","UseDPDF=Y")</f>
        <v>0</v>
      </c>
      <c r="I109" s="13">
        <f>_xll.BDH("GILD US Equity","ARDR_TOTAL_CREDIT_UTILIZED","FQ2 2020","FQ2 2020","Currency=USD","Period=FQ","BEST_FPERIOD_OVERRIDE=FQ","FILING_STATUS=MR","SCALING_FORMAT=MLN","Sort=A","Dates=H","DateFormat=P","Fill=—","Direction=H","UseDPDF=Y")</f>
        <v>0</v>
      </c>
      <c r="J109" s="13">
        <f>_xll.BDH("GILD US Equity","ARDR_TOTAL_CREDIT_UTILIZED","FQ3 2020","FQ3 2020","Currency=USD","Period=FQ","BEST_FPERIOD_OVERRIDE=FQ","FILING_STATUS=MR","SCALING_FORMAT=MLN","Sort=A","Dates=H","DateFormat=P","Fill=—","Direction=H","UseDPDF=Y")</f>
        <v>0</v>
      </c>
      <c r="K109" s="13">
        <f>_xll.BDH("GILD US Equity","ARDR_TOTAL_CREDIT_UTILIZED","FQ4 2020","FQ4 2020","Currency=USD","Period=FQ","BEST_FPERIOD_OVERRIDE=FQ","FILING_STATUS=MR","SCALING_FORMAT=MLN","Sort=A","Dates=H","DateFormat=P","Fill=—","Direction=H","UseDPDF=Y")</f>
        <v>0</v>
      </c>
      <c r="L109" s="13">
        <f>_xll.BDH("GILD US Equity","ARDR_TOTAL_CREDIT_UTILIZED","FQ1 2021","FQ1 2021","Currency=USD","Period=FQ","BEST_FPERIOD_OVERRIDE=FQ","FILING_STATUS=MR","SCALING_FORMAT=MLN","Sort=A","Dates=H","DateFormat=P","Fill=—","Direction=H","UseDPDF=Y")</f>
        <v>0</v>
      </c>
      <c r="M109" s="13">
        <f>_xll.BDH("GILD US Equity","ARDR_TOTAL_CREDIT_UTILIZED","FQ2 2021","FQ2 2021","Currency=USD","Period=FQ","BEST_FPERIOD_OVERRIDE=FQ","FILING_STATUS=MR","SCALING_FORMAT=MLN","Sort=A","Dates=H","DateFormat=P","Fill=—","Direction=H","UseDPDF=Y")</f>
        <v>0</v>
      </c>
      <c r="N109" s="13">
        <f>_xll.BDH("GILD US Equity","ARDR_TOTAL_CREDIT_UTILIZED","FQ3 2021","FQ3 2021","Currency=USD","Period=FQ","BEST_FPERIOD_OVERRIDE=FQ","FILING_STATUS=MR","SCALING_FORMAT=MLN","Sort=A","Dates=H","DateFormat=P","Fill=—","Direction=H","UseDPDF=Y")</f>
        <v>0</v>
      </c>
      <c r="O109" s="13">
        <f>_xll.BDH("GILD US Equity","ARDR_TOTAL_CREDIT_UTILIZED","FQ4 2021","FQ4 2021","Currency=USD","Period=FQ","BEST_FPERIOD_OVERRIDE=FQ","FILING_STATUS=MR","SCALING_FORMAT=MLN","Sort=A","Dates=H","DateFormat=P","Fill=—","Direction=H","UseDPDF=Y")</f>
        <v>0</v>
      </c>
      <c r="P109" s="13">
        <f>_xll.BDH("GILD US Equity","ARDR_TOTAL_CREDIT_UTILIZED","FQ1 2022","FQ1 2022","Currency=USD","Period=FQ","BEST_FPERIOD_OVERRIDE=FQ","FILING_STATUS=MR","SCALING_FORMAT=MLN","Sort=A","Dates=H","DateFormat=P","Fill=—","Direction=H","UseDPDF=Y")</f>
        <v>0</v>
      </c>
      <c r="Q109" s="13">
        <f>_xll.BDH("GILD US Equity","ARDR_TOTAL_CREDIT_UTILIZED","FQ2 2022","FQ2 2022","Currency=USD","Period=FQ","BEST_FPERIOD_OVERRIDE=FQ","FILING_STATUS=MR","SCALING_FORMAT=MLN","Sort=A","Dates=H","DateFormat=P","Fill=—","Direction=H","UseDPDF=Y")</f>
        <v>0</v>
      </c>
      <c r="R109" s="13" t="str">
        <f>_xll.BDH("GILD US Equity","ARDR_TOTAL_CREDIT_UTILIZED","FQ3 2022","FQ3 2022","Currency=USD","Period=FQ","BEST_FPERIOD_OVERRIDE=FQ","FILING_STATUS=MR","SCALING_FORMAT=MLN","Sort=A","Dates=H","DateFormat=P","Fill=—","Direction=H","UseDPDF=Y")</f>
        <v>—</v>
      </c>
      <c r="S109" s="13">
        <f>_xll.BDH("GILD US Equity","ARDR_TOTAL_CREDIT_UTILIZED","FQ4 2022","FQ4 2022","Currency=USD","Period=FQ","BEST_FPERIOD_OVERRIDE=FQ","FILING_STATUS=MR","SCALING_FORMAT=MLN","Sort=A","Dates=H","DateFormat=P","Fill=—","Direction=H","UseDPDF=Y")</f>
        <v>0</v>
      </c>
      <c r="T109" s="13">
        <f>_xll.BDH("GILD US Equity","ARDR_TOTAL_CREDIT_UTILIZED","FQ1 2023","FQ1 2023","Currency=USD","Period=FQ","BEST_FPERIOD_OVERRIDE=FQ","FILING_STATUS=MR","SCALING_FORMAT=MLN","Sort=A","Dates=H","DateFormat=P","Fill=—","Direction=H","UseDPDF=Y")</f>
        <v>0</v>
      </c>
      <c r="U109" s="13">
        <f>_xll.BDH("GILD US Equity","ARDR_TOTAL_CREDIT_UTILIZED","FQ2 2023","FQ2 2023","Currency=USD","Period=FQ","BEST_FPERIOD_OVERRIDE=FQ","FILING_STATUS=MR","SCALING_FORMAT=MLN","Sort=A","Dates=H","DateFormat=P","Fill=—","Direction=H","UseDPDF=Y")</f>
        <v>0</v>
      </c>
      <c r="V109" s="13">
        <f>_xll.BDH("GILD US Equity","ARDR_TOTAL_CREDIT_UTILIZED","FQ3 2023","FQ3 2023","Currency=USD","Period=FQ","BEST_FPERIOD_OVERRIDE=FQ","FILING_STATUS=MR","SCALING_FORMAT=MLN","Sort=A","Dates=H","DateFormat=P","Fill=—","Direction=H","UseDPDF=Y")</f>
        <v>0</v>
      </c>
      <c r="W109" s="13">
        <f>_xll.BDH("GILD US Equity","ARDR_TOTAL_CREDIT_UTILIZED","FQ4 2023","FQ4 2023","Currency=USD","Period=FQ","BEST_FPERIOD_OVERRIDE=FQ","FILING_STATUS=MR","SCALING_FORMAT=MLN","Sort=A","Dates=H","DateFormat=P","Fill=—","Direction=H","UseDPDF=Y")</f>
        <v>0</v>
      </c>
      <c r="X109" s="13">
        <f>_xll.BDH("GILD US Equity","ARDR_TOTAL_CREDIT_UTILIZED","FQ1 2024","FQ1 2024","Currency=USD","Period=FQ","BEST_FPERIOD_OVERRIDE=FQ","FILING_STATUS=MR","SCALING_FORMAT=MLN","Sort=A","Dates=H","DateFormat=P","Fill=—","Direction=H","UseDPDF=Y")</f>
        <v>0</v>
      </c>
      <c r="Y109" s="13">
        <f>_xll.BDH("GILD US Equity","ARDR_TOTAL_CREDIT_UTILIZED","FQ2 2024","FQ2 2024","Currency=USD","Period=FQ","BEST_FPERIOD_OVERRIDE=FQ","FILING_STATUS=MR","SCALING_FORMAT=MLN","Sort=A","Dates=H","DateFormat=P","Fill=—","Direction=H","UseDPDF=Y")</f>
        <v>0</v>
      </c>
      <c r="Z109" s="13">
        <f>_xll.BDH("GILD US Equity","ARDR_TOTAL_CREDIT_UTILIZED","FQ3 2024","FQ3 2024","Currency=USD","Period=FQ","BEST_FPERIOD_OVERRIDE=FQ","FILING_STATUS=MR","SCALING_FORMAT=MLN","Sort=A","Dates=H","DateFormat=P","Fill=—","Direction=H","UseDPDF=Y")</f>
        <v>0</v>
      </c>
      <c r="AA109" s="13">
        <f>_xll.BDH("GILD US Equity","ARDR_TOTAL_CREDIT_UTILIZED","FQ4 2024","FQ4 2024","Currency=USD","Period=FQ","BEST_FPERIOD_OVERRIDE=FQ","FILING_STATUS=MR","SCALING_FORMAT=MLN","Sort=A","Dates=H","DateFormat=P","Fill=—","Direction=H","UseDPDF=Y")</f>
        <v>0</v>
      </c>
    </row>
    <row r="110" spans="1:27" x14ac:dyDescent="0.25">
      <c r="A110" s="10" t="s">
        <v>1077</v>
      </c>
      <c r="B110" s="10" t="s">
        <v>1078</v>
      </c>
      <c r="C110" s="13">
        <f>_xll.BDH("GILD US Equity","ARDR_PURCHASE_OBLIGATIONS","FQ4 2018","FQ4 2018","Currency=USD","Period=FQ","BEST_FPERIOD_OVERRIDE=FQ","FILING_STATUS=MR","SCALING_FORMAT=MLN","Sort=A","Dates=H","DateFormat=P","Fill=—","Direction=H","UseDPDF=Y")</f>
        <v>1629</v>
      </c>
      <c r="D110" s="13" t="str">
        <f>_xll.BDH("GILD US Equity","ARDR_PURCHASE_OBLIGATIONS","FQ1 2019","FQ1 2019","Currency=USD","Period=FQ","BEST_FPERIOD_OVERRIDE=FQ","FILING_STATUS=MR","SCALING_FORMAT=MLN","Sort=A","Dates=H","DateFormat=P","Fill=—","Direction=H","UseDPDF=Y")</f>
        <v>—</v>
      </c>
      <c r="E110" s="13" t="str">
        <f>_xll.BDH("GILD US Equity","ARDR_PURCHASE_OBLIGATIONS","FQ2 2019","FQ2 2019","Currency=USD","Period=FQ","BEST_FPERIOD_OVERRIDE=FQ","FILING_STATUS=MR","SCALING_FORMAT=MLN","Sort=A","Dates=H","DateFormat=P","Fill=—","Direction=H","UseDPDF=Y")</f>
        <v>—</v>
      </c>
      <c r="F110" s="13" t="str">
        <f>_xll.BDH("GILD US Equity","ARDR_PURCHASE_OBLIGATIONS","FQ3 2019","FQ3 2019","Currency=USD","Period=FQ","BEST_FPERIOD_OVERRIDE=FQ","FILING_STATUS=MR","SCALING_FORMAT=MLN","Sort=A","Dates=H","DateFormat=P","Fill=—","Direction=H","UseDPDF=Y")</f>
        <v>—</v>
      </c>
      <c r="G110" s="13">
        <f>_xll.BDH("GILD US Equity","ARDR_PURCHASE_OBLIGATIONS","FQ4 2019","FQ4 2019","Currency=USD","Period=FQ","BEST_FPERIOD_OVERRIDE=FQ","FILING_STATUS=MR","SCALING_FORMAT=MLN","Sort=A","Dates=H","DateFormat=P","Fill=—","Direction=H","UseDPDF=Y")</f>
        <v>1682</v>
      </c>
      <c r="H110" s="13" t="str">
        <f>_xll.BDH("GILD US Equity","ARDR_PURCHASE_OBLIGATIONS","FQ1 2020","FQ1 2020","Currency=USD","Period=FQ","BEST_FPERIOD_OVERRIDE=FQ","FILING_STATUS=MR","SCALING_FORMAT=MLN","Sort=A","Dates=H","DateFormat=P","Fill=—","Direction=H","UseDPDF=Y")</f>
        <v>—</v>
      </c>
      <c r="I110" s="13" t="str">
        <f>_xll.BDH("GILD US Equity","ARDR_PURCHASE_OBLIGATIONS","FQ2 2020","FQ2 2020","Currency=USD","Period=FQ","BEST_FPERIOD_OVERRIDE=FQ","FILING_STATUS=MR","SCALING_FORMAT=MLN","Sort=A","Dates=H","DateFormat=P","Fill=—","Direction=H","UseDPDF=Y")</f>
        <v>—</v>
      </c>
      <c r="J110" s="13" t="str">
        <f>_xll.BDH("GILD US Equity","ARDR_PURCHASE_OBLIGATIONS","FQ3 2020","FQ3 2020","Currency=USD","Period=FQ","BEST_FPERIOD_OVERRIDE=FQ","FILING_STATUS=MR","SCALING_FORMAT=MLN","Sort=A","Dates=H","DateFormat=P","Fill=—","Direction=H","UseDPDF=Y")</f>
        <v>—</v>
      </c>
      <c r="K110" s="13">
        <f>_xll.BDH("GILD US Equity","ARDR_PURCHASE_OBLIGATIONS","FQ4 2020","FQ4 2020","Currency=USD","Period=FQ","BEST_FPERIOD_OVERRIDE=FQ","FILING_STATUS=MR","SCALING_FORMAT=MLN","Sort=A","Dates=H","DateFormat=P","Fill=—","Direction=H","UseDPDF=Y")</f>
        <v>3872</v>
      </c>
      <c r="L110" s="13" t="str">
        <f>_xll.BDH("GILD US Equity","ARDR_PURCHASE_OBLIGATIONS","FQ1 2021","FQ1 2021","Currency=USD","Period=FQ","BEST_FPERIOD_OVERRIDE=FQ","FILING_STATUS=MR","SCALING_FORMAT=MLN","Sort=A","Dates=H","DateFormat=P","Fill=—","Direction=H","UseDPDF=Y")</f>
        <v>—</v>
      </c>
      <c r="M110" s="13" t="str">
        <f>_xll.BDH("GILD US Equity","ARDR_PURCHASE_OBLIGATIONS","FQ2 2021","FQ2 2021","Currency=USD","Period=FQ","BEST_FPERIOD_OVERRIDE=FQ","FILING_STATUS=MR","SCALING_FORMAT=MLN","Sort=A","Dates=H","DateFormat=P","Fill=—","Direction=H","UseDPDF=Y")</f>
        <v>—</v>
      </c>
      <c r="N110" s="13" t="str">
        <f>_xll.BDH("GILD US Equity","ARDR_PURCHASE_OBLIGATIONS","FQ3 2021","FQ3 2021","Currency=USD","Period=FQ","BEST_FPERIOD_OVERRIDE=FQ","FILING_STATUS=MR","SCALING_FORMAT=MLN","Sort=A","Dates=H","DateFormat=P","Fill=—","Direction=H","UseDPDF=Y")</f>
        <v>—</v>
      </c>
      <c r="O110" s="13" t="str">
        <f>_xll.BDH("GILD US Equity","ARDR_PURCHASE_OBLIGATIONS","FQ4 2021","FQ4 2021","Currency=USD","Period=FQ","BEST_FPERIOD_OVERRIDE=FQ","FILING_STATUS=MR","SCALING_FORMAT=MLN","Sort=A","Dates=H","DateFormat=P","Fill=—","Direction=H","UseDPDF=Y")</f>
        <v>—</v>
      </c>
      <c r="P110" s="13" t="str">
        <f>_xll.BDH("GILD US Equity","ARDR_PURCHASE_OBLIGATIONS","FQ1 2022","FQ1 2022","Currency=USD","Period=FQ","BEST_FPERIOD_OVERRIDE=FQ","FILING_STATUS=MR","SCALING_FORMAT=MLN","Sort=A","Dates=H","DateFormat=P","Fill=—","Direction=H","UseDPDF=Y")</f>
        <v>—</v>
      </c>
      <c r="Q110" s="13" t="str">
        <f>_xll.BDH("GILD US Equity","ARDR_PURCHASE_OBLIGATIONS","FQ2 2022","FQ2 2022","Currency=USD","Period=FQ","BEST_FPERIOD_OVERRIDE=FQ","FILING_STATUS=MR","SCALING_FORMAT=MLN","Sort=A","Dates=H","DateFormat=P","Fill=—","Direction=H","UseDPDF=Y")</f>
        <v>—</v>
      </c>
      <c r="R110" s="13" t="str">
        <f>_xll.BDH("GILD US Equity","ARDR_PURCHASE_OBLIGATIONS","FQ3 2022","FQ3 2022","Currency=USD","Period=FQ","BEST_FPERIOD_OVERRIDE=FQ","FILING_STATUS=MR","SCALING_FORMAT=MLN","Sort=A","Dates=H","DateFormat=P","Fill=—","Direction=H","UseDPDF=Y")</f>
        <v>—</v>
      </c>
      <c r="S110" s="13" t="str">
        <f>_xll.BDH("GILD US Equity","ARDR_PURCHASE_OBLIGATIONS","FQ4 2022","FQ4 2022","Currency=USD","Period=FQ","BEST_FPERIOD_OVERRIDE=FQ","FILING_STATUS=MR","SCALING_FORMAT=MLN","Sort=A","Dates=H","DateFormat=P","Fill=—","Direction=H","UseDPDF=Y")</f>
        <v>—</v>
      </c>
      <c r="T110" s="13" t="str">
        <f>_xll.BDH("GILD US Equity","ARDR_PURCHASE_OBLIGATIONS","FQ1 2023","FQ1 2023","Currency=USD","Period=FQ","BEST_FPERIOD_OVERRIDE=FQ","FILING_STATUS=MR","SCALING_FORMAT=MLN","Sort=A","Dates=H","DateFormat=P","Fill=—","Direction=H","UseDPDF=Y")</f>
        <v>—</v>
      </c>
      <c r="U110" s="13" t="str">
        <f>_xll.BDH("GILD US Equity","ARDR_PURCHASE_OBLIGATIONS","FQ2 2023","FQ2 2023","Currency=USD","Period=FQ","BEST_FPERIOD_OVERRIDE=FQ","FILING_STATUS=MR","SCALING_FORMAT=MLN","Sort=A","Dates=H","DateFormat=P","Fill=—","Direction=H","UseDPDF=Y")</f>
        <v>—</v>
      </c>
      <c r="V110" s="13" t="str">
        <f>_xll.BDH("GILD US Equity","ARDR_PURCHASE_OBLIGATIONS","FQ3 2023","FQ3 2023","Currency=USD","Period=FQ","BEST_FPERIOD_OVERRIDE=FQ","FILING_STATUS=MR","SCALING_FORMAT=MLN","Sort=A","Dates=H","DateFormat=P","Fill=—","Direction=H","UseDPDF=Y")</f>
        <v>—</v>
      </c>
      <c r="W110" s="13" t="str">
        <f>_xll.BDH("GILD US Equity","ARDR_PURCHASE_OBLIGATIONS","FQ4 2023","FQ4 2023","Currency=USD","Period=FQ","BEST_FPERIOD_OVERRIDE=FQ","FILING_STATUS=MR","SCALING_FORMAT=MLN","Sort=A","Dates=H","DateFormat=P","Fill=—","Direction=H","UseDPDF=Y")</f>
        <v>—</v>
      </c>
      <c r="X110" s="13" t="str">
        <f>_xll.BDH("GILD US Equity","ARDR_PURCHASE_OBLIGATIONS","FQ1 2024","FQ1 2024","Currency=USD","Period=FQ","BEST_FPERIOD_OVERRIDE=FQ","FILING_STATUS=MR","SCALING_FORMAT=MLN","Sort=A","Dates=H","DateFormat=P","Fill=—","Direction=H","UseDPDF=Y")</f>
        <v>—</v>
      </c>
      <c r="Y110" s="13" t="str">
        <f>_xll.BDH("GILD US Equity","ARDR_PURCHASE_OBLIGATIONS","FQ2 2024","FQ2 2024","Currency=USD","Period=FQ","BEST_FPERIOD_OVERRIDE=FQ","FILING_STATUS=MR","SCALING_FORMAT=MLN","Sort=A","Dates=H","DateFormat=P","Fill=—","Direction=H","UseDPDF=Y")</f>
        <v>—</v>
      </c>
      <c r="Z110" s="13" t="str">
        <f>_xll.BDH("GILD US Equity","ARDR_PURCHASE_OBLIGATIONS","FQ3 2024","FQ3 2024","Currency=USD","Period=FQ","BEST_FPERIOD_OVERRIDE=FQ","FILING_STATUS=MR","SCALING_FORMAT=MLN","Sort=A","Dates=H","DateFormat=P","Fill=—","Direction=H","UseDPDF=Y")</f>
        <v>—</v>
      </c>
      <c r="AA110" s="13" t="str">
        <f>_xll.BDH("GILD US Equity","ARDR_PURCHASE_OBLIGATIONS","FQ4 2024","FQ4 2024","Currency=USD","Period=FQ","BEST_FPERIOD_OVERRIDE=FQ","FILING_STATUS=MR","SCALING_FORMAT=MLN","Sort=A","Dates=H","DateFormat=P","Fill=—","Direction=H","UseDPDF=Y")</f>
        <v>—</v>
      </c>
    </row>
    <row r="111" spans="1:27" x14ac:dyDescent="0.25">
      <c r="A111" s="10" t="s">
        <v>1079</v>
      </c>
      <c r="B111" s="10" t="s">
        <v>1080</v>
      </c>
      <c r="C111" s="13">
        <f>_xll.BDH("GILD US Equity","ARDR_DEBT_SCHEDULE_TOTAL_DEBT","FQ4 2018","FQ4 2018","Currency=USD","Period=FQ","BEST_FPERIOD_OVERRIDE=FQ","FILING_STATUS=MR","SCALING_FORMAT=MLN","Sort=A","Dates=H","DateFormat=P","Fill=—","Direction=H","UseDPDF=Y")</f>
        <v>27322</v>
      </c>
      <c r="D111" s="13">
        <f>_xll.BDH("GILD US Equity","ARDR_DEBT_SCHEDULE_TOTAL_DEBT","FQ1 2019","FQ1 2019","Currency=USD","Period=FQ","BEST_FPERIOD_OVERRIDE=FQ","FILING_STATUS=MR","SCALING_FORMAT=MLN","Sort=A","Dates=H","DateFormat=P","Fill=—","Direction=H","UseDPDF=Y")</f>
        <v>26578</v>
      </c>
      <c r="E111" s="13">
        <f>_xll.BDH("GILD US Equity","ARDR_DEBT_SCHEDULE_TOTAL_DEBT","FQ2 2019","FQ2 2019","Currency=USD","Period=FQ","BEST_FPERIOD_OVERRIDE=FQ","FILING_STATUS=MR","SCALING_FORMAT=MLN","Sort=A","Dates=H","DateFormat=P","Fill=—","Direction=H","UseDPDF=Y")</f>
        <v>26083</v>
      </c>
      <c r="F111" s="13">
        <f>_xll.BDH("GILD US Equity","ARDR_DEBT_SCHEDULE_TOTAL_DEBT","FQ3 2019","FQ3 2019","Currency=USD","Period=FQ","BEST_FPERIOD_OVERRIDE=FQ","FILING_STATUS=MR","SCALING_FORMAT=MLN","Sort=A","Dates=H","DateFormat=P","Fill=—","Direction=H","UseDPDF=Y")</f>
        <v>24588</v>
      </c>
      <c r="G111" s="13">
        <f>_xll.BDH("GILD US Equity","ARDR_DEBT_SCHEDULE_TOTAL_DEBT","FQ4 2019","FQ4 2019","Currency=USD","Period=FQ","BEST_FPERIOD_OVERRIDE=FQ","FILING_STATUS=MR","SCALING_FORMAT=MLN","Sort=A","Dates=H","DateFormat=P","Fill=—","Direction=H","UseDPDF=Y")</f>
        <v>24593</v>
      </c>
      <c r="H111" s="13">
        <f>_xll.BDH("GILD US Equity","ARDR_DEBT_SCHEDULE_TOTAL_DEBT","FQ1 2020","FQ1 2020","Currency=USD","Period=FQ","BEST_FPERIOD_OVERRIDE=FQ","FILING_STATUS=MR","SCALING_FORMAT=MLN","Sort=A","Dates=H","DateFormat=P","Fill=—","Direction=H","UseDPDF=Y")</f>
        <v>26096</v>
      </c>
      <c r="I111" s="13">
        <f>_xll.BDH("GILD US Equity","ARDR_DEBT_SCHEDULE_TOTAL_DEBT","FQ2 2020","FQ2 2020","Currency=USD","Period=FQ","BEST_FPERIOD_OVERRIDE=FQ","FILING_STATUS=MR","SCALING_FORMAT=MLN","Sort=A","Dates=H","DateFormat=P","Fill=—","Direction=H","UseDPDF=Y")</f>
        <v>24102</v>
      </c>
      <c r="J111" s="13">
        <f>_xll.BDH("GILD US Equity","ARDR_DEBT_SCHEDULE_TOTAL_DEBT","FQ3 2020","FQ3 2020","Currency=USD","Period=FQ","BEST_FPERIOD_OVERRIDE=FQ","FILING_STATUS=MR","SCALING_FORMAT=MLN","Sort=A","Dates=H","DateFormat=P","Fill=—","Direction=H","UseDPDF=Y")</f>
        <v>29290</v>
      </c>
      <c r="K111" s="13">
        <f>_xll.BDH("GILD US Equity","ARDR_DEBT_SCHEDULE_TOTAL_DEBT","FQ4 2020","FQ4 2020","Currency=USD","Period=FQ","BEST_FPERIOD_OVERRIDE=FQ","FILING_STATUS=MR","SCALING_FORMAT=MLN","Sort=A","Dates=H","DateFormat=P","Fill=—","Direction=H","UseDPDF=Y")</f>
        <v>31402</v>
      </c>
      <c r="L111" s="13">
        <f>_xll.BDH("GILD US Equity","ARDR_DEBT_SCHEDULE_TOTAL_DEBT","FQ1 2021","FQ1 2021","Currency=USD","Period=FQ","BEST_FPERIOD_OVERRIDE=FQ","FILING_STATUS=MR","SCALING_FORMAT=MLN","Sort=A","Dates=H","DateFormat=P","Fill=—","Direction=H","UseDPDF=Y")</f>
        <v>30166</v>
      </c>
      <c r="M111" s="13">
        <f>_xll.BDH("GILD US Equity","ARDR_DEBT_SCHEDULE_TOTAL_DEBT","FQ2 2021","FQ2 2021","Currency=USD","Period=FQ","BEST_FPERIOD_OVERRIDE=FQ","FILING_STATUS=MR","SCALING_FORMAT=MLN","Sort=A","Dates=H","DateFormat=P","Fill=—","Direction=H","UseDPDF=Y")</f>
        <v>30175</v>
      </c>
      <c r="N111" s="13">
        <f>_xll.BDH("GILD US Equity","ARDR_DEBT_SCHEDULE_TOTAL_DEBT","FQ3 2021","FQ3 2021","Currency=USD","Period=FQ","BEST_FPERIOD_OVERRIDE=FQ","FILING_STATUS=MR","SCALING_FORMAT=MLN","Sort=A","Dates=H","DateFormat=P","Fill=—","Direction=H","UseDPDF=Y")</f>
        <v>25175</v>
      </c>
      <c r="O111" s="13">
        <f>_xll.BDH("GILD US Equity","ARDR_DEBT_SCHEDULE_TOTAL_DEBT","FQ4 2021","FQ4 2021","Currency=USD","Period=FQ","BEST_FPERIOD_OVERRIDE=FQ","FILING_STATUS=MR","SCALING_FORMAT=MLN","Sort=A","Dates=H","DateFormat=P","Fill=—","Direction=H","UseDPDF=Y")</f>
        <v>25571</v>
      </c>
      <c r="P111" s="13">
        <f>_xll.BDH("GILD US Equity","ARDR_DEBT_SCHEDULE_TOTAL_DEBT","FQ1 2022","FQ1 2022","Currency=USD","Period=FQ","BEST_FPERIOD_OVERRIDE=FQ","FILING_STATUS=MR","SCALING_FORMAT=MLN","Sort=A","Dates=H","DateFormat=P","Fill=—","Direction=H","UseDPDF=Y")</f>
        <v>26210</v>
      </c>
      <c r="Q111" s="13">
        <f>_xll.BDH("GILD US Equity","ARDR_DEBT_SCHEDULE_TOTAL_DEBT","FQ2 2022","FQ2 2022","Currency=USD","Period=FQ","BEST_FPERIOD_OVERRIDE=FQ","FILING_STATUS=MR","SCALING_FORMAT=MLN","Sort=A","Dates=H","DateFormat=P","Fill=—","Direction=H","UseDPDF=Y")</f>
        <v>26214</v>
      </c>
      <c r="R111" s="13">
        <f>_xll.BDH("GILD US Equity","ARDR_DEBT_SCHEDULE_TOTAL_DEBT","FQ3 2022","FQ3 2022","Currency=USD","Period=FQ","BEST_FPERIOD_OVERRIDE=FQ","FILING_STATUS=MR","SCALING_FORMAT=MLN","Sort=A","Dates=H","DateFormat=P","Fill=—","Direction=H","UseDPDF=Y")</f>
        <v>24083</v>
      </c>
      <c r="S111" s="13">
        <f>_xll.BDH("GILD US Equity","ARDR_DEBT_SCHEDULE_TOTAL_DEBT","FQ4 2022","FQ4 2022","Currency=USD","Period=FQ","BEST_FPERIOD_OVERRIDE=FQ","FILING_STATUS=MR","SCALING_FORMAT=MLN","Sort=A","Dates=H","DateFormat=P","Fill=—","Direction=H","UseDPDF=Y")</f>
        <v>24086</v>
      </c>
      <c r="T111" s="13">
        <f>_xll.BDH("GILD US Equity","ARDR_DEBT_SCHEDULE_TOTAL_DEBT","FQ1 2023","FQ1 2023","Currency=USD","Period=FQ","BEST_FPERIOD_OVERRIDE=FQ","FILING_STATUS=MR","SCALING_FORMAT=MLN","Sort=A","Dates=H","DateFormat=P","Fill=—","Direction=H","UseDPDF=Y")</f>
        <v>25238</v>
      </c>
      <c r="U111" s="13">
        <f>_xll.BDH("GILD US Equity","ARDR_DEBT_SCHEDULE_TOTAL_DEBT","FQ2 2023","FQ2 2023","Currency=USD","Period=FQ","BEST_FPERIOD_OVERRIDE=FQ","FILING_STATUS=MR","SCALING_FORMAT=MLN","Sort=A","Dates=H","DateFormat=P","Fill=—","Direction=H","UseDPDF=Y")</f>
        <v>25246</v>
      </c>
      <c r="V111" s="13">
        <f>_xll.BDH("GILD US Equity","ARDR_DEBT_SCHEDULE_TOTAL_DEBT","FQ3 2023","FQ3 2023","Currency=USD","Period=FQ","BEST_FPERIOD_OVERRIDE=FQ","FILING_STATUS=MR","SCALING_FORMAT=MLN","Sort=A","Dates=H","DateFormat=P","Fill=—","Direction=H","UseDPDF=Y")</f>
        <v>24982</v>
      </c>
      <c r="W111" s="13">
        <f>_xll.BDH("GILD US Equity","ARDR_DEBT_SCHEDULE_TOTAL_DEBT","FQ4 2023","FQ4 2023","Currency=USD","Period=FQ","BEST_FPERIOD_OVERRIDE=FQ","FILING_STATUS=MR","SCALING_FORMAT=MLN","Sort=A","Dates=H","DateFormat=P","Fill=—","Direction=H","UseDPDF=Y")</f>
        <v>23832</v>
      </c>
      <c r="X111" s="13">
        <f>_xll.BDH("GILD US Equity","ARDR_DEBT_SCHEDULE_TOTAL_DEBT","FQ1 2024","FQ1 2024","Currency=USD","Period=FQ","BEST_FPERIOD_OVERRIDE=FQ","FILING_STATUS=MR","SCALING_FORMAT=MLN","Sort=A","Dates=H","DateFormat=P","Fill=—","Direction=H","UseDPDF=Y")</f>
        <v>25193</v>
      </c>
      <c r="Y111" s="13">
        <f>_xll.BDH("GILD US Equity","ARDR_DEBT_SCHEDULE_TOTAL_DEBT","FQ2 2024","FQ2 2024","Currency=USD","Period=FQ","BEST_FPERIOD_OVERRIDE=FQ","FILING_STATUS=MR","SCALING_FORMAT=MLN","Sort=A","Dates=H","DateFormat=P","Fill=—","Direction=H","UseDPDF=Y")</f>
        <v>23349</v>
      </c>
      <c r="Z111" s="13">
        <f>_xll.BDH("GILD US Equity","ARDR_DEBT_SCHEDULE_TOTAL_DEBT","FQ3 2024","FQ3 2024","Currency=USD","Period=FQ","BEST_FPERIOD_OVERRIDE=FQ","FILING_STATUS=MR","SCALING_FORMAT=MLN","Sort=A","Dates=H","DateFormat=P","Fill=—","Direction=H","UseDPDF=Y")</f>
        <v>23249</v>
      </c>
      <c r="AA111" s="13">
        <f>_xll.BDH("GILD US Equity","ARDR_DEBT_SCHEDULE_TOTAL_DEBT","FQ4 2024","FQ4 2024","Currency=USD","Period=FQ","BEST_FPERIOD_OVERRIDE=FQ","FILING_STATUS=MR","SCALING_FORMAT=MLN","Sort=A","Dates=H","DateFormat=P","Fill=—","Direction=H","UseDPDF=Y")</f>
        <v>26710</v>
      </c>
    </row>
    <row r="112" spans="1:27" x14ac:dyDescent="0.25">
      <c r="A112" s="10" t="s">
        <v>1081</v>
      </c>
      <c r="B112" s="10" t="s">
        <v>1082</v>
      </c>
      <c r="C112" s="13">
        <f>_xll.BDH("GILD US Equity","ARDR_DEBT_SCHEDULE_TOTAL_LT_DEBT","FQ4 2018","FQ4 2018","Currency=USD","Period=FQ","BEST_FPERIOD_OVERRIDE=FQ","FILING_STATUS=MR","SCALING_FORMAT=MLN","Sort=A","Dates=H","DateFormat=P","Fill=—","Direction=H","UseDPDF=Y")</f>
        <v>24574</v>
      </c>
      <c r="D112" s="13">
        <f>_xll.BDH("GILD US Equity","ARDR_DEBT_SCHEDULE_TOTAL_LT_DEBT","FQ1 2019","FQ1 2019","Currency=USD","Period=FQ","BEST_FPERIOD_OVERRIDE=FQ","FILING_STATUS=MR","SCALING_FORMAT=MLN","Sort=A","Dates=H","DateFormat=P","Fill=—","Direction=H","UseDPDF=Y")</f>
        <v>29076</v>
      </c>
      <c r="E112" s="13">
        <f>_xll.BDH("GILD US Equity","ARDR_DEBT_SCHEDULE_TOTAL_LT_DEBT","FQ2 2019","FQ2 2019","Currency=USD","Period=FQ","BEST_FPERIOD_OVERRIDE=FQ","FILING_STATUS=MR","SCALING_FORMAT=MLN","Sort=A","Dates=H","DateFormat=P","Fill=—","Direction=H","UseDPDF=Y")</f>
        <v>24084</v>
      </c>
      <c r="F112" s="13">
        <f>_xll.BDH("GILD US Equity","ARDR_DEBT_SCHEDULE_TOTAL_LT_DEBT","FQ3 2019","FQ3 2019","Currency=USD","Period=FQ","BEST_FPERIOD_OVERRIDE=FQ","FILING_STATUS=MR","SCALING_FORMAT=MLN","Sort=A","Dates=H","DateFormat=P","Fill=—","Direction=H","UseDPDF=Y")</f>
        <v>22090</v>
      </c>
      <c r="G112" s="13">
        <f>_xll.BDH("GILD US Equity","ARDR_DEBT_SCHEDULE_TOTAL_LT_DEBT","FQ4 2019","FQ4 2019","Currency=USD","Period=FQ","BEST_FPERIOD_OVERRIDE=FQ","FILING_STATUS=MR","SCALING_FORMAT=MLN","Sort=A","Dates=H","DateFormat=P","Fill=—","Direction=H","UseDPDF=Y")</f>
        <v>22094</v>
      </c>
      <c r="H112" s="13">
        <f>_xll.BDH("GILD US Equity","ARDR_DEBT_SCHEDULE_TOTAL_LT_DEBT","FQ1 2020","FQ1 2020","Currency=USD","Period=FQ","BEST_FPERIOD_OVERRIDE=FQ","FILING_STATUS=MR","SCALING_FORMAT=MLN","Sort=A","Dates=H","DateFormat=P","Fill=—","Direction=H","UseDPDF=Y")</f>
        <v>26096</v>
      </c>
      <c r="I112" s="13">
        <f>_xll.BDH("GILD US Equity","ARDR_DEBT_SCHEDULE_TOTAL_LT_DEBT","FQ2 2020","FQ2 2020","Currency=USD","Period=FQ","BEST_FPERIOD_OVERRIDE=FQ","FILING_STATUS=MR","SCALING_FORMAT=MLN","Sort=A","Dates=H","DateFormat=P","Fill=—","Direction=H","UseDPDF=Y")</f>
        <v>21103</v>
      </c>
      <c r="J112" s="13">
        <f>_xll.BDH("GILD US Equity","ARDR_DEBT_SCHEDULE_TOTAL_LT_DEBT","FQ3 2020","FQ3 2020","Currency=USD","Period=FQ","BEST_FPERIOD_OVERRIDE=FQ","FILING_STATUS=MR","SCALING_FORMAT=MLN","Sort=A","Dates=H","DateFormat=P","Fill=—","Direction=H","UseDPDF=Y")</f>
        <v>27792</v>
      </c>
      <c r="K112" s="13">
        <f>_xll.BDH("GILD US Equity","ARDR_DEBT_SCHEDULE_TOTAL_LT_DEBT","FQ4 2020","FQ4 2020","Currency=USD","Period=FQ","BEST_FPERIOD_OVERRIDE=FQ","FILING_STATUS=MR","SCALING_FORMAT=MLN","Sort=A","Dates=H","DateFormat=P","Fill=—","Direction=H","UseDPDF=Y")</f>
        <v>28645</v>
      </c>
      <c r="L112" s="13">
        <f>_xll.BDH("GILD US Equity","ARDR_DEBT_SCHEDULE_TOTAL_LT_DEBT","FQ1 2021","FQ1 2021","Currency=USD","Period=FQ","BEST_FPERIOD_OVERRIDE=FQ","FILING_STATUS=MR","SCALING_FORMAT=MLN","Sort=A","Dates=H","DateFormat=P","Fill=—","Direction=H","UseDPDF=Y")</f>
        <v>27907</v>
      </c>
      <c r="M112" s="13">
        <f>_xll.BDH("GILD US Equity","ARDR_DEBT_SCHEDULE_TOTAL_LT_DEBT","FQ2 2021","FQ2 2021","Currency=USD","Period=FQ","BEST_FPERIOD_OVERRIDE=FQ","FILING_STATUS=MR","SCALING_FORMAT=MLN","Sort=A","Dates=H","DateFormat=P","Fill=—","Direction=H","UseDPDF=Y")</f>
        <v>27914</v>
      </c>
      <c r="N112" s="13">
        <f>_xll.BDH("GILD US Equity","ARDR_DEBT_SCHEDULE_TOTAL_LT_DEBT","FQ3 2021","FQ3 2021","Currency=USD","Period=FQ","BEST_FPERIOD_OVERRIDE=FQ","FILING_STATUS=MR","SCALING_FORMAT=MLN","Sort=A","Dates=H","DateFormat=P","Fill=—","Direction=H","UseDPDF=Y")</f>
        <v>25175</v>
      </c>
      <c r="O112" s="13">
        <f>_xll.BDH("GILD US Equity","ARDR_DEBT_SCHEDULE_TOTAL_LT_DEBT","FQ4 2021","FQ4 2021","Currency=USD","Period=FQ","BEST_FPERIOD_OVERRIDE=FQ","FILING_STATUS=MR","SCALING_FORMAT=MLN","Sort=A","Dates=H","DateFormat=P","Fill=—","Direction=H","UseDPDF=Y")</f>
        <v>25179</v>
      </c>
      <c r="P112" s="13">
        <f>_xll.BDH("GILD US Equity","ARDR_DEBT_SCHEDULE_TOTAL_LT_DEBT","FQ1 2022","FQ1 2022","Currency=USD","Period=FQ","BEST_FPERIOD_OVERRIDE=FQ","FILING_STATUS=MR","SCALING_FORMAT=MLN","Sort=A","Dates=H","DateFormat=P","Fill=—","Direction=H","UseDPDF=Y")</f>
        <v>25185</v>
      </c>
      <c r="Q112" s="13">
        <f>_xll.BDH("GILD US Equity","ARDR_DEBT_SCHEDULE_TOTAL_LT_DEBT","FQ2 2022","FQ2 2022","Currency=USD","Period=FQ","BEST_FPERIOD_OVERRIDE=FQ","FILING_STATUS=MR","SCALING_FORMAT=MLN","Sort=A","Dates=H","DateFormat=P","Fill=—","Direction=H","UseDPDF=Y")</f>
        <v>25193</v>
      </c>
      <c r="R112" s="13">
        <f>_xll.BDH("GILD US Equity","ARDR_DEBT_SCHEDULE_TOTAL_LT_DEBT","FQ3 2022","FQ3 2022","Currency=USD","Period=FQ","BEST_FPERIOD_OVERRIDE=FQ","FILING_STATUS=MR","SCALING_FORMAT=MLN","Sort=A","Dates=H","DateFormat=P","Fill=—","Direction=H","UseDPDF=Y")</f>
        <v>22952</v>
      </c>
      <c r="S112" s="13">
        <f>_xll.BDH("GILD US Equity","ARDR_DEBT_SCHEDULE_TOTAL_LT_DEBT","FQ4 2022","FQ4 2022","Currency=USD","Period=FQ","BEST_FPERIOD_OVERRIDE=FQ","FILING_STATUS=MR","SCALING_FORMAT=MLN","Sort=A","Dates=H","DateFormat=P","Fill=—","Direction=H","UseDPDF=Y")</f>
        <v>22954</v>
      </c>
      <c r="T112" s="13" t="str">
        <f>_xll.BDH("GILD US Equity","ARDR_DEBT_SCHEDULE_TOTAL_LT_DEBT","FQ1 2023","FQ1 2023","Currency=USD","Period=FQ","BEST_FPERIOD_OVERRIDE=FQ","FILING_STATUS=MR","SCALING_FORMAT=MLN","Sort=A","Dates=H","DateFormat=P","Fill=—","Direction=H","UseDPDF=Y")</f>
        <v>—</v>
      </c>
      <c r="U112" s="13">
        <f>_xll.BDH("GILD US Equity","ARDR_DEBT_SCHEDULE_TOTAL_LT_DEBT","FQ2 2023","FQ2 2023","Currency=USD","Period=FQ","BEST_FPERIOD_OVERRIDE=FQ","FILING_STATUS=MR","SCALING_FORMAT=MLN","Sort=A","Dates=H","DateFormat=P","Fill=—","Direction=H","UseDPDF=Y")</f>
        <v>18989</v>
      </c>
      <c r="V112" s="13">
        <f>_xll.BDH("GILD US Equity","ARDR_DEBT_SCHEDULE_TOTAL_LT_DEBT","FQ3 2023","FQ3 2023","Currency=USD","Period=FQ","BEST_FPERIOD_OVERRIDE=FQ","FILING_STATUS=MR","SCALING_FORMAT=MLN","Sort=A","Dates=H","DateFormat=P","Fill=—","Direction=H","UseDPDF=Y")</f>
        <v>23830</v>
      </c>
      <c r="W112" s="13">
        <f>_xll.BDH("GILD US Equity","ARDR_DEBT_SCHEDULE_TOTAL_LT_DEBT","FQ4 2023","FQ4 2023","Currency=USD","Period=FQ","BEST_FPERIOD_OVERRIDE=FQ","FILING_STATUS=MR","SCALING_FORMAT=MLN","Sort=A","Dates=H","DateFormat=P","Fill=—","Direction=H","UseDPDF=Y")</f>
        <v>24985</v>
      </c>
      <c r="X112" s="13">
        <f>_xll.BDH("GILD US Equity","ARDR_DEBT_SCHEDULE_TOTAL_LT_DEBT","FQ1 2024","FQ1 2024","Currency=USD","Period=FQ","BEST_FPERIOD_OVERRIDE=FQ","FILING_STATUS=MR","SCALING_FORMAT=MLN","Sort=A","Dates=H","DateFormat=P","Fill=—","Direction=H","UseDPDF=Y")</f>
        <v>21527</v>
      </c>
      <c r="Y112" s="13">
        <f>_xll.BDH("GILD US Equity","ARDR_DEBT_SCHEDULE_TOTAL_LT_DEBT","FQ2 2024","FQ2 2024","Currency=USD","Period=FQ","BEST_FPERIOD_OVERRIDE=FQ","FILING_STATUS=MR","SCALING_FORMAT=MLN","Sort=A","Dates=H","DateFormat=P","Fill=—","Direction=H","UseDPDF=Y")</f>
        <v>21540</v>
      </c>
      <c r="Z112" s="13">
        <f>_xll.BDH("GILD US Equity","ARDR_DEBT_SCHEDULE_TOTAL_LT_DEBT","FQ3 2024","FQ3 2024","Currency=USD","Period=FQ","BEST_FPERIOD_OVERRIDE=FQ","FILING_STATUS=MR","SCALING_FORMAT=MLN","Sort=A","Dates=H","DateFormat=P","Fill=—","Direction=H","UseDPDF=Y")</f>
        <v>21437</v>
      </c>
      <c r="AA112" s="13">
        <f>_xll.BDH("GILD US Equity","ARDR_DEBT_SCHEDULE_TOTAL_LT_DEBT","FQ4 2024","FQ4 2024","Currency=USD","Period=FQ","BEST_FPERIOD_OVERRIDE=FQ","FILING_STATUS=MR","SCALING_FORMAT=MLN","Sort=A","Dates=H","DateFormat=P","Fill=—","Direction=H","UseDPDF=Y")</f>
        <v>24896</v>
      </c>
    </row>
    <row r="113" spans="1:27" x14ac:dyDescent="0.25">
      <c r="A113" s="10" t="s">
        <v>1083</v>
      </c>
      <c r="B113" s="10" t="s">
        <v>1084</v>
      </c>
      <c r="C113" s="13">
        <f>_xll.BDH("GILD US Equity","ARDR_COMMON_SHARES_REPURCHASED","FQ4 2018","FQ4 2018","Currency=USD","Period=FQ","BEST_FPERIOD_OVERRIDE=FQ","FILING_STATUS=MR","Sort=A","Dates=H","DateFormat=P","Fill=—","Direction=H","UseDPDF=Y")</f>
        <v>14.368</v>
      </c>
      <c r="D113" s="13">
        <f>_xll.BDH("GILD US Equity","ARDR_COMMON_SHARES_REPURCHASED","FQ1 2019","FQ1 2019","Currency=USD","Period=FQ","BEST_FPERIOD_OVERRIDE=FQ","FILING_STATUS=MR","Sort=A","Dates=H","DateFormat=P","Fill=—","Direction=H","UseDPDF=Y")</f>
        <v>13.417</v>
      </c>
      <c r="E113" s="13">
        <f>_xll.BDH("GILD US Equity","ARDR_COMMON_SHARES_REPURCHASED","FQ2 2019","FQ2 2019","Currency=USD","Period=FQ","BEST_FPERIOD_OVERRIDE=FQ","FILING_STATUS=MR","Sort=A","Dates=H","DateFormat=P","Fill=—","Direction=H","UseDPDF=Y")</f>
        <v>9.0329999999999995</v>
      </c>
      <c r="F113" s="13">
        <f>_xll.BDH("GILD US Equity","ARDR_COMMON_SHARES_REPURCHASED","FQ3 2019","FQ3 2019","Currency=USD","Period=FQ","BEST_FPERIOD_OVERRIDE=FQ","FILING_STATUS=MR","Sort=A","Dates=H","DateFormat=P","Fill=—","Direction=H","UseDPDF=Y")</f>
        <v>3.847</v>
      </c>
      <c r="G113" s="13">
        <f>_xll.BDH("GILD US Equity","ARDR_COMMON_SHARES_REPURCHASED","FQ4 2019","FQ4 2019","Currency=USD","Period=FQ","BEST_FPERIOD_OVERRIDE=FQ","FILING_STATUS=MR","Sort=A","Dates=H","DateFormat=P","Fill=—","Direction=H","UseDPDF=Y")</f>
        <v>1.873</v>
      </c>
      <c r="H113" s="13">
        <f>_xll.BDH("GILD US Equity","ARDR_COMMON_SHARES_REPURCHASED","FQ1 2020","FQ1 2020","Currency=USD","Period=FQ","BEST_FPERIOD_OVERRIDE=FQ","FILING_STATUS=MR","Sort=A","Dates=H","DateFormat=P","Fill=—","Direction=H","UseDPDF=Y")</f>
        <v>19.96</v>
      </c>
      <c r="I113" s="13">
        <f>_xll.BDH("GILD US Equity","ARDR_COMMON_SHARES_REPURCHASED","FQ2 2020","FQ2 2020","Currency=USD","Period=FQ","BEST_FPERIOD_OVERRIDE=FQ","FILING_STATUS=MR","Sort=A","Dates=H","DateFormat=P","Fill=—","Direction=H","UseDPDF=Y")</f>
        <v>20.754999999999999</v>
      </c>
      <c r="J113" s="13">
        <f>_xll.BDH("GILD US Equity","ARDR_COMMON_SHARES_REPURCHASED","FQ3 2020","FQ3 2020","Currency=USD","Period=FQ","BEST_FPERIOD_OVERRIDE=FQ","FILING_STATUS=MR","Sort=A","Dates=H","DateFormat=P","Fill=—","Direction=H","UseDPDF=Y")</f>
        <v>3.512</v>
      </c>
      <c r="K113" s="13">
        <f>_xll.BDH("GILD US Equity","ARDR_COMMON_SHARES_REPURCHASED","FQ4 2020","FQ4 2020","Currency=USD","Period=FQ","BEST_FPERIOD_OVERRIDE=FQ","FILING_STATUS=MR","Sort=A","Dates=H","DateFormat=P","Fill=—","Direction=H","UseDPDF=Y")</f>
        <v>0.23200000000000001</v>
      </c>
      <c r="L113" s="13">
        <f>_xll.BDH("GILD US Equity","ARDR_COMMON_SHARES_REPURCHASED","FQ1 2021","FQ1 2021","Currency=USD","Period=FQ","BEST_FPERIOD_OVERRIDE=FQ","FILING_STATUS=MR","Sort=A","Dates=H","DateFormat=P","Fill=—","Direction=H","UseDPDF=Y")</f>
        <v>6.157</v>
      </c>
      <c r="M113" s="13">
        <f>_xll.BDH("GILD US Equity","ARDR_COMMON_SHARES_REPURCHASED","FQ2 2021","FQ2 2021","Currency=USD","Period=FQ","BEST_FPERIOD_OVERRIDE=FQ","FILING_STATUS=MR","Sort=A","Dates=H","DateFormat=P","Fill=—","Direction=H","UseDPDF=Y")</f>
        <v>0.74299999999999999</v>
      </c>
      <c r="N113" s="13">
        <f>_xll.BDH("GILD US Equity","ARDR_COMMON_SHARES_REPURCHASED","FQ3 2021","FQ3 2021","Currency=USD","Period=FQ","BEST_FPERIOD_OVERRIDE=FQ","FILING_STATUS=MR","Sort=A","Dates=H","DateFormat=P","Fill=—","Direction=H","UseDPDF=Y")</f>
        <v>2.6150000000000002</v>
      </c>
      <c r="O113" s="13">
        <f>_xll.BDH("GILD US Equity","ARDR_COMMON_SHARES_REPURCHASED","FQ4 2021","FQ4 2021","Currency=USD","Period=FQ","BEST_FPERIOD_OVERRIDE=FQ","FILING_STATUS=MR","Sort=A","Dates=H","DateFormat=P","Fill=—","Direction=H","UseDPDF=Y")</f>
        <v>0.876</v>
      </c>
      <c r="P113" s="13">
        <f>_xll.BDH("GILD US Equity","ARDR_COMMON_SHARES_REPURCHASED","FQ1 2022","FQ1 2022","Currency=USD","Period=FQ","BEST_FPERIOD_OVERRIDE=FQ","FILING_STATUS=MR","Sort=A","Dates=H","DateFormat=P","Fill=—","Direction=H","UseDPDF=Y")</f>
        <v>7.0730000000000004</v>
      </c>
      <c r="Q113" s="13">
        <f>_xll.BDH("GILD US Equity","ARDR_COMMON_SHARES_REPURCHASED","FQ2 2022","FQ2 2022","Currency=USD","Period=FQ","BEST_FPERIOD_OVERRIDE=FQ","FILING_STATUS=MR","Sort=A","Dates=H","DateFormat=P","Fill=—","Direction=H","UseDPDF=Y")</f>
        <v>1.389</v>
      </c>
      <c r="R113" s="13">
        <f>_xll.BDH("GILD US Equity","ARDR_COMMON_SHARES_REPURCHASED","FQ3 2022","FQ3 2022","Currency=USD","Period=FQ","BEST_FPERIOD_OVERRIDE=FQ","FILING_STATUS=MR","Sort=A","Dates=H","DateFormat=P","Fill=—","Direction=H","UseDPDF=Y")</f>
        <v>3.5720000000000001</v>
      </c>
      <c r="S113" s="13">
        <f>_xll.BDH("GILD US Equity","ARDR_COMMON_SHARES_REPURCHASED","FQ4 2022","FQ4 2022","Currency=USD","Period=FQ","BEST_FPERIOD_OVERRIDE=FQ","FILING_STATUS=MR","Sort=A","Dates=H","DateFormat=P","Fill=—","Direction=H","UseDPDF=Y")</f>
        <v>9.6509999999999998</v>
      </c>
      <c r="T113" s="13">
        <f>_xll.BDH("GILD US Equity","ARDR_COMMON_SHARES_REPURCHASED","FQ1 2023","FQ1 2023","Currency=USD","Period=FQ","BEST_FPERIOD_OVERRIDE=FQ","FILING_STATUS=MR","Sort=A","Dates=H","DateFormat=P","Fill=—","Direction=H","UseDPDF=Y")</f>
        <v>6.54</v>
      </c>
      <c r="U113" s="13">
        <f>_xll.BDH("GILD US Equity","ARDR_COMMON_SHARES_REPURCHASED","FQ2 2023","FQ2 2023","Currency=USD","Period=FQ","BEST_FPERIOD_OVERRIDE=FQ","FILING_STATUS=MR","Sort=A","Dates=H","DateFormat=P","Fill=—","Direction=H","UseDPDF=Y")</f>
        <v>2.2959999999999998</v>
      </c>
      <c r="V113" s="13">
        <f>_xll.BDH("GILD US Equity","ARDR_COMMON_SHARES_REPURCHASED","FQ3 2023","FQ3 2023","Currency=USD","Period=FQ","BEST_FPERIOD_OVERRIDE=FQ","FILING_STATUS=MR","Sort=A","Dates=H","DateFormat=P","Fill=—","Direction=H","UseDPDF=Y")</f>
        <v>4.8760000000000003</v>
      </c>
      <c r="W113" s="13">
        <f>_xll.BDH("GILD US Equity","ARDR_COMMON_SHARES_REPURCHASED","FQ4 2023","FQ4 2023","Currency=USD","Period=FQ","BEST_FPERIOD_OVERRIDE=FQ","FILING_STATUS=MR","Sort=A","Dates=H","DateFormat=P","Fill=—","Direction=H","UseDPDF=Y")</f>
        <v>13</v>
      </c>
      <c r="X113" s="13">
        <f>_xll.BDH("GILD US Equity","ARDR_COMMON_SHARES_REPURCHASED","FQ1 2024","FQ1 2024","Currency=USD","Period=FQ","BEST_FPERIOD_OVERRIDE=FQ","FILING_STATUS=MR","Sort=A","Dates=H","DateFormat=P","Fill=—","Direction=H","UseDPDF=Y")</f>
        <v>6.74</v>
      </c>
      <c r="Y113" s="13">
        <f>_xll.BDH("GILD US Equity","ARDR_COMMON_SHARES_REPURCHASED","FQ2 2024","FQ2 2024","Currency=USD","Period=FQ","BEST_FPERIOD_OVERRIDE=FQ","FILING_STATUS=MR","Sort=A","Dates=H","DateFormat=P","Fill=—","Direction=H","UseDPDF=Y")</f>
        <v>8.7469999999999999</v>
      </c>
      <c r="Z113" s="13">
        <f>_xll.BDH("GILD US Equity","ARDR_COMMON_SHARES_REPURCHASED","FQ3 2024","FQ3 2024","Currency=USD","Period=FQ","BEST_FPERIOD_OVERRIDE=FQ","FILING_STATUS=MR","Sort=A","Dates=H","DateFormat=P","Fill=—","Direction=H","UseDPDF=Y")</f>
        <v>5.01</v>
      </c>
      <c r="AA113" s="13">
        <f>_xll.BDH("GILD US Equity","ARDR_COMMON_SHARES_REPURCHASED","FQ4 2024","FQ4 2024","Currency=USD","Period=FQ","BEST_FPERIOD_OVERRIDE=FQ","FILING_STATUS=MR","Sort=A","Dates=H","DateFormat=P","Fill=—","Direction=H","UseDPDF=Y")</f>
        <v>4.3390000000000004</v>
      </c>
    </row>
    <row r="114" spans="1:27" x14ac:dyDescent="0.25">
      <c r="A114" s="10" t="s">
        <v>1085</v>
      </c>
      <c r="B114" s="10" t="s">
        <v>1086</v>
      </c>
      <c r="C114" s="13" t="str">
        <f>_xll.BDH("GILD US Equity","ARDR_VAL_COMMON_SHRS_REPURCHASED","FQ4 2018","FQ4 2018","Currency=USD","Period=FQ","BEST_FPERIOD_OVERRIDE=FQ","FILING_STATUS=MR","SCALING_FORMAT=MLN","Sort=A","Dates=H","DateFormat=P","Fill=—","Direction=H","UseDPDF=Y")</f>
        <v>—</v>
      </c>
      <c r="D114" s="13" t="str">
        <f>_xll.BDH("GILD US Equity","ARDR_VAL_COMMON_SHRS_REPURCHASED","FQ1 2019","FQ1 2019","Currency=USD","Period=FQ","BEST_FPERIOD_OVERRIDE=FQ","FILING_STATUS=MR","SCALING_FORMAT=MLN","Sort=A","Dates=H","DateFormat=P","Fill=—","Direction=H","UseDPDF=Y")</f>
        <v>—</v>
      </c>
      <c r="E114" s="13">
        <f>_xll.BDH("GILD US Equity","ARDR_VAL_COMMON_SHRS_REPURCHASED","FQ2 2019","FQ2 2019","Currency=USD","Period=FQ","BEST_FPERIOD_OVERRIDE=FQ","FILING_STATUS=MR","SCALING_FORMAT=MLN","Sort=A","Dates=H","DateFormat=P","Fill=—","Direction=H","UseDPDF=Y")</f>
        <v>588</v>
      </c>
      <c r="F114" s="13" t="str">
        <f>_xll.BDH("GILD US Equity","ARDR_VAL_COMMON_SHRS_REPURCHASED","FQ3 2019","FQ3 2019","Currency=USD","Period=FQ","BEST_FPERIOD_OVERRIDE=FQ","FILING_STATUS=MR","SCALING_FORMAT=MLN","Sort=A","Dates=H","DateFormat=P","Fill=—","Direction=H","UseDPDF=Y")</f>
        <v>—</v>
      </c>
      <c r="G114" s="13" t="str">
        <f>_xll.BDH("GILD US Equity","ARDR_VAL_COMMON_SHRS_REPURCHASED","FQ4 2019","FQ4 2019","Currency=USD","Period=FQ","BEST_FPERIOD_OVERRIDE=FQ","FILING_STATUS=MR","SCALING_FORMAT=MLN","Sort=A","Dates=H","DateFormat=P","Fill=—","Direction=H","UseDPDF=Y")</f>
        <v>—</v>
      </c>
      <c r="H114" s="13" t="str">
        <f>_xll.BDH("GILD US Equity","ARDR_VAL_COMMON_SHRS_REPURCHASED","FQ1 2020","FQ1 2020","Currency=USD","Period=FQ","BEST_FPERIOD_OVERRIDE=FQ","FILING_STATUS=MR","SCALING_FORMAT=MLN","Sort=A","Dates=H","DateFormat=P","Fill=—","Direction=H","UseDPDF=Y")</f>
        <v>—</v>
      </c>
      <c r="I114" s="13">
        <f>_xll.BDH("GILD US Equity","ARDR_VAL_COMMON_SHRS_REPURCHASED","FQ2 2020","FQ2 2020","Currency=USD","Period=FQ","BEST_FPERIOD_OVERRIDE=FQ","FILING_STATUS=MR","SCALING_FORMAT=MLN","Sort=A","Dates=H","DateFormat=P","Fill=—","Direction=H","UseDPDF=Y")</f>
        <v>54</v>
      </c>
      <c r="J114" s="13" t="str">
        <f>_xll.BDH("GILD US Equity","ARDR_VAL_COMMON_SHRS_REPURCHASED","FQ3 2020","FQ3 2020","Currency=USD","Period=FQ","BEST_FPERIOD_OVERRIDE=FQ","FILING_STATUS=MR","SCALING_FORMAT=MLN","Sort=A","Dates=H","DateFormat=P","Fill=—","Direction=H","UseDPDF=Y")</f>
        <v>—</v>
      </c>
      <c r="K114" s="13" t="str">
        <f>_xll.BDH("GILD US Equity","ARDR_VAL_COMMON_SHRS_REPURCHASED","FQ4 2020","FQ4 2020","Currency=USD","Period=FQ","BEST_FPERIOD_OVERRIDE=FQ","FILING_STATUS=MR","SCALING_FORMAT=MLN","Sort=A","Dates=H","DateFormat=P","Fill=—","Direction=H","UseDPDF=Y")</f>
        <v>—</v>
      </c>
      <c r="L114" s="13" t="str">
        <f>_xll.BDH("GILD US Equity","ARDR_VAL_COMMON_SHRS_REPURCHASED","FQ1 2021","FQ1 2021","Currency=USD","Period=FQ","BEST_FPERIOD_OVERRIDE=FQ","FILING_STATUS=MR","SCALING_FORMAT=MLN","Sort=A","Dates=H","DateFormat=P","Fill=—","Direction=H","UseDPDF=Y")</f>
        <v>—</v>
      </c>
      <c r="M114" s="13" t="str">
        <f>_xll.BDH("GILD US Equity","ARDR_VAL_COMMON_SHRS_REPURCHASED","FQ2 2021","FQ2 2021","Currency=USD","Period=FQ","BEST_FPERIOD_OVERRIDE=FQ","FILING_STATUS=MR","SCALING_FORMAT=MLN","Sort=A","Dates=H","DateFormat=P","Fill=—","Direction=H","UseDPDF=Y")</f>
        <v>—</v>
      </c>
      <c r="N114" s="13" t="str">
        <f>_xll.BDH("GILD US Equity","ARDR_VAL_COMMON_SHRS_REPURCHASED","FQ3 2021","FQ3 2021","Currency=USD","Period=FQ","BEST_FPERIOD_OVERRIDE=FQ","FILING_STATUS=MR","SCALING_FORMAT=MLN","Sort=A","Dates=H","DateFormat=P","Fill=—","Direction=H","UseDPDF=Y")</f>
        <v>—</v>
      </c>
      <c r="O114" s="13" t="str">
        <f>_xll.BDH("GILD US Equity","ARDR_VAL_COMMON_SHRS_REPURCHASED","FQ4 2021","FQ4 2021","Currency=USD","Period=FQ","BEST_FPERIOD_OVERRIDE=FQ","FILING_STATUS=MR","SCALING_FORMAT=MLN","Sort=A","Dates=H","DateFormat=P","Fill=—","Direction=H","UseDPDF=Y")</f>
        <v>—</v>
      </c>
      <c r="P114" s="13" t="str">
        <f>_xll.BDH("GILD US Equity","ARDR_VAL_COMMON_SHRS_REPURCHASED","FQ1 2022","FQ1 2022","Currency=USD","Period=FQ","BEST_FPERIOD_OVERRIDE=FQ","FILING_STATUS=MR","SCALING_FORMAT=MLN","Sort=A","Dates=H","DateFormat=P","Fill=—","Direction=H","UseDPDF=Y")</f>
        <v>—</v>
      </c>
      <c r="Q114" s="13" t="str">
        <f>_xll.BDH("GILD US Equity","ARDR_VAL_COMMON_SHRS_REPURCHASED","FQ2 2022","FQ2 2022","Currency=USD","Period=FQ","BEST_FPERIOD_OVERRIDE=FQ","FILING_STATUS=MR","SCALING_FORMAT=MLN","Sort=A","Dates=H","DateFormat=P","Fill=—","Direction=H","UseDPDF=Y")</f>
        <v>—</v>
      </c>
      <c r="R114" s="13" t="str">
        <f>_xll.BDH("GILD US Equity","ARDR_VAL_COMMON_SHRS_REPURCHASED","FQ3 2022","FQ3 2022","Currency=USD","Period=FQ","BEST_FPERIOD_OVERRIDE=FQ","FILING_STATUS=MR","SCALING_FORMAT=MLN","Sort=A","Dates=H","DateFormat=P","Fill=—","Direction=H","UseDPDF=Y")</f>
        <v>—</v>
      </c>
      <c r="S114" s="13" t="str">
        <f>_xll.BDH("GILD US Equity","ARDR_VAL_COMMON_SHRS_REPURCHASED","FQ4 2022","FQ4 2022","Currency=USD","Period=FQ","BEST_FPERIOD_OVERRIDE=FQ","FILING_STATUS=MR","SCALING_FORMAT=MLN","Sort=A","Dates=H","DateFormat=P","Fill=—","Direction=H","UseDPDF=Y")</f>
        <v>—</v>
      </c>
      <c r="T114" s="13" t="str">
        <f>_xll.BDH("GILD US Equity","ARDR_VAL_COMMON_SHRS_REPURCHASED","FQ1 2023","FQ1 2023","Currency=USD","Period=FQ","BEST_FPERIOD_OVERRIDE=FQ","FILING_STATUS=MR","SCALING_FORMAT=MLN","Sort=A","Dates=H","DateFormat=P","Fill=—","Direction=H","UseDPDF=Y")</f>
        <v>—</v>
      </c>
      <c r="U114" s="13" t="str">
        <f>_xll.BDH("GILD US Equity","ARDR_VAL_COMMON_SHRS_REPURCHASED","FQ2 2023","FQ2 2023","Currency=USD","Period=FQ","BEST_FPERIOD_OVERRIDE=FQ","FILING_STATUS=MR","SCALING_FORMAT=MLN","Sort=A","Dates=H","DateFormat=P","Fill=—","Direction=H","UseDPDF=Y")</f>
        <v>—</v>
      </c>
      <c r="V114" s="13" t="str">
        <f>_xll.BDH("GILD US Equity","ARDR_VAL_COMMON_SHRS_REPURCHASED","FQ3 2023","FQ3 2023","Currency=USD","Period=FQ","BEST_FPERIOD_OVERRIDE=FQ","FILING_STATUS=MR","SCALING_FORMAT=MLN","Sort=A","Dates=H","DateFormat=P","Fill=—","Direction=H","UseDPDF=Y")</f>
        <v>—</v>
      </c>
      <c r="W114" s="13">
        <f>_xll.BDH("GILD US Equity","ARDR_VAL_COMMON_SHRS_REPURCHASED","FQ4 2023","FQ4 2023","Currency=USD","Period=FQ","BEST_FPERIOD_OVERRIDE=FQ","FILING_STATUS=MR","SCALING_FORMAT=MLN","Sort=A","Dates=H","DateFormat=P","Fill=—","Direction=H","UseDPDF=Y")</f>
        <v>1000</v>
      </c>
      <c r="X114" s="13" t="str">
        <f>_xll.BDH("GILD US Equity","ARDR_VAL_COMMON_SHRS_REPURCHASED","FQ1 2024","FQ1 2024","Currency=USD","Period=FQ","BEST_FPERIOD_OVERRIDE=FQ","FILING_STATUS=MR","SCALING_FORMAT=MLN","Sort=A","Dates=H","DateFormat=P","Fill=—","Direction=H","UseDPDF=Y")</f>
        <v>—</v>
      </c>
      <c r="Y114" s="13" t="str">
        <f>_xll.BDH("GILD US Equity","ARDR_VAL_COMMON_SHRS_REPURCHASED","FQ2 2024","FQ2 2024","Currency=USD","Period=FQ","BEST_FPERIOD_OVERRIDE=FQ","FILING_STATUS=MR","SCALING_FORMAT=MLN","Sort=A","Dates=H","DateFormat=P","Fill=—","Direction=H","UseDPDF=Y")</f>
        <v>—</v>
      </c>
      <c r="Z114" s="13" t="str">
        <f>_xll.BDH("GILD US Equity","ARDR_VAL_COMMON_SHRS_REPURCHASED","FQ3 2024","FQ3 2024","Currency=USD","Period=FQ","BEST_FPERIOD_OVERRIDE=FQ","FILING_STATUS=MR","SCALING_FORMAT=MLN","Sort=A","Dates=H","DateFormat=P","Fill=—","Direction=H","UseDPDF=Y")</f>
        <v>—</v>
      </c>
      <c r="AA114" s="13" t="str">
        <f>_xll.BDH("GILD US Equity","ARDR_VAL_COMMON_SHRS_REPURCHASED","FQ4 2024","FQ4 2024","Currency=USD","Period=FQ","BEST_FPERIOD_OVERRIDE=FQ","FILING_STATUS=MR","SCALING_FORMAT=MLN","Sort=A","Dates=H","DateFormat=P","Fill=—","Direction=H","UseDPDF=Y")</f>
        <v>—</v>
      </c>
    </row>
    <row r="115" spans="1:27" x14ac:dyDescent="0.25">
      <c r="A115" s="10" t="s">
        <v>1087</v>
      </c>
      <c r="B115" s="10" t="s">
        <v>1088</v>
      </c>
      <c r="C115" s="13" t="str">
        <f>_xll.BDH("GILD US Equity","ARDR_TOTAL_OPERATING_LIABILITIES","FQ4 2018","FQ4 2018","Currency=USD","Period=FQ","BEST_FPERIOD_OVERRIDE=FQ","FILING_STATUS=MR","Sort=A","Dates=H","DateFormat=P","Fill=—","Direction=H","UseDPDF=Y")</f>
        <v>—</v>
      </c>
      <c r="D115" s="13">
        <f>_xll.BDH("GILD US Equity","ARDR_TOTAL_OPERATING_LIABILITIES","FQ1 2019","FQ1 2019","Currency=USD","Period=FQ","BEST_FPERIOD_OVERRIDE=FQ","FILING_STATUS=MR","Sort=A","Dates=H","DateFormat=P","Fill=—","Direction=H","UseDPDF=Y")</f>
        <v>504</v>
      </c>
      <c r="E115" s="13">
        <f>_xll.BDH("GILD US Equity","ARDR_TOTAL_OPERATING_LIABILITIES","FQ2 2019","FQ2 2019","Currency=USD","Period=FQ","BEST_FPERIOD_OVERRIDE=FQ","FILING_STATUS=MR","Sort=A","Dates=H","DateFormat=P","Fill=—","Direction=H","UseDPDF=Y")</f>
        <v>554</v>
      </c>
      <c r="F115" s="13">
        <f>_xll.BDH("GILD US Equity","ARDR_TOTAL_OPERATING_LIABILITIES","FQ3 2019","FQ3 2019","Currency=USD","Period=FQ","BEST_FPERIOD_OVERRIDE=FQ","FILING_STATUS=MR","Sort=A","Dates=H","DateFormat=P","Fill=—","Direction=H","UseDPDF=Y")</f>
        <v>712</v>
      </c>
      <c r="G115" s="13">
        <f>_xll.BDH("GILD US Equity","ARDR_TOTAL_OPERATING_LIABILITIES","FQ4 2019","FQ4 2019","Currency=USD","Period=FQ","BEST_FPERIOD_OVERRIDE=FQ","FILING_STATUS=MR","Sort=A","Dates=H","DateFormat=P","Fill=—","Direction=H","UseDPDF=Y")</f>
        <v>725</v>
      </c>
      <c r="H115" s="13" t="str">
        <f>_xll.BDH("GILD US Equity","ARDR_TOTAL_OPERATING_LIABILITIES","FQ1 2020","FQ1 2020","Currency=USD","Period=FQ","BEST_FPERIOD_OVERRIDE=FQ","FILING_STATUS=MR","Sort=A","Dates=H","DateFormat=P","Fill=—","Direction=H","UseDPDF=Y")</f>
        <v>—</v>
      </c>
      <c r="I115" s="13" t="str">
        <f>_xll.BDH("GILD US Equity","ARDR_TOTAL_OPERATING_LIABILITIES","FQ2 2020","FQ2 2020","Currency=USD","Period=FQ","BEST_FPERIOD_OVERRIDE=FQ","FILING_STATUS=MR","Sort=A","Dates=H","DateFormat=P","Fill=—","Direction=H","UseDPDF=Y")</f>
        <v>—</v>
      </c>
      <c r="J115" s="13" t="str">
        <f>_xll.BDH("GILD US Equity","ARDR_TOTAL_OPERATING_LIABILITIES","FQ3 2020","FQ3 2020","Currency=USD","Period=FQ","BEST_FPERIOD_OVERRIDE=FQ","FILING_STATUS=MR","Sort=A","Dates=H","DateFormat=P","Fill=—","Direction=H","UseDPDF=Y")</f>
        <v>—</v>
      </c>
      <c r="K115" s="13">
        <f>_xll.BDH("GILD US Equity","ARDR_TOTAL_OPERATING_LIABILITIES","FQ4 2020","FQ4 2020","Currency=USD","Period=FQ","BEST_FPERIOD_OVERRIDE=FQ","FILING_STATUS=MR","Sort=A","Dates=H","DateFormat=P","Fill=—","Direction=H","UseDPDF=Y")</f>
        <v>715</v>
      </c>
      <c r="L115" s="13" t="str">
        <f>_xll.BDH("GILD US Equity","ARDR_TOTAL_OPERATING_LIABILITIES","FQ1 2021","FQ1 2021","Currency=USD","Period=FQ","BEST_FPERIOD_OVERRIDE=FQ","FILING_STATUS=MR","Sort=A","Dates=H","DateFormat=P","Fill=—","Direction=H","UseDPDF=Y")</f>
        <v>—</v>
      </c>
      <c r="M115" s="13" t="str">
        <f>_xll.BDH("GILD US Equity","ARDR_TOTAL_OPERATING_LIABILITIES","FQ2 2021","FQ2 2021","Currency=USD","Period=FQ","BEST_FPERIOD_OVERRIDE=FQ","FILING_STATUS=MR","Sort=A","Dates=H","DateFormat=P","Fill=—","Direction=H","UseDPDF=Y")</f>
        <v>—</v>
      </c>
      <c r="N115" s="13" t="str">
        <f>_xll.BDH("GILD US Equity","ARDR_TOTAL_OPERATING_LIABILITIES","FQ3 2021","FQ3 2021","Currency=USD","Period=FQ","BEST_FPERIOD_OVERRIDE=FQ","FILING_STATUS=MR","Sort=A","Dates=H","DateFormat=P","Fill=—","Direction=H","UseDPDF=Y")</f>
        <v>—</v>
      </c>
      <c r="O115" s="13">
        <f>_xll.BDH("GILD US Equity","ARDR_TOTAL_OPERATING_LIABILITIES","FQ4 2021","FQ4 2021","Currency=USD","Period=FQ","BEST_FPERIOD_OVERRIDE=FQ","FILING_STATUS=MR","Sort=A","Dates=H","DateFormat=P","Fill=—","Direction=H","UseDPDF=Y")</f>
        <v>590</v>
      </c>
      <c r="P115" s="13" t="str">
        <f>_xll.BDH("GILD US Equity","ARDR_TOTAL_OPERATING_LIABILITIES","FQ1 2022","FQ1 2022","Currency=USD","Period=FQ","BEST_FPERIOD_OVERRIDE=FQ","FILING_STATUS=MR","Sort=A","Dates=H","DateFormat=P","Fill=—","Direction=H","UseDPDF=Y")</f>
        <v>—</v>
      </c>
      <c r="Q115" s="13" t="str">
        <f>_xll.BDH("GILD US Equity","ARDR_TOTAL_OPERATING_LIABILITIES","FQ2 2022","FQ2 2022","Currency=USD","Period=FQ","BEST_FPERIOD_OVERRIDE=FQ","FILING_STATUS=MR","Sort=A","Dates=H","DateFormat=P","Fill=—","Direction=H","UseDPDF=Y")</f>
        <v>—</v>
      </c>
      <c r="R115" s="13" t="str">
        <f>_xll.BDH("GILD US Equity","ARDR_TOTAL_OPERATING_LIABILITIES","FQ3 2022","FQ3 2022","Currency=USD","Period=FQ","BEST_FPERIOD_OVERRIDE=FQ","FILING_STATUS=MR","Sort=A","Dates=H","DateFormat=P","Fill=—","Direction=H","UseDPDF=Y")</f>
        <v>—</v>
      </c>
      <c r="S115" s="13">
        <f>_xll.BDH("GILD US Equity","ARDR_TOTAL_OPERATING_LIABILITIES","FQ4 2022","FQ4 2022","Currency=USD","Period=FQ","BEST_FPERIOD_OVERRIDE=FQ","FILING_STATUS=MR","Sort=A","Dates=H","DateFormat=P","Fill=—","Direction=H","UseDPDF=Y")</f>
        <v>578</v>
      </c>
      <c r="T115" s="13" t="str">
        <f>_xll.BDH("GILD US Equity","ARDR_TOTAL_OPERATING_LIABILITIES","FQ1 2023","FQ1 2023","Currency=USD","Period=FQ","BEST_FPERIOD_OVERRIDE=FQ","FILING_STATUS=MR","Sort=A","Dates=H","DateFormat=P","Fill=—","Direction=H","UseDPDF=Y")</f>
        <v>—</v>
      </c>
      <c r="U115" s="13" t="str">
        <f>_xll.BDH("GILD US Equity","ARDR_TOTAL_OPERATING_LIABILITIES","FQ2 2023","FQ2 2023","Currency=USD","Period=FQ","BEST_FPERIOD_OVERRIDE=FQ","FILING_STATUS=MR","Sort=A","Dates=H","DateFormat=P","Fill=—","Direction=H","UseDPDF=Y")</f>
        <v>—</v>
      </c>
      <c r="V115" s="13" t="str">
        <f>_xll.BDH("GILD US Equity","ARDR_TOTAL_OPERATING_LIABILITIES","FQ3 2023","FQ3 2023","Currency=USD","Period=FQ","BEST_FPERIOD_OVERRIDE=FQ","FILING_STATUS=MR","Sort=A","Dates=H","DateFormat=P","Fill=—","Direction=H","UseDPDF=Y")</f>
        <v>—</v>
      </c>
      <c r="W115" s="13">
        <f>_xll.BDH("GILD US Equity","ARDR_TOTAL_OPERATING_LIABILITIES","FQ4 2023","FQ4 2023","Currency=USD","Period=FQ","BEST_FPERIOD_OVERRIDE=FQ","FILING_STATUS=MR","Sort=A","Dates=H","DateFormat=P","Fill=—","Direction=H","UseDPDF=Y")</f>
        <v>671</v>
      </c>
      <c r="X115" s="13" t="str">
        <f>_xll.BDH("GILD US Equity","ARDR_TOTAL_OPERATING_LIABILITIES","FQ1 2024","FQ1 2024","Currency=USD","Period=FQ","BEST_FPERIOD_OVERRIDE=FQ","FILING_STATUS=MR","Sort=A","Dates=H","DateFormat=P","Fill=—","Direction=H","UseDPDF=Y")</f>
        <v>—</v>
      </c>
      <c r="Y115" s="13" t="str">
        <f>_xll.BDH("GILD US Equity","ARDR_TOTAL_OPERATING_LIABILITIES","FQ2 2024","FQ2 2024","Currency=USD","Period=FQ","BEST_FPERIOD_OVERRIDE=FQ","FILING_STATUS=MR","Sort=A","Dates=H","DateFormat=P","Fill=—","Direction=H","UseDPDF=Y")</f>
        <v>—</v>
      </c>
      <c r="Z115" s="13" t="str">
        <f>_xll.BDH("GILD US Equity","ARDR_TOTAL_OPERATING_LIABILITIES","FQ3 2024","FQ3 2024","Currency=USD","Period=FQ","BEST_FPERIOD_OVERRIDE=FQ","FILING_STATUS=MR","Sort=A","Dates=H","DateFormat=P","Fill=—","Direction=H","UseDPDF=Y")</f>
        <v>—</v>
      </c>
      <c r="AA115" s="13">
        <f>_xll.BDH("GILD US Equity","ARDR_TOTAL_OPERATING_LIABILITIES","FQ4 2024","FQ4 2024","Currency=USD","Period=FQ","BEST_FPERIOD_OVERRIDE=FQ","FILING_STATUS=MR","Sort=A","Dates=H","DateFormat=P","Fill=—","Direction=H","UseDPDF=Y")</f>
        <v>611</v>
      </c>
    </row>
    <row r="116" spans="1:27" x14ac:dyDescent="0.25">
      <c r="A116" s="10" t="s">
        <v>1089</v>
      </c>
      <c r="B116" s="10" t="s">
        <v>1090</v>
      </c>
      <c r="C116" s="13">
        <f>_xll.BDH("GILD US Equity","ARDR_FV_ASSETS_REC_LEVEL_1","FQ4 2018","FQ4 2018","Currency=USD","Period=FQ","BEST_FPERIOD_OVERRIDE=FQ","FILING_STATUS=MR","SCALING_FORMAT=MLN","Sort=A","Dates=H","DateFormat=P","Fill=—","Direction=H","UseDPDF=Y")</f>
        <v>10279</v>
      </c>
      <c r="D116" s="13">
        <f>_xll.BDH("GILD US Equity","ARDR_FV_ASSETS_REC_LEVEL_1","FQ1 2019","FQ1 2019","Currency=USD","Period=FQ","BEST_FPERIOD_OVERRIDE=FQ","FILING_STATUS=MR","SCALING_FORMAT=MLN","Sort=A","Dates=H","DateFormat=P","Fill=—","Direction=H","UseDPDF=Y")</f>
        <v>9809</v>
      </c>
      <c r="E116" s="13">
        <f>_xll.BDH("GILD US Equity","ARDR_FV_ASSETS_REC_LEVEL_1","FQ2 2019","FQ2 2019","Currency=USD","Period=FQ","BEST_FPERIOD_OVERRIDE=FQ","FILING_STATUS=MR","SCALING_FORMAT=MLN","Sort=A","Dates=H","DateFormat=P","Fill=—","Direction=H","UseDPDF=Y")</f>
        <v>8251</v>
      </c>
      <c r="F116" s="13">
        <f>_xll.BDH("GILD US Equity","ARDR_FV_ASSETS_REC_LEVEL_1","FQ3 2019","FQ3 2019","Currency=USD","Period=FQ","BEST_FPERIOD_OVERRIDE=FQ","FILING_STATUS=MR","SCALING_FORMAT=MLN","Sort=A","Dates=H","DateFormat=P","Fill=—","Direction=H","UseDPDF=Y")</f>
        <v>8987</v>
      </c>
      <c r="G116" s="13">
        <f>_xll.BDH("GILD US Equity","ARDR_FV_ASSETS_REC_LEVEL_1","FQ4 2019","FQ4 2019","Currency=USD","Period=FQ","BEST_FPERIOD_OVERRIDE=FQ","FILING_STATUS=MR","SCALING_FORMAT=MLN","Sort=A","Dates=H","DateFormat=P","Fill=—","Direction=H","UseDPDF=Y")</f>
        <v>13472</v>
      </c>
      <c r="H116" s="13">
        <f>_xll.BDH("GILD US Equity","ARDR_FV_ASSETS_REC_LEVEL_1","FQ1 2020","FQ1 2020","Currency=USD","Period=FQ","BEST_FPERIOD_OVERRIDE=FQ","FILING_STATUS=MR","SCALING_FORMAT=MLN","Sort=A","Dates=H","DateFormat=P","Fill=—","Direction=H","UseDPDF=Y")</f>
        <v>13546</v>
      </c>
      <c r="I116" s="13">
        <f>_xll.BDH("GILD US Equity","ARDR_FV_ASSETS_REC_LEVEL_1","FQ2 2020","FQ2 2020","Currency=USD","Period=FQ","BEST_FPERIOD_OVERRIDE=FQ","FILING_STATUS=MR","SCALING_FORMAT=MLN","Sort=A","Dates=H","DateFormat=P","Fill=—","Direction=H","UseDPDF=Y")</f>
        <v>10890</v>
      </c>
      <c r="J116" s="13">
        <f>_xll.BDH("GILD US Equity","ARDR_FV_ASSETS_REC_LEVEL_1","FQ3 2020","FQ3 2020","Currency=USD","Period=FQ","BEST_FPERIOD_OVERRIDE=FQ","FILING_STATUS=MR","SCALING_FORMAT=MLN","Sort=A","Dates=H","DateFormat=P","Fill=—","Direction=H","UseDPDF=Y")</f>
        <v>16848</v>
      </c>
      <c r="K116" s="13">
        <f>_xll.BDH("GILD US Equity","ARDR_FV_ASSETS_REC_LEVEL_1","FQ4 2020","FQ4 2020","Currency=USD","Period=FQ","BEST_FPERIOD_OVERRIDE=FQ","FILING_STATUS=MR","SCALING_FORMAT=MLN","Sort=A","Dates=H","DateFormat=P","Fill=—","Direction=H","UseDPDF=Y")</f>
        <v>7279</v>
      </c>
      <c r="L116" s="13">
        <f>_xll.BDH("GILD US Equity","ARDR_FV_ASSETS_REC_LEVEL_1","FQ1 2021","FQ1 2021","Currency=USD","Period=FQ","BEST_FPERIOD_OVERRIDE=FQ","FILING_STATUS=MR","SCALING_FORMAT=MLN","Sort=A","Dates=H","DateFormat=P","Fill=—","Direction=H","UseDPDF=Y")</f>
        <v>5185</v>
      </c>
      <c r="M116" s="13">
        <f>_xll.BDH("GILD US Equity","ARDR_FV_ASSETS_REC_LEVEL_1","FQ2 2021","FQ2 2021","Currency=USD","Period=FQ","BEST_FPERIOD_OVERRIDE=FQ","FILING_STATUS=MR","SCALING_FORMAT=MLN","Sort=A","Dates=H","DateFormat=P","Fill=—","Direction=H","UseDPDF=Y")</f>
        <v>5907</v>
      </c>
      <c r="N116" s="13">
        <f>_xll.BDH("GILD US Equity","ARDR_FV_ASSETS_REC_LEVEL_1","FQ3 2021","FQ3 2021","Currency=USD","Period=FQ","BEST_FPERIOD_OVERRIDE=FQ","FILING_STATUS=MR","SCALING_FORMAT=MLN","Sort=A","Dates=H","DateFormat=P","Fill=—","Direction=H","UseDPDF=Y")</f>
        <v>5134</v>
      </c>
      <c r="O116" s="13">
        <f>_xll.BDH("GILD US Equity","ARDR_FV_ASSETS_REC_LEVEL_1","FQ4 2021","FQ4 2021","Currency=USD","Period=FQ","BEST_FPERIOD_OVERRIDE=FQ","FILING_STATUS=MR","SCALING_FORMAT=MLN","Sort=A","Dates=H","DateFormat=P","Fill=—","Direction=H","UseDPDF=Y")</f>
        <v>6150</v>
      </c>
      <c r="P116" s="13">
        <f>_xll.BDH("GILD US Equity","ARDR_FV_ASSETS_REC_LEVEL_1","FQ1 2022","FQ1 2022","Currency=USD","Period=FQ","BEST_FPERIOD_OVERRIDE=FQ","FILING_STATUS=MR","SCALING_FORMAT=MLN","Sort=A","Dates=H","DateFormat=P","Fill=—","Direction=H","UseDPDF=Y")</f>
        <v>4814</v>
      </c>
      <c r="Q116" s="13">
        <f>_xll.BDH("GILD US Equity","ARDR_FV_ASSETS_REC_LEVEL_1","FQ2 2022","FQ2 2022","Currency=USD","Period=FQ","BEST_FPERIOD_OVERRIDE=FQ","FILING_STATUS=MR","SCALING_FORMAT=MLN","Sort=A","Dates=H","DateFormat=P","Fill=—","Direction=H","UseDPDF=Y")</f>
        <v>5138</v>
      </c>
      <c r="R116" s="13">
        <f>_xll.BDH("GILD US Equity","ARDR_FV_ASSETS_REC_LEVEL_1","FQ3 2022","FQ3 2022","Currency=USD","Period=FQ","BEST_FPERIOD_OVERRIDE=FQ","FILING_STATUS=MR","SCALING_FORMAT=MLN","Sort=A","Dates=H","DateFormat=P","Fill=—","Direction=H","UseDPDF=Y")</f>
        <v>5242</v>
      </c>
      <c r="S116" s="13">
        <f>_xll.BDH("GILD US Equity","ARDR_FV_ASSETS_REC_LEVEL_1","FQ4 2022","FQ4 2022","Currency=USD","Period=FQ","BEST_FPERIOD_OVERRIDE=FQ","FILING_STATUS=MR","SCALING_FORMAT=MLN","Sort=A","Dates=H","DateFormat=P","Fill=—","Direction=H","UseDPDF=Y")</f>
        <v>5658</v>
      </c>
      <c r="T116" s="13">
        <f>_xll.BDH("GILD US Equity","ARDR_FV_ASSETS_REC_LEVEL_1","FQ1 2023","FQ1 2023","Currency=USD","Period=FQ","BEST_FPERIOD_OVERRIDE=FQ","FILING_STATUS=MR","SCALING_FORMAT=MLN","Sort=A","Dates=H","DateFormat=P","Fill=—","Direction=H","UseDPDF=Y")</f>
        <v>4895</v>
      </c>
      <c r="U116" s="13">
        <f>_xll.BDH("GILD US Equity","ARDR_FV_ASSETS_REC_LEVEL_1","FQ2 2023","FQ2 2023","Currency=USD","Period=FQ","BEST_FPERIOD_OVERRIDE=FQ","FILING_STATUS=MR","SCALING_FORMAT=MLN","Sort=A","Dates=H","DateFormat=P","Fill=—","Direction=H","UseDPDF=Y")</f>
        <v>6105</v>
      </c>
      <c r="V116" s="13">
        <f>_xll.BDH("GILD US Equity","ARDR_FV_ASSETS_REC_LEVEL_1","FQ3 2023","FQ3 2023","Currency=USD","Period=FQ","BEST_FPERIOD_OVERRIDE=FQ","FILING_STATUS=MR","SCALING_FORMAT=MLN","Sort=A","Dates=H","DateFormat=P","Fill=—","Direction=H","UseDPDF=Y")</f>
        <v>6021</v>
      </c>
      <c r="W116" s="13">
        <f>_xll.BDH("GILD US Equity","ARDR_FV_ASSETS_REC_LEVEL_1","FQ4 2023","FQ4 2023","Currency=USD","Period=FQ","BEST_FPERIOD_OVERRIDE=FQ","FILING_STATUS=MR","SCALING_FORMAT=MLN","Sort=A","Dates=H","DateFormat=P","Fill=—","Direction=H","UseDPDF=Y")</f>
        <v>6633</v>
      </c>
      <c r="X116" s="13">
        <f>_xll.BDH("GILD US Equity","ARDR_FV_ASSETS_REC_LEVEL_1","FQ1 2024","FQ1 2024","Currency=USD","Period=FQ","BEST_FPERIOD_OVERRIDE=FQ","FILING_STATUS=MR","SCALING_FORMAT=MLN","Sort=A","Dates=H","DateFormat=P","Fill=—","Direction=H","UseDPDF=Y")</f>
        <v>3676</v>
      </c>
      <c r="Y116" s="13">
        <f>_xll.BDH("GILD US Equity","ARDR_FV_ASSETS_REC_LEVEL_1","FQ2 2024","FQ2 2024","Currency=USD","Period=FQ","BEST_FPERIOD_OVERRIDE=FQ","FILING_STATUS=MR","SCALING_FORMAT=MLN","Sort=A","Dates=H","DateFormat=P","Fill=—","Direction=H","UseDPDF=Y")</f>
        <v>3281</v>
      </c>
      <c r="Z116" s="13">
        <f>_xll.BDH("GILD US Equity","ARDR_FV_ASSETS_REC_LEVEL_1","FQ3 2024","FQ3 2024","Currency=USD","Period=FQ","BEST_FPERIOD_OVERRIDE=FQ","FILING_STATUS=MR","SCALING_FORMAT=MLN","Sort=A","Dates=H","DateFormat=P","Fill=—","Direction=H","UseDPDF=Y")</f>
        <v>5510</v>
      </c>
      <c r="AA116" s="13">
        <f>_xll.BDH("GILD US Equity","ARDR_FV_ASSETS_REC_LEVEL_1","FQ4 2024","FQ4 2024","Currency=USD","Period=FQ","BEST_FPERIOD_OVERRIDE=FQ","FILING_STATUS=MR","SCALING_FORMAT=MLN","Sort=A","Dates=H","DateFormat=P","Fill=—","Direction=H","UseDPDF=Y")</f>
        <v>10405</v>
      </c>
    </row>
    <row r="117" spans="1:27" x14ac:dyDescent="0.25">
      <c r="A117" s="10" t="s">
        <v>1091</v>
      </c>
      <c r="B117" s="10" t="s">
        <v>1092</v>
      </c>
      <c r="C117" s="13">
        <f>_xll.BDH("GILD US Equity","ARDR_FV_ASSETS_REC_LEVEL_2","FQ4 2018","FQ4 2018","Currency=USD","Period=FQ","BEST_FPERIOD_OVERRIDE=FQ","FILING_STATUS=MR","SCALING_FORMAT=MLN","Sort=A","Dates=H","DateFormat=P","Fill=—","Direction=H","UseDPDF=Y")</f>
        <v>20273</v>
      </c>
      <c r="D117" s="13">
        <f>_xll.BDH("GILD US Equity","ARDR_FV_ASSETS_REC_LEVEL_2","FQ1 2019","FQ1 2019","Currency=USD","Period=FQ","BEST_FPERIOD_OVERRIDE=FQ","FILING_STATUS=MR","SCALING_FORMAT=MLN","Sort=A","Dates=H","DateFormat=P","Fill=—","Direction=H","UseDPDF=Y")</f>
        <v>19828</v>
      </c>
      <c r="E117" s="13">
        <f>_xll.BDH("GILD US Equity","ARDR_FV_ASSETS_REC_LEVEL_2","FQ2 2019","FQ2 2019","Currency=USD","Period=FQ","BEST_FPERIOD_OVERRIDE=FQ","FILING_STATUS=MR","SCALING_FORMAT=MLN","Sort=A","Dates=H","DateFormat=P","Fill=—","Direction=H","UseDPDF=Y")</f>
        <v>21207</v>
      </c>
      <c r="F117" s="13">
        <f>_xll.BDH("GILD US Equity","ARDR_FV_ASSETS_REC_LEVEL_2","FQ3 2019","FQ3 2019","Currency=USD","Period=FQ","BEST_FPERIOD_OVERRIDE=FQ","FILING_STATUS=MR","SCALING_FORMAT=MLN","Sort=A","Dates=H","DateFormat=P","Fill=—","Direction=H","UseDPDF=Y")</f>
        <v>16282</v>
      </c>
      <c r="G117" s="13">
        <f>_xll.BDH("GILD US Equity","ARDR_FV_ASSETS_REC_LEVEL_2","FQ4 2019","FQ4 2019","Currency=USD","Period=FQ","BEST_FPERIOD_OVERRIDE=FQ","FILING_STATUS=MR","SCALING_FORMAT=MLN","Sort=A","Dates=H","DateFormat=P","Fill=—","Direction=H","UseDPDF=Y")</f>
        <v>14104</v>
      </c>
      <c r="H117" s="13">
        <f>_xll.BDH("GILD US Equity","ARDR_FV_ASSETS_REC_LEVEL_2","FQ1 2020","FQ1 2020","Currency=USD","Period=FQ","BEST_FPERIOD_OVERRIDE=FQ","FILING_STATUS=MR","SCALING_FORMAT=MLN","Sort=A","Dates=H","DateFormat=P","Fill=—","Direction=H","UseDPDF=Y")</f>
        <v>12924</v>
      </c>
      <c r="I117" s="13">
        <f>_xll.BDH("GILD US Equity","ARDR_FV_ASSETS_REC_LEVEL_2","FQ2 2020","FQ2 2020","Currency=USD","Period=FQ","BEST_FPERIOD_OVERRIDE=FQ","FILING_STATUS=MR","SCALING_FORMAT=MLN","Sort=A","Dates=H","DateFormat=P","Fill=—","Direction=H","UseDPDF=Y")</f>
        <v>12458</v>
      </c>
      <c r="J117" s="13">
        <f>_xll.BDH("GILD US Equity","ARDR_FV_ASSETS_REC_LEVEL_2","FQ3 2020","FQ3 2020","Currency=USD","Period=FQ","BEST_FPERIOD_OVERRIDE=FQ","FILING_STATUS=MR","SCALING_FORMAT=MLN","Sort=A","Dates=H","DateFormat=P","Fill=—","Direction=H","UseDPDF=Y")</f>
        <v>11167</v>
      </c>
      <c r="K117" s="13">
        <f>_xll.BDH("GILD US Equity","ARDR_FV_ASSETS_REC_LEVEL_2","FQ4 2020","FQ4 2020","Currency=USD","Period=FQ","BEST_FPERIOD_OVERRIDE=FQ","FILING_STATUS=MR","SCALING_FORMAT=MLN","Sort=A","Dates=H","DateFormat=P","Fill=—","Direction=H","UseDPDF=Y")</f>
        <v>1729</v>
      </c>
      <c r="L117" s="13">
        <f>_xll.BDH("GILD US Equity","ARDR_FV_ASSETS_REC_LEVEL_2","FQ1 2021","FQ1 2021","Currency=USD","Period=FQ","BEST_FPERIOD_OVERRIDE=FQ","FILING_STATUS=MR","SCALING_FORMAT=MLN","Sort=A","Dates=H","DateFormat=P","Fill=—","Direction=H","UseDPDF=Y")</f>
        <v>2046</v>
      </c>
      <c r="M117" s="13">
        <f>_xll.BDH("GILD US Equity","ARDR_FV_ASSETS_REC_LEVEL_2","FQ2 2021","FQ2 2021","Currency=USD","Period=FQ","BEST_FPERIOD_OVERRIDE=FQ","FILING_STATUS=MR","SCALING_FORMAT=MLN","Sort=A","Dates=H","DateFormat=P","Fill=—","Direction=H","UseDPDF=Y")</f>
        <v>2138</v>
      </c>
      <c r="N117" s="13">
        <f>_xll.BDH("GILD US Equity","ARDR_FV_ASSETS_REC_LEVEL_2","FQ3 2021","FQ3 2021","Currency=USD","Period=FQ","BEST_FPERIOD_OVERRIDE=FQ","FILING_STATUS=MR","SCALING_FORMAT=MLN","Sort=A","Dates=H","DateFormat=P","Fill=—","Direction=H","UseDPDF=Y")</f>
        <v>2184</v>
      </c>
      <c r="O117" s="13">
        <f>_xll.BDH("GILD US Equity","ARDR_FV_ASSETS_REC_LEVEL_2","FQ4 2021","FQ4 2021","Currency=USD","Period=FQ","BEST_FPERIOD_OVERRIDE=FQ","FILING_STATUS=MR","SCALING_FORMAT=MLN","Sort=A","Dates=H","DateFormat=P","Fill=—","Direction=H","UseDPDF=Y")</f>
        <v>2170</v>
      </c>
      <c r="P117" s="13">
        <f>_xll.BDH("GILD US Equity","ARDR_FV_ASSETS_REC_LEVEL_2","FQ1 2022","FQ1 2022","Currency=USD","Period=FQ","BEST_FPERIOD_OVERRIDE=FQ","FILING_STATUS=MR","SCALING_FORMAT=MLN","Sort=A","Dates=H","DateFormat=P","Fill=—","Direction=H","UseDPDF=Y")</f>
        <v>2121</v>
      </c>
      <c r="Q117" s="13">
        <f>_xll.BDH("GILD US Equity","ARDR_FV_ASSETS_REC_LEVEL_2","FQ2 2022","FQ2 2022","Currency=USD","Period=FQ","BEST_FPERIOD_OVERRIDE=FQ","FILING_STATUS=MR","SCALING_FORMAT=MLN","Sort=A","Dates=H","DateFormat=P","Fill=—","Direction=H","UseDPDF=Y")</f>
        <v>1999</v>
      </c>
      <c r="R117" s="13">
        <f>_xll.BDH("GILD US Equity","ARDR_FV_ASSETS_REC_LEVEL_2","FQ3 2022","FQ3 2022","Currency=USD","Period=FQ","BEST_FPERIOD_OVERRIDE=FQ","FILING_STATUS=MR","SCALING_FORMAT=MLN","Sort=A","Dates=H","DateFormat=P","Fill=—","Direction=H","UseDPDF=Y")</f>
        <v>2083</v>
      </c>
      <c r="S117" s="13">
        <f>_xll.BDH("GILD US Equity","ARDR_FV_ASSETS_REC_LEVEL_2","FQ4 2022","FQ4 2022","Currency=USD","Period=FQ","BEST_FPERIOD_OVERRIDE=FQ","FILING_STATUS=MR","SCALING_FORMAT=MLN","Sort=A","Dates=H","DateFormat=P","Fill=—","Direction=H","UseDPDF=Y")</f>
        <v>1943</v>
      </c>
      <c r="T117" s="13">
        <f>_xll.BDH("GILD US Equity","ARDR_FV_ASSETS_REC_LEVEL_2","FQ1 2023","FQ1 2023","Currency=USD","Period=FQ","BEST_FPERIOD_OVERRIDE=FQ","FILING_STATUS=MR","SCALING_FORMAT=MLN","Sort=A","Dates=H","DateFormat=P","Fill=—","Direction=H","UseDPDF=Y")</f>
        <v>2014</v>
      </c>
      <c r="U117" s="13">
        <f>_xll.BDH("GILD US Equity","ARDR_FV_ASSETS_REC_LEVEL_2","FQ2 2023","FQ2 2023","Currency=USD","Period=FQ","BEST_FPERIOD_OVERRIDE=FQ","FILING_STATUS=MR","SCALING_FORMAT=MLN","Sort=A","Dates=H","DateFormat=P","Fill=—","Direction=H","UseDPDF=Y")</f>
        <v>1989</v>
      </c>
      <c r="V117" s="13">
        <f>_xll.BDH("GILD US Equity","ARDR_FV_ASSETS_REC_LEVEL_2","FQ3 2023","FQ3 2023","Currency=USD","Period=FQ","BEST_FPERIOD_OVERRIDE=FQ","FILING_STATUS=MR","SCALING_FORMAT=MLN","Sort=A","Dates=H","DateFormat=P","Fill=—","Direction=H","UseDPDF=Y")</f>
        <v>2021</v>
      </c>
      <c r="W117" s="13">
        <f>_xll.BDH("GILD US Equity","ARDR_FV_ASSETS_REC_LEVEL_2","FQ4 2023","FQ4 2023","Currency=USD","Period=FQ","BEST_FPERIOD_OVERRIDE=FQ","FILING_STATUS=MR","SCALING_FORMAT=MLN","Sort=A","Dates=H","DateFormat=P","Fill=—","Direction=H","UseDPDF=Y")</f>
        <v>2007</v>
      </c>
      <c r="X117" s="13">
        <f>_xll.BDH("GILD US Equity","ARDR_FV_ASSETS_REC_LEVEL_2","FQ1 2024","FQ1 2024","Currency=USD","Period=FQ","BEST_FPERIOD_OVERRIDE=FQ","FILING_STATUS=MR","SCALING_FORMAT=MLN","Sort=A","Dates=H","DateFormat=P","Fill=—","Direction=H","UseDPDF=Y")</f>
        <v>39</v>
      </c>
      <c r="Y117" s="13">
        <f>_xll.BDH("GILD US Equity","ARDR_FV_ASSETS_REC_LEVEL_2","FQ2 2024","FQ2 2024","Currency=USD","Period=FQ","BEST_FPERIOD_OVERRIDE=FQ","FILING_STATUS=MR","SCALING_FORMAT=MLN","Sort=A","Dates=H","DateFormat=P","Fill=—","Direction=H","UseDPDF=Y")</f>
        <v>60</v>
      </c>
      <c r="Z117" s="13">
        <f>_xll.BDH("GILD US Equity","ARDR_FV_ASSETS_REC_LEVEL_2","FQ3 2024","FQ3 2024","Currency=USD","Period=FQ","BEST_FPERIOD_OVERRIDE=FQ","FILING_STATUS=MR","SCALING_FORMAT=MLN","Sort=A","Dates=H","DateFormat=P","Fill=—","Direction=H","UseDPDF=Y")</f>
        <v>7</v>
      </c>
      <c r="AA117" s="13">
        <f>_xll.BDH("GILD US Equity","ARDR_FV_ASSETS_REC_LEVEL_2","FQ4 2024","FQ4 2024","Currency=USD","Period=FQ","BEST_FPERIOD_OVERRIDE=FQ","FILING_STATUS=MR","SCALING_FORMAT=MLN","Sort=A","Dates=H","DateFormat=P","Fill=—","Direction=H","UseDPDF=Y")</f>
        <v>128</v>
      </c>
    </row>
    <row r="118" spans="1:27" x14ac:dyDescent="0.25">
      <c r="A118" s="10" t="s">
        <v>1093</v>
      </c>
      <c r="B118" s="10" t="s">
        <v>1094</v>
      </c>
      <c r="C118" s="13">
        <f>_xll.BDH("GILD US Equity","ARDR_FV_ASSETS_REC_LEVEL_3","FQ4 2018","FQ4 2018","Currency=USD","Period=FQ","BEST_FPERIOD_OVERRIDE=FQ","FILING_STATUS=MR","SCALING_FORMAT=MLN","Sort=A","Dates=H","DateFormat=P","Fill=—","Direction=H","UseDPDF=Y")</f>
        <v>0</v>
      </c>
      <c r="D118" s="13">
        <f>_xll.BDH("GILD US Equity","ARDR_FV_ASSETS_REC_LEVEL_3","FQ1 2019","FQ1 2019","Currency=USD","Period=FQ","BEST_FPERIOD_OVERRIDE=FQ","FILING_STATUS=MR","SCALING_FORMAT=MLN","Sort=A","Dates=H","DateFormat=P","Fill=—","Direction=H","UseDPDF=Y")</f>
        <v>0</v>
      </c>
      <c r="E118" s="13">
        <f>_xll.BDH("GILD US Equity","ARDR_FV_ASSETS_REC_LEVEL_3","FQ2 2019","FQ2 2019","Currency=USD","Period=FQ","BEST_FPERIOD_OVERRIDE=FQ","FILING_STATUS=MR","SCALING_FORMAT=MLN","Sort=A","Dates=H","DateFormat=P","Fill=—","Direction=H","UseDPDF=Y")</f>
        <v>0</v>
      </c>
      <c r="F118" s="13">
        <f>_xll.BDH("GILD US Equity","ARDR_FV_ASSETS_REC_LEVEL_3","FQ3 2019","FQ3 2019","Currency=USD","Period=FQ","BEST_FPERIOD_OVERRIDE=FQ","FILING_STATUS=MR","SCALING_FORMAT=MLN","Sort=A","Dates=H","DateFormat=P","Fill=—","Direction=H","UseDPDF=Y")</f>
        <v>0</v>
      </c>
      <c r="G118" s="13">
        <f>_xll.BDH("GILD US Equity","ARDR_FV_ASSETS_REC_LEVEL_3","FQ4 2019","FQ4 2019","Currency=USD","Period=FQ","BEST_FPERIOD_OVERRIDE=FQ","FILING_STATUS=MR","SCALING_FORMAT=MLN","Sort=A","Dates=H","DateFormat=P","Fill=—","Direction=H","UseDPDF=Y")</f>
        <v>0</v>
      </c>
      <c r="H118" s="13">
        <f>_xll.BDH("GILD US Equity","ARDR_FV_ASSETS_REC_LEVEL_3","FQ1 2020","FQ1 2020","Currency=USD","Period=FQ","BEST_FPERIOD_OVERRIDE=FQ","FILING_STATUS=MR","SCALING_FORMAT=MLN","Sort=A","Dates=H","DateFormat=P","Fill=—","Direction=H","UseDPDF=Y")</f>
        <v>0</v>
      </c>
      <c r="I118" s="13">
        <f>_xll.BDH("GILD US Equity","ARDR_FV_ASSETS_REC_LEVEL_3","FQ2 2020","FQ2 2020","Currency=USD","Period=FQ","BEST_FPERIOD_OVERRIDE=FQ","FILING_STATUS=MR","SCALING_FORMAT=MLN","Sort=A","Dates=H","DateFormat=P","Fill=—","Direction=H","UseDPDF=Y")</f>
        <v>0</v>
      </c>
      <c r="J118" s="13">
        <f>_xll.BDH("GILD US Equity","ARDR_FV_ASSETS_REC_LEVEL_3","FQ3 2020","FQ3 2020","Currency=USD","Period=FQ","BEST_FPERIOD_OVERRIDE=FQ","FILING_STATUS=MR","SCALING_FORMAT=MLN","Sort=A","Dates=H","DateFormat=P","Fill=—","Direction=H","UseDPDF=Y")</f>
        <v>0</v>
      </c>
      <c r="K118" s="13">
        <f>_xll.BDH("GILD US Equity","ARDR_FV_ASSETS_REC_LEVEL_3","FQ4 2020","FQ4 2020","Currency=USD","Period=FQ","BEST_FPERIOD_OVERRIDE=FQ","FILING_STATUS=MR","SCALING_FORMAT=MLN","Sort=A","Dates=H","DateFormat=P","Fill=—","Direction=H","UseDPDF=Y")</f>
        <v>0</v>
      </c>
      <c r="L118" s="13">
        <f>_xll.BDH("GILD US Equity","ARDR_FV_ASSETS_REC_LEVEL_3","FQ1 2021","FQ1 2021","Currency=USD","Period=FQ","BEST_FPERIOD_OVERRIDE=FQ","FILING_STATUS=MR","SCALING_FORMAT=MLN","Sort=A","Dates=H","DateFormat=P","Fill=—","Direction=H","UseDPDF=Y")</f>
        <v>0</v>
      </c>
      <c r="M118" s="13">
        <f>_xll.BDH("GILD US Equity","ARDR_FV_ASSETS_REC_LEVEL_3","FQ2 2021","FQ2 2021","Currency=USD","Period=FQ","BEST_FPERIOD_OVERRIDE=FQ","FILING_STATUS=MR","SCALING_FORMAT=MLN","Sort=A","Dates=H","DateFormat=P","Fill=—","Direction=H","UseDPDF=Y")</f>
        <v>0</v>
      </c>
      <c r="N118" s="13">
        <f>_xll.BDH("GILD US Equity","ARDR_FV_ASSETS_REC_LEVEL_3","FQ3 2021","FQ3 2021","Currency=USD","Period=FQ","BEST_FPERIOD_OVERRIDE=FQ","FILING_STATUS=MR","SCALING_FORMAT=MLN","Sort=A","Dates=H","DateFormat=P","Fill=—","Direction=H","UseDPDF=Y")</f>
        <v>0</v>
      </c>
      <c r="O118" s="13">
        <f>_xll.BDH("GILD US Equity","ARDR_FV_ASSETS_REC_LEVEL_3","FQ4 2021","FQ4 2021","Currency=USD","Period=FQ","BEST_FPERIOD_OVERRIDE=FQ","FILING_STATUS=MR","SCALING_FORMAT=MLN","Sort=A","Dates=H","DateFormat=P","Fill=—","Direction=H","UseDPDF=Y")</f>
        <v>0</v>
      </c>
      <c r="P118" s="13">
        <f>_xll.BDH("GILD US Equity","ARDR_FV_ASSETS_REC_LEVEL_3","FQ1 2022","FQ1 2022","Currency=USD","Period=FQ","BEST_FPERIOD_OVERRIDE=FQ","FILING_STATUS=MR","SCALING_FORMAT=MLN","Sort=A","Dates=H","DateFormat=P","Fill=—","Direction=H","UseDPDF=Y")</f>
        <v>0</v>
      </c>
      <c r="Q118" s="13">
        <f>_xll.BDH("GILD US Equity","ARDR_FV_ASSETS_REC_LEVEL_3","FQ2 2022","FQ2 2022","Currency=USD","Period=FQ","BEST_FPERIOD_OVERRIDE=FQ","FILING_STATUS=MR","SCALING_FORMAT=MLN","Sort=A","Dates=H","DateFormat=P","Fill=—","Direction=H","UseDPDF=Y")</f>
        <v>0</v>
      </c>
      <c r="R118" s="13">
        <f>_xll.BDH("GILD US Equity","ARDR_FV_ASSETS_REC_LEVEL_3","FQ3 2022","FQ3 2022","Currency=USD","Period=FQ","BEST_FPERIOD_OVERRIDE=FQ","FILING_STATUS=MR","SCALING_FORMAT=MLN","Sort=A","Dates=H","DateFormat=P","Fill=—","Direction=H","UseDPDF=Y")</f>
        <v>0</v>
      </c>
      <c r="S118" s="13">
        <f>_xll.BDH("GILD US Equity","ARDR_FV_ASSETS_REC_LEVEL_3","FQ4 2022","FQ4 2022","Currency=USD","Period=FQ","BEST_FPERIOD_OVERRIDE=FQ","FILING_STATUS=MR","SCALING_FORMAT=MLN","Sort=A","Dates=H","DateFormat=P","Fill=—","Direction=H","UseDPDF=Y")</f>
        <v>0</v>
      </c>
      <c r="T118" s="13">
        <f>_xll.BDH("GILD US Equity","ARDR_FV_ASSETS_REC_LEVEL_3","FQ1 2023","FQ1 2023","Currency=USD","Period=FQ","BEST_FPERIOD_OVERRIDE=FQ","FILING_STATUS=MR","SCALING_FORMAT=MLN","Sort=A","Dates=H","DateFormat=P","Fill=—","Direction=H","UseDPDF=Y")</f>
        <v>0</v>
      </c>
      <c r="U118" s="13">
        <f>_xll.BDH("GILD US Equity","ARDR_FV_ASSETS_REC_LEVEL_3","FQ2 2023","FQ2 2023","Currency=USD","Period=FQ","BEST_FPERIOD_OVERRIDE=FQ","FILING_STATUS=MR","SCALING_FORMAT=MLN","Sort=A","Dates=H","DateFormat=P","Fill=—","Direction=H","UseDPDF=Y")</f>
        <v>0</v>
      </c>
      <c r="V118" s="13">
        <f>_xll.BDH("GILD US Equity","ARDR_FV_ASSETS_REC_LEVEL_3","FQ3 2023","FQ3 2023","Currency=USD","Period=FQ","BEST_FPERIOD_OVERRIDE=FQ","FILING_STATUS=MR","SCALING_FORMAT=MLN","Sort=A","Dates=H","DateFormat=P","Fill=—","Direction=H","UseDPDF=Y")</f>
        <v>0</v>
      </c>
      <c r="W118" s="13" t="str">
        <f>_xll.BDH("GILD US Equity","ARDR_FV_ASSETS_REC_LEVEL_3","FQ4 2023","FQ4 2023","Currency=USD","Period=FQ","BEST_FPERIOD_OVERRIDE=FQ","FILING_STATUS=MR","SCALING_FORMAT=MLN","Sort=A","Dates=H","DateFormat=P","Fill=—","Direction=H","UseDPDF=Y")</f>
        <v>—</v>
      </c>
      <c r="X118" s="13">
        <f>_xll.BDH("GILD US Equity","ARDR_FV_ASSETS_REC_LEVEL_3","FQ1 2024","FQ1 2024","Currency=USD","Period=FQ","BEST_FPERIOD_OVERRIDE=FQ","FILING_STATUS=MR","SCALING_FORMAT=MLN","Sort=A","Dates=H","DateFormat=P","Fill=—","Direction=H","UseDPDF=Y")</f>
        <v>0</v>
      </c>
      <c r="Y118" s="13">
        <f>_xll.BDH("GILD US Equity","ARDR_FV_ASSETS_REC_LEVEL_3","FQ2 2024","FQ2 2024","Currency=USD","Period=FQ","BEST_FPERIOD_OVERRIDE=FQ","FILING_STATUS=MR","SCALING_FORMAT=MLN","Sort=A","Dates=H","DateFormat=P","Fill=—","Direction=H","UseDPDF=Y")</f>
        <v>0</v>
      </c>
      <c r="Z118" s="13">
        <f>_xll.BDH("GILD US Equity","ARDR_FV_ASSETS_REC_LEVEL_3","FQ3 2024","FQ3 2024","Currency=USD","Period=FQ","BEST_FPERIOD_OVERRIDE=FQ","FILING_STATUS=MR","SCALING_FORMAT=MLN","Sort=A","Dates=H","DateFormat=P","Fill=—","Direction=H","UseDPDF=Y")</f>
        <v>0</v>
      </c>
      <c r="AA118" s="13">
        <f>_xll.BDH("GILD US Equity","ARDR_FV_ASSETS_REC_LEVEL_3","FQ4 2024","FQ4 2024","Currency=USD","Period=FQ","BEST_FPERIOD_OVERRIDE=FQ","FILING_STATUS=MR","SCALING_FORMAT=MLN","Sort=A","Dates=H","DateFormat=P","Fill=—","Direction=H","UseDPDF=Y")</f>
        <v>0</v>
      </c>
    </row>
    <row r="119" spans="1:27" x14ac:dyDescent="0.25">
      <c r="A119" s="10" t="s">
        <v>1095</v>
      </c>
      <c r="B119" s="10" t="s">
        <v>1096</v>
      </c>
      <c r="C119" s="13">
        <f>_xll.BDH("GILD US Equity","ARDR_FV_ASSETS_REC_TOTAL","FQ4 2018","FQ4 2018","Currency=USD","Period=FQ","BEST_FPERIOD_OVERRIDE=FQ","FILING_STATUS=MR","SCALING_FORMAT=MLN","Sort=A","Dates=H","DateFormat=P","Fill=—","Direction=H","UseDPDF=Y")</f>
        <v>30552</v>
      </c>
      <c r="D119" s="13">
        <f>_xll.BDH("GILD US Equity","ARDR_FV_ASSETS_REC_TOTAL","FQ1 2019","FQ1 2019","Currency=USD","Period=FQ","BEST_FPERIOD_OVERRIDE=FQ","FILING_STATUS=MR","SCALING_FORMAT=MLN","Sort=A","Dates=H","DateFormat=P","Fill=—","Direction=H","UseDPDF=Y")</f>
        <v>29637</v>
      </c>
      <c r="E119" s="13">
        <f>_xll.BDH("GILD US Equity","ARDR_FV_ASSETS_REC_TOTAL","FQ2 2019","FQ2 2019","Currency=USD","Period=FQ","BEST_FPERIOD_OVERRIDE=FQ","FILING_STATUS=MR","SCALING_FORMAT=MLN","Sort=A","Dates=H","DateFormat=P","Fill=—","Direction=H","UseDPDF=Y")</f>
        <v>29458</v>
      </c>
      <c r="F119" s="13">
        <f>_xll.BDH("GILD US Equity","ARDR_FV_ASSETS_REC_TOTAL","FQ3 2019","FQ3 2019","Currency=USD","Period=FQ","BEST_FPERIOD_OVERRIDE=FQ","FILING_STATUS=MR","SCALING_FORMAT=MLN","Sort=A","Dates=H","DateFormat=P","Fill=—","Direction=H","UseDPDF=Y")</f>
        <v>25269</v>
      </c>
      <c r="G119" s="13">
        <f>_xll.BDH("GILD US Equity","ARDR_FV_ASSETS_REC_TOTAL","FQ4 2019","FQ4 2019","Currency=USD","Period=FQ","BEST_FPERIOD_OVERRIDE=FQ","FILING_STATUS=MR","SCALING_FORMAT=MLN","Sort=A","Dates=H","DateFormat=P","Fill=—","Direction=H","UseDPDF=Y")</f>
        <v>27576</v>
      </c>
      <c r="H119" s="13">
        <f>_xll.BDH("GILD US Equity","ARDR_FV_ASSETS_REC_TOTAL","FQ1 2020","FQ1 2020","Currency=USD","Period=FQ","BEST_FPERIOD_OVERRIDE=FQ","FILING_STATUS=MR","SCALING_FORMAT=MLN","Sort=A","Dates=H","DateFormat=P","Fill=—","Direction=H","UseDPDF=Y")</f>
        <v>26470</v>
      </c>
      <c r="I119" s="13">
        <f>_xll.BDH("GILD US Equity","ARDR_FV_ASSETS_REC_TOTAL","FQ2 2020","FQ2 2020","Currency=USD","Period=FQ","BEST_FPERIOD_OVERRIDE=FQ","FILING_STATUS=MR","SCALING_FORMAT=MLN","Sort=A","Dates=H","DateFormat=P","Fill=—","Direction=H","UseDPDF=Y")</f>
        <v>23348</v>
      </c>
      <c r="J119" s="13">
        <f>_xll.BDH("GILD US Equity","ARDR_FV_ASSETS_REC_TOTAL","FQ3 2020","FQ3 2020","Currency=USD","Period=FQ","BEST_FPERIOD_OVERRIDE=FQ","FILING_STATUS=MR","SCALING_FORMAT=MLN","Sort=A","Dates=H","DateFormat=P","Fill=—","Direction=H","UseDPDF=Y")</f>
        <v>28015</v>
      </c>
      <c r="K119" s="13">
        <f>_xll.BDH("GILD US Equity","ARDR_FV_ASSETS_REC_TOTAL","FQ4 2020","FQ4 2020","Currency=USD","Period=FQ","BEST_FPERIOD_OVERRIDE=FQ","FILING_STATUS=MR","SCALING_FORMAT=MLN","Sort=A","Dates=H","DateFormat=P","Fill=—","Direction=H","UseDPDF=Y")</f>
        <v>9008</v>
      </c>
      <c r="L119" s="13">
        <f>_xll.BDH("GILD US Equity","ARDR_FV_ASSETS_REC_TOTAL","FQ1 2021","FQ1 2021","Currency=USD","Period=FQ","BEST_FPERIOD_OVERRIDE=FQ","FILING_STATUS=MR","SCALING_FORMAT=MLN","Sort=A","Dates=H","DateFormat=P","Fill=—","Direction=H","UseDPDF=Y")</f>
        <v>7231</v>
      </c>
      <c r="M119" s="13">
        <f>_xll.BDH("GILD US Equity","ARDR_FV_ASSETS_REC_TOTAL","FQ2 2021","FQ2 2021","Currency=USD","Period=FQ","BEST_FPERIOD_OVERRIDE=FQ","FILING_STATUS=MR","SCALING_FORMAT=MLN","Sort=A","Dates=H","DateFormat=P","Fill=—","Direction=H","UseDPDF=Y")</f>
        <v>8045</v>
      </c>
      <c r="N119" s="13">
        <f>_xll.BDH("GILD US Equity","ARDR_FV_ASSETS_REC_TOTAL","FQ3 2021","FQ3 2021","Currency=USD","Period=FQ","BEST_FPERIOD_OVERRIDE=FQ","FILING_STATUS=MR","SCALING_FORMAT=MLN","Sort=A","Dates=H","DateFormat=P","Fill=—","Direction=H","UseDPDF=Y")</f>
        <v>7318</v>
      </c>
      <c r="O119" s="13">
        <f>_xll.BDH("GILD US Equity","ARDR_FV_ASSETS_REC_TOTAL","FQ4 2021","FQ4 2021","Currency=USD","Period=FQ","BEST_FPERIOD_OVERRIDE=FQ","FILING_STATUS=MR","SCALING_FORMAT=MLN","Sort=A","Dates=H","DateFormat=P","Fill=—","Direction=H","UseDPDF=Y")</f>
        <v>8320</v>
      </c>
      <c r="P119" s="13">
        <f>_xll.BDH("GILD US Equity","ARDR_FV_ASSETS_REC_TOTAL","FQ1 2022","FQ1 2022","Currency=USD","Period=FQ","BEST_FPERIOD_OVERRIDE=FQ","FILING_STATUS=MR","SCALING_FORMAT=MLN","Sort=A","Dates=H","DateFormat=P","Fill=—","Direction=H","UseDPDF=Y")</f>
        <v>6935</v>
      </c>
      <c r="Q119" s="13">
        <f>_xll.BDH("GILD US Equity","ARDR_FV_ASSETS_REC_TOTAL","FQ2 2022","FQ2 2022","Currency=USD","Period=FQ","BEST_FPERIOD_OVERRIDE=FQ","FILING_STATUS=MR","SCALING_FORMAT=MLN","Sort=A","Dates=H","DateFormat=P","Fill=—","Direction=H","UseDPDF=Y")</f>
        <v>7137</v>
      </c>
      <c r="R119" s="13">
        <f>_xll.BDH("GILD US Equity","ARDR_FV_ASSETS_REC_TOTAL","FQ3 2022","FQ3 2022","Currency=USD","Period=FQ","BEST_FPERIOD_OVERRIDE=FQ","FILING_STATUS=MR","SCALING_FORMAT=MLN","Sort=A","Dates=H","DateFormat=P","Fill=—","Direction=H","UseDPDF=Y")</f>
        <v>7325</v>
      </c>
      <c r="S119" s="13">
        <f>_xll.BDH("GILD US Equity","ARDR_FV_ASSETS_REC_TOTAL","FQ4 2022","FQ4 2022","Currency=USD","Period=FQ","BEST_FPERIOD_OVERRIDE=FQ","FILING_STATUS=MR","SCALING_FORMAT=MLN","Sort=A","Dates=H","DateFormat=P","Fill=—","Direction=H","UseDPDF=Y")</f>
        <v>7601</v>
      </c>
      <c r="T119" s="13">
        <f>_xll.BDH("GILD US Equity","ARDR_FV_ASSETS_REC_TOTAL","FQ1 2023","FQ1 2023","Currency=USD","Period=FQ","BEST_FPERIOD_OVERRIDE=FQ","FILING_STATUS=MR","SCALING_FORMAT=MLN","Sort=A","Dates=H","DateFormat=P","Fill=—","Direction=H","UseDPDF=Y")</f>
        <v>6909</v>
      </c>
      <c r="U119" s="13">
        <f>_xll.BDH("GILD US Equity","ARDR_FV_ASSETS_REC_TOTAL","FQ2 2023","FQ2 2023","Currency=USD","Period=FQ","BEST_FPERIOD_OVERRIDE=FQ","FILING_STATUS=MR","SCALING_FORMAT=MLN","Sort=A","Dates=H","DateFormat=P","Fill=—","Direction=H","UseDPDF=Y")</f>
        <v>8094</v>
      </c>
      <c r="V119" s="13">
        <f>_xll.BDH("GILD US Equity","ARDR_FV_ASSETS_REC_TOTAL","FQ3 2023","FQ3 2023","Currency=USD","Period=FQ","BEST_FPERIOD_OVERRIDE=FQ","FILING_STATUS=MR","SCALING_FORMAT=MLN","Sort=A","Dates=H","DateFormat=P","Fill=—","Direction=H","UseDPDF=Y")</f>
        <v>8042</v>
      </c>
      <c r="W119" s="13">
        <f>_xll.BDH("GILD US Equity","ARDR_FV_ASSETS_REC_TOTAL","FQ4 2023","FQ4 2023","Currency=USD","Period=FQ","BEST_FPERIOD_OVERRIDE=FQ","FILING_STATUS=MR","SCALING_FORMAT=MLN","Sort=A","Dates=H","DateFormat=P","Fill=—","Direction=H","UseDPDF=Y")</f>
        <v>8640</v>
      </c>
      <c r="X119" s="13">
        <f>_xll.BDH("GILD US Equity","ARDR_FV_ASSETS_REC_TOTAL","FQ1 2024","FQ1 2024","Currency=USD","Period=FQ","BEST_FPERIOD_OVERRIDE=FQ","FILING_STATUS=MR","SCALING_FORMAT=MLN","Sort=A","Dates=H","DateFormat=P","Fill=—","Direction=H","UseDPDF=Y")</f>
        <v>3715</v>
      </c>
      <c r="Y119" s="13">
        <f>_xll.BDH("GILD US Equity","ARDR_FV_ASSETS_REC_TOTAL","FQ2 2024","FQ2 2024","Currency=USD","Period=FQ","BEST_FPERIOD_OVERRIDE=FQ","FILING_STATUS=MR","SCALING_FORMAT=MLN","Sort=A","Dates=H","DateFormat=P","Fill=—","Direction=H","UseDPDF=Y")</f>
        <v>3341</v>
      </c>
      <c r="Z119" s="13">
        <f>_xll.BDH("GILD US Equity","ARDR_FV_ASSETS_REC_TOTAL","FQ3 2024","FQ3 2024","Currency=USD","Period=FQ","BEST_FPERIOD_OVERRIDE=FQ","FILING_STATUS=MR","SCALING_FORMAT=MLN","Sort=A","Dates=H","DateFormat=P","Fill=—","Direction=H","UseDPDF=Y")</f>
        <v>5517</v>
      </c>
      <c r="AA119" s="13">
        <f>_xll.BDH("GILD US Equity","ARDR_FV_ASSETS_REC_TOTAL","FQ4 2024","FQ4 2024","Currency=USD","Period=FQ","BEST_FPERIOD_OVERRIDE=FQ","FILING_STATUS=MR","SCALING_FORMAT=MLN","Sort=A","Dates=H","DateFormat=P","Fill=—","Direction=H","UseDPDF=Y")</f>
        <v>10533</v>
      </c>
    </row>
    <row r="120" spans="1:27" x14ac:dyDescent="0.25">
      <c r="A120" s="10" t="s">
        <v>1097</v>
      </c>
      <c r="B120" s="10" t="s">
        <v>1098</v>
      </c>
      <c r="C120" s="13">
        <f>_xll.BDH("GILD US Equity","ARDR_FV_LIAB_REC_LEVEL_1","FQ4 2018","FQ4 2018","Currency=USD","Period=FQ","BEST_FPERIOD_OVERRIDE=FQ","FILING_STATUS=MR","SCALING_FORMAT=MLN","Sort=A","Dates=H","DateFormat=P","Fill=—","Direction=H","UseDPDF=Y")</f>
        <v>124</v>
      </c>
      <c r="D120" s="13">
        <f>_xll.BDH("GILD US Equity","ARDR_FV_LIAB_REC_LEVEL_1","FQ1 2019","FQ1 2019","Currency=USD","Period=FQ","BEST_FPERIOD_OVERRIDE=FQ","FILING_STATUS=MR","SCALING_FORMAT=MLN","Sort=A","Dates=H","DateFormat=P","Fill=—","Direction=H","UseDPDF=Y")</f>
        <v>150</v>
      </c>
      <c r="E120" s="13">
        <f>_xll.BDH("GILD US Equity","ARDR_FV_LIAB_REC_LEVEL_1","FQ2 2019","FQ2 2019","Currency=USD","Period=FQ","BEST_FPERIOD_OVERRIDE=FQ","FILING_STATUS=MR","SCALING_FORMAT=MLN","Sort=A","Dates=H","DateFormat=P","Fill=—","Direction=H","UseDPDF=Y")</f>
        <v>156</v>
      </c>
      <c r="F120" s="13">
        <f>_xll.BDH("GILD US Equity","ARDR_FV_LIAB_REC_LEVEL_1","FQ3 2019","FQ3 2019","Currency=USD","Period=FQ","BEST_FPERIOD_OVERRIDE=FQ","FILING_STATUS=MR","SCALING_FORMAT=MLN","Sort=A","Dates=H","DateFormat=P","Fill=—","Direction=H","UseDPDF=Y")</f>
        <v>159</v>
      </c>
      <c r="G120" s="13">
        <f>_xll.BDH("GILD US Equity","ARDR_FV_LIAB_REC_LEVEL_1","FQ4 2019","FQ4 2019","Currency=USD","Period=FQ","BEST_FPERIOD_OVERRIDE=FQ","FILING_STATUS=MR","SCALING_FORMAT=MLN","Sort=A","Dates=H","DateFormat=P","Fill=—","Direction=H","UseDPDF=Y")</f>
        <v>171</v>
      </c>
      <c r="H120" s="13">
        <f>_xll.BDH("GILD US Equity","ARDR_FV_LIAB_REC_LEVEL_1","FQ1 2020","FQ1 2020","Currency=USD","Period=FQ","BEST_FPERIOD_OVERRIDE=FQ","FILING_STATUS=MR","SCALING_FORMAT=MLN","Sort=A","Dates=H","DateFormat=P","Fill=—","Direction=H","UseDPDF=Y")</f>
        <v>156</v>
      </c>
      <c r="I120" s="13">
        <f>_xll.BDH("GILD US Equity","ARDR_FV_LIAB_REC_LEVEL_1","FQ2 2020","FQ2 2020","Currency=USD","Period=FQ","BEST_FPERIOD_OVERRIDE=FQ","FILING_STATUS=MR","SCALING_FORMAT=MLN","Sort=A","Dates=H","DateFormat=P","Fill=—","Direction=H","UseDPDF=Y")</f>
        <v>183</v>
      </c>
      <c r="J120" s="13">
        <f>_xll.BDH("GILD US Equity","ARDR_FV_LIAB_REC_LEVEL_1","FQ3 2020","FQ3 2020","Currency=USD","Period=FQ","BEST_FPERIOD_OVERRIDE=FQ","FILING_STATUS=MR","SCALING_FORMAT=MLN","Sort=A","Dates=H","DateFormat=P","Fill=—","Direction=H","UseDPDF=Y")</f>
        <v>200</v>
      </c>
      <c r="K120" s="13">
        <f>_xll.BDH("GILD US Equity","ARDR_FV_LIAB_REC_LEVEL_1","FQ4 2020","FQ4 2020","Currency=USD","Period=FQ","BEST_FPERIOD_OVERRIDE=FQ","FILING_STATUS=MR","SCALING_FORMAT=MLN","Sort=A","Dates=H","DateFormat=P","Fill=—","Direction=H","UseDPDF=Y")</f>
        <v>218</v>
      </c>
      <c r="L120" s="13">
        <f>_xll.BDH("GILD US Equity","ARDR_FV_LIAB_REC_LEVEL_1","FQ1 2021","FQ1 2021","Currency=USD","Period=FQ","BEST_FPERIOD_OVERRIDE=FQ","FILING_STATUS=MR","SCALING_FORMAT=MLN","Sort=A","Dates=H","DateFormat=P","Fill=—","Direction=H","UseDPDF=Y")</f>
        <v>235</v>
      </c>
      <c r="M120" s="13">
        <f>_xll.BDH("GILD US Equity","ARDR_FV_LIAB_REC_LEVEL_1","FQ2 2021","FQ2 2021","Currency=USD","Period=FQ","BEST_FPERIOD_OVERRIDE=FQ","FILING_STATUS=MR","SCALING_FORMAT=MLN","Sort=A","Dates=H","DateFormat=P","Fill=—","Direction=H","UseDPDF=Y")</f>
        <v>248</v>
      </c>
      <c r="N120" s="13">
        <f>_xll.BDH("GILD US Equity","ARDR_FV_LIAB_REC_LEVEL_1","FQ3 2021","FQ3 2021","Currency=USD","Period=FQ","BEST_FPERIOD_OVERRIDE=FQ","FILING_STATUS=MR","SCALING_FORMAT=MLN","Sort=A","Dates=H","DateFormat=P","Fill=—","Direction=H","UseDPDF=Y")</f>
        <v>249</v>
      </c>
      <c r="O120" s="13">
        <f>_xll.BDH("GILD US Equity","ARDR_FV_LIAB_REC_LEVEL_1","FQ4 2021","FQ4 2021","Currency=USD","Period=FQ","BEST_FPERIOD_OVERRIDE=FQ","FILING_STATUS=MR","SCALING_FORMAT=MLN","Sort=A","Dates=H","DateFormat=P","Fill=—","Direction=H","UseDPDF=Y")</f>
        <v>261</v>
      </c>
      <c r="P120" s="13">
        <f>_xll.BDH("GILD US Equity","ARDR_FV_LIAB_REC_LEVEL_1","FQ1 2022","FQ1 2022","Currency=USD","Period=FQ","BEST_FPERIOD_OVERRIDE=FQ","FILING_STATUS=MR","SCALING_FORMAT=MLN","Sort=A","Dates=H","DateFormat=P","Fill=—","Direction=H","UseDPDF=Y")</f>
        <v>253</v>
      </c>
      <c r="Q120" s="13">
        <f>_xll.BDH("GILD US Equity","ARDR_FV_LIAB_REC_LEVEL_1","FQ2 2022","FQ2 2022","Currency=USD","Period=FQ","BEST_FPERIOD_OVERRIDE=FQ","FILING_STATUS=MR","SCALING_FORMAT=MLN","Sort=A","Dates=H","DateFormat=P","Fill=—","Direction=H","UseDPDF=Y")</f>
        <v>215</v>
      </c>
      <c r="R120" s="13">
        <f>_xll.BDH("GILD US Equity","ARDR_FV_LIAB_REC_LEVEL_1","FQ3 2022","FQ3 2022","Currency=USD","Period=FQ","BEST_FPERIOD_OVERRIDE=FQ","FILING_STATUS=MR","SCALING_FORMAT=MLN","Sort=A","Dates=H","DateFormat=P","Fill=—","Direction=H","UseDPDF=Y")</f>
        <v>208</v>
      </c>
      <c r="S120" s="13">
        <f>_xll.BDH("GILD US Equity","ARDR_FV_LIAB_REC_LEVEL_1","FQ4 2022","FQ4 2022","Currency=USD","Period=FQ","BEST_FPERIOD_OVERRIDE=FQ","FILING_STATUS=MR","SCALING_FORMAT=MLN","Sort=A","Dates=H","DateFormat=P","Fill=—","Direction=H","UseDPDF=Y")</f>
        <v>220</v>
      </c>
      <c r="T120" s="13">
        <f>_xll.BDH("GILD US Equity","ARDR_FV_LIAB_REC_LEVEL_1","FQ1 2023","FQ1 2023","Currency=USD","Period=FQ","BEST_FPERIOD_OVERRIDE=FQ","FILING_STATUS=MR","SCALING_FORMAT=MLN","Sort=A","Dates=H","DateFormat=P","Fill=—","Direction=H","UseDPDF=Y")</f>
        <v>249</v>
      </c>
      <c r="U120" s="13">
        <f>_xll.BDH("GILD US Equity","ARDR_FV_LIAB_REC_LEVEL_1","FQ2 2023","FQ2 2023","Currency=USD","Period=FQ","BEST_FPERIOD_OVERRIDE=FQ","FILING_STATUS=MR","SCALING_FORMAT=MLN","Sort=A","Dates=H","DateFormat=P","Fill=—","Direction=H","UseDPDF=Y")</f>
        <v>267</v>
      </c>
      <c r="V120" s="13">
        <f>_xll.BDH("GILD US Equity","ARDR_FV_LIAB_REC_LEVEL_1","FQ3 2023","FQ3 2023","Currency=USD","Period=FQ","BEST_FPERIOD_OVERRIDE=FQ","FILING_STATUS=MR","SCALING_FORMAT=MLN","Sort=A","Dates=H","DateFormat=P","Fill=—","Direction=H","UseDPDF=Y")</f>
        <v>258</v>
      </c>
      <c r="W120" s="13">
        <f>_xll.BDH("GILD US Equity","ARDR_FV_LIAB_REC_LEVEL_1","FQ4 2023","FQ4 2023","Currency=USD","Period=FQ","BEST_FPERIOD_OVERRIDE=FQ","FILING_STATUS=MR","SCALING_FORMAT=MLN","Sort=A","Dates=H","DateFormat=P","Fill=—","Direction=H","UseDPDF=Y")</f>
        <v>283</v>
      </c>
      <c r="X120" s="13">
        <f>_xll.BDH("GILD US Equity","ARDR_FV_LIAB_REC_LEVEL_1","FQ1 2024","FQ1 2024","Currency=USD","Period=FQ","BEST_FPERIOD_OVERRIDE=FQ","FILING_STATUS=MR","SCALING_FORMAT=MLN","Sort=A","Dates=H","DateFormat=P","Fill=—","Direction=H","UseDPDF=Y")</f>
        <v>318</v>
      </c>
      <c r="Y120" s="13">
        <f>_xll.BDH("GILD US Equity","ARDR_FV_LIAB_REC_LEVEL_1","FQ2 2024","FQ2 2024","Currency=USD","Period=FQ","BEST_FPERIOD_OVERRIDE=FQ","FILING_STATUS=MR","SCALING_FORMAT=MLN","Sort=A","Dates=H","DateFormat=P","Fill=—","Direction=H","UseDPDF=Y")</f>
        <v>327</v>
      </c>
      <c r="Z120" s="13">
        <f>_xll.BDH("GILD US Equity","ARDR_FV_LIAB_REC_LEVEL_1","FQ3 2024","FQ3 2024","Currency=USD","Period=FQ","BEST_FPERIOD_OVERRIDE=FQ","FILING_STATUS=MR","SCALING_FORMAT=MLN","Sort=A","Dates=H","DateFormat=P","Fill=—","Direction=H","UseDPDF=Y")</f>
        <v>343</v>
      </c>
      <c r="AA120" s="13">
        <f>_xll.BDH("GILD US Equity","ARDR_FV_LIAB_REC_LEVEL_1","FQ4 2024","FQ4 2024","Currency=USD","Period=FQ","BEST_FPERIOD_OVERRIDE=FQ","FILING_STATUS=MR","SCALING_FORMAT=MLN","Sort=A","Dates=H","DateFormat=P","Fill=—","Direction=H","UseDPDF=Y")</f>
        <v>343</v>
      </c>
    </row>
    <row r="121" spans="1:27" x14ac:dyDescent="0.25">
      <c r="A121" s="10" t="s">
        <v>1099</v>
      </c>
      <c r="B121" s="10" t="s">
        <v>1100</v>
      </c>
      <c r="C121" s="13">
        <f>_xll.BDH("GILD US Equity","ARDR_FV_LIAB_REC_LEVEL_2","FQ4 2018","FQ4 2018","Currency=USD","Period=FQ","BEST_FPERIOD_OVERRIDE=FQ","FILING_STATUS=MR","SCALING_FORMAT=MLN","Sort=A","Dates=H","DateFormat=P","Fill=—","Direction=H","UseDPDF=Y")</f>
        <v>1</v>
      </c>
      <c r="D121" s="13">
        <f>_xll.BDH("GILD US Equity","ARDR_FV_LIAB_REC_LEVEL_2","FQ1 2019","FQ1 2019","Currency=USD","Period=FQ","BEST_FPERIOD_OVERRIDE=FQ","FILING_STATUS=MR","SCALING_FORMAT=MLN","Sort=A","Dates=H","DateFormat=P","Fill=—","Direction=H","UseDPDF=Y")</f>
        <v>2</v>
      </c>
      <c r="E121" s="13">
        <f>_xll.BDH("GILD US Equity","ARDR_FV_LIAB_REC_LEVEL_2","FQ2 2019","FQ2 2019","Currency=USD","Period=FQ","BEST_FPERIOD_OVERRIDE=FQ","FILING_STATUS=MR","SCALING_FORMAT=MLN","Sort=A","Dates=H","DateFormat=P","Fill=—","Direction=H","UseDPDF=Y")</f>
        <v>6</v>
      </c>
      <c r="F121" s="13">
        <f>_xll.BDH("GILD US Equity","ARDR_FV_LIAB_REC_LEVEL_2","FQ3 2019","FQ3 2019","Currency=USD","Period=FQ","BEST_FPERIOD_OVERRIDE=FQ","FILING_STATUS=MR","SCALING_FORMAT=MLN","Sort=A","Dates=H","DateFormat=P","Fill=—","Direction=H","UseDPDF=Y")</f>
        <v>1</v>
      </c>
      <c r="G121" s="13">
        <f>_xll.BDH("GILD US Equity","ARDR_FV_LIAB_REC_LEVEL_2","FQ4 2019","FQ4 2019","Currency=USD","Period=FQ","BEST_FPERIOD_OVERRIDE=FQ","FILING_STATUS=MR","SCALING_FORMAT=MLN","Sort=A","Dates=H","DateFormat=P","Fill=—","Direction=H","UseDPDF=Y")</f>
        <v>8</v>
      </c>
      <c r="H121" s="13">
        <f>_xll.BDH("GILD US Equity","ARDR_FV_LIAB_REC_LEVEL_2","FQ1 2020","FQ1 2020","Currency=USD","Period=FQ","BEST_FPERIOD_OVERRIDE=FQ","FILING_STATUS=MR","SCALING_FORMAT=MLN","Sort=A","Dates=H","DateFormat=P","Fill=—","Direction=H","UseDPDF=Y")</f>
        <v>5</v>
      </c>
      <c r="I121" s="13">
        <f>_xll.BDH("GILD US Equity","ARDR_FV_LIAB_REC_LEVEL_2","FQ2 2020","FQ2 2020","Currency=USD","Period=FQ","BEST_FPERIOD_OVERRIDE=FQ","FILING_STATUS=MR","SCALING_FORMAT=MLN","Sort=A","Dates=H","DateFormat=P","Fill=—","Direction=H","UseDPDF=Y")</f>
        <v>18</v>
      </c>
      <c r="J121" s="13">
        <f>_xll.BDH("GILD US Equity","ARDR_FV_LIAB_REC_LEVEL_2","FQ3 2020","FQ3 2020","Currency=USD","Period=FQ","BEST_FPERIOD_OVERRIDE=FQ","FILING_STATUS=MR","SCALING_FORMAT=MLN","Sort=A","Dates=H","DateFormat=P","Fill=—","Direction=H","UseDPDF=Y")</f>
        <v>50</v>
      </c>
      <c r="K121" s="13">
        <f>_xll.BDH("GILD US Equity","ARDR_FV_LIAB_REC_LEVEL_2","FQ4 2020","FQ4 2020","Currency=USD","Period=FQ","BEST_FPERIOD_OVERRIDE=FQ","FILING_STATUS=MR","SCALING_FORMAT=MLN","Sort=A","Dates=H","DateFormat=P","Fill=—","Direction=H","UseDPDF=Y")</f>
        <v>121</v>
      </c>
      <c r="L121" s="13">
        <f>_xll.BDH("GILD US Equity","ARDR_FV_LIAB_REC_LEVEL_2","FQ1 2021","FQ1 2021","Currency=USD","Period=FQ","BEST_FPERIOD_OVERRIDE=FQ","FILING_STATUS=MR","SCALING_FORMAT=MLN","Sort=A","Dates=H","DateFormat=P","Fill=—","Direction=H","UseDPDF=Y")</f>
        <v>41</v>
      </c>
      <c r="M121" s="13">
        <f>_xll.BDH("GILD US Equity","ARDR_FV_LIAB_REC_LEVEL_2","FQ2 2021","FQ2 2021","Currency=USD","Period=FQ","BEST_FPERIOD_OVERRIDE=FQ","FILING_STATUS=MR","SCALING_FORMAT=MLN","Sort=A","Dates=H","DateFormat=P","Fill=—","Direction=H","UseDPDF=Y")</f>
        <v>30</v>
      </c>
      <c r="N121" s="13">
        <f>_xll.BDH("GILD US Equity","ARDR_FV_LIAB_REC_LEVEL_2","FQ3 2021","FQ3 2021","Currency=USD","Period=FQ","BEST_FPERIOD_OVERRIDE=FQ","FILING_STATUS=MR","SCALING_FORMAT=MLN","Sort=A","Dates=H","DateFormat=P","Fill=—","Direction=H","UseDPDF=Y")</f>
        <v>8</v>
      </c>
      <c r="O121" s="13">
        <f>_xll.BDH("GILD US Equity","ARDR_FV_LIAB_REC_LEVEL_2","FQ4 2021","FQ4 2021","Currency=USD","Period=FQ","BEST_FPERIOD_OVERRIDE=FQ","FILING_STATUS=MR","SCALING_FORMAT=MLN","Sort=A","Dates=H","DateFormat=P","Fill=—","Direction=H","UseDPDF=Y")</f>
        <v>5</v>
      </c>
      <c r="P121" s="13">
        <f>_xll.BDH("GILD US Equity","ARDR_FV_LIAB_REC_LEVEL_2","FQ1 2022","FQ1 2022","Currency=USD","Period=FQ","BEST_FPERIOD_OVERRIDE=FQ","FILING_STATUS=MR","SCALING_FORMAT=MLN","Sort=A","Dates=H","DateFormat=P","Fill=—","Direction=H","UseDPDF=Y")</f>
        <v>11</v>
      </c>
      <c r="Q121" s="13">
        <f>_xll.BDH("GILD US Equity","ARDR_FV_LIAB_REC_LEVEL_2","FQ2 2022","FQ2 2022","Currency=USD","Period=FQ","BEST_FPERIOD_OVERRIDE=FQ","FILING_STATUS=MR","SCALING_FORMAT=MLN","Sort=A","Dates=H","DateFormat=P","Fill=—","Direction=H","UseDPDF=Y")</f>
        <v>3</v>
      </c>
      <c r="R121" s="13">
        <f>_xll.BDH("GILD US Equity","ARDR_FV_LIAB_REC_LEVEL_2","FQ3 2022","FQ3 2022","Currency=USD","Period=FQ","BEST_FPERIOD_OVERRIDE=FQ","FILING_STATUS=MR","SCALING_FORMAT=MLN","Sort=A","Dates=H","DateFormat=P","Fill=—","Direction=H","UseDPDF=Y")</f>
        <v>2</v>
      </c>
      <c r="S121" s="13">
        <f>_xll.BDH("GILD US Equity","ARDR_FV_LIAB_REC_LEVEL_2","FQ4 2022","FQ4 2022","Currency=USD","Period=FQ","BEST_FPERIOD_OVERRIDE=FQ","FILING_STATUS=MR","SCALING_FORMAT=MLN","Sort=A","Dates=H","DateFormat=P","Fill=—","Direction=H","UseDPDF=Y")</f>
        <v>42</v>
      </c>
      <c r="T121" s="13">
        <f>_xll.BDH("GILD US Equity","ARDR_FV_LIAB_REC_LEVEL_2","FQ1 2023","FQ1 2023","Currency=USD","Period=FQ","BEST_FPERIOD_OVERRIDE=FQ","FILING_STATUS=MR","SCALING_FORMAT=MLN","Sort=A","Dates=H","DateFormat=P","Fill=—","Direction=H","UseDPDF=Y")</f>
        <v>49</v>
      </c>
      <c r="U121" s="13">
        <f>_xll.BDH("GILD US Equity","ARDR_FV_LIAB_REC_LEVEL_2","FQ2 2023","FQ2 2023","Currency=USD","Period=FQ","BEST_FPERIOD_OVERRIDE=FQ","FILING_STATUS=MR","SCALING_FORMAT=MLN","Sort=A","Dates=H","DateFormat=P","Fill=—","Direction=H","UseDPDF=Y")</f>
        <v>36</v>
      </c>
      <c r="V121" s="13">
        <f>_xll.BDH("GILD US Equity","ARDR_FV_LIAB_REC_LEVEL_2","FQ3 2023","FQ3 2023","Currency=USD","Period=FQ","BEST_FPERIOD_OVERRIDE=FQ","FILING_STATUS=MR","SCALING_FORMAT=MLN","Sort=A","Dates=H","DateFormat=P","Fill=—","Direction=H","UseDPDF=Y")</f>
        <v>8</v>
      </c>
      <c r="W121" s="13">
        <f>_xll.BDH("GILD US Equity","ARDR_FV_LIAB_REC_LEVEL_2","FQ4 2023","FQ4 2023","Currency=USD","Period=FQ","BEST_FPERIOD_OVERRIDE=FQ","FILING_STATUS=MR","SCALING_FORMAT=MLN","Sort=A","Dates=H","DateFormat=P","Fill=—","Direction=H","UseDPDF=Y")</f>
        <v>59</v>
      </c>
      <c r="X121" s="13">
        <f>_xll.BDH("GILD US Equity","ARDR_FV_LIAB_REC_LEVEL_2","FQ1 2024","FQ1 2024","Currency=USD","Period=FQ","BEST_FPERIOD_OVERRIDE=FQ","FILING_STATUS=MR","SCALING_FORMAT=MLN","Sort=A","Dates=H","DateFormat=P","Fill=—","Direction=H","UseDPDF=Y")</f>
        <v>10</v>
      </c>
      <c r="Y121" s="13">
        <f>_xll.BDH("GILD US Equity","ARDR_FV_LIAB_REC_LEVEL_2","FQ2 2024","FQ2 2024","Currency=USD","Period=FQ","BEST_FPERIOD_OVERRIDE=FQ","FILING_STATUS=MR","SCALING_FORMAT=MLN","Sort=A","Dates=H","DateFormat=P","Fill=—","Direction=H","UseDPDF=Y")</f>
        <v>2</v>
      </c>
      <c r="Z121" s="13">
        <f>_xll.BDH("GILD US Equity","ARDR_FV_LIAB_REC_LEVEL_2","FQ3 2024","FQ3 2024","Currency=USD","Period=FQ","BEST_FPERIOD_OVERRIDE=FQ","FILING_STATUS=MR","SCALING_FORMAT=MLN","Sort=A","Dates=H","DateFormat=P","Fill=—","Direction=H","UseDPDF=Y")</f>
        <v>49</v>
      </c>
      <c r="AA121" s="13">
        <f>_xll.BDH("GILD US Equity","ARDR_FV_LIAB_REC_LEVEL_2","FQ4 2024","FQ4 2024","Currency=USD","Period=FQ","BEST_FPERIOD_OVERRIDE=FQ","FILING_STATUS=MR","SCALING_FORMAT=MLN","Sort=A","Dates=H","DateFormat=P","Fill=—","Direction=H","UseDPDF=Y")</f>
        <v>3</v>
      </c>
    </row>
    <row r="122" spans="1:27" x14ac:dyDescent="0.25">
      <c r="A122" s="10" t="s">
        <v>1101</v>
      </c>
      <c r="B122" s="10" t="s">
        <v>1102</v>
      </c>
      <c r="C122" s="13">
        <f>_xll.BDH("GILD US Equity","ARDR_FV_LIAB_REC_LEVEL_3","FQ4 2018","FQ4 2018","Currency=USD","Period=FQ","BEST_FPERIOD_OVERRIDE=FQ","FILING_STATUS=MR","SCALING_FORMAT=MLN","Sort=A","Dates=H","DateFormat=P","Fill=—","Direction=H","UseDPDF=Y")</f>
        <v>0</v>
      </c>
      <c r="D122" s="13">
        <f>_xll.BDH("GILD US Equity","ARDR_FV_LIAB_REC_LEVEL_3","FQ1 2019","FQ1 2019","Currency=USD","Period=FQ","BEST_FPERIOD_OVERRIDE=FQ","FILING_STATUS=MR","SCALING_FORMAT=MLN","Sort=A","Dates=H","DateFormat=P","Fill=—","Direction=H","UseDPDF=Y")</f>
        <v>0</v>
      </c>
      <c r="E122" s="13">
        <f>_xll.BDH("GILD US Equity","ARDR_FV_LIAB_REC_LEVEL_3","FQ2 2019","FQ2 2019","Currency=USD","Period=FQ","BEST_FPERIOD_OVERRIDE=FQ","FILING_STATUS=MR","SCALING_FORMAT=MLN","Sort=A","Dates=H","DateFormat=P","Fill=—","Direction=H","UseDPDF=Y")</f>
        <v>0</v>
      </c>
      <c r="F122" s="13">
        <f>_xll.BDH("GILD US Equity","ARDR_FV_LIAB_REC_LEVEL_3","FQ3 2019","FQ3 2019","Currency=USD","Period=FQ","BEST_FPERIOD_OVERRIDE=FQ","FILING_STATUS=MR","SCALING_FORMAT=MLN","Sort=A","Dates=H","DateFormat=P","Fill=—","Direction=H","UseDPDF=Y")</f>
        <v>0</v>
      </c>
      <c r="G122" s="13">
        <f>_xll.BDH("GILD US Equity","ARDR_FV_LIAB_REC_LEVEL_3","FQ4 2019","FQ4 2019","Currency=USD","Period=FQ","BEST_FPERIOD_OVERRIDE=FQ","FILING_STATUS=MR","SCALING_FORMAT=MLN","Sort=A","Dates=H","DateFormat=P","Fill=—","Direction=H","UseDPDF=Y")</f>
        <v>0</v>
      </c>
      <c r="H122" s="13">
        <f>_xll.BDH("GILD US Equity","ARDR_FV_LIAB_REC_LEVEL_3","FQ1 2020","FQ1 2020","Currency=USD","Period=FQ","BEST_FPERIOD_OVERRIDE=FQ","FILING_STATUS=MR","SCALING_FORMAT=MLN","Sort=A","Dates=H","DateFormat=P","Fill=—","Direction=H","UseDPDF=Y")</f>
        <v>0</v>
      </c>
      <c r="I122" s="13">
        <f>_xll.BDH("GILD US Equity","ARDR_FV_LIAB_REC_LEVEL_3","FQ2 2020","FQ2 2020","Currency=USD","Period=FQ","BEST_FPERIOD_OVERRIDE=FQ","FILING_STATUS=MR","SCALING_FORMAT=MLN","Sort=A","Dates=H","DateFormat=P","Fill=—","Direction=H","UseDPDF=Y")</f>
        <v>0</v>
      </c>
      <c r="J122" s="13">
        <f>_xll.BDH("GILD US Equity","ARDR_FV_LIAB_REC_LEVEL_3","FQ3 2020","FQ3 2020","Currency=USD","Period=FQ","BEST_FPERIOD_OVERRIDE=FQ","FILING_STATUS=MR","SCALING_FORMAT=MLN","Sort=A","Dates=H","DateFormat=P","Fill=—","Direction=H","UseDPDF=Y")</f>
        <v>0</v>
      </c>
      <c r="K122" s="13">
        <f>_xll.BDH("GILD US Equity","ARDR_FV_LIAB_REC_LEVEL_3","FQ4 2020","FQ4 2020","Currency=USD","Period=FQ","BEST_FPERIOD_OVERRIDE=FQ","FILING_STATUS=MR","SCALING_FORMAT=MLN","Sort=A","Dates=H","DateFormat=P","Fill=—","Direction=H","UseDPDF=Y")</f>
        <v>0</v>
      </c>
      <c r="L122" s="13">
        <f>_xll.BDH("GILD US Equity","ARDR_FV_LIAB_REC_LEVEL_3","FQ1 2021","FQ1 2021","Currency=USD","Period=FQ","BEST_FPERIOD_OVERRIDE=FQ","FILING_STATUS=MR","SCALING_FORMAT=MLN","Sort=A","Dates=H","DateFormat=P","Fill=—","Direction=H","UseDPDF=Y")</f>
        <v>341</v>
      </c>
      <c r="M122" s="13">
        <f>_xll.BDH("GILD US Equity","ARDR_FV_LIAB_REC_LEVEL_3","FQ2 2021","FQ2 2021","Currency=USD","Period=FQ","BEST_FPERIOD_OVERRIDE=FQ","FILING_STATUS=MR","SCALING_FORMAT=MLN","Sort=A","Dates=H","DateFormat=P","Fill=—","Direction=H","UseDPDF=Y")</f>
        <v>334</v>
      </c>
      <c r="N122" s="13">
        <f>_xll.BDH("GILD US Equity","ARDR_FV_LIAB_REC_LEVEL_3","FQ3 2021","FQ3 2021","Currency=USD","Period=FQ","BEST_FPERIOD_OVERRIDE=FQ","FILING_STATUS=MR","SCALING_FORMAT=MLN","Sort=A","Dates=H","DateFormat=P","Fill=—","Direction=H","UseDPDF=Y")</f>
        <v>328</v>
      </c>
      <c r="O122" s="13">
        <f>_xll.BDH("GILD US Equity","ARDR_FV_LIAB_REC_LEVEL_3","FQ4 2021","FQ4 2021","Currency=USD","Period=FQ","BEST_FPERIOD_OVERRIDE=FQ","FILING_STATUS=MR","SCALING_FORMAT=MLN","Sort=A","Dates=H","DateFormat=P","Fill=—","Direction=H","UseDPDF=Y")</f>
        <v>317</v>
      </c>
      <c r="P122" s="13">
        <f>_xll.BDH("GILD US Equity","ARDR_FV_LIAB_REC_LEVEL_3","FQ1 2022","FQ1 2022","Currency=USD","Period=FQ","BEST_FPERIOD_OVERRIDE=FQ","FILING_STATUS=MR","SCALING_FORMAT=MLN","Sort=A","Dates=H","DateFormat=P","Fill=—","Direction=H","UseDPDF=Y")</f>
        <v>322</v>
      </c>
      <c r="Q122" s="13">
        <f>_xll.BDH("GILD US Equity","ARDR_FV_LIAB_REC_LEVEL_3","FQ2 2022","FQ2 2022","Currency=USD","Period=FQ","BEST_FPERIOD_OVERRIDE=FQ","FILING_STATUS=MR","SCALING_FORMAT=MLN","Sort=A","Dates=H","DateFormat=P","Fill=—","Direction=H","UseDPDF=Y")</f>
        <v>306</v>
      </c>
      <c r="R122" s="13">
        <f>_xll.BDH("GILD US Equity","ARDR_FV_LIAB_REC_LEVEL_3","FQ3 2022","FQ3 2022","Currency=USD","Period=FQ","BEST_FPERIOD_OVERRIDE=FQ","FILING_STATUS=MR","SCALING_FORMAT=MLN","Sort=A","Dates=H","DateFormat=P","Fill=—","Direction=H","UseDPDF=Y")</f>
        <v>249</v>
      </c>
      <c r="S122" s="13">
        <f>_xll.BDH("GILD US Equity","ARDR_FV_LIAB_REC_LEVEL_3","FQ4 2022","FQ4 2022","Currency=USD","Period=FQ","BEST_FPERIOD_OVERRIDE=FQ","FILING_STATUS=MR","SCALING_FORMAT=MLN","Sort=A","Dates=H","DateFormat=P","Fill=—","Direction=H","UseDPDF=Y")</f>
        <v>275</v>
      </c>
      <c r="T122" s="13">
        <f>_xll.BDH("GILD US Equity","ARDR_FV_LIAB_REC_LEVEL_3","FQ1 2023","FQ1 2023","Currency=USD","Period=FQ","BEST_FPERIOD_OVERRIDE=FQ","FILING_STATUS=MR","SCALING_FORMAT=MLN","Sort=A","Dates=H","DateFormat=P","Fill=—","Direction=H","UseDPDF=Y")</f>
        <v>277</v>
      </c>
      <c r="U122" s="13">
        <f>_xll.BDH("GILD US Equity","ARDR_FV_LIAB_REC_LEVEL_3","FQ2 2023","FQ2 2023","Currency=USD","Period=FQ","BEST_FPERIOD_OVERRIDE=FQ","FILING_STATUS=MR","SCALING_FORMAT=MLN","Sort=A","Dates=H","DateFormat=P","Fill=—","Direction=H","UseDPDF=Y")</f>
        <v>288</v>
      </c>
      <c r="V122" s="13">
        <f>_xll.BDH("GILD US Equity","ARDR_FV_LIAB_REC_LEVEL_3","FQ3 2023","FQ3 2023","Currency=USD","Period=FQ","BEST_FPERIOD_OVERRIDE=FQ","FILING_STATUS=MR","SCALING_FORMAT=MLN","Sort=A","Dates=H","DateFormat=P","Fill=—","Direction=H","UseDPDF=Y")</f>
        <v>275</v>
      </c>
      <c r="W122" s="13">
        <f>_xll.BDH("GILD US Equity","ARDR_FV_LIAB_REC_LEVEL_3","FQ4 2023","FQ4 2023","Currency=USD","Period=FQ","BEST_FPERIOD_OVERRIDE=FQ","FILING_STATUS=MR","SCALING_FORMAT=MLN","Sort=A","Dates=H","DateFormat=P","Fill=—","Direction=H","UseDPDF=Y")</f>
        <v>228</v>
      </c>
      <c r="X122" s="13">
        <f>_xll.BDH("GILD US Equity","ARDR_FV_LIAB_REC_LEVEL_3","FQ1 2024","FQ1 2024","Currency=USD","Period=FQ","BEST_FPERIOD_OVERRIDE=FQ","FILING_STATUS=MR","SCALING_FORMAT=MLN","Sort=A","Dates=H","DateFormat=P","Fill=—","Direction=H","UseDPDF=Y")</f>
        <v>222</v>
      </c>
      <c r="Y122" s="13">
        <f>_xll.BDH("GILD US Equity","ARDR_FV_LIAB_REC_LEVEL_3","FQ2 2024","FQ2 2024","Currency=USD","Period=FQ","BEST_FPERIOD_OVERRIDE=FQ","FILING_STATUS=MR","SCALING_FORMAT=MLN","Sort=A","Dates=H","DateFormat=P","Fill=—","Direction=H","UseDPDF=Y")</f>
        <v>209</v>
      </c>
      <c r="Z122" s="13">
        <f>_xll.BDH("GILD US Equity","ARDR_FV_LIAB_REC_LEVEL_3","FQ3 2024","FQ3 2024","Currency=USD","Period=FQ","BEST_FPERIOD_OVERRIDE=FQ","FILING_STATUS=MR","SCALING_FORMAT=MLN","Sort=A","Dates=H","DateFormat=P","Fill=—","Direction=H","UseDPDF=Y")</f>
        <v>222</v>
      </c>
      <c r="AA122" s="13">
        <f>_xll.BDH("GILD US Equity","ARDR_FV_LIAB_REC_LEVEL_3","FQ4 2024","FQ4 2024","Currency=USD","Period=FQ","BEST_FPERIOD_OVERRIDE=FQ","FILING_STATUS=MR","SCALING_FORMAT=MLN","Sort=A","Dates=H","DateFormat=P","Fill=—","Direction=H","UseDPDF=Y")</f>
        <v>206</v>
      </c>
    </row>
    <row r="123" spans="1:27" x14ac:dyDescent="0.25">
      <c r="A123" s="10" t="s">
        <v>1103</v>
      </c>
      <c r="B123" s="10" t="s">
        <v>1104</v>
      </c>
      <c r="C123" s="13">
        <f>_xll.BDH("GILD US Equity","ARDR_FV_LIAB_REC_TOTAL","FQ4 2018","FQ4 2018","Currency=USD","Period=FQ","BEST_FPERIOD_OVERRIDE=FQ","FILING_STATUS=MR","SCALING_FORMAT=MLN","Sort=A","Dates=H","DateFormat=P","Fill=—","Direction=H","UseDPDF=Y")</f>
        <v>125</v>
      </c>
      <c r="D123" s="13">
        <f>_xll.BDH("GILD US Equity","ARDR_FV_LIAB_REC_TOTAL","FQ1 2019","FQ1 2019","Currency=USD","Period=FQ","BEST_FPERIOD_OVERRIDE=FQ","FILING_STATUS=MR","SCALING_FORMAT=MLN","Sort=A","Dates=H","DateFormat=P","Fill=—","Direction=H","UseDPDF=Y")</f>
        <v>152</v>
      </c>
      <c r="E123" s="13">
        <f>_xll.BDH("GILD US Equity","ARDR_FV_LIAB_REC_TOTAL","FQ2 2019","FQ2 2019","Currency=USD","Period=FQ","BEST_FPERIOD_OVERRIDE=FQ","FILING_STATUS=MR","SCALING_FORMAT=MLN","Sort=A","Dates=H","DateFormat=P","Fill=—","Direction=H","UseDPDF=Y")</f>
        <v>162</v>
      </c>
      <c r="F123" s="13">
        <f>_xll.BDH("GILD US Equity","ARDR_FV_LIAB_REC_TOTAL","FQ3 2019","FQ3 2019","Currency=USD","Period=FQ","BEST_FPERIOD_OVERRIDE=FQ","FILING_STATUS=MR","SCALING_FORMAT=MLN","Sort=A","Dates=H","DateFormat=P","Fill=—","Direction=H","UseDPDF=Y")</f>
        <v>160</v>
      </c>
      <c r="G123" s="13">
        <f>_xll.BDH("GILD US Equity","ARDR_FV_LIAB_REC_TOTAL","FQ4 2019","FQ4 2019","Currency=USD","Period=FQ","BEST_FPERIOD_OVERRIDE=FQ","FILING_STATUS=MR","SCALING_FORMAT=MLN","Sort=A","Dates=H","DateFormat=P","Fill=—","Direction=H","UseDPDF=Y")</f>
        <v>179</v>
      </c>
      <c r="H123" s="13">
        <f>_xll.BDH("GILD US Equity","ARDR_FV_LIAB_REC_TOTAL","FQ1 2020","FQ1 2020","Currency=USD","Period=FQ","BEST_FPERIOD_OVERRIDE=FQ","FILING_STATUS=MR","SCALING_FORMAT=MLN","Sort=A","Dates=H","DateFormat=P","Fill=—","Direction=H","UseDPDF=Y")</f>
        <v>161</v>
      </c>
      <c r="I123" s="13">
        <f>_xll.BDH("GILD US Equity","ARDR_FV_LIAB_REC_TOTAL","FQ2 2020","FQ2 2020","Currency=USD","Period=FQ","BEST_FPERIOD_OVERRIDE=FQ","FILING_STATUS=MR","SCALING_FORMAT=MLN","Sort=A","Dates=H","DateFormat=P","Fill=—","Direction=H","UseDPDF=Y")</f>
        <v>201</v>
      </c>
      <c r="J123" s="13">
        <f>_xll.BDH("GILD US Equity","ARDR_FV_LIAB_REC_TOTAL","FQ3 2020","FQ3 2020","Currency=USD","Period=FQ","BEST_FPERIOD_OVERRIDE=FQ","FILING_STATUS=MR","SCALING_FORMAT=MLN","Sort=A","Dates=H","DateFormat=P","Fill=—","Direction=H","UseDPDF=Y")</f>
        <v>250</v>
      </c>
      <c r="K123" s="13">
        <f>_xll.BDH("GILD US Equity","ARDR_FV_LIAB_REC_TOTAL","FQ4 2020","FQ4 2020","Currency=USD","Period=FQ","BEST_FPERIOD_OVERRIDE=FQ","FILING_STATUS=MR","SCALING_FORMAT=MLN","Sort=A","Dates=H","DateFormat=P","Fill=—","Direction=H","UseDPDF=Y")</f>
        <v>339</v>
      </c>
      <c r="L123" s="13">
        <f>_xll.BDH("GILD US Equity","ARDR_FV_LIAB_REC_TOTAL","FQ1 2021","FQ1 2021","Currency=USD","Period=FQ","BEST_FPERIOD_OVERRIDE=FQ","FILING_STATUS=MR","SCALING_FORMAT=MLN","Sort=A","Dates=H","DateFormat=P","Fill=—","Direction=H","UseDPDF=Y")</f>
        <v>617</v>
      </c>
      <c r="M123" s="13">
        <f>_xll.BDH("GILD US Equity","ARDR_FV_LIAB_REC_TOTAL","FQ2 2021","FQ2 2021","Currency=USD","Period=FQ","BEST_FPERIOD_OVERRIDE=FQ","FILING_STATUS=MR","SCALING_FORMAT=MLN","Sort=A","Dates=H","DateFormat=P","Fill=—","Direction=H","UseDPDF=Y")</f>
        <v>612</v>
      </c>
      <c r="N123" s="13">
        <f>_xll.BDH("GILD US Equity","ARDR_FV_LIAB_REC_TOTAL","FQ3 2021","FQ3 2021","Currency=USD","Period=FQ","BEST_FPERIOD_OVERRIDE=FQ","FILING_STATUS=MR","SCALING_FORMAT=MLN","Sort=A","Dates=H","DateFormat=P","Fill=—","Direction=H","UseDPDF=Y")</f>
        <v>585</v>
      </c>
      <c r="O123" s="13">
        <f>_xll.BDH("GILD US Equity","ARDR_FV_LIAB_REC_TOTAL","FQ4 2021","FQ4 2021","Currency=USD","Period=FQ","BEST_FPERIOD_OVERRIDE=FQ","FILING_STATUS=MR","SCALING_FORMAT=MLN","Sort=A","Dates=H","DateFormat=P","Fill=—","Direction=H","UseDPDF=Y")</f>
        <v>583</v>
      </c>
      <c r="P123" s="13">
        <f>_xll.BDH("GILD US Equity","ARDR_FV_LIAB_REC_TOTAL","FQ1 2022","FQ1 2022","Currency=USD","Period=FQ","BEST_FPERIOD_OVERRIDE=FQ","FILING_STATUS=MR","SCALING_FORMAT=MLN","Sort=A","Dates=H","DateFormat=P","Fill=—","Direction=H","UseDPDF=Y")</f>
        <v>586</v>
      </c>
      <c r="Q123" s="13">
        <f>_xll.BDH("GILD US Equity","ARDR_FV_LIAB_REC_TOTAL","FQ2 2022","FQ2 2022","Currency=USD","Period=FQ","BEST_FPERIOD_OVERRIDE=FQ","FILING_STATUS=MR","SCALING_FORMAT=MLN","Sort=A","Dates=H","DateFormat=P","Fill=—","Direction=H","UseDPDF=Y")</f>
        <v>524</v>
      </c>
      <c r="R123" s="13">
        <f>_xll.BDH("GILD US Equity","ARDR_FV_LIAB_REC_TOTAL","FQ3 2022","FQ3 2022","Currency=USD","Period=FQ","BEST_FPERIOD_OVERRIDE=FQ","FILING_STATUS=MR","SCALING_FORMAT=MLN","Sort=A","Dates=H","DateFormat=P","Fill=—","Direction=H","UseDPDF=Y")</f>
        <v>459</v>
      </c>
      <c r="S123" s="13">
        <f>_xll.BDH("GILD US Equity","ARDR_FV_LIAB_REC_TOTAL","FQ4 2022","FQ4 2022","Currency=USD","Period=FQ","BEST_FPERIOD_OVERRIDE=FQ","FILING_STATUS=MR","SCALING_FORMAT=MLN","Sort=A","Dates=H","DateFormat=P","Fill=—","Direction=H","UseDPDF=Y")</f>
        <v>537</v>
      </c>
      <c r="T123" s="13">
        <f>_xll.BDH("GILD US Equity","ARDR_FV_LIAB_REC_TOTAL","FQ1 2023","FQ1 2023","Currency=USD","Period=FQ","BEST_FPERIOD_OVERRIDE=FQ","FILING_STATUS=MR","SCALING_FORMAT=MLN","Sort=A","Dates=H","DateFormat=P","Fill=—","Direction=H","UseDPDF=Y")</f>
        <v>575</v>
      </c>
      <c r="U123" s="13">
        <f>_xll.BDH("GILD US Equity","ARDR_FV_LIAB_REC_TOTAL","FQ2 2023","FQ2 2023","Currency=USD","Period=FQ","BEST_FPERIOD_OVERRIDE=FQ","FILING_STATUS=MR","SCALING_FORMAT=MLN","Sort=A","Dates=H","DateFormat=P","Fill=—","Direction=H","UseDPDF=Y")</f>
        <v>591</v>
      </c>
      <c r="V123" s="13">
        <f>_xll.BDH("GILD US Equity","ARDR_FV_LIAB_REC_TOTAL","FQ3 2023","FQ3 2023","Currency=USD","Period=FQ","BEST_FPERIOD_OVERRIDE=FQ","FILING_STATUS=MR","SCALING_FORMAT=MLN","Sort=A","Dates=H","DateFormat=P","Fill=—","Direction=H","UseDPDF=Y")</f>
        <v>541</v>
      </c>
      <c r="W123" s="13">
        <f>_xll.BDH("GILD US Equity","ARDR_FV_LIAB_REC_TOTAL","FQ4 2023","FQ4 2023","Currency=USD","Period=FQ","BEST_FPERIOD_OVERRIDE=FQ","FILING_STATUS=MR","SCALING_FORMAT=MLN","Sort=A","Dates=H","DateFormat=P","Fill=—","Direction=H","UseDPDF=Y")</f>
        <v>570</v>
      </c>
      <c r="X123" s="13">
        <f>_xll.BDH("GILD US Equity","ARDR_FV_LIAB_REC_TOTAL","FQ1 2024","FQ1 2024","Currency=USD","Period=FQ","BEST_FPERIOD_OVERRIDE=FQ","FILING_STATUS=MR","SCALING_FORMAT=MLN","Sort=A","Dates=H","DateFormat=P","Fill=—","Direction=H","UseDPDF=Y")</f>
        <v>550</v>
      </c>
      <c r="Y123" s="13">
        <f>_xll.BDH("GILD US Equity","ARDR_FV_LIAB_REC_TOTAL","FQ2 2024","FQ2 2024","Currency=USD","Period=FQ","BEST_FPERIOD_OVERRIDE=FQ","FILING_STATUS=MR","SCALING_FORMAT=MLN","Sort=A","Dates=H","DateFormat=P","Fill=—","Direction=H","UseDPDF=Y")</f>
        <v>538</v>
      </c>
      <c r="Z123" s="13">
        <f>_xll.BDH("GILD US Equity","ARDR_FV_LIAB_REC_TOTAL","FQ3 2024","FQ3 2024","Currency=USD","Period=FQ","BEST_FPERIOD_OVERRIDE=FQ","FILING_STATUS=MR","SCALING_FORMAT=MLN","Sort=A","Dates=H","DateFormat=P","Fill=—","Direction=H","UseDPDF=Y")</f>
        <v>614</v>
      </c>
      <c r="AA123" s="13">
        <f>_xll.BDH("GILD US Equity","ARDR_FV_LIAB_REC_TOTAL","FQ4 2024","FQ4 2024","Currency=USD","Period=FQ","BEST_FPERIOD_OVERRIDE=FQ","FILING_STATUS=MR","SCALING_FORMAT=MLN","Sort=A","Dates=H","DateFormat=P","Fill=—","Direction=H","UseDPDF=Y")</f>
        <v>552</v>
      </c>
    </row>
    <row r="124" spans="1:27" x14ac:dyDescent="0.25">
      <c r="A124" s="10" t="s">
        <v>1105</v>
      </c>
      <c r="B124" s="10" t="s">
        <v>1106</v>
      </c>
      <c r="C124" s="13" t="str">
        <f>_xll.BDH("GILD US Equity","ARDR_OPTIONS_CANCELLED_FORFEITED","FQ4 2018","FQ4 2018","Currency=USD","Period=FQ","BEST_FPERIOD_OVERRIDE=FQ","FILING_STATUS=MR","SCALING_FORMAT=MLN","Sort=A","Dates=H","DateFormat=P","Fill=—","Direction=H","UseDPDF=Y")</f>
        <v>—</v>
      </c>
      <c r="D124" s="13" t="str">
        <f>_xll.BDH("GILD US Equity","ARDR_OPTIONS_CANCELLED_FORFEITED","FQ1 2019","FQ1 2019","Currency=USD","Period=FQ","BEST_FPERIOD_OVERRIDE=FQ","FILING_STATUS=MR","SCALING_FORMAT=MLN","Sort=A","Dates=H","DateFormat=P","Fill=—","Direction=H","UseDPDF=Y")</f>
        <v>—</v>
      </c>
      <c r="E124" s="13" t="str">
        <f>_xll.BDH("GILD US Equity","ARDR_OPTIONS_CANCELLED_FORFEITED","FQ2 2019","FQ2 2019","Currency=USD","Period=FQ","BEST_FPERIOD_OVERRIDE=FQ","FILING_STATUS=MR","SCALING_FORMAT=MLN","Sort=A","Dates=H","DateFormat=P","Fill=—","Direction=H","UseDPDF=Y")</f>
        <v>—</v>
      </c>
      <c r="F124" s="13" t="str">
        <f>_xll.BDH("GILD US Equity","ARDR_OPTIONS_CANCELLED_FORFEITED","FQ3 2019","FQ3 2019","Currency=USD","Period=FQ","BEST_FPERIOD_OVERRIDE=FQ","FILING_STATUS=MR","SCALING_FORMAT=MLN","Sort=A","Dates=H","DateFormat=P","Fill=—","Direction=H","UseDPDF=Y")</f>
        <v>—</v>
      </c>
      <c r="G124" s="13" t="str">
        <f>_xll.BDH("GILD US Equity","ARDR_OPTIONS_CANCELLED_FORFEITED","FQ4 2019","FQ4 2019","Currency=USD","Period=FQ","BEST_FPERIOD_OVERRIDE=FQ","FILING_STATUS=MR","SCALING_FORMAT=MLN","Sort=A","Dates=H","DateFormat=P","Fill=—","Direction=H","UseDPDF=Y")</f>
        <v>—</v>
      </c>
      <c r="H124" s="13" t="str">
        <f>_xll.BDH("GILD US Equity","ARDR_OPTIONS_CANCELLED_FORFEITED","FQ1 2020","FQ1 2020","Currency=USD","Period=FQ","BEST_FPERIOD_OVERRIDE=FQ","FILING_STATUS=MR","SCALING_FORMAT=MLN","Sort=A","Dates=H","DateFormat=P","Fill=—","Direction=H","UseDPDF=Y")</f>
        <v>—</v>
      </c>
      <c r="I124" s="13" t="str">
        <f>_xll.BDH("GILD US Equity","ARDR_OPTIONS_CANCELLED_FORFEITED","FQ2 2020","FQ2 2020","Currency=USD","Period=FQ","BEST_FPERIOD_OVERRIDE=FQ","FILING_STATUS=MR","SCALING_FORMAT=MLN","Sort=A","Dates=H","DateFormat=P","Fill=—","Direction=H","UseDPDF=Y")</f>
        <v>—</v>
      </c>
      <c r="J124" s="13" t="str">
        <f>_xll.BDH("GILD US Equity","ARDR_OPTIONS_CANCELLED_FORFEITED","FQ3 2020","FQ3 2020","Currency=USD","Period=FQ","BEST_FPERIOD_OVERRIDE=FQ","FILING_STATUS=MR","SCALING_FORMAT=MLN","Sort=A","Dates=H","DateFormat=P","Fill=—","Direction=H","UseDPDF=Y")</f>
        <v>—</v>
      </c>
      <c r="K124" s="13" t="str">
        <f>_xll.BDH("GILD US Equity","ARDR_OPTIONS_CANCELLED_FORFEITED","FQ4 2020","FQ4 2020","Currency=USD","Period=FQ","BEST_FPERIOD_OVERRIDE=FQ","FILING_STATUS=MR","SCALING_FORMAT=MLN","Sort=A","Dates=H","DateFormat=P","Fill=—","Direction=H","UseDPDF=Y")</f>
        <v>—</v>
      </c>
      <c r="L124" s="13" t="str">
        <f>_xll.BDH("GILD US Equity","ARDR_OPTIONS_CANCELLED_FORFEITED","FQ1 2021","FQ1 2021","Currency=USD","Period=FQ","BEST_FPERIOD_OVERRIDE=FQ","FILING_STATUS=MR","SCALING_FORMAT=MLN","Sort=A","Dates=H","DateFormat=P","Fill=—","Direction=H","UseDPDF=Y")</f>
        <v>—</v>
      </c>
      <c r="M124" s="13" t="str">
        <f>_xll.BDH("GILD US Equity","ARDR_OPTIONS_CANCELLED_FORFEITED","FQ2 2021","FQ2 2021","Currency=USD","Period=FQ","BEST_FPERIOD_OVERRIDE=FQ","FILING_STATUS=MR","SCALING_FORMAT=MLN","Sort=A","Dates=H","DateFormat=P","Fill=—","Direction=H","UseDPDF=Y")</f>
        <v>—</v>
      </c>
      <c r="N124" s="13" t="str">
        <f>_xll.BDH("GILD US Equity","ARDR_OPTIONS_CANCELLED_FORFEITED","FQ3 2021","FQ3 2021","Currency=USD","Period=FQ","BEST_FPERIOD_OVERRIDE=FQ","FILING_STATUS=MR","SCALING_FORMAT=MLN","Sort=A","Dates=H","DateFormat=P","Fill=—","Direction=H","UseDPDF=Y")</f>
        <v>—</v>
      </c>
      <c r="O124" s="13" t="str">
        <f>_xll.BDH("GILD US Equity","ARDR_OPTIONS_CANCELLED_FORFEITED","FQ4 2021","FQ4 2021","Currency=USD","Period=FQ","BEST_FPERIOD_OVERRIDE=FQ","FILING_STATUS=MR","SCALING_FORMAT=MLN","Sort=A","Dates=H","DateFormat=P","Fill=—","Direction=H","UseDPDF=Y")</f>
        <v>—</v>
      </c>
      <c r="P124" s="13" t="str">
        <f>_xll.BDH("GILD US Equity","ARDR_OPTIONS_CANCELLED_FORFEITED","FQ1 2022","FQ1 2022","Currency=USD","Period=FQ","BEST_FPERIOD_OVERRIDE=FQ","FILING_STATUS=MR","SCALING_FORMAT=MLN","Sort=A","Dates=H","DateFormat=P","Fill=—","Direction=H","UseDPDF=Y")</f>
        <v>—</v>
      </c>
      <c r="Q124" s="13" t="str">
        <f>_xll.BDH("GILD US Equity","ARDR_OPTIONS_CANCELLED_FORFEITED","FQ2 2022","FQ2 2022","Currency=USD","Period=FQ","BEST_FPERIOD_OVERRIDE=FQ","FILING_STATUS=MR","SCALING_FORMAT=MLN","Sort=A","Dates=H","DateFormat=P","Fill=—","Direction=H","UseDPDF=Y")</f>
        <v>—</v>
      </c>
      <c r="R124" s="13" t="str">
        <f>_xll.BDH("GILD US Equity","ARDR_OPTIONS_CANCELLED_FORFEITED","FQ3 2022","FQ3 2022","Currency=USD","Period=FQ","BEST_FPERIOD_OVERRIDE=FQ","FILING_STATUS=MR","SCALING_FORMAT=MLN","Sort=A","Dates=H","DateFormat=P","Fill=—","Direction=H","UseDPDF=Y")</f>
        <v>—</v>
      </c>
      <c r="S124" s="13" t="str">
        <f>_xll.BDH("GILD US Equity","ARDR_OPTIONS_CANCELLED_FORFEITED","FQ4 2022","FQ4 2022","Currency=USD","Period=FQ","BEST_FPERIOD_OVERRIDE=FQ","FILING_STATUS=MR","SCALING_FORMAT=MLN","Sort=A","Dates=H","DateFormat=P","Fill=—","Direction=H","UseDPDF=Y")</f>
        <v>—</v>
      </c>
      <c r="T124" s="13" t="str">
        <f>_xll.BDH("GILD US Equity","ARDR_OPTIONS_CANCELLED_FORFEITED","FQ1 2023","FQ1 2023","Currency=USD","Period=FQ","BEST_FPERIOD_OVERRIDE=FQ","FILING_STATUS=MR","SCALING_FORMAT=MLN","Sort=A","Dates=H","DateFormat=P","Fill=—","Direction=H","UseDPDF=Y")</f>
        <v>—</v>
      </c>
      <c r="U124" s="13" t="str">
        <f>_xll.BDH("GILD US Equity","ARDR_OPTIONS_CANCELLED_FORFEITED","FQ2 2023","FQ2 2023","Currency=USD","Period=FQ","BEST_FPERIOD_OVERRIDE=FQ","FILING_STATUS=MR","SCALING_FORMAT=MLN","Sort=A","Dates=H","DateFormat=P","Fill=—","Direction=H","UseDPDF=Y")</f>
        <v>—</v>
      </c>
      <c r="V124" s="13" t="str">
        <f>_xll.BDH("GILD US Equity","ARDR_OPTIONS_CANCELLED_FORFEITED","FQ3 2023","FQ3 2023","Currency=USD","Period=FQ","BEST_FPERIOD_OVERRIDE=FQ","FILING_STATUS=MR","SCALING_FORMAT=MLN","Sort=A","Dates=H","DateFormat=P","Fill=—","Direction=H","UseDPDF=Y")</f>
        <v>—</v>
      </c>
      <c r="W124" s="13">
        <f>_xll.BDH("GILD US Equity","ARDR_OPTIONS_CANCELLED_FORFEITED","FQ4 2023","FQ4 2023","Currency=USD","Period=FQ","BEST_FPERIOD_OVERRIDE=FQ","FILING_STATUS=MR","SCALING_FORMAT=MLN","Sort=A","Dates=H","DateFormat=P","Fill=—","Direction=H","UseDPDF=Y")</f>
        <v>0.5</v>
      </c>
      <c r="X124" s="13" t="str">
        <f>_xll.BDH("GILD US Equity","ARDR_OPTIONS_CANCELLED_FORFEITED","FQ1 2024","FQ1 2024","Currency=USD","Period=FQ","BEST_FPERIOD_OVERRIDE=FQ","FILING_STATUS=MR","SCALING_FORMAT=MLN","Sort=A","Dates=H","DateFormat=P","Fill=—","Direction=H","UseDPDF=Y")</f>
        <v>—</v>
      </c>
      <c r="Y124" s="13" t="str">
        <f>_xll.BDH("GILD US Equity","ARDR_OPTIONS_CANCELLED_FORFEITED","FQ2 2024","FQ2 2024","Currency=USD","Period=FQ","BEST_FPERIOD_OVERRIDE=FQ","FILING_STATUS=MR","SCALING_FORMAT=MLN","Sort=A","Dates=H","DateFormat=P","Fill=—","Direction=H","UseDPDF=Y")</f>
        <v>—</v>
      </c>
      <c r="Z124" s="13" t="str">
        <f>_xll.BDH("GILD US Equity","ARDR_OPTIONS_CANCELLED_FORFEITED","FQ3 2024","FQ3 2024","Currency=USD","Period=FQ","BEST_FPERIOD_OVERRIDE=FQ","FILING_STATUS=MR","SCALING_FORMAT=MLN","Sort=A","Dates=H","DateFormat=P","Fill=—","Direction=H","UseDPDF=Y")</f>
        <v>—</v>
      </c>
      <c r="AA124" s="13" t="str">
        <f>_xll.BDH("GILD US Equity","ARDR_OPTIONS_CANCELLED_FORFEITED","FQ4 2024","FQ4 2024","Currency=USD","Period=FQ","BEST_FPERIOD_OVERRIDE=FQ","FILING_STATUS=MR","SCALING_FORMAT=MLN","Sort=A","Dates=H","DateFormat=P","Fill=—","Direction=H","UseDPDF=Y")</f>
        <v>—</v>
      </c>
    </row>
    <row r="125" spans="1:27" x14ac:dyDescent="0.25">
      <c r="A125" s="10" t="s">
        <v>1107</v>
      </c>
      <c r="B125" s="10" t="s">
        <v>1108</v>
      </c>
      <c r="C125" s="13">
        <f>_xll.BDH("GILD US Equity","ARDR_CONTRACTUAL_OBLIG_YEAR_1","FQ4 2018","FQ4 2018","Currency=USD","Period=FQ","BEST_FPERIOD_OVERRIDE=FQ","FILING_STATUS=MR","SCALING_FORMAT=MLN","Sort=A","Dates=H","DateFormat=P","Fill=—","Direction=H","UseDPDF=Y")</f>
        <v>6388</v>
      </c>
      <c r="D125" s="13" t="str">
        <f>_xll.BDH("GILD US Equity","ARDR_CONTRACTUAL_OBLIG_YEAR_1","FQ1 2019","FQ1 2019","Currency=USD","Period=FQ","BEST_FPERIOD_OVERRIDE=FQ","FILING_STATUS=MR","SCALING_FORMAT=MLN","Sort=A","Dates=H","DateFormat=P","Fill=—","Direction=H","UseDPDF=Y")</f>
        <v>—</v>
      </c>
      <c r="E125" s="13" t="str">
        <f>_xll.BDH("GILD US Equity","ARDR_CONTRACTUAL_OBLIG_YEAR_1","FQ2 2019","FQ2 2019","Currency=USD","Period=FQ","BEST_FPERIOD_OVERRIDE=FQ","FILING_STATUS=MR","SCALING_FORMAT=MLN","Sort=A","Dates=H","DateFormat=P","Fill=—","Direction=H","UseDPDF=Y")</f>
        <v>—</v>
      </c>
      <c r="F125" s="13" t="str">
        <f>_xll.BDH("GILD US Equity","ARDR_CONTRACTUAL_OBLIG_YEAR_1","FQ3 2019","FQ3 2019","Currency=USD","Period=FQ","BEST_FPERIOD_OVERRIDE=FQ","FILING_STATUS=MR","SCALING_FORMAT=MLN","Sort=A","Dates=H","DateFormat=P","Fill=—","Direction=H","UseDPDF=Y")</f>
        <v>—</v>
      </c>
      <c r="G125" s="13">
        <f>_xll.BDH("GILD US Equity","ARDR_CONTRACTUAL_OBLIG_YEAR_1","FQ4 2019","FQ4 2019","Currency=USD","Period=FQ","BEST_FPERIOD_OVERRIDE=FQ","FILING_STATUS=MR","SCALING_FORMAT=MLN","Sort=A","Dates=H","DateFormat=P","Fill=—","Direction=H","UseDPDF=Y")</f>
        <v>5044</v>
      </c>
      <c r="H125" s="13" t="str">
        <f>_xll.BDH("GILD US Equity","ARDR_CONTRACTUAL_OBLIG_YEAR_1","FQ1 2020","FQ1 2020","Currency=USD","Period=FQ","BEST_FPERIOD_OVERRIDE=FQ","FILING_STATUS=MR","SCALING_FORMAT=MLN","Sort=A","Dates=H","DateFormat=P","Fill=—","Direction=H","UseDPDF=Y")</f>
        <v>—</v>
      </c>
      <c r="I125" s="13" t="str">
        <f>_xll.BDH("GILD US Equity","ARDR_CONTRACTUAL_OBLIG_YEAR_1","FQ2 2020","FQ2 2020","Currency=USD","Period=FQ","BEST_FPERIOD_OVERRIDE=FQ","FILING_STATUS=MR","SCALING_FORMAT=MLN","Sort=A","Dates=H","DateFormat=P","Fill=—","Direction=H","UseDPDF=Y")</f>
        <v>—</v>
      </c>
      <c r="J125" s="13" t="str">
        <f>_xll.BDH("GILD US Equity","ARDR_CONTRACTUAL_OBLIG_YEAR_1","FQ3 2020","FQ3 2020","Currency=USD","Period=FQ","BEST_FPERIOD_OVERRIDE=FQ","FILING_STATUS=MR","SCALING_FORMAT=MLN","Sort=A","Dates=H","DateFormat=P","Fill=—","Direction=H","UseDPDF=Y")</f>
        <v>—</v>
      </c>
      <c r="K125" s="13">
        <f>_xll.BDH("GILD US Equity","ARDR_CONTRACTUAL_OBLIG_YEAR_1","FQ4 2020","FQ4 2020","Currency=USD","Period=FQ","BEST_FPERIOD_OVERRIDE=FQ","FILING_STATUS=MR","SCALING_FORMAT=MLN","Sort=A","Dates=H","DateFormat=P","Fill=—","Direction=H","UseDPDF=Y")</f>
        <v>6606</v>
      </c>
      <c r="L125" s="13" t="str">
        <f>_xll.BDH("GILD US Equity","ARDR_CONTRACTUAL_OBLIG_YEAR_1","FQ1 2021","FQ1 2021","Currency=USD","Period=FQ","BEST_FPERIOD_OVERRIDE=FQ","FILING_STATUS=MR","SCALING_FORMAT=MLN","Sort=A","Dates=H","DateFormat=P","Fill=—","Direction=H","UseDPDF=Y")</f>
        <v>—</v>
      </c>
      <c r="M125" s="13" t="str">
        <f>_xll.BDH("GILD US Equity","ARDR_CONTRACTUAL_OBLIG_YEAR_1","FQ2 2021","FQ2 2021","Currency=USD","Period=FQ","BEST_FPERIOD_OVERRIDE=FQ","FILING_STATUS=MR","SCALING_FORMAT=MLN","Sort=A","Dates=H","DateFormat=P","Fill=—","Direction=H","UseDPDF=Y")</f>
        <v>—</v>
      </c>
      <c r="N125" s="13" t="str">
        <f>_xll.BDH("GILD US Equity","ARDR_CONTRACTUAL_OBLIG_YEAR_1","FQ3 2021","FQ3 2021","Currency=USD","Period=FQ","BEST_FPERIOD_OVERRIDE=FQ","FILING_STATUS=MR","SCALING_FORMAT=MLN","Sort=A","Dates=H","DateFormat=P","Fill=—","Direction=H","UseDPDF=Y")</f>
        <v>—</v>
      </c>
      <c r="O125" s="13" t="str">
        <f>_xll.BDH("GILD US Equity","ARDR_CONTRACTUAL_OBLIG_YEAR_1","FQ4 2021","FQ4 2021","Currency=USD","Period=FQ","BEST_FPERIOD_OVERRIDE=FQ","FILING_STATUS=MR","SCALING_FORMAT=MLN","Sort=A","Dates=H","DateFormat=P","Fill=—","Direction=H","UseDPDF=Y")</f>
        <v>—</v>
      </c>
      <c r="P125" s="13" t="str">
        <f>_xll.BDH("GILD US Equity","ARDR_CONTRACTUAL_OBLIG_YEAR_1","FQ1 2022","FQ1 2022","Currency=USD","Period=FQ","BEST_FPERIOD_OVERRIDE=FQ","FILING_STATUS=MR","SCALING_FORMAT=MLN","Sort=A","Dates=H","DateFormat=P","Fill=—","Direction=H","UseDPDF=Y")</f>
        <v>—</v>
      </c>
      <c r="Q125" s="13" t="str">
        <f>_xll.BDH("GILD US Equity","ARDR_CONTRACTUAL_OBLIG_YEAR_1","FQ2 2022","FQ2 2022","Currency=USD","Period=FQ","BEST_FPERIOD_OVERRIDE=FQ","FILING_STATUS=MR","SCALING_FORMAT=MLN","Sort=A","Dates=H","DateFormat=P","Fill=—","Direction=H","UseDPDF=Y")</f>
        <v>—</v>
      </c>
      <c r="R125" s="13" t="str">
        <f>_xll.BDH("GILD US Equity","ARDR_CONTRACTUAL_OBLIG_YEAR_1","FQ3 2022","FQ3 2022","Currency=USD","Period=FQ","BEST_FPERIOD_OVERRIDE=FQ","FILING_STATUS=MR","SCALING_FORMAT=MLN","Sort=A","Dates=H","DateFormat=P","Fill=—","Direction=H","UseDPDF=Y")</f>
        <v>—</v>
      </c>
      <c r="S125" s="13" t="str">
        <f>_xll.BDH("GILD US Equity","ARDR_CONTRACTUAL_OBLIG_YEAR_1","FQ4 2022","FQ4 2022","Currency=USD","Period=FQ","BEST_FPERIOD_OVERRIDE=FQ","FILING_STATUS=MR","SCALING_FORMAT=MLN","Sort=A","Dates=H","DateFormat=P","Fill=—","Direction=H","UseDPDF=Y")</f>
        <v>—</v>
      </c>
      <c r="T125" s="13" t="str">
        <f>_xll.BDH("GILD US Equity","ARDR_CONTRACTUAL_OBLIG_YEAR_1","FQ1 2023","FQ1 2023","Currency=USD","Period=FQ","BEST_FPERIOD_OVERRIDE=FQ","FILING_STATUS=MR","SCALING_FORMAT=MLN","Sort=A","Dates=H","DateFormat=P","Fill=—","Direction=H","UseDPDF=Y")</f>
        <v>—</v>
      </c>
      <c r="U125" s="13" t="str">
        <f>_xll.BDH("GILD US Equity","ARDR_CONTRACTUAL_OBLIG_YEAR_1","FQ2 2023","FQ2 2023","Currency=USD","Period=FQ","BEST_FPERIOD_OVERRIDE=FQ","FILING_STATUS=MR","SCALING_FORMAT=MLN","Sort=A","Dates=H","DateFormat=P","Fill=—","Direction=H","UseDPDF=Y")</f>
        <v>—</v>
      </c>
      <c r="V125" s="13" t="str">
        <f>_xll.BDH("GILD US Equity","ARDR_CONTRACTUAL_OBLIG_YEAR_1","FQ3 2023","FQ3 2023","Currency=USD","Period=FQ","BEST_FPERIOD_OVERRIDE=FQ","FILING_STATUS=MR","SCALING_FORMAT=MLN","Sort=A","Dates=H","DateFormat=P","Fill=—","Direction=H","UseDPDF=Y")</f>
        <v>—</v>
      </c>
      <c r="W125" s="13" t="str">
        <f>_xll.BDH("GILD US Equity","ARDR_CONTRACTUAL_OBLIG_YEAR_1","FQ4 2023","FQ4 2023","Currency=USD","Period=FQ","BEST_FPERIOD_OVERRIDE=FQ","FILING_STATUS=MR","SCALING_FORMAT=MLN","Sort=A","Dates=H","DateFormat=P","Fill=—","Direction=H","UseDPDF=Y")</f>
        <v>—</v>
      </c>
      <c r="X125" s="13" t="str">
        <f>_xll.BDH("GILD US Equity","ARDR_CONTRACTUAL_OBLIG_YEAR_1","FQ1 2024","FQ1 2024","Currency=USD","Period=FQ","BEST_FPERIOD_OVERRIDE=FQ","FILING_STATUS=MR","SCALING_FORMAT=MLN","Sort=A","Dates=H","DateFormat=P","Fill=—","Direction=H","UseDPDF=Y")</f>
        <v>—</v>
      </c>
      <c r="Y125" s="13" t="str">
        <f>_xll.BDH("GILD US Equity","ARDR_CONTRACTUAL_OBLIG_YEAR_1","FQ2 2024","FQ2 2024","Currency=USD","Period=FQ","BEST_FPERIOD_OVERRIDE=FQ","FILING_STATUS=MR","SCALING_FORMAT=MLN","Sort=A","Dates=H","DateFormat=P","Fill=—","Direction=H","UseDPDF=Y")</f>
        <v>—</v>
      </c>
      <c r="Z125" s="13" t="str">
        <f>_xll.BDH("GILD US Equity","ARDR_CONTRACTUAL_OBLIG_YEAR_1","FQ3 2024","FQ3 2024","Currency=USD","Period=FQ","BEST_FPERIOD_OVERRIDE=FQ","FILING_STATUS=MR","SCALING_FORMAT=MLN","Sort=A","Dates=H","DateFormat=P","Fill=—","Direction=H","UseDPDF=Y")</f>
        <v>—</v>
      </c>
      <c r="AA125" s="13" t="str">
        <f>_xll.BDH("GILD US Equity","ARDR_CONTRACTUAL_OBLIG_YEAR_1","FQ4 2024","FQ4 2024","Currency=USD","Period=FQ","BEST_FPERIOD_OVERRIDE=FQ","FILING_STATUS=MR","SCALING_FORMAT=MLN","Sort=A","Dates=H","DateFormat=P","Fill=—","Direction=H","UseDPDF=Y")</f>
        <v>—</v>
      </c>
    </row>
    <row r="126" spans="1:27" x14ac:dyDescent="0.25">
      <c r="A126" s="10" t="s">
        <v>1109</v>
      </c>
      <c r="B126" s="10" t="s">
        <v>1110</v>
      </c>
      <c r="C126" s="13">
        <f>_xll.BDH("GILD US Equity","ARDR_CONTRACTUAL_OBLIG_YEAR_2_3","FQ4 2018","FQ4 2018","Currency=USD","Period=FQ","BEST_FPERIOD_OVERRIDE=FQ","FILING_STATUS=MR","SCALING_FORMAT=MLN","Sort=A","Dates=H","DateFormat=P","Fill=—","Direction=H","UseDPDF=Y")</f>
        <v>8066</v>
      </c>
      <c r="D126" s="13" t="str">
        <f>_xll.BDH("GILD US Equity","ARDR_CONTRACTUAL_OBLIG_YEAR_2_3","FQ1 2019","FQ1 2019","Currency=USD","Period=FQ","BEST_FPERIOD_OVERRIDE=FQ","FILING_STATUS=MR","SCALING_FORMAT=MLN","Sort=A","Dates=H","DateFormat=P","Fill=—","Direction=H","UseDPDF=Y")</f>
        <v>—</v>
      </c>
      <c r="E126" s="13" t="str">
        <f>_xll.BDH("GILD US Equity","ARDR_CONTRACTUAL_OBLIG_YEAR_2_3","FQ2 2019","FQ2 2019","Currency=USD","Period=FQ","BEST_FPERIOD_OVERRIDE=FQ","FILING_STATUS=MR","SCALING_FORMAT=MLN","Sort=A","Dates=H","DateFormat=P","Fill=—","Direction=H","UseDPDF=Y")</f>
        <v>—</v>
      </c>
      <c r="F126" s="13" t="str">
        <f>_xll.BDH("GILD US Equity","ARDR_CONTRACTUAL_OBLIG_YEAR_2_3","FQ3 2019","FQ3 2019","Currency=USD","Period=FQ","BEST_FPERIOD_OVERRIDE=FQ","FILING_STATUS=MR","SCALING_FORMAT=MLN","Sort=A","Dates=H","DateFormat=P","Fill=—","Direction=H","UseDPDF=Y")</f>
        <v>—</v>
      </c>
      <c r="G126" s="13">
        <f>_xll.BDH("GILD US Equity","ARDR_CONTRACTUAL_OBLIG_YEAR_2_3","FQ4 2019","FQ4 2019","Currency=USD","Period=FQ","BEST_FPERIOD_OVERRIDE=FQ","FILING_STATUS=MR","SCALING_FORMAT=MLN","Sort=A","Dates=H","DateFormat=P","Fill=—","Direction=H","UseDPDF=Y")</f>
        <v>6860</v>
      </c>
      <c r="H126" s="13" t="str">
        <f>_xll.BDH("GILD US Equity","ARDR_CONTRACTUAL_OBLIG_YEAR_2_3","FQ1 2020","FQ1 2020","Currency=USD","Period=FQ","BEST_FPERIOD_OVERRIDE=FQ","FILING_STATUS=MR","SCALING_FORMAT=MLN","Sort=A","Dates=H","DateFormat=P","Fill=—","Direction=H","UseDPDF=Y")</f>
        <v>—</v>
      </c>
      <c r="I126" s="13" t="str">
        <f>_xll.BDH("GILD US Equity","ARDR_CONTRACTUAL_OBLIG_YEAR_2_3","FQ2 2020","FQ2 2020","Currency=USD","Period=FQ","BEST_FPERIOD_OVERRIDE=FQ","FILING_STATUS=MR","SCALING_FORMAT=MLN","Sort=A","Dates=H","DateFormat=P","Fill=—","Direction=H","UseDPDF=Y")</f>
        <v>—</v>
      </c>
      <c r="J126" s="13" t="str">
        <f>_xll.BDH("GILD US Equity","ARDR_CONTRACTUAL_OBLIG_YEAR_2_3","FQ3 2020","FQ3 2020","Currency=USD","Period=FQ","BEST_FPERIOD_OVERRIDE=FQ","FILING_STATUS=MR","SCALING_FORMAT=MLN","Sort=A","Dates=H","DateFormat=P","Fill=—","Direction=H","UseDPDF=Y")</f>
        <v>—</v>
      </c>
      <c r="K126" s="13">
        <f>_xll.BDH("GILD US Equity","ARDR_CONTRACTUAL_OBLIG_YEAR_2_3","FQ4 2020","FQ4 2020","Currency=USD","Period=FQ","BEST_FPERIOD_OVERRIDE=FQ","FILING_STATUS=MR","SCALING_FORMAT=MLN","Sort=A","Dates=H","DateFormat=P","Fill=—","Direction=H","UseDPDF=Y")</f>
        <v>10418</v>
      </c>
      <c r="L126" s="13" t="str">
        <f>_xll.BDH("GILD US Equity","ARDR_CONTRACTUAL_OBLIG_YEAR_2_3","FQ1 2021","FQ1 2021","Currency=USD","Period=FQ","BEST_FPERIOD_OVERRIDE=FQ","FILING_STATUS=MR","SCALING_FORMAT=MLN","Sort=A","Dates=H","DateFormat=P","Fill=—","Direction=H","UseDPDF=Y")</f>
        <v>—</v>
      </c>
      <c r="M126" s="13" t="str">
        <f>_xll.BDH("GILD US Equity","ARDR_CONTRACTUAL_OBLIG_YEAR_2_3","FQ2 2021","FQ2 2021","Currency=USD","Period=FQ","BEST_FPERIOD_OVERRIDE=FQ","FILING_STATUS=MR","SCALING_FORMAT=MLN","Sort=A","Dates=H","DateFormat=P","Fill=—","Direction=H","UseDPDF=Y")</f>
        <v>—</v>
      </c>
      <c r="N126" s="13" t="str">
        <f>_xll.BDH("GILD US Equity","ARDR_CONTRACTUAL_OBLIG_YEAR_2_3","FQ3 2021","FQ3 2021","Currency=USD","Period=FQ","BEST_FPERIOD_OVERRIDE=FQ","FILING_STATUS=MR","SCALING_FORMAT=MLN","Sort=A","Dates=H","DateFormat=P","Fill=—","Direction=H","UseDPDF=Y")</f>
        <v>—</v>
      </c>
      <c r="O126" s="13" t="str">
        <f>_xll.BDH("GILD US Equity","ARDR_CONTRACTUAL_OBLIG_YEAR_2_3","FQ4 2021","FQ4 2021","Currency=USD","Period=FQ","BEST_FPERIOD_OVERRIDE=FQ","FILING_STATUS=MR","SCALING_FORMAT=MLN","Sort=A","Dates=H","DateFormat=P","Fill=—","Direction=H","UseDPDF=Y")</f>
        <v>—</v>
      </c>
      <c r="P126" s="13" t="str">
        <f>_xll.BDH("GILD US Equity","ARDR_CONTRACTUAL_OBLIG_YEAR_2_3","FQ1 2022","FQ1 2022","Currency=USD","Period=FQ","BEST_FPERIOD_OVERRIDE=FQ","FILING_STATUS=MR","SCALING_FORMAT=MLN","Sort=A","Dates=H","DateFormat=P","Fill=—","Direction=H","UseDPDF=Y")</f>
        <v>—</v>
      </c>
      <c r="Q126" s="13" t="str">
        <f>_xll.BDH("GILD US Equity","ARDR_CONTRACTUAL_OBLIG_YEAR_2_3","FQ2 2022","FQ2 2022","Currency=USD","Period=FQ","BEST_FPERIOD_OVERRIDE=FQ","FILING_STATUS=MR","SCALING_FORMAT=MLN","Sort=A","Dates=H","DateFormat=P","Fill=—","Direction=H","UseDPDF=Y")</f>
        <v>—</v>
      </c>
      <c r="R126" s="13" t="str">
        <f>_xll.BDH("GILD US Equity","ARDR_CONTRACTUAL_OBLIG_YEAR_2_3","FQ3 2022","FQ3 2022","Currency=USD","Period=FQ","BEST_FPERIOD_OVERRIDE=FQ","FILING_STATUS=MR","SCALING_FORMAT=MLN","Sort=A","Dates=H","DateFormat=P","Fill=—","Direction=H","UseDPDF=Y")</f>
        <v>—</v>
      </c>
      <c r="S126" s="13" t="str">
        <f>_xll.BDH("GILD US Equity","ARDR_CONTRACTUAL_OBLIG_YEAR_2_3","FQ4 2022","FQ4 2022","Currency=USD","Period=FQ","BEST_FPERIOD_OVERRIDE=FQ","FILING_STATUS=MR","SCALING_FORMAT=MLN","Sort=A","Dates=H","DateFormat=P","Fill=—","Direction=H","UseDPDF=Y")</f>
        <v>—</v>
      </c>
      <c r="T126" s="13" t="str">
        <f>_xll.BDH("GILD US Equity","ARDR_CONTRACTUAL_OBLIG_YEAR_2_3","FQ1 2023","FQ1 2023","Currency=USD","Period=FQ","BEST_FPERIOD_OVERRIDE=FQ","FILING_STATUS=MR","SCALING_FORMAT=MLN","Sort=A","Dates=H","DateFormat=P","Fill=—","Direction=H","UseDPDF=Y")</f>
        <v>—</v>
      </c>
      <c r="U126" s="13" t="str">
        <f>_xll.BDH("GILD US Equity","ARDR_CONTRACTUAL_OBLIG_YEAR_2_3","FQ2 2023","FQ2 2023","Currency=USD","Period=FQ","BEST_FPERIOD_OVERRIDE=FQ","FILING_STATUS=MR","SCALING_FORMAT=MLN","Sort=A","Dates=H","DateFormat=P","Fill=—","Direction=H","UseDPDF=Y")</f>
        <v>—</v>
      </c>
      <c r="V126" s="13" t="str">
        <f>_xll.BDH("GILD US Equity","ARDR_CONTRACTUAL_OBLIG_YEAR_2_3","FQ3 2023","FQ3 2023","Currency=USD","Period=FQ","BEST_FPERIOD_OVERRIDE=FQ","FILING_STATUS=MR","SCALING_FORMAT=MLN","Sort=A","Dates=H","DateFormat=P","Fill=—","Direction=H","UseDPDF=Y")</f>
        <v>—</v>
      </c>
      <c r="W126" s="13" t="str">
        <f>_xll.BDH("GILD US Equity","ARDR_CONTRACTUAL_OBLIG_YEAR_2_3","FQ4 2023","FQ4 2023","Currency=USD","Period=FQ","BEST_FPERIOD_OVERRIDE=FQ","FILING_STATUS=MR","SCALING_FORMAT=MLN","Sort=A","Dates=H","DateFormat=P","Fill=—","Direction=H","UseDPDF=Y")</f>
        <v>—</v>
      </c>
      <c r="X126" s="13" t="str">
        <f>_xll.BDH("GILD US Equity","ARDR_CONTRACTUAL_OBLIG_YEAR_2_3","FQ1 2024","FQ1 2024","Currency=USD","Period=FQ","BEST_FPERIOD_OVERRIDE=FQ","FILING_STATUS=MR","SCALING_FORMAT=MLN","Sort=A","Dates=H","DateFormat=P","Fill=—","Direction=H","UseDPDF=Y")</f>
        <v>—</v>
      </c>
      <c r="Y126" s="13" t="str">
        <f>_xll.BDH("GILD US Equity","ARDR_CONTRACTUAL_OBLIG_YEAR_2_3","FQ2 2024","FQ2 2024","Currency=USD","Period=FQ","BEST_FPERIOD_OVERRIDE=FQ","FILING_STATUS=MR","SCALING_FORMAT=MLN","Sort=A","Dates=H","DateFormat=P","Fill=—","Direction=H","UseDPDF=Y")</f>
        <v>—</v>
      </c>
      <c r="Z126" s="13" t="str">
        <f>_xll.BDH("GILD US Equity","ARDR_CONTRACTUAL_OBLIG_YEAR_2_3","FQ3 2024","FQ3 2024","Currency=USD","Period=FQ","BEST_FPERIOD_OVERRIDE=FQ","FILING_STATUS=MR","SCALING_FORMAT=MLN","Sort=A","Dates=H","DateFormat=P","Fill=—","Direction=H","UseDPDF=Y")</f>
        <v>—</v>
      </c>
      <c r="AA126" s="13" t="str">
        <f>_xll.BDH("GILD US Equity","ARDR_CONTRACTUAL_OBLIG_YEAR_2_3","FQ4 2024","FQ4 2024","Currency=USD","Period=FQ","BEST_FPERIOD_OVERRIDE=FQ","FILING_STATUS=MR","SCALING_FORMAT=MLN","Sort=A","Dates=H","DateFormat=P","Fill=—","Direction=H","UseDPDF=Y")</f>
        <v>—</v>
      </c>
    </row>
    <row r="127" spans="1:27" x14ac:dyDescent="0.25">
      <c r="A127" s="10" t="s">
        <v>1111</v>
      </c>
      <c r="B127" s="10" t="s">
        <v>1112</v>
      </c>
      <c r="C127" s="13">
        <f>_xll.BDH("GILD US Equity","ARDR_CONTRACTUAL_OBLIG_YEAR_4_5","FQ4 2018","FQ4 2018","Currency=USD","Period=FQ","BEST_FPERIOD_OVERRIDE=FQ","FILING_STATUS=MR","SCALING_FORMAT=MLN","Sort=A","Dates=H","DateFormat=P","Fill=—","Direction=H","UseDPDF=Y")</f>
        <v>5551</v>
      </c>
      <c r="D127" s="13" t="str">
        <f>_xll.BDH("GILD US Equity","ARDR_CONTRACTUAL_OBLIG_YEAR_4_5","FQ1 2019","FQ1 2019","Currency=USD","Period=FQ","BEST_FPERIOD_OVERRIDE=FQ","FILING_STATUS=MR","SCALING_FORMAT=MLN","Sort=A","Dates=H","DateFormat=P","Fill=—","Direction=H","UseDPDF=Y")</f>
        <v>—</v>
      </c>
      <c r="E127" s="13" t="str">
        <f>_xll.BDH("GILD US Equity","ARDR_CONTRACTUAL_OBLIG_YEAR_4_5","FQ2 2019","FQ2 2019","Currency=USD","Period=FQ","BEST_FPERIOD_OVERRIDE=FQ","FILING_STATUS=MR","SCALING_FORMAT=MLN","Sort=A","Dates=H","DateFormat=P","Fill=—","Direction=H","UseDPDF=Y")</f>
        <v>—</v>
      </c>
      <c r="F127" s="13" t="str">
        <f>_xll.BDH("GILD US Equity","ARDR_CONTRACTUAL_OBLIG_YEAR_4_5","FQ3 2019","FQ3 2019","Currency=USD","Period=FQ","BEST_FPERIOD_OVERRIDE=FQ","FILING_STATUS=MR","SCALING_FORMAT=MLN","Sort=A","Dates=H","DateFormat=P","Fill=—","Direction=H","UseDPDF=Y")</f>
        <v>—</v>
      </c>
      <c r="G127" s="13">
        <f>_xll.BDH("GILD US Equity","ARDR_CONTRACTUAL_OBLIG_YEAR_4_5","FQ4 2019","FQ4 2019","Currency=USD","Period=FQ","BEST_FPERIOD_OVERRIDE=FQ","FILING_STATUS=MR","SCALING_FORMAT=MLN","Sort=A","Dates=H","DateFormat=P","Fill=—","Direction=H","UseDPDF=Y")</f>
        <v>6301</v>
      </c>
      <c r="H127" s="13" t="str">
        <f>_xll.BDH("GILD US Equity","ARDR_CONTRACTUAL_OBLIG_YEAR_4_5","FQ1 2020","FQ1 2020","Currency=USD","Period=FQ","BEST_FPERIOD_OVERRIDE=FQ","FILING_STATUS=MR","SCALING_FORMAT=MLN","Sort=A","Dates=H","DateFormat=P","Fill=—","Direction=H","UseDPDF=Y")</f>
        <v>—</v>
      </c>
      <c r="I127" s="13" t="str">
        <f>_xll.BDH("GILD US Equity","ARDR_CONTRACTUAL_OBLIG_YEAR_4_5","FQ2 2020","FQ2 2020","Currency=USD","Period=FQ","BEST_FPERIOD_OVERRIDE=FQ","FILING_STATUS=MR","SCALING_FORMAT=MLN","Sort=A","Dates=H","DateFormat=P","Fill=—","Direction=H","UseDPDF=Y")</f>
        <v>—</v>
      </c>
      <c r="J127" s="13" t="str">
        <f>_xll.BDH("GILD US Equity","ARDR_CONTRACTUAL_OBLIG_YEAR_4_5","FQ3 2020","FQ3 2020","Currency=USD","Period=FQ","BEST_FPERIOD_OVERRIDE=FQ","FILING_STATUS=MR","SCALING_FORMAT=MLN","Sort=A","Dates=H","DateFormat=P","Fill=—","Direction=H","UseDPDF=Y")</f>
        <v>—</v>
      </c>
      <c r="K127" s="13">
        <f>_xll.BDH("GILD US Equity","ARDR_CONTRACTUAL_OBLIG_YEAR_4_5","FQ4 2020","FQ4 2020","Currency=USD","Period=FQ","BEST_FPERIOD_OVERRIDE=FQ","FILING_STATUS=MR","SCALING_FORMAT=MLN","Sort=A","Dates=H","DateFormat=P","Fill=—","Direction=H","UseDPDF=Y")</f>
        <v>8233</v>
      </c>
      <c r="L127" s="13" t="str">
        <f>_xll.BDH("GILD US Equity","ARDR_CONTRACTUAL_OBLIG_YEAR_4_5","FQ1 2021","FQ1 2021","Currency=USD","Period=FQ","BEST_FPERIOD_OVERRIDE=FQ","FILING_STATUS=MR","SCALING_FORMAT=MLN","Sort=A","Dates=H","DateFormat=P","Fill=—","Direction=H","UseDPDF=Y")</f>
        <v>—</v>
      </c>
      <c r="M127" s="13" t="str">
        <f>_xll.BDH("GILD US Equity","ARDR_CONTRACTUAL_OBLIG_YEAR_4_5","FQ2 2021","FQ2 2021","Currency=USD","Period=FQ","BEST_FPERIOD_OVERRIDE=FQ","FILING_STATUS=MR","SCALING_FORMAT=MLN","Sort=A","Dates=H","DateFormat=P","Fill=—","Direction=H","UseDPDF=Y")</f>
        <v>—</v>
      </c>
      <c r="N127" s="13" t="str">
        <f>_xll.BDH("GILD US Equity","ARDR_CONTRACTUAL_OBLIG_YEAR_4_5","FQ3 2021","FQ3 2021","Currency=USD","Period=FQ","BEST_FPERIOD_OVERRIDE=FQ","FILING_STATUS=MR","SCALING_FORMAT=MLN","Sort=A","Dates=H","DateFormat=P","Fill=—","Direction=H","UseDPDF=Y")</f>
        <v>—</v>
      </c>
      <c r="O127" s="13" t="str">
        <f>_xll.BDH("GILD US Equity","ARDR_CONTRACTUAL_OBLIG_YEAR_4_5","FQ4 2021","FQ4 2021","Currency=USD","Period=FQ","BEST_FPERIOD_OVERRIDE=FQ","FILING_STATUS=MR","SCALING_FORMAT=MLN","Sort=A","Dates=H","DateFormat=P","Fill=—","Direction=H","UseDPDF=Y")</f>
        <v>—</v>
      </c>
      <c r="P127" s="13" t="str">
        <f>_xll.BDH("GILD US Equity","ARDR_CONTRACTUAL_OBLIG_YEAR_4_5","FQ1 2022","FQ1 2022","Currency=USD","Period=FQ","BEST_FPERIOD_OVERRIDE=FQ","FILING_STATUS=MR","SCALING_FORMAT=MLN","Sort=A","Dates=H","DateFormat=P","Fill=—","Direction=H","UseDPDF=Y")</f>
        <v>—</v>
      </c>
      <c r="Q127" s="13" t="str">
        <f>_xll.BDH("GILD US Equity","ARDR_CONTRACTUAL_OBLIG_YEAR_4_5","FQ2 2022","FQ2 2022","Currency=USD","Period=FQ","BEST_FPERIOD_OVERRIDE=FQ","FILING_STATUS=MR","SCALING_FORMAT=MLN","Sort=A","Dates=H","DateFormat=P","Fill=—","Direction=H","UseDPDF=Y")</f>
        <v>—</v>
      </c>
      <c r="R127" s="13" t="str">
        <f>_xll.BDH("GILD US Equity","ARDR_CONTRACTUAL_OBLIG_YEAR_4_5","FQ3 2022","FQ3 2022","Currency=USD","Period=FQ","BEST_FPERIOD_OVERRIDE=FQ","FILING_STATUS=MR","SCALING_FORMAT=MLN","Sort=A","Dates=H","DateFormat=P","Fill=—","Direction=H","UseDPDF=Y")</f>
        <v>—</v>
      </c>
      <c r="S127" s="13" t="str">
        <f>_xll.BDH("GILD US Equity","ARDR_CONTRACTUAL_OBLIG_YEAR_4_5","FQ4 2022","FQ4 2022","Currency=USD","Period=FQ","BEST_FPERIOD_OVERRIDE=FQ","FILING_STATUS=MR","SCALING_FORMAT=MLN","Sort=A","Dates=H","DateFormat=P","Fill=—","Direction=H","UseDPDF=Y")</f>
        <v>—</v>
      </c>
      <c r="T127" s="13" t="str">
        <f>_xll.BDH("GILD US Equity","ARDR_CONTRACTUAL_OBLIG_YEAR_4_5","FQ1 2023","FQ1 2023","Currency=USD","Period=FQ","BEST_FPERIOD_OVERRIDE=FQ","FILING_STATUS=MR","SCALING_FORMAT=MLN","Sort=A","Dates=H","DateFormat=P","Fill=—","Direction=H","UseDPDF=Y")</f>
        <v>—</v>
      </c>
      <c r="U127" s="13" t="str">
        <f>_xll.BDH("GILD US Equity","ARDR_CONTRACTUAL_OBLIG_YEAR_4_5","FQ2 2023","FQ2 2023","Currency=USD","Period=FQ","BEST_FPERIOD_OVERRIDE=FQ","FILING_STATUS=MR","SCALING_FORMAT=MLN","Sort=A","Dates=H","DateFormat=P","Fill=—","Direction=H","UseDPDF=Y")</f>
        <v>—</v>
      </c>
      <c r="V127" s="13" t="str">
        <f>_xll.BDH("GILD US Equity","ARDR_CONTRACTUAL_OBLIG_YEAR_4_5","FQ3 2023","FQ3 2023","Currency=USD","Period=FQ","BEST_FPERIOD_OVERRIDE=FQ","FILING_STATUS=MR","SCALING_FORMAT=MLN","Sort=A","Dates=H","DateFormat=P","Fill=—","Direction=H","UseDPDF=Y")</f>
        <v>—</v>
      </c>
      <c r="W127" s="13" t="str">
        <f>_xll.BDH("GILD US Equity","ARDR_CONTRACTUAL_OBLIG_YEAR_4_5","FQ4 2023","FQ4 2023","Currency=USD","Period=FQ","BEST_FPERIOD_OVERRIDE=FQ","FILING_STATUS=MR","SCALING_FORMAT=MLN","Sort=A","Dates=H","DateFormat=P","Fill=—","Direction=H","UseDPDF=Y")</f>
        <v>—</v>
      </c>
      <c r="X127" s="13" t="str">
        <f>_xll.BDH("GILD US Equity","ARDR_CONTRACTUAL_OBLIG_YEAR_4_5","FQ1 2024","FQ1 2024","Currency=USD","Period=FQ","BEST_FPERIOD_OVERRIDE=FQ","FILING_STATUS=MR","SCALING_FORMAT=MLN","Sort=A","Dates=H","DateFormat=P","Fill=—","Direction=H","UseDPDF=Y")</f>
        <v>—</v>
      </c>
      <c r="Y127" s="13" t="str">
        <f>_xll.BDH("GILD US Equity","ARDR_CONTRACTUAL_OBLIG_YEAR_4_5","FQ2 2024","FQ2 2024","Currency=USD","Period=FQ","BEST_FPERIOD_OVERRIDE=FQ","FILING_STATUS=MR","SCALING_FORMAT=MLN","Sort=A","Dates=H","DateFormat=P","Fill=—","Direction=H","UseDPDF=Y")</f>
        <v>—</v>
      </c>
      <c r="Z127" s="13" t="str">
        <f>_xll.BDH("GILD US Equity","ARDR_CONTRACTUAL_OBLIG_YEAR_4_5","FQ3 2024","FQ3 2024","Currency=USD","Period=FQ","BEST_FPERIOD_OVERRIDE=FQ","FILING_STATUS=MR","SCALING_FORMAT=MLN","Sort=A","Dates=H","DateFormat=P","Fill=—","Direction=H","UseDPDF=Y")</f>
        <v>—</v>
      </c>
      <c r="AA127" s="13" t="str">
        <f>_xll.BDH("GILD US Equity","ARDR_CONTRACTUAL_OBLIG_YEAR_4_5","FQ4 2024","FQ4 2024","Currency=USD","Period=FQ","BEST_FPERIOD_OVERRIDE=FQ","FILING_STATUS=MR","SCALING_FORMAT=MLN","Sort=A","Dates=H","DateFormat=P","Fill=—","Direction=H","UseDPDF=Y")</f>
        <v>—</v>
      </c>
    </row>
    <row r="128" spans="1:27" x14ac:dyDescent="0.25">
      <c r="A128" s="10" t="s">
        <v>1113</v>
      </c>
      <c r="B128" s="10" t="s">
        <v>1114</v>
      </c>
      <c r="C128" s="13">
        <f>_xll.BDH("GILD US Equity","ARDR_CONT_OBLIG_BEYOND_YEAR_5","FQ4 2018","FQ4 2018","Currency=USD","Period=FQ","BEST_FPERIOD_OVERRIDE=FQ","FILING_STATUS=MR","SCALING_FORMAT=MLN","Sort=A","Dates=H","DateFormat=P","Fill=—","Direction=H","UseDPDF=Y")</f>
        <v>30727</v>
      </c>
      <c r="D128" s="13" t="str">
        <f>_xll.BDH("GILD US Equity","ARDR_CONT_OBLIG_BEYOND_YEAR_5","FQ1 2019","FQ1 2019","Currency=USD","Period=FQ","BEST_FPERIOD_OVERRIDE=FQ","FILING_STATUS=MR","SCALING_FORMAT=MLN","Sort=A","Dates=H","DateFormat=P","Fill=—","Direction=H","UseDPDF=Y")</f>
        <v>—</v>
      </c>
      <c r="E128" s="13" t="str">
        <f>_xll.BDH("GILD US Equity","ARDR_CONT_OBLIG_BEYOND_YEAR_5","FQ2 2019","FQ2 2019","Currency=USD","Period=FQ","BEST_FPERIOD_OVERRIDE=FQ","FILING_STATUS=MR","SCALING_FORMAT=MLN","Sort=A","Dates=H","DateFormat=P","Fill=—","Direction=H","UseDPDF=Y")</f>
        <v>—</v>
      </c>
      <c r="F128" s="13" t="str">
        <f>_xll.BDH("GILD US Equity","ARDR_CONT_OBLIG_BEYOND_YEAR_5","FQ3 2019","FQ3 2019","Currency=USD","Period=FQ","BEST_FPERIOD_OVERRIDE=FQ","FILING_STATUS=MR","SCALING_FORMAT=MLN","Sort=A","Dates=H","DateFormat=P","Fill=—","Direction=H","UseDPDF=Y")</f>
        <v>—</v>
      </c>
      <c r="G128" s="13">
        <f>_xll.BDH("GILD US Equity","ARDR_CONT_OBLIG_BEYOND_YEAR_5","FQ4 2019","FQ4 2019","Currency=USD","Period=FQ","BEST_FPERIOD_OVERRIDE=FQ","FILING_STATUS=MR","SCALING_FORMAT=MLN","Sort=A","Dates=H","DateFormat=P","Fill=—","Direction=H","UseDPDF=Y")</f>
        <v>27089</v>
      </c>
      <c r="H128" s="13" t="str">
        <f>_xll.BDH("GILD US Equity","ARDR_CONT_OBLIG_BEYOND_YEAR_5","FQ1 2020","FQ1 2020","Currency=USD","Period=FQ","BEST_FPERIOD_OVERRIDE=FQ","FILING_STATUS=MR","SCALING_FORMAT=MLN","Sort=A","Dates=H","DateFormat=P","Fill=—","Direction=H","UseDPDF=Y")</f>
        <v>—</v>
      </c>
      <c r="I128" s="13" t="str">
        <f>_xll.BDH("GILD US Equity","ARDR_CONT_OBLIG_BEYOND_YEAR_5","FQ2 2020","FQ2 2020","Currency=USD","Period=FQ","BEST_FPERIOD_OVERRIDE=FQ","FILING_STATUS=MR","SCALING_FORMAT=MLN","Sort=A","Dates=H","DateFormat=P","Fill=—","Direction=H","UseDPDF=Y")</f>
        <v>—</v>
      </c>
      <c r="J128" s="13" t="str">
        <f>_xll.BDH("GILD US Equity","ARDR_CONT_OBLIG_BEYOND_YEAR_5","FQ3 2020","FQ3 2020","Currency=USD","Period=FQ","BEST_FPERIOD_OVERRIDE=FQ","FILING_STATUS=MR","SCALING_FORMAT=MLN","Sort=A","Dates=H","DateFormat=P","Fill=—","Direction=H","UseDPDF=Y")</f>
        <v>—</v>
      </c>
      <c r="K128" s="13">
        <f>_xll.BDH("GILD US Equity","ARDR_CONT_OBLIG_BEYOND_YEAR_5","FQ4 2020","FQ4 2020","Currency=USD","Period=FQ","BEST_FPERIOD_OVERRIDE=FQ","FILING_STATUS=MR","SCALING_FORMAT=MLN","Sort=A","Dates=H","DateFormat=P","Fill=—","Direction=H","UseDPDF=Y")</f>
        <v>30344</v>
      </c>
      <c r="L128" s="13" t="str">
        <f>_xll.BDH("GILD US Equity","ARDR_CONT_OBLIG_BEYOND_YEAR_5","FQ1 2021","FQ1 2021","Currency=USD","Period=FQ","BEST_FPERIOD_OVERRIDE=FQ","FILING_STATUS=MR","SCALING_FORMAT=MLN","Sort=A","Dates=H","DateFormat=P","Fill=—","Direction=H","UseDPDF=Y")</f>
        <v>—</v>
      </c>
      <c r="M128" s="13" t="str">
        <f>_xll.BDH("GILD US Equity","ARDR_CONT_OBLIG_BEYOND_YEAR_5","FQ2 2021","FQ2 2021","Currency=USD","Period=FQ","BEST_FPERIOD_OVERRIDE=FQ","FILING_STATUS=MR","SCALING_FORMAT=MLN","Sort=A","Dates=H","DateFormat=P","Fill=—","Direction=H","UseDPDF=Y")</f>
        <v>—</v>
      </c>
      <c r="N128" s="13" t="str">
        <f>_xll.BDH("GILD US Equity","ARDR_CONT_OBLIG_BEYOND_YEAR_5","FQ3 2021","FQ3 2021","Currency=USD","Period=FQ","BEST_FPERIOD_OVERRIDE=FQ","FILING_STATUS=MR","SCALING_FORMAT=MLN","Sort=A","Dates=H","DateFormat=P","Fill=—","Direction=H","UseDPDF=Y")</f>
        <v>—</v>
      </c>
      <c r="O128" s="13" t="str">
        <f>_xll.BDH("GILD US Equity","ARDR_CONT_OBLIG_BEYOND_YEAR_5","FQ4 2021","FQ4 2021","Currency=USD","Period=FQ","BEST_FPERIOD_OVERRIDE=FQ","FILING_STATUS=MR","SCALING_FORMAT=MLN","Sort=A","Dates=H","DateFormat=P","Fill=—","Direction=H","UseDPDF=Y")</f>
        <v>—</v>
      </c>
      <c r="P128" s="13" t="str">
        <f>_xll.BDH("GILD US Equity","ARDR_CONT_OBLIG_BEYOND_YEAR_5","FQ1 2022","FQ1 2022","Currency=USD","Period=FQ","BEST_FPERIOD_OVERRIDE=FQ","FILING_STATUS=MR","SCALING_FORMAT=MLN","Sort=A","Dates=H","DateFormat=P","Fill=—","Direction=H","UseDPDF=Y")</f>
        <v>—</v>
      </c>
      <c r="Q128" s="13" t="str">
        <f>_xll.BDH("GILD US Equity","ARDR_CONT_OBLIG_BEYOND_YEAR_5","FQ2 2022","FQ2 2022","Currency=USD","Period=FQ","BEST_FPERIOD_OVERRIDE=FQ","FILING_STATUS=MR","SCALING_FORMAT=MLN","Sort=A","Dates=H","DateFormat=P","Fill=—","Direction=H","UseDPDF=Y")</f>
        <v>—</v>
      </c>
      <c r="R128" s="13" t="str">
        <f>_xll.BDH("GILD US Equity","ARDR_CONT_OBLIG_BEYOND_YEAR_5","FQ3 2022","FQ3 2022","Currency=USD","Period=FQ","BEST_FPERIOD_OVERRIDE=FQ","FILING_STATUS=MR","SCALING_FORMAT=MLN","Sort=A","Dates=H","DateFormat=P","Fill=—","Direction=H","UseDPDF=Y")</f>
        <v>—</v>
      </c>
      <c r="S128" s="13" t="str">
        <f>_xll.BDH("GILD US Equity","ARDR_CONT_OBLIG_BEYOND_YEAR_5","FQ4 2022","FQ4 2022","Currency=USD","Period=FQ","BEST_FPERIOD_OVERRIDE=FQ","FILING_STATUS=MR","SCALING_FORMAT=MLN","Sort=A","Dates=H","DateFormat=P","Fill=—","Direction=H","UseDPDF=Y")</f>
        <v>—</v>
      </c>
      <c r="T128" s="13" t="str">
        <f>_xll.BDH("GILD US Equity","ARDR_CONT_OBLIG_BEYOND_YEAR_5","FQ1 2023","FQ1 2023","Currency=USD","Period=FQ","BEST_FPERIOD_OVERRIDE=FQ","FILING_STATUS=MR","SCALING_FORMAT=MLN","Sort=A","Dates=H","DateFormat=P","Fill=—","Direction=H","UseDPDF=Y")</f>
        <v>—</v>
      </c>
      <c r="U128" s="13" t="str">
        <f>_xll.BDH("GILD US Equity","ARDR_CONT_OBLIG_BEYOND_YEAR_5","FQ2 2023","FQ2 2023","Currency=USD","Period=FQ","BEST_FPERIOD_OVERRIDE=FQ","FILING_STATUS=MR","SCALING_FORMAT=MLN","Sort=A","Dates=H","DateFormat=P","Fill=—","Direction=H","UseDPDF=Y")</f>
        <v>—</v>
      </c>
      <c r="V128" s="13" t="str">
        <f>_xll.BDH("GILD US Equity","ARDR_CONT_OBLIG_BEYOND_YEAR_5","FQ3 2023","FQ3 2023","Currency=USD","Period=FQ","BEST_FPERIOD_OVERRIDE=FQ","FILING_STATUS=MR","SCALING_FORMAT=MLN","Sort=A","Dates=H","DateFormat=P","Fill=—","Direction=H","UseDPDF=Y")</f>
        <v>—</v>
      </c>
      <c r="W128" s="13" t="str">
        <f>_xll.BDH("GILD US Equity","ARDR_CONT_OBLIG_BEYOND_YEAR_5","FQ4 2023","FQ4 2023","Currency=USD","Period=FQ","BEST_FPERIOD_OVERRIDE=FQ","FILING_STATUS=MR","SCALING_FORMAT=MLN","Sort=A","Dates=H","DateFormat=P","Fill=—","Direction=H","UseDPDF=Y")</f>
        <v>—</v>
      </c>
      <c r="X128" s="13" t="str">
        <f>_xll.BDH("GILD US Equity","ARDR_CONT_OBLIG_BEYOND_YEAR_5","FQ1 2024","FQ1 2024","Currency=USD","Period=FQ","BEST_FPERIOD_OVERRIDE=FQ","FILING_STATUS=MR","SCALING_FORMAT=MLN","Sort=A","Dates=H","DateFormat=P","Fill=—","Direction=H","UseDPDF=Y")</f>
        <v>—</v>
      </c>
      <c r="Y128" s="13" t="str">
        <f>_xll.BDH("GILD US Equity","ARDR_CONT_OBLIG_BEYOND_YEAR_5","FQ2 2024","FQ2 2024","Currency=USD","Period=FQ","BEST_FPERIOD_OVERRIDE=FQ","FILING_STATUS=MR","SCALING_FORMAT=MLN","Sort=A","Dates=H","DateFormat=P","Fill=—","Direction=H","UseDPDF=Y")</f>
        <v>—</v>
      </c>
      <c r="Z128" s="13" t="str">
        <f>_xll.BDH("GILD US Equity","ARDR_CONT_OBLIG_BEYOND_YEAR_5","FQ3 2024","FQ3 2024","Currency=USD","Period=FQ","BEST_FPERIOD_OVERRIDE=FQ","FILING_STATUS=MR","SCALING_FORMAT=MLN","Sort=A","Dates=H","DateFormat=P","Fill=—","Direction=H","UseDPDF=Y")</f>
        <v>—</v>
      </c>
      <c r="AA128" s="13" t="str">
        <f>_xll.BDH("GILD US Equity","ARDR_CONT_OBLIG_BEYOND_YEAR_5","FQ4 2024","FQ4 2024","Currency=USD","Period=FQ","BEST_FPERIOD_OVERRIDE=FQ","FILING_STATUS=MR","SCALING_FORMAT=MLN","Sort=A","Dates=H","DateFormat=P","Fill=—","Direction=H","UseDPDF=Y")</f>
        <v>—</v>
      </c>
    </row>
    <row r="129" spans="1:27" x14ac:dyDescent="0.25">
      <c r="A129" s="10" t="s">
        <v>1115</v>
      </c>
      <c r="B129" s="10" t="s">
        <v>1116</v>
      </c>
      <c r="C129" s="13">
        <f>_xll.BDH("GILD US Equity","ARDR_CONTRACTUAL_OBLIG_TOTAL","FQ4 2018","FQ4 2018","Currency=USD","Period=FQ","BEST_FPERIOD_OVERRIDE=FQ","FILING_STATUS=MR","SCALING_FORMAT=MLN","Sort=A","Dates=H","DateFormat=P","Fill=—","Direction=H","UseDPDF=Y")</f>
        <v>50732</v>
      </c>
      <c r="D129" s="13" t="str">
        <f>_xll.BDH("GILD US Equity","ARDR_CONTRACTUAL_OBLIG_TOTAL","FQ1 2019","FQ1 2019","Currency=USD","Period=FQ","BEST_FPERIOD_OVERRIDE=FQ","FILING_STATUS=MR","SCALING_FORMAT=MLN","Sort=A","Dates=H","DateFormat=P","Fill=—","Direction=H","UseDPDF=Y")</f>
        <v>—</v>
      </c>
      <c r="E129" s="13" t="str">
        <f>_xll.BDH("GILD US Equity","ARDR_CONTRACTUAL_OBLIG_TOTAL","FQ2 2019","FQ2 2019","Currency=USD","Period=FQ","BEST_FPERIOD_OVERRIDE=FQ","FILING_STATUS=MR","SCALING_FORMAT=MLN","Sort=A","Dates=H","DateFormat=P","Fill=—","Direction=H","UseDPDF=Y")</f>
        <v>—</v>
      </c>
      <c r="F129" s="13" t="str">
        <f>_xll.BDH("GILD US Equity","ARDR_CONTRACTUAL_OBLIG_TOTAL","FQ3 2019","FQ3 2019","Currency=USD","Period=FQ","BEST_FPERIOD_OVERRIDE=FQ","FILING_STATUS=MR","SCALING_FORMAT=MLN","Sort=A","Dates=H","DateFormat=P","Fill=—","Direction=H","UseDPDF=Y")</f>
        <v>—</v>
      </c>
      <c r="G129" s="13">
        <f>_xll.BDH("GILD US Equity","ARDR_CONTRACTUAL_OBLIG_TOTAL","FQ4 2019","FQ4 2019","Currency=USD","Period=FQ","BEST_FPERIOD_OVERRIDE=FQ","FILING_STATUS=MR","SCALING_FORMAT=MLN","Sort=A","Dates=H","DateFormat=P","Fill=—","Direction=H","UseDPDF=Y")</f>
        <v>45294</v>
      </c>
      <c r="H129" s="13" t="str">
        <f>_xll.BDH("GILD US Equity","ARDR_CONTRACTUAL_OBLIG_TOTAL","FQ1 2020","FQ1 2020","Currency=USD","Period=FQ","BEST_FPERIOD_OVERRIDE=FQ","FILING_STATUS=MR","SCALING_FORMAT=MLN","Sort=A","Dates=H","DateFormat=P","Fill=—","Direction=H","UseDPDF=Y")</f>
        <v>—</v>
      </c>
      <c r="I129" s="13" t="str">
        <f>_xll.BDH("GILD US Equity","ARDR_CONTRACTUAL_OBLIG_TOTAL","FQ2 2020","FQ2 2020","Currency=USD","Period=FQ","BEST_FPERIOD_OVERRIDE=FQ","FILING_STATUS=MR","SCALING_FORMAT=MLN","Sort=A","Dates=H","DateFormat=P","Fill=—","Direction=H","UseDPDF=Y")</f>
        <v>—</v>
      </c>
      <c r="J129" s="13" t="str">
        <f>_xll.BDH("GILD US Equity","ARDR_CONTRACTUAL_OBLIG_TOTAL","FQ3 2020","FQ3 2020","Currency=USD","Period=FQ","BEST_FPERIOD_OVERRIDE=FQ","FILING_STATUS=MR","SCALING_FORMAT=MLN","Sort=A","Dates=H","DateFormat=P","Fill=—","Direction=H","UseDPDF=Y")</f>
        <v>—</v>
      </c>
      <c r="K129" s="13">
        <f>_xll.BDH("GILD US Equity","ARDR_CONTRACTUAL_OBLIG_TOTAL","FQ4 2020","FQ4 2020","Currency=USD","Period=FQ","BEST_FPERIOD_OVERRIDE=FQ","FILING_STATUS=MR","SCALING_FORMAT=MLN","Sort=A","Dates=H","DateFormat=P","Fill=—","Direction=H","UseDPDF=Y")</f>
        <v>55601</v>
      </c>
      <c r="L129" s="13" t="str">
        <f>_xll.BDH("GILD US Equity","ARDR_CONTRACTUAL_OBLIG_TOTAL","FQ1 2021","FQ1 2021","Currency=USD","Period=FQ","BEST_FPERIOD_OVERRIDE=FQ","FILING_STATUS=MR","SCALING_FORMAT=MLN","Sort=A","Dates=H","DateFormat=P","Fill=—","Direction=H","UseDPDF=Y")</f>
        <v>—</v>
      </c>
      <c r="M129" s="13" t="str">
        <f>_xll.BDH("GILD US Equity","ARDR_CONTRACTUAL_OBLIG_TOTAL","FQ2 2021","FQ2 2021","Currency=USD","Period=FQ","BEST_FPERIOD_OVERRIDE=FQ","FILING_STATUS=MR","SCALING_FORMAT=MLN","Sort=A","Dates=H","DateFormat=P","Fill=—","Direction=H","UseDPDF=Y")</f>
        <v>—</v>
      </c>
      <c r="N129" s="13" t="str">
        <f>_xll.BDH("GILD US Equity","ARDR_CONTRACTUAL_OBLIG_TOTAL","FQ3 2021","FQ3 2021","Currency=USD","Period=FQ","BEST_FPERIOD_OVERRIDE=FQ","FILING_STATUS=MR","SCALING_FORMAT=MLN","Sort=A","Dates=H","DateFormat=P","Fill=—","Direction=H","UseDPDF=Y")</f>
        <v>—</v>
      </c>
      <c r="O129" s="13" t="str">
        <f>_xll.BDH("GILD US Equity","ARDR_CONTRACTUAL_OBLIG_TOTAL","FQ4 2021","FQ4 2021","Currency=USD","Period=FQ","BEST_FPERIOD_OVERRIDE=FQ","FILING_STATUS=MR","SCALING_FORMAT=MLN","Sort=A","Dates=H","DateFormat=P","Fill=—","Direction=H","UseDPDF=Y")</f>
        <v>—</v>
      </c>
      <c r="P129" s="13" t="str">
        <f>_xll.BDH("GILD US Equity","ARDR_CONTRACTUAL_OBLIG_TOTAL","FQ1 2022","FQ1 2022","Currency=USD","Period=FQ","BEST_FPERIOD_OVERRIDE=FQ","FILING_STATUS=MR","SCALING_FORMAT=MLN","Sort=A","Dates=H","DateFormat=P","Fill=—","Direction=H","UseDPDF=Y")</f>
        <v>—</v>
      </c>
      <c r="Q129" s="13" t="str">
        <f>_xll.BDH("GILD US Equity","ARDR_CONTRACTUAL_OBLIG_TOTAL","FQ2 2022","FQ2 2022","Currency=USD","Period=FQ","BEST_FPERIOD_OVERRIDE=FQ","FILING_STATUS=MR","SCALING_FORMAT=MLN","Sort=A","Dates=H","DateFormat=P","Fill=—","Direction=H","UseDPDF=Y")</f>
        <v>—</v>
      </c>
      <c r="R129" s="13" t="str">
        <f>_xll.BDH("GILD US Equity","ARDR_CONTRACTUAL_OBLIG_TOTAL","FQ3 2022","FQ3 2022","Currency=USD","Period=FQ","BEST_FPERIOD_OVERRIDE=FQ","FILING_STATUS=MR","SCALING_FORMAT=MLN","Sort=A","Dates=H","DateFormat=P","Fill=—","Direction=H","UseDPDF=Y")</f>
        <v>—</v>
      </c>
      <c r="S129" s="13" t="str">
        <f>_xll.BDH("GILD US Equity","ARDR_CONTRACTUAL_OBLIG_TOTAL","FQ4 2022","FQ4 2022","Currency=USD","Period=FQ","BEST_FPERIOD_OVERRIDE=FQ","FILING_STATUS=MR","SCALING_FORMAT=MLN","Sort=A","Dates=H","DateFormat=P","Fill=—","Direction=H","UseDPDF=Y")</f>
        <v>—</v>
      </c>
      <c r="T129" s="13" t="str">
        <f>_xll.BDH("GILD US Equity","ARDR_CONTRACTUAL_OBLIG_TOTAL","FQ1 2023","FQ1 2023","Currency=USD","Period=FQ","BEST_FPERIOD_OVERRIDE=FQ","FILING_STATUS=MR","SCALING_FORMAT=MLN","Sort=A","Dates=H","DateFormat=P","Fill=—","Direction=H","UseDPDF=Y")</f>
        <v>—</v>
      </c>
      <c r="U129" s="13" t="str">
        <f>_xll.BDH("GILD US Equity","ARDR_CONTRACTUAL_OBLIG_TOTAL","FQ2 2023","FQ2 2023","Currency=USD","Period=FQ","BEST_FPERIOD_OVERRIDE=FQ","FILING_STATUS=MR","SCALING_FORMAT=MLN","Sort=A","Dates=H","DateFormat=P","Fill=—","Direction=H","UseDPDF=Y")</f>
        <v>—</v>
      </c>
      <c r="V129" s="13" t="str">
        <f>_xll.BDH("GILD US Equity","ARDR_CONTRACTUAL_OBLIG_TOTAL","FQ3 2023","FQ3 2023","Currency=USD","Period=FQ","BEST_FPERIOD_OVERRIDE=FQ","FILING_STATUS=MR","SCALING_FORMAT=MLN","Sort=A","Dates=H","DateFormat=P","Fill=—","Direction=H","UseDPDF=Y")</f>
        <v>—</v>
      </c>
      <c r="W129" s="13" t="str">
        <f>_xll.BDH("GILD US Equity","ARDR_CONTRACTUAL_OBLIG_TOTAL","FQ4 2023","FQ4 2023","Currency=USD","Period=FQ","BEST_FPERIOD_OVERRIDE=FQ","FILING_STATUS=MR","SCALING_FORMAT=MLN","Sort=A","Dates=H","DateFormat=P","Fill=—","Direction=H","UseDPDF=Y")</f>
        <v>—</v>
      </c>
      <c r="X129" s="13" t="str">
        <f>_xll.BDH("GILD US Equity","ARDR_CONTRACTUAL_OBLIG_TOTAL","FQ1 2024","FQ1 2024","Currency=USD","Period=FQ","BEST_FPERIOD_OVERRIDE=FQ","FILING_STATUS=MR","SCALING_FORMAT=MLN","Sort=A","Dates=H","DateFormat=P","Fill=—","Direction=H","UseDPDF=Y")</f>
        <v>—</v>
      </c>
      <c r="Y129" s="13" t="str">
        <f>_xll.BDH("GILD US Equity","ARDR_CONTRACTUAL_OBLIG_TOTAL","FQ2 2024","FQ2 2024","Currency=USD","Period=FQ","BEST_FPERIOD_OVERRIDE=FQ","FILING_STATUS=MR","SCALING_FORMAT=MLN","Sort=A","Dates=H","DateFormat=P","Fill=—","Direction=H","UseDPDF=Y")</f>
        <v>—</v>
      </c>
      <c r="Z129" s="13" t="str">
        <f>_xll.BDH("GILD US Equity","ARDR_CONTRACTUAL_OBLIG_TOTAL","FQ3 2024","FQ3 2024","Currency=USD","Period=FQ","BEST_FPERIOD_OVERRIDE=FQ","FILING_STATUS=MR","SCALING_FORMAT=MLN","Sort=A","Dates=H","DateFormat=P","Fill=—","Direction=H","UseDPDF=Y")</f>
        <v>—</v>
      </c>
      <c r="AA129" s="13" t="str">
        <f>_xll.BDH("GILD US Equity","ARDR_CONTRACTUAL_OBLIG_TOTAL","FQ4 2024","FQ4 2024","Currency=USD","Period=FQ","BEST_FPERIOD_OVERRIDE=FQ","FILING_STATUS=MR","SCALING_FORMAT=MLN","Sort=A","Dates=H","DateFormat=P","Fill=—","Direction=H","UseDPDF=Y")</f>
        <v>—</v>
      </c>
    </row>
    <row r="130" spans="1:27" x14ac:dyDescent="0.25">
      <c r="A130" s="10" t="s">
        <v>1117</v>
      </c>
      <c r="B130" s="10" t="s">
        <v>1118</v>
      </c>
      <c r="C130" s="13">
        <f>_xll.BDH("GILD US Equity","ARDR_CAPITAL_LEASE_YEAR_1","FQ4 2018","FQ4 2018","Currency=USD","Period=FQ","BEST_FPERIOD_OVERRIDE=FQ","FILING_STATUS=MR","SCALING_FORMAT=MLN","Sort=A","Dates=H","DateFormat=P","Fill=—","Direction=H","UseDPDF=Y")</f>
        <v>336</v>
      </c>
      <c r="D130" s="13" t="str">
        <f>_xll.BDH("GILD US Equity","ARDR_CAPITAL_LEASE_YEAR_1","FQ1 2019","FQ1 2019","Currency=USD","Period=FQ","BEST_FPERIOD_OVERRIDE=FQ","FILING_STATUS=MR","SCALING_FORMAT=MLN","Sort=A","Dates=H","DateFormat=P","Fill=—","Direction=H","UseDPDF=Y")</f>
        <v>—</v>
      </c>
      <c r="E130" s="13" t="str">
        <f>_xll.BDH("GILD US Equity","ARDR_CAPITAL_LEASE_YEAR_1","FQ2 2019","FQ2 2019","Currency=USD","Period=FQ","BEST_FPERIOD_OVERRIDE=FQ","FILING_STATUS=MR","SCALING_FORMAT=MLN","Sort=A","Dates=H","DateFormat=P","Fill=—","Direction=H","UseDPDF=Y")</f>
        <v>—</v>
      </c>
      <c r="F130" s="13" t="str">
        <f>_xll.BDH("GILD US Equity","ARDR_CAPITAL_LEASE_YEAR_1","FQ3 2019","FQ3 2019","Currency=USD","Period=FQ","BEST_FPERIOD_OVERRIDE=FQ","FILING_STATUS=MR","SCALING_FORMAT=MLN","Sort=A","Dates=H","DateFormat=P","Fill=—","Direction=H","UseDPDF=Y")</f>
        <v>—</v>
      </c>
      <c r="G130" s="13" t="str">
        <f>_xll.BDH("GILD US Equity","ARDR_CAPITAL_LEASE_YEAR_1","FQ4 2019","FQ4 2019","Currency=USD","Period=FQ","BEST_FPERIOD_OVERRIDE=FQ","FILING_STATUS=MR","SCALING_FORMAT=MLN","Sort=A","Dates=H","DateFormat=P","Fill=—","Direction=H","UseDPDF=Y")</f>
        <v>—</v>
      </c>
      <c r="H130" s="13" t="str">
        <f>_xll.BDH("GILD US Equity","ARDR_CAPITAL_LEASE_YEAR_1","FQ1 2020","FQ1 2020","Currency=USD","Period=FQ","BEST_FPERIOD_OVERRIDE=FQ","FILING_STATUS=MR","SCALING_FORMAT=MLN","Sort=A","Dates=H","DateFormat=P","Fill=—","Direction=H","UseDPDF=Y")</f>
        <v>—</v>
      </c>
      <c r="I130" s="13" t="str">
        <f>_xll.BDH("GILD US Equity","ARDR_CAPITAL_LEASE_YEAR_1","FQ2 2020","FQ2 2020","Currency=USD","Period=FQ","BEST_FPERIOD_OVERRIDE=FQ","FILING_STATUS=MR","SCALING_FORMAT=MLN","Sort=A","Dates=H","DateFormat=P","Fill=—","Direction=H","UseDPDF=Y")</f>
        <v>—</v>
      </c>
      <c r="J130" s="13" t="str">
        <f>_xll.BDH("GILD US Equity","ARDR_CAPITAL_LEASE_YEAR_1","FQ3 2020","FQ3 2020","Currency=USD","Period=FQ","BEST_FPERIOD_OVERRIDE=FQ","FILING_STATUS=MR","SCALING_FORMAT=MLN","Sort=A","Dates=H","DateFormat=P","Fill=—","Direction=H","UseDPDF=Y")</f>
        <v>—</v>
      </c>
      <c r="K130" s="13" t="str">
        <f>_xll.BDH("GILD US Equity","ARDR_CAPITAL_LEASE_YEAR_1","FQ4 2020","FQ4 2020","Currency=USD","Period=FQ","BEST_FPERIOD_OVERRIDE=FQ","FILING_STATUS=MR","SCALING_FORMAT=MLN","Sort=A","Dates=H","DateFormat=P","Fill=—","Direction=H","UseDPDF=Y")</f>
        <v>—</v>
      </c>
      <c r="L130" s="13" t="str">
        <f>_xll.BDH("GILD US Equity","ARDR_CAPITAL_LEASE_YEAR_1","FQ1 2021","FQ1 2021","Currency=USD","Period=FQ","BEST_FPERIOD_OVERRIDE=FQ","FILING_STATUS=MR","SCALING_FORMAT=MLN","Sort=A","Dates=H","DateFormat=P","Fill=—","Direction=H","UseDPDF=Y")</f>
        <v>—</v>
      </c>
      <c r="M130" s="13" t="str">
        <f>_xll.BDH("GILD US Equity","ARDR_CAPITAL_LEASE_YEAR_1","FQ2 2021","FQ2 2021","Currency=USD","Period=FQ","BEST_FPERIOD_OVERRIDE=FQ","FILING_STATUS=MR","SCALING_FORMAT=MLN","Sort=A","Dates=H","DateFormat=P","Fill=—","Direction=H","UseDPDF=Y")</f>
        <v>—</v>
      </c>
      <c r="N130" s="13" t="str">
        <f>_xll.BDH("GILD US Equity","ARDR_CAPITAL_LEASE_YEAR_1","FQ3 2021","FQ3 2021","Currency=USD","Period=FQ","BEST_FPERIOD_OVERRIDE=FQ","FILING_STATUS=MR","SCALING_FORMAT=MLN","Sort=A","Dates=H","DateFormat=P","Fill=—","Direction=H","UseDPDF=Y")</f>
        <v>—</v>
      </c>
      <c r="O130" s="13" t="str">
        <f>_xll.BDH("GILD US Equity","ARDR_CAPITAL_LEASE_YEAR_1","FQ4 2021","FQ4 2021","Currency=USD","Period=FQ","BEST_FPERIOD_OVERRIDE=FQ","FILING_STATUS=MR","SCALING_FORMAT=MLN","Sort=A","Dates=H","DateFormat=P","Fill=—","Direction=H","UseDPDF=Y")</f>
        <v>—</v>
      </c>
      <c r="P130" s="13" t="str">
        <f>_xll.BDH("GILD US Equity","ARDR_CAPITAL_LEASE_YEAR_1","FQ1 2022","FQ1 2022","Currency=USD","Period=FQ","BEST_FPERIOD_OVERRIDE=FQ","FILING_STATUS=MR","SCALING_FORMAT=MLN","Sort=A","Dates=H","DateFormat=P","Fill=—","Direction=H","UseDPDF=Y")</f>
        <v>—</v>
      </c>
      <c r="Q130" s="13" t="str">
        <f>_xll.BDH("GILD US Equity","ARDR_CAPITAL_LEASE_YEAR_1","FQ2 2022","FQ2 2022","Currency=USD","Period=FQ","BEST_FPERIOD_OVERRIDE=FQ","FILING_STATUS=MR","SCALING_FORMAT=MLN","Sort=A","Dates=H","DateFormat=P","Fill=—","Direction=H","UseDPDF=Y")</f>
        <v>—</v>
      </c>
      <c r="R130" s="13" t="str">
        <f>_xll.BDH("GILD US Equity","ARDR_CAPITAL_LEASE_YEAR_1","FQ3 2022","FQ3 2022","Currency=USD","Period=FQ","BEST_FPERIOD_OVERRIDE=FQ","FILING_STATUS=MR","SCALING_FORMAT=MLN","Sort=A","Dates=H","DateFormat=P","Fill=—","Direction=H","UseDPDF=Y")</f>
        <v>—</v>
      </c>
      <c r="S130" s="13" t="str">
        <f>_xll.BDH("GILD US Equity","ARDR_CAPITAL_LEASE_YEAR_1","FQ4 2022","FQ4 2022","Currency=USD","Period=FQ","BEST_FPERIOD_OVERRIDE=FQ","FILING_STATUS=MR","SCALING_FORMAT=MLN","Sort=A","Dates=H","DateFormat=P","Fill=—","Direction=H","UseDPDF=Y")</f>
        <v>—</v>
      </c>
      <c r="T130" s="13" t="str">
        <f>_xll.BDH("GILD US Equity","ARDR_CAPITAL_LEASE_YEAR_1","FQ1 2023","FQ1 2023","Currency=USD","Period=FQ","BEST_FPERIOD_OVERRIDE=FQ","FILING_STATUS=MR","SCALING_FORMAT=MLN","Sort=A","Dates=H","DateFormat=P","Fill=—","Direction=H","UseDPDF=Y")</f>
        <v>—</v>
      </c>
      <c r="U130" s="13" t="str">
        <f>_xll.BDH("GILD US Equity","ARDR_CAPITAL_LEASE_YEAR_1","FQ2 2023","FQ2 2023","Currency=USD","Period=FQ","BEST_FPERIOD_OVERRIDE=FQ","FILING_STATUS=MR","SCALING_FORMAT=MLN","Sort=A","Dates=H","DateFormat=P","Fill=—","Direction=H","UseDPDF=Y")</f>
        <v>—</v>
      </c>
      <c r="V130" s="13" t="str">
        <f>_xll.BDH("GILD US Equity","ARDR_CAPITAL_LEASE_YEAR_1","FQ3 2023","FQ3 2023","Currency=USD","Period=FQ","BEST_FPERIOD_OVERRIDE=FQ","FILING_STATUS=MR","SCALING_FORMAT=MLN","Sort=A","Dates=H","DateFormat=P","Fill=—","Direction=H","UseDPDF=Y")</f>
        <v>—</v>
      </c>
      <c r="W130" s="13" t="str">
        <f>_xll.BDH("GILD US Equity","ARDR_CAPITAL_LEASE_YEAR_1","FQ4 2023","FQ4 2023","Currency=USD","Period=FQ","BEST_FPERIOD_OVERRIDE=FQ","FILING_STATUS=MR","SCALING_FORMAT=MLN","Sort=A","Dates=H","DateFormat=P","Fill=—","Direction=H","UseDPDF=Y")</f>
        <v>—</v>
      </c>
      <c r="X130" s="13" t="str">
        <f>_xll.BDH("GILD US Equity","ARDR_CAPITAL_LEASE_YEAR_1","FQ1 2024","FQ1 2024","Currency=USD","Period=FQ","BEST_FPERIOD_OVERRIDE=FQ","FILING_STATUS=MR","SCALING_FORMAT=MLN","Sort=A","Dates=H","DateFormat=P","Fill=—","Direction=H","UseDPDF=Y")</f>
        <v>—</v>
      </c>
      <c r="Y130" s="13" t="str">
        <f>_xll.BDH("GILD US Equity","ARDR_CAPITAL_LEASE_YEAR_1","FQ2 2024","FQ2 2024","Currency=USD","Period=FQ","BEST_FPERIOD_OVERRIDE=FQ","FILING_STATUS=MR","SCALING_FORMAT=MLN","Sort=A","Dates=H","DateFormat=P","Fill=—","Direction=H","UseDPDF=Y")</f>
        <v>—</v>
      </c>
      <c r="Z130" s="13" t="str">
        <f>_xll.BDH("GILD US Equity","ARDR_CAPITAL_LEASE_YEAR_1","FQ3 2024","FQ3 2024","Currency=USD","Period=FQ","BEST_FPERIOD_OVERRIDE=FQ","FILING_STATUS=MR","SCALING_FORMAT=MLN","Sort=A","Dates=H","DateFormat=P","Fill=—","Direction=H","UseDPDF=Y")</f>
        <v>—</v>
      </c>
      <c r="AA130" s="13" t="str">
        <f>_xll.BDH("GILD US Equity","ARDR_CAPITAL_LEASE_YEAR_1","FQ4 2024","FQ4 2024","Currency=USD","Period=FQ","BEST_FPERIOD_OVERRIDE=FQ","FILING_STATUS=MR","SCALING_FORMAT=MLN","Sort=A","Dates=H","DateFormat=P","Fill=—","Direction=H","UseDPDF=Y")</f>
        <v>—</v>
      </c>
    </row>
    <row r="131" spans="1:27" x14ac:dyDescent="0.25">
      <c r="A131" s="10" t="s">
        <v>1119</v>
      </c>
      <c r="B131" s="10" t="s">
        <v>1120</v>
      </c>
      <c r="C131" s="13">
        <f>_xll.BDH("GILD US Equity","ARDR_CAPITAL_LEASE_BEYOND_YEAR_5","FQ4 2018","FQ4 2018","Currency=USD","Period=FQ","BEST_FPERIOD_OVERRIDE=FQ","FILING_STATUS=MR","SCALING_FORMAT=MLN","Sort=A","Dates=H","DateFormat=P","Fill=—","Direction=H","UseDPDF=Y")</f>
        <v>0</v>
      </c>
      <c r="D131" s="13" t="str">
        <f>_xll.BDH("GILD US Equity","ARDR_CAPITAL_LEASE_BEYOND_YEAR_5","FQ1 2019","FQ1 2019","Currency=USD","Period=FQ","BEST_FPERIOD_OVERRIDE=FQ","FILING_STATUS=MR","SCALING_FORMAT=MLN","Sort=A","Dates=H","DateFormat=P","Fill=—","Direction=H","UseDPDF=Y")</f>
        <v>—</v>
      </c>
      <c r="E131" s="13" t="str">
        <f>_xll.BDH("GILD US Equity","ARDR_CAPITAL_LEASE_BEYOND_YEAR_5","FQ2 2019","FQ2 2019","Currency=USD","Period=FQ","BEST_FPERIOD_OVERRIDE=FQ","FILING_STATUS=MR","SCALING_FORMAT=MLN","Sort=A","Dates=H","DateFormat=P","Fill=—","Direction=H","UseDPDF=Y")</f>
        <v>—</v>
      </c>
      <c r="F131" s="13" t="str">
        <f>_xll.BDH("GILD US Equity","ARDR_CAPITAL_LEASE_BEYOND_YEAR_5","FQ3 2019","FQ3 2019","Currency=USD","Period=FQ","BEST_FPERIOD_OVERRIDE=FQ","FILING_STATUS=MR","SCALING_FORMAT=MLN","Sort=A","Dates=H","DateFormat=P","Fill=—","Direction=H","UseDPDF=Y")</f>
        <v>—</v>
      </c>
      <c r="G131" s="13" t="str">
        <f>_xll.BDH("GILD US Equity","ARDR_CAPITAL_LEASE_BEYOND_YEAR_5","FQ4 2019","FQ4 2019","Currency=USD","Period=FQ","BEST_FPERIOD_OVERRIDE=FQ","FILING_STATUS=MR","SCALING_FORMAT=MLN","Sort=A","Dates=H","DateFormat=P","Fill=—","Direction=H","UseDPDF=Y")</f>
        <v>—</v>
      </c>
      <c r="H131" s="13" t="str">
        <f>_xll.BDH("GILD US Equity","ARDR_CAPITAL_LEASE_BEYOND_YEAR_5","FQ1 2020","FQ1 2020","Currency=USD","Period=FQ","BEST_FPERIOD_OVERRIDE=FQ","FILING_STATUS=MR","SCALING_FORMAT=MLN","Sort=A","Dates=H","DateFormat=P","Fill=—","Direction=H","UseDPDF=Y")</f>
        <v>—</v>
      </c>
      <c r="I131" s="13" t="str">
        <f>_xll.BDH("GILD US Equity","ARDR_CAPITAL_LEASE_BEYOND_YEAR_5","FQ2 2020","FQ2 2020","Currency=USD","Period=FQ","BEST_FPERIOD_OVERRIDE=FQ","FILING_STATUS=MR","SCALING_FORMAT=MLN","Sort=A","Dates=H","DateFormat=P","Fill=—","Direction=H","UseDPDF=Y")</f>
        <v>—</v>
      </c>
      <c r="J131" s="13" t="str">
        <f>_xll.BDH("GILD US Equity","ARDR_CAPITAL_LEASE_BEYOND_YEAR_5","FQ3 2020","FQ3 2020","Currency=USD","Period=FQ","BEST_FPERIOD_OVERRIDE=FQ","FILING_STATUS=MR","SCALING_FORMAT=MLN","Sort=A","Dates=H","DateFormat=P","Fill=—","Direction=H","UseDPDF=Y")</f>
        <v>—</v>
      </c>
      <c r="K131" s="13" t="str">
        <f>_xll.BDH("GILD US Equity","ARDR_CAPITAL_LEASE_BEYOND_YEAR_5","FQ4 2020","FQ4 2020","Currency=USD","Period=FQ","BEST_FPERIOD_OVERRIDE=FQ","FILING_STATUS=MR","SCALING_FORMAT=MLN","Sort=A","Dates=H","DateFormat=P","Fill=—","Direction=H","UseDPDF=Y")</f>
        <v>—</v>
      </c>
      <c r="L131" s="13" t="str">
        <f>_xll.BDH("GILD US Equity","ARDR_CAPITAL_LEASE_BEYOND_YEAR_5","FQ1 2021","FQ1 2021","Currency=USD","Period=FQ","BEST_FPERIOD_OVERRIDE=FQ","FILING_STATUS=MR","SCALING_FORMAT=MLN","Sort=A","Dates=H","DateFormat=P","Fill=—","Direction=H","UseDPDF=Y")</f>
        <v>—</v>
      </c>
      <c r="M131" s="13" t="str">
        <f>_xll.BDH("GILD US Equity","ARDR_CAPITAL_LEASE_BEYOND_YEAR_5","FQ2 2021","FQ2 2021","Currency=USD","Period=FQ","BEST_FPERIOD_OVERRIDE=FQ","FILING_STATUS=MR","SCALING_FORMAT=MLN","Sort=A","Dates=H","DateFormat=P","Fill=—","Direction=H","UseDPDF=Y")</f>
        <v>—</v>
      </c>
      <c r="N131" s="13" t="str">
        <f>_xll.BDH("GILD US Equity","ARDR_CAPITAL_LEASE_BEYOND_YEAR_5","FQ3 2021","FQ3 2021","Currency=USD","Period=FQ","BEST_FPERIOD_OVERRIDE=FQ","FILING_STATUS=MR","SCALING_FORMAT=MLN","Sort=A","Dates=H","DateFormat=P","Fill=—","Direction=H","UseDPDF=Y")</f>
        <v>—</v>
      </c>
      <c r="O131" s="13" t="str">
        <f>_xll.BDH("GILD US Equity","ARDR_CAPITAL_LEASE_BEYOND_YEAR_5","FQ4 2021","FQ4 2021","Currency=USD","Period=FQ","BEST_FPERIOD_OVERRIDE=FQ","FILING_STATUS=MR","SCALING_FORMAT=MLN","Sort=A","Dates=H","DateFormat=P","Fill=—","Direction=H","UseDPDF=Y")</f>
        <v>—</v>
      </c>
      <c r="P131" s="13" t="str">
        <f>_xll.BDH("GILD US Equity","ARDR_CAPITAL_LEASE_BEYOND_YEAR_5","FQ1 2022","FQ1 2022","Currency=USD","Period=FQ","BEST_FPERIOD_OVERRIDE=FQ","FILING_STATUS=MR","SCALING_FORMAT=MLN","Sort=A","Dates=H","DateFormat=P","Fill=—","Direction=H","UseDPDF=Y")</f>
        <v>—</v>
      </c>
      <c r="Q131" s="13" t="str">
        <f>_xll.BDH("GILD US Equity","ARDR_CAPITAL_LEASE_BEYOND_YEAR_5","FQ2 2022","FQ2 2022","Currency=USD","Period=FQ","BEST_FPERIOD_OVERRIDE=FQ","FILING_STATUS=MR","SCALING_FORMAT=MLN","Sort=A","Dates=H","DateFormat=P","Fill=—","Direction=H","UseDPDF=Y")</f>
        <v>—</v>
      </c>
      <c r="R131" s="13" t="str">
        <f>_xll.BDH("GILD US Equity","ARDR_CAPITAL_LEASE_BEYOND_YEAR_5","FQ3 2022","FQ3 2022","Currency=USD","Period=FQ","BEST_FPERIOD_OVERRIDE=FQ","FILING_STATUS=MR","SCALING_FORMAT=MLN","Sort=A","Dates=H","DateFormat=P","Fill=—","Direction=H","UseDPDF=Y")</f>
        <v>—</v>
      </c>
      <c r="S131" s="13" t="str">
        <f>_xll.BDH("GILD US Equity","ARDR_CAPITAL_LEASE_BEYOND_YEAR_5","FQ4 2022","FQ4 2022","Currency=USD","Period=FQ","BEST_FPERIOD_OVERRIDE=FQ","FILING_STATUS=MR","SCALING_FORMAT=MLN","Sort=A","Dates=H","DateFormat=P","Fill=—","Direction=H","UseDPDF=Y")</f>
        <v>—</v>
      </c>
      <c r="T131" s="13" t="str">
        <f>_xll.BDH("GILD US Equity","ARDR_CAPITAL_LEASE_BEYOND_YEAR_5","FQ1 2023","FQ1 2023","Currency=USD","Period=FQ","BEST_FPERIOD_OVERRIDE=FQ","FILING_STATUS=MR","SCALING_FORMAT=MLN","Sort=A","Dates=H","DateFormat=P","Fill=—","Direction=H","UseDPDF=Y")</f>
        <v>—</v>
      </c>
      <c r="U131" s="13" t="str">
        <f>_xll.BDH("GILD US Equity","ARDR_CAPITAL_LEASE_BEYOND_YEAR_5","FQ2 2023","FQ2 2023","Currency=USD","Period=FQ","BEST_FPERIOD_OVERRIDE=FQ","FILING_STATUS=MR","SCALING_FORMAT=MLN","Sort=A","Dates=H","DateFormat=P","Fill=—","Direction=H","UseDPDF=Y")</f>
        <v>—</v>
      </c>
      <c r="V131" s="13" t="str">
        <f>_xll.BDH("GILD US Equity","ARDR_CAPITAL_LEASE_BEYOND_YEAR_5","FQ3 2023","FQ3 2023","Currency=USD","Period=FQ","BEST_FPERIOD_OVERRIDE=FQ","FILING_STATUS=MR","SCALING_FORMAT=MLN","Sort=A","Dates=H","DateFormat=P","Fill=—","Direction=H","UseDPDF=Y")</f>
        <v>—</v>
      </c>
      <c r="W131" s="13" t="str">
        <f>_xll.BDH("GILD US Equity","ARDR_CAPITAL_LEASE_BEYOND_YEAR_5","FQ4 2023","FQ4 2023","Currency=USD","Period=FQ","BEST_FPERIOD_OVERRIDE=FQ","FILING_STATUS=MR","SCALING_FORMAT=MLN","Sort=A","Dates=H","DateFormat=P","Fill=—","Direction=H","UseDPDF=Y")</f>
        <v>—</v>
      </c>
      <c r="X131" s="13" t="str">
        <f>_xll.BDH("GILD US Equity","ARDR_CAPITAL_LEASE_BEYOND_YEAR_5","FQ1 2024","FQ1 2024","Currency=USD","Period=FQ","BEST_FPERIOD_OVERRIDE=FQ","FILING_STATUS=MR","SCALING_FORMAT=MLN","Sort=A","Dates=H","DateFormat=P","Fill=—","Direction=H","UseDPDF=Y")</f>
        <v>—</v>
      </c>
      <c r="Y131" s="13" t="str">
        <f>_xll.BDH("GILD US Equity","ARDR_CAPITAL_LEASE_BEYOND_YEAR_5","FQ2 2024","FQ2 2024","Currency=USD","Period=FQ","BEST_FPERIOD_OVERRIDE=FQ","FILING_STATUS=MR","SCALING_FORMAT=MLN","Sort=A","Dates=H","DateFormat=P","Fill=—","Direction=H","UseDPDF=Y")</f>
        <v>—</v>
      </c>
      <c r="Z131" s="13" t="str">
        <f>_xll.BDH("GILD US Equity","ARDR_CAPITAL_LEASE_BEYOND_YEAR_5","FQ3 2024","FQ3 2024","Currency=USD","Period=FQ","BEST_FPERIOD_OVERRIDE=FQ","FILING_STATUS=MR","SCALING_FORMAT=MLN","Sort=A","Dates=H","DateFormat=P","Fill=—","Direction=H","UseDPDF=Y")</f>
        <v>—</v>
      </c>
      <c r="AA131" s="13" t="str">
        <f>_xll.BDH("GILD US Equity","ARDR_CAPITAL_LEASE_BEYOND_YEAR_5","FQ4 2024","FQ4 2024","Currency=USD","Period=FQ","BEST_FPERIOD_OVERRIDE=FQ","FILING_STATUS=MR","SCALING_FORMAT=MLN","Sort=A","Dates=H","DateFormat=P","Fill=—","Direction=H","UseDPDF=Y")</f>
        <v>—</v>
      </c>
    </row>
    <row r="132" spans="1:27" x14ac:dyDescent="0.25">
      <c r="A132" s="10" t="s">
        <v>1121</v>
      </c>
      <c r="B132" s="10" t="s">
        <v>1122</v>
      </c>
      <c r="C132" s="13">
        <f>_xll.BDH("GILD US Equity","ARDR_TOTAL_CAPITAL_LEASE","FQ4 2018","FQ4 2018","Currency=USD","Period=FQ","BEST_FPERIOD_OVERRIDE=FQ","FILING_STATUS=MR","SCALING_FORMAT=MLN","Sort=A","Dates=H","DateFormat=P","Fill=—","Direction=H","UseDPDF=Y")</f>
        <v>336</v>
      </c>
      <c r="D132" s="13" t="str">
        <f>_xll.BDH("GILD US Equity","ARDR_TOTAL_CAPITAL_LEASE","FQ1 2019","FQ1 2019","Currency=USD","Period=FQ","BEST_FPERIOD_OVERRIDE=FQ","FILING_STATUS=MR","SCALING_FORMAT=MLN","Sort=A","Dates=H","DateFormat=P","Fill=—","Direction=H","UseDPDF=Y")</f>
        <v>—</v>
      </c>
      <c r="E132" s="13" t="str">
        <f>_xll.BDH("GILD US Equity","ARDR_TOTAL_CAPITAL_LEASE","FQ2 2019","FQ2 2019","Currency=USD","Period=FQ","BEST_FPERIOD_OVERRIDE=FQ","FILING_STATUS=MR","SCALING_FORMAT=MLN","Sort=A","Dates=H","DateFormat=P","Fill=—","Direction=H","UseDPDF=Y")</f>
        <v>—</v>
      </c>
      <c r="F132" s="13" t="str">
        <f>_xll.BDH("GILD US Equity","ARDR_TOTAL_CAPITAL_LEASE","FQ3 2019","FQ3 2019","Currency=USD","Period=FQ","BEST_FPERIOD_OVERRIDE=FQ","FILING_STATUS=MR","SCALING_FORMAT=MLN","Sort=A","Dates=H","DateFormat=P","Fill=—","Direction=H","UseDPDF=Y")</f>
        <v>—</v>
      </c>
      <c r="G132" s="13" t="str">
        <f>_xll.BDH("GILD US Equity","ARDR_TOTAL_CAPITAL_LEASE","FQ4 2019","FQ4 2019","Currency=USD","Period=FQ","BEST_FPERIOD_OVERRIDE=FQ","FILING_STATUS=MR","SCALING_FORMAT=MLN","Sort=A","Dates=H","DateFormat=P","Fill=—","Direction=H","UseDPDF=Y")</f>
        <v>—</v>
      </c>
      <c r="H132" s="13" t="str">
        <f>_xll.BDH("GILD US Equity","ARDR_TOTAL_CAPITAL_LEASE","FQ1 2020","FQ1 2020","Currency=USD","Period=FQ","BEST_FPERIOD_OVERRIDE=FQ","FILING_STATUS=MR","SCALING_FORMAT=MLN","Sort=A","Dates=H","DateFormat=P","Fill=—","Direction=H","UseDPDF=Y")</f>
        <v>—</v>
      </c>
      <c r="I132" s="13" t="str">
        <f>_xll.BDH("GILD US Equity","ARDR_TOTAL_CAPITAL_LEASE","FQ2 2020","FQ2 2020","Currency=USD","Period=FQ","BEST_FPERIOD_OVERRIDE=FQ","FILING_STATUS=MR","SCALING_FORMAT=MLN","Sort=A","Dates=H","DateFormat=P","Fill=—","Direction=H","UseDPDF=Y")</f>
        <v>—</v>
      </c>
      <c r="J132" s="13" t="str">
        <f>_xll.BDH("GILD US Equity","ARDR_TOTAL_CAPITAL_LEASE","FQ3 2020","FQ3 2020","Currency=USD","Period=FQ","BEST_FPERIOD_OVERRIDE=FQ","FILING_STATUS=MR","SCALING_FORMAT=MLN","Sort=A","Dates=H","DateFormat=P","Fill=—","Direction=H","UseDPDF=Y")</f>
        <v>—</v>
      </c>
      <c r="K132" s="13" t="str">
        <f>_xll.BDH("GILD US Equity","ARDR_TOTAL_CAPITAL_LEASE","FQ4 2020","FQ4 2020","Currency=USD","Period=FQ","BEST_FPERIOD_OVERRIDE=FQ","FILING_STATUS=MR","SCALING_FORMAT=MLN","Sort=A","Dates=H","DateFormat=P","Fill=—","Direction=H","UseDPDF=Y")</f>
        <v>—</v>
      </c>
      <c r="L132" s="13" t="str">
        <f>_xll.BDH("GILD US Equity","ARDR_TOTAL_CAPITAL_LEASE","FQ1 2021","FQ1 2021","Currency=USD","Period=FQ","BEST_FPERIOD_OVERRIDE=FQ","FILING_STATUS=MR","SCALING_FORMAT=MLN","Sort=A","Dates=H","DateFormat=P","Fill=—","Direction=H","UseDPDF=Y")</f>
        <v>—</v>
      </c>
      <c r="M132" s="13" t="str">
        <f>_xll.BDH("GILD US Equity","ARDR_TOTAL_CAPITAL_LEASE","FQ2 2021","FQ2 2021","Currency=USD","Period=FQ","BEST_FPERIOD_OVERRIDE=FQ","FILING_STATUS=MR","SCALING_FORMAT=MLN","Sort=A","Dates=H","DateFormat=P","Fill=—","Direction=H","UseDPDF=Y")</f>
        <v>—</v>
      </c>
      <c r="N132" s="13" t="str">
        <f>_xll.BDH("GILD US Equity","ARDR_TOTAL_CAPITAL_LEASE","FQ3 2021","FQ3 2021","Currency=USD","Period=FQ","BEST_FPERIOD_OVERRIDE=FQ","FILING_STATUS=MR","SCALING_FORMAT=MLN","Sort=A","Dates=H","DateFormat=P","Fill=—","Direction=H","UseDPDF=Y")</f>
        <v>—</v>
      </c>
      <c r="O132" s="13" t="str">
        <f>_xll.BDH("GILD US Equity","ARDR_TOTAL_CAPITAL_LEASE","FQ4 2021","FQ4 2021","Currency=USD","Period=FQ","BEST_FPERIOD_OVERRIDE=FQ","FILING_STATUS=MR","SCALING_FORMAT=MLN","Sort=A","Dates=H","DateFormat=P","Fill=—","Direction=H","UseDPDF=Y")</f>
        <v>—</v>
      </c>
      <c r="P132" s="13" t="str">
        <f>_xll.BDH("GILD US Equity","ARDR_TOTAL_CAPITAL_LEASE","FQ1 2022","FQ1 2022","Currency=USD","Period=FQ","BEST_FPERIOD_OVERRIDE=FQ","FILING_STATUS=MR","SCALING_FORMAT=MLN","Sort=A","Dates=H","DateFormat=P","Fill=—","Direction=H","UseDPDF=Y")</f>
        <v>—</v>
      </c>
      <c r="Q132" s="13" t="str">
        <f>_xll.BDH("GILD US Equity","ARDR_TOTAL_CAPITAL_LEASE","FQ2 2022","FQ2 2022","Currency=USD","Period=FQ","BEST_FPERIOD_OVERRIDE=FQ","FILING_STATUS=MR","SCALING_FORMAT=MLN","Sort=A","Dates=H","DateFormat=P","Fill=—","Direction=H","UseDPDF=Y")</f>
        <v>—</v>
      </c>
      <c r="R132" s="13" t="str">
        <f>_xll.BDH("GILD US Equity","ARDR_TOTAL_CAPITAL_LEASE","FQ3 2022","FQ3 2022","Currency=USD","Period=FQ","BEST_FPERIOD_OVERRIDE=FQ","FILING_STATUS=MR","SCALING_FORMAT=MLN","Sort=A","Dates=H","DateFormat=P","Fill=—","Direction=H","UseDPDF=Y")</f>
        <v>—</v>
      </c>
      <c r="S132" s="13" t="str">
        <f>_xll.BDH("GILD US Equity","ARDR_TOTAL_CAPITAL_LEASE","FQ4 2022","FQ4 2022","Currency=USD","Period=FQ","BEST_FPERIOD_OVERRIDE=FQ","FILING_STATUS=MR","SCALING_FORMAT=MLN","Sort=A","Dates=H","DateFormat=P","Fill=—","Direction=H","UseDPDF=Y")</f>
        <v>—</v>
      </c>
      <c r="T132" s="13" t="str">
        <f>_xll.BDH("GILD US Equity","ARDR_TOTAL_CAPITAL_LEASE","FQ1 2023","FQ1 2023","Currency=USD","Period=FQ","BEST_FPERIOD_OVERRIDE=FQ","FILING_STATUS=MR","SCALING_FORMAT=MLN","Sort=A","Dates=H","DateFormat=P","Fill=—","Direction=H","UseDPDF=Y")</f>
        <v>—</v>
      </c>
      <c r="U132" s="13" t="str">
        <f>_xll.BDH("GILD US Equity","ARDR_TOTAL_CAPITAL_LEASE","FQ2 2023","FQ2 2023","Currency=USD","Period=FQ","BEST_FPERIOD_OVERRIDE=FQ","FILING_STATUS=MR","SCALING_FORMAT=MLN","Sort=A","Dates=H","DateFormat=P","Fill=—","Direction=H","UseDPDF=Y")</f>
        <v>—</v>
      </c>
      <c r="V132" s="13" t="str">
        <f>_xll.BDH("GILD US Equity","ARDR_TOTAL_CAPITAL_LEASE","FQ3 2023","FQ3 2023","Currency=USD","Period=FQ","BEST_FPERIOD_OVERRIDE=FQ","FILING_STATUS=MR","SCALING_FORMAT=MLN","Sort=A","Dates=H","DateFormat=P","Fill=—","Direction=H","UseDPDF=Y")</f>
        <v>—</v>
      </c>
      <c r="W132" s="13" t="str">
        <f>_xll.BDH("GILD US Equity","ARDR_TOTAL_CAPITAL_LEASE","FQ4 2023","FQ4 2023","Currency=USD","Period=FQ","BEST_FPERIOD_OVERRIDE=FQ","FILING_STATUS=MR","SCALING_FORMAT=MLN","Sort=A","Dates=H","DateFormat=P","Fill=—","Direction=H","UseDPDF=Y")</f>
        <v>—</v>
      </c>
      <c r="X132" s="13" t="str">
        <f>_xll.BDH("GILD US Equity","ARDR_TOTAL_CAPITAL_LEASE","FQ1 2024","FQ1 2024","Currency=USD","Period=FQ","BEST_FPERIOD_OVERRIDE=FQ","FILING_STATUS=MR","SCALING_FORMAT=MLN","Sort=A","Dates=H","DateFormat=P","Fill=—","Direction=H","UseDPDF=Y")</f>
        <v>—</v>
      </c>
      <c r="Y132" s="13" t="str">
        <f>_xll.BDH("GILD US Equity","ARDR_TOTAL_CAPITAL_LEASE","FQ2 2024","FQ2 2024","Currency=USD","Period=FQ","BEST_FPERIOD_OVERRIDE=FQ","FILING_STATUS=MR","SCALING_FORMAT=MLN","Sort=A","Dates=H","DateFormat=P","Fill=—","Direction=H","UseDPDF=Y")</f>
        <v>—</v>
      </c>
      <c r="Z132" s="13" t="str">
        <f>_xll.BDH("GILD US Equity","ARDR_TOTAL_CAPITAL_LEASE","FQ3 2024","FQ3 2024","Currency=USD","Period=FQ","BEST_FPERIOD_OVERRIDE=FQ","FILING_STATUS=MR","SCALING_FORMAT=MLN","Sort=A","Dates=H","DateFormat=P","Fill=—","Direction=H","UseDPDF=Y")</f>
        <v>—</v>
      </c>
      <c r="AA132" s="13" t="str">
        <f>_xll.BDH("GILD US Equity","ARDR_TOTAL_CAPITAL_LEASE","FQ4 2024","FQ4 2024","Currency=USD","Period=FQ","BEST_FPERIOD_OVERRIDE=FQ","FILING_STATUS=MR","SCALING_FORMAT=MLN","Sort=A","Dates=H","DateFormat=P","Fill=—","Direction=H","UseDPDF=Y")</f>
        <v>—</v>
      </c>
    </row>
    <row r="133" spans="1:27" x14ac:dyDescent="0.25">
      <c r="A133" s="10" t="s">
        <v>1123</v>
      </c>
      <c r="B133" s="10" t="s">
        <v>1124</v>
      </c>
      <c r="C133" s="13">
        <f>_xll.BDH("GILD US Equity","ARDR_FAIR_VALUE_DERIVATIVES_NET","FQ4 2018","FQ4 2018","Currency=USD","Period=FQ","BEST_FPERIOD_OVERRIDE=FQ","FILING_STATUS=MR","SCALING_FORMAT=MLN","Sort=A","Dates=H","DateFormat=P","Fill=—","Direction=H","UseDPDF=Y")</f>
        <v>79</v>
      </c>
      <c r="D133" s="13">
        <f>_xll.BDH("GILD US Equity","ARDR_FAIR_VALUE_DERIVATIVES_NET","FQ1 2019","FQ1 2019","Currency=USD","Period=FQ","BEST_FPERIOD_OVERRIDE=FQ","FILING_STATUS=MR","SCALING_FORMAT=MLN","Sort=A","Dates=H","DateFormat=P","Fill=—","Direction=H","UseDPDF=Y")</f>
        <v>79</v>
      </c>
      <c r="E133" s="13">
        <f>_xll.BDH("GILD US Equity","ARDR_FAIR_VALUE_DERIVATIVES_NET","FQ2 2019","FQ2 2019","Currency=USD","Period=FQ","BEST_FPERIOD_OVERRIDE=FQ","FILING_STATUS=MR","SCALING_FORMAT=MLN","Sort=A","Dates=H","DateFormat=P","Fill=—","Direction=H","UseDPDF=Y")</f>
        <v>54</v>
      </c>
      <c r="F133" s="13">
        <f>_xll.BDH("GILD US Equity","ARDR_FAIR_VALUE_DERIVATIVES_NET","FQ3 2019","FQ3 2019","Currency=USD","Period=FQ","BEST_FPERIOD_OVERRIDE=FQ","FILING_STATUS=MR","SCALING_FORMAT=MLN","Sort=A","Dates=H","DateFormat=P","Fill=—","Direction=H","UseDPDF=Y")</f>
        <v>81</v>
      </c>
      <c r="G133" s="13">
        <f>_xll.BDH("GILD US Equity","ARDR_FAIR_VALUE_DERIVATIVES_NET","FQ4 2019","FQ4 2019","Currency=USD","Period=FQ","BEST_FPERIOD_OVERRIDE=FQ","FILING_STATUS=MR","SCALING_FORMAT=MLN","Sort=A","Dates=H","DateFormat=P","Fill=—","Direction=H","UseDPDF=Y")</f>
        <v>45</v>
      </c>
      <c r="H133" s="13">
        <f>_xll.BDH("GILD US Equity","ARDR_FAIR_VALUE_DERIVATIVES_NET","FQ1 2020","FQ1 2020","Currency=USD","Period=FQ","BEST_FPERIOD_OVERRIDE=FQ","FILING_STATUS=MR","SCALING_FORMAT=MLN","Sort=A","Dates=H","DateFormat=P","Fill=—","Direction=H","UseDPDF=Y")</f>
        <v>71</v>
      </c>
      <c r="I133" s="13">
        <f>_xll.BDH("GILD US Equity","ARDR_FAIR_VALUE_DERIVATIVES_NET","FQ2 2020","FQ2 2020","Currency=USD","Period=FQ","BEST_FPERIOD_OVERRIDE=FQ","FILING_STATUS=MR","SCALING_FORMAT=MLN","Sort=A","Dates=H","DateFormat=P","Fill=—","Direction=H","UseDPDF=Y")</f>
        <v>39</v>
      </c>
      <c r="J133" s="13">
        <f>_xll.BDH("GILD US Equity","ARDR_FAIR_VALUE_DERIVATIVES_NET","FQ3 2020","FQ3 2020","Currency=USD","Period=FQ","BEST_FPERIOD_OVERRIDE=FQ","FILING_STATUS=MR","SCALING_FORMAT=MLN","Sort=A","Dates=H","DateFormat=P","Fill=—","Direction=H","UseDPDF=Y")</f>
        <v>56</v>
      </c>
      <c r="K133" s="13">
        <f>_xll.BDH("GILD US Equity","ARDR_FAIR_VALUE_DERIVATIVES_NET","FQ4 2020","FQ4 2020","Currency=USD","Period=FQ","BEST_FPERIOD_OVERRIDE=FQ","FILING_STATUS=MR","SCALING_FORMAT=MLN","Sort=A","Dates=H","DateFormat=P","Fill=—","Direction=H","UseDPDF=Y")</f>
        <v>133</v>
      </c>
      <c r="L133" s="13">
        <f>_xll.BDH("GILD US Equity","ARDR_FAIR_VALUE_DERIVATIVES_NET","FQ1 2021","FQ1 2021","Currency=USD","Period=FQ","BEST_FPERIOD_OVERRIDE=FQ","FILING_STATUS=MR","SCALING_FORMAT=MLN","Sort=A","Dates=H","DateFormat=P","Fill=—","Direction=H","UseDPDF=Y")</f>
        <v>73</v>
      </c>
      <c r="M133" s="13">
        <f>_xll.BDH("GILD US Equity","ARDR_FAIR_VALUE_DERIVATIVES_NET","FQ2 2021","FQ2 2021","Currency=USD","Period=FQ","BEST_FPERIOD_OVERRIDE=FQ","FILING_STATUS=MR","SCALING_FORMAT=MLN","Sort=A","Dates=H","DateFormat=P","Fill=—","Direction=H","UseDPDF=Y")</f>
        <v>58</v>
      </c>
      <c r="N133" s="13">
        <f>_xll.BDH("GILD US Equity","ARDR_FAIR_VALUE_DERIVATIVES_NET","FQ3 2021","FQ3 2021","Currency=USD","Period=FQ","BEST_FPERIOD_OVERRIDE=FQ","FILING_STATUS=MR","SCALING_FORMAT=MLN","Sort=A","Dates=H","DateFormat=P","Fill=—","Direction=H","UseDPDF=Y")</f>
        <v>63</v>
      </c>
      <c r="O133" s="13">
        <f>_xll.BDH("GILD US Equity","ARDR_FAIR_VALUE_DERIVATIVES_NET","FQ4 2021","FQ4 2021","Currency=USD","Period=FQ","BEST_FPERIOD_OVERRIDE=FQ","FILING_STATUS=MR","SCALING_FORMAT=MLN","Sort=A","Dates=H","DateFormat=P","Fill=—","Direction=H","UseDPDF=Y")</f>
        <v>85</v>
      </c>
      <c r="P133" s="13">
        <f>_xll.BDH("GILD US Equity","ARDR_FAIR_VALUE_DERIVATIVES_NET","FQ1 2022","FQ1 2022","Currency=USD","Period=FQ","BEST_FPERIOD_OVERRIDE=FQ","FILING_STATUS=MR","SCALING_FORMAT=MLN","Sort=A","Dates=H","DateFormat=P","Fill=—","Direction=H","UseDPDF=Y")</f>
        <v>95</v>
      </c>
      <c r="Q133" s="13">
        <f>_xll.BDH("GILD US Equity","ARDR_FAIR_VALUE_DERIVATIVES_NET","FQ2 2022","FQ2 2022","Currency=USD","Period=FQ","BEST_FPERIOD_OVERRIDE=FQ","FILING_STATUS=MR","SCALING_FORMAT=MLN","Sort=A","Dates=H","DateFormat=P","Fill=—","Direction=H","UseDPDF=Y")</f>
        <v>2</v>
      </c>
      <c r="R133" s="13">
        <f>_xll.BDH("GILD US Equity","ARDR_FAIR_VALUE_DERIVATIVES_NET","FQ3 2022","FQ3 2022","Currency=USD","Period=FQ","BEST_FPERIOD_OVERRIDE=FQ","FILING_STATUS=MR","SCALING_FORMAT=MLN","Sort=A","Dates=H","DateFormat=P","Fill=—","Direction=H","UseDPDF=Y")</f>
        <v>244</v>
      </c>
      <c r="S133" s="13">
        <f>_xll.BDH("GILD US Equity","ARDR_FAIR_VALUE_DERIVATIVES_NET","FQ4 2022","FQ4 2022","Currency=USD","Period=FQ","BEST_FPERIOD_OVERRIDE=FQ","FILING_STATUS=MR","SCALING_FORMAT=MLN","Sort=A","Dates=H","DateFormat=P","Fill=—","Direction=H","UseDPDF=Y")</f>
        <v>102</v>
      </c>
      <c r="T133" s="13">
        <f>_xll.BDH("GILD US Equity","ARDR_FAIR_VALUE_DERIVATIVES_NET","FQ1 2023","FQ1 2023","Currency=USD","Period=FQ","BEST_FPERIOD_OVERRIDE=FQ","FILING_STATUS=MR","SCALING_FORMAT=MLN","Sort=A","Dates=H","DateFormat=P","Fill=—","Direction=H","UseDPDF=Y")</f>
        <v>81</v>
      </c>
      <c r="U133" s="13">
        <f>_xll.BDH("GILD US Equity","ARDR_FAIR_VALUE_DERIVATIVES_NET","FQ2 2023","FQ2 2023","Currency=USD","Period=FQ","BEST_FPERIOD_OVERRIDE=FQ","FILING_STATUS=MR","SCALING_FORMAT=MLN","Sort=A","Dates=H","DateFormat=P","Fill=—","Direction=H","UseDPDF=Y")</f>
        <v>61</v>
      </c>
      <c r="V133" s="13">
        <f>_xll.BDH("GILD US Equity","ARDR_FAIR_VALUE_DERIVATIVES_NET","FQ3 2023","FQ3 2023","Currency=USD","Period=FQ","BEST_FPERIOD_OVERRIDE=FQ","FILING_STATUS=MR","SCALING_FORMAT=MLN","Sort=A","Dates=H","DateFormat=P","Fill=—","Direction=H","UseDPDF=Y")</f>
        <v>75</v>
      </c>
      <c r="W133" s="13">
        <f>_xll.BDH("GILD US Equity","ARDR_FAIR_VALUE_DERIVATIVES_NET","FQ4 2023","FQ4 2023","Currency=USD","Period=FQ","BEST_FPERIOD_OVERRIDE=FQ","FILING_STATUS=MR","SCALING_FORMAT=MLN","Sort=A","Dates=H","DateFormat=P","Fill=—","Direction=H","UseDPDF=Y")</f>
        <v>66</v>
      </c>
      <c r="X133" s="13">
        <f>_xll.BDH("GILD US Equity","ARDR_FAIR_VALUE_DERIVATIVES_NET","FQ1 2024","FQ1 2024","Currency=USD","Period=FQ","BEST_FPERIOD_OVERRIDE=FQ","FILING_STATUS=MR","SCALING_FORMAT=MLN","Sort=A","Dates=H","DateFormat=P","Fill=—","Direction=H","UseDPDF=Y")</f>
        <v>49</v>
      </c>
      <c r="Y133" s="13">
        <f>_xll.BDH("GILD US Equity","ARDR_FAIR_VALUE_DERIVATIVES_NET","FQ2 2024","FQ2 2024","Currency=USD","Period=FQ","BEST_FPERIOD_OVERRIDE=FQ","FILING_STATUS=MR","SCALING_FORMAT=MLN","Sort=A","Dates=H","DateFormat=P","Fill=—","Direction=H","UseDPDF=Y")</f>
        <v>58</v>
      </c>
      <c r="Z133" s="13">
        <f>_xll.BDH("GILD US Equity","ARDR_FAIR_VALUE_DERIVATIVES_NET","FQ3 2024","FQ3 2024","Currency=USD","Period=FQ","BEST_FPERIOD_OVERRIDE=FQ","FILING_STATUS=MR","SCALING_FORMAT=MLN","Sort=A","Dates=H","DateFormat=P","Fill=—","Direction=H","UseDPDF=Y")</f>
        <v>-42</v>
      </c>
      <c r="AA133" s="13">
        <f>_xll.BDH("GILD US Equity","ARDR_FAIR_VALUE_DERIVATIVES_NET","FQ4 2024","FQ4 2024","Currency=USD","Period=FQ","BEST_FPERIOD_OVERRIDE=FQ","FILING_STATUS=MR","SCALING_FORMAT=MLN","Sort=A","Dates=H","DateFormat=P","Fill=—","Direction=H","UseDPDF=Y")</f>
        <v>131</v>
      </c>
    </row>
    <row r="134" spans="1:27" x14ac:dyDescent="0.25">
      <c r="A134" s="10" t="s">
        <v>1125</v>
      </c>
      <c r="B134" s="10" t="s">
        <v>1126</v>
      </c>
      <c r="C134" s="13" t="str">
        <f>_xll.BDH("GILD US Equity","ARDR_PV_FUTURE_MIN_OP_LEASE_OBL","FQ4 2018","FQ4 2018","Currency=USD","Period=FQ","BEST_FPERIOD_OVERRIDE=FQ","FILING_STATUS=MR","SCALING_FORMAT=MLN","Sort=A","Dates=H","DateFormat=P","Fill=—","Direction=H","UseDPDF=Y")</f>
        <v>—</v>
      </c>
      <c r="D134" s="13">
        <f>_xll.BDH("GILD US Equity","ARDR_PV_FUTURE_MIN_OP_LEASE_OBL","FQ1 2019","FQ1 2019","Currency=USD","Period=FQ","BEST_FPERIOD_OVERRIDE=FQ","FILING_STATUS=MR","SCALING_FORMAT=MLN","Sort=A","Dates=H","DateFormat=P","Fill=—","Direction=H","UseDPDF=Y")</f>
        <v>504</v>
      </c>
      <c r="E134" s="13">
        <f>_xll.BDH("GILD US Equity","ARDR_PV_FUTURE_MIN_OP_LEASE_OBL","FQ2 2019","FQ2 2019","Currency=USD","Period=FQ","BEST_FPERIOD_OVERRIDE=FQ","FILING_STATUS=MR","SCALING_FORMAT=MLN","Sort=A","Dates=H","DateFormat=P","Fill=—","Direction=H","UseDPDF=Y")</f>
        <v>554</v>
      </c>
      <c r="F134" s="13">
        <f>_xll.BDH("GILD US Equity","ARDR_PV_FUTURE_MIN_OP_LEASE_OBL","FQ3 2019","FQ3 2019","Currency=USD","Period=FQ","BEST_FPERIOD_OVERRIDE=FQ","FILING_STATUS=MR","SCALING_FORMAT=MLN","Sort=A","Dates=H","DateFormat=P","Fill=—","Direction=H","UseDPDF=Y")</f>
        <v>712</v>
      </c>
      <c r="G134" s="13">
        <f>_xll.BDH("GILD US Equity","ARDR_PV_FUTURE_MIN_OP_LEASE_OBL","FQ4 2019","FQ4 2019","Currency=USD","Period=FQ","BEST_FPERIOD_OVERRIDE=FQ","FILING_STATUS=MR","SCALING_FORMAT=MLN","Sort=A","Dates=H","DateFormat=P","Fill=—","Direction=H","UseDPDF=Y")</f>
        <v>725</v>
      </c>
      <c r="H134" s="13" t="str">
        <f>_xll.BDH("GILD US Equity","ARDR_PV_FUTURE_MIN_OP_LEASE_OBL","FQ1 2020","FQ1 2020","Currency=USD","Period=FQ","BEST_FPERIOD_OVERRIDE=FQ","FILING_STATUS=MR","SCALING_FORMAT=MLN","Sort=A","Dates=H","DateFormat=P","Fill=—","Direction=H","UseDPDF=Y")</f>
        <v>—</v>
      </c>
      <c r="I134" s="13" t="str">
        <f>_xll.BDH("GILD US Equity","ARDR_PV_FUTURE_MIN_OP_LEASE_OBL","FQ2 2020","FQ2 2020","Currency=USD","Period=FQ","BEST_FPERIOD_OVERRIDE=FQ","FILING_STATUS=MR","SCALING_FORMAT=MLN","Sort=A","Dates=H","DateFormat=P","Fill=—","Direction=H","UseDPDF=Y")</f>
        <v>—</v>
      </c>
      <c r="J134" s="13" t="str">
        <f>_xll.BDH("GILD US Equity","ARDR_PV_FUTURE_MIN_OP_LEASE_OBL","FQ3 2020","FQ3 2020","Currency=USD","Period=FQ","BEST_FPERIOD_OVERRIDE=FQ","FILING_STATUS=MR","SCALING_FORMAT=MLN","Sort=A","Dates=H","DateFormat=P","Fill=—","Direction=H","UseDPDF=Y")</f>
        <v>—</v>
      </c>
      <c r="K134" s="13">
        <f>_xll.BDH("GILD US Equity","ARDR_PV_FUTURE_MIN_OP_LEASE_OBL","FQ4 2020","FQ4 2020","Currency=USD","Period=FQ","BEST_FPERIOD_OVERRIDE=FQ","FILING_STATUS=MR","SCALING_FORMAT=MLN","Sort=A","Dates=H","DateFormat=P","Fill=—","Direction=H","UseDPDF=Y")</f>
        <v>715</v>
      </c>
      <c r="L134" s="13" t="str">
        <f>_xll.BDH("GILD US Equity","ARDR_PV_FUTURE_MIN_OP_LEASE_OBL","FQ1 2021","FQ1 2021","Currency=USD","Period=FQ","BEST_FPERIOD_OVERRIDE=FQ","FILING_STATUS=MR","SCALING_FORMAT=MLN","Sort=A","Dates=H","DateFormat=P","Fill=—","Direction=H","UseDPDF=Y")</f>
        <v>—</v>
      </c>
      <c r="M134" s="13" t="str">
        <f>_xll.BDH("GILD US Equity","ARDR_PV_FUTURE_MIN_OP_LEASE_OBL","FQ2 2021","FQ2 2021","Currency=USD","Period=FQ","BEST_FPERIOD_OVERRIDE=FQ","FILING_STATUS=MR","SCALING_FORMAT=MLN","Sort=A","Dates=H","DateFormat=P","Fill=—","Direction=H","UseDPDF=Y")</f>
        <v>—</v>
      </c>
      <c r="N134" s="13" t="str">
        <f>_xll.BDH("GILD US Equity","ARDR_PV_FUTURE_MIN_OP_LEASE_OBL","FQ3 2021","FQ3 2021","Currency=USD","Period=FQ","BEST_FPERIOD_OVERRIDE=FQ","FILING_STATUS=MR","SCALING_FORMAT=MLN","Sort=A","Dates=H","DateFormat=P","Fill=—","Direction=H","UseDPDF=Y")</f>
        <v>—</v>
      </c>
      <c r="O134" s="13">
        <f>_xll.BDH("GILD US Equity","ARDR_PV_FUTURE_MIN_OP_LEASE_OBL","FQ4 2021","FQ4 2021","Currency=USD","Period=FQ","BEST_FPERIOD_OVERRIDE=FQ","FILING_STATUS=MR","SCALING_FORMAT=MLN","Sort=A","Dates=H","DateFormat=P","Fill=—","Direction=H","UseDPDF=Y")</f>
        <v>590</v>
      </c>
      <c r="P134" s="13" t="str">
        <f>_xll.BDH("GILD US Equity","ARDR_PV_FUTURE_MIN_OP_LEASE_OBL","FQ1 2022","FQ1 2022","Currency=USD","Period=FQ","BEST_FPERIOD_OVERRIDE=FQ","FILING_STATUS=MR","SCALING_FORMAT=MLN","Sort=A","Dates=H","DateFormat=P","Fill=—","Direction=H","UseDPDF=Y")</f>
        <v>—</v>
      </c>
      <c r="Q134" s="13" t="str">
        <f>_xll.BDH("GILD US Equity","ARDR_PV_FUTURE_MIN_OP_LEASE_OBL","FQ2 2022","FQ2 2022","Currency=USD","Period=FQ","BEST_FPERIOD_OVERRIDE=FQ","FILING_STATUS=MR","SCALING_FORMAT=MLN","Sort=A","Dates=H","DateFormat=P","Fill=—","Direction=H","UseDPDF=Y")</f>
        <v>—</v>
      </c>
      <c r="R134" s="13" t="str">
        <f>_xll.BDH("GILD US Equity","ARDR_PV_FUTURE_MIN_OP_LEASE_OBL","FQ3 2022","FQ3 2022","Currency=USD","Period=FQ","BEST_FPERIOD_OVERRIDE=FQ","FILING_STATUS=MR","SCALING_FORMAT=MLN","Sort=A","Dates=H","DateFormat=P","Fill=—","Direction=H","UseDPDF=Y")</f>
        <v>—</v>
      </c>
      <c r="S134" s="13">
        <f>_xll.BDH("GILD US Equity","ARDR_PV_FUTURE_MIN_OP_LEASE_OBL","FQ4 2022","FQ4 2022","Currency=USD","Period=FQ","BEST_FPERIOD_OVERRIDE=FQ","FILING_STATUS=MR","SCALING_FORMAT=MLN","Sort=A","Dates=H","DateFormat=P","Fill=—","Direction=H","UseDPDF=Y")</f>
        <v>578</v>
      </c>
      <c r="T134" s="13" t="str">
        <f>_xll.BDH("GILD US Equity","ARDR_PV_FUTURE_MIN_OP_LEASE_OBL","FQ1 2023","FQ1 2023","Currency=USD","Period=FQ","BEST_FPERIOD_OVERRIDE=FQ","FILING_STATUS=MR","SCALING_FORMAT=MLN","Sort=A","Dates=H","DateFormat=P","Fill=—","Direction=H","UseDPDF=Y")</f>
        <v>—</v>
      </c>
      <c r="U134" s="13" t="str">
        <f>_xll.BDH("GILD US Equity","ARDR_PV_FUTURE_MIN_OP_LEASE_OBL","FQ2 2023","FQ2 2023","Currency=USD","Period=FQ","BEST_FPERIOD_OVERRIDE=FQ","FILING_STATUS=MR","SCALING_FORMAT=MLN","Sort=A","Dates=H","DateFormat=P","Fill=—","Direction=H","UseDPDF=Y")</f>
        <v>—</v>
      </c>
      <c r="V134" s="13" t="str">
        <f>_xll.BDH("GILD US Equity","ARDR_PV_FUTURE_MIN_OP_LEASE_OBL","FQ3 2023","FQ3 2023","Currency=USD","Period=FQ","BEST_FPERIOD_OVERRIDE=FQ","FILING_STATUS=MR","SCALING_FORMAT=MLN","Sort=A","Dates=H","DateFormat=P","Fill=—","Direction=H","UseDPDF=Y")</f>
        <v>—</v>
      </c>
      <c r="W134" s="13">
        <f>_xll.BDH("GILD US Equity","ARDR_PV_FUTURE_MIN_OP_LEASE_OBL","FQ4 2023","FQ4 2023","Currency=USD","Period=FQ","BEST_FPERIOD_OVERRIDE=FQ","FILING_STATUS=MR","SCALING_FORMAT=MLN","Sort=A","Dates=H","DateFormat=P","Fill=—","Direction=H","UseDPDF=Y")</f>
        <v>671</v>
      </c>
      <c r="X134" s="13" t="str">
        <f>_xll.BDH("GILD US Equity","ARDR_PV_FUTURE_MIN_OP_LEASE_OBL","FQ1 2024","FQ1 2024","Currency=USD","Period=FQ","BEST_FPERIOD_OVERRIDE=FQ","FILING_STATUS=MR","SCALING_FORMAT=MLN","Sort=A","Dates=H","DateFormat=P","Fill=—","Direction=H","UseDPDF=Y")</f>
        <v>—</v>
      </c>
      <c r="Y134" s="13" t="str">
        <f>_xll.BDH("GILD US Equity","ARDR_PV_FUTURE_MIN_OP_LEASE_OBL","FQ2 2024","FQ2 2024","Currency=USD","Period=FQ","BEST_FPERIOD_OVERRIDE=FQ","FILING_STATUS=MR","SCALING_FORMAT=MLN","Sort=A","Dates=H","DateFormat=P","Fill=—","Direction=H","UseDPDF=Y")</f>
        <v>—</v>
      </c>
      <c r="Z134" s="13" t="str">
        <f>_xll.BDH("GILD US Equity","ARDR_PV_FUTURE_MIN_OP_LEASE_OBL","FQ3 2024","FQ3 2024","Currency=USD","Period=FQ","BEST_FPERIOD_OVERRIDE=FQ","FILING_STATUS=MR","SCALING_FORMAT=MLN","Sort=A","Dates=H","DateFormat=P","Fill=—","Direction=H","UseDPDF=Y")</f>
        <v>—</v>
      </c>
      <c r="AA134" s="13">
        <f>_xll.BDH("GILD US Equity","ARDR_PV_FUTURE_MIN_OP_LEASE_OBL","FQ4 2024","FQ4 2024","Currency=USD","Period=FQ","BEST_FPERIOD_OVERRIDE=FQ","FILING_STATUS=MR","SCALING_FORMAT=MLN","Sort=A","Dates=H","DateFormat=P","Fill=—","Direction=H","UseDPDF=Y")</f>
        <v>611</v>
      </c>
    </row>
    <row r="135" spans="1:27" x14ac:dyDescent="0.25">
      <c r="A135" s="10" t="s">
        <v>1127</v>
      </c>
      <c r="B135" s="10" t="s">
        <v>1128</v>
      </c>
      <c r="C135" s="13">
        <f>_xll.BDH("GILD US Equity","ARDR_CAPITAL_LEASE_YR_2_3","FQ4 2018","FQ4 2018","Currency=USD","Period=FQ","BEST_FPERIOD_OVERRIDE=FQ","FILING_STATUS=MR","SCALING_FORMAT=MLN","Sort=A","Dates=H","DateFormat=P","Fill=—","Direction=H","UseDPDF=Y")</f>
        <v>0</v>
      </c>
      <c r="D135" s="13" t="str">
        <f>_xll.BDH("GILD US Equity","ARDR_CAPITAL_LEASE_YR_2_3","FQ1 2019","FQ1 2019","Currency=USD","Period=FQ","BEST_FPERIOD_OVERRIDE=FQ","FILING_STATUS=MR","SCALING_FORMAT=MLN","Sort=A","Dates=H","DateFormat=P","Fill=—","Direction=H","UseDPDF=Y")</f>
        <v>—</v>
      </c>
      <c r="E135" s="13" t="str">
        <f>_xll.BDH("GILD US Equity","ARDR_CAPITAL_LEASE_YR_2_3","FQ2 2019","FQ2 2019","Currency=USD","Period=FQ","BEST_FPERIOD_OVERRIDE=FQ","FILING_STATUS=MR","SCALING_FORMAT=MLN","Sort=A","Dates=H","DateFormat=P","Fill=—","Direction=H","UseDPDF=Y")</f>
        <v>—</v>
      </c>
      <c r="F135" s="13" t="str">
        <f>_xll.BDH("GILD US Equity","ARDR_CAPITAL_LEASE_YR_2_3","FQ3 2019","FQ3 2019","Currency=USD","Period=FQ","BEST_FPERIOD_OVERRIDE=FQ","FILING_STATUS=MR","SCALING_FORMAT=MLN","Sort=A","Dates=H","DateFormat=P","Fill=—","Direction=H","UseDPDF=Y")</f>
        <v>—</v>
      </c>
      <c r="G135" s="13" t="str">
        <f>_xll.BDH("GILD US Equity","ARDR_CAPITAL_LEASE_YR_2_3","FQ4 2019","FQ4 2019","Currency=USD","Period=FQ","BEST_FPERIOD_OVERRIDE=FQ","FILING_STATUS=MR","SCALING_FORMAT=MLN","Sort=A","Dates=H","DateFormat=P","Fill=—","Direction=H","UseDPDF=Y")</f>
        <v>—</v>
      </c>
      <c r="H135" s="13" t="str">
        <f>_xll.BDH("GILD US Equity","ARDR_CAPITAL_LEASE_YR_2_3","FQ1 2020","FQ1 2020","Currency=USD","Period=FQ","BEST_FPERIOD_OVERRIDE=FQ","FILING_STATUS=MR","SCALING_FORMAT=MLN","Sort=A","Dates=H","DateFormat=P","Fill=—","Direction=H","UseDPDF=Y")</f>
        <v>—</v>
      </c>
      <c r="I135" s="13" t="str">
        <f>_xll.BDH("GILD US Equity","ARDR_CAPITAL_LEASE_YR_2_3","FQ2 2020","FQ2 2020","Currency=USD","Period=FQ","BEST_FPERIOD_OVERRIDE=FQ","FILING_STATUS=MR","SCALING_FORMAT=MLN","Sort=A","Dates=H","DateFormat=P","Fill=—","Direction=H","UseDPDF=Y")</f>
        <v>—</v>
      </c>
      <c r="J135" s="13" t="str">
        <f>_xll.BDH("GILD US Equity","ARDR_CAPITAL_LEASE_YR_2_3","FQ3 2020","FQ3 2020","Currency=USD","Period=FQ","BEST_FPERIOD_OVERRIDE=FQ","FILING_STATUS=MR","SCALING_FORMAT=MLN","Sort=A","Dates=H","DateFormat=P","Fill=—","Direction=H","UseDPDF=Y")</f>
        <v>—</v>
      </c>
      <c r="K135" s="13" t="str">
        <f>_xll.BDH("GILD US Equity","ARDR_CAPITAL_LEASE_YR_2_3","FQ4 2020","FQ4 2020","Currency=USD","Period=FQ","BEST_FPERIOD_OVERRIDE=FQ","FILING_STATUS=MR","SCALING_FORMAT=MLN","Sort=A","Dates=H","DateFormat=P","Fill=—","Direction=H","UseDPDF=Y")</f>
        <v>—</v>
      </c>
      <c r="L135" s="13" t="str">
        <f>_xll.BDH("GILD US Equity","ARDR_CAPITAL_LEASE_YR_2_3","FQ1 2021","FQ1 2021","Currency=USD","Period=FQ","BEST_FPERIOD_OVERRIDE=FQ","FILING_STATUS=MR","SCALING_FORMAT=MLN","Sort=A","Dates=H","DateFormat=P","Fill=—","Direction=H","UseDPDF=Y")</f>
        <v>—</v>
      </c>
      <c r="M135" s="13" t="str">
        <f>_xll.BDH("GILD US Equity","ARDR_CAPITAL_LEASE_YR_2_3","FQ2 2021","FQ2 2021","Currency=USD","Period=FQ","BEST_FPERIOD_OVERRIDE=FQ","FILING_STATUS=MR","SCALING_FORMAT=MLN","Sort=A","Dates=H","DateFormat=P","Fill=—","Direction=H","UseDPDF=Y")</f>
        <v>—</v>
      </c>
      <c r="N135" s="13" t="str">
        <f>_xll.BDH("GILD US Equity","ARDR_CAPITAL_LEASE_YR_2_3","FQ3 2021","FQ3 2021","Currency=USD","Period=FQ","BEST_FPERIOD_OVERRIDE=FQ","FILING_STATUS=MR","SCALING_FORMAT=MLN","Sort=A","Dates=H","DateFormat=P","Fill=—","Direction=H","UseDPDF=Y")</f>
        <v>—</v>
      </c>
      <c r="O135" s="13" t="str">
        <f>_xll.BDH("GILD US Equity","ARDR_CAPITAL_LEASE_YR_2_3","FQ4 2021","FQ4 2021","Currency=USD","Period=FQ","BEST_FPERIOD_OVERRIDE=FQ","FILING_STATUS=MR","SCALING_FORMAT=MLN","Sort=A","Dates=H","DateFormat=P","Fill=—","Direction=H","UseDPDF=Y")</f>
        <v>—</v>
      </c>
      <c r="P135" s="13" t="str">
        <f>_xll.BDH("GILD US Equity","ARDR_CAPITAL_LEASE_YR_2_3","FQ1 2022","FQ1 2022","Currency=USD","Period=FQ","BEST_FPERIOD_OVERRIDE=FQ","FILING_STATUS=MR","SCALING_FORMAT=MLN","Sort=A","Dates=H","DateFormat=P","Fill=—","Direction=H","UseDPDF=Y")</f>
        <v>—</v>
      </c>
      <c r="Q135" s="13" t="str">
        <f>_xll.BDH("GILD US Equity","ARDR_CAPITAL_LEASE_YR_2_3","FQ2 2022","FQ2 2022","Currency=USD","Period=FQ","BEST_FPERIOD_OVERRIDE=FQ","FILING_STATUS=MR","SCALING_FORMAT=MLN","Sort=A","Dates=H","DateFormat=P","Fill=—","Direction=H","UseDPDF=Y")</f>
        <v>—</v>
      </c>
      <c r="R135" s="13" t="str">
        <f>_xll.BDH("GILD US Equity","ARDR_CAPITAL_LEASE_YR_2_3","FQ3 2022","FQ3 2022","Currency=USD","Period=FQ","BEST_FPERIOD_OVERRIDE=FQ","FILING_STATUS=MR","SCALING_FORMAT=MLN","Sort=A","Dates=H","DateFormat=P","Fill=—","Direction=H","UseDPDF=Y")</f>
        <v>—</v>
      </c>
      <c r="S135" s="13" t="str">
        <f>_xll.BDH("GILD US Equity","ARDR_CAPITAL_LEASE_YR_2_3","FQ4 2022","FQ4 2022","Currency=USD","Period=FQ","BEST_FPERIOD_OVERRIDE=FQ","FILING_STATUS=MR","SCALING_FORMAT=MLN","Sort=A","Dates=H","DateFormat=P","Fill=—","Direction=H","UseDPDF=Y")</f>
        <v>—</v>
      </c>
      <c r="T135" s="13" t="str">
        <f>_xll.BDH("GILD US Equity","ARDR_CAPITAL_LEASE_YR_2_3","FQ1 2023","FQ1 2023","Currency=USD","Period=FQ","BEST_FPERIOD_OVERRIDE=FQ","FILING_STATUS=MR","SCALING_FORMAT=MLN","Sort=A","Dates=H","DateFormat=P","Fill=—","Direction=H","UseDPDF=Y")</f>
        <v>—</v>
      </c>
      <c r="U135" s="13" t="str">
        <f>_xll.BDH("GILD US Equity","ARDR_CAPITAL_LEASE_YR_2_3","FQ2 2023","FQ2 2023","Currency=USD","Period=FQ","BEST_FPERIOD_OVERRIDE=FQ","FILING_STATUS=MR","SCALING_FORMAT=MLN","Sort=A","Dates=H","DateFormat=P","Fill=—","Direction=H","UseDPDF=Y")</f>
        <v>—</v>
      </c>
      <c r="V135" s="13" t="str">
        <f>_xll.BDH("GILD US Equity","ARDR_CAPITAL_LEASE_YR_2_3","FQ3 2023","FQ3 2023","Currency=USD","Period=FQ","BEST_FPERIOD_OVERRIDE=FQ","FILING_STATUS=MR","SCALING_FORMAT=MLN","Sort=A","Dates=H","DateFormat=P","Fill=—","Direction=H","UseDPDF=Y")</f>
        <v>—</v>
      </c>
      <c r="W135" s="13" t="str">
        <f>_xll.BDH("GILD US Equity","ARDR_CAPITAL_LEASE_YR_2_3","FQ4 2023","FQ4 2023","Currency=USD","Period=FQ","BEST_FPERIOD_OVERRIDE=FQ","FILING_STATUS=MR","SCALING_FORMAT=MLN","Sort=A","Dates=H","DateFormat=P","Fill=—","Direction=H","UseDPDF=Y")</f>
        <v>—</v>
      </c>
      <c r="X135" s="13" t="str">
        <f>_xll.BDH("GILD US Equity","ARDR_CAPITAL_LEASE_YR_2_3","FQ1 2024","FQ1 2024","Currency=USD","Period=FQ","BEST_FPERIOD_OVERRIDE=FQ","FILING_STATUS=MR","SCALING_FORMAT=MLN","Sort=A","Dates=H","DateFormat=P","Fill=—","Direction=H","UseDPDF=Y")</f>
        <v>—</v>
      </c>
      <c r="Y135" s="13" t="str">
        <f>_xll.BDH("GILD US Equity","ARDR_CAPITAL_LEASE_YR_2_3","FQ2 2024","FQ2 2024","Currency=USD","Period=FQ","BEST_FPERIOD_OVERRIDE=FQ","FILING_STATUS=MR","SCALING_FORMAT=MLN","Sort=A","Dates=H","DateFormat=P","Fill=—","Direction=H","UseDPDF=Y")</f>
        <v>—</v>
      </c>
      <c r="Z135" s="13" t="str">
        <f>_xll.BDH("GILD US Equity","ARDR_CAPITAL_LEASE_YR_2_3","FQ3 2024","FQ3 2024","Currency=USD","Period=FQ","BEST_FPERIOD_OVERRIDE=FQ","FILING_STATUS=MR","SCALING_FORMAT=MLN","Sort=A","Dates=H","DateFormat=P","Fill=—","Direction=H","UseDPDF=Y")</f>
        <v>—</v>
      </c>
      <c r="AA135" s="13" t="str">
        <f>_xll.BDH("GILD US Equity","ARDR_CAPITAL_LEASE_YR_2_3","FQ4 2024","FQ4 2024","Currency=USD","Period=FQ","BEST_FPERIOD_OVERRIDE=FQ","FILING_STATUS=MR","SCALING_FORMAT=MLN","Sort=A","Dates=H","DateFormat=P","Fill=—","Direction=H","UseDPDF=Y")</f>
        <v>—</v>
      </c>
    </row>
    <row r="136" spans="1:27" x14ac:dyDescent="0.25">
      <c r="A136" s="10" t="s">
        <v>1129</v>
      </c>
      <c r="B136" s="10" t="s">
        <v>1130</v>
      </c>
      <c r="C136" s="13">
        <f>_xll.BDH("GILD US Equity","ARDR_CAPITAL_LEASE_YR_4_5","FQ4 2018","FQ4 2018","Currency=USD","Period=FQ","BEST_FPERIOD_OVERRIDE=FQ","FILING_STATUS=MR","SCALING_FORMAT=MLN","Sort=A","Dates=H","DateFormat=P","Fill=—","Direction=H","UseDPDF=Y")</f>
        <v>0</v>
      </c>
      <c r="D136" s="13" t="str">
        <f>_xll.BDH("GILD US Equity","ARDR_CAPITAL_LEASE_YR_4_5","FQ1 2019","FQ1 2019","Currency=USD","Period=FQ","BEST_FPERIOD_OVERRIDE=FQ","FILING_STATUS=MR","SCALING_FORMAT=MLN","Sort=A","Dates=H","DateFormat=P","Fill=—","Direction=H","UseDPDF=Y")</f>
        <v>—</v>
      </c>
      <c r="E136" s="13" t="str">
        <f>_xll.BDH("GILD US Equity","ARDR_CAPITAL_LEASE_YR_4_5","FQ2 2019","FQ2 2019","Currency=USD","Period=FQ","BEST_FPERIOD_OVERRIDE=FQ","FILING_STATUS=MR","SCALING_FORMAT=MLN","Sort=A","Dates=H","DateFormat=P","Fill=—","Direction=H","UseDPDF=Y")</f>
        <v>—</v>
      </c>
      <c r="F136" s="13" t="str">
        <f>_xll.BDH("GILD US Equity","ARDR_CAPITAL_LEASE_YR_4_5","FQ3 2019","FQ3 2019","Currency=USD","Period=FQ","BEST_FPERIOD_OVERRIDE=FQ","FILING_STATUS=MR","SCALING_FORMAT=MLN","Sort=A","Dates=H","DateFormat=P","Fill=—","Direction=H","UseDPDF=Y")</f>
        <v>—</v>
      </c>
      <c r="G136" s="13" t="str">
        <f>_xll.BDH("GILD US Equity","ARDR_CAPITAL_LEASE_YR_4_5","FQ4 2019","FQ4 2019","Currency=USD","Period=FQ","BEST_FPERIOD_OVERRIDE=FQ","FILING_STATUS=MR","SCALING_FORMAT=MLN","Sort=A","Dates=H","DateFormat=P","Fill=—","Direction=H","UseDPDF=Y")</f>
        <v>—</v>
      </c>
      <c r="H136" s="13" t="str">
        <f>_xll.BDH("GILD US Equity","ARDR_CAPITAL_LEASE_YR_4_5","FQ1 2020","FQ1 2020","Currency=USD","Period=FQ","BEST_FPERIOD_OVERRIDE=FQ","FILING_STATUS=MR","SCALING_FORMAT=MLN","Sort=A","Dates=H","DateFormat=P","Fill=—","Direction=H","UseDPDF=Y")</f>
        <v>—</v>
      </c>
      <c r="I136" s="13" t="str">
        <f>_xll.BDH("GILD US Equity","ARDR_CAPITAL_LEASE_YR_4_5","FQ2 2020","FQ2 2020","Currency=USD","Period=FQ","BEST_FPERIOD_OVERRIDE=FQ","FILING_STATUS=MR","SCALING_FORMAT=MLN","Sort=A","Dates=H","DateFormat=P","Fill=—","Direction=H","UseDPDF=Y")</f>
        <v>—</v>
      </c>
      <c r="J136" s="13" t="str">
        <f>_xll.BDH("GILD US Equity","ARDR_CAPITAL_LEASE_YR_4_5","FQ3 2020","FQ3 2020","Currency=USD","Period=FQ","BEST_FPERIOD_OVERRIDE=FQ","FILING_STATUS=MR","SCALING_FORMAT=MLN","Sort=A","Dates=H","DateFormat=P","Fill=—","Direction=H","UseDPDF=Y")</f>
        <v>—</v>
      </c>
      <c r="K136" s="13" t="str">
        <f>_xll.BDH("GILD US Equity","ARDR_CAPITAL_LEASE_YR_4_5","FQ4 2020","FQ4 2020","Currency=USD","Period=FQ","BEST_FPERIOD_OVERRIDE=FQ","FILING_STATUS=MR","SCALING_FORMAT=MLN","Sort=A","Dates=H","DateFormat=P","Fill=—","Direction=H","UseDPDF=Y")</f>
        <v>—</v>
      </c>
      <c r="L136" s="13" t="str">
        <f>_xll.BDH("GILD US Equity","ARDR_CAPITAL_LEASE_YR_4_5","FQ1 2021","FQ1 2021","Currency=USD","Period=FQ","BEST_FPERIOD_OVERRIDE=FQ","FILING_STATUS=MR","SCALING_FORMAT=MLN","Sort=A","Dates=H","DateFormat=P","Fill=—","Direction=H","UseDPDF=Y")</f>
        <v>—</v>
      </c>
      <c r="M136" s="13" t="str">
        <f>_xll.BDH("GILD US Equity","ARDR_CAPITAL_LEASE_YR_4_5","FQ2 2021","FQ2 2021","Currency=USD","Period=FQ","BEST_FPERIOD_OVERRIDE=FQ","FILING_STATUS=MR","SCALING_FORMAT=MLN","Sort=A","Dates=H","DateFormat=P","Fill=—","Direction=H","UseDPDF=Y")</f>
        <v>—</v>
      </c>
      <c r="N136" s="13" t="str">
        <f>_xll.BDH("GILD US Equity","ARDR_CAPITAL_LEASE_YR_4_5","FQ3 2021","FQ3 2021","Currency=USD","Period=FQ","BEST_FPERIOD_OVERRIDE=FQ","FILING_STATUS=MR","SCALING_FORMAT=MLN","Sort=A","Dates=H","DateFormat=P","Fill=—","Direction=H","UseDPDF=Y")</f>
        <v>—</v>
      </c>
      <c r="O136" s="13" t="str">
        <f>_xll.BDH("GILD US Equity","ARDR_CAPITAL_LEASE_YR_4_5","FQ4 2021","FQ4 2021","Currency=USD","Period=FQ","BEST_FPERIOD_OVERRIDE=FQ","FILING_STATUS=MR","SCALING_FORMAT=MLN","Sort=A","Dates=H","DateFormat=P","Fill=—","Direction=H","UseDPDF=Y")</f>
        <v>—</v>
      </c>
      <c r="P136" s="13" t="str">
        <f>_xll.BDH("GILD US Equity","ARDR_CAPITAL_LEASE_YR_4_5","FQ1 2022","FQ1 2022","Currency=USD","Period=FQ","BEST_FPERIOD_OVERRIDE=FQ","FILING_STATUS=MR","SCALING_FORMAT=MLN","Sort=A","Dates=H","DateFormat=P","Fill=—","Direction=H","UseDPDF=Y")</f>
        <v>—</v>
      </c>
      <c r="Q136" s="13" t="str">
        <f>_xll.BDH("GILD US Equity","ARDR_CAPITAL_LEASE_YR_4_5","FQ2 2022","FQ2 2022","Currency=USD","Period=FQ","BEST_FPERIOD_OVERRIDE=FQ","FILING_STATUS=MR","SCALING_FORMAT=MLN","Sort=A","Dates=H","DateFormat=P","Fill=—","Direction=H","UseDPDF=Y")</f>
        <v>—</v>
      </c>
      <c r="R136" s="13" t="str">
        <f>_xll.BDH("GILD US Equity","ARDR_CAPITAL_LEASE_YR_4_5","FQ3 2022","FQ3 2022","Currency=USD","Period=FQ","BEST_FPERIOD_OVERRIDE=FQ","FILING_STATUS=MR","SCALING_FORMAT=MLN","Sort=A","Dates=H","DateFormat=P","Fill=—","Direction=H","UseDPDF=Y")</f>
        <v>—</v>
      </c>
      <c r="S136" s="13" t="str">
        <f>_xll.BDH("GILD US Equity","ARDR_CAPITAL_LEASE_YR_4_5","FQ4 2022","FQ4 2022","Currency=USD","Period=FQ","BEST_FPERIOD_OVERRIDE=FQ","FILING_STATUS=MR","SCALING_FORMAT=MLN","Sort=A","Dates=H","DateFormat=P","Fill=—","Direction=H","UseDPDF=Y")</f>
        <v>—</v>
      </c>
      <c r="T136" s="13" t="str">
        <f>_xll.BDH("GILD US Equity","ARDR_CAPITAL_LEASE_YR_4_5","FQ1 2023","FQ1 2023","Currency=USD","Period=FQ","BEST_FPERIOD_OVERRIDE=FQ","FILING_STATUS=MR","SCALING_FORMAT=MLN","Sort=A","Dates=H","DateFormat=P","Fill=—","Direction=H","UseDPDF=Y")</f>
        <v>—</v>
      </c>
      <c r="U136" s="13" t="str">
        <f>_xll.BDH("GILD US Equity","ARDR_CAPITAL_LEASE_YR_4_5","FQ2 2023","FQ2 2023","Currency=USD","Period=FQ","BEST_FPERIOD_OVERRIDE=FQ","FILING_STATUS=MR","SCALING_FORMAT=MLN","Sort=A","Dates=H","DateFormat=P","Fill=—","Direction=H","UseDPDF=Y")</f>
        <v>—</v>
      </c>
      <c r="V136" s="13" t="str">
        <f>_xll.BDH("GILD US Equity","ARDR_CAPITAL_LEASE_YR_4_5","FQ3 2023","FQ3 2023","Currency=USD","Period=FQ","BEST_FPERIOD_OVERRIDE=FQ","FILING_STATUS=MR","SCALING_FORMAT=MLN","Sort=A","Dates=H","DateFormat=P","Fill=—","Direction=H","UseDPDF=Y")</f>
        <v>—</v>
      </c>
      <c r="W136" s="13" t="str">
        <f>_xll.BDH("GILD US Equity","ARDR_CAPITAL_LEASE_YR_4_5","FQ4 2023","FQ4 2023","Currency=USD","Period=FQ","BEST_FPERIOD_OVERRIDE=FQ","FILING_STATUS=MR","SCALING_FORMAT=MLN","Sort=A","Dates=H","DateFormat=P","Fill=—","Direction=H","UseDPDF=Y")</f>
        <v>—</v>
      </c>
      <c r="X136" s="13" t="str">
        <f>_xll.BDH("GILD US Equity","ARDR_CAPITAL_LEASE_YR_4_5","FQ1 2024","FQ1 2024","Currency=USD","Period=FQ","BEST_FPERIOD_OVERRIDE=FQ","FILING_STATUS=MR","SCALING_FORMAT=MLN","Sort=A","Dates=H","DateFormat=P","Fill=—","Direction=H","UseDPDF=Y")</f>
        <v>—</v>
      </c>
      <c r="Y136" s="13" t="str">
        <f>_xll.BDH("GILD US Equity","ARDR_CAPITAL_LEASE_YR_4_5","FQ2 2024","FQ2 2024","Currency=USD","Period=FQ","BEST_FPERIOD_OVERRIDE=FQ","FILING_STATUS=MR","SCALING_FORMAT=MLN","Sort=A","Dates=H","DateFormat=P","Fill=—","Direction=H","UseDPDF=Y")</f>
        <v>—</v>
      </c>
      <c r="Z136" s="13" t="str">
        <f>_xll.BDH("GILD US Equity","ARDR_CAPITAL_LEASE_YR_4_5","FQ3 2024","FQ3 2024","Currency=USD","Period=FQ","BEST_FPERIOD_OVERRIDE=FQ","FILING_STATUS=MR","SCALING_FORMAT=MLN","Sort=A","Dates=H","DateFormat=P","Fill=—","Direction=H","UseDPDF=Y")</f>
        <v>—</v>
      </c>
      <c r="AA136" s="13" t="str">
        <f>_xll.BDH("GILD US Equity","ARDR_CAPITAL_LEASE_YR_4_5","FQ4 2024","FQ4 2024","Currency=USD","Period=FQ","BEST_FPERIOD_OVERRIDE=FQ","FILING_STATUS=MR","SCALING_FORMAT=MLN","Sort=A","Dates=H","DateFormat=P","Fill=—","Direction=H","UseDPDF=Y")</f>
        <v>—</v>
      </c>
    </row>
    <row r="137" spans="1:27" x14ac:dyDescent="0.25">
      <c r="A137" s="10" t="s">
        <v>1131</v>
      </c>
      <c r="B137" s="10" t="s">
        <v>1132</v>
      </c>
      <c r="C137" s="14">
        <f>_xll.BDH("GILD US Equity","ARDR_WEI_AVG_COST_OPTIONS_GRANT","FQ4 2018","FQ4 2018","Currency=USD","Period=FQ","BEST_FPERIOD_OVERRIDE=FQ","FILING_STATUS=MR","Sort=A","Dates=H","DateFormat=P","Fill=—","Direction=H","UseDPDF=Y")</f>
        <v>17.03</v>
      </c>
      <c r="D137" s="14" t="str">
        <f>_xll.BDH("GILD US Equity","ARDR_WEI_AVG_COST_OPTIONS_GRANT","FQ1 2019","FQ1 2019","Currency=USD","Period=FQ","BEST_FPERIOD_OVERRIDE=FQ","FILING_STATUS=MR","Sort=A","Dates=H","DateFormat=P","Fill=—","Direction=H","UseDPDF=Y")</f>
        <v>—</v>
      </c>
      <c r="E137" s="14" t="str">
        <f>_xll.BDH("GILD US Equity","ARDR_WEI_AVG_COST_OPTIONS_GRANT","FQ2 2019","FQ2 2019","Currency=USD","Period=FQ","BEST_FPERIOD_OVERRIDE=FQ","FILING_STATUS=MR","Sort=A","Dates=H","DateFormat=P","Fill=—","Direction=H","UseDPDF=Y")</f>
        <v>—</v>
      </c>
      <c r="F137" s="14" t="str">
        <f>_xll.BDH("GILD US Equity","ARDR_WEI_AVG_COST_OPTIONS_GRANT","FQ3 2019","FQ3 2019","Currency=USD","Period=FQ","BEST_FPERIOD_OVERRIDE=FQ","FILING_STATUS=MR","Sort=A","Dates=H","DateFormat=P","Fill=—","Direction=H","UseDPDF=Y")</f>
        <v>—</v>
      </c>
      <c r="G137" s="14" t="str">
        <f>_xll.BDH("GILD US Equity","ARDR_WEI_AVG_COST_OPTIONS_GRANT","FQ4 2019","FQ4 2019","Currency=USD","Period=FQ","BEST_FPERIOD_OVERRIDE=FQ","FILING_STATUS=MR","Sort=A","Dates=H","DateFormat=P","Fill=—","Direction=H","UseDPDF=Y")</f>
        <v>—</v>
      </c>
      <c r="H137" s="14" t="str">
        <f>_xll.BDH("GILD US Equity","ARDR_WEI_AVG_COST_OPTIONS_GRANT","FQ1 2020","FQ1 2020","Currency=USD","Period=FQ","BEST_FPERIOD_OVERRIDE=FQ","FILING_STATUS=MR","Sort=A","Dates=H","DateFormat=P","Fill=—","Direction=H","UseDPDF=Y")</f>
        <v>—</v>
      </c>
      <c r="I137" s="14" t="str">
        <f>_xll.BDH("GILD US Equity","ARDR_WEI_AVG_COST_OPTIONS_GRANT","FQ2 2020","FQ2 2020","Currency=USD","Period=FQ","BEST_FPERIOD_OVERRIDE=FQ","FILING_STATUS=MR","Sort=A","Dates=H","DateFormat=P","Fill=—","Direction=H","UseDPDF=Y")</f>
        <v>—</v>
      </c>
      <c r="J137" s="14" t="str">
        <f>_xll.BDH("GILD US Equity","ARDR_WEI_AVG_COST_OPTIONS_GRANT","FQ3 2020","FQ3 2020","Currency=USD","Period=FQ","BEST_FPERIOD_OVERRIDE=FQ","FILING_STATUS=MR","Sort=A","Dates=H","DateFormat=P","Fill=—","Direction=H","UseDPDF=Y")</f>
        <v>—</v>
      </c>
      <c r="K137" s="14">
        <f>_xll.BDH("GILD US Equity","ARDR_WEI_AVG_COST_OPTIONS_GRANT","FQ4 2020","FQ4 2020","Currency=USD","Period=FQ","BEST_FPERIOD_OVERRIDE=FQ","FILING_STATUS=MR","Sort=A","Dates=H","DateFormat=P","Fill=—","Direction=H","UseDPDF=Y")</f>
        <v>11.69</v>
      </c>
      <c r="L137" s="14" t="str">
        <f>_xll.BDH("GILD US Equity","ARDR_WEI_AVG_COST_OPTIONS_GRANT","FQ1 2021","FQ1 2021","Currency=USD","Period=FQ","BEST_FPERIOD_OVERRIDE=FQ","FILING_STATUS=MR","Sort=A","Dates=H","DateFormat=P","Fill=—","Direction=H","UseDPDF=Y")</f>
        <v>—</v>
      </c>
      <c r="M137" s="14" t="str">
        <f>_xll.BDH("GILD US Equity","ARDR_WEI_AVG_COST_OPTIONS_GRANT","FQ2 2021","FQ2 2021","Currency=USD","Period=FQ","BEST_FPERIOD_OVERRIDE=FQ","FILING_STATUS=MR","Sort=A","Dates=H","DateFormat=P","Fill=—","Direction=H","UseDPDF=Y")</f>
        <v>—</v>
      </c>
      <c r="N137" s="14" t="str">
        <f>_xll.BDH("GILD US Equity","ARDR_WEI_AVG_COST_OPTIONS_GRANT","FQ3 2021","FQ3 2021","Currency=USD","Period=FQ","BEST_FPERIOD_OVERRIDE=FQ","FILING_STATUS=MR","Sort=A","Dates=H","DateFormat=P","Fill=—","Direction=H","UseDPDF=Y")</f>
        <v>—</v>
      </c>
      <c r="O137" s="14">
        <f>_xll.BDH("GILD US Equity","ARDR_WEI_AVG_COST_OPTIONS_GRANT","FQ4 2021","FQ4 2021","Currency=USD","Period=FQ","BEST_FPERIOD_OVERRIDE=FQ","FILING_STATUS=MR","Sort=A","Dates=H","DateFormat=P","Fill=—","Direction=H","UseDPDF=Y")</f>
        <v>10.050000000000001</v>
      </c>
      <c r="P137" s="14" t="str">
        <f>_xll.BDH("GILD US Equity","ARDR_WEI_AVG_COST_OPTIONS_GRANT","FQ1 2022","FQ1 2022","Currency=USD","Period=FQ","BEST_FPERIOD_OVERRIDE=FQ","FILING_STATUS=MR","Sort=A","Dates=H","DateFormat=P","Fill=—","Direction=H","UseDPDF=Y")</f>
        <v>—</v>
      </c>
      <c r="Q137" s="14" t="str">
        <f>_xll.BDH("GILD US Equity","ARDR_WEI_AVG_COST_OPTIONS_GRANT","FQ2 2022","FQ2 2022","Currency=USD","Period=FQ","BEST_FPERIOD_OVERRIDE=FQ","FILING_STATUS=MR","Sort=A","Dates=H","DateFormat=P","Fill=—","Direction=H","UseDPDF=Y")</f>
        <v>—</v>
      </c>
      <c r="R137" s="14" t="str">
        <f>_xll.BDH("GILD US Equity","ARDR_WEI_AVG_COST_OPTIONS_GRANT","FQ3 2022","FQ3 2022","Currency=USD","Period=FQ","BEST_FPERIOD_OVERRIDE=FQ","FILING_STATUS=MR","Sort=A","Dates=H","DateFormat=P","Fill=—","Direction=H","UseDPDF=Y")</f>
        <v>—</v>
      </c>
      <c r="S137" s="14">
        <f>_xll.BDH("GILD US Equity","ARDR_WEI_AVG_COST_OPTIONS_GRANT","FQ4 2022","FQ4 2022","Currency=USD","Period=FQ","BEST_FPERIOD_OVERRIDE=FQ","FILING_STATUS=MR","Sort=A","Dates=H","DateFormat=P","Fill=—","Direction=H","UseDPDF=Y")</f>
        <v>9.08</v>
      </c>
      <c r="T137" s="14" t="str">
        <f>_xll.BDH("GILD US Equity","ARDR_WEI_AVG_COST_OPTIONS_GRANT","FQ1 2023","FQ1 2023","Currency=USD","Period=FQ","BEST_FPERIOD_OVERRIDE=FQ","FILING_STATUS=MR","Sort=A","Dates=H","DateFormat=P","Fill=—","Direction=H","UseDPDF=Y")</f>
        <v>—</v>
      </c>
      <c r="U137" s="14" t="str">
        <f>_xll.BDH("GILD US Equity","ARDR_WEI_AVG_COST_OPTIONS_GRANT","FQ2 2023","FQ2 2023","Currency=USD","Period=FQ","BEST_FPERIOD_OVERRIDE=FQ","FILING_STATUS=MR","Sort=A","Dates=H","DateFormat=P","Fill=—","Direction=H","UseDPDF=Y")</f>
        <v>—</v>
      </c>
      <c r="V137" s="14" t="str">
        <f>_xll.BDH("GILD US Equity","ARDR_WEI_AVG_COST_OPTIONS_GRANT","FQ3 2023","FQ3 2023","Currency=USD","Period=FQ","BEST_FPERIOD_OVERRIDE=FQ","FILING_STATUS=MR","Sort=A","Dates=H","DateFormat=P","Fill=—","Direction=H","UseDPDF=Y")</f>
        <v>—</v>
      </c>
      <c r="W137" s="14">
        <f>_xll.BDH("GILD US Equity","ARDR_WEI_AVG_COST_OPTIONS_GRANT","FQ4 2023","FQ4 2023","Currency=USD","Period=FQ","BEST_FPERIOD_OVERRIDE=FQ","FILING_STATUS=MR","Sort=A","Dates=H","DateFormat=P","Fill=—","Direction=H","UseDPDF=Y")</f>
        <v>16.11</v>
      </c>
      <c r="X137" s="14" t="str">
        <f>_xll.BDH("GILD US Equity","ARDR_WEI_AVG_COST_OPTIONS_GRANT","FQ1 2024","FQ1 2024","Currency=USD","Period=FQ","BEST_FPERIOD_OVERRIDE=FQ","FILING_STATUS=MR","Sort=A","Dates=H","DateFormat=P","Fill=—","Direction=H","UseDPDF=Y")</f>
        <v>—</v>
      </c>
      <c r="Y137" s="14" t="str">
        <f>_xll.BDH("GILD US Equity","ARDR_WEI_AVG_COST_OPTIONS_GRANT","FQ2 2024","FQ2 2024","Currency=USD","Period=FQ","BEST_FPERIOD_OVERRIDE=FQ","FILING_STATUS=MR","Sort=A","Dates=H","DateFormat=P","Fill=—","Direction=H","UseDPDF=Y")</f>
        <v>—</v>
      </c>
      <c r="Z137" s="14" t="str">
        <f>_xll.BDH("GILD US Equity","ARDR_WEI_AVG_COST_OPTIONS_GRANT","FQ3 2024","FQ3 2024","Currency=USD","Period=FQ","BEST_FPERIOD_OVERRIDE=FQ","FILING_STATUS=MR","Sort=A","Dates=H","DateFormat=P","Fill=—","Direction=H","UseDPDF=Y")</f>
        <v>—</v>
      </c>
      <c r="AA137" s="14">
        <f>_xll.BDH("GILD US Equity","ARDR_WEI_AVG_COST_OPTIONS_GRANT","FQ4 2024","FQ4 2024","Currency=USD","Period=FQ","BEST_FPERIOD_OVERRIDE=FQ","FILING_STATUS=MR","Sort=A","Dates=H","DateFormat=P","Fill=—","Direction=H","UseDPDF=Y")</f>
        <v>13.7</v>
      </c>
    </row>
    <row r="138" spans="1:27" x14ac:dyDescent="0.25">
      <c r="A138" s="10" t="s">
        <v>1133</v>
      </c>
      <c r="B138" s="10" t="s">
        <v>1134</v>
      </c>
      <c r="C138" s="14">
        <f>_xll.BDH("GILD US Equity","ARDR_STOCK_OPTION_VAL_RFR","FQ4 2018","FQ4 2018","Currency=USD","Period=FQ","BEST_FPERIOD_OVERRIDE=FQ","FILING_STATUS=MR","Sort=A","Dates=H","DateFormat=P","Fill=—","Direction=H","UseDPDF=Y")</f>
        <v>2.5</v>
      </c>
      <c r="D138" s="14" t="str">
        <f>_xll.BDH("GILD US Equity","ARDR_STOCK_OPTION_VAL_RFR","FQ1 2019","FQ1 2019","Currency=USD","Period=FQ","BEST_FPERIOD_OVERRIDE=FQ","FILING_STATUS=MR","Sort=A","Dates=H","DateFormat=P","Fill=—","Direction=H","UseDPDF=Y")</f>
        <v>—</v>
      </c>
      <c r="E138" s="14" t="str">
        <f>_xll.BDH("GILD US Equity","ARDR_STOCK_OPTION_VAL_RFR","FQ2 2019","FQ2 2019","Currency=USD","Period=FQ","BEST_FPERIOD_OVERRIDE=FQ","FILING_STATUS=MR","Sort=A","Dates=H","DateFormat=P","Fill=—","Direction=H","UseDPDF=Y")</f>
        <v>—</v>
      </c>
      <c r="F138" s="14" t="str">
        <f>_xll.BDH("GILD US Equity","ARDR_STOCK_OPTION_VAL_RFR","FQ3 2019","FQ3 2019","Currency=USD","Period=FQ","BEST_FPERIOD_OVERRIDE=FQ","FILING_STATUS=MR","Sort=A","Dates=H","DateFormat=P","Fill=—","Direction=H","UseDPDF=Y")</f>
        <v>—</v>
      </c>
      <c r="G138" s="14">
        <f>_xll.BDH("GILD US Equity","ARDR_STOCK_OPTION_VAL_RFR","FQ4 2019","FQ4 2019","Currency=USD","Period=FQ","BEST_FPERIOD_OVERRIDE=FQ","FILING_STATUS=MR","Sort=A","Dates=H","DateFormat=P","Fill=—","Direction=H","UseDPDF=Y")</f>
        <v>2.2999999999999998</v>
      </c>
      <c r="H138" s="14" t="str">
        <f>_xll.BDH("GILD US Equity","ARDR_STOCK_OPTION_VAL_RFR","FQ1 2020","FQ1 2020","Currency=USD","Period=FQ","BEST_FPERIOD_OVERRIDE=FQ","FILING_STATUS=MR","Sort=A","Dates=H","DateFormat=P","Fill=—","Direction=H","UseDPDF=Y")</f>
        <v>—</v>
      </c>
      <c r="I138" s="14" t="str">
        <f>_xll.BDH("GILD US Equity","ARDR_STOCK_OPTION_VAL_RFR","FQ2 2020","FQ2 2020","Currency=USD","Period=FQ","BEST_FPERIOD_OVERRIDE=FQ","FILING_STATUS=MR","Sort=A","Dates=H","DateFormat=P","Fill=—","Direction=H","UseDPDF=Y")</f>
        <v>—</v>
      </c>
      <c r="J138" s="14" t="str">
        <f>_xll.BDH("GILD US Equity","ARDR_STOCK_OPTION_VAL_RFR","FQ3 2020","FQ3 2020","Currency=USD","Period=FQ","BEST_FPERIOD_OVERRIDE=FQ","FILING_STATUS=MR","Sort=A","Dates=H","DateFormat=P","Fill=—","Direction=H","UseDPDF=Y")</f>
        <v>—</v>
      </c>
      <c r="K138" s="14">
        <f>_xll.BDH("GILD US Equity","ARDR_STOCK_OPTION_VAL_RFR","FQ4 2020","FQ4 2020","Currency=USD","Period=FQ","BEST_FPERIOD_OVERRIDE=FQ","FILING_STATUS=MR","Sort=A","Dates=H","DateFormat=P","Fill=—","Direction=H","UseDPDF=Y")</f>
        <v>0.8</v>
      </c>
      <c r="L138" s="14" t="str">
        <f>_xll.BDH("GILD US Equity","ARDR_STOCK_OPTION_VAL_RFR","FQ1 2021","FQ1 2021","Currency=USD","Period=FQ","BEST_FPERIOD_OVERRIDE=FQ","FILING_STATUS=MR","Sort=A","Dates=H","DateFormat=P","Fill=—","Direction=H","UseDPDF=Y")</f>
        <v>—</v>
      </c>
      <c r="M138" s="14" t="str">
        <f>_xll.BDH("GILD US Equity","ARDR_STOCK_OPTION_VAL_RFR","FQ2 2021","FQ2 2021","Currency=USD","Period=FQ","BEST_FPERIOD_OVERRIDE=FQ","FILING_STATUS=MR","Sort=A","Dates=H","DateFormat=P","Fill=—","Direction=H","UseDPDF=Y")</f>
        <v>—</v>
      </c>
      <c r="N138" s="14" t="str">
        <f>_xll.BDH("GILD US Equity","ARDR_STOCK_OPTION_VAL_RFR","FQ3 2021","FQ3 2021","Currency=USD","Period=FQ","BEST_FPERIOD_OVERRIDE=FQ","FILING_STATUS=MR","Sort=A","Dates=H","DateFormat=P","Fill=—","Direction=H","UseDPDF=Y")</f>
        <v>—</v>
      </c>
      <c r="O138" s="14">
        <f>_xll.BDH("GILD US Equity","ARDR_STOCK_OPTION_VAL_RFR","FQ4 2021","FQ4 2021","Currency=USD","Period=FQ","BEST_FPERIOD_OVERRIDE=FQ","FILING_STATUS=MR","Sort=A","Dates=H","DateFormat=P","Fill=—","Direction=H","UseDPDF=Y")</f>
        <v>0.8</v>
      </c>
      <c r="P138" s="14" t="str">
        <f>_xll.BDH("GILD US Equity","ARDR_STOCK_OPTION_VAL_RFR","FQ1 2022","FQ1 2022","Currency=USD","Period=FQ","BEST_FPERIOD_OVERRIDE=FQ","FILING_STATUS=MR","Sort=A","Dates=H","DateFormat=P","Fill=—","Direction=H","UseDPDF=Y")</f>
        <v>—</v>
      </c>
      <c r="Q138" s="14" t="str">
        <f>_xll.BDH("GILD US Equity","ARDR_STOCK_OPTION_VAL_RFR","FQ2 2022","FQ2 2022","Currency=USD","Period=FQ","BEST_FPERIOD_OVERRIDE=FQ","FILING_STATUS=MR","Sort=A","Dates=H","DateFormat=P","Fill=—","Direction=H","UseDPDF=Y")</f>
        <v>—</v>
      </c>
      <c r="R138" s="14" t="str">
        <f>_xll.BDH("GILD US Equity","ARDR_STOCK_OPTION_VAL_RFR","FQ3 2022","FQ3 2022","Currency=USD","Period=FQ","BEST_FPERIOD_OVERRIDE=FQ","FILING_STATUS=MR","Sort=A","Dates=H","DateFormat=P","Fill=—","Direction=H","UseDPDF=Y")</f>
        <v>—</v>
      </c>
      <c r="S138" s="14">
        <f>_xll.BDH("GILD US Equity","ARDR_STOCK_OPTION_VAL_RFR","FQ4 2022","FQ4 2022","Currency=USD","Period=FQ","BEST_FPERIOD_OVERRIDE=FQ","FILING_STATUS=MR","Sort=A","Dates=H","DateFormat=P","Fill=—","Direction=H","UseDPDF=Y")</f>
        <v>1.9</v>
      </c>
      <c r="T138" s="14" t="str">
        <f>_xll.BDH("GILD US Equity","ARDR_STOCK_OPTION_VAL_RFR","FQ1 2023","FQ1 2023","Currency=USD","Period=FQ","BEST_FPERIOD_OVERRIDE=FQ","FILING_STATUS=MR","Sort=A","Dates=H","DateFormat=P","Fill=—","Direction=H","UseDPDF=Y")</f>
        <v>—</v>
      </c>
      <c r="U138" s="14" t="str">
        <f>_xll.BDH("GILD US Equity","ARDR_STOCK_OPTION_VAL_RFR","FQ2 2023","FQ2 2023","Currency=USD","Period=FQ","BEST_FPERIOD_OVERRIDE=FQ","FILING_STATUS=MR","Sort=A","Dates=H","DateFormat=P","Fill=—","Direction=H","UseDPDF=Y")</f>
        <v>—</v>
      </c>
      <c r="V138" s="14" t="str">
        <f>_xll.BDH("GILD US Equity","ARDR_STOCK_OPTION_VAL_RFR","FQ3 2023","FQ3 2023","Currency=USD","Period=FQ","BEST_FPERIOD_OVERRIDE=FQ","FILING_STATUS=MR","Sort=A","Dates=H","DateFormat=P","Fill=—","Direction=H","UseDPDF=Y")</f>
        <v>—</v>
      </c>
      <c r="W138" s="14">
        <f>_xll.BDH("GILD US Equity","ARDR_STOCK_OPTION_VAL_RFR","FQ4 2023","FQ4 2023","Currency=USD","Period=FQ","BEST_FPERIOD_OVERRIDE=FQ","FILING_STATUS=MR","Sort=A","Dates=H","DateFormat=P","Fill=—","Direction=H","UseDPDF=Y")</f>
        <v>4.0999999999999996</v>
      </c>
      <c r="X138" s="14" t="str">
        <f>_xll.BDH("GILD US Equity","ARDR_STOCK_OPTION_VAL_RFR","FQ1 2024","FQ1 2024","Currency=USD","Period=FQ","BEST_FPERIOD_OVERRIDE=FQ","FILING_STATUS=MR","Sort=A","Dates=H","DateFormat=P","Fill=—","Direction=H","UseDPDF=Y")</f>
        <v>—</v>
      </c>
      <c r="Y138" s="14" t="str">
        <f>_xll.BDH("GILD US Equity","ARDR_STOCK_OPTION_VAL_RFR","FQ2 2024","FQ2 2024","Currency=USD","Period=FQ","BEST_FPERIOD_OVERRIDE=FQ","FILING_STATUS=MR","Sort=A","Dates=H","DateFormat=P","Fill=—","Direction=H","UseDPDF=Y")</f>
        <v>—</v>
      </c>
      <c r="Z138" s="14" t="str">
        <f>_xll.BDH("GILD US Equity","ARDR_STOCK_OPTION_VAL_RFR","FQ3 2024","FQ3 2024","Currency=USD","Period=FQ","BEST_FPERIOD_OVERRIDE=FQ","FILING_STATUS=MR","Sort=A","Dates=H","DateFormat=P","Fill=—","Direction=H","UseDPDF=Y")</f>
        <v>—</v>
      </c>
      <c r="AA138" s="14">
        <f>_xll.BDH("GILD US Equity","ARDR_STOCK_OPTION_VAL_RFR","FQ4 2024","FQ4 2024","Currency=USD","Period=FQ","BEST_FPERIOD_OVERRIDE=FQ","FILING_STATUS=MR","Sort=A","Dates=H","DateFormat=P","Fill=—","Direction=H","UseDPDF=Y")</f>
        <v>4.0999999999999996</v>
      </c>
    </row>
    <row r="139" spans="1:27" x14ac:dyDescent="0.25">
      <c r="A139" s="10" t="s">
        <v>1135</v>
      </c>
      <c r="B139" s="10" t="s">
        <v>1136</v>
      </c>
      <c r="C139" s="14">
        <f>_xll.BDH("GILD US Equity","ARDR_STOCK_OPTION_VAL_EXP_LIFE","FQ4 2018","FQ4 2018","Currency=USD","Period=FQ","BEST_FPERIOD_OVERRIDE=FQ","FILING_STATUS=MR","Sort=A","Dates=H","DateFormat=P","Fill=—","Direction=H","UseDPDF=Y")</f>
        <v>5.2</v>
      </c>
      <c r="D139" s="14" t="str">
        <f>_xll.BDH("GILD US Equity","ARDR_STOCK_OPTION_VAL_EXP_LIFE","FQ1 2019","FQ1 2019","Currency=USD","Period=FQ","BEST_FPERIOD_OVERRIDE=FQ","FILING_STATUS=MR","Sort=A","Dates=H","DateFormat=P","Fill=—","Direction=H","UseDPDF=Y")</f>
        <v>—</v>
      </c>
      <c r="E139" s="14" t="str">
        <f>_xll.BDH("GILD US Equity","ARDR_STOCK_OPTION_VAL_EXP_LIFE","FQ2 2019","FQ2 2019","Currency=USD","Period=FQ","BEST_FPERIOD_OVERRIDE=FQ","FILING_STATUS=MR","Sort=A","Dates=H","DateFormat=P","Fill=—","Direction=H","UseDPDF=Y")</f>
        <v>—</v>
      </c>
      <c r="F139" s="14" t="str">
        <f>_xll.BDH("GILD US Equity","ARDR_STOCK_OPTION_VAL_EXP_LIFE","FQ3 2019","FQ3 2019","Currency=USD","Period=FQ","BEST_FPERIOD_OVERRIDE=FQ","FILING_STATUS=MR","Sort=A","Dates=H","DateFormat=P","Fill=—","Direction=H","UseDPDF=Y")</f>
        <v>—</v>
      </c>
      <c r="G139" s="14">
        <f>_xll.BDH("GILD US Equity","ARDR_STOCK_OPTION_VAL_EXP_LIFE","FQ4 2019","FQ4 2019","Currency=USD","Period=FQ","BEST_FPERIOD_OVERRIDE=FQ","FILING_STATUS=MR","Sort=A","Dates=H","DateFormat=P","Fill=—","Direction=H","UseDPDF=Y")</f>
        <v>5.5</v>
      </c>
      <c r="H139" s="14" t="str">
        <f>_xll.BDH("GILD US Equity","ARDR_STOCK_OPTION_VAL_EXP_LIFE","FQ1 2020","FQ1 2020","Currency=USD","Period=FQ","BEST_FPERIOD_OVERRIDE=FQ","FILING_STATUS=MR","Sort=A","Dates=H","DateFormat=P","Fill=—","Direction=H","UseDPDF=Y")</f>
        <v>—</v>
      </c>
      <c r="I139" s="14" t="str">
        <f>_xll.BDH("GILD US Equity","ARDR_STOCK_OPTION_VAL_EXP_LIFE","FQ2 2020","FQ2 2020","Currency=USD","Period=FQ","BEST_FPERIOD_OVERRIDE=FQ","FILING_STATUS=MR","Sort=A","Dates=H","DateFormat=P","Fill=—","Direction=H","UseDPDF=Y")</f>
        <v>—</v>
      </c>
      <c r="J139" s="14" t="str">
        <f>_xll.BDH("GILD US Equity","ARDR_STOCK_OPTION_VAL_EXP_LIFE","FQ3 2020","FQ3 2020","Currency=USD","Period=FQ","BEST_FPERIOD_OVERRIDE=FQ","FILING_STATUS=MR","Sort=A","Dates=H","DateFormat=P","Fill=—","Direction=H","UseDPDF=Y")</f>
        <v>—</v>
      </c>
      <c r="K139" s="14">
        <f>_xll.BDH("GILD US Equity","ARDR_STOCK_OPTION_VAL_EXP_LIFE","FQ4 2020","FQ4 2020","Currency=USD","Period=FQ","BEST_FPERIOD_OVERRIDE=FQ","FILING_STATUS=MR","Sort=A","Dates=H","DateFormat=P","Fill=—","Direction=H","UseDPDF=Y")</f>
        <v>5</v>
      </c>
      <c r="L139" s="14" t="str">
        <f>_xll.BDH("GILD US Equity","ARDR_STOCK_OPTION_VAL_EXP_LIFE","FQ1 2021","FQ1 2021","Currency=USD","Period=FQ","BEST_FPERIOD_OVERRIDE=FQ","FILING_STATUS=MR","Sort=A","Dates=H","DateFormat=P","Fill=—","Direction=H","UseDPDF=Y")</f>
        <v>—</v>
      </c>
      <c r="M139" s="14" t="str">
        <f>_xll.BDH("GILD US Equity","ARDR_STOCK_OPTION_VAL_EXP_LIFE","FQ2 2021","FQ2 2021","Currency=USD","Period=FQ","BEST_FPERIOD_OVERRIDE=FQ","FILING_STATUS=MR","Sort=A","Dates=H","DateFormat=P","Fill=—","Direction=H","UseDPDF=Y")</f>
        <v>—</v>
      </c>
      <c r="N139" s="14" t="str">
        <f>_xll.BDH("GILD US Equity","ARDR_STOCK_OPTION_VAL_EXP_LIFE","FQ3 2021","FQ3 2021","Currency=USD","Period=FQ","BEST_FPERIOD_OVERRIDE=FQ","FILING_STATUS=MR","Sort=A","Dates=H","DateFormat=P","Fill=—","Direction=H","UseDPDF=Y")</f>
        <v>—</v>
      </c>
      <c r="O139" s="14">
        <f>_xll.BDH("GILD US Equity","ARDR_STOCK_OPTION_VAL_EXP_LIFE","FQ4 2021","FQ4 2021","Currency=USD","Period=FQ","BEST_FPERIOD_OVERRIDE=FQ","FILING_STATUS=MR","Sort=A","Dates=H","DateFormat=P","Fill=—","Direction=H","UseDPDF=Y")</f>
        <v>5</v>
      </c>
      <c r="P139" s="14" t="str">
        <f>_xll.BDH("GILD US Equity","ARDR_STOCK_OPTION_VAL_EXP_LIFE","FQ1 2022","FQ1 2022","Currency=USD","Period=FQ","BEST_FPERIOD_OVERRIDE=FQ","FILING_STATUS=MR","Sort=A","Dates=H","DateFormat=P","Fill=—","Direction=H","UseDPDF=Y")</f>
        <v>—</v>
      </c>
      <c r="Q139" s="14" t="str">
        <f>_xll.BDH("GILD US Equity","ARDR_STOCK_OPTION_VAL_EXP_LIFE","FQ2 2022","FQ2 2022","Currency=USD","Period=FQ","BEST_FPERIOD_OVERRIDE=FQ","FILING_STATUS=MR","Sort=A","Dates=H","DateFormat=P","Fill=—","Direction=H","UseDPDF=Y")</f>
        <v>—</v>
      </c>
      <c r="R139" s="14" t="str">
        <f>_xll.BDH("GILD US Equity","ARDR_STOCK_OPTION_VAL_EXP_LIFE","FQ3 2022","FQ3 2022","Currency=USD","Period=FQ","BEST_FPERIOD_OVERRIDE=FQ","FILING_STATUS=MR","Sort=A","Dates=H","DateFormat=P","Fill=—","Direction=H","UseDPDF=Y")</f>
        <v>—</v>
      </c>
      <c r="S139" s="14">
        <f>_xll.BDH("GILD US Equity","ARDR_STOCK_OPTION_VAL_EXP_LIFE","FQ4 2022","FQ4 2022","Currency=USD","Period=FQ","BEST_FPERIOD_OVERRIDE=FQ","FILING_STATUS=MR","Sort=A","Dates=H","DateFormat=P","Fill=—","Direction=H","UseDPDF=Y")</f>
        <v>5</v>
      </c>
      <c r="T139" s="14" t="str">
        <f>_xll.BDH("GILD US Equity","ARDR_STOCK_OPTION_VAL_EXP_LIFE","FQ1 2023","FQ1 2023","Currency=USD","Period=FQ","BEST_FPERIOD_OVERRIDE=FQ","FILING_STATUS=MR","Sort=A","Dates=H","DateFormat=P","Fill=—","Direction=H","UseDPDF=Y")</f>
        <v>—</v>
      </c>
      <c r="U139" s="14" t="str">
        <f>_xll.BDH("GILD US Equity","ARDR_STOCK_OPTION_VAL_EXP_LIFE","FQ2 2023","FQ2 2023","Currency=USD","Period=FQ","BEST_FPERIOD_OVERRIDE=FQ","FILING_STATUS=MR","Sort=A","Dates=H","DateFormat=P","Fill=—","Direction=H","UseDPDF=Y")</f>
        <v>—</v>
      </c>
      <c r="V139" s="14" t="str">
        <f>_xll.BDH("GILD US Equity","ARDR_STOCK_OPTION_VAL_EXP_LIFE","FQ3 2023","FQ3 2023","Currency=USD","Period=FQ","BEST_FPERIOD_OVERRIDE=FQ","FILING_STATUS=MR","Sort=A","Dates=H","DateFormat=P","Fill=—","Direction=H","UseDPDF=Y")</f>
        <v>—</v>
      </c>
      <c r="W139" s="14">
        <f>_xll.BDH("GILD US Equity","ARDR_STOCK_OPTION_VAL_EXP_LIFE","FQ4 2023","FQ4 2023","Currency=USD","Period=FQ","BEST_FPERIOD_OVERRIDE=FQ","FILING_STATUS=MR","Sort=A","Dates=H","DateFormat=P","Fill=—","Direction=H","UseDPDF=Y")</f>
        <v>5</v>
      </c>
      <c r="X139" s="14" t="str">
        <f>_xll.BDH("GILD US Equity","ARDR_STOCK_OPTION_VAL_EXP_LIFE","FQ1 2024","FQ1 2024","Currency=USD","Period=FQ","BEST_FPERIOD_OVERRIDE=FQ","FILING_STATUS=MR","Sort=A","Dates=H","DateFormat=P","Fill=—","Direction=H","UseDPDF=Y")</f>
        <v>—</v>
      </c>
      <c r="Y139" s="14" t="str">
        <f>_xll.BDH("GILD US Equity","ARDR_STOCK_OPTION_VAL_EXP_LIFE","FQ2 2024","FQ2 2024","Currency=USD","Period=FQ","BEST_FPERIOD_OVERRIDE=FQ","FILING_STATUS=MR","Sort=A","Dates=H","DateFormat=P","Fill=—","Direction=H","UseDPDF=Y")</f>
        <v>—</v>
      </c>
      <c r="Z139" s="14" t="str">
        <f>_xll.BDH("GILD US Equity","ARDR_STOCK_OPTION_VAL_EXP_LIFE","FQ3 2024","FQ3 2024","Currency=USD","Period=FQ","BEST_FPERIOD_OVERRIDE=FQ","FILING_STATUS=MR","Sort=A","Dates=H","DateFormat=P","Fill=—","Direction=H","UseDPDF=Y")</f>
        <v>—</v>
      </c>
      <c r="AA139" s="14">
        <f>_xll.BDH("GILD US Equity","ARDR_STOCK_OPTION_VAL_EXP_LIFE","FQ4 2024","FQ4 2024","Currency=USD","Period=FQ","BEST_FPERIOD_OVERRIDE=FQ","FILING_STATUS=MR","Sort=A","Dates=H","DateFormat=P","Fill=—","Direction=H","UseDPDF=Y")</f>
        <v>5</v>
      </c>
    </row>
    <row r="140" spans="1:27" x14ac:dyDescent="0.25">
      <c r="A140" s="10" t="s">
        <v>1137</v>
      </c>
      <c r="B140" s="10" t="s">
        <v>1138</v>
      </c>
      <c r="C140" s="14">
        <f>_xll.BDH("GILD US Equity","ARDR_STOCK_OPTION_VAL_EXP_VOL","FQ4 2018","FQ4 2018","Currency=USD","Period=FQ","BEST_FPERIOD_OVERRIDE=FQ","FILING_STATUS=MR","Sort=A","Dates=H","DateFormat=P","Fill=—","Direction=H","UseDPDF=Y")</f>
        <v>28</v>
      </c>
      <c r="D140" s="14" t="str">
        <f>_xll.BDH("GILD US Equity","ARDR_STOCK_OPTION_VAL_EXP_VOL","FQ1 2019","FQ1 2019","Currency=USD","Period=FQ","BEST_FPERIOD_OVERRIDE=FQ","FILING_STATUS=MR","Sort=A","Dates=H","DateFormat=P","Fill=—","Direction=H","UseDPDF=Y")</f>
        <v>—</v>
      </c>
      <c r="E140" s="14" t="str">
        <f>_xll.BDH("GILD US Equity","ARDR_STOCK_OPTION_VAL_EXP_VOL","FQ2 2019","FQ2 2019","Currency=USD","Period=FQ","BEST_FPERIOD_OVERRIDE=FQ","FILING_STATUS=MR","Sort=A","Dates=H","DateFormat=P","Fill=—","Direction=H","UseDPDF=Y")</f>
        <v>—</v>
      </c>
      <c r="F140" s="14" t="str">
        <f>_xll.BDH("GILD US Equity","ARDR_STOCK_OPTION_VAL_EXP_VOL","FQ3 2019","FQ3 2019","Currency=USD","Period=FQ","BEST_FPERIOD_OVERRIDE=FQ","FILING_STATUS=MR","Sort=A","Dates=H","DateFormat=P","Fill=—","Direction=H","UseDPDF=Y")</f>
        <v>—</v>
      </c>
      <c r="G140" s="14">
        <f>_xll.BDH("GILD US Equity","ARDR_STOCK_OPTION_VAL_EXP_VOL","FQ4 2019","FQ4 2019","Currency=USD","Period=FQ","BEST_FPERIOD_OVERRIDE=FQ","FILING_STATUS=MR","Sort=A","Dates=H","DateFormat=P","Fill=—","Direction=H","UseDPDF=Y")</f>
        <v>27</v>
      </c>
      <c r="H140" s="14" t="str">
        <f>_xll.BDH("GILD US Equity","ARDR_STOCK_OPTION_VAL_EXP_VOL","FQ1 2020","FQ1 2020","Currency=USD","Period=FQ","BEST_FPERIOD_OVERRIDE=FQ","FILING_STATUS=MR","Sort=A","Dates=H","DateFormat=P","Fill=—","Direction=H","UseDPDF=Y")</f>
        <v>—</v>
      </c>
      <c r="I140" s="14" t="str">
        <f>_xll.BDH("GILD US Equity","ARDR_STOCK_OPTION_VAL_EXP_VOL","FQ2 2020","FQ2 2020","Currency=USD","Period=FQ","BEST_FPERIOD_OVERRIDE=FQ","FILING_STATUS=MR","Sort=A","Dates=H","DateFormat=P","Fill=—","Direction=H","UseDPDF=Y")</f>
        <v>—</v>
      </c>
      <c r="J140" s="14" t="str">
        <f>_xll.BDH("GILD US Equity","ARDR_STOCK_OPTION_VAL_EXP_VOL","FQ3 2020","FQ3 2020","Currency=USD","Period=FQ","BEST_FPERIOD_OVERRIDE=FQ","FILING_STATUS=MR","Sort=A","Dates=H","DateFormat=P","Fill=—","Direction=H","UseDPDF=Y")</f>
        <v>—</v>
      </c>
      <c r="K140" s="14">
        <f>_xll.BDH("GILD US Equity","ARDR_STOCK_OPTION_VAL_EXP_VOL","FQ4 2020","FQ4 2020","Currency=USD","Period=FQ","BEST_FPERIOD_OVERRIDE=FQ","FILING_STATUS=MR","Sort=A","Dates=H","DateFormat=P","Fill=—","Direction=H","UseDPDF=Y")</f>
        <v>29</v>
      </c>
      <c r="L140" s="14" t="str">
        <f>_xll.BDH("GILD US Equity","ARDR_STOCK_OPTION_VAL_EXP_VOL","FQ1 2021","FQ1 2021","Currency=USD","Period=FQ","BEST_FPERIOD_OVERRIDE=FQ","FILING_STATUS=MR","Sort=A","Dates=H","DateFormat=P","Fill=—","Direction=H","UseDPDF=Y")</f>
        <v>—</v>
      </c>
      <c r="M140" s="14" t="str">
        <f>_xll.BDH("GILD US Equity","ARDR_STOCK_OPTION_VAL_EXP_VOL","FQ2 2021","FQ2 2021","Currency=USD","Period=FQ","BEST_FPERIOD_OVERRIDE=FQ","FILING_STATUS=MR","Sort=A","Dates=H","DateFormat=P","Fill=—","Direction=H","UseDPDF=Y")</f>
        <v>—</v>
      </c>
      <c r="N140" s="14" t="str">
        <f>_xll.BDH("GILD US Equity","ARDR_STOCK_OPTION_VAL_EXP_VOL","FQ3 2021","FQ3 2021","Currency=USD","Period=FQ","BEST_FPERIOD_OVERRIDE=FQ","FILING_STATUS=MR","Sort=A","Dates=H","DateFormat=P","Fill=—","Direction=H","UseDPDF=Y")</f>
        <v>—</v>
      </c>
      <c r="O140" s="14">
        <f>_xll.BDH("GILD US Equity","ARDR_STOCK_OPTION_VAL_EXP_VOL","FQ4 2021","FQ4 2021","Currency=USD","Period=FQ","BEST_FPERIOD_OVERRIDE=FQ","FILING_STATUS=MR","Sort=A","Dates=H","DateFormat=P","Fill=—","Direction=H","UseDPDF=Y")</f>
        <v>29</v>
      </c>
      <c r="P140" s="14" t="str">
        <f>_xll.BDH("GILD US Equity","ARDR_STOCK_OPTION_VAL_EXP_VOL","FQ1 2022","FQ1 2022","Currency=USD","Period=FQ","BEST_FPERIOD_OVERRIDE=FQ","FILING_STATUS=MR","Sort=A","Dates=H","DateFormat=P","Fill=—","Direction=H","UseDPDF=Y")</f>
        <v>—</v>
      </c>
      <c r="Q140" s="14" t="str">
        <f>_xll.BDH("GILD US Equity","ARDR_STOCK_OPTION_VAL_EXP_VOL","FQ2 2022","FQ2 2022","Currency=USD","Period=FQ","BEST_FPERIOD_OVERRIDE=FQ","FILING_STATUS=MR","Sort=A","Dates=H","DateFormat=P","Fill=—","Direction=H","UseDPDF=Y")</f>
        <v>—</v>
      </c>
      <c r="R140" s="14" t="str">
        <f>_xll.BDH("GILD US Equity","ARDR_STOCK_OPTION_VAL_EXP_VOL","FQ3 2022","FQ3 2022","Currency=USD","Period=FQ","BEST_FPERIOD_OVERRIDE=FQ","FILING_STATUS=MR","Sort=A","Dates=H","DateFormat=P","Fill=—","Direction=H","UseDPDF=Y")</f>
        <v>—</v>
      </c>
      <c r="S140" s="14">
        <f>_xll.BDH("GILD US Equity","ARDR_STOCK_OPTION_VAL_EXP_VOL","FQ4 2022","FQ4 2022","Currency=USD","Period=FQ","BEST_FPERIOD_OVERRIDE=FQ","FILING_STATUS=MR","Sort=A","Dates=H","DateFormat=P","Fill=—","Direction=H","UseDPDF=Y")</f>
        <v>27</v>
      </c>
      <c r="T140" s="14" t="str">
        <f>_xll.BDH("GILD US Equity","ARDR_STOCK_OPTION_VAL_EXP_VOL","FQ1 2023","FQ1 2023","Currency=USD","Period=FQ","BEST_FPERIOD_OVERRIDE=FQ","FILING_STATUS=MR","Sort=A","Dates=H","DateFormat=P","Fill=—","Direction=H","UseDPDF=Y")</f>
        <v>—</v>
      </c>
      <c r="U140" s="14" t="str">
        <f>_xll.BDH("GILD US Equity","ARDR_STOCK_OPTION_VAL_EXP_VOL","FQ2 2023","FQ2 2023","Currency=USD","Period=FQ","BEST_FPERIOD_OVERRIDE=FQ","FILING_STATUS=MR","Sort=A","Dates=H","DateFormat=P","Fill=—","Direction=H","UseDPDF=Y")</f>
        <v>—</v>
      </c>
      <c r="V140" s="14" t="str">
        <f>_xll.BDH("GILD US Equity","ARDR_STOCK_OPTION_VAL_EXP_VOL","FQ3 2023","FQ3 2023","Currency=USD","Period=FQ","BEST_FPERIOD_OVERRIDE=FQ","FILING_STATUS=MR","Sort=A","Dates=H","DateFormat=P","Fill=—","Direction=H","UseDPDF=Y")</f>
        <v>—</v>
      </c>
      <c r="W140" s="14">
        <f>_xll.BDH("GILD US Equity","ARDR_STOCK_OPTION_VAL_EXP_VOL","FQ4 2023","FQ4 2023","Currency=USD","Period=FQ","BEST_FPERIOD_OVERRIDE=FQ","FILING_STATUS=MR","Sort=A","Dates=H","DateFormat=P","Fill=—","Direction=H","UseDPDF=Y")</f>
        <v>26</v>
      </c>
      <c r="X140" s="14" t="str">
        <f>_xll.BDH("GILD US Equity","ARDR_STOCK_OPTION_VAL_EXP_VOL","FQ1 2024","FQ1 2024","Currency=USD","Period=FQ","BEST_FPERIOD_OVERRIDE=FQ","FILING_STATUS=MR","Sort=A","Dates=H","DateFormat=P","Fill=—","Direction=H","UseDPDF=Y")</f>
        <v>—</v>
      </c>
      <c r="Y140" s="14" t="str">
        <f>_xll.BDH("GILD US Equity","ARDR_STOCK_OPTION_VAL_EXP_VOL","FQ2 2024","FQ2 2024","Currency=USD","Period=FQ","BEST_FPERIOD_OVERRIDE=FQ","FILING_STATUS=MR","Sort=A","Dates=H","DateFormat=P","Fill=—","Direction=H","UseDPDF=Y")</f>
        <v>—</v>
      </c>
      <c r="Z140" s="14" t="str">
        <f>_xll.BDH("GILD US Equity","ARDR_STOCK_OPTION_VAL_EXP_VOL","FQ3 2024","FQ3 2024","Currency=USD","Period=FQ","BEST_FPERIOD_OVERRIDE=FQ","FILING_STATUS=MR","Sort=A","Dates=H","DateFormat=P","Fill=—","Direction=H","UseDPDF=Y")</f>
        <v>—</v>
      </c>
      <c r="AA140" s="14">
        <f>_xll.BDH("GILD US Equity","ARDR_STOCK_OPTION_VAL_EXP_VOL","FQ4 2024","FQ4 2024","Currency=USD","Period=FQ","BEST_FPERIOD_OVERRIDE=FQ","FILING_STATUS=MR","Sort=A","Dates=H","DateFormat=P","Fill=—","Direction=H","UseDPDF=Y")</f>
        <v>25</v>
      </c>
    </row>
    <row r="141" spans="1:27" x14ac:dyDescent="0.25">
      <c r="A141" s="10" t="s">
        <v>1139</v>
      </c>
      <c r="B141" s="10" t="s">
        <v>1140</v>
      </c>
      <c r="C141" s="14">
        <f>_xll.BDH("GILD US Equity","ARDR_STOCK_OPTION_VAL_DVD_YLD","FQ4 2018","FQ4 2018","Currency=USD","Period=FQ","BEST_FPERIOD_OVERRIDE=FQ","FILING_STATUS=MR","Sort=A","Dates=H","DateFormat=P","Fill=—","Direction=H","UseDPDF=Y")</f>
        <v>2.8</v>
      </c>
      <c r="D141" s="14" t="str">
        <f>_xll.BDH("GILD US Equity","ARDR_STOCK_OPTION_VAL_DVD_YLD","FQ1 2019","FQ1 2019","Currency=USD","Period=FQ","BEST_FPERIOD_OVERRIDE=FQ","FILING_STATUS=MR","Sort=A","Dates=H","DateFormat=P","Fill=—","Direction=H","UseDPDF=Y")</f>
        <v>—</v>
      </c>
      <c r="E141" s="14" t="str">
        <f>_xll.BDH("GILD US Equity","ARDR_STOCK_OPTION_VAL_DVD_YLD","FQ2 2019","FQ2 2019","Currency=USD","Period=FQ","BEST_FPERIOD_OVERRIDE=FQ","FILING_STATUS=MR","Sort=A","Dates=H","DateFormat=P","Fill=—","Direction=H","UseDPDF=Y")</f>
        <v>—</v>
      </c>
      <c r="F141" s="14" t="str">
        <f>_xll.BDH("GILD US Equity","ARDR_STOCK_OPTION_VAL_DVD_YLD","FQ3 2019","FQ3 2019","Currency=USD","Period=FQ","BEST_FPERIOD_OVERRIDE=FQ","FILING_STATUS=MR","Sort=A","Dates=H","DateFormat=P","Fill=—","Direction=H","UseDPDF=Y")</f>
        <v>—</v>
      </c>
      <c r="G141" s="14">
        <f>_xll.BDH("GILD US Equity","ARDR_STOCK_OPTION_VAL_DVD_YLD","FQ4 2019","FQ4 2019","Currency=USD","Period=FQ","BEST_FPERIOD_OVERRIDE=FQ","FILING_STATUS=MR","Sort=A","Dates=H","DateFormat=P","Fill=—","Direction=H","UseDPDF=Y")</f>
        <v>3.6</v>
      </c>
      <c r="H141" s="14" t="str">
        <f>_xll.BDH("GILD US Equity","ARDR_STOCK_OPTION_VAL_DVD_YLD","FQ1 2020","FQ1 2020","Currency=USD","Period=FQ","BEST_FPERIOD_OVERRIDE=FQ","FILING_STATUS=MR","Sort=A","Dates=H","DateFormat=P","Fill=—","Direction=H","UseDPDF=Y")</f>
        <v>—</v>
      </c>
      <c r="I141" s="14" t="str">
        <f>_xll.BDH("GILD US Equity","ARDR_STOCK_OPTION_VAL_DVD_YLD","FQ2 2020","FQ2 2020","Currency=USD","Period=FQ","BEST_FPERIOD_OVERRIDE=FQ","FILING_STATUS=MR","Sort=A","Dates=H","DateFormat=P","Fill=—","Direction=H","UseDPDF=Y")</f>
        <v>—</v>
      </c>
      <c r="J141" s="14" t="str">
        <f>_xll.BDH("GILD US Equity","ARDR_STOCK_OPTION_VAL_DVD_YLD","FQ3 2020","FQ3 2020","Currency=USD","Period=FQ","BEST_FPERIOD_OVERRIDE=FQ","FILING_STATUS=MR","Sort=A","Dates=H","DateFormat=P","Fill=—","Direction=H","UseDPDF=Y")</f>
        <v>—</v>
      </c>
      <c r="K141" s="14">
        <f>_xll.BDH("GILD US Equity","ARDR_STOCK_OPTION_VAL_DVD_YLD","FQ4 2020","FQ4 2020","Currency=USD","Period=FQ","BEST_FPERIOD_OVERRIDE=FQ","FILING_STATUS=MR","Sort=A","Dates=H","DateFormat=P","Fill=—","Direction=H","UseDPDF=Y")</f>
        <v>4</v>
      </c>
      <c r="L141" s="14" t="str">
        <f>_xll.BDH("GILD US Equity","ARDR_STOCK_OPTION_VAL_DVD_YLD","FQ1 2021","FQ1 2021","Currency=USD","Period=FQ","BEST_FPERIOD_OVERRIDE=FQ","FILING_STATUS=MR","Sort=A","Dates=H","DateFormat=P","Fill=—","Direction=H","UseDPDF=Y")</f>
        <v>—</v>
      </c>
      <c r="M141" s="14" t="str">
        <f>_xll.BDH("GILD US Equity","ARDR_STOCK_OPTION_VAL_DVD_YLD","FQ2 2021","FQ2 2021","Currency=USD","Period=FQ","BEST_FPERIOD_OVERRIDE=FQ","FILING_STATUS=MR","Sort=A","Dates=H","DateFormat=P","Fill=—","Direction=H","UseDPDF=Y")</f>
        <v>—</v>
      </c>
      <c r="N141" s="14" t="str">
        <f>_xll.BDH("GILD US Equity","ARDR_STOCK_OPTION_VAL_DVD_YLD","FQ3 2021","FQ3 2021","Currency=USD","Period=FQ","BEST_FPERIOD_OVERRIDE=FQ","FILING_STATUS=MR","Sort=A","Dates=H","DateFormat=P","Fill=—","Direction=H","UseDPDF=Y")</f>
        <v>—</v>
      </c>
      <c r="O141" s="14">
        <f>_xll.BDH("GILD US Equity","ARDR_STOCK_OPTION_VAL_DVD_YLD","FQ4 2021","FQ4 2021","Currency=USD","Period=FQ","BEST_FPERIOD_OVERRIDE=FQ","FILING_STATUS=MR","Sort=A","Dates=H","DateFormat=P","Fill=—","Direction=H","UseDPDF=Y")</f>
        <v>4.4000000000000004</v>
      </c>
      <c r="P141" s="14" t="str">
        <f>_xll.BDH("GILD US Equity","ARDR_STOCK_OPTION_VAL_DVD_YLD","FQ1 2022","FQ1 2022","Currency=USD","Period=FQ","BEST_FPERIOD_OVERRIDE=FQ","FILING_STATUS=MR","Sort=A","Dates=H","DateFormat=P","Fill=—","Direction=H","UseDPDF=Y")</f>
        <v>—</v>
      </c>
      <c r="Q141" s="14" t="str">
        <f>_xll.BDH("GILD US Equity","ARDR_STOCK_OPTION_VAL_DVD_YLD","FQ2 2022","FQ2 2022","Currency=USD","Period=FQ","BEST_FPERIOD_OVERRIDE=FQ","FILING_STATUS=MR","Sort=A","Dates=H","DateFormat=P","Fill=—","Direction=H","UseDPDF=Y")</f>
        <v>—</v>
      </c>
      <c r="R141" s="14" t="str">
        <f>_xll.BDH("GILD US Equity","ARDR_STOCK_OPTION_VAL_DVD_YLD","FQ3 2022","FQ3 2022","Currency=USD","Period=FQ","BEST_FPERIOD_OVERRIDE=FQ","FILING_STATUS=MR","Sort=A","Dates=H","DateFormat=P","Fill=—","Direction=H","UseDPDF=Y")</f>
        <v>—</v>
      </c>
      <c r="S141" s="14">
        <f>_xll.BDH("GILD US Equity","ARDR_STOCK_OPTION_VAL_DVD_YLD","FQ4 2022","FQ4 2022","Currency=USD","Period=FQ","BEST_FPERIOD_OVERRIDE=FQ","FILING_STATUS=MR","Sort=A","Dates=H","DateFormat=P","Fill=—","Direction=H","UseDPDF=Y")</f>
        <v>4.3</v>
      </c>
      <c r="T141" s="14" t="str">
        <f>_xll.BDH("GILD US Equity","ARDR_STOCK_OPTION_VAL_DVD_YLD","FQ1 2023","FQ1 2023","Currency=USD","Period=FQ","BEST_FPERIOD_OVERRIDE=FQ","FILING_STATUS=MR","Sort=A","Dates=H","DateFormat=P","Fill=—","Direction=H","UseDPDF=Y")</f>
        <v>—</v>
      </c>
      <c r="U141" s="14" t="str">
        <f>_xll.BDH("GILD US Equity","ARDR_STOCK_OPTION_VAL_DVD_YLD","FQ2 2023","FQ2 2023","Currency=USD","Period=FQ","BEST_FPERIOD_OVERRIDE=FQ","FILING_STATUS=MR","Sort=A","Dates=H","DateFormat=P","Fill=—","Direction=H","UseDPDF=Y")</f>
        <v>—</v>
      </c>
      <c r="V141" s="14" t="str">
        <f>_xll.BDH("GILD US Equity","ARDR_STOCK_OPTION_VAL_DVD_YLD","FQ3 2023","FQ3 2023","Currency=USD","Period=FQ","BEST_FPERIOD_OVERRIDE=FQ","FILING_STATUS=MR","Sort=A","Dates=H","DateFormat=P","Fill=—","Direction=H","UseDPDF=Y")</f>
        <v>—</v>
      </c>
      <c r="W141" s="14">
        <f>_xll.BDH("GILD US Equity","ARDR_STOCK_OPTION_VAL_DVD_YLD","FQ4 2023","FQ4 2023","Currency=USD","Period=FQ","BEST_FPERIOD_OVERRIDE=FQ","FILING_STATUS=MR","Sort=A","Dates=H","DateFormat=P","Fill=—","Direction=H","UseDPDF=Y")</f>
        <v>7.2</v>
      </c>
      <c r="X141" s="14" t="str">
        <f>_xll.BDH("GILD US Equity","ARDR_STOCK_OPTION_VAL_DVD_YLD","FQ1 2024","FQ1 2024","Currency=USD","Period=FQ","BEST_FPERIOD_OVERRIDE=FQ","FILING_STATUS=MR","Sort=A","Dates=H","DateFormat=P","Fill=—","Direction=H","UseDPDF=Y")</f>
        <v>—</v>
      </c>
      <c r="Y141" s="14" t="str">
        <f>_xll.BDH("GILD US Equity","ARDR_STOCK_OPTION_VAL_DVD_YLD","FQ2 2024","FQ2 2024","Currency=USD","Period=FQ","BEST_FPERIOD_OVERRIDE=FQ","FILING_STATUS=MR","Sort=A","Dates=H","DateFormat=P","Fill=—","Direction=H","UseDPDF=Y")</f>
        <v>—</v>
      </c>
      <c r="Z141" s="14" t="str">
        <f>_xll.BDH("GILD US Equity","ARDR_STOCK_OPTION_VAL_DVD_YLD","FQ3 2024","FQ3 2024","Currency=USD","Period=FQ","BEST_FPERIOD_OVERRIDE=FQ","FILING_STATUS=MR","Sort=A","Dates=H","DateFormat=P","Fill=—","Direction=H","UseDPDF=Y")</f>
        <v>—</v>
      </c>
      <c r="AA141" s="14">
        <f>_xll.BDH("GILD US Equity","ARDR_STOCK_OPTION_VAL_DVD_YLD","FQ4 2024","FQ4 2024","Currency=USD","Period=FQ","BEST_FPERIOD_OVERRIDE=FQ","FILING_STATUS=MR","Sort=A","Dates=H","DateFormat=P","Fill=—","Direction=H","UseDPDF=Y")</f>
        <v>3.9</v>
      </c>
    </row>
    <row r="142" spans="1:27" x14ac:dyDescent="0.25">
      <c r="A142" s="10" t="s">
        <v>1141</v>
      </c>
      <c r="B142" s="10" t="s">
        <v>1142</v>
      </c>
      <c r="C142" s="14">
        <f>_xll.BDH("GILD US Equity","ARDR_AVG_EXER_PX_OPT_EXERCISABLE","FQ4 2018","FQ4 2018","Currency=USD","Period=FQ","BEST_FPERIOD_OVERRIDE=FQ","FILING_STATUS=MR","Sort=A","Dates=H","DateFormat=P","Fill=—","Direction=H","UseDPDF=Y")</f>
        <v>45.67</v>
      </c>
      <c r="D142" s="14" t="str">
        <f>_xll.BDH("GILD US Equity","ARDR_AVG_EXER_PX_OPT_EXERCISABLE","FQ1 2019","FQ1 2019","Currency=USD","Period=FQ","BEST_FPERIOD_OVERRIDE=FQ","FILING_STATUS=MR","Sort=A","Dates=H","DateFormat=P","Fill=—","Direction=H","UseDPDF=Y")</f>
        <v>—</v>
      </c>
      <c r="E142" s="14" t="str">
        <f>_xll.BDH("GILD US Equity","ARDR_AVG_EXER_PX_OPT_EXERCISABLE","FQ2 2019","FQ2 2019","Currency=USD","Period=FQ","BEST_FPERIOD_OVERRIDE=FQ","FILING_STATUS=MR","Sort=A","Dates=H","DateFormat=P","Fill=—","Direction=H","UseDPDF=Y")</f>
        <v>—</v>
      </c>
      <c r="F142" s="14" t="str">
        <f>_xll.BDH("GILD US Equity","ARDR_AVG_EXER_PX_OPT_EXERCISABLE","FQ3 2019","FQ3 2019","Currency=USD","Period=FQ","BEST_FPERIOD_OVERRIDE=FQ","FILING_STATUS=MR","Sort=A","Dates=H","DateFormat=P","Fill=—","Direction=H","UseDPDF=Y")</f>
        <v>—</v>
      </c>
      <c r="G142" s="14" t="str">
        <f>_xll.BDH("GILD US Equity","ARDR_AVG_EXER_PX_OPT_EXERCISABLE","FQ4 2019","FQ4 2019","Currency=USD","Period=FQ","BEST_FPERIOD_OVERRIDE=FQ","FILING_STATUS=MR","Sort=A","Dates=H","DateFormat=P","Fill=—","Direction=H","UseDPDF=Y")</f>
        <v>—</v>
      </c>
      <c r="H142" s="14" t="str">
        <f>_xll.BDH("GILD US Equity","ARDR_AVG_EXER_PX_OPT_EXERCISABLE","FQ1 2020","FQ1 2020","Currency=USD","Period=FQ","BEST_FPERIOD_OVERRIDE=FQ","FILING_STATUS=MR","Sort=A","Dates=H","DateFormat=P","Fill=—","Direction=H","UseDPDF=Y")</f>
        <v>—</v>
      </c>
      <c r="I142" s="14" t="str">
        <f>_xll.BDH("GILD US Equity","ARDR_AVG_EXER_PX_OPT_EXERCISABLE","FQ2 2020","FQ2 2020","Currency=USD","Period=FQ","BEST_FPERIOD_OVERRIDE=FQ","FILING_STATUS=MR","Sort=A","Dates=H","DateFormat=P","Fill=—","Direction=H","UseDPDF=Y")</f>
        <v>—</v>
      </c>
      <c r="J142" s="14" t="str">
        <f>_xll.BDH("GILD US Equity","ARDR_AVG_EXER_PX_OPT_EXERCISABLE","FQ3 2020","FQ3 2020","Currency=USD","Period=FQ","BEST_FPERIOD_OVERRIDE=FQ","FILING_STATUS=MR","Sort=A","Dates=H","DateFormat=P","Fill=—","Direction=H","UseDPDF=Y")</f>
        <v>—</v>
      </c>
      <c r="K142" s="14">
        <f>_xll.BDH("GILD US Equity","ARDR_AVG_EXER_PX_OPT_EXERCISABLE","FQ4 2020","FQ4 2020","Currency=USD","Period=FQ","BEST_FPERIOD_OVERRIDE=FQ","FILING_STATUS=MR","Sort=A","Dates=H","DateFormat=P","Fill=—","Direction=H","UseDPDF=Y")</f>
        <v>68.849999999999994</v>
      </c>
      <c r="L142" s="14" t="str">
        <f>_xll.BDH("GILD US Equity","ARDR_AVG_EXER_PX_OPT_EXERCISABLE","FQ1 2021","FQ1 2021","Currency=USD","Period=FQ","BEST_FPERIOD_OVERRIDE=FQ","FILING_STATUS=MR","Sort=A","Dates=H","DateFormat=P","Fill=—","Direction=H","UseDPDF=Y")</f>
        <v>—</v>
      </c>
      <c r="M142" s="14" t="str">
        <f>_xll.BDH("GILD US Equity","ARDR_AVG_EXER_PX_OPT_EXERCISABLE","FQ2 2021","FQ2 2021","Currency=USD","Period=FQ","BEST_FPERIOD_OVERRIDE=FQ","FILING_STATUS=MR","Sort=A","Dates=H","DateFormat=P","Fill=—","Direction=H","UseDPDF=Y")</f>
        <v>—</v>
      </c>
      <c r="N142" s="14" t="str">
        <f>_xll.BDH("GILD US Equity","ARDR_AVG_EXER_PX_OPT_EXERCISABLE","FQ3 2021","FQ3 2021","Currency=USD","Period=FQ","BEST_FPERIOD_OVERRIDE=FQ","FILING_STATUS=MR","Sort=A","Dates=H","DateFormat=P","Fill=—","Direction=H","UseDPDF=Y")</f>
        <v>—</v>
      </c>
      <c r="O142" s="14">
        <f>_xll.BDH("GILD US Equity","ARDR_AVG_EXER_PX_OPT_EXERCISABLE","FQ4 2021","FQ4 2021","Currency=USD","Period=FQ","BEST_FPERIOD_OVERRIDE=FQ","FILING_STATUS=MR","Sort=A","Dates=H","DateFormat=P","Fill=—","Direction=H","UseDPDF=Y")</f>
        <v>72.430000000000007</v>
      </c>
      <c r="P142" s="14" t="str">
        <f>_xll.BDH("GILD US Equity","ARDR_AVG_EXER_PX_OPT_EXERCISABLE","FQ1 2022","FQ1 2022","Currency=USD","Period=FQ","BEST_FPERIOD_OVERRIDE=FQ","FILING_STATUS=MR","Sort=A","Dates=H","DateFormat=P","Fill=—","Direction=H","UseDPDF=Y")</f>
        <v>—</v>
      </c>
      <c r="Q142" s="14" t="str">
        <f>_xll.BDH("GILD US Equity","ARDR_AVG_EXER_PX_OPT_EXERCISABLE","FQ2 2022","FQ2 2022","Currency=USD","Period=FQ","BEST_FPERIOD_OVERRIDE=FQ","FILING_STATUS=MR","Sort=A","Dates=H","DateFormat=P","Fill=—","Direction=H","UseDPDF=Y")</f>
        <v>—</v>
      </c>
      <c r="R142" s="14" t="str">
        <f>_xll.BDH("GILD US Equity","ARDR_AVG_EXER_PX_OPT_EXERCISABLE","FQ3 2022","FQ3 2022","Currency=USD","Period=FQ","BEST_FPERIOD_OVERRIDE=FQ","FILING_STATUS=MR","Sort=A","Dates=H","DateFormat=P","Fill=—","Direction=H","UseDPDF=Y")</f>
        <v>—</v>
      </c>
      <c r="S142" s="14">
        <f>_xll.BDH("GILD US Equity","ARDR_AVG_EXER_PX_OPT_EXERCISABLE","FQ4 2022","FQ4 2022","Currency=USD","Period=FQ","BEST_FPERIOD_OVERRIDE=FQ","FILING_STATUS=MR","Sort=A","Dates=H","DateFormat=P","Fill=—","Direction=H","UseDPDF=Y")</f>
        <v>72.319999999999993</v>
      </c>
      <c r="T142" s="14" t="str">
        <f>_xll.BDH("GILD US Equity","ARDR_AVG_EXER_PX_OPT_EXERCISABLE","FQ1 2023","FQ1 2023","Currency=USD","Period=FQ","BEST_FPERIOD_OVERRIDE=FQ","FILING_STATUS=MR","Sort=A","Dates=H","DateFormat=P","Fill=—","Direction=H","UseDPDF=Y")</f>
        <v>—</v>
      </c>
      <c r="U142" s="14" t="str">
        <f>_xll.BDH("GILD US Equity","ARDR_AVG_EXER_PX_OPT_EXERCISABLE","FQ2 2023","FQ2 2023","Currency=USD","Period=FQ","BEST_FPERIOD_OVERRIDE=FQ","FILING_STATUS=MR","Sort=A","Dates=H","DateFormat=P","Fill=—","Direction=H","UseDPDF=Y")</f>
        <v>—</v>
      </c>
      <c r="V142" s="14" t="str">
        <f>_xll.BDH("GILD US Equity","ARDR_AVG_EXER_PX_OPT_EXERCISABLE","FQ3 2023","FQ3 2023","Currency=USD","Period=FQ","BEST_FPERIOD_OVERRIDE=FQ","FILING_STATUS=MR","Sort=A","Dates=H","DateFormat=P","Fill=—","Direction=H","UseDPDF=Y")</f>
        <v>—</v>
      </c>
      <c r="W142" s="14">
        <f>_xll.BDH("GILD US Equity","ARDR_AVG_EXER_PX_OPT_EXERCISABLE","FQ4 2023","FQ4 2023","Currency=USD","Period=FQ","BEST_FPERIOD_OVERRIDE=FQ","FILING_STATUS=MR","Sort=A","Dates=H","DateFormat=P","Fill=—","Direction=H","UseDPDF=Y")</f>
        <v>70</v>
      </c>
      <c r="X142" s="14" t="str">
        <f>_xll.BDH("GILD US Equity","ARDR_AVG_EXER_PX_OPT_EXERCISABLE","FQ1 2024","FQ1 2024","Currency=USD","Period=FQ","BEST_FPERIOD_OVERRIDE=FQ","FILING_STATUS=MR","Sort=A","Dates=H","DateFormat=P","Fill=—","Direction=H","UseDPDF=Y")</f>
        <v>—</v>
      </c>
      <c r="Y142" s="14" t="str">
        <f>_xll.BDH("GILD US Equity","ARDR_AVG_EXER_PX_OPT_EXERCISABLE","FQ2 2024","FQ2 2024","Currency=USD","Period=FQ","BEST_FPERIOD_OVERRIDE=FQ","FILING_STATUS=MR","Sort=A","Dates=H","DateFormat=P","Fill=—","Direction=H","UseDPDF=Y")</f>
        <v>—</v>
      </c>
      <c r="Z142" s="14" t="str">
        <f>_xll.BDH("GILD US Equity","ARDR_AVG_EXER_PX_OPT_EXERCISABLE","FQ3 2024","FQ3 2024","Currency=USD","Period=FQ","BEST_FPERIOD_OVERRIDE=FQ","FILING_STATUS=MR","Sort=A","Dates=H","DateFormat=P","Fill=—","Direction=H","UseDPDF=Y")</f>
        <v>—</v>
      </c>
      <c r="AA142" s="14">
        <f>_xll.BDH("GILD US Equity","ARDR_AVG_EXER_PX_OPT_EXERCISABLE","FQ4 2024","FQ4 2024","Currency=USD","Period=FQ","BEST_FPERIOD_OVERRIDE=FQ","FILING_STATUS=MR","Sort=A","Dates=H","DateFormat=P","Fill=—","Direction=H","UseDPDF=Y")</f>
        <v>68.72</v>
      </c>
    </row>
    <row r="143" spans="1:27" x14ac:dyDescent="0.25">
      <c r="A143" s="10" t="s">
        <v>1143</v>
      </c>
      <c r="B143" s="10" t="s">
        <v>1144</v>
      </c>
      <c r="C143" s="14">
        <f>_xll.BDH("GILD US Equity","ARDR_AVG_EXER_PX_OPT_OUTSTANDING","FQ4 2018","FQ4 2018","Currency=USD","Period=FQ","BEST_FPERIOD_OVERRIDE=FQ","FILING_STATUS=MR","Sort=A","Dates=H","DateFormat=P","Fill=—","Direction=H","UseDPDF=Y")</f>
        <v>53.8</v>
      </c>
      <c r="D143" s="14" t="str">
        <f>_xll.BDH("GILD US Equity","ARDR_AVG_EXER_PX_OPT_OUTSTANDING","FQ1 2019","FQ1 2019","Currency=USD","Period=FQ","BEST_FPERIOD_OVERRIDE=FQ","FILING_STATUS=MR","Sort=A","Dates=H","DateFormat=P","Fill=—","Direction=H","UseDPDF=Y")</f>
        <v>—</v>
      </c>
      <c r="E143" s="14" t="str">
        <f>_xll.BDH("GILD US Equity","ARDR_AVG_EXER_PX_OPT_OUTSTANDING","FQ2 2019","FQ2 2019","Currency=USD","Period=FQ","BEST_FPERIOD_OVERRIDE=FQ","FILING_STATUS=MR","Sort=A","Dates=H","DateFormat=P","Fill=—","Direction=H","UseDPDF=Y")</f>
        <v>—</v>
      </c>
      <c r="F143" s="14" t="str">
        <f>_xll.BDH("GILD US Equity","ARDR_AVG_EXER_PX_OPT_OUTSTANDING","FQ3 2019","FQ3 2019","Currency=USD","Period=FQ","BEST_FPERIOD_OVERRIDE=FQ","FILING_STATUS=MR","Sort=A","Dates=H","DateFormat=P","Fill=—","Direction=H","UseDPDF=Y")</f>
        <v>—</v>
      </c>
      <c r="G143" s="14" t="str">
        <f>_xll.BDH("GILD US Equity","ARDR_AVG_EXER_PX_OPT_OUTSTANDING","FQ4 2019","FQ4 2019","Currency=USD","Period=FQ","BEST_FPERIOD_OVERRIDE=FQ","FILING_STATUS=MR","Sort=A","Dates=H","DateFormat=P","Fill=—","Direction=H","UseDPDF=Y")</f>
        <v>—</v>
      </c>
      <c r="H143" s="14" t="str">
        <f>_xll.BDH("GILD US Equity","ARDR_AVG_EXER_PX_OPT_OUTSTANDING","FQ1 2020","FQ1 2020","Currency=USD","Period=FQ","BEST_FPERIOD_OVERRIDE=FQ","FILING_STATUS=MR","Sort=A","Dates=H","DateFormat=P","Fill=—","Direction=H","UseDPDF=Y")</f>
        <v>—</v>
      </c>
      <c r="I143" s="14" t="str">
        <f>_xll.BDH("GILD US Equity","ARDR_AVG_EXER_PX_OPT_OUTSTANDING","FQ2 2020","FQ2 2020","Currency=USD","Period=FQ","BEST_FPERIOD_OVERRIDE=FQ","FILING_STATUS=MR","Sort=A","Dates=H","DateFormat=P","Fill=—","Direction=H","UseDPDF=Y")</f>
        <v>—</v>
      </c>
      <c r="J143" s="14" t="str">
        <f>_xll.BDH("GILD US Equity","ARDR_AVG_EXER_PX_OPT_OUTSTANDING","FQ3 2020","FQ3 2020","Currency=USD","Period=FQ","BEST_FPERIOD_OVERRIDE=FQ","FILING_STATUS=MR","Sort=A","Dates=H","DateFormat=P","Fill=—","Direction=H","UseDPDF=Y")</f>
        <v>—</v>
      </c>
      <c r="K143" s="14">
        <f>_xll.BDH("GILD US Equity","ARDR_AVG_EXER_PX_OPT_OUTSTANDING","FQ4 2020","FQ4 2020","Currency=USD","Period=FQ","BEST_FPERIOD_OVERRIDE=FQ","FILING_STATUS=MR","Sort=A","Dates=H","DateFormat=P","Fill=—","Direction=H","UseDPDF=Y")</f>
        <v>69.400000000000006</v>
      </c>
      <c r="L143" s="14" t="str">
        <f>_xll.BDH("GILD US Equity","ARDR_AVG_EXER_PX_OPT_OUTSTANDING","FQ1 2021","FQ1 2021","Currency=USD","Period=FQ","BEST_FPERIOD_OVERRIDE=FQ","FILING_STATUS=MR","Sort=A","Dates=H","DateFormat=P","Fill=—","Direction=H","UseDPDF=Y")</f>
        <v>—</v>
      </c>
      <c r="M143" s="14" t="str">
        <f>_xll.BDH("GILD US Equity","ARDR_AVG_EXER_PX_OPT_OUTSTANDING","FQ2 2021","FQ2 2021","Currency=USD","Period=FQ","BEST_FPERIOD_OVERRIDE=FQ","FILING_STATUS=MR","Sort=A","Dates=H","DateFormat=P","Fill=—","Direction=H","UseDPDF=Y")</f>
        <v>—</v>
      </c>
      <c r="N143" s="14" t="str">
        <f>_xll.BDH("GILD US Equity","ARDR_AVG_EXER_PX_OPT_OUTSTANDING","FQ3 2021","FQ3 2021","Currency=USD","Period=FQ","BEST_FPERIOD_OVERRIDE=FQ","FILING_STATUS=MR","Sort=A","Dates=H","DateFormat=P","Fill=—","Direction=H","UseDPDF=Y")</f>
        <v>—</v>
      </c>
      <c r="O143" s="14">
        <f>_xll.BDH("GILD US Equity","ARDR_AVG_EXER_PX_OPT_OUTSTANDING","FQ4 2021","FQ4 2021","Currency=USD","Period=FQ","BEST_FPERIOD_OVERRIDE=FQ","FILING_STATUS=MR","Sort=A","Dates=H","DateFormat=P","Fill=—","Direction=H","UseDPDF=Y")</f>
        <v>70.599999999999994</v>
      </c>
      <c r="P143" s="14" t="str">
        <f>_xll.BDH("GILD US Equity","ARDR_AVG_EXER_PX_OPT_OUTSTANDING","FQ1 2022","FQ1 2022","Currency=USD","Period=FQ","BEST_FPERIOD_OVERRIDE=FQ","FILING_STATUS=MR","Sort=A","Dates=H","DateFormat=P","Fill=—","Direction=H","UseDPDF=Y")</f>
        <v>—</v>
      </c>
      <c r="Q143" s="14" t="str">
        <f>_xll.BDH("GILD US Equity","ARDR_AVG_EXER_PX_OPT_OUTSTANDING","FQ2 2022","FQ2 2022","Currency=USD","Period=FQ","BEST_FPERIOD_OVERRIDE=FQ","FILING_STATUS=MR","Sort=A","Dates=H","DateFormat=P","Fill=—","Direction=H","UseDPDF=Y")</f>
        <v>—</v>
      </c>
      <c r="R143" s="14" t="str">
        <f>_xll.BDH("GILD US Equity","ARDR_AVG_EXER_PX_OPT_OUTSTANDING","FQ3 2022","FQ3 2022","Currency=USD","Period=FQ","BEST_FPERIOD_OVERRIDE=FQ","FILING_STATUS=MR","Sort=A","Dates=H","DateFormat=P","Fill=—","Direction=H","UseDPDF=Y")</f>
        <v>—</v>
      </c>
      <c r="S143" s="14">
        <f>_xll.BDH("GILD US Equity","ARDR_AVG_EXER_PX_OPT_OUTSTANDING","FQ4 2022","FQ4 2022","Currency=USD","Period=FQ","BEST_FPERIOD_OVERRIDE=FQ","FILING_STATUS=MR","Sort=A","Dates=H","DateFormat=P","Fill=—","Direction=H","UseDPDF=Y")</f>
        <v>67.69</v>
      </c>
      <c r="T143" s="14" t="str">
        <f>_xll.BDH("GILD US Equity","ARDR_AVG_EXER_PX_OPT_OUTSTANDING","FQ1 2023","FQ1 2023","Currency=USD","Period=FQ","BEST_FPERIOD_OVERRIDE=FQ","FILING_STATUS=MR","Sort=A","Dates=H","DateFormat=P","Fill=—","Direction=H","UseDPDF=Y")</f>
        <v>—</v>
      </c>
      <c r="U143" s="14" t="str">
        <f>_xll.BDH("GILD US Equity","ARDR_AVG_EXER_PX_OPT_OUTSTANDING","FQ2 2023","FQ2 2023","Currency=USD","Period=FQ","BEST_FPERIOD_OVERRIDE=FQ","FILING_STATUS=MR","Sort=A","Dates=H","DateFormat=P","Fill=—","Direction=H","UseDPDF=Y")</f>
        <v>—</v>
      </c>
      <c r="V143" s="14" t="str">
        <f>_xll.BDH("GILD US Equity","ARDR_AVG_EXER_PX_OPT_OUTSTANDING","FQ3 2023","FQ3 2023","Currency=USD","Period=FQ","BEST_FPERIOD_OVERRIDE=FQ","FILING_STATUS=MR","Sort=A","Dates=H","DateFormat=P","Fill=—","Direction=H","UseDPDF=Y")</f>
        <v>—</v>
      </c>
      <c r="W143" s="14">
        <f>_xll.BDH("GILD US Equity","ARDR_AVG_EXER_PX_OPT_OUTSTANDING","FQ4 2023","FQ4 2023","Currency=USD","Period=FQ","BEST_FPERIOD_OVERRIDE=FQ","FILING_STATUS=MR","Sort=A","Dates=H","DateFormat=P","Fill=—","Direction=H","UseDPDF=Y")</f>
        <v>69.38</v>
      </c>
      <c r="X143" s="14" t="str">
        <f>_xll.BDH("GILD US Equity","ARDR_AVG_EXER_PX_OPT_OUTSTANDING","FQ1 2024","FQ1 2024","Currency=USD","Period=FQ","BEST_FPERIOD_OVERRIDE=FQ","FILING_STATUS=MR","Sort=A","Dates=H","DateFormat=P","Fill=—","Direction=H","UseDPDF=Y")</f>
        <v>—</v>
      </c>
      <c r="Y143" s="14" t="str">
        <f>_xll.BDH("GILD US Equity","ARDR_AVG_EXER_PX_OPT_OUTSTANDING","FQ2 2024","FQ2 2024","Currency=USD","Period=FQ","BEST_FPERIOD_OVERRIDE=FQ","FILING_STATUS=MR","Sort=A","Dates=H","DateFormat=P","Fill=—","Direction=H","UseDPDF=Y")</f>
        <v>—</v>
      </c>
      <c r="Z143" s="14" t="str">
        <f>_xll.BDH("GILD US Equity","ARDR_AVG_EXER_PX_OPT_OUTSTANDING","FQ3 2024","FQ3 2024","Currency=USD","Period=FQ","BEST_FPERIOD_OVERRIDE=FQ","FILING_STATUS=MR","Sort=A","Dates=H","DateFormat=P","Fill=—","Direction=H","UseDPDF=Y")</f>
        <v>—</v>
      </c>
      <c r="AA143" s="14">
        <f>_xll.BDH("GILD US Equity","ARDR_AVG_EXER_PX_OPT_OUTSTANDING","FQ4 2024","FQ4 2024","Currency=USD","Period=FQ","BEST_FPERIOD_OVERRIDE=FQ","FILING_STATUS=MR","Sort=A","Dates=H","DateFormat=P","Fill=—","Direction=H","UseDPDF=Y")</f>
        <v>69.849999999999994</v>
      </c>
    </row>
    <row r="144" spans="1:27" x14ac:dyDescent="0.25">
      <c r="A144" s="10" t="s">
        <v>1145</v>
      </c>
      <c r="B144" s="10" t="s">
        <v>1146</v>
      </c>
      <c r="C144" s="13">
        <f>_xll.BDH("GILD US Equity","ARDR_OPTIONS_EXERCISABLE","FQ4 2018","FQ4 2018","Currency=USD","Period=FQ","BEST_FPERIOD_OVERRIDE=FQ","FILING_STATUS=MR","Sort=A","Dates=H","DateFormat=P","Fill=—","Direction=H","UseDPDF=Y")</f>
        <v>15.521000000000001</v>
      </c>
      <c r="D144" s="13" t="str">
        <f>_xll.BDH("GILD US Equity","ARDR_OPTIONS_EXERCISABLE","FQ1 2019","FQ1 2019","Currency=USD","Period=FQ","BEST_FPERIOD_OVERRIDE=FQ","FILING_STATUS=MR","Sort=A","Dates=H","DateFormat=P","Fill=—","Direction=H","UseDPDF=Y")</f>
        <v>—</v>
      </c>
      <c r="E144" s="13" t="str">
        <f>_xll.BDH("GILD US Equity","ARDR_OPTIONS_EXERCISABLE","FQ2 2019","FQ2 2019","Currency=USD","Period=FQ","BEST_FPERIOD_OVERRIDE=FQ","FILING_STATUS=MR","Sort=A","Dates=H","DateFormat=P","Fill=—","Direction=H","UseDPDF=Y")</f>
        <v>—</v>
      </c>
      <c r="F144" s="13" t="str">
        <f>_xll.BDH("GILD US Equity","ARDR_OPTIONS_EXERCISABLE","FQ3 2019","FQ3 2019","Currency=USD","Period=FQ","BEST_FPERIOD_OVERRIDE=FQ","FILING_STATUS=MR","Sort=A","Dates=H","DateFormat=P","Fill=—","Direction=H","UseDPDF=Y")</f>
        <v>—</v>
      </c>
      <c r="G144" s="13">
        <f>_xll.BDH("GILD US Equity","ARDR_OPTIONS_EXERCISABLE","FQ4 2019","FQ4 2019","Currency=USD","Period=FQ","BEST_FPERIOD_OVERRIDE=FQ","FILING_STATUS=MR","Sort=A","Dates=H","DateFormat=P","Fill=—","Direction=H","UseDPDF=Y")</f>
        <v>14.3</v>
      </c>
      <c r="H144" s="13" t="str">
        <f>_xll.BDH("GILD US Equity","ARDR_OPTIONS_EXERCISABLE","FQ1 2020","FQ1 2020","Currency=USD","Period=FQ","BEST_FPERIOD_OVERRIDE=FQ","FILING_STATUS=MR","Sort=A","Dates=H","DateFormat=P","Fill=—","Direction=H","UseDPDF=Y")</f>
        <v>—</v>
      </c>
      <c r="I144" s="13" t="str">
        <f>_xll.BDH("GILD US Equity","ARDR_OPTIONS_EXERCISABLE","FQ2 2020","FQ2 2020","Currency=USD","Period=FQ","BEST_FPERIOD_OVERRIDE=FQ","FILING_STATUS=MR","Sort=A","Dates=H","DateFormat=P","Fill=—","Direction=H","UseDPDF=Y")</f>
        <v>—</v>
      </c>
      <c r="J144" s="13" t="str">
        <f>_xll.BDH("GILD US Equity","ARDR_OPTIONS_EXERCISABLE","FQ3 2020","FQ3 2020","Currency=USD","Period=FQ","BEST_FPERIOD_OVERRIDE=FQ","FILING_STATUS=MR","Sort=A","Dates=H","DateFormat=P","Fill=—","Direction=H","UseDPDF=Y")</f>
        <v>—</v>
      </c>
      <c r="K144" s="13">
        <f>_xll.BDH("GILD US Equity","ARDR_OPTIONS_EXERCISABLE","FQ4 2020","FQ4 2020","Currency=USD","Period=FQ","BEST_FPERIOD_OVERRIDE=FQ","FILING_STATUS=MR","Sort=A","Dates=H","DateFormat=P","Fill=—","Direction=H","UseDPDF=Y")</f>
        <v>11.6</v>
      </c>
      <c r="L144" s="13" t="str">
        <f>_xll.BDH("GILD US Equity","ARDR_OPTIONS_EXERCISABLE","FQ1 2021","FQ1 2021","Currency=USD","Period=FQ","BEST_FPERIOD_OVERRIDE=FQ","FILING_STATUS=MR","Sort=A","Dates=H","DateFormat=P","Fill=—","Direction=H","UseDPDF=Y")</f>
        <v>—</v>
      </c>
      <c r="M144" s="13" t="str">
        <f>_xll.BDH("GILD US Equity","ARDR_OPTIONS_EXERCISABLE","FQ2 2021","FQ2 2021","Currency=USD","Period=FQ","BEST_FPERIOD_OVERRIDE=FQ","FILING_STATUS=MR","Sort=A","Dates=H","DateFormat=P","Fill=—","Direction=H","UseDPDF=Y")</f>
        <v>—</v>
      </c>
      <c r="N144" s="13" t="str">
        <f>_xll.BDH("GILD US Equity","ARDR_OPTIONS_EXERCISABLE","FQ3 2021","FQ3 2021","Currency=USD","Period=FQ","BEST_FPERIOD_OVERRIDE=FQ","FILING_STATUS=MR","Sort=A","Dates=H","DateFormat=P","Fill=—","Direction=H","UseDPDF=Y")</f>
        <v>—</v>
      </c>
      <c r="O144" s="13">
        <f>_xll.BDH("GILD US Equity","ARDR_OPTIONS_EXERCISABLE","FQ4 2021","FQ4 2021","Currency=USD","Period=FQ","BEST_FPERIOD_OVERRIDE=FQ","FILING_STATUS=MR","Sort=A","Dates=H","DateFormat=P","Fill=—","Direction=H","UseDPDF=Y")</f>
        <v>11.2</v>
      </c>
      <c r="P144" s="13" t="str">
        <f>_xll.BDH("GILD US Equity","ARDR_OPTIONS_EXERCISABLE","FQ1 2022","FQ1 2022","Currency=USD","Period=FQ","BEST_FPERIOD_OVERRIDE=FQ","FILING_STATUS=MR","Sort=A","Dates=H","DateFormat=P","Fill=—","Direction=H","UseDPDF=Y")</f>
        <v>—</v>
      </c>
      <c r="Q144" s="13" t="str">
        <f>_xll.BDH("GILD US Equity","ARDR_OPTIONS_EXERCISABLE","FQ2 2022","FQ2 2022","Currency=USD","Period=FQ","BEST_FPERIOD_OVERRIDE=FQ","FILING_STATUS=MR","Sort=A","Dates=H","DateFormat=P","Fill=—","Direction=H","UseDPDF=Y")</f>
        <v>—</v>
      </c>
      <c r="R144" s="13" t="str">
        <f>_xll.BDH("GILD US Equity","ARDR_OPTIONS_EXERCISABLE","FQ3 2022","FQ3 2022","Currency=USD","Period=FQ","BEST_FPERIOD_OVERRIDE=FQ","FILING_STATUS=MR","Sort=A","Dates=H","DateFormat=P","Fill=—","Direction=H","UseDPDF=Y")</f>
        <v>—</v>
      </c>
      <c r="S144" s="13">
        <f>_xll.BDH("GILD US Equity","ARDR_OPTIONS_EXERCISABLE","FQ4 2022","FQ4 2022","Currency=USD","Period=FQ","BEST_FPERIOD_OVERRIDE=FQ","FILING_STATUS=MR","Sort=A","Dates=H","DateFormat=P","Fill=—","Direction=H","UseDPDF=Y")</f>
        <v>7.9</v>
      </c>
      <c r="T144" s="13" t="str">
        <f>_xll.BDH("GILD US Equity","ARDR_OPTIONS_EXERCISABLE","FQ1 2023","FQ1 2023","Currency=USD","Period=FQ","BEST_FPERIOD_OVERRIDE=FQ","FILING_STATUS=MR","Sort=A","Dates=H","DateFormat=P","Fill=—","Direction=H","UseDPDF=Y")</f>
        <v>—</v>
      </c>
      <c r="U144" s="13" t="str">
        <f>_xll.BDH("GILD US Equity","ARDR_OPTIONS_EXERCISABLE","FQ2 2023","FQ2 2023","Currency=USD","Period=FQ","BEST_FPERIOD_OVERRIDE=FQ","FILING_STATUS=MR","Sort=A","Dates=H","DateFormat=P","Fill=—","Direction=H","UseDPDF=Y")</f>
        <v>—</v>
      </c>
      <c r="V144" s="13" t="str">
        <f>_xll.BDH("GILD US Equity","ARDR_OPTIONS_EXERCISABLE","FQ3 2023","FQ3 2023","Currency=USD","Period=FQ","BEST_FPERIOD_OVERRIDE=FQ","FILING_STATUS=MR","Sort=A","Dates=H","DateFormat=P","Fill=—","Direction=H","UseDPDF=Y")</f>
        <v>—</v>
      </c>
      <c r="W144" s="13">
        <f>_xll.BDH("GILD US Equity","ARDR_OPTIONS_EXERCISABLE","FQ4 2023","FQ4 2023","Currency=USD","Period=FQ","BEST_FPERIOD_OVERRIDE=FQ","FILING_STATUS=MR","Sort=A","Dates=H","DateFormat=P","Fill=—","Direction=H","UseDPDF=Y")</f>
        <v>9.1999999999999993</v>
      </c>
      <c r="X144" s="13" t="str">
        <f>_xll.BDH("GILD US Equity","ARDR_OPTIONS_EXERCISABLE","FQ1 2024","FQ1 2024","Currency=USD","Period=FQ","BEST_FPERIOD_OVERRIDE=FQ","FILING_STATUS=MR","Sort=A","Dates=H","DateFormat=P","Fill=—","Direction=H","UseDPDF=Y")</f>
        <v>—</v>
      </c>
      <c r="Y144" s="13" t="str">
        <f>_xll.BDH("GILD US Equity","ARDR_OPTIONS_EXERCISABLE","FQ2 2024","FQ2 2024","Currency=USD","Period=FQ","BEST_FPERIOD_OVERRIDE=FQ","FILING_STATUS=MR","Sort=A","Dates=H","DateFormat=P","Fill=—","Direction=H","UseDPDF=Y")</f>
        <v>—</v>
      </c>
      <c r="Z144" s="13" t="str">
        <f>_xll.BDH("GILD US Equity","ARDR_OPTIONS_EXERCISABLE","FQ3 2024","FQ3 2024","Currency=USD","Period=FQ","BEST_FPERIOD_OVERRIDE=FQ","FILING_STATUS=MR","Sort=A","Dates=H","DateFormat=P","Fill=—","Direction=H","UseDPDF=Y")</f>
        <v>—</v>
      </c>
      <c r="AA144" s="13">
        <f>_xll.BDH("GILD US Equity","ARDR_OPTIONS_EXERCISABLE","FQ4 2024","FQ4 2024","Currency=USD","Period=FQ","BEST_FPERIOD_OVERRIDE=FQ","FILING_STATUS=MR","Sort=A","Dates=H","DateFormat=P","Fill=—","Direction=H","UseDPDF=Y")</f>
        <v>7.4</v>
      </c>
    </row>
    <row r="145" spans="1:27" x14ac:dyDescent="0.25">
      <c r="A145" s="10" t="s">
        <v>1147</v>
      </c>
      <c r="B145" s="10" t="s">
        <v>1148</v>
      </c>
      <c r="C145" s="13">
        <f>_xll.BDH("GILD US Equity","ARDR_DEFERRED_TAX_ALLOWANCE","FQ4 2018","FQ4 2018","Currency=USD","Period=FQ","BEST_FPERIOD_OVERRIDE=FQ","FILING_STATUS=MR","SCALING_FORMAT=MLN","Sort=A","Dates=H","DateFormat=P","Fill=—","Direction=H","UseDPDF=Y")</f>
        <v>331</v>
      </c>
      <c r="D145" s="13" t="str">
        <f>_xll.BDH("GILD US Equity","ARDR_DEFERRED_TAX_ALLOWANCE","FQ1 2019","FQ1 2019","Currency=USD","Period=FQ","BEST_FPERIOD_OVERRIDE=FQ","FILING_STATUS=MR","SCALING_FORMAT=MLN","Sort=A","Dates=H","DateFormat=P","Fill=—","Direction=H","UseDPDF=Y")</f>
        <v>—</v>
      </c>
      <c r="E145" s="13" t="str">
        <f>_xll.BDH("GILD US Equity","ARDR_DEFERRED_TAX_ALLOWANCE","FQ2 2019","FQ2 2019","Currency=USD","Period=FQ","BEST_FPERIOD_OVERRIDE=FQ","FILING_STATUS=MR","SCALING_FORMAT=MLN","Sort=A","Dates=H","DateFormat=P","Fill=—","Direction=H","UseDPDF=Y")</f>
        <v>—</v>
      </c>
      <c r="F145" s="13" t="str">
        <f>_xll.BDH("GILD US Equity","ARDR_DEFERRED_TAX_ALLOWANCE","FQ3 2019","FQ3 2019","Currency=USD","Period=FQ","BEST_FPERIOD_OVERRIDE=FQ","FILING_STATUS=MR","SCALING_FORMAT=MLN","Sort=A","Dates=H","DateFormat=P","Fill=—","Direction=H","UseDPDF=Y")</f>
        <v>—</v>
      </c>
      <c r="G145" s="13">
        <f>_xll.BDH("GILD US Equity","ARDR_DEFERRED_TAX_ALLOWANCE","FQ4 2019","FQ4 2019","Currency=USD","Period=FQ","BEST_FPERIOD_OVERRIDE=FQ","FILING_STATUS=MR","SCALING_FORMAT=MLN","Sort=A","Dates=H","DateFormat=P","Fill=—","Direction=H","UseDPDF=Y")</f>
        <v>217</v>
      </c>
      <c r="H145" s="13" t="str">
        <f>_xll.BDH("GILD US Equity","ARDR_DEFERRED_TAX_ALLOWANCE","FQ1 2020","FQ1 2020","Currency=USD","Period=FQ","BEST_FPERIOD_OVERRIDE=FQ","FILING_STATUS=MR","SCALING_FORMAT=MLN","Sort=A","Dates=H","DateFormat=P","Fill=—","Direction=H","UseDPDF=Y")</f>
        <v>—</v>
      </c>
      <c r="I145" s="13" t="str">
        <f>_xll.BDH("GILD US Equity","ARDR_DEFERRED_TAX_ALLOWANCE","FQ2 2020","FQ2 2020","Currency=USD","Period=FQ","BEST_FPERIOD_OVERRIDE=FQ","FILING_STATUS=MR","SCALING_FORMAT=MLN","Sort=A","Dates=H","DateFormat=P","Fill=—","Direction=H","UseDPDF=Y")</f>
        <v>—</v>
      </c>
      <c r="J145" s="13" t="str">
        <f>_xll.BDH("GILD US Equity","ARDR_DEFERRED_TAX_ALLOWANCE","FQ3 2020","FQ3 2020","Currency=USD","Period=FQ","BEST_FPERIOD_OVERRIDE=FQ","FILING_STATUS=MR","SCALING_FORMAT=MLN","Sort=A","Dates=H","DateFormat=P","Fill=—","Direction=H","UseDPDF=Y")</f>
        <v>—</v>
      </c>
      <c r="K145" s="13">
        <f>_xll.BDH("GILD US Equity","ARDR_DEFERRED_TAX_ALLOWANCE","FQ4 2020","FQ4 2020","Currency=USD","Period=FQ","BEST_FPERIOD_OVERRIDE=FQ","FILING_STATUS=MR","SCALING_FORMAT=MLN","Sort=A","Dates=H","DateFormat=P","Fill=—","Direction=H","UseDPDF=Y")</f>
        <v>398</v>
      </c>
      <c r="L145" s="13" t="str">
        <f>_xll.BDH("GILD US Equity","ARDR_DEFERRED_TAX_ALLOWANCE","FQ1 2021","FQ1 2021","Currency=USD","Period=FQ","BEST_FPERIOD_OVERRIDE=FQ","FILING_STATUS=MR","SCALING_FORMAT=MLN","Sort=A","Dates=H","DateFormat=P","Fill=—","Direction=H","UseDPDF=Y")</f>
        <v>—</v>
      </c>
      <c r="M145" s="13" t="str">
        <f>_xll.BDH("GILD US Equity","ARDR_DEFERRED_TAX_ALLOWANCE","FQ2 2021","FQ2 2021","Currency=USD","Period=FQ","BEST_FPERIOD_OVERRIDE=FQ","FILING_STATUS=MR","SCALING_FORMAT=MLN","Sort=A","Dates=H","DateFormat=P","Fill=—","Direction=H","UseDPDF=Y")</f>
        <v>—</v>
      </c>
      <c r="N145" s="13" t="str">
        <f>_xll.BDH("GILD US Equity","ARDR_DEFERRED_TAX_ALLOWANCE","FQ3 2021","FQ3 2021","Currency=USD","Period=FQ","BEST_FPERIOD_OVERRIDE=FQ","FILING_STATUS=MR","SCALING_FORMAT=MLN","Sort=A","Dates=H","DateFormat=P","Fill=—","Direction=H","UseDPDF=Y")</f>
        <v>—</v>
      </c>
      <c r="O145" s="13">
        <f>_xll.BDH("GILD US Equity","ARDR_DEFERRED_TAX_ALLOWANCE","FQ4 2021","FQ4 2021","Currency=USD","Period=FQ","BEST_FPERIOD_OVERRIDE=FQ","FILING_STATUS=MR","SCALING_FORMAT=MLN","Sort=A","Dates=H","DateFormat=P","Fill=—","Direction=H","UseDPDF=Y")</f>
        <v>520</v>
      </c>
      <c r="P145" s="13" t="str">
        <f>_xll.BDH("GILD US Equity","ARDR_DEFERRED_TAX_ALLOWANCE","FQ1 2022","FQ1 2022","Currency=USD","Period=FQ","BEST_FPERIOD_OVERRIDE=FQ","FILING_STATUS=MR","SCALING_FORMAT=MLN","Sort=A","Dates=H","DateFormat=P","Fill=—","Direction=H","UseDPDF=Y")</f>
        <v>—</v>
      </c>
      <c r="Q145" s="13" t="str">
        <f>_xll.BDH("GILD US Equity","ARDR_DEFERRED_TAX_ALLOWANCE","FQ2 2022","FQ2 2022","Currency=USD","Period=FQ","BEST_FPERIOD_OVERRIDE=FQ","FILING_STATUS=MR","SCALING_FORMAT=MLN","Sort=A","Dates=H","DateFormat=P","Fill=—","Direction=H","UseDPDF=Y")</f>
        <v>—</v>
      </c>
      <c r="R145" s="13" t="str">
        <f>_xll.BDH("GILD US Equity","ARDR_DEFERRED_TAX_ALLOWANCE","FQ3 2022","FQ3 2022","Currency=USD","Period=FQ","BEST_FPERIOD_OVERRIDE=FQ","FILING_STATUS=MR","SCALING_FORMAT=MLN","Sort=A","Dates=H","DateFormat=P","Fill=—","Direction=H","UseDPDF=Y")</f>
        <v>—</v>
      </c>
      <c r="S145" s="13">
        <f>_xll.BDH("GILD US Equity","ARDR_DEFERRED_TAX_ALLOWANCE","FQ4 2022","FQ4 2022","Currency=USD","Period=FQ","BEST_FPERIOD_OVERRIDE=FQ","FILING_STATUS=MR","SCALING_FORMAT=MLN","Sort=A","Dates=H","DateFormat=P","Fill=—","Direction=H","UseDPDF=Y")</f>
        <v>599</v>
      </c>
      <c r="T145" s="13" t="str">
        <f>_xll.BDH("GILD US Equity","ARDR_DEFERRED_TAX_ALLOWANCE","FQ1 2023","FQ1 2023","Currency=USD","Period=FQ","BEST_FPERIOD_OVERRIDE=FQ","FILING_STATUS=MR","SCALING_FORMAT=MLN","Sort=A","Dates=H","DateFormat=P","Fill=—","Direction=H","UseDPDF=Y")</f>
        <v>—</v>
      </c>
      <c r="U145" s="13" t="str">
        <f>_xll.BDH("GILD US Equity","ARDR_DEFERRED_TAX_ALLOWANCE","FQ2 2023","FQ2 2023","Currency=USD","Period=FQ","BEST_FPERIOD_OVERRIDE=FQ","FILING_STATUS=MR","SCALING_FORMAT=MLN","Sort=A","Dates=H","DateFormat=P","Fill=—","Direction=H","UseDPDF=Y")</f>
        <v>—</v>
      </c>
      <c r="V145" s="13" t="str">
        <f>_xll.BDH("GILD US Equity","ARDR_DEFERRED_TAX_ALLOWANCE","FQ3 2023","FQ3 2023","Currency=USD","Period=FQ","BEST_FPERIOD_OVERRIDE=FQ","FILING_STATUS=MR","SCALING_FORMAT=MLN","Sort=A","Dates=H","DateFormat=P","Fill=—","Direction=H","UseDPDF=Y")</f>
        <v>—</v>
      </c>
      <c r="W145" s="13">
        <f>_xll.BDH("GILD US Equity","ARDR_DEFERRED_TAX_ALLOWANCE","FQ4 2023","FQ4 2023","Currency=USD","Period=FQ","BEST_FPERIOD_OVERRIDE=FQ","FILING_STATUS=MR","SCALING_FORMAT=MLN","Sort=A","Dates=H","DateFormat=P","Fill=—","Direction=H","UseDPDF=Y")</f>
        <v>663</v>
      </c>
      <c r="X145" s="13" t="str">
        <f>_xll.BDH("GILD US Equity","ARDR_DEFERRED_TAX_ALLOWANCE","FQ1 2024","FQ1 2024","Currency=USD","Period=FQ","BEST_FPERIOD_OVERRIDE=FQ","FILING_STATUS=MR","SCALING_FORMAT=MLN","Sort=A","Dates=H","DateFormat=P","Fill=—","Direction=H","UseDPDF=Y")</f>
        <v>—</v>
      </c>
      <c r="Y145" s="13" t="str">
        <f>_xll.BDH("GILD US Equity","ARDR_DEFERRED_TAX_ALLOWANCE","FQ2 2024","FQ2 2024","Currency=USD","Period=FQ","BEST_FPERIOD_OVERRIDE=FQ","FILING_STATUS=MR","SCALING_FORMAT=MLN","Sort=A","Dates=H","DateFormat=P","Fill=—","Direction=H","UseDPDF=Y")</f>
        <v>—</v>
      </c>
      <c r="Z145" s="13" t="str">
        <f>_xll.BDH("GILD US Equity","ARDR_DEFERRED_TAX_ALLOWANCE","FQ3 2024","FQ3 2024","Currency=USD","Period=FQ","BEST_FPERIOD_OVERRIDE=FQ","FILING_STATUS=MR","SCALING_FORMAT=MLN","Sort=A","Dates=H","DateFormat=P","Fill=—","Direction=H","UseDPDF=Y")</f>
        <v>—</v>
      </c>
      <c r="AA145" s="13">
        <f>_xll.BDH("GILD US Equity","ARDR_DEFERRED_TAX_ALLOWANCE","FQ4 2024","FQ4 2024","Currency=USD","Period=FQ","BEST_FPERIOD_OVERRIDE=FQ","FILING_STATUS=MR","SCALING_FORMAT=MLN","Sort=A","Dates=H","DateFormat=P","Fill=—","Direction=H","UseDPDF=Y")</f>
        <v>1217</v>
      </c>
    </row>
    <row r="146" spans="1:27" x14ac:dyDescent="0.25">
      <c r="A146" s="10" t="s">
        <v>1149</v>
      </c>
      <c r="B146" s="10" t="s">
        <v>1150</v>
      </c>
      <c r="C146" s="13">
        <f>_xll.BDH("GILD US Equity","ARDR_SHARES_AUTH_REPURCH_AMOUNT","FQ4 2018","FQ4 2018","Currency=USD","Period=FQ","BEST_FPERIOD_OVERRIDE=FQ","FILING_STATUS=MR","SCALING_FORMAT=MLN","Sort=A","Dates=H","DateFormat=P","Fill=—","Direction=H","UseDPDF=Y")</f>
        <v>12000</v>
      </c>
      <c r="D146" s="13">
        <f>_xll.BDH("GILD US Equity","ARDR_SHARES_AUTH_REPURCH_AMOUNT","FQ1 2019","FQ1 2019","Currency=USD","Period=FQ","BEST_FPERIOD_OVERRIDE=FQ","FILING_STATUS=MR","SCALING_FORMAT=MLN","Sort=A","Dates=H","DateFormat=P","Fill=—","Direction=H","UseDPDF=Y")</f>
        <v>12000</v>
      </c>
      <c r="E146" s="13">
        <f>_xll.BDH("GILD US Equity","ARDR_SHARES_AUTH_REPURCH_AMOUNT","FQ2 2019","FQ2 2019","Currency=USD","Period=FQ","BEST_FPERIOD_OVERRIDE=FQ","FILING_STATUS=MR","SCALING_FORMAT=MLN","Sort=A","Dates=H","DateFormat=P","Fill=—","Direction=H","UseDPDF=Y")</f>
        <v>12000</v>
      </c>
      <c r="F146" s="13">
        <f>_xll.BDH("GILD US Equity","ARDR_SHARES_AUTH_REPURCH_AMOUNT","FQ3 2019","FQ3 2019","Currency=USD","Period=FQ","BEST_FPERIOD_OVERRIDE=FQ","FILING_STATUS=MR","SCALING_FORMAT=MLN","Sort=A","Dates=H","DateFormat=P","Fill=—","Direction=H","UseDPDF=Y")</f>
        <v>12000</v>
      </c>
      <c r="G146" s="13">
        <f>_xll.BDH("GILD US Equity","ARDR_SHARES_AUTH_REPURCH_AMOUNT","FQ4 2019","FQ4 2019","Currency=USD","Period=FQ","BEST_FPERIOD_OVERRIDE=FQ","FILING_STATUS=MR","SCALING_FORMAT=MLN","Sort=A","Dates=H","DateFormat=P","Fill=—","Direction=H","UseDPDF=Y")</f>
        <v>12000</v>
      </c>
      <c r="H146" s="13">
        <f>_xll.BDH("GILD US Equity","ARDR_SHARES_AUTH_REPURCH_AMOUNT","FQ1 2020","FQ1 2020","Currency=USD","Period=FQ","BEST_FPERIOD_OVERRIDE=FQ","FILING_STATUS=MR","SCALING_FORMAT=MLN","Sort=A","Dates=H","DateFormat=P","Fill=—","Direction=H","UseDPDF=Y")</f>
        <v>12000</v>
      </c>
      <c r="I146" s="13">
        <f>_xll.BDH("GILD US Equity","ARDR_SHARES_AUTH_REPURCH_AMOUNT","FQ2 2020","FQ2 2020","Currency=USD","Period=FQ","BEST_FPERIOD_OVERRIDE=FQ","FILING_STATUS=MR","SCALING_FORMAT=MLN","Sort=A","Dates=H","DateFormat=P","Fill=—","Direction=H","UseDPDF=Y")</f>
        <v>12000</v>
      </c>
      <c r="J146" s="13">
        <f>_xll.BDH("GILD US Equity","ARDR_SHARES_AUTH_REPURCH_AMOUNT","FQ3 2020","FQ3 2020","Currency=USD","Period=FQ","BEST_FPERIOD_OVERRIDE=FQ","FILING_STATUS=MR","SCALING_FORMAT=MLN","Sort=A","Dates=H","DateFormat=P","Fill=—","Direction=H","UseDPDF=Y")</f>
        <v>12000</v>
      </c>
      <c r="K146" s="13">
        <f>_xll.BDH("GILD US Equity","ARDR_SHARES_AUTH_REPURCH_AMOUNT","FQ4 2020","FQ4 2020","Currency=USD","Period=FQ","BEST_FPERIOD_OVERRIDE=FQ","FILING_STATUS=MR","SCALING_FORMAT=MLN","Sort=A","Dates=H","DateFormat=P","Fill=—","Direction=H","UseDPDF=Y")</f>
        <v>12000</v>
      </c>
      <c r="L146" s="13">
        <f>_xll.BDH("GILD US Equity","ARDR_SHARES_AUTH_REPURCH_AMOUNT","FQ1 2021","FQ1 2021","Currency=USD","Period=FQ","BEST_FPERIOD_OVERRIDE=FQ","FILING_STATUS=MR","SCALING_FORMAT=MLN","Sort=A","Dates=H","DateFormat=P","Fill=—","Direction=H","UseDPDF=Y")</f>
        <v>12000</v>
      </c>
      <c r="M146" s="13">
        <f>_xll.BDH("GILD US Equity","ARDR_SHARES_AUTH_REPURCH_AMOUNT","FQ2 2021","FQ2 2021","Currency=USD","Period=FQ","BEST_FPERIOD_OVERRIDE=FQ","FILING_STATUS=MR","SCALING_FORMAT=MLN","Sort=A","Dates=H","DateFormat=P","Fill=—","Direction=H","UseDPDF=Y")</f>
        <v>17000</v>
      </c>
      <c r="N146" s="13">
        <f>_xll.BDH("GILD US Equity","ARDR_SHARES_AUTH_REPURCH_AMOUNT","FQ3 2021","FQ3 2021","Currency=USD","Period=FQ","BEST_FPERIOD_OVERRIDE=FQ","FILING_STATUS=MR","SCALING_FORMAT=MLN","Sort=A","Dates=H","DateFormat=P","Fill=—","Direction=H","UseDPDF=Y")</f>
        <v>17000</v>
      </c>
      <c r="O146" s="13">
        <f>_xll.BDH("GILD US Equity","ARDR_SHARES_AUTH_REPURCH_AMOUNT","FQ4 2021","FQ4 2021","Currency=USD","Period=FQ","BEST_FPERIOD_OVERRIDE=FQ","FILING_STATUS=MR","SCALING_FORMAT=MLN","Sort=A","Dates=H","DateFormat=P","Fill=—","Direction=H","UseDPDF=Y")</f>
        <v>12000</v>
      </c>
      <c r="P146" s="13">
        <f>_xll.BDH("GILD US Equity","ARDR_SHARES_AUTH_REPURCH_AMOUNT","FQ1 2022","FQ1 2022","Currency=USD","Period=FQ","BEST_FPERIOD_OVERRIDE=FQ","FILING_STATUS=MR","SCALING_FORMAT=MLN","Sort=A","Dates=H","DateFormat=P","Fill=—","Direction=H","UseDPDF=Y")</f>
        <v>12000</v>
      </c>
      <c r="Q146" s="13">
        <f>_xll.BDH("GILD US Equity","ARDR_SHARES_AUTH_REPURCH_AMOUNT","FQ2 2022","FQ2 2022","Currency=USD","Period=FQ","BEST_FPERIOD_OVERRIDE=FQ","FILING_STATUS=MR","SCALING_FORMAT=MLN","Sort=A","Dates=H","DateFormat=P","Fill=—","Direction=H","UseDPDF=Y")</f>
        <v>37000</v>
      </c>
      <c r="R146" s="13">
        <f>_xll.BDH("GILD US Equity","ARDR_SHARES_AUTH_REPURCH_AMOUNT","FQ3 2022","FQ3 2022","Currency=USD","Period=FQ","BEST_FPERIOD_OVERRIDE=FQ","FILING_STATUS=MR","SCALING_FORMAT=MLN","Sort=A","Dates=H","DateFormat=P","Fill=—","Direction=H","UseDPDF=Y")</f>
        <v>17000</v>
      </c>
      <c r="S146" s="13">
        <f>_xll.BDH("GILD US Equity","ARDR_SHARES_AUTH_REPURCH_AMOUNT","FQ4 2022","FQ4 2022","Currency=USD","Period=FQ","BEST_FPERIOD_OVERRIDE=FQ","FILING_STATUS=MR","SCALING_FORMAT=MLN","Sort=A","Dates=H","DateFormat=P","Fill=—","Direction=H","UseDPDF=Y")</f>
        <v>17000</v>
      </c>
      <c r="T146" s="13">
        <f>_xll.BDH("GILD US Equity","ARDR_SHARES_AUTH_REPURCH_AMOUNT","FQ1 2023","FQ1 2023","Currency=USD","Period=FQ","BEST_FPERIOD_OVERRIDE=FQ","FILING_STATUS=MR","SCALING_FORMAT=MLN","Sort=A","Dates=H","DateFormat=P","Fill=—","Direction=H","UseDPDF=Y")</f>
        <v>5000</v>
      </c>
      <c r="U146" s="13">
        <f>_xll.BDH("GILD US Equity","ARDR_SHARES_AUTH_REPURCH_AMOUNT","FQ2 2023","FQ2 2023","Currency=USD","Period=FQ","BEST_FPERIOD_OVERRIDE=FQ","FILING_STATUS=MR","SCALING_FORMAT=MLN","Sort=A","Dates=H","DateFormat=P","Fill=—","Direction=H","UseDPDF=Y")</f>
        <v>5000</v>
      </c>
      <c r="V146" s="13">
        <f>_xll.BDH("GILD US Equity","ARDR_SHARES_AUTH_REPURCH_AMOUNT","FQ3 2023","FQ3 2023","Currency=USD","Period=FQ","BEST_FPERIOD_OVERRIDE=FQ","FILING_STATUS=MR","SCALING_FORMAT=MLN","Sort=A","Dates=H","DateFormat=P","Fill=—","Direction=H","UseDPDF=Y")</f>
        <v>5000</v>
      </c>
      <c r="W146" s="13">
        <f>_xll.BDH("GILD US Equity","ARDR_SHARES_AUTH_REPURCH_AMOUNT","FQ4 2023","FQ4 2023","Currency=USD","Period=FQ","BEST_FPERIOD_OVERRIDE=FQ","FILING_STATUS=MR","SCALING_FORMAT=MLN","Sort=A","Dates=H","DateFormat=P","Fill=—","Direction=H","UseDPDF=Y")</f>
        <v>5000</v>
      </c>
      <c r="X146" s="13">
        <f>_xll.BDH("GILD US Equity","ARDR_SHARES_AUTH_REPURCH_AMOUNT","FQ1 2024","FQ1 2024","Currency=USD","Period=FQ","BEST_FPERIOD_OVERRIDE=FQ","FILING_STATUS=MR","SCALING_FORMAT=MLN","Sort=A","Dates=H","DateFormat=P","Fill=—","Direction=H","UseDPDF=Y")</f>
        <v>5000</v>
      </c>
      <c r="Y146" s="13">
        <f>_xll.BDH("GILD US Equity","ARDR_SHARES_AUTH_REPURCH_AMOUNT","FQ2 2024","FQ2 2024","Currency=USD","Period=FQ","BEST_FPERIOD_OVERRIDE=FQ","FILING_STATUS=MR","SCALING_FORMAT=MLN","Sort=A","Dates=H","DateFormat=P","Fill=—","Direction=H","UseDPDF=Y")</f>
        <v>5000</v>
      </c>
      <c r="Z146" s="13">
        <f>_xll.BDH("GILD US Equity","ARDR_SHARES_AUTH_REPURCH_AMOUNT","FQ3 2024","FQ3 2024","Currency=USD","Period=FQ","BEST_FPERIOD_OVERRIDE=FQ","FILING_STATUS=MR","SCALING_FORMAT=MLN","Sort=A","Dates=H","DateFormat=P","Fill=—","Direction=H","UseDPDF=Y")</f>
        <v>5000</v>
      </c>
      <c r="AA146" s="13">
        <f>_xll.BDH("GILD US Equity","ARDR_SHARES_AUTH_REPURCH_AMOUNT","FQ4 2024","FQ4 2024","Currency=USD","Period=FQ","BEST_FPERIOD_OVERRIDE=FQ","FILING_STATUS=MR","SCALING_FORMAT=MLN","Sort=A","Dates=H","DateFormat=P","Fill=—","Direction=H","UseDPDF=Y")</f>
        <v>5000</v>
      </c>
    </row>
    <row r="147" spans="1:27" x14ac:dyDescent="0.25">
      <c r="A147" s="10" t="s">
        <v>1151</v>
      </c>
      <c r="B147" s="10" t="s">
        <v>1152</v>
      </c>
      <c r="C147" s="13">
        <f>_xll.BDH("GILD US Equity","ARDR_REMAINING_SH_AUTH_REP_AMT","FQ4 2018","FQ4 2018","Currency=USD","Period=FQ","BEST_FPERIOD_OVERRIDE=FQ","FILING_STATUS=MR","SCALING_FORMAT=MLN","Sort=A","Dates=H","DateFormat=P","Fill=—","Direction=H","UseDPDF=Y")</f>
        <v>5147</v>
      </c>
      <c r="D147" s="13">
        <f>_xll.BDH("GILD US Equity","ARDR_REMAINING_SH_AUTH_REP_AMT","FQ1 2019","FQ1 2019","Currency=USD","Period=FQ","BEST_FPERIOD_OVERRIDE=FQ","FILING_STATUS=MR","SCALING_FORMAT=MLN","Sort=A","Dates=H","DateFormat=P","Fill=—","Direction=H","UseDPDF=Y")</f>
        <v>4313</v>
      </c>
      <c r="E147" s="13">
        <f>_xll.BDH("GILD US Equity","ARDR_REMAINING_SH_AUTH_REP_AMT","FQ2 2019","FQ2 2019","Currency=USD","Period=FQ","BEST_FPERIOD_OVERRIDE=FQ","FILING_STATUS=MR","SCALING_FORMAT=MLN","Sort=A","Dates=H","DateFormat=P","Fill=—","Direction=H","UseDPDF=Y")</f>
        <v>3726</v>
      </c>
      <c r="F147" s="13">
        <f>_xll.BDH("GILD US Equity","ARDR_REMAINING_SH_AUTH_REP_AMT","FQ3 2019","FQ3 2019","Currency=USD","Period=FQ","BEST_FPERIOD_OVERRIDE=FQ","FILING_STATUS=MR","SCALING_FORMAT=MLN","Sort=A","Dates=H","DateFormat=P","Fill=—","Direction=H","UseDPDF=Y")</f>
        <v>3503</v>
      </c>
      <c r="G147" s="13">
        <f>_xll.BDH("GILD US Equity","ARDR_REMAINING_SH_AUTH_REP_AMT","FQ4 2019","FQ4 2019","Currency=USD","Period=FQ","BEST_FPERIOD_OVERRIDE=FQ","FILING_STATUS=MR","SCALING_FORMAT=MLN","Sort=A","Dates=H","DateFormat=P","Fill=—","Direction=H","UseDPDF=Y")</f>
        <v>3398</v>
      </c>
      <c r="H147" s="13">
        <f>_xll.BDH("GILD US Equity","ARDR_REMAINING_SH_AUTH_REP_AMT","FQ1 2020","FQ1 2020","Currency=USD","Period=FQ","BEST_FPERIOD_OVERRIDE=FQ","FILING_STATUS=MR","SCALING_FORMAT=MLN","Sort=A","Dates=H","DateFormat=P","Fill=—","Direction=H","UseDPDF=Y")</f>
        <v>7070</v>
      </c>
      <c r="I147" s="13">
        <f>_xll.BDH("GILD US Equity","ARDR_REMAINING_SH_AUTH_REP_AMT","FQ2 2020","FQ2 2020","Currency=USD","Period=FQ","BEST_FPERIOD_OVERRIDE=FQ","FILING_STATUS=MR","SCALING_FORMAT=MLN","Sort=A","Dates=H","DateFormat=P","Fill=—","Direction=H","UseDPDF=Y")</f>
        <v>7017</v>
      </c>
      <c r="J147" s="13">
        <f>_xll.BDH("GILD US Equity","ARDR_REMAINING_SH_AUTH_REP_AMT","FQ3 2020","FQ3 2020","Currency=USD","Period=FQ","BEST_FPERIOD_OVERRIDE=FQ","FILING_STATUS=MR","SCALING_FORMAT=MLN","Sort=A","Dates=H","DateFormat=P","Fill=—","Direction=H","UseDPDF=Y")</f>
        <v>6816</v>
      </c>
      <c r="K147" s="13">
        <f>_xll.BDH("GILD US Equity","ARDR_REMAINING_SH_AUTH_REP_AMT","FQ4 2020","FQ4 2020","Currency=USD","Period=FQ","BEST_FPERIOD_OVERRIDE=FQ","FILING_STATUS=MR","SCALING_FORMAT=MLN","Sort=A","Dates=H","DateFormat=P","Fill=—","Direction=H","UseDPDF=Y")</f>
        <v>6816</v>
      </c>
      <c r="L147" s="13">
        <f>_xll.BDH("GILD US Equity","ARDR_REMAINING_SH_AUTH_REP_AMT","FQ1 2021","FQ1 2021","Currency=USD","Period=FQ","BEST_FPERIOD_OVERRIDE=FQ","FILING_STATUS=MR","SCALING_FORMAT=MLN","Sort=A","Dates=H","DateFormat=P","Fill=—","Direction=H","UseDPDF=Y")</f>
        <v>6506</v>
      </c>
      <c r="M147" s="13">
        <f>_xll.BDH("GILD US Equity","ARDR_REMAINING_SH_AUTH_REP_AMT","FQ2 2021","FQ2 2021","Currency=USD","Period=FQ","BEST_FPERIOD_OVERRIDE=FQ","FILING_STATUS=MR","SCALING_FORMAT=MLN","Sort=A","Dates=H","DateFormat=P","Fill=—","Direction=H","UseDPDF=Y")</f>
        <v>6463</v>
      </c>
      <c r="N147" s="13">
        <f>_xll.BDH("GILD US Equity","ARDR_REMAINING_SH_AUTH_REP_AMT","FQ3 2021","FQ3 2021","Currency=USD","Period=FQ","BEST_FPERIOD_OVERRIDE=FQ","FILING_STATUS=MR","SCALING_FORMAT=MLN","Sort=A","Dates=H","DateFormat=P","Fill=—","Direction=H","UseDPDF=Y")</f>
        <v>6318</v>
      </c>
      <c r="O147" s="13">
        <f>_xll.BDH("GILD US Equity","ARDR_REMAINING_SH_AUTH_REP_AMT","FQ4 2021","FQ4 2021","Currency=USD","Period=FQ","BEST_FPERIOD_OVERRIDE=FQ","FILING_STATUS=MR","SCALING_FORMAT=MLN","Sort=A","Dates=H","DateFormat=P","Fill=—","Direction=H","UseDPDF=Y")</f>
        <v>6269</v>
      </c>
      <c r="P147" s="13">
        <f>_xll.BDH("GILD US Equity","ARDR_REMAINING_SH_AUTH_REP_AMT","FQ1 2022","FQ1 2022","Currency=USD","Period=FQ","BEST_FPERIOD_OVERRIDE=FQ","FILING_STATUS=MR","SCALING_FORMAT=MLN","Sort=A","Dates=H","DateFormat=P","Fill=—","Direction=H","UseDPDF=Y")</f>
        <v>5917</v>
      </c>
      <c r="Q147" s="13">
        <f>_xll.BDH("GILD US Equity","ARDR_REMAINING_SH_AUTH_REP_AMT","FQ2 2022","FQ2 2022","Currency=USD","Period=FQ","BEST_FPERIOD_OVERRIDE=FQ","FILING_STATUS=MR","SCALING_FORMAT=MLN","Sort=A","Dates=H","DateFormat=P","Fill=—","Direction=H","UseDPDF=Y")</f>
        <v>5845</v>
      </c>
      <c r="R147" s="13">
        <f>_xll.BDH("GILD US Equity","ARDR_REMAINING_SH_AUTH_REP_AMT","FQ3 2022","FQ3 2022","Currency=USD","Period=FQ","BEST_FPERIOD_OVERRIDE=FQ","FILING_STATUS=MR","SCALING_FORMAT=MLN","Sort=A","Dates=H","DateFormat=P","Fill=—","Direction=H","UseDPDF=Y")</f>
        <v>5665</v>
      </c>
      <c r="S147" s="13">
        <f>_xll.BDH("GILD US Equity","ARDR_REMAINING_SH_AUTH_REP_AMT","FQ4 2022","FQ4 2022","Currency=USD","Period=FQ","BEST_FPERIOD_OVERRIDE=FQ","FILING_STATUS=MR","SCALING_FORMAT=MLN","Sort=A","Dates=H","DateFormat=P","Fill=—","Direction=H","UseDPDF=Y")</f>
        <v>4874</v>
      </c>
      <c r="T147" s="13">
        <f>_xll.BDH("GILD US Equity","ARDR_REMAINING_SH_AUTH_REP_AMT","FQ1 2023","FQ1 2023","Currency=USD","Period=FQ","BEST_FPERIOD_OVERRIDE=FQ","FILING_STATUS=MR","SCALING_FORMAT=MLN","Sort=A","Dates=H","DateFormat=P","Fill=—","Direction=H","UseDPDF=Y")</f>
        <v>4474</v>
      </c>
      <c r="U147" s="13">
        <f>_xll.BDH("GILD US Equity","ARDR_REMAINING_SH_AUTH_REP_AMT","FQ2 2023","FQ2 2023","Currency=USD","Period=FQ","BEST_FPERIOD_OVERRIDE=FQ","FILING_STATUS=MR","SCALING_FORMAT=MLN","Sort=A","Dates=H","DateFormat=P","Fill=—","Direction=H","UseDPDF=Y")</f>
        <v>4324</v>
      </c>
      <c r="V147" s="13">
        <f>_xll.BDH("GILD US Equity","ARDR_REMAINING_SH_AUTH_REP_AMT","FQ3 2023","FQ3 2023","Currency=USD","Period=FQ","BEST_FPERIOD_OVERRIDE=FQ","FILING_STATUS=MR","SCALING_FORMAT=MLN","Sort=A","Dates=H","DateFormat=P","Fill=—","Direction=H","UseDPDF=Y")</f>
        <v>4024</v>
      </c>
      <c r="W147" s="13">
        <f>_xll.BDH("GILD US Equity","ARDR_REMAINING_SH_AUTH_REP_AMT","FQ4 2023","FQ4 2023","Currency=USD","Period=FQ","BEST_FPERIOD_OVERRIDE=FQ","FILING_STATUS=MR","SCALING_FORMAT=MLN","Sort=A","Dates=H","DateFormat=P","Fill=—","Direction=H","UseDPDF=Y")</f>
        <v>4469</v>
      </c>
      <c r="X147" s="13">
        <f>_xll.BDH("GILD US Equity","ARDR_REMAINING_SH_AUTH_REP_AMT","FQ1 2024","FQ1 2024","Currency=USD","Period=FQ","BEST_FPERIOD_OVERRIDE=FQ","FILING_STATUS=MR","SCALING_FORMAT=MLN","Sort=A","Dates=H","DateFormat=P","Fill=—","Direction=H","UseDPDF=Y")</f>
        <v>3474</v>
      </c>
      <c r="Y147" s="13">
        <f>_xll.BDH("GILD US Equity","ARDR_REMAINING_SH_AUTH_REP_AMT","FQ2 2024","FQ2 2024","Currency=USD","Period=FQ","BEST_FPERIOD_OVERRIDE=FQ","FILING_STATUS=MR","SCALING_FORMAT=MLN","Sort=A","Dates=H","DateFormat=P","Fill=—","Direction=H","UseDPDF=Y")</f>
        <v>3374</v>
      </c>
      <c r="Z147" s="13">
        <f>_xll.BDH("GILD US Equity","ARDR_REMAINING_SH_AUTH_REP_AMT","FQ3 2024","FQ3 2024","Currency=USD","Period=FQ","BEST_FPERIOD_OVERRIDE=FQ","FILING_STATUS=MR","SCALING_FORMAT=MLN","Sort=A","Dates=H","DateFormat=P","Fill=—","Direction=H","UseDPDF=Y")</f>
        <v>3074</v>
      </c>
      <c r="AA147" s="13">
        <f>_xll.BDH("GILD US Equity","ARDR_REMAINING_SH_AUTH_REP_AMT","FQ4 2024","FQ4 2024","Currency=USD","Period=FQ","BEST_FPERIOD_OVERRIDE=FQ","FILING_STATUS=MR","SCALING_FORMAT=MLN","Sort=A","Dates=H","DateFormat=P","Fill=—","Direction=H","UseDPDF=Y")</f>
        <v>2724</v>
      </c>
    </row>
    <row r="148" spans="1:27" x14ac:dyDescent="0.25">
      <c r="A148" s="10" t="s">
        <v>1153</v>
      </c>
      <c r="B148" s="10" t="s">
        <v>1154</v>
      </c>
      <c r="C148" s="13" t="str">
        <f>_xll.BDH("GILD US Equity","ARDR_FV_ASSETS_REC_L1_TRAD_TREAS","FQ4 2018","FQ4 2018","Currency=USD","Period=FQ","BEST_FPERIOD_OVERRIDE=FQ","FILING_STATUS=MR","SCALING_FORMAT=MLN","Sort=A","Dates=H","DateFormat=P","Fill=—","Direction=H","UseDPDF=Y")</f>
        <v>—</v>
      </c>
      <c r="D148" s="13" t="str">
        <f>_xll.BDH("GILD US Equity","ARDR_FV_ASSETS_REC_L1_TRAD_TREAS","FQ1 2019","FQ1 2019","Currency=USD","Period=FQ","BEST_FPERIOD_OVERRIDE=FQ","FILING_STATUS=MR","SCALING_FORMAT=MLN","Sort=A","Dates=H","DateFormat=P","Fill=—","Direction=H","UseDPDF=Y")</f>
        <v>—</v>
      </c>
      <c r="E148" s="13" t="str">
        <f>_xll.BDH("GILD US Equity","ARDR_FV_ASSETS_REC_L1_TRAD_TREAS","FQ2 2019","FQ2 2019","Currency=USD","Period=FQ","BEST_FPERIOD_OVERRIDE=FQ","FILING_STATUS=MR","SCALING_FORMAT=MLN","Sort=A","Dates=H","DateFormat=P","Fill=—","Direction=H","UseDPDF=Y")</f>
        <v>—</v>
      </c>
      <c r="F148" s="13" t="str">
        <f>_xll.BDH("GILD US Equity","ARDR_FV_ASSETS_REC_L1_TRAD_TREAS","FQ3 2019","FQ3 2019","Currency=USD","Period=FQ","BEST_FPERIOD_OVERRIDE=FQ","FILING_STATUS=MR","SCALING_FORMAT=MLN","Sort=A","Dates=H","DateFormat=P","Fill=—","Direction=H","UseDPDF=Y")</f>
        <v>—</v>
      </c>
      <c r="G148" s="13" t="str">
        <f>_xll.BDH("GILD US Equity","ARDR_FV_ASSETS_REC_L1_TRAD_TREAS","FQ4 2019","FQ4 2019","Currency=USD","Period=FQ","BEST_FPERIOD_OVERRIDE=FQ","FILING_STATUS=MR","SCALING_FORMAT=MLN","Sort=A","Dates=H","DateFormat=P","Fill=—","Direction=H","UseDPDF=Y")</f>
        <v>—</v>
      </c>
      <c r="H148" s="13" t="str">
        <f>_xll.BDH("GILD US Equity","ARDR_FV_ASSETS_REC_L1_TRAD_TREAS","FQ1 2020","FQ1 2020","Currency=USD","Period=FQ","BEST_FPERIOD_OVERRIDE=FQ","FILING_STATUS=MR","SCALING_FORMAT=MLN","Sort=A","Dates=H","DateFormat=P","Fill=—","Direction=H","UseDPDF=Y")</f>
        <v>—</v>
      </c>
      <c r="I148" s="13" t="str">
        <f>_xll.BDH("GILD US Equity","ARDR_FV_ASSETS_REC_L1_TRAD_TREAS","FQ2 2020","FQ2 2020","Currency=USD","Period=FQ","BEST_FPERIOD_OVERRIDE=FQ","FILING_STATUS=MR","SCALING_FORMAT=MLN","Sort=A","Dates=H","DateFormat=P","Fill=—","Direction=H","UseDPDF=Y")</f>
        <v>—</v>
      </c>
      <c r="J148" s="13" t="str">
        <f>_xll.BDH("GILD US Equity","ARDR_FV_ASSETS_REC_L1_TRAD_TREAS","FQ3 2020","FQ3 2020","Currency=USD","Period=FQ","BEST_FPERIOD_OVERRIDE=FQ","FILING_STATUS=MR","SCALING_FORMAT=MLN","Sort=A","Dates=H","DateFormat=P","Fill=—","Direction=H","UseDPDF=Y")</f>
        <v>—</v>
      </c>
      <c r="K148" s="13" t="str">
        <f>_xll.BDH("GILD US Equity","ARDR_FV_ASSETS_REC_L1_TRAD_TREAS","FQ4 2020","FQ4 2020","Currency=USD","Period=FQ","BEST_FPERIOD_OVERRIDE=FQ","FILING_STATUS=MR","SCALING_FORMAT=MLN","Sort=A","Dates=H","DateFormat=P","Fill=—","Direction=H","UseDPDF=Y")</f>
        <v>—</v>
      </c>
      <c r="L148" s="13" t="str">
        <f>_xll.BDH("GILD US Equity","ARDR_FV_ASSETS_REC_L1_TRAD_TREAS","FQ1 2021","FQ1 2021","Currency=USD","Period=FQ","BEST_FPERIOD_OVERRIDE=FQ","FILING_STATUS=MR","SCALING_FORMAT=MLN","Sort=A","Dates=H","DateFormat=P","Fill=—","Direction=H","UseDPDF=Y")</f>
        <v>—</v>
      </c>
      <c r="M148" s="13" t="str">
        <f>_xll.BDH("GILD US Equity","ARDR_FV_ASSETS_REC_L1_TRAD_TREAS","FQ2 2021","FQ2 2021","Currency=USD","Period=FQ","BEST_FPERIOD_OVERRIDE=FQ","FILING_STATUS=MR","SCALING_FORMAT=MLN","Sort=A","Dates=H","DateFormat=P","Fill=—","Direction=H","UseDPDF=Y")</f>
        <v>—</v>
      </c>
      <c r="N148" s="13" t="str">
        <f>_xll.BDH("GILD US Equity","ARDR_FV_ASSETS_REC_L1_TRAD_TREAS","FQ3 2021","FQ3 2021","Currency=USD","Period=FQ","BEST_FPERIOD_OVERRIDE=FQ","FILING_STATUS=MR","SCALING_FORMAT=MLN","Sort=A","Dates=H","DateFormat=P","Fill=—","Direction=H","UseDPDF=Y")</f>
        <v>—</v>
      </c>
      <c r="O148" s="13" t="str">
        <f>_xll.BDH("GILD US Equity","ARDR_FV_ASSETS_REC_L1_TRAD_TREAS","FQ4 2021","FQ4 2021","Currency=USD","Period=FQ","BEST_FPERIOD_OVERRIDE=FQ","FILING_STATUS=MR","SCALING_FORMAT=MLN","Sort=A","Dates=H","DateFormat=P","Fill=—","Direction=H","UseDPDF=Y")</f>
        <v>—</v>
      </c>
      <c r="P148" s="13" t="str">
        <f>_xll.BDH("GILD US Equity","ARDR_FV_ASSETS_REC_L1_TRAD_TREAS","FQ1 2022","FQ1 2022","Currency=USD","Period=FQ","BEST_FPERIOD_OVERRIDE=FQ","FILING_STATUS=MR","SCALING_FORMAT=MLN","Sort=A","Dates=H","DateFormat=P","Fill=—","Direction=H","UseDPDF=Y")</f>
        <v>—</v>
      </c>
      <c r="Q148" s="13" t="str">
        <f>_xll.BDH("GILD US Equity","ARDR_FV_ASSETS_REC_L1_TRAD_TREAS","FQ2 2022","FQ2 2022","Currency=USD","Period=FQ","BEST_FPERIOD_OVERRIDE=FQ","FILING_STATUS=MR","SCALING_FORMAT=MLN","Sort=A","Dates=H","DateFormat=P","Fill=—","Direction=H","UseDPDF=Y")</f>
        <v>—</v>
      </c>
      <c r="R148" s="13" t="str">
        <f>_xll.BDH("GILD US Equity","ARDR_FV_ASSETS_REC_L1_TRAD_TREAS","FQ3 2022","FQ3 2022","Currency=USD","Period=FQ","BEST_FPERIOD_OVERRIDE=FQ","FILING_STATUS=MR","SCALING_FORMAT=MLN","Sort=A","Dates=H","DateFormat=P","Fill=—","Direction=H","UseDPDF=Y")</f>
        <v>—</v>
      </c>
      <c r="S148" s="13" t="str">
        <f>_xll.BDH("GILD US Equity","ARDR_FV_ASSETS_REC_L1_TRAD_TREAS","FQ4 2022","FQ4 2022","Currency=USD","Period=FQ","BEST_FPERIOD_OVERRIDE=FQ","FILING_STATUS=MR","SCALING_FORMAT=MLN","Sort=A","Dates=H","DateFormat=P","Fill=—","Direction=H","UseDPDF=Y")</f>
        <v>—</v>
      </c>
      <c r="T148" s="13" t="str">
        <f>_xll.BDH("GILD US Equity","ARDR_FV_ASSETS_REC_L1_TRAD_TREAS","FQ1 2023","FQ1 2023","Currency=USD","Period=FQ","BEST_FPERIOD_OVERRIDE=FQ","FILING_STATUS=MR","SCALING_FORMAT=MLN","Sort=A","Dates=H","DateFormat=P","Fill=—","Direction=H","UseDPDF=Y")</f>
        <v>—</v>
      </c>
      <c r="U148" s="13">
        <f>_xll.BDH("GILD US Equity","ARDR_FV_ASSETS_REC_L1_TRAD_TREAS","FQ2 2023","FQ2 2023","Currency=USD","Period=FQ","BEST_FPERIOD_OVERRIDE=FQ","FILING_STATUS=MR","SCALING_FORMAT=MLN","Sort=A","Dates=H","DateFormat=P","Fill=—","Direction=H","UseDPDF=Y")</f>
        <v>4253</v>
      </c>
      <c r="V148" s="13">
        <f>_xll.BDH("GILD US Equity","ARDR_FV_ASSETS_REC_L1_TRAD_TREAS","FQ3 2023","FQ3 2023","Currency=USD","Period=FQ","BEST_FPERIOD_OVERRIDE=FQ","FILING_STATUS=MR","SCALING_FORMAT=MLN","Sort=A","Dates=H","DateFormat=P","Fill=—","Direction=H","UseDPDF=Y")</f>
        <v>4240</v>
      </c>
      <c r="W148" s="13">
        <f>_xll.BDH("GILD US Equity","ARDR_FV_ASSETS_REC_L1_TRAD_TREAS","FQ4 2023","FQ4 2023","Currency=USD","Period=FQ","BEST_FPERIOD_OVERRIDE=FQ","FILING_STATUS=MR","SCALING_FORMAT=MLN","Sort=A","Dates=H","DateFormat=P","Fill=—","Direction=H","UseDPDF=Y")</f>
        <v>4465</v>
      </c>
      <c r="X148" s="13" t="str">
        <f>_xll.BDH("GILD US Equity","ARDR_FV_ASSETS_REC_L1_TRAD_TREAS","FQ1 2024","FQ1 2024","Currency=USD","Period=FQ","BEST_FPERIOD_OVERRIDE=FQ","FILING_STATUS=MR","SCALING_FORMAT=MLN","Sort=A","Dates=H","DateFormat=P","Fill=—","Direction=H","UseDPDF=Y")</f>
        <v>—</v>
      </c>
      <c r="Y148" s="13">
        <f>_xll.BDH("GILD US Equity","ARDR_FV_ASSETS_REC_L1_TRAD_TREAS","FQ2 2024","FQ2 2024","Currency=USD","Period=FQ","BEST_FPERIOD_OVERRIDE=FQ","FILING_STATUS=MR","SCALING_FORMAT=MLN","Sort=A","Dates=H","DateFormat=P","Fill=—","Direction=H","UseDPDF=Y")</f>
        <v>1525</v>
      </c>
      <c r="Z148" s="13">
        <f>_xll.BDH("GILD US Equity","ARDR_FV_ASSETS_REC_L1_TRAD_TREAS","FQ3 2024","FQ3 2024","Currency=USD","Period=FQ","BEST_FPERIOD_OVERRIDE=FQ","FILING_STATUS=MR","SCALING_FORMAT=MLN","Sort=A","Dates=H","DateFormat=P","Fill=—","Direction=H","UseDPDF=Y")</f>
        <v>3502</v>
      </c>
      <c r="AA148" s="13">
        <f>_xll.BDH("GILD US Equity","ARDR_FV_ASSETS_REC_L1_TRAD_TREAS","FQ4 2024","FQ4 2024","Currency=USD","Period=FQ","BEST_FPERIOD_OVERRIDE=FQ","FILING_STATUS=MR","SCALING_FORMAT=MLN","Sort=A","Dates=H","DateFormat=P","Fill=—","Direction=H","UseDPDF=Y")</f>
        <v>8502</v>
      </c>
    </row>
    <row r="149" spans="1:27" x14ac:dyDescent="0.25">
      <c r="A149" s="10" t="s">
        <v>1155</v>
      </c>
      <c r="B149" s="10" t="s">
        <v>1156</v>
      </c>
      <c r="C149" s="13">
        <f>_xll.BDH("GILD US Equity","ARDR_FV_ASSETS_REC_L1_AFS_TREAS","FQ4 2018","FQ4 2018","Currency=USD","Period=FQ","BEST_FPERIOD_OVERRIDE=FQ","FILING_STATUS=MR","SCALING_FORMAT=MLN","Sort=A","Dates=H","DateFormat=P","Fill=—","Direction=H","UseDPDF=Y")</f>
        <v>9274</v>
      </c>
      <c r="D149" s="13">
        <f>_xll.BDH("GILD US Equity","ARDR_FV_ASSETS_REC_L1_AFS_TREAS","FQ1 2019","FQ1 2019","Currency=USD","Period=FQ","BEST_FPERIOD_OVERRIDE=FQ","FILING_STATUS=MR","SCALING_FORMAT=MLN","Sort=A","Dates=H","DateFormat=P","Fill=—","Direction=H","UseDPDF=Y")</f>
        <v>4782</v>
      </c>
      <c r="E149" s="13">
        <f>_xll.BDH("GILD US Equity","ARDR_FV_ASSETS_REC_L1_AFS_TREAS","FQ2 2019","FQ2 2019","Currency=USD","Period=FQ","BEST_FPERIOD_OVERRIDE=FQ","FILING_STATUS=MR","SCALING_FORMAT=MLN","Sort=A","Dates=H","DateFormat=P","Fill=—","Direction=H","UseDPDF=Y")</f>
        <v>3916</v>
      </c>
      <c r="F149" s="13">
        <f>_xll.BDH("GILD US Equity","ARDR_FV_ASSETS_REC_L1_AFS_TREAS","FQ3 2019","FQ3 2019","Currency=USD","Period=FQ","BEST_FPERIOD_OVERRIDE=FQ","FILING_STATUS=MR","SCALING_FORMAT=MLN","Sort=A","Dates=H","DateFormat=P","Fill=—","Direction=H","UseDPDF=Y")</f>
        <v>2860</v>
      </c>
      <c r="G149" s="13">
        <f>_xll.BDH("GILD US Equity","ARDR_FV_ASSETS_REC_L1_AFS_TREAS","FQ4 2019","FQ4 2019","Currency=USD","Period=FQ","BEST_FPERIOD_OVERRIDE=FQ","FILING_STATUS=MR","SCALING_FORMAT=MLN","Sort=A","Dates=H","DateFormat=P","Fill=—","Direction=H","UseDPDF=Y")</f>
        <v>2433</v>
      </c>
      <c r="H149" s="13">
        <f>_xll.BDH("GILD US Equity","ARDR_FV_ASSETS_REC_L1_AFS_TREAS","FQ1 2020","FQ1 2020","Currency=USD","Period=FQ","BEST_FPERIOD_OVERRIDE=FQ","FILING_STATUS=MR","SCALING_FORMAT=MLN","Sort=A","Dates=H","DateFormat=P","Fill=—","Direction=H","UseDPDF=Y")</f>
        <v>2072</v>
      </c>
      <c r="I149" s="13">
        <f>_xll.BDH("GILD US Equity","ARDR_FV_ASSETS_REC_L1_AFS_TREAS","FQ2 2020","FQ2 2020","Currency=USD","Period=FQ","BEST_FPERIOD_OVERRIDE=FQ","FILING_STATUS=MR","SCALING_FORMAT=MLN","Sort=A","Dates=H","DateFormat=P","Fill=—","Direction=H","UseDPDF=Y")</f>
        <v>2498</v>
      </c>
      <c r="J149" s="13">
        <f>_xll.BDH("GILD US Equity","ARDR_FV_ASSETS_REC_L1_AFS_TREAS","FQ3 2020","FQ3 2020","Currency=USD","Period=FQ","BEST_FPERIOD_OVERRIDE=FQ","FILING_STATUS=MR","SCALING_FORMAT=MLN","Sort=A","Dates=H","DateFormat=P","Fill=—","Direction=H","UseDPDF=Y")</f>
        <v>2238</v>
      </c>
      <c r="K149" s="13">
        <f>_xll.BDH("GILD US Equity","ARDR_FV_ASSETS_REC_L1_AFS_TREAS","FQ4 2020","FQ4 2020","Currency=USD","Period=FQ","BEST_FPERIOD_OVERRIDE=FQ","FILING_STATUS=MR","SCALING_FORMAT=MLN","Sort=A","Dates=H","DateFormat=P","Fill=—","Direction=H","UseDPDF=Y")</f>
        <v>309</v>
      </c>
      <c r="L149" s="13">
        <f>_xll.BDH("GILD US Equity","ARDR_FV_ASSETS_REC_L1_AFS_TREAS","FQ1 2021","FQ1 2021","Currency=USD","Period=FQ","BEST_FPERIOD_OVERRIDE=FQ","FILING_STATUS=MR","SCALING_FORMAT=MLN","Sort=A","Dates=H","DateFormat=P","Fill=—","Direction=H","UseDPDF=Y")</f>
        <v>464</v>
      </c>
      <c r="M149" s="13">
        <f>_xll.BDH("GILD US Equity","ARDR_FV_ASSETS_REC_L1_AFS_TREAS","FQ2 2021","FQ2 2021","Currency=USD","Period=FQ","BEST_FPERIOD_OVERRIDE=FQ","FILING_STATUS=MR","SCALING_FORMAT=MLN","Sort=A","Dates=H","DateFormat=P","Fill=—","Direction=H","UseDPDF=Y")</f>
        <v>413</v>
      </c>
      <c r="N149" s="13">
        <f>_xll.BDH("GILD US Equity","ARDR_FV_ASSETS_REC_L1_AFS_TREAS","FQ3 2021","FQ3 2021","Currency=USD","Period=FQ","BEST_FPERIOD_OVERRIDE=FQ","FILING_STATUS=MR","SCALING_FORMAT=MLN","Sort=A","Dates=H","DateFormat=P","Fill=—","Direction=H","UseDPDF=Y")</f>
        <v>360</v>
      </c>
      <c r="O149" s="13">
        <f>_xll.BDH("GILD US Equity","ARDR_FV_ASSETS_REC_L1_AFS_TREAS","FQ4 2021","FQ4 2021","Currency=USD","Period=FQ","BEST_FPERIOD_OVERRIDE=FQ","FILING_STATUS=MR","SCALING_FORMAT=MLN","Sort=A","Dates=H","DateFormat=P","Fill=—","Direction=H","UseDPDF=Y")</f>
        <v>407</v>
      </c>
      <c r="P149" s="13">
        <f>_xll.BDH("GILD US Equity","ARDR_FV_ASSETS_REC_L1_AFS_TREAS","FQ1 2022","FQ1 2022","Currency=USD","Period=FQ","BEST_FPERIOD_OVERRIDE=FQ","FILING_STATUS=MR","SCALING_FORMAT=MLN","Sort=A","Dates=H","DateFormat=P","Fill=—","Direction=H","UseDPDF=Y")</f>
        <v>476</v>
      </c>
      <c r="Q149" s="13">
        <f>_xll.BDH("GILD US Equity","ARDR_FV_ASSETS_REC_L1_AFS_TREAS","FQ2 2022","FQ2 2022","Currency=USD","Period=FQ","BEST_FPERIOD_OVERRIDE=FQ","FILING_STATUS=MR","SCALING_FORMAT=MLN","Sort=A","Dates=H","DateFormat=P","Fill=—","Direction=H","UseDPDF=Y")</f>
        <v>427</v>
      </c>
      <c r="R149" s="13">
        <f>_xll.BDH("GILD US Equity","ARDR_FV_ASSETS_REC_L1_AFS_TREAS","FQ3 2022","FQ3 2022","Currency=USD","Period=FQ","BEST_FPERIOD_OVERRIDE=FQ","FILING_STATUS=MR","SCALING_FORMAT=MLN","Sort=A","Dates=H","DateFormat=P","Fill=—","Direction=H","UseDPDF=Y")</f>
        <v>448</v>
      </c>
      <c r="S149" s="13">
        <f>_xll.BDH("GILD US Equity","ARDR_FV_ASSETS_REC_L1_AFS_TREAS","FQ4 2022","FQ4 2022","Currency=USD","Period=FQ","BEST_FPERIOD_OVERRIDE=FQ","FILING_STATUS=MR","SCALING_FORMAT=MLN","Sort=A","Dates=H","DateFormat=P","Fill=—","Direction=H","UseDPDF=Y")</f>
        <v>410</v>
      </c>
      <c r="T149" s="13">
        <f>_xll.BDH("GILD US Equity","ARDR_FV_ASSETS_REC_L1_AFS_TREAS","FQ1 2023","FQ1 2023","Currency=USD","Period=FQ","BEST_FPERIOD_OVERRIDE=FQ","FILING_STATUS=MR","SCALING_FORMAT=MLN","Sort=A","Dates=H","DateFormat=P","Fill=—","Direction=H","UseDPDF=Y")</f>
        <v>344</v>
      </c>
      <c r="U149" s="13">
        <f>_xll.BDH("GILD US Equity","ARDR_FV_ASSETS_REC_L1_AFS_TREAS","FQ2 2023","FQ2 2023","Currency=USD","Period=FQ","BEST_FPERIOD_OVERRIDE=FQ","FILING_STATUS=MR","SCALING_FORMAT=MLN","Sort=A","Dates=H","DateFormat=P","Fill=—","Direction=H","UseDPDF=Y")</f>
        <v>375</v>
      </c>
      <c r="V149" s="13">
        <f>_xll.BDH("GILD US Equity","ARDR_FV_ASSETS_REC_L1_AFS_TREAS","FQ3 2023","FQ3 2023","Currency=USD","Period=FQ","BEST_FPERIOD_OVERRIDE=FQ","FILING_STATUS=MR","SCALING_FORMAT=MLN","Sort=A","Dates=H","DateFormat=P","Fill=—","Direction=H","UseDPDF=Y")</f>
        <v>428</v>
      </c>
      <c r="W149" s="13">
        <f>_xll.BDH("GILD US Equity","ARDR_FV_ASSETS_REC_L1_AFS_TREAS","FQ4 2023","FQ4 2023","Currency=USD","Period=FQ","BEST_FPERIOD_OVERRIDE=FQ","FILING_STATUS=MR","SCALING_FORMAT=MLN","Sort=A","Dates=H","DateFormat=P","Fill=—","Direction=H","UseDPDF=Y")</f>
        <v>426</v>
      </c>
      <c r="X149" s="13">
        <f>_xll.BDH("GILD US Equity","ARDR_FV_ASSETS_REC_L1_AFS_TREAS","FQ1 2024","FQ1 2024","Currency=USD","Period=FQ","BEST_FPERIOD_OVERRIDE=FQ","FILING_STATUS=MR","SCALING_FORMAT=MLN","Sort=A","Dates=H","DateFormat=P","Fill=—","Direction=H","UseDPDF=Y")</f>
        <v>1550</v>
      </c>
      <c r="Y149" s="13">
        <f>_xll.BDH("GILD US Equity","ARDR_FV_ASSETS_REC_L1_AFS_TREAS","FQ2 2024","FQ2 2024","Currency=USD","Period=FQ","BEST_FPERIOD_OVERRIDE=FQ","FILING_STATUS=MR","SCALING_FORMAT=MLN","Sort=A","Dates=H","DateFormat=P","Fill=—","Direction=H","UseDPDF=Y")</f>
        <v>1429</v>
      </c>
      <c r="Z149" s="13">
        <f>_xll.BDH("GILD US Equity","ARDR_FV_ASSETS_REC_L1_AFS_TREAS","FQ3 2024","FQ3 2024","Currency=USD","Period=FQ","BEST_FPERIOD_OVERRIDE=FQ","FILING_STATUS=MR","SCALING_FORMAT=MLN","Sort=A","Dates=H","DateFormat=P","Fill=—","Direction=H","UseDPDF=Y")</f>
        <v>0</v>
      </c>
      <c r="AA149" s="13">
        <f>_xll.BDH("GILD US Equity","ARDR_FV_ASSETS_REC_L1_AFS_TREAS","FQ4 2024","FQ4 2024","Currency=USD","Period=FQ","BEST_FPERIOD_OVERRIDE=FQ","FILING_STATUS=MR","SCALING_FORMAT=MLN","Sort=A","Dates=H","DateFormat=P","Fill=—","Direction=H","UseDPDF=Y")</f>
        <v>0</v>
      </c>
    </row>
    <row r="150" spans="1:27" x14ac:dyDescent="0.25">
      <c r="A150" s="10" t="s">
        <v>1157</v>
      </c>
      <c r="B150" s="10" t="s">
        <v>1158</v>
      </c>
      <c r="C150" s="13" t="str">
        <f>_xll.BDH("GILD US Equity","ARDR_FV_ASTS_REC_L1_AFS_CORP_BDS","FQ4 2018","FQ4 2018","Currency=USD","Period=FQ","BEST_FPERIOD_OVERRIDE=FQ","FILING_STATUS=MR","SCALING_FORMAT=MLN","Sort=A","Dates=H","DateFormat=P","Fill=—","Direction=H","UseDPDF=Y")</f>
        <v>—</v>
      </c>
      <c r="D150" s="13" t="str">
        <f>_xll.BDH("GILD US Equity","ARDR_FV_ASTS_REC_L1_AFS_CORP_BDS","FQ1 2019","FQ1 2019","Currency=USD","Period=FQ","BEST_FPERIOD_OVERRIDE=FQ","FILING_STATUS=MR","SCALING_FORMAT=MLN","Sort=A","Dates=H","DateFormat=P","Fill=—","Direction=H","UseDPDF=Y")</f>
        <v>—</v>
      </c>
      <c r="E150" s="13" t="str">
        <f>_xll.BDH("GILD US Equity","ARDR_FV_ASTS_REC_L1_AFS_CORP_BDS","FQ2 2019","FQ2 2019","Currency=USD","Period=FQ","BEST_FPERIOD_OVERRIDE=FQ","FILING_STATUS=MR","SCALING_FORMAT=MLN","Sort=A","Dates=H","DateFormat=P","Fill=—","Direction=H","UseDPDF=Y")</f>
        <v>—</v>
      </c>
      <c r="F150" s="13" t="str">
        <f>_xll.BDH("GILD US Equity","ARDR_FV_ASTS_REC_L1_AFS_CORP_BDS","FQ3 2019","FQ3 2019","Currency=USD","Period=FQ","BEST_FPERIOD_OVERRIDE=FQ","FILING_STATUS=MR","SCALING_FORMAT=MLN","Sort=A","Dates=H","DateFormat=P","Fill=—","Direction=H","UseDPDF=Y")</f>
        <v>—</v>
      </c>
      <c r="G150" s="13" t="str">
        <f>_xll.BDH("GILD US Equity","ARDR_FV_ASTS_REC_L1_AFS_CORP_BDS","FQ4 2019","FQ4 2019","Currency=USD","Period=FQ","BEST_FPERIOD_OVERRIDE=FQ","FILING_STATUS=MR","SCALING_FORMAT=MLN","Sort=A","Dates=H","DateFormat=P","Fill=—","Direction=H","UseDPDF=Y")</f>
        <v>—</v>
      </c>
      <c r="H150" s="13" t="str">
        <f>_xll.BDH("GILD US Equity","ARDR_FV_ASTS_REC_L1_AFS_CORP_BDS","FQ1 2020","FQ1 2020","Currency=USD","Period=FQ","BEST_FPERIOD_OVERRIDE=FQ","FILING_STATUS=MR","SCALING_FORMAT=MLN","Sort=A","Dates=H","DateFormat=P","Fill=—","Direction=H","UseDPDF=Y")</f>
        <v>—</v>
      </c>
      <c r="I150" s="13" t="str">
        <f>_xll.BDH("GILD US Equity","ARDR_FV_ASTS_REC_L1_AFS_CORP_BDS","FQ2 2020","FQ2 2020","Currency=USD","Period=FQ","BEST_FPERIOD_OVERRIDE=FQ","FILING_STATUS=MR","SCALING_FORMAT=MLN","Sort=A","Dates=H","DateFormat=P","Fill=—","Direction=H","UseDPDF=Y")</f>
        <v>—</v>
      </c>
      <c r="J150" s="13" t="str">
        <f>_xll.BDH("GILD US Equity","ARDR_FV_ASTS_REC_L1_AFS_CORP_BDS","FQ3 2020","FQ3 2020","Currency=USD","Period=FQ","BEST_FPERIOD_OVERRIDE=FQ","FILING_STATUS=MR","SCALING_FORMAT=MLN","Sort=A","Dates=H","DateFormat=P","Fill=—","Direction=H","UseDPDF=Y")</f>
        <v>—</v>
      </c>
      <c r="K150" s="13" t="str">
        <f>_xll.BDH("GILD US Equity","ARDR_FV_ASTS_REC_L1_AFS_CORP_BDS","FQ4 2020","FQ4 2020","Currency=USD","Period=FQ","BEST_FPERIOD_OVERRIDE=FQ","FILING_STATUS=MR","SCALING_FORMAT=MLN","Sort=A","Dates=H","DateFormat=P","Fill=—","Direction=H","UseDPDF=Y")</f>
        <v>—</v>
      </c>
      <c r="L150" s="13" t="str">
        <f>_xll.BDH("GILD US Equity","ARDR_FV_ASTS_REC_L1_AFS_CORP_BDS","FQ1 2021","FQ1 2021","Currency=USD","Period=FQ","BEST_FPERIOD_OVERRIDE=FQ","FILING_STATUS=MR","SCALING_FORMAT=MLN","Sort=A","Dates=H","DateFormat=P","Fill=—","Direction=H","UseDPDF=Y")</f>
        <v>—</v>
      </c>
      <c r="M150" s="13" t="str">
        <f>_xll.BDH("GILD US Equity","ARDR_FV_ASTS_REC_L1_AFS_CORP_BDS","FQ2 2021","FQ2 2021","Currency=USD","Period=FQ","BEST_FPERIOD_OVERRIDE=FQ","FILING_STATUS=MR","SCALING_FORMAT=MLN","Sort=A","Dates=H","DateFormat=P","Fill=—","Direction=H","UseDPDF=Y")</f>
        <v>—</v>
      </c>
      <c r="N150" s="13" t="str">
        <f>_xll.BDH("GILD US Equity","ARDR_FV_ASTS_REC_L1_AFS_CORP_BDS","FQ3 2021","FQ3 2021","Currency=USD","Period=FQ","BEST_FPERIOD_OVERRIDE=FQ","FILING_STATUS=MR","SCALING_FORMAT=MLN","Sort=A","Dates=H","DateFormat=P","Fill=—","Direction=H","UseDPDF=Y")</f>
        <v>—</v>
      </c>
      <c r="O150" s="13">
        <f>_xll.BDH("GILD US Equity","ARDR_FV_ASTS_REC_L1_AFS_CORP_BDS","FQ4 2021","FQ4 2021","Currency=USD","Period=FQ","BEST_FPERIOD_OVERRIDE=FQ","FILING_STATUS=MR","SCALING_FORMAT=MLN","Sort=A","Dates=H","DateFormat=P","Fill=—","Direction=H","UseDPDF=Y")</f>
        <v>0</v>
      </c>
      <c r="P150" s="13" t="str">
        <f>_xll.BDH("GILD US Equity","ARDR_FV_ASTS_REC_L1_AFS_CORP_BDS","FQ1 2022","FQ1 2022","Currency=USD","Period=FQ","BEST_FPERIOD_OVERRIDE=FQ","FILING_STATUS=MR","SCALING_FORMAT=MLN","Sort=A","Dates=H","DateFormat=P","Fill=—","Direction=H","UseDPDF=Y")</f>
        <v>—</v>
      </c>
      <c r="Q150" s="13">
        <f>_xll.BDH("GILD US Equity","ARDR_FV_ASTS_REC_L1_AFS_CORP_BDS","FQ2 2022","FQ2 2022","Currency=USD","Period=FQ","BEST_FPERIOD_OVERRIDE=FQ","FILING_STATUS=MR","SCALING_FORMAT=MLN","Sort=A","Dates=H","DateFormat=P","Fill=—","Direction=H","UseDPDF=Y")</f>
        <v>0</v>
      </c>
      <c r="R150" s="13" t="str">
        <f>_xll.BDH("GILD US Equity","ARDR_FV_ASTS_REC_L1_AFS_CORP_BDS","FQ3 2022","FQ3 2022","Currency=USD","Period=FQ","BEST_FPERIOD_OVERRIDE=FQ","FILING_STATUS=MR","SCALING_FORMAT=MLN","Sort=A","Dates=H","DateFormat=P","Fill=—","Direction=H","UseDPDF=Y")</f>
        <v>—</v>
      </c>
      <c r="S150" s="13" t="str">
        <f>_xll.BDH("GILD US Equity","ARDR_FV_ASTS_REC_L1_AFS_CORP_BDS","FQ4 2022","FQ4 2022","Currency=USD","Period=FQ","BEST_FPERIOD_OVERRIDE=FQ","FILING_STATUS=MR","SCALING_FORMAT=MLN","Sort=A","Dates=H","DateFormat=P","Fill=—","Direction=H","UseDPDF=Y")</f>
        <v>—</v>
      </c>
      <c r="T150" s="13">
        <f>_xll.BDH("GILD US Equity","ARDR_FV_ASTS_REC_L1_AFS_CORP_BDS","FQ1 2023","FQ1 2023","Currency=USD","Period=FQ","BEST_FPERIOD_OVERRIDE=FQ","FILING_STATUS=MR","SCALING_FORMAT=MLN","Sort=A","Dates=H","DateFormat=P","Fill=—","Direction=H","UseDPDF=Y")</f>
        <v>1</v>
      </c>
      <c r="U150" s="13" t="str">
        <f>_xll.BDH("GILD US Equity","ARDR_FV_ASTS_REC_L1_AFS_CORP_BDS","FQ2 2023","FQ2 2023","Currency=USD","Period=FQ","BEST_FPERIOD_OVERRIDE=FQ","FILING_STATUS=MR","SCALING_FORMAT=MLN","Sort=A","Dates=H","DateFormat=P","Fill=—","Direction=H","UseDPDF=Y")</f>
        <v>—</v>
      </c>
      <c r="V150" s="13" t="str">
        <f>_xll.BDH("GILD US Equity","ARDR_FV_ASTS_REC_L1_AFS_CORP_BDS","FQ3 2023","FQ3 2023","Currency=USD","Period=FQ","BEST_FPERIOD_OVERRIDE=FQ","FILING_STATUS=MR","SCALING_FORMAT=MLN","Sort=A","Dates=H","DateFormat=P","Fill=—","Direction=H","UseDPDF=Y")</f>
        <v>—</v>
      </c>
      <c r="W150" s="13">
        <f>_xll.BDH("GILD US Equity","ARDR_FV_ASTS_REC_L1_AFS_CORP_BDS","FQ4 2023","FQ4 2023","Currency=USD","Period=FQ","BEST_FPERIOD_OVERRIDE=FQ","FILING_STATUS=MR","SCALING_FORMAT=MLN","Sort=A","Dates=H","DateFormat=P","Fill=—","Direction=H","UseDPDF=Y")</f>
        <v>0</v>
      </c>
      <c r="X150" s="13">
        <f>_xll.BDH("GILD US Equity","ARDR_FV_ASTS_REC_L1_AFS_CORP_BDS","FQ1 2024","FQ1 2024","Currency=USD","Period=FQ","BEST_FPERIOD_OVERRIDE=FQ","FILING_STATUS=MR","SCALING_FORMAT=MLN","Sort=A","Dates=H","DateFormat=P","Fill=—","Direction=H","UseDPDF=Y")</f>
        <v>0</v>
      </c>
      <c r="Y150" s="13">
        <f>_xll.BDH("GILD US Equity","ARDR_FV_ASTS_REC_L1_AFS_CORP_BDS","FQ2 2024","FQ2 2024","Currency=USD","Period=FQ","BEST_FPERIOD_OVERRIDE=FQ","FILING_STATUS=MR","SCALING_FORMAT=MLN","Sort=A","Dates=H","DateFormat=P","Fill=—","Direction=H","UseDPDF=Y")</f>
        <v>327</v>
      </c>
      <c r="Z150" s="13">
        <f>_xll.BDH("GILD US Equity","ARDR_FV_ASTS_REC_L1_AFS_CORP_BDS","FQ3 2024","FQ3 2024","Currency=USD","Period=FQ","BEST_FPERIOD_OVERRIDE=FQ","FILING_STATUS=MR","SCALING_FORMAT=MLN","Sort=A","Dates=H","DateFormat=P","Fill=—","Direction=H","UseDPDF=Y")</f>
        <v>343</v>
      </c>
      <c r="AA150" s="13">
        <f>_xll.BDH("GILD US Equity","ARDR_FV_ASTS_REC_L1_AFS_CORP_BDS","FQ4 2024","FQ4 2024","Currency=USD","Period=FQ","BEST_FPERIOD_OVERRIDE=FQ","FILING_STATUS=MR","SCALING_FORMAT=MLN","Sort=A","Dates=H","DateFormat=P","Fill=—","Direction=H","UseDPDF=Y")</f>
        <v>0</v>
      </c>
    </row>
    <row r="151" spans="1:27" x14ac:dyDescent="0.25">
      <c r="A151" s="10" t="s">
        <v>1159</v>
      </c>
      <c r="B151" s="10" t="s">
        <v>1160</v>
      </c>
      <c r="C151" s="13" t="str">
        <f>_xll.BDH("GILD US Equity","ARDR_FV_ASTS_REC_L1_AFS_CDO_CLO","FQ4 2018","FQ4 2018","Currency=USD","Period=FQ","BEST_FPERIOD_OVERRIDE=FQ","FILING_STATUS=MR","SCALING_FORMAT=MLN","Sort=A","Dates=H","DateFormat=P","Fill=—","Direction=H","UseDPDF=Y")</f>
        <v>—</v>
      </c>
      <c r="D151" s="13" t="str">
        <f>_xll.BDH("GILD US Equity","ARDR_FV_ASTS_REC_L1_AFS_CDO_CLO","FQ1 2019","FQ1 2019","Currency=USD","Period=FQ","BEST_FPERIOD_OVERRIDE=FQ","FILING_STATUS=MR","SCALING_FORMAT=MLN","Sort=A","Dates=H","DateFormat=P","Fill=—","Direction=H","UseDPDF=Y")</f>
        <v>—</v>
      </c>
      <c r="E151" s="13" t="str">
        <f>_xll.BDH("GILD US Equity","ARDR_FV_ASTS_REC_L1_AFS_CDO_CLO","FQ2 2019","FQ2 2019","Currency=USD","Period=FQ","BEST_FPERIOD_OVERRIDE=FQ","FILING_STATUS=MR","SCALING_FORMAT=MLN","Sort=A","Dates=H","DateFormat=P","Fill=—","Direction=H","UseDPDF=Y")</f>
        <v>—</v>
      </c>
      <c r="F151" s="13" t="str">
        <f>_xll.BDH("GILD US Equity","ARDR_FV_ASTS_REC_L1_AFS_CDO_CLO","FQ3 2019","FQ3 2019","Currency=USD","Period=FQ","BEST_FPERIOD_OVERRIDE=FQ","FILING_STATUS=MR","SCALING_FORMAT=MLN","Sort=A","Dates=H","DateFormat=P","Fill=—","Direction=H","UseDPDF=Y")</f>
        <v>—</v>
      </c>
      <c r="G151" s="13" t="str">
        <f>_xll.BDH("GILD US Equity","ARDR_FV_ASTS_REC_L1_AFS_CDO_CLO","FQ4 2019","FQ4 2019","Currency=USD","Period=FQ","BEST_FPERIOD_OVERRIDE=FQ","FILING_STATUS=MR","SCALING_FORMAT=MLN","Sort=A","Dates=H","DateFormat=P","Fill=—","Direction=H","UseDPDF=Y")</f>
        <v>—</v>
      </c>
      <c r="H151" s="13" t="str">
        <f>_xll.BDH("GILD US Equity","ARDR_FV_ASTS_REC_L1_AFS_CDO_CLO","FQ1 2020","FQ1 2020","Currency=USD","Period=FQ","BEST_FPERIOD_OVERRIDE=FQ","FILING_STATUS=MR","SCALING_FORMAT=MLN","Sort=A","Dates=H","DateFormat=P","Fill=—","Direction=H","UseDPDF=Y")</f>
        <v>—</v>
      </c>
      <c r="I151" s="13" t="str">
        <f>_xll.BDH("GILD US Equity","ARDR_FV_ASTS_REC_L1_AFS_CDO_CLO","FQ2 2020","FQ2 2020","Currency=USD","Period=FQ","BEST_FPERIOD_OVERRIDE=FQ","FILING_STATUS=MR","SCALING_FORMAT=MLN","Sort=A","Dates=H","DateFormat=P","Fill=—","Direction=H","UseDPDF=Y")</f>
        <v>—</v>
      </c>
      <c r="J151" s="13" t="str">
        <f>_xll.BDH("GILD US Equity","ARDR_FV_ASTS_REC_L1_AFS_CDO_CLO","FQ3 2020","FQ3 2020","Currency=USD","Period=FQ","BEST_FPERIOD_OVERRIDE=FQ","FILING_STATUS=MR","SCALING_FORMAT=MLN","Sort=A","Dates=H","DateFormat=P","Fill=—","Direction=H","UseDPDF=Y")</f>
        <v>—</v>
      </c>
      <c r="K151" s="13" t="str">
        <f>_xll.BDH("GILD US Equity","ARDR_FV_ASTS_REC_L1_AFS_CDO_CLO","FQ4 2020","FQ4 2020","Currency=USD","Period=FQ","BEST_FPERIOD_OVERRIDE=FQ","FILING_STATUS=MR","SCALING_FORMAT=MLN","Sort=A","Dates=H","DateFormat=P","Fill=—","Direction=H","UseDPDF=Y")</f>
        <v>—</v>
      </c>
      <c r="L151" s="13" t="str">
        <f>_xll.BDH("GILD US Equity","ARDR_FV_ASTS_REC_L1_AFS_CDO_CLO","FQ1 2021","FQ1 2021","Currency=USD","Period=FQ","BEST_FPERIOD_OVERRIDE=FQ","FILING_STATUS=MR","SCALING_FORMAT=MLN","Sort=A","Dates=H","DateFormat=P","Fill=—","Direction=H","UseDPDF=Y")</f>
        <v>—</v>
      </c>
      <c r="M151" s="13" t="str">
        <f>_xll.BDH("GILD US Equity","ARDR_FV_ASTS_REC_L1_AFS_CDO_CLO","FQ2 2021","FQ2 2021","Currency=USD","Period=FQ","BEST_FPERIOD_OVERRIDE=FQ","FILING_STATUS=MR","SCALING_FORMAT=MLN","Sort=A","Dates=H","DateFormat=P","Fill=—","Direction=H","UseDPDF=Y")</f>
        <v>—</v>
      </c>
      <c r="N151" s="13" t="str">
        <f>_xll.BDH("GILD US Equity","ARDR_FV_ASTS_REC_L1_AFS_CDO_CLO","FQ3 2021","FQ3 2021","Currency=USD","Period=FQ","BEST_FPERIOD_OVERRIDE=FQ","FILING_STATUS=MR","SCALING_FORMAT=MLN","Sort=A","Dates=H","DateFormat=P","Fill=—","Direction=H","UseDPDF=Y")</f>
        <v>—</v>
      </c>
      <c r="O151" s="13">
        <f>_xll.BDH("GILD US Equity","ARDR_FV_ASTS_REC_L1_AFS_CDO_CLO","FQ4 2021","FQ4 2021","Currency=USD","Period=FQ","BEST_FPERIOD_OVERRIDE=FQ","FILING_STATUS=MR","SCALING_FORMAT=MLN","Sort=A","Dates=H","DateFormat=P","Fill=—","Direction=H","UseDPDF=Y")</f>
        <v>0</v>
      </c>
      <c r="P151" s="13" t="str">
        <f>_xll.BDH("GILD US Equity","ARDR_FV_ASTS_REC_L1_AFS_CDO_CLO","FQ1 2022","FQ1 2022","Currency=USD","Period=FQ","BEST_FPERIOD_OVERRIDE=FQ","FILING_STATUS=MR","SCALING_FORMAT=MLN","Sort=A","Dates=H","DateFormat=P","Fill=—","Direction=H","UseDPDF=Y")</f>
        <v>—</v>
      </c>
      <c r="Q151" s="13">
        <f>_xll.BDH("GILD US Equity","ARDR_FV_ASTS_REC_L1_AFS_CDO_CLO","FQ2 2022","FQ2 2022","Currency=USD","Period=FQ","BEST_FPERIOD_OVERRIDE=FQ","FILING_STATUS=MR","SCALING_FORMAT=MLN","Sort=A","Dates=H","DateFormat=P","Fill=—","Direction=H","UseDPDF=Y")</f>
        <v>0</v>
      </c>
      <c r="R151" s="13" t="str">
        <f>_xll.BDH("GILD US Equity","ARDR_FV_ASTS_REC_L1_AFS_CDO_CLO","FQ3 2022","FQ3 2022","Currency=USD","Period=FQ","BEST_FPERIOD_OVERRIDE=FQ","FILING_STATUS=MR","SCALING_FORMAT=MLN","Sort=A","Dates=H","DateFormat=P","Fill=—","Direction=H","UseDPDF=Y")</f>
        <v>—</v>
      </c>
      <c r="S151" s="13" t="str">
        <f>_xll.BDH("GILD US Equity","ARDR_FV_ASTS_REC_L1_AFS_CDO_CLO","FQ4 2022","FQ4 2022","Currency=USD","Period=FQ","BEST_FPERIOD_OVERRIDE=FQ","FILING_STATUS=MR","SCALING_FORMAT=MLN","Sort=A","Dates=H","DateFormat=P","Fill=—","Direction=H","UseDPDF=Y")</f>
        <v>—</v>
      </c>
      <c r="T151" s="13" t="str">
        <f>_xll.BDH("GILD US Equity","ARDR_FV_ASTS_REC_L1_AFS_CDO_CLO","FQ1 2023","FQ1 2023","Currency=USD","Period=FQ","BEST_FPERIOD_OVERRIDE=FQ","FILING_STATUS=MR","SCALING_FORMAT=MLN","Sort=A","Dates=H","DateFormat=P","Fill=—","Direction=H","UseDPDF=Y")</f>
        <v>—</v>
      </c>
      <c r="U151" s="13" t="str">
        <f>_xll.BDH("GILD US Equity","ARDR_FV_ASTS_REC_L1_AFS_CDO_CLO","FQ2 2023","FQ2 2023","Currency=USD","Period=FQ","BEST_FPERIOD_OVERRIDE=FQ","FILING_STATUS=MR","SCALING_FORMAT=MLN","Sort=A","Dates=H","DateFormat=P","Fill=—","Direction=H","UseDPDF=Y")</f>
        <v>—</v>
      </c>
      <c r="V151" s="13" t="str">
        <f>_xll.BDH("GILD US Equity","ARDR_FV_ASTS_REC_L1_AFS_CDO_CLO","FQ3 2023","FQ3 2023","Currency=USD","Period=FQ","BEST_FPERIOD_OVERRIDE=FQ","FILING_STATUS=MR","SCALING_FORMAT=MLN","Sort=A","Dates=H","DateFormat=P","Fill=—","Direction=H","UseDPDF=Y")</f>
        <v>—</v>
      </c>
      <c r="W151" s="13">
        <f>_xll.BDH("GILD US Equity","ARDR_FV_ASTS_REC_L1_AFS_CDO_CLO","FQ4 2023","FQ4 2023","Currency=USD","Period=FQ","BEST_FPERIOD_OVERRIDE=FQ","FILING_STATUS=MR","SCALING_FORMAT=MLN","Sort=A","Dates=H","DateFormat=P","Fill=—","Direction=H","UseDPDF=Y")</f>
        <v>0</v>
      </c>
      <c r="X151" s="13" t="str">
        <f>_xll.BDH("GILD US Equity","ARDR_FV_ASTS_REC_L1_AFS_CDO_CLO","FQ1 2024","FQ1 2024","Currency=USD","Period=FQ","BEST_FPERIOD_OVERRIDE=FQ","FILING_STATUS=MR","SCALING_FORMAT=MLN","Sort=A","Dates=H","DateFormat=P","Fill=—","Direction=H","UseDPDF=Y")</f>
        <v>—</v>
      </c>
      <c r="Y151" s="13" t="str">
        <f>_xll.BDH("GILD US Equity","ARDR_FV_ASTS_REC_L1_AFS_CDO_CLO","FQ2 2024","FQ2 2024","Currency=USD","Period=FQ","BEST_FPERIOD_OVERRIDE=FQ","FILING_STATUS=MR","SCALING_FORMAT=MLN","Sort=A","Dates=H","DateFormat=P","Fill=—","Direction=H","UseDPDF=Y")</f>
        <v>—</v>
      </c>
      <c r="Z151" s="13">
        <f>_xll.BDH("GILD US Equity","ARDR_FV_ASTS_REC_L1_AFS_CDO_CLO","FQ3 2024","FQ3 2024","Currency=USD","Period=FQ","BEST_FPERIOD_OVERRIDE=FQ","FILING_STATUS=MR","SCALING_FORMAT=MLN","Sort=A","Dates=H","DateFormat=P","Fill=—","Direction=H","UseDPDF=Y")</f>
        <v>0</v>
      </c>
      <c r="AA151" s="13">
        <f>_xll.BDH("GILD US Equity","ARDR_FV_ASTS_REC_L1_AFS_CDO_CLO","FQ4 2024","FQ4 2024","Currency=USD","Period=FQ","BEST_FPERIOD_OVERRIDE=FQ","FILING_STATUS=MR","SCALING_FORMAT=MLN","Sort=A","Dates=H","DateFormat=P","Fill=—","Direction=H","UseDPDF=Y")</f>
        <v>0</v>
      </c>
    </row>
    <row r="152" spans="1:27" x14ac:dyDescent="0.25">
      <c r="A152" s="10" t="s">
        <v>1161</v>
      </c>
      <c r="B152" s="10" t="s">
        <v>1162</v>
      </c>
      <c r="C152" s="13" t="str">
        <f>_xll.BDH("GILD US Equity","ARDR_FV_ASTS_REC_L1_AFS_GSE_CMO","FQ4 2018","FQ4 2018","Currency=USD","Period=FQ","BEST_FPERIOD_OVERRIDE=FQ","FILING_STATUS=MR","SCALING_FORMAT=MLN","Sort=A","Dates=H","DateFormat=P","Fill=—","Direction=H","UseDPDF=Y")</f>
        <v>—</v>
      </c>
      <c r="D152" s="13" t="str">
        <f>_xll.BDH("GILD US Equity","ARDR_FV_ASTS_REC_L1_AFS_GSE_CMO","FQ1 2019","FQ1 2019","Currency=USD","Period=FQ","BEST_FPERIOD_OVERRIDE=FQ","FILING_STATUS=MR","SCALING_FORMAT=MLN","Sort=A","Dates=H","DateFormat=P","Fill=—","Direction=H","UseDPDF=Y")</f>
        <v>—</v>
      </c>
      <c r="E152" s="13" t="str">
        <f>_xll.BDH("GILD US Equity","ARDR_FV_ASTS_REC_L1_AFS_GSE_CMO","FQ2 2019","FQ2 2019","Currency=USD","Period=FQ","BEST_FPERIOD_OVERRIDE=FQ","FILING_STATUS=MR","SCALING_FORMAT=MLN","Sort=A","Dates=H","DateFormat=P","Fill=—","Direction=H","UseDPDF=Y")</f>
        <v>—</v>
      </c>
      <c r="F152" s="13" t="str">
        <f>_xll.BDH("GILD US Equity","ARDR_FV_ASTS_REC_L1_AFS_GSE_CMO","FQ3 2019","FQ3 2019","Currency=USD","Period=FQ","BEST_FPERIOD_OVERRIDE=FQ","FILING_STATUS=MR","SCALING_FORMAT=MLN","Sort=A","Dates=H","DateFormat=P","Fill=—","Direction=H","UseDPDF=Y")</f>
        <v>—</v>
      </c>
      <c r="G152" s="13" t="str">
        <f>_xll.BDH("GILD US Equity","ARDR_FV_ASTS_REC_L1_AFS_GSE_CMO","FQ4 2019","FQ4 2019","Currency=USD","Period=FQ","BEST_FPERIOD_OVERRIDE=FQ","FILING_STATUS=MR","SCALING_FORMAT=MLN","Sort=A","Dates=H","DateFormat=P","Fill=—","Direction=H","UseDPDF=Y")</f>
        <v>—</v>
      </c>
      <c r="H152" s="13" t="str">
        <f>_xll.BDH("GILD US Equity","ARDR_FV_ASTS_REC_L1_AFS_GSE_CMO","FQ1 2020","FQ1 2020","Currency=USD","Period=FQ","BEST_FPERIOD_OVERRIDE=FQ","FILING_STATUS=MR","SCALING_FORMAT=MLN","Sort=A","Dates=H","DateFormat=P","Fill=—","Direction=H","UseDPDF=Y")</f>
        <v>—</v>
      </c>
      <c r="I152" s="13" t="str">
        <f>_xll.BDH("GILD US Equity","ARDR_FV_ASTS_REC_L1_AFS_GSE_CMO","FQ2 2020","FQ2 2020","Currency=USD","Period=FQ","BEST_FPERIOD_OVERRIDE=FQ","FILING_STATUS=MR","SCALING_FORMAT=MLN","Sort=A","Dates=H","DateFormat=P","Fill=—","Direction=H","UseDPDF=Y")</f>
        <v>—</v>
      </c>
      <c r="J152" s="13" t="str">
        <f>_xll.BDH("GILD US Equity","ARDR_FV_ASTS_REC_L1_AFS_GSE_CMO","FQ3 2020","FQ3 2020","Currency=USD","Period=FQ","BEST_FPERIOD_OVERRIDE=FQ","FILING_STATUS=MR","SCALING_FORMAT=MLN","Sort=A","Dates=H","DateFormat=P","Fill=—","Direction=H","UseDPDF=Y")</f>
        <v>—</v>
      </c>
      <c r="K152" s="13" t="str">
        <f>_xll.BDH("GILD US Equity","ARDR_FV_ASTS_REC_L1_AFS_GSE_CMO","FQ4 2020","FQ4 2020","Currency=USD","Period=FQ","BEST_FPERIOD_OVERRIDE=FQ","FILING_STATUS=MR","SCALING_FORMAT=MLN","Sort=A","Dates=H","DateFormat=P","Fill=—","Direction=H","UseDPDF=Y")</f>
        <v>—</v>
      </c>
      <c r="L152" s="13" t="str">
        <f>_xll.BDH("GILD US Equity","ARDR_FV_ASTS_REC_L1_AFS_GSE_CMO","FQ1 2021","FQ1 2021","Currency=USD","Period=FQ","BEST_FPERIOD_OVERRIDE=FQ","FILING_STATUS=MR","SCALING_FORMAT=MLN","Sort=A","Dates=H","DateFormat=P","Fill=—","Direction=H","UseDPDF=Y")</f>
        <v>—</v>
      </c>
      <c r="M152" s="13" t="str">
        <f>_xll.BDH("GILD US Equity","ARDR_FV_ASTS_REC_L1_AFS_GSE_CMO","FQ2 2021","FQ2 2021","Currency=USD","Period=FQ","BEST_FPERIOD_OVERRIDE=FQ","FILING_STATUS=MR","SCALING_FORMAT=MLN","Sort=A","Dates=H","DateFormat=P","Fill=—","Direction=H","UseDPDF=Y")</f>
        <v>—</v>
      </c>
      <c r="N152" s="13" t="str">
        <f>_xll.BDH("GILD US Equity","ARDR_FV_ASTS_REC_L1_AFS_GSE_CMO","FQ3 2021","FQ3 2021","Currency=USD","Period=FQ","BEST_FPERIOD_OVERRIDE=FQ","FILING_STATUS=MR","SCALING_FORMAT=MLN","Sort=A","Dates=H","DateFormat=P","Fill=—","Direction=H","UseDPDF=Y")</f>
        <v>—</v>
      </c>
      <c r="O152" s="13" t="str">
        <f>_xll.BDH("GILD US Equity","ARDR_FV_ASTS_REC_L1_AFS_GSE_CMO","FQ4 2021","FQ4 2021","Currency=USD","Period=FQ","BEST_FPERIOD_OVERRIDE=FQ","FILING_STATUS=MR","SCALING_FORMAT=MLN","Sort=A","Dates=H","DateFormat=P","Fill=—","Direction=H","UseDPDF=Y")</f>
        <v>—</v>
      </c>
      <c r="P152" s="13" t="str">
        <f>_xll.BDH("GILD US Equity","ARDR_FV_ASTS_REC_L1_AFS_GSE_CMO","FQ1 2022","FQ1 2022","Currency=USD","Period=FQ","BEST_FPERIOD_OVERRIDE=FQ","FILING_STATUS=MR","SCALING_FORMAT=MLN","Sort=A","Dates=H","DateFormat=P","Fill=—","Direction=H","UseDPDF=Y")</f>
        <v>—</v>
      </c>
      <c r="Q152" s="13" t="str">
        <f>_xll.BDH("GILD US Equity","ARDR_FV_ASTS_REC_L1_AFS_GSE_CMO","FQ2 2022","FQ2 2022","Currency=USD","Period=FQ","BEST_FPERIOD_OVERRIDE=FQ","FILING_STATUS=MR","SCALING_FORMAT=MLN","Sort=A","Dates=H","DateFormat=P","Fill=—","Direction=H","UseDPDF=Y")</f>
        <v>—</v>
      </c>
      <c r="R152" s="13" t="str">
        <f>_xll.BDH("GILD US Equity","ARDR_FV_ASTS_REC_L1_AFS_GSE_CMO","FQ3 2022","FQ3 2022","Currency=USD","Period=FQ","BEST_FPERIOD_OVERRIDE=FQ","FILING_STATUS=MR","SCALING_FORMAT=MLN","Sort=A","Dates=H","DateFormat=P","Fill=—","Direction=H","UseDPDF=Y")</f>
        <v>—</v>
      </c>
      <c r="S152" s="13" t="str">
        <f>_xll.BDH("GILD US Equity","ARDR_FV_ASTS_REC_L1_AFS_GSE_CMO","FQ4 2022","FQ4 2022","Currency=USD","Period=FQ","BEST_FPERIOD_OVERRIDE=FQ","FILING_STATUS=MR","SCALING_FORMAT=MLN","Sort=A","Dates=H","DateFormat=P","Fill=—","Direction=H","UseDPDF=Y")</f>
        <v>—</v>
      </c>
      <c r="T152" s="13" t="str">
        <f>_xll.BDH("GILD US Equity","ARDR_FV_ASTS_REC_L1_AFS_GSE_CMO","FQ1 2023","FQ1 2023","Currency=USD","Period=FQ","BEST_FPERIOD_OVERRIDE=FQ","FILING_STATUS=MR","SCALING_FORMAT=MLN","Sort=A","Dates=H","DateFormat=P","Fill=—","Direction=H","UseDPDF=Y")</f>
        <v>—</v>
      </c>
      <c r="U152" s="13" t="str">
        <f>_xll.BDH("GILD US Equity","ARDR_FV_ASTS_REC_L1_AFS_GSE_CMO","FQ2 2023","FQ2 2023","Currency=USD","Period=FQ","BEST_FPERIOD_OVERRIDE=FQ","FILING_STATUS=MR","SCALING_FORMAT=MLN","Sort=A","Dates=H","DateFormat=P","Fill=—","Direction=H","UseDPDF=Y")</f>
        <v>—</v>
      </c>
      <c r="V152" s="13" t="str">
        <f>_xll.BDH("GILD US Equity","ARDR_FV_ASTS_REC_L1_AFS_GSE_CMO","FQ3 2023","FQ3 2023","Currency=USD","Period=FQ","BEST_FPERIOD_OVERRIDE=FQ","FILING_STATUS=MR","SCALING_FORMAT=MLN","Sort=A","Dates=H","DateFormat=P","Fill=—","Direction=H","UseDPDF=Y")</f>
        <v>—</v>
      </c>
      <c r="W152" s="13">
        <f>_xll.BDH("GILD US Equity","ARDR_FV_ASTS_REC_L1_AFS_GSE_CMO","FQ4 2023","FQ4 2023","Currency=USD","Period=FQ","BEST_FPERIOD_OVERRIDE=FQ","FILING_STATUS=MR","SCALING_FORMAT=MLN","Sort=A","Dates=H","DateFormat=P","Fill=—","Direction=H","UseDPDF=Y")</f>
        <v>0</v>
      </c>
      <c r="X152" s="13" t="str">
        <f>_xll.BDH("GILD US Equity","ARDR_FV_ASTS_REC_L1_AFS_GSE_CMO","FQ1 2024","FQ1 2024","Currency=USD","Period=FQ","BEST_FPERIOD_OVERRIDE=FQ","FILING_STATUS=MR","SCALING_FORMAT=MLN","Sort=A","Dates=H","DateFormat=P","Fill=—","Direction=H","UseDPDF=Y")</f>
        <v>—</v>
      </c>
      <c r="Y152" s="13" t="str">
        <f>_xll.BDH("GILD US Equity","ARDR_FV_ASTS_REC_L1_AFS_GSE_CMO","FQ2 2024","FQ2 2024","Currency=USD","Period=FQ","BEST_FPERIOD_OVERRIDE=FQ","FILING_STATUS=MR","SCALING_FORMAT=MLN","Sort=A","Dates=H","DateFormat=P","Fill=—","Direction=H","UseDPDF=Y")</f>
        <v>—</v>
      </c>
      <c r="Z152" s="13">
        <f>_xll.BDH("GILD US Equity","ARDR_FV_ASTS_REC_L1_AFS_GSE_CMO","FQ3 2024","FQ3 2024","Currency=USD","Period=FQ","BEST_FPERIOD_OVERRIDE=FQ","FILING_STATUS=MR","SCALING_FORMAT=MLN","Sort=A","Dates=H","DateFormat=P","Fill=—","Direction=H","UseDPDF=Y")</f>
        <v>0</v>
      </c>
      <c r="AA152" s="13">
        <f>_xll.BDH("GILD US Equity","ARDR_FV_ASTS_REC_L1_AFS_GSE_CMO","FQ4 2024","FQ4 2024","Currency=USD","Period=FQ","BEST_FPERIOD_OVERRIDE=FQ","FILING_STATUS=MR","SCALING_FORMAT=MLN","Sort=A","Dates=H","DateFormat=P","Fill=—","Direction=H","UseDPDF=Y")</f>
        <v>0</v>
      </c>
    </row>
    <row r="153" spans="1:27" x14ac:dyDescent="0.25">
      <c r="A153" s="10" t="s">
        <v>1163</v>
      </c>
      <c r="B153" s="10" t="s">
        <v>1164</v>
      </c>
      <c r="C153" s="13">
        <f>_xll.BDH("GILD US Equity","ARDR_FV_ASSETS_REC_L1_AFS_OTHER","FQ4 2018","FQ4 2018","Currency=USD","Period=FQ","BEST_FPERIOD_OVERRIDE=FQ","FILING_STATUS=MR","SCALING_FORMAT=MLN","Sort=A","Dates=H","DateFormat=P","Fill=—","Direction=H","UseDPDF=Y")</f>
        <v>881</v>
      </c>
      <c r="D153" s="13">
        <f>_xll.BDH("GILD US Equity","ARDR_FV_ASSETS_REC_L1_AFS_OTHER","FQ1 2019","FQ1 2019","Currency=USD","Period=FQ","BEST_FPERIOD_OVERRIDE=FQ","FILING_STATUS=MR","SCALING_FORMAT=MLN","Sort=A","Dates=H","DateFormat=P","Fill=—","Direction=H","UseDPDF=Y")</f>
        <v>0</v>
      </c>
      <c r="E153" s="13">
        <f>_xll.BDH("GILD US Equity","ARDR_FV_ASSETS_REC_L1_AFS_OTHER","FQ2 2019","FQ2 2019","Currency=USD","Period=FQ","BEST_FPERIOD_OVERRIDE=FQ","FILING_STATUS=MR","SCALING_FORMAT=MLN","Sort=A","Dates=H","DateFormat=P","Fill=—","Direction=H","UseDPDF=Y")</f>
        <v>0</v>
      </c>
      <c r="F153" s="13">
        <f>_xll.BDH("GILD US Equity","ARDR_FV_ASSETS_REC_L1_AFS_OTHER","FQ3 2019","FQ3 2019","Currency=USD","Period=FQ","BEST_FPERIOD_OVERRIDE=FQ","FILING_STATUS=MR","SCALING_FORMAT=MLN","Sort=A","Dates=H","DateFormat=P","Fill=—","Direction=H","UseDPDF=Y")</f>
        <v>0</v>
      </c>
      <c r="G153" s="13">
        <f>_xll.BDH("GILD US Equity","ARDR_FV_ASSETS_REC_L1_AFS_OTHER","FQ4 2019","FQ4 2019","Currency=USD","Period=FQ","BEST_FPERIOD_OVERRIDE=FQ","FILING_STATUS=MR","SCALING_FORMAT=MLN","Sort=A","Dates=H","DateFormat=P","Fill=—","Direction=H","UseDPDF=Y")</f>
        <v>0</v>
      </c>
      <c r="H153" s="13">
        <f>_xll.BDH("GILD US Equity","ARDR_FV_ASSETS_REC_L1_AFS_OTHER","FQ1 2020","FQ1 2020","Currency=USD","Period=FQ","BEST_FPERIOD_OVERRIDE=FQ","FILING_STATUS=MR","SCALING_FORMAT=MLN","Sort=A","Dates=H","DateFormat=P","Fill=—","Direction=H","UseDPDF=Y")</f>
        <v>0</v>
      </c>
      <c r="I153" s="13">
        <f>_xll.BDH("GILD US Equity","ARDR_FV_ASSETS_REC_L1_AFS_OTHER","FQ2 2020","FQ2 2020","Currency=USD","Period=FQ","BEST_FPERIOD_OVERRIDE=FQ","FILING_STATUS=MR","SCALING_FORMAT=MLN","Sort=A","Dates=H","DateFormat=P","Fill=—","Direction=H","UseDPDF=Y")</f>
        <v>0</v>
      </c>
      <c r="J153" s="13">
        <f>_xll.BDH("GILD US Equity","ARDR_FV_ASSETS_REC_L1_AFS_OTHER","FQ3 2020","FQ3 2020","Currency=USD","Period=FQ","BEST_FPERIOD_OVERRIDE=FQ","FILING_STATUS=MR","SCALING_FORMAT=MLN","Sort=A","Dates=H","DateFormat=P","Fill=—","Direction=H","UseDPDF=Y")</f>
        <v>0</v>
      </c>
      <c r="K153" s="13">
        <f>_xll.BDH("GILD US Equity","ARDR_FV_ASSETS_REC_L1_AFS_OTHER","FQ4 2020","FQ4 2020","Currency=USD","Period=FQ","BEST_FPERIOD_OVERRIDE=FQ","FILING_STATUS=MR","SCALING_FORMAT=MLN","Sort=A","Dates=H","DateFormat=P","Fill=—","Direction=H","UseDPDF=Y")</f>
        <v>0</v>
      </c>
      <c r="L153" s="13">
        <f>_xll.BDH("GILD US Equity","ARDR_FV_ASSETS_REC_L1_AFS_OTHER","FQ1 2021","FQ1 2021","Currency=USD","Period=FQ","BEST_FPERIOD_OVERRIDE=FQ","FILING_STATUS=MR","SCALING_FORMAT=MLN","Sort=A","Dates=H","DateFormat=P","Fill=—","Direction=H","UseDPDF=Y")</f>
        <v>0</v>
      </c>
      <c r="M153" s="13">
        <f>_xll.BDH("GILD US Equity","ARDR_FV_ASSETS_REC_L1_AFS_OTHER","FQ2 2021","FQ2 2021","Currency=USD","Period=FQ","BEST_FPERIOD_OVERRIDE=FQ","FILING_STATUS=MR","SCALING_FORMAT=MLN","Sort=A","Dates=H","DateFormat=P","Fill=—","Direction=H","UseDPDF=Y")</f>
        <v>0</v>
      </c>
      <c r="N153" s="13">
        <f>_xll.BDH("GILD US Equity","ARDR_FV_ASSETS_REC_L1_AFS_OTHER","FQ3 2021","FQ3 2021","Currency=USD","Period=FQ","BEST_FPERIOD_OVERRIDE=FQ","FILING_STATUS=MR","SCALING_FORMAT=MLN","Sort=A","Dates=H","DateFormat=P","Fill=—","Direction=H","UseDPDF=Y")</f>
        <v>0</v>
      </c>
      <c r="O153" s="13">
        <f>_xll.BDH("GILD US Equity","ARDR_FV_ASSETS_REC_L1_AFS_OTHER","FQ4 2021","FQ4 2021","Currency=USD","Period=FQ","BEST_FPERIOD_OVERRIDE=FQ","FILING_STATUS=MR","SCALING_FORMAT=MLN","Sort=A","Dates=H","DateFormat=P","Fill=—","Direction=H","UseDPDF=Y")</f>
        <v>0</v>
      </c>
      <c r="P153" s="13">
        <f>_xll.BDH("GILD US Equity","ARDR_FV_ASSETS_REC_L1_AFS_OTHER","FQ1 2022","FQ1 2022","Currency=USD","Period=FQ","BEST_FPERIOD_OVERRIDE=FQ","FILING_STATUS=MR","SCALING_FORMAT=MLN","Sort=A","Dates=H","DateFormat=P","Fill=—","Direction=H","UseDPDF=Y")</f>
        <v>0</v>
      </c>
      <c r="Q153" s="13" t="str">
        <f>_xll.BDH("GILD US Equity","ARDR_FV_ASSETS_REC_L1_AFS_OTHER","FQ2 2022","FQ2 2022","Currency=USD","Period=FQ","BEST_FPERIOD_OVERRIDE=FQ","FILING_STATUS=MR","SCALING_FORMAT=MLN","Sort=A","Dates=H","DateFormat=P","Fill=—","Direction=H","UseDPDF=Y")</f>
        <v>—</v>
      </c>
      <c r="R153" s="13">
        <f>_xll.BDH("GILD US Equity","ARDR_FV_ASSETS_REC_L1_AFS_OTHER","FQ3 2022","FQ3 2022","Currency=USD","Period=FQ","BEST_FPERIOD_OVERRIDE=FQ","FILING_STATUS=MR","SCALING_FORMAT=MLN","Sort=A","Dates=H","DateFormat=P","Fill=—","Direction=H","UseDPDF=Y")</f>
        <v>0</v>
      </c>
      <c r="S153" s="13" t="str">
        <f>_xll.BDH("GILD US Equity","ARDR_FV_ASSETS_REC_L1_AFS_OTHER","FQ4 2022","FQ4 2022","Currency=USD","Period=FQ","BEST_FPERIOD_OVERRIDE=FQ","FILING_STATUS=MR","SCALING_FORMAT=MLN","Sort=A","Dates=H","DateFormat=P","Fill=—","Direction=H","UseDPDF=Y")</f>
        <v>—</v>
      </c>
      <c r="T153" s="13">
        <f>_xll.BDH("GILD US Equity","ARDR_FV_ASSETS_REC_L1_AFS_OTHER","FQ1 2023","FQ1 2023","Currency=USD","Period=FQ","BEST_FPERIOD_OVERRIDE=FQ","FILING_STATUS=MR","SCALING_FORMAT=MLN","Sort=A","Dates=H","DateFormat=P","Fill=—","Direction=H","UseDPDF=Y")</f>
        <v>0</v>
      </c>
      <c r="U153" s="13">
        <f>_xll.BDH("GILD US Equity","ARDR_FV_ASSETS_REC_L1_AFS_OTHER","FQ2 2023","FQ2 2023","Currency=USD","Period=FQ","BEST_FPERIOD_OVERRIDE=FQ","FILING_STATUS=MR","SCALING_FORMAT=MLN","Sort=A","Dates=H","DateFormat=P","Fill=—","Direction=H","UseDPDF=Y")</f>
        <v>1209</v>
      </c>
      <c r="V153" s="13">
        <f>_xll.BDH("GILD US Equity","ARDR_FV_ASSETS_REC_L1_AFS_OTHER","FQ3 2023","FQ3 2023","Currency=USD","Period=FQ","BEST_FPERIOD_OVERRIDE=FQ","FILING_STATUS=MR","SCALING_FORMAT=MLN","Sort=A","Dates=H","DateFormat=P","Fill=—","Direction=H","UseDPDF=Y")</f>
        <v>0</v>
      </c>
      <c r="W153" s="13">
        <f>_xll.BDH("GILD US Equity","ARDR_FV_ASSETS_REC_L1_AFS_OTHER","FQ4 2023","FQ4 2023","Currency=USD","Period=FQ","BEST_FPERIOD_OVERRIDE=FQ","FILING_STATUS=MR","SCALING_FORMAT=MLN","Sort=A","Dates=H","DateFormat=P","Fill=—","Direction=H","UseDPDF=Y")</f>
        <v>1458</v>
      </c>
      <c r="X153" s="13">
        <f>_xll.BDH("GILD US Equity","ARDR_FV_ASSETS_REC_L1_AFS_OTHER","FQ1 2024","FQ1 2024","Currency=USD","Period=FQ","BEST_FPERIOD_OVERRIDE=FQ","FILING_STATUS=MR","SCALING_FORMAT=MLN","Sort=A","Dates=H","DateFormat=P","Fill=—","Direction=H","UseDPDF=Y")</f>
        <v>0</v>
      </c>
      <c r="Y153" s="13" t="str">
        <f>_xll.BDH("GILD US Equity","ARDR_FV_ASSETS_REC_L1_AFS_OTHER","FQ2 2024","FQ2 2024","Currency=USD","Period=FQ","BEST_FPERIOD_OVERRIDE=FQ","FILING_STATUS=MR","SCALING_FORMAT=MLN","Sort=A","Dates=H","DateFormat=P","Fill=—","Direction=H","UseDPDF=Y")</f>
        <v>—</v>
      </c>
      <c r="Z153" s="13">
        <f>_xll.BDH("GILD US Equity","ARDR_FV_ASSETS_REC_L1_AFS_OTHER","FQ3 2024","FQ3 2024","Currency=USD","Period=FQ","BEST_FPERIOD_OVERRIDE=FQ","FILING_STATUS=MR","SCALING_FORMAT=MLN","Sort=A","Dates=H","DateFormat=P","Fill=—","Direction=H","UseDPDF=Y")</f>
        <v>1665</v>
      </c>
      <c r="AA153" s="13">
        <f>_xll.BDH("GILD US Equity","ARDR_FV_ASSETS_REC_L1_AFS_OTHER","FQ4 2024","FQ4 2024","Currency=USD","Period=FQ","BEST_FPERIOD_OVERRIDE=FQ","FILING_STATUS=MR","SCALING_FORMAT=MLN","Sort=A","Dates=H","DateFormat=P","Fill=—","Direction=H","UseDPDF=Y")</f>
        <v>1560</v>
      </c>
    </row>
    <row r="154" spans="1:27" x14ac:dyDescent="0.25">
      <c r="A154" s="10" t="s">
        <v>1165</v>
      </c>
      <c r="B154" s="10" t="s">
        <v>1166</v>
      </c>
      <c r="C154" s="13" t="str">
        <f>_xll.BDH("GILD US Equity","ARDR_FV_ASSETS_REC_L1_HTM_OTHER","FQ4 2018","FQ4 2018","Currency=USD","Period=FQ","BEST_FPERIOD_OVERRIDE=FQ","FILING_STATUS=MR","SCALING_FORMAT=MLN","Sort=A","Dates=H","DateFormat=P","Fill=—","Direction=H","UseDPDF=Y")</f>
        <v>—</v>
      </c>
      <c r="D154" s="13" t="str">
        <f>_xll.BDH("GILD US Equity","ARDR_FV_ASSETS_REC_L1_HTM_OTHER","FQ1 2019","FQ1 2019","Currency=USD","Period=FQ","BEST_FPERIOD_OVERRIDE=FQ","FILING_STATUS=MR","SCALING_FORMAT=MLN","Sort=A","Dates=H","DateFormat=P","Fill=—","Direction=H","UseDPDF=Y")</f>
        <v>—</v>
      </c>
      <c r="E154" s="13" t="str">
        <f>_xll.BDH("GILD US Equity","ARDR_FV_ASSETS_REC_L1_HTM_OTHER","FQ2 2019","FQ2 2019","Currency=USD","Period=FQ","BEST_FPERIOD_OVERRIDE=FQ","FILING_STATUS=MR","SCALING_FORMAT=MLN","Sort=A","Dates=H","DateFormat=P","Fill=—","Direction=H","UseDPDF=Y")</f>
        <v>—</v>
      </c>
      <c r="F154" s="13" t="str">
        <f>_xll.BDH("GILD US Equity","ARDR_FV_ASSETS_REC_L1_HTM_OTHER","FQ3 2019","FQ3 2019","Currency=USD","Period=FQ","BEST_FPERIOD_OVERRIDE=FQ","FILING_STATUS=MR","SCALING_FORMAT=MLN","Sort=A","Dates=H","DateFormat=P","Fill=—","Direction=H","UseDPDF=Y")</f>
        <v>—</v>
      </c>
      <c r="G154" s="13" t="str">
        <f>_xll.BDH("GILD US Equity","ARDR_FV_ASSETS_REC_L1_HTM_OTHER","FQ4 2019","FQ4 2019","Currency=USD","Period=FQ","BEST_FPERIOD_OVERRIDE=FQ","FILING_STATUS=MR","SCALING_FORMAT=MLN","Sort=A","Dates=H","DateFormat=P","Fill=—","Direction=H","UseDPDF=Y")</f>
        <v>—</v>
      </c>
      <c r="H154" s="13" t="str">
        <f>_xll.BDH("GILD US Equity","ARDR_FV_ASSETS_REC_L1_HTM_OTHER","FQ1 2020","FQ1 2020","Currency=USD","Period=FQ","BEST_FPERIOD_OVERRIDE=FQ","FILING_STATUS=MR","SCALING_FORMAT=MLN","Sort=A","Dates=H","DateFormat=P","Fill=—","Direction=H","UseDPDF=Y")</f>
        <v>—</v>
      </c>
      <c r="I154" s="13" t="str">
        <f>_xll.BDH("GILD US Equity","ARDR_FV_ASSETS_REC_L1_HTM_OTHER","FQ2 2020","FQ2 2020","Currency=USD","Period=FQ","BEST_FPERIOD_OVERRIDE=FQ","FILING_STATUS=MR","SCALING_FORMAT=MLN","Sort=A","Dates=H","DateFormat=P","Fill=—","Direction=H","UseDPDF=Y")</f>
        <v>—</v>
      </c>
      <c r="J154" s="13" t="str">
        <f>_xll.BDH("GILD US Equity","ARDR_FV_ASSETS_REC_L1_HTM_OTHER","FQ3 2020","FQ3 2020","Currency=USD","Period=FQ","BEST_FPERIOD_OVERRIDE=FQ","FILING_STATUS=MR","SCALING_FORMAT=MLN","Sort=A","Dates=H","DateFormat=P","Fill=—","Direction=H","UseDPDF=Y")</f>
        <v>—</v>
      </c>
      <c r="K154" s="13" t="str">
        <f>_xll.BDH("GILD US Equity","ARDR_FV_ASSETS_REC_L1_HTM_OTHER","FQ4 2020","FQ4 2020","Currency=USD","Period=FQ","BEST_FPERIOD_OVERRIDE=FQ","FILING_STATUS=MR","SCALING_FORMAT=MLN","Sort=A","Dates=H","DateFormat=P","Fill=—","Direction=H","UseDPDF=Y")</f>
        <v>—</v>
      </c>
      <c r="L154" s="13" t="str">
        <f>_xll.BDH("GILD US Equity","ARDR_FV_ASSETS_REC_L1_HTM_OTHER","FQ1 2021","FQ1 2021","Currency=USD","Period=FQ","BEST_FPERIOD_OVERRIDE=FQ","FILING_STATUS=MR","SCALING_FORMAT=MLN","Sort=A","Dates=H","DateFormat=P","Fill=—","Direction=H","UseDPDF=Y")</f>
        <v>—</v>
      </c>
      <c r="M154" s="13" t="str">
        <f>_xll.BDH("GILD US Equity","ARDR_FV_ASSETS_REC_L1_HTM_OTHER","FQ2 2021","FQ2 2021","Currency=USD","Period=FQ","BEST_FPERIOD_OVERRIDE=FQ","FILING_STATUS=MR","SCALING_FORMAT=MLN","Sort=A","Dates=H","DateFormat=P","Fill=—","Direction=H","UseDPDF=Y")</f>
        <v>—</v>
      </c>
      <c r="N154" s="13" t="str">
        <f>_xll.BDH("GILD US Equity","ARDR_FV_ASSETS_REC_L1_HTM_OTHER","FQ3 2021","FQ3 2021","Currency=USD","Period=FQ","BEST_FPERIOD_OVERRIDE=FQ","FILING_STATUS=MR","SCALING_FORMAT=MLN","Sort=A","Dates=H","DateFormat=P","Fill=—","Direction=H","UseDPDF=Y")</f>
        <v>—</v>
      </c>
      <c r="O154" s="13" t="str">
        <f>_xll.BDH("GILD US Equity","ARDR_FV_ASSETS_REC_L1_HTM_OTHER","FQ4 2021","FQ4 2021","Currency=USD","Period=FQ","BEST_FPERIOD_OVERRIDE=FQ","FILING_STATUS=MR","SCALING_FORMAT=MLN","Sort=A","Dates=H","DateFormat=P","Fill=—","Direction=H","UseDPDF=Y")</f>
        <v>—</v>
      </c>
      <c r="P154" s="13" t="str">
        <f>_xll.BDH("GILD US Equity","ARDR_FV_ASSETS_REC_L1_HTM_OTHER","FQ1 2022","FQ1 2022","Currency=USD","Period=FQ","BEST_FPERIOD_OVERRIDE=FQ","FILING_STATUS=MR","SCALING_FORMAT=MLN","Sort=A","Dates=H","DateFormat=P","Fill=—","Direction=H","UseDPDF=Y")</f>
        <v>—</v>
      </c>
      <c r="Q154" s="13" t="str">
        <f>_xll.BDH("GILD US Equity","ARDR_FV_ASSETS_REC_L1_HTM_OTHER","FQ2 2022","FQ2 2022","Currency=USD","Period=FQ","BEST_FPERIOD_OVERRIDE=FQ","FILING_STATUS=MR","SCALING_FORMAT=MLN","Sort=A","Dates=H","DateFormat=P","Fill=—","Direction=H","UseDPDF=Y")</f>
        <v>—</v>
      </c>
      <c r="R154" s="13" t="str">
        <f>_xll.BDH("GILD US Equity","ARDR_FV_ASSETS_REC_L1_HTM_OTHER","FQ3 2022","FQ3 2022","Currency=USD","Period=FQ","BEST_FPERIOD_OVERRIDE=FQ","FILING_STATUS=MR","SCALING_FORMAT=MLN","Sort=A","Dates=H","DateFormat=P","Fill=—","Direction=H","UseDPDF=Y")</f>
        <v>—</v>
      </c>
      <c r="S154" s="13" t="str">
        <f>_xll.BDH("GILD US Equity","ARDR_FV_ASSETS_REC_L1_HTM_OTHER","FQ4 2022","FQ4 2022","Currency=USD","Period=FQ","BEST_FPERIOD_OVERRIDE=FQ","FILING_STATUS=MR","SCALING_FORMAT=MLN","Sort=A","Dates=H","DateFormat=P","Fill=—","Direction=H","UseDPDF=Y")</f>
        <v>—</v>
      </c>
      <c r="T154" s="13" t="str">
        <f>_xll.BDH("GILD US Equity","ARDR_FV_ASSETS_REC_L1_HTM_OTHER","FQ1 2023","FQ1 2023","Currency=USD","Period=FQ","BEST_FPERIOD_OVERRIDE=FQ","FILING_STATUS=MR","SCALING_FORMAT=MLN","Sort=A","Dates=H","DateFormat=P","Fill=—","Direction=H","UseDPDF=Y")</f>
        <v>—</v>
      </c>
      <c r="U154" s="13">
        <f>_xll.BDH("GILD US Equity","ARDR_FV_ASSETS_REC_L1_HTM_OTHER","FQ2 2023","FQ2 2023","Currency=USD","Period=FQ","BEST_FPERIOD_OVERRIDE=FQ","FILING_STATUS=MR","SCALING_FORMAT=MLN","Sort=A","Dates=H","DateFormat=P","Fill=—","Direction=H","UseDPDF=Y")</f>
        <v>268</v>
      </c>
      <c r="V154" s="13" t="str">
        <f>_xll.BDH("GILD US Equity","ARDR_FV_ASSETS_REC_L1_HTM_OTHER","FQ3 2023","FQ3 2023","Currency=USD","Period=FQ","BEST_FPERIOD_OVERRIDE=FQ","FILING_STATUS=MR","SCALING_FORMAT=MLN","Sort=A","Dates=H","DateFormat=P","Fill=—","Direction=H","UseDPDF=Y")</f>
        <v>—</v>
      </c>
      <c r="W154" s="13">
        <f>_xll.BDH("GILD US Equity","ARDR_FV_ASSETS_REC_L1_HTM_OTHER","FQ4 2023","FQ4 2023","Currency=USD","Period=FQ","BEST_FPERIOD_OVERRIDE=FQ","FILING_STATUS=MR","SCALING_FORMAT=MLN","Sort=A","Dates=H","DateFormat=P","Fill=—","Direction=H","UseDPDF=Y")</f>
        <v>284</v>
      </c>
      <c r="X154" s="13" t="str">
        <f>_xll.BDH("GILD US Equity","ARDR_FV_ASSETS_REC_L1_HTM_OTHER","FQ1 2024","FQ1 2024","Currency=USD","Period=FQ","BEST_FPERIOD_OVERRIDE=FQ","FILING_STATUS=MR","SCALING_FORMAT=MLN","Sort=A","Dates=H","DateFormat=P","Fill=—","Direction=H","UseDPDF=Y")</f>
        <v>—</v>
      </c>
      <c r="Y154" s="13" t="str">
        <f>_xll.BDH("GILD US Equity","ARDR_FV_ASSETS_REC_L1_HTM_OTHER","FQ2 2024","FQ2 2024","Currency=USD","Period=FQ","BEST_FPERIOD_OVERRIDE=FQ","FILING_STATUS=MR","SCALING_FORMAT=MLN","Sort=A","Dates=H","DateFormat=P","Fill=—","Direction=H","UseDPDF=Y")</f>
        <v>—</v>
      </c>
      <c r="Z154" s="13" t="str">
        <f>_xll.BDH("GILD US Equity","ARDR_FV_ASSETS_REC_L1_HTM_OTHER","FQ3 2024","FQ3 2024","Currency=USD","Period=FQ","BEST_FPERIOD_OVERRIDE=FQ","FILING_STATUS=MR","SCALING_FORMAT=MLN","Sort=A","Dates=H","DateFormat=P","Fill=—","Direction=H","UseDPDF=Y")</f>
        <v>—</v>
      </c>
      <c r="AA154" s="13">
        <f>_xll.BDH("GILD US Equity","ARDR_FV_ASSETS_REC_L1_HTM_OTHER","FQ4 2024","FQ4 2024","Currency=USD","Period=FQ","BEST_FPERIOD_OVERRIDE=FQ","FILING_STATUS=MR","SCALING_FORMAT=MLN","Sort=A","Dates=H","DateFormat=P","Fill=—","Direction=H","UseDPDF=Y")</f>
        <v>343</v>
      </c>
    </row>
    <row r="155" spans="1:27" x14ac:dyDescent="0.25">
      <c r="A155" s="10" t="s">
        <v>1167</v>
      </c>
      <c r="B155" s="10" t="s">
        <v>1168</v>
      </c>
      <c r="C155" s="13">
        <f>_xll.BDH("GILD US Equity","ARDR_FV_ASTS_REC_L1_DERIVATIVES","FQ4 2018","FQ4 2018","Currency=USD","Period=FQ","BEST_FPERIOD_OVERRIDE=FQ","FILING_STATUS=MR","SCALING_FORMAT=MLN","Sort=A","Dates=H","DateFormat=P","Fill=—","Direction=H","UseDPDF=Y")</f>
        <v>0</v>
      </c>
      <c r="D155" s="13" t="str">
        <f>_xll.BDH("GILD US Equity","ARDR_FV_ASTS_REC_L1_DERIVATIVES","FQ1 2019","FQ1 2019","Currency=USD","Period=FQ","BEST_FPERIOD_OVERRIDE=FQ","FILING_STATUS=MR","SCALING_FORMAT=MLN","Sort=A","Dates=H","DateFormat=P","Fill=—","Direction=H","UseDPDF=Y")</f>
        <v>—</v>
      </c>
      <c r="E155" s="13" t="str">
        <f>_xll.BDH("GILD US Equity","ARDR_FV_ASTS_REC_L1_DERIVATIVES","FQ2 2019","FQ2 2019","Currency=USD","Period=FQ","BEST_FPERIOD_OVERRIDE=FQ","FILING_STATUS=MR","SCALING_FORMAT=MLN","Sort=A","Dates=H","DateFormat=P","Fill=—","Direction=H","UseDPDF=Y")</f>
        <v>—</v>
      </c>
      <c r="F155" s="13" t="str">
        <f>_xll.BDH("GILD US Equity","ARDR_FV_ASTS_REC_L1_DERIVATIVES","FQ3 2019","FQ3 2019","Currency=USD","Period=FQ","BEST_FPERIOD_OVERRIDE=FQ","FILING_STATUS=MR","SCALING_FORMAT=MLN","Sort=A","Dates=H","DateFormat=P","Fill=—","Direction=H","UseDPDF=Y")</f>
        <v>—</v>
      </c>
      <c r="G155" s="13">
        <f>_xll.BDH("GILD US Equity","ARDR_FV_ASTS_REC_L1_DERIVATIVES","FQ4 2019","FQ4 2019","Currency=USD","Period=FQ","BEST_FPERIOD_OVERRIDE=FQ","FILING_STATUS=MR","SCALING_FORMAT=MLN","Sort=A","Dates=H","DateFormat=P","Fill=—","Direction=H","UseDPDF=Y")</f>
        <v>0</v>
      </c>
      <c r="H155" s="13">
        <f>_xll.BDH("GILD US Equity","ARDR_FV_ASTS_REC_L1_DERIVATIVES","FQ1 2020","FQ1 2020","Currency=USD","Period=FQ","BEST_FPERIOD_OVERRIDE=FQ","FILING_STATUS=MR","SCALING_FORMAT=MLN","Sort=A","Dates=H","DateFormat=P","Fill=—","Direction=H","UseDPDF=Y")</f>
        <v>0</v>
      </c>
      <c r="I155" s="13">
        <f>_xll.BDH("GILD US Equity","ARDR_FV_ASTS_REC_L1_DERIVATIVES","FQ2 2020","FQ2 2020","Currency=USD","Period=FQ","BEST_FPERIOD_OVERRIDE=FQ","FILING_STATUS=MR","SCALING_FORMAT=MLN","Sort=A","Dates=H","DateFormat=P","Fill=—","Direction=H","UseDPDF=Y")</f>
        <v>0</v>
      </c>
      <c r="J155" s="13">
        <f>_xll.BDH("GILD US Equity","ARDR_FV_ASTS_REC_L1_DERIVATIVES","FQ3 2020","FQ3 2020","Currency=USD","Period=FQ","BEST_FPERIOD_OVERRIDE=FQ","FILING_STATUS=MR","SCALING_FORMAT=MLN","Sort=A","Dates=H","DateFormat=P","Fill=—","Direction=H","UseDPDF=Y")</f>
        <v>0</v>
      </c>
      <c r="K155" s="13">
        <f>_xll.BDH("GILD US Equity","ARDR_FV_ASTS_REC_L1_DERIVATIVES","FQ4 2020","FQ4 2020","Currency=USD","Period=FQ","BEST_FPERIOD_OVERRIDE=FQ","FILING_STATUS=MR","SCALING_FORMAT=MLN","Sort=A","Dates=H","DateFormat=P","Fill=—","Direction=H","UseDPDF=Y")</f>
        <v>0</v>
      </c>
      <c r="L155" s="13" t="str">
        <f>_xll.BDH("GILD US Equity","ARDR_FV_ASTS_REC_L1_DERIVATIVES","FQ1 2021","FQ1 2021","Currency=USD","Period=FQ","BEST_FPERIOD_OVERRIDE=FQ","FILING_STATUS=MR","SCALING_FORMAT=MLN","Sort=A","Dates=H","DateFormat=P","Fill=—","Direction=H","UseDPDF=Y")</f>
        <v>—</v>
      </c>
      <c r="M155" s="13" t="str">
        <f>_xll.BDH("GILD US Equity","ARDR_FV_ASTS_REC_L1_DERIVATIVES","FQ2 2021","FQ2 2021","Currency=USD","Period=FQ","BEST_FPERIOD_OVERRIDE=FQ","FILING_STATUS=MR","SCALING_FORMAT=MLN","Sort=A","Dates=H","DateFormat=P","Fill=—","Direction=H","UseDPDF=Y")</f>
        <v>—</v>
      </c>
      <c r="N155" s="13">
        <f>_xll.BDH("GILD US Equity","ARDR_FV_ASTS_REC_L1_DERIVATIVES","FQ3 2021","FQ3 2021","Currency=USD","Period=FQ","BEST_FPERIOD_OVERRIDE=FQ","FILING_STATUS=MR","SCALING_FORMAT=MLN","Sort=A","Dates=H","DateFormat=P","Fill=—","Direction=H","UseDPDF=Y")</f>
        <v>0</v>
      </c>
      <c r="O155" s="13">
        <f>_xll.BDH("GILD US Equity","ARDR_FV_ASTS_REC_L1_DERIVATIVES","FQ4 2021","FQ4 2021","Currency=USD","Period=FQ","BEST_FPERIOD_OVERRIDE=FQ","FILING_STATUS=MR","SCALING_FORMAT=MLN","Sort=A","Dates=H","DateFormat=P","Fill=—","Direction=H","UseDPDF=Y")</f>
        <v>3661</v>
      </c>
      <c r="P155" s="13">
        <f>_xll.BDH("GILD US Equity","ARDR_FV_ASTS_REC_L1_DERIVATIVES","FQ1 2022","FQ1 2022","Currency=USD","Period=FQ","BEST_FPERIOD_OVERRIDE=FQ","FILING_STATUS=MR","SCALING_FORMAT=MLN","Sort=A","Dates=H","DateFormat=P","Fill=—","Direction=H","UseDPDF=Y")</f>
        <v>0</v>
      </c>
      <c r="Q155" s="13">
        <f>_xll.BDH("GILD US Equity","ARDR_FV_ASTS_REC_L1_DERIVATIVES","FQ2 2022","FQ2 2022","Currency=USD","Period=FQ","BEST_FPERIOD_OVERRIDE=FQ","FILING_STATUS=MR","SCALING_FORMAT=MLN","Sort=A","Dates=H","DateFormat=P","Fill=—","Direction=H","UseDPDF=Y")</f>
        <v>0</v>
      </c>
      <c r="R155" s="13">
        <f>_xll.BDH("GILD US Equity","ARDR_FV_ASTS_REC_L1_DERIVATIVES","FQ3 2022","FQ3 2022","Currency=USD","Period=FQ","BEST_FPERIOD_OVERRIDE=FQ","FILING_STATUS=MR","SCALING_FORMAT=MLN","Sort=A","Dates=H","DateFormat=P","Fill=—","Direction=H","UseDPDF=Y")</f>
        <v>0</v>
      </c>
      <c r="S155" s="13">
        <f>_xll.BDH("GILD US Equity","ARDR_FV_ASTS_REC_L1_DERIVATIVES","FQ4 2022","FQ4 2022","Currency=USD","Period=FQ","BEST_FPERIOD_OVERRIDE=FQ","FILING_STATUS=MR","SCALING_FORMAT=MLN","Sort=A","Dates=H","DateFormat=P","Fill=—","Direction=H","UseDPDF=Y")</f>
        <v>0</v>
      </c>
      <c r="T155" s="13">
        <f>_xll.BDH("GILD US Equity","ARDR_FV_ASTS_REC_L1_DERIVATIVES","FQ1 2023","FQ1 2023","Currency=USD","Period=FQ","BEST_FPERIOD_OVERRIDE=FQ","FILING_STATUS=MR","SCALING_FORMAT=MLN","Sort=A","Dates=H","DateFormat=P","Fill=—","Direction=H","UseDPDF=Y")</f>
        <v>0</v>
      </c>
      <c r="U155" s="13">
        <f>_xll.BDH("GILD US Equity","ARDR_FV_ASTS_REC_L1_DERIVATIVES","FQ2 2023","FQ2 2023","Currency=USD","Period=FQ","BEST_FPERIOD_OVERRIDE=FQ","FILING_STATUS=MR","SCALING_FORMAT=MLN","Sort=A","Dates=H","DateFormat=P","Fill=—","Direction=H","UseDPDF=Y")</f>
        <v>0</v>
      </c>
      <c r="V155" s="13" t="str">
        <f>_xll.BDH("GILD US Equity","ARDR_FV_ASTS_REC_L1_DERIVATIVES","FQ3 2023","FQ3 2023","Currency=USD","Period=FQ","BEST_FPERIOD_OVERRIDE=FQ","FILING_STATUS=MR","SCALING_FORMAT=MLN","Sort=A","Dates=H","DateFormat=P","Fill=—","Direction=H","UseDPDF=Y")</f>
        <v>—</v>
      </c>
      <c r="W155" s="13">
        <f>_xll.BDH("GILD US Equity","ARDR_FV_ASTS_REC_L1_DERIVATIVES","FQ4 2023","FQ4 2023","Currency=USD","Period=FQ","BEST_FPERIOD_OVERRIDE=FQ","FILING_STATUS=MR","SCALING_FORMAT=MLN","Sort=A","Dates=H","DateFormat=P","Fill=—","Direction=H","UseDPDF=Y")</f>
        <v>0</v>
      </c>
      <c r="X155" s="13">
        <f>_xll.BDH("GILD US Equity","ARDR_FV_ASTS_REC_L1_DERIVATIVES","FQ1 2024","FQ1 2024","Currency=USD","Period=FQ","BEST_FPERIOD_OVERRIDE=FQ","FILING_STATUS=MR","SCALING_FORMAT=MLN","Sort=A","Dates=H","DateFormat=P","Fill=—","Direction=H","UseDPDF=Y")</f>
        <v>0</v>
      </c>
      <c r="Y155" s="13">
        <f>_xll.BDH("GILD US Equity","ARDR_FV_ASTS_REC_L1_DERIVATIVES","FQ2 2024","FQ2 2024","Currency=USD","Period=FQ","BEST_FPERIOD_OVERRIDE=FQ","FILING_STATUS=MR","SCALING_FORMAT=MLN","Sort=A","Dates=H","DateFormat=P","Fill=—","Direction=H","UseDPDF=Y")</f>
        <v>0</v>
      </c>
      <c r="Z155" s="13">
        <f>_xll.BDH("GILD US Equity","ARDR_FV_ASTS_REC_L1_DERIVATIVES","FQ3 2024","FQ3 2024","Currency=USD","Period=FQ","BEST_FPERIOD_OVERRIDE=FQ","FILING_STATUS=MR","SCALING_FORMAT=MLN","Sort=A","Dates=H","DateFormat=P","Fill=—","Direction=H","UseDPDF=Y")</f>
        <v>0</v>
      </c>
      <c r="AA155" s="13">
        <f>_xll.BDH("GILD US Equity","ARDR_FV_ASTS_REC_L1_DERIVATIVES","FQ4 2024","FQ4 2024","Currency=USD","Period=FQ","BEST_FPERIOD_OVERRIDE=FQ","FILING_STATUS=MR","SCALING_FORMAT=MLN","Sort=A","Dates=H","DateFormat=P","Fill=—","Direction=H","UseDPDF=Y")</f>
        <v>0</v>
      </c>
    </row>
    <row r="156" spans="1:27" x14ac:dyDescent="0.25">
      <c r="A156" s="10" t="s">
        <v>1169</v>
      </c>
      <c r="B156" s="10" t="s">
        <v>1170</v>
      </c>
      <c r="C156" s="13">
        <f>_xll.BDH("GILD US Equity","ARDR_FV_ASSETS_REC_L1_OTHER","FQ4 2018","FQ4 2018","Currency=USD","Period=FQ","BEST_FPERIOD_OVERRIDE=FQ","FILING_STATUS=MR","SCALING_FORMAT=MLN","Sort=A","Dates=H","DateFormat=P","Fill=—","Direction=H","UseDPDF=Y")</f>
        <v>124</v>
      </c>
      <c r="D156" s="13">
        <f>_xll.BDH("GILD US Equity","ARDR_FV_ASSETS_REC_L1_OTHER","FQ1 2019","FQ1 2019","Currency=USD","Period=FQ","BEST_FPERIOD_OVERRIDE=FQ","FILING_STATUS=MR","SCALING_FORMAT=MLN","Sort=A","Dates=H","DateFormat=P","Fill=—","Direction=H","UseDPDF=Y")</f>
        <v>5027</v>
      </c>
      <c r="E156" s="13">
        <f>_xll.BDH("GILD US Equity","ARDR_FV_ASSETS_REC_L1_OTHER","FQ2 2019","FQ2 2019","Currency=USD","Period=FQ","BEST_FPERIOD_OVERRIDE=FQ","FILING_STATUS=MR","SCALING_FORMAT=MLN","Sort=A","Dates=H","DateFormat=P","Fill=—","Direction=H","UseDPDF=Y")</f>
        <v>4335</v>
      </c>
      <c r="F156" s="13">
        <f>_xll.BDH("GILD US Equity","ARDR_FV_ASSETS_REC_L1_OTHER","FQ3 2019","FQ3 2019","Currency=USD","Period=FQ","BEST_FPERIOD_OVERRIDE=FQ","FILING_STATUS=MR","SCALING_FORMAT=MLN","Sort=A","Dates=H","DateFormat=P","Fill=—","Direction=H","UseDPDF=Y")</f>
        <v>6127</v>
      </c>
      <c r="G156" s="13">
        <f>_xll.BDH("GILD US Equity","ARDR_FV_ASSETS_REC_L1_OTHER","FQ4 2019","FQ4 2019","Currency=USD","Period=FQ","BEST_FPERIOD_OVERRIDE=FQ","FILING_STATUS=MR","SCALING_FORMAT=MLN","Sort=A","Dates=H","DateFormat=P","Fill=—","Direction=H","UseDPDF=Y")</f>
        <v>11039</v>
      </c>
      <c r="H156" s="13">
        <f>_xll.BDH("GILD US Equity","ARDR_FV_ASSETS_REC_L1_OTHER","FQ1 2020","FQ1 2020","Currency=USD","Period=FQ","BEST_FPERIOD_OVERRIDE=FQ","FILING_STATUS=MR","SCALING_FORMAT=MLN","Sort=A","Dates=H","DateFormat=P","Fill=—","Direction=H","UseDPDF=Y")</f>
        <v>11474</v>
      </c>
      <c r="I156" s="13">
        <f>_xll.BDH("GILD US Equity","ARDR_FV_ASSETS_REC_L1_OTHER","FQ2 2020","FQ2 2020","Currency=USD","Period=FQ","BEST_FPERIOD_OVERRIDE=FQ","FILING_STATUS=MR","SCALING_FORMAT=MLN","Sort=A","Dates=H","DateFormat=P","Fill=—","Direction=H","UseDPDF=Y")</f>
        <v>8392</v>
      </c>
      <c r="J156" s="13">
        <f>_xll.BDH("GILD US Equity","ARDR_FV_ASSETS_REC_L1_OTHER","FQ3 2020","FQ3 2020","Currency=USD","Period=FQ","BEST_FPERIOD_OVERRIDE=FQ","FILING_STATUS=MR","SCALING_FORMAT=MLN","Sort=A","Dates=H","DateFormat=P","Fill=—","Direction=H","UseDPDF=Y")</f>
        <v>14610</v>
      </c>
      <c r="K156" s="13">
        <f>_xll.BDH("GILD US Equity","ARDR_FV_ASSETS_REC_L1_OTHER","FQ4 2020","FQ4 2020","Currency=USD","Period=FQ","BEST_FPERIOD_OVERRIDE=FQ","FILING_STATUS=MR","SCALING_FORMAT=MLN","Sort=A","Dates=H","DateFormat=P","Fill=—","Direction=H","UseDPDF=Y")</f>
        <v>6970</v>
      </c>
      <c r="L156" s="13">
        <f>_xll.BDH("GILD US Equity","ARDR_FV_ASSETS_REC_L1_OTHER","FQ1 2021","FQ1 2021","Currency=USD","Period=FQ","BEST_FPERIOD_OVERRIDE=FQ","FILING_STATUS=MR","SCALING_FORMAT=MLN","Sort=A","Dates=H","DateFormat=P","Fill=—","Direction=H","UseDPDF=Y")</f>
        <v>4721</v>
      </c>
      <c r="M156" s="13">
        <f>_xll.BDH("GILD US Equity","ARDR_FV_ASSETS_REC_L1_OTHER","FQ2 2021","FQ2 2021","Currency=USD","Period=FQ","BEST_FPERIOD_OVERRIDE=FQ","FILING_STATUS=MR","SCALING_FORMAT=MLN","Sort=A","Dates=H","DateFormat=P","Fill=—","Direction=H","UseDPDF=Y")</f>
        <v>5494</v>
      </c>
      <c r="N156" s="13">
        <f>_xll.BDH("GILD US Equity","ARDR_FV_ASSETS_REC_L1_OTHER","FQ3 2021","FQ3 2021","Currency=USD","Period=FQ","BEST_FPERIOD_OVERRIDE=FQ","FILING_STATUS=MR","SCALING_FORMAT=MLN","Sort=A","Dates=H","DateFormat=P","Fill=—","Direction=H","UseDPDF=Y")</f>
        <v>4774</v>
      </c>
      <c r="O156" s="13">
        <f>_xll.BDH("GILD US Equity","ARDR_FV_ASSETS_REC_L1_OTHER","FQ4 2021","FQ4 2021","Currency=USD","Period=FQ","BEST_FPERIOD_OVERRIDE=FQ","FILING_STATUS=MR","SCALING_FORMAT=MLN","Sort=A","Dates=H","DateFormat=P","Fill=—","Direction=H","UseDPDF=Y")</f>
        <v>2082</v>
      </c>
      <c r="P156" s="13">
        <f>_xll.BDH("GILD US Equity","ARDR_FV_ASSETS_REC_L1_OTHER","FQ1 2022","FQ1 2022","Currency=USD","Period=FQ","BEST_FPERIOD_OVERRIDE=FQ","FILING_STATUS=MR","SCALING_FORMAT=MLN","Sort=A","Dates=H","DateFormat=P","Fill=—","Direction=H","UseDPDF=Y")</f>
        <v>4338</v>
      </c>
      <c r="Q156" s="13">
        <f>_xll.BDH("GILD US Equity","ARDR_FV_ASSETS_REC_L1_OTHER","FQ2 2022","FQ2 2022","Currency=USD","Period=FQ","BEST_FPERIOD_OVERRIDE=FQ","FILING_STATUS=MR","SCALING_FORMAT=MLN","Sort=A","Dates=H","DateFormat=P","Fill=—","Direction=H","UseDPDF=Y")</f>
        <v>4711</v>
      </c>
      <c r="R156" s="13">
        <f>_xll.BDH("GILD US Equity","ARDR_FV_ASSETS_REC_L1_OTHER","FQ3 2022","FQ3 2022","Currency=USD","Period=FQ","BEST_FPERIOD_OVERRIDE=FQ","FILING_STATUS=MR","SCALING_FORMAT=MLN","Sort=A","Dates=H","DateFormat=P","Fill=—","Direction=H","UseDPDF=Y")</f>
        <v>4794</v>
      </c>
      <c r="S156" s="13">
        <f>_xll.BDH("GILD US Equity","ARDR_FV_ASSETS_REC_L1_OTHER","FQ4 2022","FQ4 2022","Currency=USD","Period=FQ","BEST_FPERIOD_OVERRIDE=FQ","FILING_STATUS=MR","SCALING_FORMAT=MLN","Sort=A","Dates=H","DateFormat=P","Fill=—","Direction=H","UseDPDF=Y")</f>
        <v>5248</v>
      </c>
      <c r="T156" s="13">
        <f>_xll.BDH("GILD US Equity","ARDR_FV_ASSETS_REC_L1_OTHER","FQ1 2023","FQ1 2023","Currency=USD","Period=FQ","BEST_FPERIOD_OVERRIDE=FQ","FILING_STATUS=MR","SCALING_FORMAT=MLN","Sort=A","Dates=H","DateFormat=P","Fill=—","Direction=H","UseDPDF=Y")</f>
        <v>4550</v>
      </c>
      <c r="U156" s="13" t="str">
        <f>_xll.BDH("GILD US Equity","ARDR_FV_ASSETS_REC_L1_OTHER","FQ2 2023","FQ2 2023","Currency=USD","Period=FQ","BEST_FPERIOD_OVERRIDE=FQ","FILING_STATUS=MR","SCALING_FORMAT=MLN","Sort=A","Dates=H","DateFormat=P","Fill=—","Direction=H","UseDPDF=Y")</f>
        <v>—</v>
      </c>
      <c r="V156" s="13">
        <f>_xll.BDH("GILD US Equity","ARDR_FV_ASSETS_REC_L1_OTHER","FQ3 2023","FQ3 2023","Currency=USD","Period=FQ","BEST_FPERIOD_OVERRIDE=FQ","FILING_STATUS=MR","SCALING_FORMAT=MLN","Sort=A","Dates=H","DateFormat=P","Fill=—","Direction=H","UseDPDF=Y")</f>
        <v>1353</v>
      </c>
      <c r="W156" s="13" t="str">
        <f>_xll.BDH("GILD US Equity","ARDR_FV_ASSETS_REC_L1_OTHER","FQ4 2023","FQ4 2023","Currency=USD","Period=FQ","BEST_FPERIOD_OVERRIDE=FQ","FILING_STATUS=MR","SCALING_FORMAT=MLN","Sort=A","Dates=H","DateFormat=P","Fill=—","Direction=H","UseDPDF=Y")</f>
        <v>—</v>
      </c>
      <c r="X156" s="13">
        <f>_xll.BDH("GILD US Equity","ARDR_FV_ASSETS_REC_L1_OTHER","FQ1 2024","FQ1 2024","Currency=USD","Period=FQ","BEST_FPERIOD_OVERRIDE=FQ","FILING_STATUS=MR","SCALING_FORMAT=MLN","Sort=A","Dates=H","DateFormat=P","Fill=—","Direction=H","UseDPDF=Y")</f>
        <v>2126</v>
      </c>
      <c r="Y156" s="13" t="str">
        <f>_xll.BDH("GILD US Equity","ARDR_FV_ASSETS_REC_L1_OTHER","FQ2 2024","FQ2 2024","Currency=USD","Period=FQ","BEST_FPERIOD_OVERRIDE=FQ","FILING_STATUS=MR","SCALING_FORMAT=MLN","Sort=A","Dates=H","DateFormat=P","Fill=—","Direction=H","UseDPDF=Y")</f>
        <v>—</v>
      </c>
      <c r="Z156" s="13" t="str">
        <f>_xll.BDH("GILD US Equity","ARDR_FV_ASSETS_REC_L1_OTHER","FQ3 2024","FQ3 2024","Currency=USD","Period=FQ","BEST_FPERIOD_OVERRIDE=FQ","FILING_STATUS=MR","SCALING_FORMAT=MLN","Sort=A","Dates=H","DateFormat=P","Fill=—","Direction=H","UseDPDF=Y")</f>
        <v>—</v>
      </c>
      <c r="AA156" s="13" t="str">
        <f>_xll.BDH("GILD US Equity","ARDR_FV_ASSETS_REC_L1_OTHER","FQ4 2024","FQ4 2024","Currency=USD","Period=FQ","BEST_FPERIOD_OVERRIDE=FQ","FILING_STATUS=MR","SCALING_FORMAT=MLN","Sort=A","Dates=H","DateFormat=P","Fill=—","Direction=H","UseDPDF=Y")</f>
        <v>—</v>
      </c>
    </row>
    <row r="157" spans="1:27" x14ac:dyDescent="0.25">
      <c r="A157" s="10" t="s">
        <v>1171</v>
      </c>
      <c r="B157" s="10" t="s">
        <v>1172</v>
      </c>
      <c r="C157" s="13" t="str">
        <f>_xll.BDH("GILD US Equity","ARDR_FV_ASTS_REC_L2_TRAD_TREAS","FQ4 2018","FQ4 2018","Currency=USD","Period=FQ","BEST_FPERIOD_OVERRIDE=FQ","FILING_STATUS=MR","SCALING_FORMAT=MLN","Sort=A","Dates=H","DateFormat=P","Fill=—","Direction=H","UseDPDF=Y")</f>
        <v>—</v>
      </c>
      <c r="D157" s="13" t="str">
        <f>_xll.BDH("GILD US Equity","ARDR_FV_ASTS_REC_L2_TRAD_TREAS","FQ1 2019","FQ1 2019","Currency=USD","Period=FQ","BEST_FPERIOD_OVERRIDE=FQ","FILING_STATUS=MR","SCALING_FORMAT=MLN","Sort=A","Dates=H","DateFormat=P","Fill=—","Direction=H","UseDPDF=Y")</f>
        <v>—</v>
      </c>
      <c r="E157" s="13" t="str">
        <f>_xll.BDH("GILD US Equity","ARDR_FV_ASTS_REC_L2_TRAD_TREAS","FQ2 2019","FQ2 2019","Currency=USD","Period=FQ","BEST_FPERIOD_OVERRIDE=FQ","FILING_STATUS=MR","SCALING_FORMAT=MLN","Sort=A","Dates=H","DateFormat=P","Fill=—","Direction=H","UseDPDF=Y")</f>
        <v>—</v>
      </c>
      <c r="F157" s="13" t="str">
        <f>_xll.BDH("GILD US Equity","ARDR_FV_ASTS_REC_L2_TRAD_TREAS","FQ3 2019","FQ3 2019","Currency=USD","Period=FQ","BEST_FPERIOD_OVERRIDE=FQ","FILING_STATUS=MR","SCALING_FORMAT=MLN","Sort=A","Dates=H","DateFormat=P","Fill=—","Direction=H","UseDPDF=Y")</f>
        <v>—</v>
      </c>
      <c r="G157" s="13" t="str">
        <f>_xll.BDH("GILD US Equity","ARDR_FV_ASTS_REC_L2_TRAD_TREAS","FQ4 2019","FQ4 2019","Currency=USD","Period=FQ","BEST_FPERIOD_OVERRIDE=FQ","FILING_STATUS=MR","SCALING_FORMAT=MLN","Sort=A","Dates=H","DateFormat=P","Fill=—","Direction=H","UseDPDF=Y")</f>
        <v>—</v>
      </c>
      <c r="H157" s="13" t="str">
        <f>_xll.BDH("GILD US Equity","ARDR_FV_ASTS_REC_L2_TRAD_TREAS","FQ1 2020","FQ1 2020","Currency=USD","Period=FQ","BEST_FPERIOD_OVERRIDE=FQ","FILING_STATUS=MR","SCALING_FORMAT=MLN","Sort=A","Dates=H","DateFormat=P","Fill=—","Direction=H","UseDPDF=Y")</f>
        <v>—</v>
      </c>
      <c r="I157" s="13" t="str">
        <f>_xll.BDH("GILD US Equity","ARDR_FV_ASTS_REC_L2_TRAD_TREAS","FQ2 2020","FQ2 2020","Currency=USD","Period=FQ","BEST_FPERIOD_OVERRIDE=FQ","FILING_STATUS=MR","SCALING_FORMAT=MLN","Sort=A","Dates=H","DateFormat=P","Fill=—","Direction=H","UseDPDF=Y")</f>
        <v>—</v>
      </c>
      <c r="J157" s="13" t="str">
        <f>_xll.BDH("GILD US Equity","ARDR_FV_ASTS_REC_L2_TRAD_TREAS","FQ3 2020","FQ3 2020","Currency=USD","Period=FQ","BEST_FPERIOD_OVERRIDE=FQ","FILING_STATUS=MR","SCALING_FORMAT=MLN","Sort=A","Dates=H","DateFormat=P","Fill=—","Direction=H","UseDPDF=Y")</f>
        <v>—</v>
      </c>
      <c r="K157" s="13" t="str">
        <f>_xll.BDH("GILD US Equity","ARDR_FV_ASTS_REC_L2_TRAD_TREAS","FQ4 2020","FQ4 2020","Currency=USD","Period=FQ","BEST_FPERIOD_OVERRIDE=FQ","FILING_STATUS=MR","SCALING_FORMAT=MLN","Sort=A","Dates=H","DateFormat=P","Fill=—","Direction=H","UseDPDF=Y")</f>
        <v>—</v>
      </c>
      <c r="L157" s="13" t="str">
        <f>_xll.BDH("GILD US Equity","ARDR_FV_ASTS_REC_L2_TRAD_TREAS","FQ1 2021","FQ1 2021","Currency=USD","Period=FQ","BEST_FPERIOD_OVERRIDE=FQ","FILING_STATUS=MR","SCALING_FORMAT=MLN","Sort=A","Dates=H","DateFormat=P","Fill=—","Direction=H","UseDPDF=Y")</f>
        <v>—</v>
      </c>
      <c r="M157" s="13" t="str">
        <f>_xll.BDH("GILD US Equity","ARDR_FV_ASTS_REC_L2_TRAD_TREAS","FQ2 2021","FQ2 2021","Currency=USD","Period=FQ","BEST_FPERIOD_OVERRIDE=FQ","FILING_STATUS=MR","SCALING_FORMAT=MLN","Sort=A","Dates=H","DateFormat=P","Fill=—","Direction=H","UseDPDF=Y")</f>
        <v>—</v>
      </c>
      <c r="N157" s="13" t="str">
        <f>_xll.BDH("GILD US Equity","ARDR_FV_ASTS_REC_L2_TRAD_TREAS","FQ3 2021","FQ3 2021","Currency=USD","Period=FQ","BEST_FPERIOD_OVERRIDE=FQ","FILING_STATUS=MR","SCALING_FORMAT=MLN","Sort=A","Dates=H","DateFormat=P","Fill=—","Direction=H","UseDPDF=Y")</f>
        <v>—</v>
      </c>
      <c r="O157" s="13" t="str">
        <f>_xll.BDH("GILD US Equity","ARDR_FV_ASTS_REC_L2_TRAD_TREAS","FQ4 2021","FQ4 2021","Currency=USD","Period=FQ","BEST_FPERIOD_OVERRIDE=FQ","FILING_STATUS=MR","SCALING_FORMAT=MLN","Sort=A","Dates=H","DateFormat=P","Fill=—","Direction=H","UseDPDF=Y")</f>
        <v>—</v>
      </c>
      <c r="P157" s="13" t="str">
        <f>_xll.BDH("GILD US Equity","ARDR_FV_ASTS_REC_L2_TRAD_TREAS","FQ1 2022","FQ1 2022","Currency=USD","Period=FQ","BEST_FPERIOD_OVERRIDE=FQ","FILING_STATUS=MR","SCALING_FORMAT=MLN","Sort=A","Dates=H","DateFormat=P","Fill=—","Direction=H","UseDPDF=Y")</f>
        <v>—</v>
      </c>
      <c r="Q157" s="13" t="str">
        <f>_xll.BDH("GILD US Equity","ARDR_FV_ASTS_REC_L2_TRAD_TREAS","FQ2 2022","FQ2 2022","Currency=USD","Period=FQ","BEST_FPERIOD_OVERRIDE=FQ","FILING_STATUS=MR","SCALING_FORMAT=MLN","Sort=A","Dates=H","DateFormat=P","Fill=—","Direction=H","UseDPDF=Y")</f>
        <v>—</v>
      </c>
      <c r="R157" s="13" t="str">
        <f>_xll.BDH("GILD US Equity","ARDR_FV_ASTS_REC_L2_TRAD_TREAS","FQ3 2022","FQ3 2022","Currency=USD","Period=FQ","BEST_FPERIOD_OVERRIDE=FQ","FILING_STATUS=MR","SCALING_FORMAT=MLN","Sort=A","Dates=H","DateFormat=P","Fill=—","Direction=H","UseDPDF=Y")</f>
        <v>—</v>
      </c>
      <c r="S157" s="13" t="str">
        <f>_xll.BDH("GILD US Equity","ARDR_FV_ASTS_REC_L2_TRAD_TREAS","FQ4 2022","FQ4 2022","Currency=USD","Period=FQ","BEST_FPERIOD_OVERRIDE=FQ","FILING_STATUS=MR","SCALING_FORMAT=MLN","Sort=A","Dates=H","DateFormat=P","Fill=—","Direction=H","UseDPDF=Y")</f>
        <v>—</v>
      </c>
      <c r="T157" s="13" t="str">
        <f>_xll.BDH("GILD US Equity","ARDR_FV_ASTS_REC_L2_TRAD_TREAS","FQ1 2023","FQ1 2023","Currency=USD","Period=FQ","BEST_FPERIOD_OVERRIDE=FQ","FILING_STATUS=MR","SCALING_FORMAT=MLN","Sort=A","Dates=H","DateFormat=P","Fill=—","Direction=H","UseDPDF=Y")</f>
        <v>—</v>
      </c>
      <c r="U157" s="13">
        <f>_xll.BDH("GILD US Equity","ARDR_FV_ASTS_REC_L2_TRAD_TREAS","FQ2 2023","FQ2 2023","Currency=USD","Period=FQ","BEST_FPERIOD_OVERRIDE=FQ","FILING_STATUS=MR","SCALING_FORMAT=MLN","Sort=A","Dates=H","DateFormat=P","Fill=—","Direction=H","UseDPDF=Y")</f>
        <v>0</v>
      </c>
      <c r="V157" s="13">
        <f>_xll.BDH("GILD US Equity","ARDR_FV_ASTS_REC_L2_TRAD_TREAS","FQ3 2023","FQ3 2023","Currency=USD","Period=FQ","BEST_FPERIOD_OVERRIDE=FQ","FILING_STATUS=MR","SCALING_FORMAT=MLN","Sort=A","Dates=H","DateFormat=P","Fill=—","Direction=H","UseDPDF=Y")</f>
        <v>0</v>
      </c>
      <c r="W157" s="13" t="str">
        <f>_xll.BDH("GILD US Equity","ARDR_FV_ASTS_REC_L2_TRAD_TREAS","FQ4 2023","FQ4 2023","Currency=USD","Period=FQ","BEST_FPERIOD_OVERRIDE=FQ","FILING_STATUS=MR","SCALING_FORMAT=MLN","Sort=A","Dates=H","DateFormat=P","Fill=—","Direction=H","UseDPDF=Y")</f>
        <v>—</v>
      </c>
      <c r="X157" s="13" t="str">
        <f>_xll.BDH("GILD US Equity","ARDR_FV_ASTS_REC_L2_TRAD_TREAS","FQ1 2024","FQ1 2024","Currency=USD","Period=FQ","BEST_FPERIOD_OVERRIDE=FQ","FILING_STATUS=MR","SCALING_FORMAT=MLN","Sort=A","Dates=H","DateFormat=P","Fill=—","Direction=H","UseDPDF=Y")</f>
        <v>—</v>
      </c>
      <c r="Y157" s="13" t="str">
        <f>_xll.BDH("GILD US Equity","ARDR_FV_ASTS_REC_L2_TRAD_TREAS","FQ2 2024","FQ2 2024","Currency=USD","Period=FQ","BEST_FPERIOD_OVERRIDE=FQ","FILING_STATUS=MR","SCALING_FORMAT=MLN","Sort=A","Dates=H","DateFormat=P","Fill=—","Direction=H","UseDPDF=Y")</f>
        <v>—</v>
      </c>
      <c r="Z157" s="13" t="str">
        <f>_xll.BDH("GILD US Equity","ARDR_FV_ASTS_REC_L2_TRAD_TREAS","FQ3 2024","FQ3 2024","Currency=USD","Period=FQ","BEST_FPERIOD_OVERRIDE=FQ","FILING_STATUS=MR","SCALING_FORMAT=MLN","Sort=A","Dates=H","DateFormat=P","Fill=—","Direction=H","UseDPDF=Y")</f>
        <v>—</v>
      </c>
      <c r="AA157" s="13">
        <f>_xll.BDH("GILD US Equity","ARDR_FV_ASTS_REC_L2_TRAD_TREAS","FQ4 2024","FQ4 2024","Currency=USD","Period=FQ","BEST_FPERIOD_OVERRIDE=FQ","FILING_STATUS=MR","SCALING_FORMAT=MLN","Sort=A","Dates=H","DateFormat=P","Fill=—","Direction=H","UseDPDF=Y")</f>
        <v>0</v>
      </c>
    </row>
    <row r="158" spans="1:27" x14ac:dyDescent="0.25">
      <c r="A158" s="10" t="s">
        <v>1173</v>
      </c>
      <c r="B158" s="10" t="s">
        <v>1174</v>
      </c>
      <c r="C158" s="13" t="str">
        <f>_xll.BDH("GILD US Equity","ARDR_FV_ASTS_REC_L2_TRAD_BONDS","FQ4 2018","FQ4 2018","Currency=USD","Period=FQ","BEST_FPERIOD_OVERRIDE=FQ","FILING_STATUS=MR","SCALING_FORMAT=MLN","Sort=A","Dates=H","DateFormat=P","Fill=—","Direction=H","UseDPDF=Y")</f>
        <v>—</v>
      </c>
      <c r="D158" s="13" t="str">
        <f>_xll.BDH("GILD US Equity","ARDR_FV_ASTS_REC_L2_TRAD_BONDS","FQ1 2019","FQ1 2019","Currency=USD","Period=FQ","BEST_FPERIOD_OVERRIDE=FQ","FILING_STATUS=MR","SCALING_FORMAT=MLN","Sort=A","Dates=H","DateFormat=P","Fill=—","Direction=H","UseDPDF=Y")</f>
        <v>—</v>
      </c>
      <c r="E158" s="13" t="str">
        <f>_xll.BDH("GILD US Equity","ARDR_FV_ASTS_REC_L2_TRAD_BONDS","FQ2 2019","FQ2 2019","Currency=USD","Period=FQ","BEST_FPERIOD_OVERRIDE=FQ","FILING_STATUS=MR","SCALING_FORMAT=MLN","Sort=A","Dates=H","DateFormat=P","Fill=—","Direction=H","UseDPDF=Y")</f>
        <v>—</v>
      </c>
      <c r="F158" s="13" t="str">
        <f>_xll.BDH("GILD US Equity","ARDR_FV_ASTS_REC_L2_TRAD_BONDS","FQ3 2019","FQ3 2019","Currency=USD","Period=FQ","BEST_FPERIOD_OVERRIDE=FQ","FILING_STATUS=MR","SCALING_FORMAT=MLN","Sort=A","Dates=H","DateFormat=P","Fill=—","Direction=H","UseDPDF=Y")</f>
        <v>—</v>
      </c>
      <c r="G158" s="13" t="str">
        <f>_xll.BDH("GILD US Equity","ARDR_FV_ASTS_REC_L2_TRAD_BONDS","FQ4 2019","FQ4 2019","Currency=USD","Period=FQ","BEST_FPERIOD_OVERRIDE=FQ","FILING_STATUS=MR","SCALING_FORMAT=MLN","Sort=A","Dates=H","DateFormat=P","Fill=—","Direction=H","UseDPDF=Y")</f>
        <v>—</v>
      </c>
      <c r="H158" s="13" t="str">
        <f>_xll.BDH("GILD US Equity","ARDR_FV_ASTS_REC_L2_TRAD_BONDS","FQ1 2020","FQ1 2020","Currency=USD","Period=FQ","BEST_FPERIOD_OVERRIDE=FQ","FILING_STATUS=MR","SCALING_FORMAT=MLN","Sort=A","Dates=H","DateFormat=P","Fill=—","Direction=H","UseDPDF=Y")</f>
        <v>—</v>
      </c>
      <c r="I158" s="13" t="str">
        <f>_xll.BDH("GILD US Equity","ARDR_FV_ASTS_REC_L2_TRAD_BONDS","FQ2 2020","FQ2 2020","Currency=USD","Period=FQ","BEST_FPERIOD_OVERRIDE=FQ","FILING_STATUS=MR","SCALING_FORMAT=MLN","Sort=A","Dates=H","DateFormat=P","Fill=—","Direction=H","UseDPDF=Y")</f>
        <v>—</v>
      </c>
      <c r="J158" s="13" t="str">
        <f>_xll.BDH("GILD US Equity","ARDR_FV_ASTS_REC_L2_TRAD_BONDS","FQ3 2020","FQ3 2020","Currency=USD","Period=FQ","BEST_FPERIOD_OVERRIDE=FQ","FILING_STATUS=MR","SCALING_FORMAT=MLN","Sort=A","Dates=H","DateFormat=P","Fill=—","Direction=H","UseDPDF=Y")</f>
        <v>—</v>
      </c>
      <c r="K158" s="13" t="str">
        <f>_xll.BDH("GILD US Equity","ARDR_FV_ASTS_REC_L2_TRAD_BONDS","FQ4 2020","FQ4 2020","Currency=USD","Period=FQ","BEST_FPERIOD_OVERRIDE=FQ","FILING_STATUS=MR","SCALING_FORMAT=MLN","Sort=A","Dates=H","DateFormat=P","Fill=—","Direction=H","UseDPDF=Y")</f>
        <v>—</v>
      </c>
      <c r="L158" s="13" t="str">
        <f>_xll.BDH("GILD US Equity","ARDR_FV_ASTS_REC_L2_TRAD_BONDS","FQ1 2021","FQ1 2021","Currency=USD","Period=FQ","BEST_FPERIOD_OVERRIDE=FQ","FILING_STATUS=MR","SCALING_FORMAT=MLN","Sort=A","Dates=H","DateFormat=P","Fill=—","Direction=H","UseDPDF=Y")</f>
        <v>—</v>
      </c>
      <c r="M158" s="13" t="str">
        <f>_xll.BDH("GILD US Equity","ARDR_FV_ASTS_REC_L2_TRAD_BONDS","FQ2 2021","FQ2 2021","Currency=USD","Period=FQ","BEST_FPERIOD_OVERRIDE=FQ","FILING_STATUS=MR","SCALING_FORMAT=MLN","Sort=A","Dates=H","DateFormat=P","Fill=—","Direction=H","UseDPDF=Y")</f>
        <v>—</v>
      </c>
      <c r="N158" s="13" t="str">
        <f>_xll.BDH("GILD US Equity","ARDR_FV_ASTS_REC_L2_TRAD_BONDS","FQ3 2021","FQ3 2021","Currency=USD","Period=FQ","BEST_FPERIOD_OVERRIDE=FQ","FILING_STATUS=MR","SCALING_FORMAT=MLN","Sort=A","Dates=H","DateFormat=P","Fill=—","Direction=H","UseDPDF=Y")</f>
        <v>—</v>
      </c>
      <c r="O158" s="13" t="str">
        <f>_xll.BDH("GILD US Equity","ARDR_FV_ASTS_REC_L2_TRAD_BONDS","FQ4 2021","FQ4 2021","Currency=USD","Period=FQ","BEST_FPERIOD_OVERRIDE=FQ","FILING_STATUS=MR","SCALING_FORMAT=MLN","Sort=A","Dates=H","DateFormat=P","Fill=—","Direction=H","UseDPDF=Y")</f>
        <v>—</v>
      </c>
      <c r="P158" s="13" t="str">
        <f>_xll.BDH("GILD US Equity","ARDR_FV_ASTS_REC_L2_TRAD_BONDS","FQ1 2022","FQ1 2022","Currency=USD","Period=FQ","BEST_FPERIOD_OVERRIDE=FQ","FILING_STATUS=MR","SCALING_FORMAT=MLN","Sort=A","Dates=H","DateFormat=P","Fill=—","Direction=H","UseDPDF=Y")</f>
        <v>—</v>
      </c>
      <c r="Q158" s="13" t="str">
        <f>_xll.BDH("GILD US Equity","ARDR_FV_ASTS_REC_L2_TRAD_BONDS","FQ2 2022","FQ2 2022","Currency=USD","Period=FQ","BEST_FPERIOD_OVERRIDE=FQ","FILING_STATUS=MR","SCALING_FORMAT=MLN","Sort=A","Dates=H","DateFormat=P","Fill=—","Direction=H","UseDPDF=Y")</f>
        <v>—</v>
      </c>
      <c r="R158" s="13" t="str">
        <f>_xll.BDH("GILD US Equity","ARDR_FV_ASTS_REC_L2_TRAD_BONDS","FQ3 2022","FQ3 2022","Currency=USD","Period=FQ","BEST_FPERIOD_OVERRIDE=FQ","FILING_STATUS=MR","SCALING_FORMAT=MLN","Sort=A","Dates=H","DateFormat=P","Fill=—","Direction=H","UseDPDF=Y")</f>
        <v>—</v>
      </c>
      <c r="S158" s="13" t="str">
        <f>_xll.BDH("GILD US Equity","ARDR_FV_ASTS_REC_L2_TRAD_BONDS","FQ4 2022","FQ4 2022","Currency=USD","Period=FQ","BEST_FPERIOD_OVERRIDE=FQ","FILING_STATUS=MR","SCALING_FORMAT=MLN","Sort=A","Dates=H","DateFormat=P","Fill=—","Direction=H","UseDPDF=Y")</f>
        <v>—</v>
      </c>
      <c r="T158" s="13" t="str">
        <f>_xll.BDH("GILD US Equity","ARDR_FV_ASTS_REC_L2_TRAD_BONDS","FQ1 2023","FQ1 2023","Currency=USD","Period=FQ","BEST_FPERIOD_OVERRIDE=FQ","FILING_STATUS=MR","SCALING_FORMAT=MLN","Sort=A","Dates=H","DateFormat=P","Fill=—","Direction=H","UseDPDF=Y")</f>
        <v>—</v>
      </c>
      <c r="U158" s="13">
        <f>_xll.BDH("GILD US Equity","ARDR_FV_ASTS_REC_L2_TRAD_BONDS","FQ2 2023","FQ2 2023","Currency=USD","Period=FQ","BEST_FPERIOD_OVERRIDE=FQ","FILING_STATUS=MR","SCALING_FORMAT=MLN","Sort=A","Dates=H","DateFormat=P","Fill=—","Direction=H","UseDPDF=Y")</f>
        <v>104</v>
      </c>
      <c r="V158" s="13" t="str">
        <f>_xll.BDH("GILD US Equity","ARDR_FV_ASTS_REC_L2_TRAD_BONDS","FQ3 2023","FQ3 2023","Currency=USD","Period=FQ","BEST_FPERIOD_OVERRIDE=FQ","FILING_STATUS=MR","SCALING_FORMAT=MLN","Sort=A","Dates=H","DateFormat=P","Fill=—","Direction=H","UseDPDF=Y")</f>
        <v>—</v>
      </c>
      <c r="W158" s="13">
        <f>_xll.BDH("GILD US Equity","ARDR_FV_ASTS_REC_L2_TRAD_BONDS","FQ4 2023","FQ4 2023","Currency=USD","Period=FQ","BEST_FPERIOD_OVERRIDE=FQ","FILING_STATUS=MR","SCALING_FORMAT=MLN","Sort=A","Dates=H","DateFormat=P","Fill=—","Direction=H","UseDPDF=Y")</f>
        <v>45</v>
      </c>
      <c r="X158" s="13" t="str">
        <f>_xll.BDH("GILD US Equity","ARDR_FV_ASTS_REC_L2_TRAD_BONDS","FQ1 2024","FQ1 2024","Currency=USD","Period=FQ","BEST_FPERIOD_OVERRIDE=FQ","FILING_STATUS=MR","SCALING_FORMAT=MLN","Sort=A","Dates=H","DateFormat=P","Fill=—","Direction=H","UseDPDF=Y")</f>
        <v>—</v>
      </c>
      <c r="Y158" s="13" t="str">
        <f>_xll.BDH("GILD US Equity","ARDR_FV_ASTS_REC_L2_TRAD_BONDS","FQ2 2024","FQ2 2024","Currency=USD","Period=FQ","BEST_FPERIOD_OVERRIDE=FQ","FILING_STATUS=MR","SCALING_FORMAT=MLN","Sort=A","Dates=H","DateFormat=P","Fill=—","Direction=H","UseDPDF=Y")</f>
        <v>—</v>
      </c>
      <c r="Z158" s="13" t="str">
        <f>_xll.BDH("GILD US Equity","ARDR_FV_ASTS_REC_L2_TRAD_BONDS","FQ3 2024","FQ3 2024","Currency=USD","Period=FQ","BEST_FPERIOD_OVERRIDE=FQ","FILING_STATUS=MR","SCALING_FORMAT=MLN","Sort=A","Dates=H","DateFormat=P","Fill=—","Direction=H","UseDPDF=Y")</f>
        <v>—</v>
      </c>
      <c r="AA158" s="13" t="str">
        <f>_xll.BDH("GILD US Equity","ARDR_FV_ASTS_REC_L2_TRAD_BONDS","FQ4 2024","FQ4 2024","Currency=USD","Period=FQ","BEST_FPERIOD_OVERRIDE=FQ","FILING_STATUS=MR","SCALING_FORMAT=MLN","Sort=A","Dates=H","DateFormat=P","Fill=—","Direction=H","UseDPDF=Y")</f>
        <v>—</v>
      </c>
    </row>
    <row r="159" spans="1:27" x14ac:dyDescent="0.25">
      <c r="A159" s="10" t="s">
        <v>1175</v>
      </c>
      <c r="B159" s="10" t="s">
        <v>1176</v>
      </c>
      <c r="C159" s="13">
        <f>_xll.BDH("GILD US Equity","ARDR_FV_ASSETS_REC_L2_AFS_TREAS","FQ4 2018","FQ4 2018","Currency=USD","Period=FQ","BEST_FPERIOD_OVERRIDE=FQ","FILING_STATUS=MR","SCALING_FORMAT=MLN","Sort=A","Dates=H","DateFormat=P","Fill=—","Direction=H","UseDPDF=Y")</f>
        <v>13067</v>
      </c>
      <c r="D159" s="13">
        <f>_xll.BDH("GILD US Equity","ARDR_FV_ASSETS_REC_L2_AFS_TREAS","FQ1 2019","FQ1 2019","Currency=USD","Period=FQ","BEST_FPERIOD_OVERRIDE=FQ","FILING_STATUS=MR","SCALING_FORMAT=MLN","Sort=A","Dates=H","DateFormat=P","Fill=—","Direction=H","UseDPDF=Y")</f>
        <v>5655</v>
      </c>
      <c r="E159" s="13">
        <f>_xll.BDH("GILD US Equity","ARDR_FV_ASSETS_REC_L2_AFS_TREAS","FQ2 2019","FQ2 2019","Currency=USD","Period=FQ","BEST_FPERIOD_OVERRIDE=FQ","FILING_STATUS=MR","SCALING_FORMAT=MLN","Sort=A","Dates=H","DateFormat=P","Fill=—","Direction=H","UseDPDF=Y")</f>
        <v>0</v>
      </c>
      <c r="F159" s="13">
        <f>_xll.BDH("GILD US Equity","ARDR_FV_ASSETS_REC_L2_AFS_TREAS","FQ3 2019","FQ3 2019","Currency=USD","Period=FQ","BEST_FPERIOD_OVERRIDE=FQ","FILING_STATUS=MR","SCALING_FORMAT=MLN","Sort=A","Dates=H","DateFormat=P","Fill=—","Direction=H","UseDPDF=Y")</f>
        <v>1145</v>
      </c>
      <c r="G159" s="13">
        <f>_xll.BDH("GILD US Equity","ARDR_FV_ASSETS_REC_L2_AFS_TREAS","FQ4 2019","FQ4 2019","Currency=USD","Period=FQ","BEST_FPERIOD_OVERRIDE=FQ","FILING_STATUS=MR","SCALING_FORMAT=MLN","Sort=A","Dates=H","DateFormat=P","Fill=—","Direction=H","UseDPDF=Y")</f>
        <v>0</v>
      </c>
      <c r="H159" s="13">
        <f>_xll.BDH("GILD US Equity","ARDR_FV_ASSETS_REC_L2_AFS_TREAS","FQ1 2020","FQ1 2020","Currency=USD","Period=FQ","BEST_FPERIOD_OVERRIDE=FQ","FILING_STATUS=MR","SCALING_FORMAT=MLN","Sort=A","Dates=H","DateFormat=P","Fill=—","Direction=H","UseDPDF=Y")</f>
        <v>0</v>
      </c>
      <c r="I159" s="13">
        <f>_xll.BDH("GILD US Equity","ARDR_FV_ASSETS_REC_L2_AFS_TREAS","FQ2 2020","FQ2 2020","Currency=USD","Period=FQ","BEST_FPERIOD_OVERRIDE=FQ","FILING_STATUS=MR","SCALING_FORMAT=MLN","Sort=A","Dates=H","DateFormat=P","Fill=—","Direction=H","UseDPDF=Y")</f>
        <v>0</v>
      </c>
      <c r="J159" s="13">
        <f>_xll.BDH("GILD US Equity","ARDR_FV_ASSETS_REC_L2_AFS_TREAS","FQ3 2020","FQ3 2020","Currency=USD","Period=FQ","BEST_FPERIOD_OVERRIDE=FQ","FILING_STATUS=MR","SCALING_FORMAT=MLN","Sort=A","Dates=H","DateFormat=P","Fill=—","Direction=H","UseDPDF=Y")</f>
        <v>0</v>
      </c>
      <c r="K159" s="13" t="str">
        <f>_xll.BDH("GILD US Equity","ARDR_FV_ASSETS_REC_L2_AFS_TREAS","FQ4 2020","FQ4 2020","Currency=USD","Period=FQ","BEST_FPERIOD_OVERRIDE=FQ","FILING_STATUS=MR","SCALING_FORMAT=MLN","Sort=A","Dates=H","DateFormat=P","Fill=—","Direction=H","UseDPDF=Y")</f>
        <v>—</v>
      </c>
      <c r="L159" s="13">
        <f>_xll.BDH("GILD US Equity","ARDR_FV_ASSETS_REC_L2_AFS_TREAS","FQ1 2021","FQ1 2021","Currency=USD","Period=FQ","BEST_FPERIOD_OVERRIDE=FQ","FILING_STATUS=MR","SCALING_FORMAT=MLN","Sort=A","Dates=H","DateFormat=P","Fill=—","Direction=H","UseDPDF=Y")</f>
        <v>0</v>
      </c>
      <c r="M159" s="13">
        <f>_xll.BDH("GILD US Equity","ARDR_FV_ASSETS_REC_L2_AFS_TREAS","FQ2 2021","FQ2 2021","Currency=USD","Period=FQ","BEST_FPERIOD_OVERRIDE=FQ","FILING_STATUS=MR","SCALING_FORMAT=MLN","Sort=A","Dates=H","DateFormat=P","Fill=—","Direction=H","UseDPDF=Y")</f>
        <v>0</v>
      </c>
      <c r="N159" s="13">
        <f>_xll.BDH("GILD US Equity","ARDR_FV_ASSETS_REC_L2_AFS_TREAS","FQ3 2021","FQ3 2021","Currency=USD","Period=FQ","BEST_FPERIOD_OVERRIDE=FQ","FILING_STATUS=MR","SCALING_FORMAT=MLN","Sort=A","Dates=H","DateFormat=P","Fill=—","Direction=H","UseDPDF=Y")</f>
        <v>0</v>
      </c>
      <c r="O159" s="13">
        <f>_xll.BDH("GILD US Equity","ARDR_FV_ASSETS_REC_L2_AFS_TREAS","FQ4 2021","FQ4 2021","Currency=USD","Period=FQ","BEST_FPERIOD_OVERRIDE=FQ","FILING_STATUS=MR","SCALING_FORMAT=MLN","Sort=A","Dates=H","DateFormat=P","Fill=—","Direction=H","UseDPDF=Y")</f>
        <v>0</v>
      </c>
      <c r="P159" s="13">
        <f>_xll.BDH("GILD US Equity","ARDR_FV_ASSETS_REC_L2_AFS_TREAS","FQ1 2022","FQ1 2022","Currency=USD","Period=FQ","BEST_FPERIOD_OVERRIDE=FQ","FILING_STATUS=MR","SCALING_FORMAT=MLN","Sort=A","Dates=H","DateFormat=P","Fill=—","Direction=H","UseDPDF=Y")</f>
        <v>0</v>
      </c>
      <c r="Q159" s="13">
        <f>_xll.BDH("GILD US Equity","ARDR_FV_ASSETS_REC_L2_AFS_TREAS","FQ2 2022","FQ2 2022","Currency=USD","Period=FQ","BEST_FPERIOD_OVERRIDE=FQ","FILING_STATUS=MR","SCALING_FORMAT=MLN","Sort=A","Dates=H","DateFormat=P","Fill=—","Direction=H","UseDPDF=Y")</f>
        <v>0</v>
      </c>
      <c r="R159" s="13">
        <f>_xll.BDH("GILD US Equity","ARDR_FV_ASSETS_REC_L2_AFS_TREAS","FQ3 2022","FQ3 2022","Currency=USD","Period=FQ","BEST_FPERIOD_OVERRIDE=FQ","FILING_STATUS=MR","SCALING_FORMAT=MLN","Sort=A","Dates=H","DateFormat=P","Fill=—","Direction=H","UseDPDF=Y")</f>
        <v>0</v>
      </c>
      <c r="S159" s="13">
        <f>_xll.BDH("GILD US Equity","ARDR_FV_ASSETS_REC_L2_AFS_TREAS","FQ4 2022","FQ4 2022","Currency=USD","Period=FQ","BEST_FPERIOD_OVERRIDE=FQ","FILING_STATUS=MR","SCALING_FORMAT=MLN","Sort=A","Dates=H","DateFormat=P","Fill=—","Direction=H","UseDPDF=Y")</f>
        <v>0</v>
      </c>
      <c r="T159" s="13">
        <f>_xll.BDH("GILD US Equity","ARDR_FV_ASSETS_REC_L2_AFS_TREAS","FQ1 2023","FQ1 2023","Currency=USD","Period=FQ","BEST_FPERIOD_OVERRIDE=FQ","FILING_STATUS=MR","SCALING_FORMAT=MLN","Sort=A","Dates=H","DateFormat=P","Fill=—","Direction=H","UseDPDF=Y")</f>
        <v>0</v>
      </c>
      <c r="U159" s="13" t="str">
        <f>_xll.BDH("GILD US Equity","ARDR_FV_ASSETS_REC_L2_AFS_TREAS","FQ2 2023","FQ2 2023","Currency=USD","Period=FQ","BEST_FPERIOD_OVERRIDE=FQ","FILING_STATUS=MR","SCALING_FORMAT=MLN","Sort=A","Dates=H","DateFormat=P","Fill=—","Direction=H","UseDPDF=Y")</f>
        <v>—</v>
      </c>
      <c r="V159" s="13" t="str">
        <f>_xll.BDH("GILD US Equity","ARDR_FV_ASSETS_REC_L2_AFS_TREAS","FQ3 2023","FQ3 2023","Currency=USD","Period=FQ","BEST_FPERIOD_OVERRIDE=FQ","FILING_STATUS=MR","SCALING_FORMAT=MLN","Sort=A","Dates=H","DateFormat=P","Fill=—","Direction=H","UseDPDF=Y")</f>
        <v>—</v>
      </c>
      <c r="W159" s="13">
        <f>_xll.BDH("GILD US Equity","ARDR_FV_ASSETS_REC_L2_AFS_TREAS","FQ4 2023","FQ4 2023","Currency=USD","Period=FQ","BEST_FPERIOD_OVERRIDE=FQ","FILING_STATUS=MR","SCALING_FORMAT=MLN","Sort=A","Dates=H","DateFormat=P","Fill=—","Direction=H","UseDPDF=Y")</f>
        <v>127</v>
      </c>
      <c r="X159" s="13">
        <f>_xll.BDH("GILD US Equity","ARDR_FV_ASSETS_REC_L2_AFS_TREAS","FQ1 2024","FQ1 2024","Currency=USD","Period=FQ","BEST_FPERIOD_OVERRIDE=FQ","FILING_STATUS=MR","SCALING_FORMAT=MLN","Sort=A","Dates=H","DateFormat=P","Fill=—","Direction=H","UseDPDF=Y")</f>
        <v>0</v>
      </c>
      <c r="Y159" s="13">
        <f>_xll.BDH("GILD US Equity","ARDR_FV_ASSETS_REC_L2_AFS_TREAS","FQ2 2024","FQ2 2024","Currency=USD","Period=FQ","BEST_FPERIOD_OVERRIDE=FQ","FILING_STATUS=MR","SCALING_FORMAT=MLN","Sort=A","Dates=H","DateFormat=P","Fill=—","Direction=H","UseDPDF=Y")</f>
        <v>0</v>
      </c>
      <c r="Z159" s="13">
        <f>_xll.BDH("GILD US Equity","ARDR_FV_ASSETS_REC_L2_AFS_TREAS","FQ3 2024","FQ3 2024","Currency=USD","Period=FQ","BEST_FPERIOD_OVERRIDE=FQ","FILING_STATUS=MR","SCALING_FORMAT=MLN","Sort=A","Dates=H","DateFormat=P","Fill=—","Direction=H","UseDPDF=Y")</f>
        <v>0</v>
      </c>
      <c r="AA159" s="13">
        <f>_xll.BDH("GILD US Equity","ARDR_FV_ASSETS_REC_L2_AFS_TREAS","FQ4 2024","FQ4 2024","Currency=USD","Period=FQ","BEST_FPERIOD_OVERRIDE=FQ","FILING_STATUS=MR","SCALING_FORMAT=MLN","Sort=A","Dates=H","DateFormat=P","Fill=—","Direction=H","UseDPDF=Y")</f>
        <v>0</v>
      </c>
    </row>
    <row r="160" spans="1:27" x14ac:dyDescent="0.25">
      <c r="A160" s="10" t="s">
        <v>1177</v>
      </c>
      <c r="B160" s="10" t="s">
        <v>1178</v>
      </c>
      <c r="C160" s="13">
        <f>_xll.BDH("GILD US Equity","ARDR_FV_ASTS_REC_L2_AFS_CORP_BDS","FQ4 2018","FQ4 2018","Currency=USD","Period=FQ","BEST_FPERIOD_OVERRIDE=FQ","FILING_STATUS=MR","SCALING_FORMAT=MLN","Sort=A","Dates=H","DateFormat=P","Fill=—","Direction=H","UseDPDF=Y")</f>
        <v>7128</v>
      </c>
      <c r="D160" s="13">
        <f>_xll.BDH("GILD US Equity","ARDR_FV_ASTS_REC_L2_AFS_CORP_BDS","FQ1 2019","FQ1 2019","Currency=USD","Period=FQ","BEST_FPERIOD_OVERRIDE=FQ","FILING_STATUS=MR","SCALING_FORMAT=MLN","Sort=A","Dates=H","DateFormat=P","Fill=—","Direction=H","UseDPDF=Y")</f>
        <v>14078</v>
      </c>
      <c r="E160" s="13" t="str">
        <f>_xll.BDH("GILD US Equity","ARDR_FV_ASTS_REC_L2_AFS_CORP_BDS","FQ2 2019","FQ2 2019","Currency=USD","Period=FQ","BEST_FPERIOD_OVERRIDE=FQ","FILING_STATUS=MR","SCALING_FORMAT=MLN","Sort=A","Dates=H","DateFormat=P","Fill=—","Direction=H","UseDPDF=Y")</f>
        <v>—</v>
      </c>
      <c r="F160" s="13">
        <f>_xll.BDH("GILD US Equity","ARDR_FV_ASTS_REC_L2_AFS_CORP_BDS","FQ3 2019","FQ3 2019","Currency=USD","Period=FQ","BEST_FPERIOD_OVERRIDE=FQ","FILING_STATUS=MR","SCALING_FORMAT=MLN","Sort=A","Dates=H","DateFormat=P","Fill=—","Direction=H","UseDPDF=Y")</f>
        <v>14818</v>
      </c>
      <c r="G160" s="13">
        <f>_xll.BDH("GILD US Equity","ARDR_FV_ASTS_REC_L2_AFS_CORP_BDS","FQ4 2019","FQ4 2019","Currency=USD","Period=FQ","BEST_FPERIOD_OVERRIDE=FQ","FILING_STATUS=MR","SCALING_FORMAT=MLN","Sort=A","Dates=H","DateFormat=P","Fill=—","Direction=H","UseDPDF=Y")</f>
        <v>9204</v>
      </c>
      <c r="H160" s="13">
        <f>_xll.BDH("GILD US Equity","ARDR_FV_ASTS_REC_L2_AFS_CORP_BDS","FQ1 2020","FQ1 2020","Currency=USD","Period=FQ","BEST_FPERIOD_OVERRIDE=FQ","FILING_STATUS=MR","SCALING_FORMAT=MLN","Sort=A","Dates=H","DateFormat=P","Fill=—","Direction=H","UseDPDF=Y")</f>
        <v>0</v>
      </c>
      <c r="I160" s="13" t="str">
        <f>_xll.BDH("GILD US Equity","ARDR_FV_ASTS_REC_L2_AFS_CORP_BDS","FQ2 2020","FQ2 2020","Currency=USD","Period=FQ","BEST_FPERIOD_OVERRIDE=FQ","FILING_STATUS=MR","SCALING_FORMAT=MLN","Sort=A","Dates=H","DateFormat=P","Fill=—","Direction=H","UseDPDF=Y")</f>
        <v>—</v>
      </c>
      <c r="J160" s="13" t="str">
        <f>_xll.BDH("GILD US Equity","ARDR_FV_ASTS_REC_L2_AFS_CORP_BDS","FQ3 2020","FQ3 2020","Currency=USD","Period=FQ","BEST_FPERIOD_OVERRIDE=FQ","FILING_STATUS=MR","SCALING_FORMAT=MLN","Sort=A","Dates=H","DateFormat=P","Fill=—","Direction=H","UseDPDF=Y")</f>
        <v>—</v>
      </c>
      <c r="K160" s="13">
        <f>_xll.BDH("GILD US Equity","ARDR_FV_ASTS_REC_L2_AFS_CORP_BDS","FQ4 2020","FQ4 2020","Currency=USD","Period=FQ","BEST_FPERIOD_OVERRIDE=FQ","FILING_STATUS=MR","SCALING_FORMAT=MLN","Sort=A","Dates=H","DateFormat=P","Fill=—","Direction=H","UseDPDF=Y")</f>
        <v>0</v>
      </c>
      <c r="L160" s="13">
        <f>_xll.BDH("GILD US Equity","ARDR_FV_ASTS_REC_L2_AFS_CORP_BDS","FQ1 2021","FQ1 2021","Currency=USD","Period=FQ","BEST_FPERIOD_OVERRIDE=FQ","FILING_STATUS=MR","SCALING_FORMAT=MLN","Sort=A","Dates=H","DateFormat=P","Fill=—","Direction=H","UseDPDF=Y")</f>
        <v>1667</v>
      </c>
      <c r="M160" s="13">
        <f>_xll.BDH("GILD US Equity","ARDR_FV_ASTS_REC_L2_AFS_CORP_BDS","FQ2 2021","FQ2 2021","Currency=USD","Period=FQ","BEST_FPERIOD_OVERRIDE=FQ","FILING_STATUS=MR","SCALING_FORMAT=MLN","Sort=A","Dates=H","DateFormat=P","Fill=—","Direction=H","UseDPDF=Y")</f>
        <v>1698</v>
      </c>
      <c r="N160" s="13" t="str">
        <f>_xll.BDH("GILD US Equity","ARDR_FV_ASTS_REC_L2_AFS_CORP_BDS","FQ3 2021","FQ3 2021","Currency=USD","Period=FQ","BEST_FPERIOD_OVERRIDE=FQ","FILING_STATUS=MR","SCALING_FORMAT=MLN","Sort=A","Dates=H","DateFormat=P","Fill=—","Direction=H","UseDPDF=Y")</f>
        <v>—</v>
      </c>
      <c r="O160" s="13">
        <f>_xll.BDH("GILD US Equity","ARDR_FV_ASTS_REC_L2_AFS_CORP_BDS","FQ4 2021","FQ4 2021","Currency=USD","Period=FQ","BEST_FPERIOD_OVERRIDE=FQ","FILING_STATUS=MR","SCALING_FORMAT=MLN","Sort=A","Dates=H","DateFormat=P","Fill=—","Direction=H","UseDPDF=Y")</f>
        <v>303</v>
      </c>
      <c r="P160" s="13">
        <f>_xll.BDH("GILD US Equity","ARDR_FV_ASTS_REC_L2_AFS_CORP_BDS","FQ1 2022","FQ1 2022","Currency=USD","Period=FQ","BEST_FPERIOD_OVERRIDE=FQ","FILING_STATUS=MR","SCALING_FORMAT=MLN","Sort=A","Dates=H","DateFormat=P","Fill=—","Direction=H","UseDPDF=Y")</f>
        <v>1625</v>
      </c>
      <c r="Q160" s="13">
        <f>_xll.BDH("GILD US Equity","ARDR_FV_ASTS_REC_L2_AFS_CORP_BDS","FQ2 2022","FQ2 2022","Currency=USD","Period=FQ","BEST_FPERIOD_OVERRIDE=FQ","FILING_STATUS=MR","SCALING_FORMAT=MLN","Sort=A","Dates=H","DateFormat=P","Fill=—","Direction=H","UseDPDF=Y")</f>
        <v>1505</v>
      </c>
      <c r="R160" s="13" t="str">
        <f>_xll.BDH("GILD US Equity","ARDR_FV_ASTS_REC_L2_AFS_CORP_BDS","FQ3 2022","FQ3 2022","Currency=USD","Period=FQ","BEST_FPERIOD_OVERRIDE=FQ","FILING_STATUS=MR","SCALING_FORMAT=MLN","Sort=A","Dates=H","DateFormat=P","Fill=—","Direction=H","UseDPDF=Y")</f>
        <v>—</v>
      </c>
      <c r="S160" s="13">
        <f>_xll.BDH("GILD US Equity","ARDR_FV_ASTS_REC_L2_AFS_CORP_BDS","FQ4 2022","FQ4 2022","Currency=USD","Period=FQ","BEST_FPERIOD_OVERRIDE=FQ","FILING_STATUS=MR","SCALING_FORMAT=MLN","Sort=A","Dates=H","DateFormat=P","Fill=—","Direction=H","UseDPDF=Y")</f>
        <v>1496</v>
      </c>
      <c r="T160" s="13">
        <f>_xll.BDH("GILD US Equity","ARDR_FV_ASTS_REC_L2_AFS_CORP_BDS","FQ1 2023","FQ1 2023","Currency=USD","Period=FQ","BEST_FPERIOD_OVERRIDE=FQ","FILING_STATUS=MR","SCALING_FORMAT=MLN","Sort=A","Dates=H","DateFormat=P","Fill=—","Direction=H","UseDPDF=Y")</f>
        <v>268</v>
      </c>
      <c r="U160" s="13" t="str">
        <f>_xll.BDH("GILD US Equity","ARDR_FV_ASTS_REC_L2_AFS_CORP_BDS","FQ2 2023","FQ2 2023","Currency=USD","Period=FQ","BEST_FPERIOD_OVERRIDE=FQ","FILING_STATUS=MR","SCALING_FORMAT=MLN","Sort=A","Dates=H","DateFormat=P","Fill=—","Direction=H","UseDPDF=Y")</f>
        <v>—</v>
      </c>
      <c r="V160" s="13" t="str">
        <f>_xll.BDH("GILD US Equity","ARDR_FV_ASTS_REC_L2_AFS_CORP_BDS","FQ3 2023","FQ3 2023","Currency=USD","Period=FQ","BEST_FPERIOD_OVERRIDE=FQ","FILING_STATUS=MR","SCALING_FORMAT=MLN","Sort=A","Dates=H","DateFormat=P","Fill=—","Direction=H","UseDPDF=Y")</f>
        <v>—</v>
      </c>
      <c r="W160" s="13">
        <f>_xll.BDH("GILD US Equity","ARDR_FV_ASTS_REC_L2_AFS_CORP_BDS","FQ4 2023","FQ4 2023","Currency=USD","Period=FQ","BEST_FPERIOD_OVERRIDE=FQ","FILING_STATUS=MR","SCALING_FORMAT=MLN","Sort=A","Dates=H","DateFormat=P","Fill=—","Direction=H","UseDPDF=Y")</f>
        <v>1451</v>
      </c>
      <c r="X160" s="13">
        <f>_xll.BDH("GILD US Equity","ARDR_FV_ASTS_REC_L2_AFS_CORP_BDS","FQ1 2024","FQ1 2024","Currency=USD","Period=FQ","BEST_FPERIOD_OVERRIDE=FQ","FILING_STATUS=MR","SCALING_FORMAT=MLN","Sort=A","Dates=H","DateFormat=P","Fill=—","Direction=H","UseDPDF=Y")</f>
        <v>0</v>
      </c>
      <c r="Y160" s="13" t="str">
        <f>_xll.BDH("GILD US Equity","ARDR_FV_ASTS_REC_L2_AFS_CORP_BDS","FQ2 2024","FQ2 2024","Currency=USD","Period=FQ","BEST_FPERIOD_OVERRIDE=FQ","FILING_STATUS=MR","SCALING_FORMAT=MLN","Sort=A","Dates=H","DateFormat=P","Fill=—","Direction=H","UseDPDF=Y")</f>
        <v>—</v>
      </c>
      <c r="Z160" s="13">
        <f>_xll.BDH("GILD US Equity","ARDR_FV_ASTS_REC_L2_AFS_CORP_BDS","FQ3 2024","FQ3 2024","Currency=USD","Period=FQ","BEST_FPERIOD_OVERRIDE=FQ","FILING_STATUS=MR","SCALING_FORMAT=MLN","Sort=A","Dates=H","DateFormat=P","Fill=—","Direction=H","UseDPDF=Y")</f>
        <v>0</v>
      </c>
      <c r="AA160" s="13">
        <f>_xll.BDH("GILD US Equity","ARDR_FV_ASTS_REC_L2_AFS_CORP_BDS","FQ4 2024","FQ4 2024","Currency=USD","Period=FQ","BEST_FPERIOD_OVERRIDE=FQ","FILING_STATUS=MR","SCALING_FORMAT=MLN","Sort=A","Dates=H","DateFormat=P","Fill=—","Direction=H","UseDPDF=Y")</f>
        <v>0</v>
      </c>
    </row>
    <row r="161" spans="1:27" x14ac:dyDescent="0.25">
      <c r="A161" s="10" t="s">
        <v>1179</v>
      </c>
      <c r="B161" s="10" t="s">
        <v>1180</v>
      </c>
      <c r="C161" s="13" t="str">
        <f>_xll.BDH("GILD US Equity","ARDR_FV_ASTS_REC_L2_AFS_CDO_CLO","FQ4 2018","FQ4 2018","Currency=USD","Period=FQ","BEST_FPERIOD_OVERRIDE=FQ","FILING_STATUS=MR","SCALING_FORMAT=MLN","Sort=A","Dates=H","DateFormat=P","Fill=—","Direction=H","UseDPDF=Y")</f>
        <v>—</v>
      </c>
      <c r="D161" s="13" t="str">
        <f>_xll.BDH("GILD US Equity","ARDR_FV_ASTS_REC_L2_AFS_CDO_CLO","FQ1 2019","FQ1 2019","Currency=USD","Period=FQ","BEST_FPERIOD_OVERRIDE=FQ","FILING_STATUS=MR","SCALING_FORMAT=MLN","Sort=A","Dates=H","DateFormat=P","Fill=—","Direction=H","UseDPDF=Y")</f>
        <v>—</v>
      </c>
      <c r="E161" s="13" t="str">
        <f>_xll.BDH("GILD US Equity","ARDR_FV_ASTS_REC_L2_AFS_CDO_CLO","FQ2 2019","FQ2 2019","Currency=USD","Period=FQ","BEST_FPERIOD_OVERRIDE=FQ","FILING_STATUS=MR","SCALING_FORMAT=MLN","Sort=A","Dates=H","DateFormat=P","Fill=—","Direction=H","UseDPDF=Y")</f>
        <v>—</v>
      </c>
      <c r="F161" s="13" t="str">
        <f>_xll.BDH("GILD US Equity","ARDR_FV_ASTS_REC_L2_AFS_CDO_CLO","FQ3 2019","FQ3 2019","Currency=USD","Period=FQ","BEST_FPERIOD_OVERRIDE=FQ","FILING_STATUS=MR","SCALING_FORMAT=MLN","Sort=A","Dates=H","DateFormat=P","Fill=—","Direction=H","UseDPDF=Y")</f>
        <v>—</v>
      </c>
      <c r="G161" s="13">
        <f>_xll.BDH("GILD US Equity","ARDR_FV_ASTS_REC_L2_AFS_CDO_CLO","FQ4 2019","FQ4 2019","Currency=USD","Period=FQ","BEST_FPERIOD_OVERRIDE=FQ","FILING_STATUS=MR","SCALING_FORMAT=MLN","Sort=A","Dates=H","DateFormat=P","Fill=—","Direction=H","UseDPDF=Y")</f>
        <v>3517</v>
      </c>
      <c r="H161" s="13">
        <f>_xll.BDH("GILD US Equity","ARDR_FV_ASTS_REC_L2_AFS_CDO_CLO","FQ1 2020","FQ1 2020","Currency=USD","Period=FQ","BEST_FPERIOD_OVERRIDE=FQ","FILING_STATUS=MR","SCALING_FORMAT=MLN","Sort=A","Dates=H","DateFormat=P","Fill=—","Direction=H","UseDPDF=Y")</f>
        <v>3201</v>
      </c>
      <c r="I161" s="13">
        <f>_xll.BDH("GILD US Equity","ARDR_FV_ASTS_REC_L2_AFS_CDO_CLO","FQ2 2020","FQ2 2020","Currency=USD","Period=FQ","BEST_FPERIOD_OVERRIDE=FQ","FILING_STATUS=MR","SCALING_FORMAT=MLN","Sort=A","Dates=H","DateFormat=P","Fill=—","Direction=H","UseDPDF=Y")</f>
        <v>2783</v>
      </c>
      <c r="J161" s="13" t="str">
        <f>_xll.BDH("GILD US Equity","ARDR_FV_ASTS_REC_L2_AFS_CDO_CLO","FQ3 2020","FQ3 2020","Currency=USD","Period=FQ","BEST_FPERIOD_OVERRIDE=FQ","FILING_STATUS=MR","SCALING_FORMAT=MLN","Sort=A","Dates=H","DateFormat=P","Fill=—","Direction=H","UseDPDF=Y")</f>
        <v>—</v>
      </c>
      <c r="K161" s="13">
        <f>_xll.BDH("GILD US Equity","ARDR_FV_ASTS_REC_L2_AFS_CDO_CLO","FQ4 2020","FQ4 2020","Currency=USD","Period=FQ","BEST_FPERIOD_OVERRIDE=FQ","FILING_STATUS=MR","SCALING_FORMAT=MLN","Sort=A","Dates=H","DateFormat=P","Fill=—","Direction=H","UseDPDF=Y")</f>
        <v>216</v>
      </c>
      <c r="L161" s="13">
        <f>_xll.BDH("GILD US Equity","ARDR_FV_ASTS_REC_L2_AFS_CDO_CLO","FQ1 2021","FQ1 2021","Currency=USD","Period=FQ","BEST_FPERIOD_OVERRIDE=FQ","FILING_STATUS=MR","SCALING_FORMAT=MLN","Sort=A","Dates=H","DateFormat=P","Fill=—","Direction=H","UseDPDF=Y")</f>
        <v>347</v>
      </c>
      <c r="M161" s="13">
        <f>_xll.BDH("GILD US Equity","ARDR_FV_ASTS_REC_L2_AFS_CDO_CLO","FQ2 2021","FQ2 2021","Currency=USD","Period=FQ","BEST_FPERIOD_OVERRIDE=FQ","FILING_STATUS=MR","SCALING_FORMAT=MLN","Sort=A","Dates=H","DateFormat=P","Fill=—","Direction=H","UseDPDF=Y")</f>
        <v>412</v>
      </c>
      <c r="N161" s="13" t="str">
        <f>_xll.BDH("GILD US Equity","ARDR_FV_ASTS_REC_L2_AFS_CDO_CLO","FQ3 2021","FQ3 2021","Currency=USD","Period=FQ","BEST_FPERIOD_OVERRIDE=FQ","FILING_STATUS=MR","SCALING_FORMAT=MLN","Sort=A","Dates=H","DateFormat=P","Fill=—","Direction=H","UseDPDF=Y")</f>
        <v>—</v>
      </c>
      <c r="O161" s="13">
        <f>_xll.BDH("GILD US Equity","ARDR_FV_ASTS_REC_L2_AFS_CDO_CLO","FQ4 2021","FQ4 2021","Currency=USD","Period=FQ","BEST_FPERIOD_OVERRIDE=FQ","FILING_STATUS=MR","SCALING_FORMAT=MLN","Sort=A","Dates=H","DateFormat=P","Fill=—","Direction=H","UseDPDF=Y")</f>
        <v>1787</v>
      </c>
      <c r="P161" s="13">
        <f>_xll.BDH("GILD US Equity","ARDR_FV_ASTS_REC_L2_AFS_CDO_CLO","FQ1 2022","FQ1 2022","Currency=USD","Period=FQ","BEST_FPERIOD_OVERRIDE=FQ","FILING_STATUS=MR","SCALING_FORMAT=MLN","Sort=A","Dates=H","DateFormat=P","Fill=—","Direction=H","UseDPDF=Y")</f>
        <v>412</v>
      </c>
      <c r="Q161" s="13">
        <f>_xll.BDH("GILD US Equity","ARDR_FV_ASTS_REC_L2_AFS_CDO_CLO","FQ2 2022","FQ2 2022","Currency=USD","Period=FQ","BEST_FPERIOD_OVERRIDE=FQ","FILING_STATUS=MR","SCALING_FORMAT=MLN","Sort=A","Dates=H","DateFormat=P","Fill=—","Direction=H","UseDPDF=Y")</f>
        <v>358</v>
      </c>
      <c r="R161" s="13" t="str">
        <f>_xll.BDH("GILD US Equity","ARDR_FV_ASTS_REC_L2_AFS_CDO_CLO","FQ3 2022","FQ3 2022","Currency=USD","Period=FQ","BEST_FPERIOD_OVERRIDE=FQ","FILING_STATUS=MR","SCALING_FORMAT=MLN","Sort=A","Dates=H","DateFormat=P","Fill=—","Direction=H","UseDPDF=Y")</f>
        <v>—</v>
      </c>
      <c r="S161" s="13">
        <f>_xll.BDH("GILD US Equity","ARDR_FV_ASTS_REC_L2_AFS_CDO_CLO","FQ4 2022","FQ4 2022","Currency=USD","Period=FQ","BEST_FPERIOD_OVERRIDE=FQ","FILING_STATUS=MR","SCALING_FORMAT=MLN","Sort=A","Dates=H","DateFormat=P","Fill=—","Direction=H","UseDPDF=Y")</f>
        <v>387</v>
      </c>
      <c r="T161" s="13">
        <f>_xll.BDH("GILD US Equity","ARDR_FV_ASTS_REC_L2_AFS_CDO_CLO","FQ1 2023","FQ1 2023","Currency=USD","Period=FQ","BEST_FPERIOD_OVERRIDE=FQ","FILING_STATUS=MR","SCALING_FORMAT=MLN","Sort=A","Dates=H","DateFormat=P","Fill=—","Direction=H","UseDPDF=Y")</f>
        <v>1714</v>
      </c>
      <c r="U161" s="13" t="str">
        <f>_xll.BDH("GILD US Equity","ARDR_FV_ASTS_REC_L2_AFS_CDO_CLO","FQ2 2023","FQ2 2023","Currency=USD","Period=FQ","BEST_FPERIOD_OVERRIDE=FQ","FILING_STATUS=MR","SCALING_FORMAT=MLN","Sort=A","Dates=H","DateFormat=P","Fill=—","Direction=H","UseDPDF=Y")</f>
        <v>—</v>
      </c>
      <c r="V161" s="13" t="str">
        <f>_xll.BDH("GILD US Equity","ARDR_FV_ASTS_REC_L2_AFS_CDO_CLO","FQ3 2023","FQ3 2023","Currency=USD","Period=FQ","BEST_FPERIOD_OVERRIDE=FQ","FILING_STATUS=MR","SCALING_FORMAT=MLN","Sort=A","Dates=H","DateFormat=P","Fill=—","Direction=H","UseDPDF=Y")</f>
        <v>—</v>
      </c>
      <c r="W161" s="13">
        <f>_xll.BDH("GILD US Equity","ARDR_FV_ASTS_REC_L2_AFS_CDO_CLO","FQ4 2023","FQ4 2023","Currency=USD","Period=FQ","BEST_FPERIOD_OVERRIDE=FQ","FILING_STATUS=MR","SCALING_FORMAT=MLN","Sort=A","Dates=H","DateFormat=P","Fill=—","Direction=H","UseDPDF=Y")</f>
        <v>45</v>
      </c>
      <c r="X161" s="13" t="str">
        <f>_xll.BDH("GILD US Equity","ARDR_FV_ASTS_REC_L2_AFS_CDO_CLO","FQ1 2024","FQ1 2024","Currency=USD","Period=FQ","BEST_FPERIOD_OVERRIDE=FQ","FILING_STATUS=MR","SCALING_FORMAT=MLN","Sort=A","Dates=H","DateFormat=P","Fill=—","Direction=H","UseDPDF=Y")</f>
        <v>—</v>
      </c>
      <c r="Y161" s="13" t="str">
        <f>_xll.BDH("GILD US Equity","ARDR_FV_ASTS_REC_L2_AFS_CDO_CLO","FQ2 2024","FQ2 2024","Currency=USD","Period=FQ","BEST_FPERIOD_OVERRIDE=FQ","FILING_STATUS=MR","SCALING_FORMAT=MLN","Sort=A","Dates=H","DateFormat=P","Fill=—","Direction=H","UseDPDF=Y")</f>
        <v>—</v>
      </c>
      <c r="Z161" s="13" t="str">
        <f>_xll.BDH("GILD US Equity","ARDR_FV_ASTS_REC_L2_AFS_CDO_CLO","FQ3 2024","FQ3 2024","Currency=USD","Period=FQ","BEST_FPERIOD_OVERRIDE=FQ","FILING_STATUS=MR","SCALING_FORMAT=MLN","Sort=A","Dates=H","DateFormat=P","Fill=—","Direction=H","UseDPDF=Y")</f>
        <v>—</v>
      </c>
      <c r="AA161" s="13">
        <f>_xll.BDH("GILD US Equity","ARDR_FV_ASTS_REC_L2_AFS_CDO_CLO","FQ4 2024","FQ4 2024","Currency=USD","Period=FQ","BEST_FPERIOD_OVERRIDE=FQ","FILING_STATUS=MR","SCALING_FORMAT=MLN","Sort=A","Dates=H","DateFormat=P","Fill=—","Direction=H","UseDPDF=Y")</f>
        <v>0</v>
      </c>
    </row>
    <row r="162" spans="1:27" x14ac:dyDescent="0.25">
      <c r="A162" s="10" t="s">
        <v>1181</v>
      </c>
      <c r="B162" s="10" t="s">
        <v>1182</v>
      </c>
      <c r="C162" s="13" t="str">
        <f>_xll.BDH("GILD US Equity","ARDR_FV_ASTS_REC_L2_AFS_GSE_CMO","FQ4 2018","FQ4 2018","Currency=USD","Period=FQ","BEST_FPERIOD_OVERRIDE=FQ","FILING_STATUS=MR","SCALING_FORMAT=MLN","Sort=A","Dates=H","DateFormat=P","Fill=—","Direction=H","UseDPDF=Y")</f>
        <v>—</v>
      </c>
      <c r="D162" s="13" t="str">
        <f>_xll.BDH("GILD US Equity","ARDR_FV_ASTS_REC_L2_AFS_GSE_CMO","FQ1 2019","FQ1 2019","Currency=USD","Period=FQ","BEST_FPERIOD_OVERRIDE=FQ","FILING_STATUS=MR","SCALING_FORMAT=MLN","Sort=A","Dates=H","DateFormat=P","Fill=—","Direction=H","UseDPDF=Y")</f>
        <v>—</v>
      </c>
      <c r="E162" s="13" t="str">
        <f>_xll.BDH("GILD US Equity","ARDR_FV_ASTS_REC_L2_AFS_GSE_CMO","FQ2 2019","FQ2 2019","Currency=USD","Period=FQ","BEST_FPERIOD_OVERRIDE=FQ","FILING_STATUS=MR","SCALING_FORMAT=MLN","Sort=A","Dates=H","DateFormat=P","Fill=—","Direction=H","UseDPDF=Y")</f>
        <v>—</v>
      </c>
      <c r="F162" s="13">
        <f>_xll.BDH("GILD US Equity","ARDR_FV_ASTS_REC_L2_AFS_GSE_CMO","FQ3 2019","FQ3 2019","Currency=USD","Period=FQ","BEST_FPERIOD_OVERRIDE=FQ","FILING_STATUS=MR","SCALING_FORMAT=MLN","Sort=A","Dates=H","DateFormat=P","Fill=—","Direction=H","UseDPDF=Y")</f>
        <v>230</v>
      </c>
      <c r="G162" s="13">
        <f>_xll.BDH("GILD US Equity","ARDR_FV_ASTS_REC_L2_AFS_GSE_CMO","FQ4 2019","FQ4 2019","Currency=USD","Period=FQ","BEST_FPERIOD_OVERRIDE=FQ","FILING_STATUS=MR","SCALING_FORMAT=MLN","Sort=A","Dates=H","DateFormat=P","Fill=—","Direction=H","UseDPDF=Y")</f>
        <v>91</v>
      </c>
      <c r="H162" s="13">
        <f>_xll.BDH("GILD US Equity","ARDR_FV_ASTS_REC_L2_AFS_GSE_CMO","FQ1 2020","FQ1 2020","Currency=USD","Period=FQ","BEST_FPERIOD_OVERRIDE=FQ","FILING_STATUS=MR","SCALING_FORMAT=MLN","Sort=A","Dates=H","DateFormat=P","Fill=—","Direction=H","UseDPDF=Y")</f>
        <v>134</v>
      </c>
      <c r="I162" s="13">
        <f>_xll.BDH("GILD US Equity","ARDR_FV_ASTS_REC_L2_AFS_GSE_CMO","FQ2 2020","FQ2 2020","Currency=USD","Period=FQ","BEST_FPERIOD_OVERRIDE=FQ","FILING_STATUS=MR","SCALING_FORMAT=MLN","Sort=A","Dates=H","DateFormat=P","Fill=—","Direction=H","UseDPDF=Y")</f>
        <v>101</v>
      </c>
      <c r="J162" s="13" t="str">
        <f>_xll.BDH("GILD US Equity","ARDR_FV_ASTS_REC_L2_AFS_GSE_CMO","FQ3 2020","FQ3 2020","Currency=USD","Period=FQ","BEST_FPERIOD_OVERRIDE=FQ","FILING_STATUS=MR","SCALING_FORMAT=MLN","Sort=A","Dates=H","DateFormat=P","Fill=—","Direction=H","UseDPDF=Y")</f>
        <v>—</v>
      </c>
      <c r="K162" s="13" t="str">
        <f>_xll.BDH("GILD US Equity","ARDR_FV_ASTS_REC_L2_AFS_GSE_CMO","FQ4 2020","FQ4 2020","Currency=USD","Period=FQ","BEST_FPERIOD_OVERRIDE=FQ","FILING_STATUS=MR","SCALING_FORMAT=MLN","Sort=A","Dates=H","DateFormat=P","Fill=—","Direction=H","UseDPDF=Y")</f>
        <v>—</v>
      </c>
      <c r="L162" s="13" t="str">
        <f>_xll.BDH("GILD US Equity","ARDR_FV_ASTS_REC_L2_AFS_GSE_CMO","FQ1 2021","FQ1 2021","Currency=USD","Period=FQ","BEST_FPERIOD_OVERRIDE=FQ","FILING_STATUS=MR","SCALING_FORMAT=MLN","Sort=A","Dates=H","DateFormat=P","Fill=—","Direction=H","UseDPDF=Y")</f>
        <v>—</v>
      </c>
      <c r="M162" s="13">
        <f>_xll.BDH("GILD US Equity","ARDR_FV_ASTS_REC_L2_AFS_GSE_CMO","FQ2 2021","FQ2 2021","Currency=USD","Period=FQ","BEST_FPERIOD_OVERRIDE=FQ","FILING_STATUS=MR","SCALING_FORMAT=MLN","Sort=A","Dates=H","DateFormat=P","Fill=—","Direction=H","UseDPDF=Y")</f>
        <v>0</v>
      </c>
      <c r="N162" s="13" t="str">
        <f>_xll.BDH("GILD US Equity","ARDR_FV_ASTS_REC_L2_AFS_GSE_CMO","FQ3 2021","FQ3 2021","Currency=USD","Period=FQ","BEST_FPERIOD_OVERRIDE=FQ","FILING_STATUS=MR","SCALING_FORMAT=MLN","Sort=A","Dates=H","DateFormat=P","Fill=—","Direction=H","UseDPDF=Y")</f>
        <v>—</v>
      </c>
      <c r="O162" s="13" t="str">
        <f>_xll.BDH("GILD US Equity","ARDR_FV_ASTS_REC_L2_AFS_GSE_CMO","FQ4 2021","FQ4 2021","Currency=USD","Period=FQ","BEST_FPERIOD_OVERRIDE=FQ","FILING_STATUS=MR","SCALING_FORMAT=MLN","Sort=A","Dates=H","DateFormat=P","Fill=—","Direction=H","UseDPDF=Y")</f>
        <v>—</v>
      </c>
      <c r="P162" s="13" t="str">
        <f>_xll.BDH("GILD US Equity","ARDR_FV_ASTS_REC_L2_AFS_GSE_CMO","FQ1 2022","FQ1 2022","Currency=USD","Period=FQ","BEST_FPERIOD_OVERRIDE=FQ","FILING_STATUS=MR","SCALING_FORMAT=MLN","Sort=A","Dates=H","DateFormat=P","Fill=—","Direction=H","UseDPDF=Y")</f>
        <v>—</v>
      </c>
      <c r="Q162" s="13" t="str">
        <f>_xll.BDH("GILD US Equity","ARDR_FV_ASTS_REC_L2_AFS_GSE_CMO","FQ2 2022","FQ2 2022","Currency=USD","Period=FQ","BEST_FPERIOD_OVERRIDE=FQ","FILING_STATUS=MR","SCALING_FORMAT=MLN","Sort=A","Dates=H","DateFormat=P","Fill=—","Direction=H","UseDPDF=Y")</f>
        <v>—</v>
      </c>
      <c r="R162" s="13" t="str">
        <f>_xll.BDH("GILD US Equity","ARDR_FV_ASTS_REC_L2_AFS_GSE_CMO","FQ3 2022","FQ3 2022","Currency=USD","Period=FQ","BEST_FPERIOD_OVERRIDE=FQ","FILING_STATUS=MR","SCALING_FORMAT=MLN","Sort=A","Dates=H","DateFormat=P","Fill=—","Direction=H","UseDPDF=Y")</f>
        <v>—</v>
      </c>
      <c r="S162" s="13" t="str">
        <f>_xll.BDH("GILD US Equity","ARDR_FV_ASTS_REC_L2_AFS_GSE_CMO","FQ4 2022","FQ4 2022","Currency=USD","Period=FQ","BEST_FPERIOD_OVERRIDE=FQ","FILING_STATUS=MR","SCALING_FORMAT=MLN","Sort=A","Dates=H","DateFormat=P","Fill=—","Direction=H","UseDPDF=Y")</f>
        <v>—</v>
      </c>
      <c r="T162" s="13" t="str">
        <f>_xll.BDH("GILD US Equity","ARDR_FV_ASTS_REC_L2_AFS_GSE_CMO","FQ1 2023","FQ1 2023","Currency=USD","Period=FQ","BEST_FPERIOD_OVERRIDE=FQ","FILING_STATUS=MR","SCALING_FORMAT=MLN","Sort=A","Dates=H","DateFormat=P","Fill=—","Direction=H","UseDPDF=Y")</f>
        <v>—</v>
      </c>
      <c r="U162" s="13" t="str">
        <f>_xll.BDH("GILD US Equity","ARDR_FV_ASTS_REC_L2_AFS_GSE_CMO","FQ2 2023","FQ2 2023","Currency=USD","Period=FQ","BEST_FPERIOD_OVERRIDE=FQ","FILING_STATUS=MR","SCALING_FORMAT=MLN","Sort=A","Dates=H","DateFormat=P","Fill=—","Direction=H","UseDPDF=Y")</f>
        <v>—</v>
      </c>
      <c r="V162" s="13" t="str">
        <f>_xll.BDH("GILD US Equity","ARDR_FV_ASTS_REC_L2_AFS_GSE_CMO","FQ3 2023","FQ3 2023","Currency=USD","Period=FQ","BEST_FPERIOD_OVERRIDE=FQ","FILING_STATUS=MR","SCALING_FORMAT=MLN","Sort=A","Dates=H","DateFormat=P","Fill=—","Direction=H","UseDPDF=Y")</f>
        <v>—</v>
      </c>
      <c r="W162" s="13">
        <f>_xll.BDH("GILD US Equity","ARDR_FV_ASTS_REC_L2_AFS_GSE_CMO","FQ4 2023","FQ4 2023","Currency=USD","Period=FQ","BEST_FPERIOD_OVERRIDE=FQ","FILING_STATUS=MR","SCALING_FORMAT=MLN","Sort=A","Dates=H","DateFormat=P","Fill=—","Direction=H","UseDPDF=Y")</f>
        <v>367</v>
      </c>
      <c r="X162" s="13" t="str">
        <f>_xll.BDH("GILD US Equity","ARDR_FV_ASTS_REC_L2_AFS_GSE_CMO","FQ1 2024","FQ1 2024","Currency=USD","Period=FQ","BEST_FPERIOD_OVERRIDE=FQ","FILING_STATUS=MR","SCALING_FORMAT=MLN","Sort=A","Dates=H","DateFormat=P","Fill=—","Direction=H","UseDPDF=Y")</f>
        <v>—</v>
      </c>
      <c r="Y162" s="13" t="str">
        <f>_xll.BDH("GILD US Equity","ARDR_FV_ASTS_REC_L2_AFS_GSE_CMO","FQ2 2024","FQ2 2024","Currency=USD","Period=FQ","BEST_FPERIOD_OVERRIDE=FQ","FILING_STATUS=MR","SCALING_FORMAT=MLN","Sort=A","Dates=H","DateFormat=P","Fill=—","Direction=H","UseDPDF=Y")</f>
        <v>—</v>
      </c>
      <c r="Z162" s="13" t="str">
        <f>_xll.BDH("GILD US Equity","ARDR_FV_ASTS_REC_L2_AFS_GSE_CMO","FQ3 2024","FQ3 2024","Currency=USD","Period=FQ","BEST_FPERIOD_OVERRIDE=FQ","FILING_STATUS=MR","SCALING_FORMAT=MLN","Sort=A","Dates=H","DateFormat=P","Fill=—","Direction=H","UseDPDF=Y")</f>
        <v>—</v>
      </c>
      <c r="AA162" s="13">
        <f>_xll.BDH("GILD US Equity","ARDR_FV_ASTS_REC_L2_AFS_GSE_CMO","FQ4 2024","FQ4 2024","Currency=USD","Period=FQ","BEST_FPERIOD_OVERRIDE=FQ","FILING_STATUS=MR","SCALING_FORMAT=MLN","Sort=A","Dates=H","DateFormat=P","Fill=—","Direction=H","UseDPDF=Y")</f>
        <v>0</v>
      </c>
    </row>
    <row r="163" spans="1:27" x14ac:dyDescent="0.25">
      <c r="A163" s="10" t="s">
        <v>1183</v>
      </c>
      <c r="B163" s="10" t="s">
        <v>1184</v>
      </c>
      <c r="C163" s="13" t="str">
        <f>_xll.BDH("GILD US Equity","ARDR_FV_ASTS_REC_L2_AFS_NON_GSE","FQ4 2018","FQ4 2018","Currency=USD","Period=FQ","BEST_FPERIOD_OVERRIDE=FQ","FILING_STATUS=MR","SCALING_FORMAT=MLN","Sort=A","Dates=H","DateFormat=P","Fill=—","Direction=H","UseDPDF=Y")</f>
        <v>—</v>
      </c>
      <c r="D163" s="13" t="str">
        <f>_xll.BDH("GILD US Equity","ARDR_FV_ASTS_REC_L2_AFS_NON_GSE","FQ1 2019","FQ1 2019","Currency=USD","Period=FQ","BEST_FPERIOD_OVERRIDE=FQ","FILING_STATUS=MR","SCALING_FORMAT=MLN","Sort=A","Dates=H","DateFormat=P","Fill=—","Direction=H","UseDPDF=Y")</f>
        <v>—</v>
      </c>
      <c r="E163" s="13" t="str">
        <f>_xll.BDH("GILD US Equity","ARDR_FV_ASTS_REC_L2_AFS_NON_GSE","FQ2 2019","FQ2 2019","Currency=USD","Period=FQ","BEST_FPERIOD_OVERRIDE=FQ","FILING_STATUS=MR","SCALING_FORMAT=MLN","Sort=A","Dates=H","DateFormat=P","Fill=—","Direction=H","UseDPDF=Y")</f>
        <v>—</v>
      </c>
      <c r="F163" s="13" t="str">
        <f>_xll.BDH("GILD US Equity","ARDR_FV_ASTS_REC_L2_AFS_NON_GSE","FQ3 2019","FQ3 2019","Currency=USD","Period=FQ","BEST_FPERIOD_OVERRIDE=FQ","FILING_STATUS=MR","SCALING_FORMAT=MLN","Sort=A","Dates=H","DateFormat=P","Fill=—","Direction=H","UseDPDF=Y")</f>
        <v>—</v>
      </c>
      <c r="G163" s="13">
        <f>_xll.BDH("GILD US Equity","ARDR_FV_ASTS_REC_L2_AFS_NON_GSE","FQ4 2019","FQ4 2019","Currency=USD","Period=FQ","BEST_FPERIOD_OVERRIDE=FQ","FILING_STATUS=MR","SCALING_FORMAT=MLN","Sort=A","Dates=H","DateFormat=P","Fill=—","Direction=H","UseDPDF=Y")</f>
        <v>174</v>
      </c>
      <c r="H163" s="13">
        <f>_xll.BDH("GILD US Equity","ARDR_FV_ASTS_REC_L2_AFS_NON_GSE","FQ1 2020","FQ1 2020","Currency=USD","Period=FQ","BEST_FPERIOD_OVERRIDE=FQ","FILING_STATUS=MR","SCALING_FORMAT=MLN","Sort=A","Dates=H","DateFormat=P","Fill=—","Direction=H","UseDPDF=Y")</f>
        <v>22</v>
      </c>
      <c r="I163" s="13">
        <f>_xll.BDH("GILD US Equity","ARDR_FV_ASTS_REC_L2_AFS_NON_GSE","FQ2 2020","FQ2 2020","Currency=USD","Period=FQ","BEST_FPERIOD_OVERRIDE=FQ","FILING_STATUS=MR","SCALING_FORMAT=MLN","Sort=A","Dates=H","DateFormat=P","Fill=—","Direction=H","UseDPDF=Y")</f>
        <v>145</v>
      </c>
      <c r="J163" s="13" t="str">
        <f>_xll.BDH("GILD US Equity","ARDR_FV_ASTS_REC_L2_AFS_NON_GSE","FQ3 2020","FQ3 2020","Currency=USD","Period=FQ","BEST_FPERIOD_OVERRIDE=FQ","FILING_STATUS=MR","SCALING_FORMAT=MLN","Sort=A","Dates=H","DateFormat=P","Fill=—","Direction=H","UseDPDF=Y")</f>
        <v>—</v>
      </c>
      <c r="K163" s="13">
        <f>_xll.BDH("GILD US Equity","ARDR_FV_ASTS_REC_L2_AFS_NON_GSE","FQ4 2020","FQ4 2020","Currency=USD","Period=FQ","BEST_FPERIOD_OVERRIDE=FQ","FILING_STATUS=MR","SCALING_FORMAT=MLN","Sort=A","Dates=H","DateFormat=P","Fill=—","Direction=H","UseDPDF=Y")</f>
        <v>43</v>
      </c>
      <c r="L163" s="13" t="str">
        <f>_xll.BDH("GILD US Equity","ARDR_FV_ASTS_REC_L2_AFS_NON_GSE","FQ1 2021","FQ1 2021","Currency=USD","Period=FQ","BEST_FPERIOD_OVERRIDE=FQ","FILING_STATUS=MR","SCALING_FORMAT=MLN","Sort=A","Dates=H","DateFormat=P","Fill=—","Direction=H","UseDPDF=Y")</f>
        <v>—</v>
      </c>
      <c r="M163" s="13">
        <f>_xll.BDH("GILD US Equity","ARDR_FV_ASTS_REC_L2_AFS_NON_GSE","FQ2 2021","FQ2 2021","Currency=USD","Period=FQ","BEST_FPERIOD_OVERRIDE=FQ","FILING_STATUS=MR","SCALING_FORMAT=MLN","Sort=A","Dates=H","DateFormat=P","Fill=—","Direction=H","UseDPDF=Y")</f>
        <v>0</v>
      </c>
      <c r="N163" s="13" t="str">
        <f>_xll.BDH("GILD US Equity","ARDR_FV_ASTS_REC_L2_AFS_NON_GSE","FQ3 2021","FQ3 2021","Currency=USD","Period=FQ","BEST_FPERIOD_OVERRIDE=FQ","FILING_STATUS=MR","SCALING_FORMAT=MLN","Sort=A","Dates=H","DateFormat=P","Fill=—","Direction=H","UseDPDF=Y")</f>
        <v>—</v>
      </c>
      <c r="O163" s="13" t="str">
        <f>_xll.BDH("GILD US Equity","ARDR_FV_ASTS_REC_L2_AFS_NON_GSE","FQ4 2021","FQ4 2021","Currency=USD","Period=FQ","BEST_FPERIOD_OVERRIDE=FQ","FILING_STATUS=MR","SCALING_FORMAT=MLN","Sort=A","Dates=H","DateFormat=P","Fill=—","Direction=H","UseDPDF=Y")</f>
        <v>—</v>
      </c>
      <c r="P163" s="13" t="str">
        <f>_xll.BDH("GILD US Equity","ARDR_FV_ASTS_REC_L2_AFS_NON_GSE","FQ1 2022","FQ1 2022","Currency=USD","Period=FQ","BEST_FPERIOD_OVERRIDE=FQ","FILING_STATUS=MR","SCALING_FORMAT=MLN","Sort=A","Dates=H","DateFormat=P","Fill=—","Direction=H","UseDPDF=Y")</f>
        <v>—</v>
      </c>
      <c r="Q163" s="13" t="str">
        <f>_xll.BDH("GILD US Equity","ARDR_FV_ASTS_REC_L2_AFS_NON_GSE","FQ2 2022","FQ2 2022","Currency=USD","Period=FQ","BEST_FPERIOD_OVERRIDE=FQ","FILING_STATUS=MR","SCALING_FORMAT=MLN","Sort=A","Dates=H","DateFormat=P","Fill=—","Direction=H","UseDPDF=Y")</f>
        <v>—</v>
      </c>
      <c r="R163" s="13" t="str">
        <f>_xll.BDH("GILD US Equity","ARDR_FV_ASTS_REC_L2_AFS_NON_GSE","FQ3 2022","FQ3 2022","Currency=USD","Period=FQ","BEST_FPERIOD_OVERRIDE=FQ","FILING_STATUS=MR","SCALING_FORMAT=MLN","Sort=A","Dates=H","DateFormat=P","Fill=—","Direction=H","UseDPDF=Y")</f>
        <v>—</v>
      </c>
      <c r="S163" s="13" t="str">
        <f>_xll.BDH("GILD US Equity","ARDR_FV_ASTS_REC_L2_AFS_NON_GSE","FQ4 2022","FQ4 2022","Currency=USD","Period=FQ","BEST_FPERIOD_OVERRIDE=FQ","FILING_STATUS=MR","SCALING_FORMAT=MLN","Sort=A","Dates=H","DateFormat=P","Fill=—","Direction=H","UseDPDF=Y")</f>
        <v>—</v>
      </c>
      <c r="T163" s="13" t="str">
        <f>_xll.BDH("GILD US Equity","ARDR_FV_ASTS_REC_L2_AFS_NON_GSE","FQ1 2023","FQ1 2023","Currency=USD","Period=FQ","BEST_FPERIOD_OVERRIDE=FQ","FILING_STATUS=MR","SCALING_FORMAT=MLN","Sort=A","Dates=H","DateFormat=P","Fill=—","Direction=H","UseDPDF=Y")</f>
        <v>—</v>
      </c>
      <c r="U163" s="13" t="str">
        <f>_xll.BDH("GILD US Equity","ARDR_FV_ASTS_REC_L2_AFS_NON_GSE","FQ2 2023","FQ2 2023","Currency=USD","Period=FQ","BEST_FPERIOD_OVERRIDE=FQ","FILING_STATUS=MR","SCALING_FORMAT=MLN","Sort=A","Dates=H","DateFormat=P","Fill=—","Direction=H","UseDPDF=Y")</f>
        <v>—</v>
      </c>
      <c r="V163" s="13" t="str">
        <f>_xll.BDH("GILD US Equity","ARDR_FV_ASTS_REC_L2_AFS_NON_GSE","FQ3 2023","FQ3 2023","Currency=USD","Period=FQ","BEST_FPERIOD_OVERRIDE=FQ","FILING_STATUS=MR","SCALING_FORMAT=MLN","Sort=A","Dates=H","DateFormat=P","Fill=—","Direction=H","UseDPDF=Y")</f>
        <v>—</v>
      </c>
      <c r="W163" s="13" t="str">
        <f>_xll.BDH("GILD US Equity","ARDR_FV_ASTS_REC_L2_AFS_NON_GSE","FQ4 2023","FQ4 2023","Currency=USD","Period=FQ","BEST_FPERIOD_OVERRIDE=FQ","FILING_STATUS=MR","SCALING_FORMAT=MLN","Sort=A","Dates=H","DateFormat=P","Fill=—","Direction=H","UseDPDF=Y")</f>
        <v>—</v>
      </c>
      <c r="X163" s="13" t="str">
        <f>_xll.BDH("GILD US Equity","ARDR_FV_ASTS_REC_L2_AFS_NON_GSE","FQ1 2024","FQ1 2024","Currency=USD","Period=FQ","BEST_FPERIOD_OVERRIDE=FQ","FILING_STATUS=MR","SCALING_FORMAT=MLN","Sort=A","Dates=H","DateFormat=P","Fill=—","Direction=H","UseDPDF=Y")</f>
        <v>—</v>
      </c>
      <c r="Y163" s="13" t="str">
        <f>_xll.BDH("GILD US Equity","ARDR_FV_ASTS_REC_L2_AFS_NON_GSE","FQ2 2024","FQ2 2024","Currency=USD","Period=FQ","BEST_FPERIOD_OVERRIDE=FQ","FILING_STATUS=MR","SCALING_FORMAT=MLN","Sort=A","Dates=H","DateFormat=P","Fill=—","Direction=H","UseDPDF=Y")</f>
        <v>—</v>
      </c>
      <c r="Z163" s="13" t="str">
        <f>_xll.BDH("GILD US Equity","ARDR_FV_ASTS_REC_L2_AFS_NON_GSE","FQ3 2024","FQ3 2024","Currency=USD","Period=FQ","BEST_FPERIOD_OVERRIDE=FQ","FILING_STATUS=MR","SCALING_FORMAT=MLN","Sort=A","Dates=H","DateFormat=P","Fill=—","Direction=H","UseDPDF=Y")</f>
        <v>—</v>
      </c>
      <c r="AA163" s="13" t="str">
        <f>_xll.BDH("GILD US Equity","ARDR_FV_ASTS_REC_L2_AFS_NON_GSE","FQ4 2024","FQ4 2024","Currency=USD","Period=FQ","BEST_FPERIOD_OVERRIDE=FQ","FILING_STATUS=MR","SCALING_FORMAT=MLN","Sort=A","Dates=H","DateFormat=P","Fill=—","Direction=H","UseDPDF=Y")</f>
        <v>—</v>
      </c>
    </row>
    <row r="164" spans="1:27" x14ac:dyDescent="0.25">
      <c r="A164" s="10" t="s">
        <v>1185</v>
      </c>
      <c r="B164" s="10" t="s">
        <v>1186</v>
      </c>
      <c r="C164" s="13" t="str">
        <f>_xll.BDH("GILD US Equity","ARDR_FV_ASSETS_REC_L2_AFS_ABS","FQ4 2018","FQ4 2018","Currency=USD","Period=FQ","BEST_FPERIOD_OVERRIDE=FQ","FILING_STATUS=MR","SCALING_FORMAT=MLN","Sort=A","Dates=H","DateFormat=P","Fill=—","Direction=H","UseDPDF=Y")</f>
        <v>—</v>
      </c>
      <c r="D164" s="13" t="str">
        <f>_xll.BDH("GILD US Equity","ARDR_FV_ASSETS_REC_L2_AFS_ABS","FQ1 2019","FQ1 2019","Currency=USD","Period=FQ","BEST_FPERIOD_OVERRIDE=FQ","FILING_STATUS=MR","SCALING_FORMAT=MLN","Sort=A","Dates=H","DateFormat=P","Fill=—","Direction=H","UseDPDF=Y")</f>
        <v>—</v>
      </c>
      <c r="E164" s="13" t="str">
        <f>_xll.BDH("GILD US Equity","ARDR_FV_ASSETS_REC_L2_AFS_ABS","FQ2 2019","FQ2 2019","Currency=USD","Period=FQ","BEST_FPERIOD_OVERRIDE=FQ","FILING_STATUS=MR","SCALING_FORMAT=MLN","Sort=A","Dates=H","DateFormat=P","Fill=—","Direction=H","UseDPDF=Y")</f>
        <v>—</v>
      </c>
      <c r="F164" s="13" t="str">
        <f>_xll.BDH("GILD US Equity","ARDR_FV_ASSETS_REC_L2_AFS_ABS","FQ3 2019","FQ3 2019","Currency=USD","Period=FQ","BEST_FPERIOD_OVERRIDE=FQ","FILING_STATUS=MR","SCALING_FORMAT=MLN","Sort=A","Dates=H","DateFormat=P","Fill=—","Direction=H","UseDPDF=Y")</f>
        <v>—</v>
      </c>
      <c r="G164" s="13" t="str">
        <f>_xll.BDH("GILD US Equity","ARDR_FV_ASSETS_REC_L2_AFS_ABS","FQ4 2019","FQ4 2019","Currency=USD","Period=FQ","BEST_FPERIOD_OVERRIDE=FQ","FILING_STATUS=MR","SCALING_FORMAT=MLN","Sort=A","Dates=H","DateFormat=P","Fill=—","Direction=H","UseDPDF=Y")</f>
        <v>—</v>
      </c>
      <c r="H164" s="13" t="str">
        <f>_xll.BDH("GILD US Equity","ARDR_FV_ASSETS_REC_L2_AFS_ABS","FQ1 2020","FQ1 2020","Currency=USD","Period=FQ","BEST_FPERIOD_OVERRIDE=FQ","FILING_STATUS=MR","SCALING_FORMAT=MLN","Sort=A","Dates=H","DateFormat=P","Fill=—","Direction=H","UseDPDF=Y")</f>
        <v>—</v>
      </c>
      <c r="I164" s="13" t="str">
        <f>_xll.BDH("GILD US Equity","ARDR_FV_ASSETS_REC_L2_AFS_ABS","FQ2 2020","FQ2 2020","Currency=USD","Period=FQ","BEST_FPERIOD_OVERRIDE=FQ","FILING_STATUS=MR","SCALING_FORMAT=MLN","Sort=A","Dates=H","DateFormat=P","Fill=—","Direction=H","UseDPDF=Y")</f>
        <v>—</v>
      </c>
      <c r="J164" s="13" t="str">
        <f>_xll.BDH("GILD US Equity","ARDR_FV_ASSETS_REC_L2_AFS_ABS","FQ3 2020","FQ3 2020","Currency=USD","Period=FQ","BEST_FPERIOD_OVERRIDE=FQ","FILING_STATUS=MR","SCALING_FORMAT=MLN","Sort=A","Dates=H","DateFormat=P","Fill=—","Direction=H","UseDPDF=Y")</f>
        <v>—</v>
      </c>
      <c r="K164" s="13">
        <f>_xll.BDH("GILD US Equity","ARDR_FV_ASSETS_REC_L2_AFS_ABS","FQ4 2020","FQ4 2020","Currency=USD","Period=FQ","BEST_FPERIOD_OVERRIDE=FQ","FILING_STATUS=MR","SCALING_FORMAT=MLN","Sort=A","Dates=H","DateFormat=P","Fill=—","Direction=H","UseDPDF=Y")</f>
        <v>1142</v>
      </c>
      <c r="L164" s="13" t="str">
        <f>_xll.BDH("GILD US Equity","ARDR_FV_ASSETS_REC_L2_AFS_ABS","FQ1 2021","FQ1 2021","Currency=USD","Period=FQ","BEST_FPERIOD_OVERRIDE=FQ","FILING_STATUS=MR","SCALING_FORMAT=MLN","Sort=A","Dates=H","DateFormat=P","Fill=—","Direction=H","UseDPDF=Y")</f>
        <v>—</v>
      </c>
      <c r="M164" s="13">
        <f>_xll.BDH("GILD US Equity","ARDR_FV_ASSETS_REC_L2_AFS_ABS","FQ2 2021","FQ2 2021","Currency=USD","Period=FQ","BEST_FPERIOD_OVERRIDE=FQ","FILING_STATUS=MR","SCALING_FORMAT=MLN","Sort=A","Dates=H","DateFormat=P","Fill=—","Direction=H","UseDPDF=Y")</f>
        <v>0</v>
      </c>
      <c r="N164" s="13" t="str">
        <f>_xll.BDH("GILD US Equity","ARDR_FV_ASSETS_REC_L2_AFS_ABS","FQ3 2021","FQ3 2021","Currency=USD","Period=FQ","BEST_FPERIOD_OVERRIDE=FQ","FILING_STATUS=MR","SCALING_FORMAT=MLN","Sort=A","Dates=H","DateFormat=P","Fill=—","Direction=H","UseDPDF=Y")</f>
        <v>—</v>
      </c>
      <c r="O164" s="13" t="str">
        <f>_xll.BDH("GILD US Equity","ARDR_FV_ASSETS_REC_L2_AFS_ABS","FQ4 2021","FQ4 2021","Currency=USD","Period=FQ","BEST_FPERIOD_OVERRIDE=FQ","FILING_STATUS=MR","SCALING_FORMAT=MLN","Sort=A","Dates=H","DateFormat=P","Fill=—","Direction=H","UseDPDF=Y")</f>
        <v>—</v>
      </c>
      <c r="P164" s="13" t="str">
        <f>_xll.BDH("GILD US Equity","ARDR_FV_ASSETS_REC_L2_AFS_ABS","FQ1 2022","FQ1 2022","Currency=USD","Period=FQ","BEST_FPERIOD_OVERRIDE=FQ","FILING_STATUS=MR","SCALING_FORMAT=MLN","Sort=A","Dates=H","DateFormat=P","Fill=—","Direction=H","UseDPDF=Y")</f>
        <v>—</v>
      </c>
      <c r="Q164" s="13" t="str">
        <f>_xll.BDH("GILD US Equity","ARDR_FV_ASSETS_REC_L2_AFS_ABS","FQ2 2022","FQ2 2022","Currency=USD","Period=FQ","BEST_FPERIOD_OVERRIDE=FQ","FILING_STATUS=MR","SCALING_FORMAT=MLN","Sort=A","Dates=H","DateFormat=P","Fill=—","Direction=H","UseDPDF=Y")</f>
        <v>—</v>
      </c>
      <c r="R164" s="13" t="str">
        <f>_xll.BDH("GILD US Equity","ARDR_FV_ASSETS_REC_L2_AFS_ABS","FQ3 2022","FQ3 2022","Currency=USD","Period=FQ","BEST_FPERIOD_OVERRIDE=FQ","FILING_STATUS=MR","SCALING_FORMAT=MLN","Sort=A","Dates=H","DateFormat=P","Fill=—","Direction=H","UseDPDF=Y")</f>
        <v>—</v>
      </c>
      <c r="S164" s="13" t="str">
        <f>_xll.BDH("GILD US Equity","ARDR_FV_ASSETS_REC_L2_AFS_ABS","FQ4 2022","FQ4 2022","Currency=USD","Period=FQ","BEST_FPERIOD_OVERRIDE=FQ","FILING_STATUS=MR","SCALING_FORMAT=MLN","Sort=A","Dates=H","DateFormat=P","Fill=—","Direction=H","UseDPDF=Y")</f>
        <v>—</v>
      </c>
      <c r="T164" s="13" t="str">
        <f>_xll.BDH("GILD US Equity","ARDR_FV_ASSETS_REC_L2_AFS_ABS","FQ1 2023","FQ1 2023","Currency=USD","Period=FQ","BEST_FPERIOD_OVERRIDE=FQ","FILING_STATUS=MR","SCALING_FORMAT=MLN","Sort=A","Dates=H","DateFormat=P","Fill=—","Direction=H","UseDPDF=Y")</f>
        <v>—</v>
      </c>
      <c r="U164" s="13" t="str">
        <f>_xll.BDH("GILD US Equity","ARDR_FV_ASSETS_REC_L2_AFS_ABS","FQ2 2023","FQ2 2023","Currency=USD","Period=FQ","BEST_FPERIOD_OVERRIDE=FQ","FILING_STATUS=MR","SCALING_FORMAT=MLN","Sort=A","Dates=H","DateFormat=P","Fill=—","Direction=H","UseDPDF=Y")</f>
        <v>—</v>
      </c>
      <c r="V164" s="13" t="str">
        <f>_xll.BDH("GILD US Equity","ARDR_FV_ASSETS_REC_L2_AFS_ABS","FQ3 2023","FQ3 2023","Currency=USD","Period=FQ","BEST_FPERIOD_OVERRIDE=FQ","FILING_STATUS=MR","SCALING_FORMAT=MLN","Sort=A","Dates=H","DateFormat=P","Fill=—","Direction=H","UseDPDF=Y")</f>
        <v>—</v>
      </c>
      <c r="W164" s="13" t="str">
        <f>_xll.BDH("GILD US Equity","ARDR_FV_ASSETS_REC_L2_AFS_ABS","FQ4 2023","FQ4 2023","Currency=USD","Period=FQ","BEST_FPERIOD_OVERRIDE=FQ","FILING_STATUS=MR","SCALING_FORMAT=MLN","Sort=A","Dates=H","DateFormat=P","Fill=—","Direction=H","UseDPDF=Y")</f>
        <v>—</v>
      </c>
      <c r="X164" s="13" t="str">
        <f>_xll.BDH("GILD US Equity","ARDR_FV_ASSETS_REC_L2_AFS_ABS","FQ1 2024","FQ1 2024","Currency=USD","Period=FQ","BEST_FPERIOD_OVERRIDE=FQ","FILING_STATUS=MR","SCALING_FORMAT=MLN","Sort=A","Dates=H","DateFormat=P","Fill=—","Direction=H","UseDPDF=Y")</f>
        <v>—</v>
      </c>
      <c r="Y164" s="13" t="str">
        <f>_xll.BDH("GILD US Equity","ARDR_FV_ASSETS_REC_L2_AFS_ABS","FQ2 2024","FQ2 2024","Currency=USD","Period=FQ","BEST_FPERIOD_OVERRIDE=FQ","FILING_STATUS=MR","SCALING_FORMAT=MLN","Sort=A","Dates=H","DateFormat=P","Fill=—","Direction=H","UseDPDF=Y")</f>
        <v>—</v>
      </c>
      <c r="Z164" s="13" t="str">
        <f>_xll.BDH("GILD US Equity","ARDR_FV_ASSETS_REC_L2_AFS_ABS","FQ3 2024","FQ3 2024","Currency=USD","Period=FQ","BEST_FPERIOD_OVERRIDE=FQ","FILING_STATUS=MR","SCALING_FORMAT=MLN","Sort=A","Dates=H","DateFormat=P","Fill=—","Direction=H","UseDPDF=Y")</f>
        <v>—</v>
      </c>
      <c r="AA164" s="13" t="str">
        <f>_xll.BDH("GILD US Equity","ARDR_FV_ASSETS_REC_L2_AFS_ABS","FQ4 2024","FQ4 2024","Currency=USD","Period=FQ","BEST_FPERIOD_OVERRIDE=FQ","FILING_STATUS=MR","SCALING_FORMAT=MLN","Sort=A","Dates=H","DateFormat=P","Fill=—","Direction=H","UseDPDF=Y")</f>
        <v>—</v>
      </c>
    </row>
    <row r="165" spans="1:27" x14ac:dyDescent="0.25">
      <c r="A165" s="10" t="s">
        <v>1187</v>
      </c>
      <c r="B165" s="10" t="s">
        <v>1188</v>
      </c>
      <c r="C165" s="13">
        <f>_xll.BDH("GILD US Equity","ARDR_FV_ASSETS_REC_L2_AFS_OTHER","FQ4 2018","FQ4 2018","Currency=USD","Period=FQ","BEST_FPERIOD_OVERRIDE=FQ","FILING_STATUS=MR","SCALING_FORMAT=MLN","Sort=A","Dates=H","DateFormat=P","Fill=—","Direction=H","UseDPDF=Y")</f>
        <v>0</v>
      </c>
      <c r="D165" s="13">
        <f>_xll.BDH("GILD US Equity","ARDR_FV_ASSETS_REC_L2_AFS_OTHER","FQ1 2019","FQ1 2019","Currency=USD","Period=FQ","BEST_FPERIOD_OVERRIDE=FQ","FILING_STATUS=MR","SCALING_FORMAT=MLN","Sort=A","Dates=H","DateFormat=P","Fill=—","Direction=H","UseDPDF=Y")</f>
        <v>95</v>
      </c>
      <c r="E165" s="13">
        <f>_xll.BDH("GILD US Equity","ARDR_FV_ASSETS_REC_L2_AFS_OTHER","FQ2 2019","FQ2 2019","Currency=USD","Period=FQ","BEST_FPERIOD_OVERRIDE=FQ","FILING_STATUS=MR","SCALING_FORMAT=MLN","Sort=A","Dates=H","DateFormat=P","Fill=—","Direction=H","UseDPDF=Y")</f>
        <v>21143</v>
      </c>
      <c r="F165" s="13">
        <f>_xll.BDH("GILD US Equity","ARDR_FV_ASSETS_REC_L2_AFS_OTHER","FQ3 2019","FQ3 2019","Currency=USD","Period=FQ","BEST_FPERIOD_OVERRIDE=FQ","FILING_STATUS=MR","SCALING_FORMAT=MLN","Sort=A","Dates=H","DateFormat=P","Fill=—","Direction=H","UseDPDF=Y")</f>
        <v>89</v>
      </c>
      <c r="G165" s="13">
        <f>_xll.BDH("GILD US Equity","ARDR_FV_ASSETS_REC_L2_AFS_OTHER","FQ4 2019","FQ4 2019","Currency=USD","Period=FQ","BEST_FPERIOD_OVERRIDE=FQ","FILING_STATUS=MR","SCALING_FORMAT=MLN","Sort=A","Dates=H","DateFormat=P","Fill=—","Direction=H","UseDPDF=Y")</f>
        <v>1081</v>
      </c>
      <c r="H165" s="13">
        <f>_xll.BDH("GILD US Equity","ARDR_FV_ASSETS_REC_L2_AFS_OTHER","FQ1 2020","FQ1 2020","Currency=USD","Period=FQ","BEST_FPERIOD_OVERRIDE=FQ","FILING_STATUS=MR","SCALING_FORMAT=MLN","Sort=A","Dates=H","DateFormat=P","Fill=—","Direction=H","UseDPDF=Y")</f>
        <v>9491</v>
      </c>
      <c r="I165" s="13">
        <f>_xll.BDH("GILD US Equity","ARDR_FV_ASSETS_REC_L2_AFS_OTHER","FQ2 2020","FQ2 2020","Currency=USD","Period=FQ","BEST_FPERIOD_OVERRIDE=FQ","FILING_STATUS=MR","SCALING_FORMAT=MLN","Sort=A","Dates=H","DateFormat=P","Fill=—","Direction=H","UseDPDF=Y")</f>
        <v>9408</v>
      </c>
      <c r="J165" s="13">
        <f>_xll.BDH("GILD US Equity","ARDR_FV_ASSETS_REC_L2_AFS_OTHER","FQ3 2020","FQ3 2020","Currency=USD","Period=FQ","BEST_FPERIOD_OVERRIDE=FQ","FILING_STATUS=MR","SCALING_FORMAT=MLN","Sort=A","Dates=H","DateFormat=P","Fill=—","Direction=H","UseDPDF=Y")</f>
        <v>11161</v>
      </c>
      <c r="K165" s="13">
        <f>_xll.BDH("GILD US Equity","ARDR_FV_ASSETS_REC_L2_AFS_OTHER","FQ4 2020","FQ4 2020","Currency=USD","Period=FQ","BEST_FPERIOD_OVERRIDE=FQ","FILING_STATUS=MR","SCALING_FORMAT=MLN","Sort=A","Dates=H","DateFormat=P","Fill=—","Direction=H","UseDPDF=Y")</f>
        <v>316</v>
      </c>
      <c r="L165" s="13" t="str">
        <f>_xll.BDH("GILD US Equity","ARDR_FV_ASSETS_REC_L2_AFS_OTHER","FQ1 2021","FQ1 2021","Currency=USD","Period=FQ","BEST_FPERIOD_OVERRIDE=FQ","FILING_STATUS=MR","SCALING_FORMAT=MLN","Sort=A","Dates=H","DateFormat=P","Fill=—","Direction=H","UseDPDF=Y")</f>
        <v>—</v>
      </c>
      <c r="M165" s="13" t="str">
        <f>_xll.BDH("GILD US Equity","ARDR_FV_ASSETS_REC_L2_AFS_OTHER","FQ2 2021","FQ2 2021","Currency=USD","Period=FQ","BEST_FPERIOD_OVERRIDE=FQ","FILING_STATUS=MR","SCALING_FORMAT=MLN","Sort=A","Dates=H","DateFormat=P","Fill=—","Direction=H","UseDPDF=Y")</f>
        <v>—</v>
      </c>
      <c r="N165" s="13">
        <f>_xll.BDH("GILD US Equity","ARDR_FV_ASSETS_REC_L2_AFS_OTHER","FQ3 2021","FQ3 2021","Currency=USD","Period=FQ","BEST_FPERIOD_OVERRIDE=FQ","FILING_STATUS=MR","SCALING_FORMAT=MLN","Sort=A","Dates=H","DateFormat=P","Fill=—","Direction=H","UseDPDF=Y")</f>
        <v>2129</v>
      </c>
      <c r="O165" s="13">
        <f>_xll.BDH("GILD US Equity","ARDR_FV_ASSETS_REC_L2_AFS_OTHER","FQ4 2021","FQ4 2021","Currency=USD","Period=FQ","BEST_FPERIOD_OVERRIDE=FQ","FILING_STATUS=MR","SCALING_FORMAT=MLN","Sort=A","Dates=H","DateFormat=P","Fill=—","Direction=H","UseDPDF=Y")</f>
        <v>0</v>
      </c>
      <c r="P165" s="13" t="str">
        <f>_xll.BDH("GILD US Equity","ARDR_FV_ASSETS_REC_L2_AFS_OTHER","FQ1 2022","FQ1 2022","Currency=USD","Period=FQ","BEST_FPERIOD_OVERRIDE=FQ","FILING_STATUS=MR","SCALING_FORMAT=MLN","Sort=A","Dates=H","DateFormat=P","Fill=—","Direction=H","UseDPDF=Y")</f>
        <v>—</v>
      </c>
      <c r="Q165" s="13" t="str">
        <f>_xll.BDH("GILD US Equity","ARDR_FV_ASSETS_REC_L2_AFS_OTHER","FQ2 2022","FQ2 2022","Currency=USD","Period=FQ","BEST_FPERIOD_OVERRIDE=FQ","FILING_STATUS=MR","SCALING_FORMAT=MLN","Sort=A","Dates=H","DateFormat=P","Fill=—","Direction=H","UseDPDF=Y")</f>
        <v>—</v>
      </c>
      <c r="R165" s="13">
        <f>_xll.BDH("GILD US Equity","ARDR_FV_ASSETS_REC_L2_AFS_OTHER","FQ3 2022","FQ3 2022","Currency=USD","Period=FQ","BEST_FPERIOD_OVERRIDE=FQ","FILING_STATUS=MR","SCALING_FORMAT=MLN","Sort=A","Dates=H","DateFormat=P","Fill=—","Direction=H","UseDPDF=Y")</f>
        <v>1841</v>
      </c>
      <c r="S165" s="13" t="str">
        <f>_xll.BDH("GILD US Equity","ARDR_FV_ASSETS_REC_L2_AFS_OTHER","FQ4 2022","FQ4 2022","Currency=USD","Period=FQ","BEST_FPERIOD_OVERRIDE=FQ","FILING_STATUS=MR","SCALING_FORMAT=MLN","Sort=A","Dates=H","DateFormat=P","Fill=—","Direction=H","UseDPDF=Y")</f>
        <v>—</v>
      </c>
      <c r="T165" s="13" t="str">
        <f>_xll.BDH("GILD US Equity","ARDR_FV_ASSETS_REC_L2_AFS_OTHER","FQ1 2023","FQ1 2023","Currency=USD","Period=FQ","BEST_FPERIOD_OVERRIDE=FQ","FILING_STATUS=MR","SCALING_FORMAT=MLN","Sort=A","Dates=H","DateFormat=P","Fill=—","Direction=H","UseDPDF=Y")</f>
        <v>—</v>
      </c>
      <c r="U165" s="13">
        <f>_xll.BDH("GILD US Equity","ARDR_FV_ASSETS_REC_L2_AFS_OTHER","FQ2 2023","FQ2 2023","Currency=USD","Period=FQ","BEST_FPERIOD_OVERRIDE=FQ","FILING_STATUS=MR","SCALING_FORMAT=MLN","Sort=A","Dates=H","DateFormat=P","Fill=—","Direction=H","UseDPDF=Y")</f>
        <v>1860</v>
      </c>
      <c r="V165" s="13">
        <f>_xll.BDH("GILD US Equity","ARDR_FV_ASSETS_REC_L2_AFS_OTHER","FQ3 2023","FQ3 2023","Currency=USD","Period=FQ","BEST_FPERIOD_OVERRIDE=FQ","FILING_STATUS=MR","SCALING_FORMAT=MLN","Sort=A","Dates=H","DateFormat=P","Fill=—","Direction=H","UseDPDF=Y")</f>
        <v>1954</v>
      </c>
      <c r="W165" s="13">
        <f>_xll.BDH("GILD US Equity","ARDR_FV_ASSETS_REC_L2_AFS_OTHER","FQ4 2023","FQ4 2023","Currency=USD","Period=FQ","BEST_FPERIOD_OVERRIDE=FQ","FILING_STATUS=MR","SCALING_FORMAT=MLN","Sort=A","Dates=H","DateFormat=P","Fill=—","Direction=H","UseDPDF=Y")</f>
        <v>10</v>
      </c>
      <c r="X165" s="13">
        <f>_xll.BDH("GILD US Equity","ARDR_FV_ASSETS_REC_L2_AFS_OTHER","FQ1 2024","FQ1 2024","Currency=USD","Period=FQ","BEST_FPERIOD_OVERRIDE=FQ","FILING_STATUS=MR","SCALING_FORMAT=MLN","Sort=A","Dates=H","DateFormat=P","Fill=—","Direction=H","UseDPDF=Y")</f>
        <v>0</v>
      </c>
      <c r="Y165" s="13" t="str">
        <f>_xll.BDH("GILD US Equity","ARDR_FV_ASSETS_REC_L2_AFS_OTHER","FQ2 2024","FQ2 2024","Currency=USD","Period=FQ","BEST_FPERIOD_OVERRIDE=FQ","FILING_STATUS=MR","SCALING_FORMAT=MLN","Sort=A","Dates=H","DateFormat=P","Fill=—","Direction=H","UseDPDF=Y")</f>
        <v>—</v>
      </c>
      <c r="Z165" s="13">
        <f>_xll.BDH("GILD US Equity","ARDR_FV_ASSETS_REC_L2_AFS_OTHER","FQ3 2024","FQ3 2024","Currency=USD","Period=FQ","BEST_FPERIOD_OVERRIDE=FQ","FILING_STATUS=MR","SCALING_FORMAT=MLN","Sort=A","Dates=H","DateFormat=P","Fill=—","Direction=H","UseDPDF=Y")</f>
        <v>0</v>
      </c>
      <c r="AA165" s="13">
        <f>_xll.BDH("GILD US Equity","ARDR_FV_ASSETS_REC_L2_AFS_OTHER","FQ4 2024","FQ4 2024","Currency=USD","Period=FQ","BEST_FPERIOD_OVERRIDE=FQ","FILING_STATUS=MR","SCALING_FORMAT=MLN","Sort=A","Dates=H","DateFormat=P","Fill=—","Direction=H","UseDPDF=Y")</f>
        <v>0</v>
      </c>
    </row>
    <row r="166" spans="1:27" x14ac:dyDescent="0.25">
      <c r="A166" s="10" t="s">
        <v>1189</v>
      </c>
      <c r="B166" s="10" t="s">
        <v>1190</v>
      </c>
      <c r="C166" s="13">
        <f>_xll.BDH("GILD US Equity","ARDR_FV_ASTS_REC_L2_DERIVATIVES","FQ4 2018","FQ4 2018","Currency=USD","Period=FQ","BEST_FPERIOD_OVERRIDE=FQ","FILING_STATUS=MR","SCALING_FORMAT=MLN","Sort=A","Dates=H","DateFormat=P","Fill=—","Direction=H","UseDPDF=Y")</f>
        <v>78</v>
      </c>
      <c r="D166" s="13" t="str">
        <f>_xll.BDH("GILD US Equity","ARDR_FV_ASTS_REC_L2_DERIVATIVES","FQ1 2019","FQ1 2019","Currency=USD","Period=FQ","BEST_FPERIOD_OVERRIDE=FQ","FILING_STATUS=MR","SCALING_FORMAT=MLN","Sort=A","Dates=H","DateFormat=P","Fill=—","Direction=H","UseDPDF=Y")</f>
        <v>—</v>
      </c>
      <c r="E166" s="13" t="str">
        <f>_xll.BDH("GILD US Equity","ARDR_FV_ASTS_REC_L2_DERIVATIVES","FQ2 2019","FQ2 2019","Currency=USD","Period=FQ","BEST_FPERIOD_OVERRIDE=FQ","FILING_STATUS=MR","SCALING_FORMAT=MLN","Sort=A","Dates=H","DateFormat=P","Fill=—","Direction=H","UseDPDF=Y")</f>
        <v>—</v>
      </c>
      <c r="F166" s="13" t="str">
        <f>_xll.BDH("GILD US Equity","ARDR_FV_ASTS_REC_L2_DERIVATIVES","FQ3 2019","FQ3 2019","Currency=USD","Period=FQ","BEST_FPERIOD_OVERRIDE=FQ","FILING_STATUS=MR","SCALING_FORMAT=MLN","Sort=A","Dates=H","DateFormat=P","Fill=—","Direction=H","UseDPDF=Y")</f>
        <v>—</v>
      </c>
      <c r="G166" s="13">
        <f>_xll.BDH("GILD US Equity","ARDR_FV_ASTS_REC_L2_DERIVATIVES","FQ4 2019","FQ4 2019","Currency=USD","Period=FQ","BEST_FPERIOD_OVERRIDE=FQ","FILING_STATUS=MR","SCALING_FORMAT=MLN","Sort=A","Dates=H","DateFormat=P","Fill=—","Direction=H","UseDPDF=Y")</f>
        <v>37</v>
      </c>
      <c r="H166" s="13">
        <f>_xll.BDH("GILD US Equity","ARDR_FV_ASTS_REC_L2_DERIVATIVES","FQ1 2020","FQ1 2020","Currency=USD","Period=FQ","BEST_FPERIOD_OVERRIDE=FQ","FILING_STATUS=MR","SCALING_FORMAT=MLN","Sort=A","Dates=H","DateFormat=P","Fill=—","Direction=H","UseDPDF=Y")</f>
        <v>76</v>
      </c>
      <c r="I166" s="13">
        <f>_xll.BDH("GILD US Equity","ARDR_FV_ASTS_REC_L2_DERIVATIVES","FQ2 2020","FQ2 2020","Currency=USD","Period=FQ","BEST_FPERIOD_OVERRIDE=FQ","FILING_STATUS=MR","SCALING_FORMAT=MLN","Sort=A","Dates=H","DateFormat=P","Fill=—","Direction=H","UseDPDF=Y")</f>
        <v>21</v>
      </c>
      <c r="J166" s="13">
        <f>_xll.BDH("GILD US Equity","ARDR_FV_ASTS_REC_L2_DERIVATIVES","FQ3 2020","FQ3 2020","Currency=USD","Period=FQ","BEST_FPERIOD_OVERRIDE=FQ","FILING_STATUS=MR","SCALING_FORMAT=MLN","Sort=A","Dates=H","DateFormat=P","Fill=—","Direction=H","UseDPDF=Y")</f>
        <v>6</v>
      </c>
      <c r="K166" s="13">
        <f>_xll.BDH("GILD US Equity","ARDR_FV_ASTS_REC_L2_DERIVATIVES","FQ4 2020","FQ4 2020","Currency=USD","Period=FQ","BEST_FPERIOD_OVERRIDE=FQ","FILING_STATUS=MR","SCALING_FORMAT=MLN","Sort=A","Dates=H","DateFormat=P","Fill=—","Direction=H","UseDPDF=Y")</f>
        <v>12</v>
      </c>
      <c r="L166" s="13" t="str">
        <f>_xll.BDH("GILD US Equity","ARDR_FV_ASTS_REC_L2_DERIVATIVES","FQ1 2021","FQ1 2021","Currency=USD","Period=FQ","BEST_FPERIOD_OVERRIDE=FQ","FILING_STATUS=MR","SCALING_FORMAT=MLN","Sort=A","Dates=H","DateFormat=P","Fill=—","Direction=H","UseDPDF=Y")</f>
        <v>—</v>
      </c>
      <c r="M166" s="13">
        <f>_xll.BDH("GILD US Equity","ARDR_FV_ASTS_REC_L2_DERIVATIVES","FQ2 2021","FQ2 2021","Currency=USD","Period=FQ","BEST_FPERIOD_OVERRIDE=FQ","FILING_STATUS=MR","SCALING_FORMAT=MLN","Sort=A","Dates=H","DateFormat=P","Fill=—","Direction=H","UseDPDF=Y")</f>
        <v>28</v>
      </c>
      <c r="N166" s="13">
        <f>_xll.BDH("GILD US Equity","ARDR_FV_ASTS_REC_L2_DERIVATIVES","FQ3 2021","FQ3 2021","Currency=USD","Period=FQ","BEST_FPERIOD_OVERRIDE=FQ","FILING_STATUS=MR","SCALING_FORMAT=MLN","Sort=A","Dates=H","DateFormat=P","Fill=—","Direction=H","UseDPDF=Y")</f>
        <v>55</v>
      </c>
      <c r="O166" s="13">
        <f>_xll.BDH("GILD US Equity","ARDR_FV_ASTS_REC_L2_DERIVATIVES","FQ4 2021","FQ4 2021","Currency=USD","Period=FQ","BEST_FPERIOD_OVERRIDE=FQ","FILING_STATUS=MR","SCALING_FORMAT=MLN","Sort=A","Dates=H","DateFormat=P","Fill=—","Direction=H","UseDPDF=Y")</f>
        <v>80</v>
      </c>
      <c r="P166" s="13">
        <f>_xll.BDH("GILD US Equity","ARDR_FV_ASTS_REC_L2_DERIVATIVES","FQ1 2022","FQ1 2022","Currency=USD","Period=FQ","BEST_FPERIOD_OVERRIDE=FQ","FILING_STATUS=MR","SCALING_FORMAT=MLN","Sort=A","Dates=H","DateFormat=P","Fill=—","Direction=H","UseDPDF=Y")</f>
        <v>84</v>
      </c>
      <c r="Q166" s="13">
        <f>_xll.BDH("GILD US Equity","ARDR_FV_ASTS_REC_L2_DERIVATIVES","FQ2 2022","FQ2 2022","Currency=USD","Period=FQ","BEST_FPERIOD_OVERRIDE=FQ","FILING_STATUS=MR","SCALING_FORMAT=MLN","Sort=A","Dates=H","DateFormat=P","Fill=—","Direction=H","UseDPDF=Y")</f>
        <v>136</v>
      </c>
      <c r="R166" s="13">
        <f>_xll.BDH("GILD US Equity","ARDR_FV_ASTS_REC_L2_DERIVATIVES","FQ3 2022","FQ3 2022","Currency=USD","Period=FQ","BEST_FPERIOD_OVERRIDE=FQ","FILING_STATUS=MR","SCALING_FORMAT=MLN","Sort=A","Dates=H","DateFormat=P","Fill=—","Direction=H","UseDPDF=Y")</f>
        <v>242</v>
      </c>
      <c r="S166" s="13">
        <f>_xll.BDH("GILD US Equity","ARDR_FV_ASTS_REC_L2_DERIVATIVES","FQ4 2022","FQ4 2022","Currency=USD","Period=FQ","BEST_FPERIOD_OVERRIDE=FQ","FILING_STATUS=MR","SCALING_FORMAT=MLN","Sort=A","Dates=H","DateFormat=P","Fill=—","Direction=H","UseDPDF=Y")</f>
        <v>60</v>
      </c>
      <c r="T166" s="13">
        <f>_xll.BDH("GILD US Equity","ARDR_FV_ASTS_REC_L2_DERIVATIVES","FQ1 2023","FQ1 2023","Currency=USD","Period=FQ","BEST_FPERIOD_OVERRIDE=FQ","FILING_STATUS=MR","SCALING_FORMAT=MLN","Sort=A","Dates=H","DateFormat=P","Fill=—","Direction=H","UseDPDF=Y")</f>
        <v>32</v>
      </c>
      <c r="U166" s="13">
        <f>_xll.BDH("GILD US Equity","ARDR_FV_ASTS_REC_L2_DERIVATIVES","FQ2 2023","FQ2 2023","Currency=USD","Period=FQ","BEST_FPERIOD_OVERRIDE=FQ","FILING_STATUS=MR","SCALING_FORMAT=MLN","Sort=A","Dates=H","DateFormat=P","Fill=—","Direction=H","UseDPDF=Y")</f>
        <v>25</v>
      </c>
      <c r="V166" s="13">
        <f>_xll.BDH("GILD US Equity","ARDR_FV_ASTS_REC_L2_DERIVATIVES","FQ3 2023","FQ3 2023","Currency=USD","Period=FQ","BEST_FPERIOD_OVERRIDE=FQ","FILING_STATUS=MR","SCALING_FORMAT=MLN","Sort=A","Dates=H","DateFormat=P","Fill=—","Direction=H","UseDPDF=Y")</f>
        <v>67</v>
      </c>
      <c r="W166" s="13">
        <f>_xll.BDH("GILD US Equity","ARDR_FV_ASTS_REC_L2_DERIVATIVES","FQ4 2023","FQ4 2023","Currency=USD","Period=FQ","BEST_FPERIOD_OVERRIDE=FQ","FILING_STATUS=MR","SCALING_FORMAT=MLN","Sort=A","Dates=H","DateFormat=P","Fill=—","Direction=H","UseDPDF=Y")</f>
        <v>7</v>
      </c>
      <c r="X166" s="13">
        <f>_xll.BDH("GILD US Equity","ARDR_FV_ASTS_REC_L2_DERIVATIVES","FQ1 2024","FQ1 2024","Currency=USD","Period=FQ","BEST_FPERIOD_OVERRIDE=FQ","FILING_STATUS=MR","SCALING_FORMAT=MLN","Sort=A","Dates=H","DateFormat=P","Fill=—","Direction=H","UseDPDF=Y")</f>
        <v>39</v>
      </c>
      <c r="Y166" s="13">
        <f>_xll.BDH("GILD US Equity","ARDR_FV_ASTS_REC_L2_DERIVATIVES","FQ2 2024","FQ2 2024","Currency=USD","Period=FQ","BEST_FPERIOD_OVERRIDE=FQ","FILING_STATUS=MR","SCALING_FORMAT=MLN","Sort=A","Dates=H","DateFormat=P","Fill=—","Direction=H","UseDPDF=Y")</f>
        <v>60</v>
      </c>
      <c r="Z166" s="13">
        <f>_xll.BDH("GILD US Equity","ARDR_FV_ASTS_REC_L2_DERIVATIVES","FQ3 2024","FQ3 2024","Currency=USD","Period=FQ","BEST_FPERIOD_OVERRIDE=FQ","FILING_STATUS=MR","SCALING_FORMAT=MLN","Sort=A","Dates=H","DateFormat=P","Fill=—","Direction=H","UseDPDF=Y")</f>
        <v>7</v>
      </c>
      <c r="AA166" s="13">
        <f>_xll.BDH("GILD US Equity","ARDR_FV_ASTS_REC_L2_DERIVATIVES","FQ4 2024","FQ4 2024","Currency=USD","Period=FQ","BEST_FPERIOD_OVERRIDE=FQ","FILING_STATUS=MR","SCALING_FORMAT=MLN","Sort=A","Dates=H","DateFormat=P","Fill=—","Direction=H","UseDPDF=Y")</f>
        <v>128</v>
      </c>
    </row>
    <row r="167" spans="1:27" x14ac:dyDescent="0.25">
      <c r="A167" s="10" t="s">
        <v>1191</v>
      </c>
      <c r="B167" s="10" t="s">
        <v>1192</v>
      </c>
      <c r="C167" s="13">
        <f>_xll.BDH("GILD US Equity","ARDR_FV_ASSETS_REC_L2_OTH","FQ4 2018","FQ4 2018","Currency=USD","Period=FQ","BEST_FPERIOD_OVERRIDE=FQ","FILING_STATUS=MR","SCALING_FORMAT=MLN","Sort=A","Dates=H","DateFormat=P","Fill=—","Direction=H","UseDPDF=Y")</f>
        <v>0</v>
      </c>
      <c r="D167" s="13" t="str">
        <f>_xll.BDH("GILD US Equity","ARDR_FV_ASSETS_REC_L2_OTH","FQ1 2019","FQ1 2019","Currency=USD","Period=FQ","BEST_FPERIOD_OVERRIDE=FQ","FILING_STATUS=MR","SCALING_FORMAT=MLN","Sort=A","Dates=H","DateFormat=P","Fill=—","Direction=H","UseDPDF=Y")</f>
        <v>—</v>
      </c>
      <c r="E167" s="13">
        <f>_xll.BDH("GILD US Equity","ARDR_FV_ASSETS_REC_L2_OTH","FQ2 2019","FQ2 2019","Currency=USD","Period=FQ","BEST_FPERIOD_OVERRIDE=FQ","FILING_STATUS=MR","SCALING_FORMAT=MLN","Sort=A","Dates=H","DateFormat=P","Fill=—","Direction=H","UseDPDF=Y")</f>
        <v>64</v>
      </c>
      <c r="F167" s="13" t="str">
        <f>_xll.BDH("GILD US Equity","ARDR_FV_ASSETS_REC_L2_OTH","FQ3 2019","FQ3 2019","Currency=USD","Period=FQ","BEST_FPERIOD_OVERRIDE=FQ","FILING_STATUS=MR","SCALING_FORMAT=MLN","Sort=A","Dates=H","DateFormat=P","Fill=—","Direction=H","UseDPDF=Y")</f>
        <v>—</v>
      </c>
      <c r="G167" s="13">
        <f>_xll.BDH("GILD US Equity","ARDR_FV_ASSETS_REC_L2_OTH","FQ4 2019","FQ4 2019","Currency=USD","Period=FQ","BEST_FPERIOD_OVERRIDE=FQ","FILING_STATUS=MR","SCALING_FORMAT=MLN","Sort=A","Dates=H","DateFormat=P","Fill=—","Direction=H","UseDPDF=Y")</f>
        <v>0</v>
      </c>
      <c r="H167" s="13">
        <f>_xll.BDH("GILD US Equity","ARDR_FV_ASSETS_REC_L2_OTH","FQ1 2020","FQ1 2020","Currency=USD","Period=FQ","BEST_FPERIOD_OVERRIDE=FQ","FILING_STATUS=MR","SCALING_FORMAT=MLN","Sort=A","Dates=H","DateFormat=P","Fill=—","Direction=H","UseDPDF=Y")</f>
        <v>0</v>
      </c>
      <c r="I167" s="13">
        <f>_xll.BDH("GILD US Equity","ARDR_FV_ASSETS_REC_L2_OTH","FQ2 2020","FQ2 2020","Currency=USD","Period=FQ","BEST_FPERIOD_OVERRIDE=FQ","FILING_STATUS=MR","SCALING_FORMAT=MLN","Sort=A","Dates=H","DateFormat=P","Fill=—","Direction=H","UseDPDF=Y")</f>
        <v>0</v>
      </c>
      <c r="J167" s="13">
        <f>_xll.BDH("GILD US Equity","ARDR_FV_ASSETS_REC_L2_OTH","FQ3 2020","FQ3 2020","Currency=USD","Period=FQ","BEST_FPERIOD_OVERRIDE=FQ","FILING_STATUS=MR","SCALING_FORMAT=MLN","Sort=A","Dates=H","DateFormat=P","Fill=—","Direction=H","UseDPDF=Y")</f>
        <v>0</v>
      </c>
      <c r="K167" s="13">
        <f>_xll.BDH("GILD US Equity","ARDR_FV_ASSETS_REC_L2_OTH","FQ4 2020","FQ4 2020","Currency=USD","Period=FQ","BEST_FPERIOD_OVERRIDE=FQ","FILING_STATUS=MR","SCALING_FORMAT=MLN","Sort=A","Dates=H","DateFormat=P","Fill=—","Direction=H","UseDPDF=Y")</f>
        <v>0</v>
      </c>
      <c r="L167" s="13">
        <f>_xll.BDH("GILD US Equity","ARDR_FV_ASSETS_REC_L2_OTH","FQ1 2021","FQ1 2021","Currency=USD","Period=FQ","BEST_FPERIOD_OVERRIDE=FQ","FILING_STATUS=MR","SCALING_FORMAT=MLN","Sort=A","Dates=H","DateFormat=P","Fill=—","Direction=H","UseDPDF=Y")</f>
        <v>32</v>
      </c>
      <c r="M167" s="13" t="str">
        <f>_xll.BDH("GILD US Equity","ARDR_FV_ASSETS_REC_L2_OTH","FQ2 2021","FQ2 2021","Currency=USD","Period=FQ","BEST_FPERIOD_OVERRIDE=FQ","FILING_STATUS=MR","SCALING_FORMAT=MLN","Sort=A","Dates=H","DateFormat=P","Fill=—","Direction=H","UseDPDF=Y")</f>
        <v>—</v>
      </c>
      <c r="N167" s="13">
        <f>_xll.BDH("GILD US Equity","ARDR_FV_ASSETS_REC_L2_OTH","FQ3 2021","FQ3 2021","Currency=USD","Period=FQ","BEST_FPERIOD_OVERRIDE=FQ","FILING_STATUS=MR","SCALING_FORMAT=MLN","Sort=A","Dates=H","DateFormat=P","Fill=—","Direction=H","UseDPDF=Y")</f>
        <v>0</v>
      </c>
      <c r="O167" s="13" t="str">
        <f>_xll.BDH("GILD US Equity","ARDR_FV_ASSETS_REC_L2_OTH","FQ4 2021","FQ4 2021","Currency=USD","Period=FQ","BEST_FPERIOD_OVERRIDE=FQ","FILING_STATUS=MR","SCALING_FORMAT=MLN","Sort=A","Dates=H","DateFormat=P","Fill=—","Direction=H","UseDPDF=Y")</f>
        <v>—</v>
      </c>
      <c r="P167" s="13" t="str">
        <f>_xll.BDH("GILD US Equity","ARDR_FV_ASSETS_REC_L2_OTH","FQ1 2022","FQ1 2022","Currency=USD","Period=FQ","BEST_FPERIOD_OVERRIDE=FQ","FILING_STATUS=MR","SCALING_FORMAT=MLN","Sort=A","Dates=H","DateFormat=P","Fill=—","Direction=H","UseDPDF=Y")</f>
        <v>—</v>
      </c>
      <c r="Q167" s="13">
        <f>_xll.BDH("GILD US Equity","ARDR_FV_ASSETS_REC_L2_OTH","FQ2 2022","FQ2 2022","Currency=USD","Period=FQ","BEST_FPERIOD_OVERRIDE=FQ","FILING_STATUS=MR","SCALING_FORMAT=MLN","Sort=A","Dates=H","DateFormat=P","Fill=—","Direction=H","UseDPDF=Y")</f>
        <v>0</v>
      </c>
      <c r="R167" s="13">
        <f>_xll.BDH("GILD US Equity","ARDR_FV_ASSETS_REC_L2_OTH","FQ3 2022","FQ3 2022","Currency=USD","Period=FQ","BEST_FPERIOD_OVERRIDE=FQ","FILING_STATUS=MR","SCALING_FORMAT=MLN","Sort=A","Dates=H","DateFormat=P","Fill=—","Direction=H","UseDPDF=Y")</f>
        <v>0</v>
      </c>
      <c r="S167" s="13" t="str">
        <f>_xll.BDH("GILD US Equity","ARDR_FV_ASSETS_REC_L2_OTH","FQ4 2022","FQ4 2022","Currency=USD","Period=FQ","BEST_FPERIOD_OVERRIDE=FQ","FILING_STATUS=MR","SCALING_FORMAT=MLN","Sort=A","Dates=H","DateFormat=P","Fill=—","Direction=H","UseDPDF=Y")</f>
        <v>—</v>
      </c>
      <c r="T167" s="13" t="str">
        <f>_xll.BDH("GILD US Equity","ARDR_FV_ASSETS_REC_L2_OTH","FQ1 2023","FQ1 2023","Currency=USD","Period=FQ","BEST_FPERIOD_OVERRIDE=FQ","FILING_STATUS=MR","SCALING_FORMAT=MLN","Sort=A","Dates=H","DateFormat=P","Fill=—","Direction=H","UseDPDF=Y")</f>
        <v>—</v>
      </c>
      <c r="U167" s="13">
        <f>_xll.BDH("GILD US Equity","ARDR_FV_ASSETS_REC_L2_OTH","FQ2 2023","FQ2 2023","Currency=USD","Period=FQ","BEST_FPERIOD_OVERRIDE=FQ","FILING_STATUS=MR","SCALING_FORMAT=MLN","Sort=A","Dates=H","DateFormat=P","Fill=—","Direction=H","UseDPDF=Y")</f>
        <v>0</v>
      </c>
      <c r="V167" s="13">
        <f>_xll.BDH("GILD US Equity","ARDR_FV_ASSETS_REC_L2_OTH","FQ3 2023","FQ3 2023","Currency=USD","Period=FQ","BEST_FPERIOD_OVERRIDE=FQ","FILING_STATUS=MR","SCALING_FORMAT=MLN","Sort=A","Dates=H","DateFormat=P","Fill=—","Direction=H","UseDPDF=Y")</f>
        <v>0</v>
      </c>
      <c r="W167" s="13">
        <f>_xll.BDH("GILD US Equity","ARDR_FV_ASSETS_REC_L2_OTH","FQ4 2023","FQ4 2023","Currency=USD","Period=FQ","BEST_FPERIOD_OVERRIDE=FQ","FILING_STATUS=MR","SCALING_FORMAT=MLN","Sort=A","Dates=H","DateFormat=P","Fill=—","Direction=H","UseDPDF=Y")</f>
        <v>0</v>
      </c>
      <c r="X167" s="13">
        <f>_xll.BDH("GILD US Equity","ARDR_FV_ASSETS_REC_L2_OTH","FQ1 2024","FQ1 2024","Currency=USD","Period=FQ","BEST_FPERIOD_OVERRIDE=FQ","FILING_STATUS=MR","SCALING_FORMAT=MLN","Sort=A","Dates=H","DateFormat=P","Fill=—","Direction=H","UseDPDF=Y")</f>
        <v>0</v>
      </c>
      <c r="Y167" s="13" t="str">
        <f>_xll.BDH("GILD US Equity","ARDR_FV_ASSETS_REC_L2_OTH","FQ2 2024","FQ2 2024","Currency=USD","Period=FQ","BEST_FPERIOD_OVERRIDE=FQ","FILING_STATUS=MR","SCALING_FORMAT=MLN","Sort=A","Dates=H","DateFormat=P","Fill=—","Direction=H","UseDPDF=Y")</f>
        <v>—</v>
      </c>
      <c r="Z167" s="13" t="str">
        <f>_xll.BDH("GILD US Equity","ARDR_FV_ASSETS_REC_L2_OTH","FQ3 2024","FQ3 2024","Currency=USD","Period=FQ","BEST_FPERIOD_OVERRIDE=FQ","FILING_STATUS=MR","SCALING_FORMAT=MLN","Sort=A","Dates=H","DateFormat=P","Fill=—","Direction=H","UseDPDF=Y")</f>
        <v>—</v>
      </c>
      <c r="AA167" s="13" t="str">
        <f>_xll.BDH("GILD US Equity","ARDR_FV_ASSETS_REC_L2_OTH","FQ4 2024","FQ4 2024","Currency=USD","Period=FQ","BEST_FPERIOD_OVERRIDE=FQ","FILING_STATUS=MR","SCALING_FORMAT=MLN","Sort=A","Dates=H","DateFormat=P","Fill=—","Direction=H","UseDPDF=Y")</f>
        <v>—</v>
      </c>
    </row>
    <row r="168" spans="1:27" x14ac:dyDescent="0.25">
      <c r="A168" s="10" t="s">
        <v>1193</v>
      </c>
      <c r="B168" s="10" t="s">
        <v>1194</v>
      </c>
      <c r="C168" s="13" t="str">
        <f>_xll.BDH("GILD US Equity","ARDR_FV_ASTS_REC_L3_TRAD_TREAS","FQ4 2018","FQ4 2018","Currency=USD","Period=FQ","BEST_FPERIOD_OVERRIDE=FQ","FILING_STATUS=MR","SCALING_FORMAT=MLN","Sort=A","Dates=H","DateFormat=P","Fill=—","Direction=H","UseDPDF=Y")</f>
        <v>—</v>
      </c>
      <c r="D168" s="13" t="str">
        <f>_xll.BDH("GILD US Equity","ARDR_FV_ASTS_REC_L3_TRAD_TREAS","FQ1 2019","FQ1 2019","Currency=USD","Period=FQ","BEST_FPERIOD_OVERRIDE=FQ","FILING_STATUS=MR","SCALING_FORMAT=MLN","Sort=A","Dates=H","DateFormat=P","Fill=—","Direction=H","UseDPDF=Y")</f>
        <v>—</v>
      </c>
      <c r="E168" s="13" t="str">
        <f>_xll.BDH("GILD US Equity","ARDR_FV_ASTS_REC_L3_TRAD_TREAS","FQ2 2019","FQ2 2019","Currency=USD","Period=FQ","BEST_FPERIOD_OVERRIDE=FQ","FILING_STATUS=MR","SCALING_FORMAT=MLN","Sort=A","Dates=H","DateFormat=P","Fill=—","Direction=H","UseDPDF=Y")</f>
        <v>—</v>
      </c>
      <c r="F168" s="13" t="str">
        <f>_xll.BDH("GILD US Equity","ARDR_FV_ASTS_REC_L3_TRAD_TREAS","FQ3 2019","FQ3 2019","Currency=USD","Period=FQ","BEST_FPERIOD_OVERRIDE=FQ","FILING_STATUS=MR","SCALING_FORMAT=MLN","Sort=A","Dates=H","DateFormat=P","Fill=—","Direction=H","UseDPDF=Y")</f>
        <v>—</v>
      </c>
      <c r="G168" s="13" t="str">
        <f>_xll.BDH("GILD US Equity","ARDR_FV_ASTS_REC_L3_TRAD_TREAS","FQ4 2019","FQ4 2019","Currency=USD","Period=FQ","BEST_FPERIOD_OVERRIDE=FQ","FILING_STATUS=MR","SCALING_FORMAT=MLN","Sort=A","Dates=H","DateFormat=P","Fill=—","Direction=H","UseDPDF=Y")</f>
        <v>—</v>
      </c>
      <c r="H168" s="13" t="str">
        <f>_xll.BDH("GILD US Equity","ARDR_FV_ASTS_REC_L3_TRAD_TREAS","FQ1 2020","FQ1 2020","Currency=USD","Period=FQ","BEST_FPERIOD_OVERRIDE=FQ","FILING_STATUS=MR","SCALING_FORMAT=MLN","Sort=A","Dates=H","DateFormat=P","Fill=—","Direction=H","UseDPDF=Y")</f>
        <v>—</v>
      </c>
      <c r="I168" s="13" t="str">
        <f>_xll.BDH("GILD US Equity","ARDR_FV_ASTS_REC_L3_TRAD_TREAS","FQ2 2020","FQ2 2020","Currency=USD","Period=FQ","BEST_FPERIOD_OVERRIDE=FQ","FILING_STATUS=MR","SCALING_FORMAT=MLN","Sort=A","Dates=H","DateFormat=P","Fill=—","Direction=H","UseDPDF=Y")</f>
        <v>—</v>
      </c>
      <c r="J168" s="13" t="str">
        <f>_xll.BDH("GILD US Equity","ARDR_FV_ASTS_REC_L3_TRAD_TREAS","FQ3 2020","FQ3 2020","Currency=USD","Period=FQ","BEST_FPERIOD_OVERRIDE=FQ","FILING_STATUS=MR","SCALING_FORMAT=MLN","Sort=A","Dates=H","DateFormat=P","Fill=—","Direction=H","UseDPDF=Y")</f>
        <v>—</v>
      </c>
      <c r="K168" s="13" t="str">
        <f>_xll.BDH("GILD US Equity","ARDR_FV_ASTS_REC_L3_TRAD_TREAS","FQ4 2020","FQ4 2020","Currency=USD","Period=FQ","BEST_FPERIOD_OVERRIDE=FQ","FILING_STATUS=MR","SCALING_FORMAT=MLN","Sort=A","Dates=H","DateFormat=P","Fill=—","Direction=H","UseDPDF=Y")</f>
        <v>—</v>
      </c>
      <c r="L168" s="13" t="str">
        <f>_xll.BDH("GILD US Equity","ARDR_FV_ASTS_REC_L3_TRAD_TREAS","FQ1 2021","FQ1 2021","Currency=USD","Period=FQ","BEST_FPERIOD_OVERRIDE=FQ","FILING_STATUS=MR","SCALING_FORMAT=MLN","Sort=A","Dates=H","DateFormat=P","Fill=—","Direction=H","UseDPDF=Y")</f>
        <v>—</v>
      </c>
      <c r="M168" s="13" t="str">
        <f>_xll.BDH("GILD US Equity","ARDR_FV_ASTS_REC_L3_TRAD_TREAS","FQ2 2021","FQ2 2021","Currency=USD","Period=FQ","BEST_FPERIOD_OVERRIDE=FQ","FILING_STATUS=MR","SCALING_FORMAT=MLN","Sort=A","Dates=H","DateFormat=P","Fill=—","Direction=H","UseDPDF=Y")</f>
        <v>—</v>
      </c>
      <c r="N168" s="13" t="str">
        <f>_xll.BDH("GILD US Equity","ARDR_FV_ASTS_REC_L3_TRAD_TREAS","FQ3 2021","FQ3 2021","Currency=USD","Period=FQ","BEST_FPERIOD_OVERRIDE=FQ","FILING_STATUS=MR","SCALING_FORMAT=MLN","Sort=A","Dates=H","DateFormat=P","Fill=—","Direction=H","UseDPDF=Y")</f>
        <v>—</v>
      </c>
      <c r="O168" s="13" t="str">
        <f>_xll.BDH("GILD US Equity","ARDR_FV_ASTS_REC_L3_TRAD_TREAS","FQ4 2021","FQ4 2021","Currency=USD","Period=FQ","BEST_FPERIOD_OVERRIDE=FQ","FILING_STATUS=MR","SCALING_FORMAT=MLN","Sort=A","Dates=H","DateFormat=P","Fill=—","Direction=H","UseDPDF=Y")</f>
        <v>—</v>
      </c>
      <c r="P168" s="13" t="str">
        <f>_xll.BDH("GILD US Equity","ARDR_FV_ASTS_REC_L3_TRAD_TREAS","FQ1 2022","FQ1 2022","Currency=USD","Period=FQ","BEST_FPERIOD_OVERRIDE=FQ","FILING_STATUS=MR","SCALING_FORMAT=MLN","Sort=A","Dates=H","DateFormat=P","Fill=—","Direction=H","UseDPDF=Y")</f>
        <v>—</v>
      </c>
      <c r="Q168" s="13" t="str">
        <f>_xll.BDH("GILD US Equity","ARDR_FV_ASTS_REC_L3_TRAD_TREAS","FQ2 2022","FQ2 2022","Currency=USD","Period=FQ","BEST_FPERIOD_OVERRIDE=FQ","FILING_STATUS=MR","SCALING_FORMAT=MLN","Sort=A","Dates=H","DateFormat=P","Fill=—","Direction=H","UseDPDF=Y")</f>
        <v>—</v>
      </c>
      <c r="R168" s="13" t="str">
        <f>_xll.BDH("GILD US Equity","ARDR_FV_ASTS_REC_L3_TRAD_TREAS","FQ3 2022","FQ3 2022","Currency=USD","Period=FQ","BEST_FPERIOD_OVERRIDE=FQ","FILING_STATUS=MR","SCALING_FORMAT=MLN","Sort=A","Dates=H","DateFormat=P","Fill=—","Direction=H","UseDPDF=Y")</f>
        <v>—</v>
      </c>
      <c r="S168" s="13" t="str">
        <f>_xll.BDH("GILD US Equity","ARDR_FV_ASTS_REC_L3_TRAD_TREAS","FQ4 2022","FQ4 2022","Currency=USD","Period=FQ","BEST_FPERIOD_OVERRIDE=FQ","FILING_STATUS=MR","SCALING_FORMAT=MLN","Sort=A","Dates=H","DateFormat=P","Fill=—","Direction=H","UseDPDF=Y")</f>
        <v>—</v>
      </c>
      <c r="T168" s="13" t="str">
        <f>_xll.BDH("GILD US Equity","ARDR_FV_ASTS_REC_L3_TRAD_TREAS","FQ1 2023","FQ1 2023","Currency=USD","Period=FQ","BEST_FPERIOD_OVERRIDE=FQ","FILING_STATUS=MR","SCALING_FORMAT=MLN","Sort=A","Dates=H","DateFormat=P","Fill=—","Direction=H","UseDPDF=Y")</f>
        <v>—</v>
      </c>
      <c r="U168" s="13">
        <f>_xll.BDH("GILD US Equity","ARDR_FV_ASTS_REC_L3_TRAD_TREAS","FQ2 2023","FQ2 2023","Currency=USD","Period=FQ","BEST_FPERIOD_OVERRIDE=FQ","FILING_STATUS=MR","SCALING_FORMAT=MLN","Sort=A","Dates=H","DateFormat=P","Fill=—","Direction=H","UseDPDF=Y")</f>
        <v>0</v>
      </c>
      <c r="V168" s="13">
        <f>_xll.BDH("GILD US Equity","ARDR_FV_ASTS_REC_L3_TRAD_TREAS","FQ3 2023","FQ3 2023","Currency=USD","Period=FQ","BEST_FPERIOD_OVERRIDE=FQ","FILING_STATUS=MR","SCALING_FORMAT=MLN","Sort=A","Dates=H","DateFormat=P","Fill=—","Direction=H","UseDPDF=Y")</f>
        <v>0</v>
      </c>
      <c r="W168" s="13" t="str">
        <f>_xll.BDH("GILD US Equity","ARDR_FV_ASTS_REC_L3_TRAD_TREAS","FQ4 2023","FQ4 2023","Currency=USD","Period=FQ","BEST_FPERIOD_OVERRIDE=FQ","FILING_STATUS=MR","SCALING_FORMAT=MLN","Sort=A","Dates=H","DateFormat=P","Fill=—","Direction=H","UseDPDF=Y")</f>
        <v>—</v>
      </c>
      <c r="X168" s="13">
        <f>_xll.BDH("GILD US Equity","ARDR_FV_ASTS_REC_L3_TRAD_TREAS","FQ1 2024","FQ1 2024","Currency=USD","Period=FQ","BEST_FPERIOD_OVERRIDE=FQ","FILING_STATUS=MR","SCALING_FORMAT=MLN","Sort=A","Dates=H","DateFormat=P","Fill=—","Direction=H","UseDPDF=Y")</f>
        <v>0</v>
      </c>
      <c r="Y168" s="13" t="str">
        <f>_xll.BDH("GILD US Equity","ARDR_FV_ASTS_REC_L3_TRAD_TREAS","FQ2 2024","FQ2 2024","Currency=USD","Period=FQ","BEST_FPERIOD_OVERRIDE=FQ","FILING_STATUS=MR","SCALING_FORMAT=MLN","Sort=A","Dates=H","DateFormat=P","Fill=—","Direction=H","UseDPDF=Y")</f>
        <v>—</v>
      </c>
      <c r="Z168" s="13" t="str">
        <f>_xll.BDH("GILD US Equity","ARDR_FV_ASTS_REC_L3_TRAD_TREAS","FQ3 2024","FQ3 2024","Currency=USD","Period=FQ","BEST_FPERIOD_OVERRIDE=FQ","FILING_STATUS=MR","SCALING_FORMAT=MLN","Sort=A","Dates=H","DateFormat=P","Fill=—","Direction=H","UseDPDF=Y")</f>
        <v>—</v>
      </c>
      <c r="AA168" s="13">
        <f>_xll.BDH("GILD US Equity","ARDR_FV_ASTS_REC_L3_TRAD_TREAS","FQ4 2024","FQ4 2024","Currency=USD","Period=FQ","BEST_FPERIOD_OVERRIDE=FQ","FILING_STATUS=MR","SCALING_FORMAT=MLN","Sort=A","Dates=H","DateFormat=P","Fill=—","Direction=H","UseDPDF=Y")</f>
        <v>0</v>
      </c>
    </row>
    <row r="169" spans="1:27" x14ac:dyDescent="0.25">
      <c r="A169" s="10" t="s">
        <v>1195</v>
      </c>
      <c r="B169" s="10" t="s">
        <v>1196</v>
      </c>
      <c r="C169" s="13">
        <f>_xll.BDH("GILD US Equity","ARDR_FV_ASSETS_REC_L3_AFS_TREAS","FQ4 2018","FQ4 2018","Currency=USD","Period=FQ","BEST_FPERIOD_OVERRIDE=FQ","FILING_STATUS=MR","SCALING_FORMAT=MLN","Sort=A","Dates=H","DateFormat=P","Fill=—","Direction=H","UseDPDF=Y")</f>
        <v>0</v>
      </c>
      <c r="D169" s="13">
        <f>_xll.BDH("GILD US Equity","ARDR_FV_ASSETS_REC_L3_AFS_TREAS","FQ1 2019","FQ1 2019","Currency=USD","Period=FQ","BEST_FPERIOD_OVERRIDE=FQ","FILING_STATUS=MR","SCALING_FORMAT=MLN","Sort=A","Dates=H","DateFormat=P","Fill=—","Direction=H","UseDPDF=Y")</f>
        <v>0</v>
      </c>
      <c r="E169" s="13">
        <f>_xll.BDH("GILD US Equity","ARDR_FV_ASSETS_REC_L3_AFS_TREAS","FQ2 2019","FQ2 2019","Currency=USD","Period=FQ","BEST_FPERIOD_OVERRIDE=FQ","FILING_STATUS=MR","SCALING_FORMAT=MLN","Sort=A","Dates=H","DateFormat=P","Fill=—","Direction=H","UseDPDF=Y")</f>
        <v>0</v>
      </c>
      <c r="F169" s="13">
        <f>_xll.BDH("GILD US Equity","ARDR_FV_ASSETS_REC_L3_AFS_TREAS","FQ3 2019","FQ3 2019","Currency=USD","Period=FQ","BEST_FPERIOD_OVERRIDE=FQ","FILING_STATUS=MR","SCALING_FORMAT=MLN","Sort=A","Dates=H","DateFormat=P","Fill=—","Direction=H","UseDPDF=Y")</f>
        <v>0</v>
      </c>
      <c r="G169" s="13">
        <f>_xll.BDH("GILD US Equity","ARDR_FV_ASSETS_REC_L3_AFS_TREAS","FQ4 2019","FQ4 2019","Currency=USD","Period=FQ","BEST_FPERIOD_OVERRIDE=FQ","FILING_STATUS=MR","SCALING_FORMAT=MLN","Sort=A","Dates=H","DateFormat=P","Fill=—","Direction=H","UseDPDF=Y")</f>
        <v>0</v>
      </c>
      <c r="H169" s="13" t="str">
        <f>_xll.BDH("GILD US Equity","ARDR_FV_ASSETS_REC_L3_AFS_TREAS","FQ1 2020","FQ1 2020","Currency=USD","Period=FQ","BEST_FPERIOD_OVERRIDE=FQ","FILING_STATUS=MR","SCALING_FORMAT=MLN","Sort=A","Dates=H","DateFormat=P","Fill=—","Direction=H","UseDPDF=Y")</f>
        <v>—</v>
      </c>
      <c r="I169" s="13" t="str">
        <f>_xll.BDH("GILD US Equity","ARDR_FV_ASSETS_REC_L3_AFS_TREAS","FQ2 2020","FQ2 2020","Currency=USD","Period=FQ","BEST_FPERIOD_OVERRIDE=FQ","FILING_STATUS=MR","SCALING_FORMAT=MLN","Sort=A","Dates=H","DateFormat=P","Fill=—","Direction=H","UseDPDF=Y")</f>
        <v>—</v>
      </c>
      <c r="J169" s="13">
        <f>_xll.BDH("GILD US Equity","ARDR_FV_ASSETS_REC_L3_AFS_TREAS","FQ3 2020","FQ3 2020","Currency=USD","Period=FQ","BEST_FPERIOD_OVERRIDE=FQ","FILING_STATUS=MR","SCALING_FORMAT=MLN","Sort=A","Dates=H","DateFormat=P","Fill=—","Direction=H","UseDPDF=Y")</f>
        <v>0</v>
      </c>
      <c r="K169" s="13" t="str">
        <f>_xll.BDH("GILD US Equity","ARDR_FV_ASSETS_REC_L3_AFS_TREAS","FQ4 2020","FQ4 2020","Currency=USD","Period=FQ","BEST_FPERIOD_OVERRIDE=FQ","FILING_STATUS=MR","SCALING_FORMAT=MLN","Sort=A","Dates=H","DateFormat=P","Fill=—","Direction=H","UseDPDF=Y")</f>
        <v>—</v>
      </c>
      <c r="L169" s="13">
        <f>_xll.BDH("GILD US Equity","ARDR_FV_ASSETS_REC_L3_AFS_TREAS","FQ1 2021","FQ1 2021","Currency=USD","Period=FQ","BEST_FPERIOD_OVERRIDE=FQ","FILING_STATUS=MR","SCALING_FORMAT=MLN","Sort=A","Dates=H","DateFormat=P","Fill=—","Direction=H","UseDPDF=Y")</f>
        <v>0</v>
      </c>
      <c r="M169" s="13">
        <f>_xll.BDH("GILD US Equity","ARDR_FV_ASSETS_REC_L3_AFS_TREAS","FQ2 2021","FQ2 2021","Currency=USD","Period=FQ","BEST_FPERIOD_OVERRIDE=FQ","FILING_STATUS=MR","SCALING_FORMAT=MLN","Sort=A","Dates=H","DateFormat=P","Fill=—","Direction=H","UseDPDF=Y")</f>
        <v>0</v>
      </c>
      <c r="N169" s="13">
        <f>_xll.BDH("GILD US Equity","ARDR_FV_ASSETS_REC_L3_AFS_TREAS","FQ3 2021","FQ3 2021","Currency=USD","Period=FQ","BEST_FPERIOD_OVERRIDE=FQ","FILING_STATUS=MR","SCALING_FORMAT=MLN","Sort=A","Dates=H","DateFormat=P","Fill=—","Direction=H","UseDPDF=Y")</f>
        <v>0</v>
      </c>
      <c r="O169" s="13">
        <f>_xll.BDH("GILD US Equity","ARDR_FV_ASSETS_REC_L3_AFS_TREAS","FQ4 2021","FQ4 2021","Currency=USD","Period=FQ","BEST_FPERIOD_OVERRIDE=FQ","FILING_STATUS=MR","SCALING_FORMAT=MLN","Sort=A","Dates=H","DateFormat=P","Fill=—","Direction=H","UseDPDF=Y")</f>
        <v>0</v>
      </c>
      <c r="P169" s="13" t="str">
        <f>_xll.BDH("GILD US Equity","ARDR_FV_ASSETS_REC_L3_AFS_TREAS","FQ1 2022","FQ1 2022","Currency=USD","Period=FQ","BEST_FPERIOD_OVERRIDE=FQ","FILING_STATUS=MR","SCALING_FORMAT=MLN","Sort=A","Dates=H","DateFormat=P","Fill=—","Direction=H","UseDPDF=Y")</f>
        <v>—</v>
      </c>
      <c r="Q169" s="13">
        <f>_xll.BDH("GILD US Equity","ARDR_FV_ASSETS_REC_L3_AFS_TREAS","FQ2 2022","FQ2 2022","Currency=USD","Period=FQ","BEST_FPERIOD_OVERRIDE=FQ","FILING_STATUS=MR","SCALING_FORMAT=MLN","Sort=A","Dates=H","DateFormat=P","Fill=—","Direction=H","UseDPDF=Y")</f>
        <v>0</v>
      </c>
      <c r="R169" s="13">
        <f>_xll.BDH("GILD US Equity","ARDR_FV_ASSETS_REC_L3_AFS_TREAS","FQ3 2022","FQ3 2022","Currency=USD","Period=FQ","BEST_FPERIOD_OVERRIDE=FQ","FILING_STATUS=MR","SCALING_FORMAT=MLN","Sort=A","Dates=H","DateFormat=P","Fill=—","Direction=H","UseDPDF=Y")</f>
        <v>0</v>
      </c>
      <c r="S169" s="13">
        <f>_xll.BDH("GILD US Equity","ARDR_FV_ASSETS_REC_L3_AFS_TREAS","FQ4 2022","FQ4 2022","Currency=USD","Period=FQ","BEST_FPERIOD_OVERRIDE=FQ","FILING_STATUS=MR","SCALING_FORMAT=MLN","Sort=A","Dates=H","DateFormat=P","Fill=—","Direction=H","UseDPDF=Y")</f>
        <v>0</v>
      </c>
      <c r="T169" s="13">
        <f>_xll.BDH("GILD US Equity","ARDR_FV_ASSETS_REC_L3_AFS_TREAS","FQ1 2023","FQ1 2023","Currency=USD","Period=FQ","BEST_FPERIOD_OVERRIDE=FQ","FILING_STATUS=MR","SCALING_FORMAT=MLN","Sort=A","Dates=H","DateFormat=P","Fill=—","Direction=H","UseDPDF=Y")</f>
        <v>0</v>
      </c>
      <c r="U169" s="13" t="str">
        <f>_xll.BDH("GILD US Equity","ARDR_FV_ASSETS_REC_L3_AFS_TREAS","FQ2 2023","FQ2 2023","Currency=USD","Period=FQ","BEST_FPERIOD_OVERRIDE=FQ","FILING_STATUS=MR","SCALING_FORMAT=MLN","Sort=A","Dates=H","DateFormat=P","Fill=—","Direction=H","UseDPDF=Y")</f>
        <v>—</v>
      </c>
      <c r="V169" s="13" t="str">
        <f>_xll.BDH("GILD US Equity","ARDR_FV_ASSETS_REC_L3_AFS_TREAS","FQ3 2023","FQ3 2023","Currency=USD","Period=FQ","BEST_FPERIOD_OVERRIDE=FQ","FILING_STATUS=MR","SCALING_FORMAT=MLN","Sort=A","Dates=H","DateFormat=P","Fill=—","Direction=H","UseDPDF=Y")</f>
        <v>—</v>
      </c>
      <c r="W169" s="13">
        <f>_xll.BDH("GILD US Equity","ARDR_FV_ASSETS_REC_L3_AFS_TREAS","FQ4 2023","FQ4 2023","Currency=USD","Period=FQ","BEST_FPERIOD_OVERRIDE=FQ","FILING_STATUS=MR","SCALING_FORMAT=MLN","Sort=A","Dates=H","DateFormat=P","Fill=—","Direction=H","UseDPDF=Y")</f>
        <v>0</v>
      </c>
      <c r="X169" s="13">
        <f>_xll.BDH("GILD US Equity","ARDR_FV_ASSETS_REC_L3_AFS_TREAS","FQ1 2024","FQ1 2024","Currency=USD","Period=FQ","BEST_FPERIOD_OVERRIDE=FQ","FILING_STATUS=MR","SCALING_FORMAT=MLN","Sort=A","Dates=H","DateFormat=P","Fill=—","Direction=H","UseDPDF=Y")</f>
        <v>0</v>
      </c>
      <c r="Y169" s="13" t="str">
        <f>_xll.BDH("GILD US Equity","ARDR_FV_ASSETS_REC_L3_AFS_TREAS","FQ2 2024","FQ2 2024","Currency=USD","Period=FQ","BEST_FPERIOD_OVERRIDE=FQ","FILING_STATUS=MR","SCALING_FORMAT=MLN","Sort=A","Dates=H","DateFormat=P","Fill=—","Direction=H","UseDPDF=Y")</f>
        <v>—</v>
      </c>
      <c r="Z169" s="13">
        <f>_xll.BDH("GILD US Equity","ARDR_FV_ASSETS_REC_L3_AFS_TREAS","FQ3 2024","FQ3 2024","Currency=USD","Period=FQ","BEST_FPERIOD_OVERRIDE=FQ","FILING_STATUS=MR","SCALING_FORMAT=MLN","Sort=A","Dates=H","DateFormat=P","Fill=—","Direction=H","UseDPDF=Y")</f>
        <v>0</v>
      </c>
      <c r="AA169" s="13">
        <f>_xll.BDH("GILD US Equity","ARDR_FV_ASSETS_REC_L3_AFS_TREAS","FQ4 2024","FQ4 2024","Currency=USD","Period=FQ","BEST_FPERIOD_OVERRIDE=FQ","FILING_STATUS=MR","SCALING_FORMAT=MLN","Sort=A","Dates=H","DateFormat=P","Fill=—","Direction=H","UseDPDF=Y")</f>
        <v>0</v>
      </c>
    </row>
    <row r="170" spans="1:27" x14ac:dyDescent="0.25">
      <c r="A170" s="10" t="s">
        <v>1197</v>
      </c>
      <c r="B170" s="10" t="s">
        <v>1198</v>
      </c>
      <c r="C170" s="13" t="str">
        <f>_xll.BDH("GILD US Equity","ARDR_FV_ASTS_REC_L3_AFS_CORP_BDS","FQ4 2018","FQ4 2018","Currency=USD","Period=FQ","BEST_FPERIOD_OVERRIDE=FQ","FILING_STATUS=MR","SCALING_FORMAT=MLN","Sort=A","Dates=H","DateFormat=P","Fill=—","Direction=H","UseDPDF=Y")</f>
        <v>—</v>
      </c>
      <c r="D170" s="13" t="str">
        <f>_xll.BDH("GILD US Equity","ARDR_FV_ASTS_REC_L3_AFS_CORP_BDS","FQ1 2019","FQ1 2019","Currency=USD","Period=FQ","BEST_FPERIOD_OVERRIDE=FQ","FILING_STATUS=MR","SCALING_FORMAT=MLN","Sort=A","Dates=H","DateFormat=P","Fill=—","Direction=H","UseDPDF=Y")</f>
        <v>—</v>
      </c>
      <c r="E170" s="13" t="str">
        <f>_xll.BDH("GILD US Equity","ARDR_FV_ASTS_REC_L3_AFS_CORP_BDS","FQ2 2019","FQ2 2019","Currency=USD","Period=FQ","BEST_FPERIOD_OVERRIDE=FQ","FILING_STATUS=MR","SCALING_FORMAT=MLN","Sort=A","Dates=H","DateFormat=P","Fill=—","Direction=H","UseDPDF=Y")</f>
        <v>—</v>
      </c>
      <c r="F170" s="13" t="str">
        <f>_xll.BDH("GILD US Equity","ARDR_FV_ASTS_REC_L3_AFS_CORP_BDS","FQ3 2019","FQ3 2019","Currency=USD","Period=FQ","BEST_FPERIOD_OVERRIDE=FQ","FILING_STATUS=MR","SCALING_FORMAT=MLN","Sort=A","Dates=H","DateFormat=P","Fill=—","Direction=H","UseDPDF=Y")</f>
        <v>—</v>
      </c>
      <c r="G170" s="13">
        <f>_xll.BDH("GILD US Equity","ARDR_FV_ASTS_REC_L3_AFS_CORP_BDS","FQ4 2019","FQ4 2019","Currency=USD","Period=FQ","BEST_FPERIOD_OVERRIDE=FQ","FILING_STATUS=MR","SCALING_FORMAT=MLN","Sort=A","Dates=H","DateFormat=P","Fill=—","Direction=H","UseDPDF=Y")</f>
        <v>0</v>
      </c>
      <c r="H170" s="13" t="str">
        <f>_xll.BDH("GILD US Equity","ARDR_FV_ASTS_REC_L3_AFS_CORP_BDS","FQ1 2020","FQ1 2020","Currency=USD","Period=FQ","BEST_FPERIOD_OVERRIDE=FQ","FILING_STATUS=MR","SCALING_FORMAT=MLN","Sort=A","Dates=H","DateFormat=P","Fill=—","Direction=H","UseDPDF=Y")</f>
        <v>—</v>
      </c>
      <c r="I170" s="13" t="str">
        <f>_xll.BDH("GILD US Equity","ARDR_FV_ASTS_REC_L3_AFS_CORP_BDS","FQ2 2020","FQ2 2020","Currency=USD","Period=FQ","BEST_FPERIOD_OVERRIDE=FQ","FILING_STATUS=MR","SCALING_FORMAT=MLN","Sort=A","Dates=H","DateFormat=P","Fill=—","Direction=H","UseDPDF=Y")</f>
        <v>—</v>
      </c>
      <c r="J170" s="13" t="str">
        <f>_xll.BDH("GILD US Equity","ARDR_FV_ASTS_REC_L3_AFS_CORP_BDS","FQ3 2020","FQ3 2020","Currency=USD","Period=FQ","BEST_FPERIOD_OVERRIDE=FQ","FILING_STATUS=MR","SCALING_FORMAT=MLN","Sort=A","Dates=H","DateFormat=P","Fill=—","Direction=H","UseDPDF=Y")</f>
        <v>—</v>
      </c>
      <c r="K170" s="13">
        <f>_xll.BDH("GILD US Equity","ARDR_FV_ASTS_REC_L3_AFS_CORP_BDS","FQ4 2020","FQ4 2020","Currency=USD","Period=FQ","BEST_FPERIOD_OVERRIDE=FQ","FILING_STATUS=MR","SCALING_FORMAT=MLN","Sort=A","Dates=H","DateFormat=P","Fill=—","Direction=H","UseDPDF=Y")</f>
        <v>0</v>
      </c>
      <c r="L170" s="13" t="str">
        <f>_xll.BDH("GILD US Equity","ARDR_FV_ASTS_REC_L3_AFS_CORP_BDS","FQ1 2021","FQ1 2021","Currency=USD","Period=FQ","BEST_FPERIOD_OVERRIDE=FQ","FILING_STATUS=MR","SCALING_FORMAT=MLN","Sort=A","Dates=H","DateFormat=P","Fill=—","Direction=H","UseDPDF=Y")</f>
        <v>—</v>
      </c>
      <c r="M170" s="13">
        <f>_xll.BDH("GILD US Equity","ARDR_FV_ASTS_REC_L3_AFS_CORP_BDS","FQ2 2021","FQ2 2021","Currency=USD","Period=FQ","BEST_FPERIOD_OVERRIDE=FQ","FILING_STATUS=MR","SCALING_FORMAT=MLN","Sort=A","Dates=H","DateFormat=P","Fill=—","Direction=H","UseDPDF=Y")</f>
        <v>0</v>
      </c>
      <c r="N170" s="13" t="str">
        <f>_xll.BDH("GILD US Equity","ARDR_FV_ASTS_REC_L3_AFS_CORP_BDS","FQ3 2021","FQ3 2021","Currency=USD","Period=FQ","BEST_FPERIOD_OVERRIDE=FQ","FILING_STATUS=MR","SCALING_FORMAT=MLN","Sort=A","Dates=H","DateFormat=P","Fill=—","Direction=H","UseDPDF=Y")</f>
        <v>—</v>
      </c>
      <c r="O170" s="13">
        <f>_xll.BDH("GILD US Equity","ARDR_FV_ASTS_REC_L3_AFS_CORP_BDS","FQ4 2021","FQ4 2021","Currency=USD","Period=FQ","BEST_FPERIOD_OVERRIDE=FQ","FILING_STATUS=MR","SCALING_FORMAT=MLN","Sort=A","Dates=H","DateFormat=P","Fill=—","Direction=H","UseDPDF=Y")</f>
        <v>0</v>
      </c>
      <c r="P170" s="13" t="str">
        <f>_xll.BDH("GILD US Equity","ARDR_FV_ASTS_REC_L3_AFS_CORP_BDS","FQ1 2022","FQ1 2022","Currency=USD","Period=FQ","BEST_FPERIOD_OVERRIDE=FQ","FILING_STATUS=MR","SCALING_FORMAT=MLN","Sort=A","Dates=H","DateFormat=P","Fill=—","Direction=H","UseDPDF=Y")</f>
        <v>—</v>
      </c>
      <c r="Q170" s="13">
        <f>_xll.BDH("GILD US Equity","ARDR_FV_ASTS_REC_L3_AFS_CORP_BDS","FQ2 2022","FQ2 2022","Currency=USD","Period=FQ","BEST_FPERIOD_OVERRIDE=FQ","FILING_STATUS=MR","SCALING_FORMAT=MLN","Sort=A","Dates=H","DateFormat=P","Fill=—","Direction=H","UseDPDF=Y")</f>
        <v>0</v>
      </c>
      <c r="R170" s="13" t="str">
        <f>_xll.BDH("GILD US Equity","ARDR_FV_ASTS_REC_L3_AFS_CORP_BDS","FQ3 2022","FQ3 2022","Currency=USD","Period=FQ","BEST_FPERIOD_OVERRIDE=FQ","FILING_STATUS=MR","SCALING_FORMAT=MLN","Sort=A","Dates=H","DateFormat=P","Fill=—","Direction=H","UseDPDF=Y")</f>
        <v>—</v>
      </c>
      <c r="S170" s="13" t="str">
        <f>_xll.BDH("GILD US Equity","ARDR_FV_ASTS_REC_L3_AFS_CORP_BDS","FQ4 2022","FQ4 2022","Currency=USD","Period=FQ","BEST_FPERIOD_OVERRIDE=FQ","FILING_STATUS=MR","SCALING_FORMAT=MLN","Sort=A","Dates=H","DateFormat=P","Fill=—","Direction=H","UseDPDF=Y")</f>
        <v>—</v>
      </c>
      <c r="T170" s="13" t="str">
        <f>_xll.BDH("GILD US Equity","ARDR_FV_ASTS_REC_L3_AFS_CORP_BDS","FQ1 2023","FQ1 2023","Currency=USD","Period=FQ","BEST_FPERIOD_OVERRIDE=FQ","FILING_STATUS=MR","SCALING_FORMAT=MLN","Sort=A","Dates=H","DateFormat=P","Fill=—","Direction=H","UseDPDF=Y")</f>
        <v>—</v>
      </c>
      <c r="U170" s="13">
        <f>_xll.BDH("GILD US Equity","ARDR_FV_ASTS_REC_L3_AFS_CORP_BDS","FQ2 2023","FQ2 2023","Currency=USD","Period=FQ","BEST_FPERIOD_OVERRIDE=FQ","FILING_STATUS=MR","SCALING_FORMAT=MLN","Sort=A","Dates=H","DateFormat=P","Fill=—","Direction=H","UseDPDF=Y")</f>
        <v>0</v>
      </c>
      <c r="V170" s="13" t="str">
        <f>_xll.BDH("GILD US Equity","ARDR_FV_ASTS_REC_L3_AFS_CORP_BDS","FQ3 2023","FQ3 2023","Currency=USD","Period=FQ","BEST_FPERIOD_OVERRIDE=FQ","FILING_STATUS=MR","SCALING_FORMAT=MLN","Sort=A","Dates=H","DateFormat=P","Fill=—","Direction=H","UseDPDF=Y")</f>
        <v>—</v>
      </c>
      <c r="W170" s="13">
        <f>_xll.BDH("GILD US Equity","ARDR_FV_ASTS_REC_L3_AFS_CORP_BDS","FQ4 2023","FQ4 2023","Currency=USD","Period=FQ","BEST_FPERIOD_OVERRIDE=FQ","FILING_STATUS=MR","SCALING_FORMAT=MLN","Sort=A","Dates=H","DateFormat=P","Fill=—","Direction=H","UseDPDF=Y")</f>
        <v>0</v>
      </c>
      <c r="X170" s="13">
        <f>_xll.BDH("GILD US Equity","ARDR_FV_ASTS_REC_L3_AFS_CORP_BDS","FQ1 2024","FQ1 2024","Currency=USD","Period=FQ","BEST_FPERIOD_OVERRIDE=FQ","FILING_STATUS=MR","SCALING_FORMAT=MLN","Sort=A","Dates=H","DateFormat=P","Fill=—","Direction=H","UseDPDF=Y")</f>
        <v>0</v>
      </c>
      <c r="Y170" s="13">
        <f>_xll.BDH("GILD US Equity","ARDR_FV_ASTS_REC_L3_AFS_CORP_BDS","FQ2 2024","FQ2 2024","Currency=USD","Period=FQ","BEST_FPERIOD_OVERRIDE=FQ","FILING_STATUS=MR","SCALING_FORMAT=MLN","Sort=A","Dates=H","DateFormat=P","Fill=—","Direction=H","UseDPDF=Y")</f>
        <v>0</v>
      </c>
      <c r="Z170" s="13">
        <f>_xll.BDH("GILD US Equity","ARDR_FV_ASTS_REC_L3_AFS_CORP_BDS","FQ3 2024","FQ3 2024","Currency=USD","Period=FQ","BEST_FPERIOD_OVERRIDE=FQ","FILING_STATUS=MR","SCALING_FORMAT=MLN","Sort=A","Dates=H","DateFormat=P","Fill=—","Direction=H","UseDPDF=Y")</f>
        <v>0</v>
      </c>
      <c r="AA170" s="13">
        <f>_xll.BDH("GILD US Equity","ARDR_FV_ASTS_REC_L3_AFS_CORP_BDS","FQ4 2024","FQ4 2024","Currency=USD","Period=FQ","BEST_FPERIOD_OVERRIDE=FQ","FILING_STATUS=MR","SCALING_FORMAT=MLN","Sort=A","Dates=H","DateFormat=P","Fill=—","Direction=H","UseDPDF=Y")</f>
        <v>0</v>
      </c>
    </row>
    <row r="171" spans="1:27" x14ac:dyDescent="0.25">
      <c r="A171" s="10" t="s">
        <v>1199</v>
      </c>
      <c r="B171" s="10" t="s">
        <v>1200</v>
      </c>
      <c r="C171" s="13" t="str">
        <f>_xll.BDH("GILD US Equity","ARDR_FV_ASTS_REC_L3_AFS_CDO_CLO","FQ4 2018","FQ4 2018","Currency=USD","Period=FQ","BEST_FPERIOD_OVERRIDE=FQ","FILING_STATUS=MR","SCALING_FORMAT=MLN","Sort=A","Dates=H","DateFormat=P","Fill=—","Direction=H","UseDPDF=Y")</f>
        <v>—</v>
      </c>
      <c r="D171" s="13" t="str">
        <f>_xll.BDH("GILD US Equity","ARDR_FV_ASTS_REC_L3_AFS_CDO_CLO","FQ1 2019","FQ1 2019","Currency=USD","Period=FQ","BEST_FPERIOD_OVERRIDE=FQ","FILING_STATUS=MR","SCALING_FORMAT=MLN","Sort=A","Dates=H","DateFormat=P","Fill=—","Direction=H","UseDPDF=Y")</f>
        <v>—</v>
      </c>
      <c r="E171" s="13" t="str">
        <f>_xll.BDH("GILD US Equity","ARDR_FV_ASTS_REC_L3_AFS_CDO_CLO","FQ2 2019","FQ2 2019","Currency=USD","Period=FQ","BEST_FPERIOD_OVERRIDE=FQ","FILING_STATUS=MR","SCALING_FORMAT=MLN","Sort=A","Dates=H","DateFormat=P","Fill=—","Direction=H","UseDPDF=Y")</f>
        <v>—</v>
      </c>
      <c r="F171" s="13" t="str">
        <f>_xll.BDH("GILD US Equity","ARDR_FV_ASTS_REC_L3_AFS_CDO_CLO","FQ3 2019","FQ3 2019","Currency=USD","Period=FQ","BEST_FPERIOD_OVERRIDE=FQ","FILING_STATUS=MR","SCALING_FORMAT=MLN","Sort=A","Dates=H","DateFormat=P","Fill=—","Direction=H","UseDPDF=Y")</f>
        <v>—</v>
      </c>
      <c r="G171" s="13">
        <f>_xll.BDH("GILD US Equity","ARDR_FV_ASTS_REC_L3_AFS_CDO_CLO","FQ4 2019","FQ4 2019","Currency=USD","Period=FQ","BEST_FPERIOD_OVERRIDE=FQ","FILING_STATUS=MR","SCALING_FORMAT=MLN","Sort=A","Dates=H","DateFormat=P","Fill=—","Direction=H","UseDPDF=Y")</f>
        <v>0</v>
      </c>
      <c r="H171" s="13" t="str">
        <f>_xll.BDH("GILD US Equity","ARDR_FV_ASTS_REC_L3_AFS_CDO_CLO","FQ1 2020","FQ1 2020","Currency=USD","Period=FQ","BEST_FPERIOD_OVERRIDE=FQ","FILING_STATUS=MR","SCALING_FORMAT=MLN","Sort=A","Dates=H","DateFormat=P","Fill=—","Direction=H","UseDPDF=Y")</f>
        <v>—</v>
      </c>
      <c r="I171" s="13" t="str">
        <f>_xll.BDH("GILD US Equity","ARDR_FV_ASTS_REC_L3_AFS_CDO_CLO","FQ2 2020","FQ2 2020","Currency=USD","Period=FQ","BEST_FPERIOD_OVERRIDE=FQ","FILING_STATUS=MR","SCALING_FORMAT=MLN","Sort=A","Dates=H","DateFormat=P","Fill=—","Direction=H","UseDPDF=Y")</f>
        <v>—</v>
      </c>
      <c r="J171" s="13" t="str">
        <f>_xll.BDH("GILD US Equity","ARDR_FV_ASTS_REC_L3_AFS_CDO_CLO","FQ3 2020","FQ3 2020","Currency=USD","Period=FQ","BEST_FPERIOD_OVERRIDE=FQ","FILING_STATUS=MR","SCALING_FORMAT=MLN","Sort=A","Dates=H","DateFormat=P","Fill=—","Direction=H","UseDPDF=Y")</f>
        <v>—</v>
      </c>
      <c r="K171" s="13">
        <f>_xll.BDH("GILD US Equity","ARDR_FV_ASTS_REC_L3_AFS_CDO_CLO","FQ4 2020","FQ4 2020","Currency=USD","Period=FQ","BEST_FPERIOD_OVERRIDE=FQ","FILING_STATUS=MR","SCALING_FORMAT=MLN","Sort=A","Dates=H","DateFormat=P","Fill=—","Direction=H","UseDPDF=Y")</f>
        <v>0</v>
      </c>
      <c r="L171" s="13" t="str">
        <f>_xll.BDH("GILD US Equity","ARDR_FV_ASTS_REC_L3_AFS_CDO_CLO","FQ1 2021","FQ1 2021","Currency=USD","Period=FQ","BEST_FPERIOD_OVERRIDE=FQ","FILING_STATUS=MR","SCALING_FORMAT=MLN","Sort=A","Dates=H","DateFormat=P","Fill=—","Direction=H","UseDPDF=Y")</f>
        <v>—</v>
      </c>
      <c r="M171" s="13">
        <f>_xll.BDH("GILD US Equity","ARDR_FV_ASTS_REC_L3_AFS_CDO_CLO","FQ2 2021","FQ2 2021","Currency=USD","Period=FQ","BEST_FPERIOD_OVERRIDE=FQ","FILING_STATUS=MR","SCALING_FORMAT=MLN","Sort=A","Dates=H","DateFormat=P","Fill=—","Direction=H","UseDPDF=Y")</f>
        <v>0</v>
      </c>
      <c r="N171" s="13" t="str">
        <f>_xll.BDH("GILD US Equity","ARDR_FV_ASTS_REC_L3_AFS_CDO_CLO","FQ3 2021","FQ3 2021","Currency=USD","Period=FQ","BEST_FPERIOD_OVERRIDE=FQ","FILING_STATUS=MR","SCALING_FORMAT=MLN","Sort=A","Dates=H","DateFormat=P","Fill=—","Direction=H","UseDPDF=Y")</f>
        <v>—</v>
      </c>
      <c r="O171" s="13">
        <f>_xll.BDH("GILD US Equity","ARDR_FV_ASTS_REC_L3_AFS_CDO_CLO","FQ4 2021","FQ4 2021","Currency=USD","Period=FQ","BEST_FPERIOD_OVERRIDE=FQ","FILING_STATUS=MR","SCALING_FORMAT=MLN","Sort=A","Dates=H","DateFormat=P","Fill=—","Direction=H","UseDPDF=Y")</f>
        <v>0</v>
      </c>
      <c r="P171" s="13" t="str">
        <f>_xll.BDH("GILD US Equity","ARDR_FV_ASTS_REC_L3_AFS_CDO_CLO","FQ1 2022","FQ1 2022","Currency=USD","Period=FQ","BEST_FPERIOD_OVERRIDE=FQ","FILING_STATUS=MR","SCALING_FORMAT=MLN","Sort=A","Dates=H","DateFormat=P","Fill=—","Direction=H","UseDPDF=Y")</f>
        <v>—</v>
      </c>
      <c r="Q171" s="13">
        <f>_xll.BDH("GILD US Equity","ARDR_FV_ASTS_REC_L3_AFS_CDO_CLO","FQ2 2022","FQ2 2022","Currency=USD","Period=FQ","BEST_FPERIOD_OVERRIDE=FQ","FILING_STATUS=MR","SCALING_FORMAT=MLN","Sort=A","Dates=H","DateFormat=P","Fill=—","Direction=H","UseDPDF=Y")</f>
        <v>0</v>
      </c>
      <c r="R171" s="13" t="str">
        <f>_xll.BDH("GILD US Equity","ARDR_FV_ASTS_REC_L3_AFS_CDO_CLO","FQ3 2022","FQ3 2022","Currency=USD","Period=FQ","BEST_FPERIOD_OVERRIDE=FQ","FILING_STATUS=MR","SCALING_FORMAT=MLN","Sort=A","Dates=H","DateFormat=P","Fill=—","Direction=H","UseDPDF=Y")</f>
        <v>—</v>
      </c>
      <c r="S171" s="13" t="str">
        <f>_xll.BDH("GILD US Equity","ARDR_FV_ASTS_REC_L3_AFS_CDO_CLO","FQ4 2022","FQ4 2022","Currency=USD","Period=FQ","BEST_FPERIOD_OVERRIDE=FQ","FILING_STATUS=MR","SCALING_FORMAT=MLN","Sort=A","Dates=H","DateFormat=P","Fill=—","Direction=H","UseDPDF=Y")</f>
        <v>—</v>
      </c>
      <c r="T171" s="13" t="str">
        <f>_xll.BDH("GILD US Equity","ARDR_FV_ASTS_REC_L3_AFS_CDO_CLO","FQ1 2023","FQ1 2023","Currency=USD","Period=FQ","BEST_FPERIOD_OVERRIDE=FQ","FILING_STATUS=MR","SCALING_FORMAT=MLN","Sort=A","Dates=H","DateFormat=P","Fill=—","Direction=H","UseDPDF=Y")</f>
        <v>—</v>
      </c>
      <c r="U171" s="13" t="str">
        <f>_xll.BDH("GILD US Equity","ARDR_FV_ASTS_REC_L3_AFS_CDO_CLO","FQ2 2023","FQ2 2023","Currency=USD","Period=FQ","BEST_FPERIOD_OVERRIDE=FQ","FILING_STATUS=MR","SCALING_FORMAT=MLN","Sort=A","Dates=H","DateFormat=P","Fill=—","Direction=H","UseDPDF=Y")</f>
        <v>—</v>
      </c>
      <c r="V171" s="13" t="str">
        <f>_xll.BDH("GILD US Equity","ARDR_FV_ASTS_REC_L3_AFS_CDO_CLO","FQ3 2023","FQ3 2023","Currency=USD","Period=FQ","BEST_FPERIOD_OVERRIDE=FQ","FILING_STATUS=MR","SCALING_FORMAT=MLN","Sort=A","Dates=H","DateFormat=P","Fill=—","Direction=H","UseDPDF=Y")</f>
        <v>—</v>
      </c>
      <c r="W171" s="13">
        <f>_xll.BDH("GILD US Equity","ARDR_FV_ASTS_REC_L3_AFS_CDO_CLO","FQ4 2023","FQ4 2023","Currency=USD","Period=FQ","BEST_FPERIOD_OVERRIDE=FQ","FILING_STATUS=MR","SCALING_FORMAT=MLN","Sort=A","Dates=H","DateFormat=P","Fill=—","Direction=H","UseDPDF=Y")</f>
        <v>0</v>
      </c>
      <c r="X171" s="13" t="str">
        <f>_xll.BDH("GILD US Equity","ARDR_FV_ASTS_REC_L3_AFS_CDO_CLO","FQ1 2024","FQ1 2024","Currency=USD","Period=FQ","BEST_FPERIOD_OVERRIDE=FQ","FILING_STATUS=MR","SCALING_FORMAT=MLN","Sort=A","Dates=H","DateFormat=P","Fill=—","Direction=H","UseDPDF=Y")</f>
        <v>—</v>
      </c>
      <c r="Y171" s="13">
        <f>_xll.BDH("GILD US Equity","ARDR_FV_ASTS_REC_L3_AFS_CDO_CLO","FQ2 2024","FQ2 2024","Currency=USD","Period=FQ","BEST_FPERIOD_OVERRIDE=FQ","FILING_STATUS=MR","SCALING_FORMAT=MLN","Sort=A","Dates=H","DateFormat=P","Fill=—","Direction=H","UseDPDF=Y")</f>
        <v>0</v>
      </c>
      <c r="Z171" s="13">
        <f>_xll.BDH("GILD US Equity","ARDR_FV_ASTS_REC_L3_AFS_CDO_CLO","FQ3 2024","FQ3 2024","Currency=USD","Period=FQ","BEST_FPERIOD_OVERRIDE=FQ","FILING_STATUS=MR","SCALING_FORMAT=MLN","Sort=A","Dates=H","DateFormat=P","Fill=—","Direction=H","UseDPDF=Y")</f>
        <v>0</v>
      </c>
      <c r="AA171" s="13">
        <f>_xll.BDH("GILD US Equity","ARDR_FV_ASTS_REC_L3_AFS_CDO_CLO","FQ4 2024","FQ4 2024","Currency=USD","Period=FQ","BEST_FPERIOD_OVERRIDE=FQ","FILING_STATUS=MR","SCALING_FORMAT=MLN","Sort=A","Dates=H","DateFormat=P","Fill=—","Direction=H","UseDPDF=Y")</f>
        <v>0</v>
      </c>
    </row>
    <row r="172" spans="1:27" x14ac:dyDescent="0.25">
      <c r="A172" s="10" t="s">
        <v>1201</v>
      </c>
      <c r="B172" s="10" t="s">
        <v>1202</v>
      </c>
      <c r="C172" s="13" t="str">
        <f>_xll.BDH("GILD US Equity","ARDR_FV_ASTS_REC_L3_AFS_GSE_CMO","FQ4 2018","FQ4 2018","Currency=USD","Period=FQ","BEST_FPERIOD_OVERRIDE=FQ","FILING_STATUS=MR","SCALING_FORMAT=MLN","Sort=A","Dates=H","DateFormat=P","Fill=—","Direction=H","UseDPDF=Y")</f>
        <v>—</v>
      </c>
      <c r="D172" s="13" t="str">
        <f>_xll.BDH("GILD US Equity","ARDR_FV_ASTS_REC_L3_AFS_GSE_CMO","FQ1 2019","FQ1 2019","Currency=USD","Period=FQ","BEST_FPERIOD_OVERRIDE=FQ","FILING_STATUS=MR","SCALING_FORMAT=MLN","Sort=A","Dates=H","DateFormat=P","Fill=—","Direction=H","UseDPDF=Y")</f>
        <v>—</v>
      </c>
      <c r="E172" s="13" t="str">
        <f>_xll.BDH("GILD US Equity","ARDR_FV_ASTS_REC_L3_AFS_GSE_CMO","FQ2 2019","FQ2 2019","Currency=USD","Period=FQ","BEST_FPERIOD_OVERRIDE=FQ","FILING_STATUS=MR","SCALING_FORMAT=MLN","Sort=A","Dates=H","DateFormat=P","Fill=—","Direction=H","UseDPDF=Y")</f>
        <v>—</v>
      </c>
      <c r="F172" s="13" t="str">
        <f>_xll.BDH("GILD US Equity","ARDR_FV_ASTS_REC_L3_AFS_GSE_CMO","FQ3 2019","FQ3 2019","Currency=USD","Period=FQ","BEST_FPERIOD_OVERRIDE=FQ","FILING_STATUS=MR","SCALING_FORMAT=MLN","Sort=A","Dates=H","DateFormat=P","Fill=—","Direction=H","UseDPDF=Y")</f>
        <v>—</v>
      </c>
      <c r="G172" s="13">
        <f>_xll.BDH("GILD US Equity","ARDR_FV_ASTS_REC_L3_AFS_GSE_CMO","FQ4 2019","FQ4 2019","Currency=USD","Period=FQ","BEST_FPERIOD_OVERRIDE=FQ","FILING_STATUS=MR","SCALING_FORMAT=MLN","Sort=A","Dates=H","DateFormat=P","Fill=—","Direction=H","UseDPDF=Y")</f>
        <v>0</v>
      </c>
      <c r="H172" s="13" t="str">
        <f>_xll.BDH("GILD US Equity","ARDR_FV_ASTS_REC_L3_AFS_GSE_CMO","FQ1 2020","FQ1 2020","Currency=USD","Period=FQ","BEST_FPERIOD_OVERRIDE=FQ","FILING_STATUS=MR","SCALING_FORMAT=MLN","Sort=A","Dates=H","DateFormat=P","Fill=—","Direction=H","UseDPDF=Y")</f>
        <v>—</v>
      </c>
      <c r="I172" s="13" t="str">
        <f>_xll.BDH("GILD US Equity","ARDR_FV_ASTS_REC_L3_AFS_GSE_CMO","FQ2 2020","FQ2 2020","Currency=USD","Period=FQ","BEST_FPERIOD_OVERRIDE=FQ","FILING_STATUS=MR","SCALING_FORMAT=MLN","Sort=A","Dates=H","DateFormat=P","Fill=—","Direction=H","UseDPDF=Y")</f>
        <v>—</v>
      </c>
      <c r="J172" s="13" t="str">
        <f>_xll.BDH("GILD US Equity","ARDR_FV_ASTS_REC_L3_AFS_GSE_CMO","FQ3 2020","FQ3 2020","Currency=USD","Period=FQ","BEST_FPERIOD_OVERRIDE=FQ","FILING_STATUS=MR","SCALING_FORMAT=MLN","Sort=A","Dates=H","DateFormat=P","Fill=—","Direction=H","UseDPDF=Y")</f>
        <v>—</v>
      </c>
      <c r="K172" s="13" t="str">
        <f>_xll.BDH("GILD US Equity","ARDR_FV_ASTS_REC_L3_AFS_GSE_CMO","FQ4 2020","FQ4 2020","Currency=USD","Period=FQ","BEST_FPERIOD_OVERRIDE=FQ","FILING_STATUS=MR","SCALING_FORMAT=MLN","Sort=A","Dates=H","DateFormat=P","Fill=—","Direction=H","UseDPDF=Y")</f>
        <v>—</v>
      </c>
      <c r="L172" s="13" t="str">
        <f>_xll.BDH("GILD US Equity","ARDR_FV_ASTS_REC_L3_AFS_GSE_CMO","FQ1 2021","FQ1 2021","Currency=USD","Period=FQ","BEST_FPERIOD_OVERRIDE=FQ","FILING_STATUS=MR","SCALING_FORMAT=MLN","Sort=A","Dates=H","DateFormat=P","Fill=—","Direction=H","UseDPDF=Y")</f>
        <v>—</v>
      </c>
      <c r="M172" s="13">
        <f>_xll.BDH("GILD US Equity","ARDR_FV_ASTS_REC_L3_AFS_GSE_CMO","FQ2 2021","FQ2 2021","Currency=USD","Period=FQ","BEST_FPERIOD_OVERRIDE=FQ","FILING_STATUS=MR","SCALING_FORMAT=MLN","Sort=A","Dates=H","DateFormat=P","Fill=—","Direction=H","UseDPDF=Y")</f>
        <v>0</v>
      </c>
      <c r="N172" s="13" t="str">
        <f>_xll.BDH("GILD US Equity","ARDR_FV_ASTS_REC_L3_AFS_GSE_CMO","FQ3 2021","FQ3 2021","Currency=USD","Period=FQ","BEST_FPERIOD_OVERRIDE=FQ","FILING_STATUS=MR","SCALING_FORMAT=MLN","Sort=A","Dates=H","DateFormat=P","Fill=—","Direction=H","UseDPDF=Y")</f>
        <v>—</v>
      </c>
      <c r="O172" s="13" t="str">
        <f>_xll.BDH("GILD US Equity","ARDR_FV_ASTS_REC_L3_AFS_GSE_CMO","FQ4 2021","FQ4 2021","Currency=USD","Period=FQ","BEST_FPERIOD_OVERRIDE=FQ","FILING_STATUS=MR","SCALING_FORMAT=MLN","Sort=A","Dates=H","DateFormat=P","Fill=—","Direction=H","UseDPDF=Y")</f>
        <v>—</v>
      </c>
      <c r="P172" s="13" t="str">
        <f>_xll.BDH("GILD US Equity","ARDR_FV_ASTS_REC_L3_AFS_GSE_CMO","FQ1 2022","FQ1 2022","Currency=USD","Period=FQ","BEST_FPERIOD_OVERRIDE=FQ","FILING_STATUS=MR","SCALING_FORMAT=MLN","Sort=A","Dates=H","DateFormat=P","Fill=—","Direction=H","UseDPDF=Y")</f>
        <v>—</v>
      </c>
      <c r="Q172" s="13" t="str">
        <f>_xll.BDH("GILD US Equity","ARDR_FV_ASTS_REC_L3_AFS_GSE_CMO","FQ2 2022","FQ2 2022","Currency=USD","Period=FQ","BEST_FPERIOD_OVERRIDE=FQ","FILING_STATUS=MR","SCALING_FORMAT=MLN","Sort=A","Dates=H","DateFormat=P","Fill=—","Direction=H","UseDPDF=Y")</f>
        <v>—</v>
      </c>
      <c r="R172" s="13" t="str">
        <f>_xll.BDH("GILD US Equity","ARDR_FV_ASTS_REC_L3_AFS_GSE_CMO","FQ3 2022","FQ3 2022","Currency=USD","Period=FQ","BEST_FPERIOD_OVERRIDE=FQ","FILING_STATUS=MR","SCALING_FORMAT=MLN","Sort=A","Dates=H","DateFormat=P","Fill=—","Direction=H","UseDPDF=Y")</f>
        <v>—</v>
      </c>
      <c r="S172" s="13" t="str">
        <f>_xll.BDH("GILD US Equity","ARDR_FV_ASTS_REC_L3_AFS_GSE_CMO","FQ4 2022","FQ4 2022","Currency=USD","Period=FQ","BEST_FPERIOD_OVERRIDE=FQ","FILING_STATUS=MR","SCALING_FORMAT=MLN","Sort=A","Dates=H","DateFormat=P","Fill=—","Direction=H","UseDPDF=Y")</f>
        <v>—</v>
      </c>
      <c r="T172" s="13" t="str">
        <f>_xll.BDH("GILD US Equity","ARDR_FV_ASTS_REC_L3_AFS_GSE_CMO","FQ1 2023","FQ1 2023","Currency=USD","Period=FQ","BEST_FPERIOD_OVERRIDE=FQ","FILING_STATUS=MR","SCALING_FORMAT=MLN","Sort=A","Dates=H","DateFormat=P","Fill=—","Direction=H","UseDPDF=Y")</f>
        <v>—</v>
      </c>
      <c r="U172" s="13" t="str">
        <f>_xll.BDH("GILD US Equity","ARDR_FV_ASTS_REC_L3_AFS_GSE_CMO","FQ2 2023","FQ2 2023","Currency=USD","Period=FQ","BEST_FPERIOD_OVERRIDE=FQ","FILING_STATUS=MR","SCALING_FORMAT=MLN","Sort=A","Dates=H","DateFormat=P","Fill=—","Direction=H","UseDPDF=Y")</f>
        <v>—</v>
      </c>
      <c r="V172" s="13" t="str">
        <f>_xll.BDH("GILD US Equity","ARDR_FV_ASTS_REC_L3_AFS_GSE_CMO","FQ3 2023","FQ3 2023","Currency=USD","Period=FQ","BEST_FPERIOD_OVERRIDE=FQ","FILING_STATUS=MR","SCALING_FORMAT=MLN","Sort=A","Dates=H","DateFormat=P","Fill=—","Direction=H","UseDPDF=Y")</f>
        <v>—</v>
      </c>
      <c r="W172" s="13">
        <f>_xll.BDH("GILD US Equity","ARDR_FV_ASTS_REC_L3_AFS_GSE_CMO","FQ4 2023","FQ4 2023","Currency=USD","Period=FQ","BEST_FPERIOD_OVERRIDE=FQ","FILING_STATUS=MR","SCALING_FORMAT=MLN","Sort=A","Dates=H","DateFormat=P","Fill=—","Direction=H","UseDPDF=Y")</f>
        <v>0</v>
      </c>
      <c r="X172" s="13" t="str">
        <f>_xll.BDH("GILD US Equity","ARDR_FV_ASTS_REC_L3_AFS_GSE_CMO","FQ1 2024","FQ1 2024","Currency=USD","Period=FQ","BEST_FPERIOD_OVERRIDE=FQ","FILING_STATUS=MR","SCALING_FORMAT=MLN","Sort=A","Dates=H","DateFormat=P","Fill=—","Direction=H","UseDPDF=Y")</f>
        <v>—</v>
      </c>
      <c r="Y172" s="13" t="str">
        <f>_xll.BDH("GILD US Equity","ARDR_FV_ASTS_REC_L3_AFS_GSE_CMO","FQ2 2024","FQ2 2024","Currency=USD","Period=FQ","BEST_FPERIOD_OVERRIDE=FQ","FILING_STATUS=MR","SCALING_FORMAT=MLN","Sort=A","Dates=H","DateFormat=P","Fill=—","Direction=H","UseDPDF=Y")</f>
        <v>—</v>
      </c>
      <c r="Z172" s="13">
        <f>_xll.BDH("GILD US Equity","ARDR_FV_ASTS_REC_L3_AFS_GSE_CMO","FQ3 2024","FQ3 2024","Currency=USD","Period=FQ","BEST_FPERIOD_OVERRIDE=FQ","FILING_STATUS=MR","SCALING_FORMAT=MLN","Sort=A","Dates=H","DateFormat=P","Fill=—","Direction=H","UseDPDF=Y")</f>
        <v>0</v>
      </c>
      <c r="AA172" s="13">
        <f>_xll.BDH("GILD US Equity","ARDR_FV_ASTS_REC_L3_AFS_GSE_CMO","FQ4 2024","FQ4 2024","Currency=USD","Period=FQ","BEST_FPERIOD_OVERRIDE=FQ","FILING_STATUS=MR","SCALING_FORMAT=MLN","Sort=A","Dates=H","DateFormat=P","Fill=—","Direction=H","UseDPDF=Y")</f>
        <v>0</v>
      </c>
    </row>
    <row r="173" spans="1:27" x14ac:dyDescent="0.25">
      <c r="A173" s="10" t="s">
        <v>1203</v>
      </c>
      <c r="B173" s="10" t="s">
        <v>1204</v>
      </c>
      <c r="C173" s="13" t="str">
        <f>_xll.BDH("GILD US Equity","ARDR_FV_ASTS_REC_L3_AFS_NON_GSE","FQ4 2018","FQ4 2018","Currency=USD","Period=FQ","BEST_FPERIOD_OVERRIDE=FQ","FILING_STATUS=MR","SCALING_FORMAT=MLN","Sort=A","Dates=H","DateFormat=P","Fill=—","Direction=H","UseDPDF=Y")</f>
        <v>—</v>
      </c>
      <c r="D173" s="13" t="str">
        <f>_xll.BDH("GILD US Equity","ARDR_FV_ASTS_REC_L3_AFS_NON_GSE","FQ1 2019","FQ1 2019","Currency=USD","Period=FQ","BEST_FPERIOD_OVERRIDE=FQ","FILING_STATUS=MR","SCALING_FORMAT=MLN","Sort=A","Dates=H","DateFormat=P","Fill=—","Direction=H","UseDPDF=Y")</f>
        <v>—</v>
      </c>
      <c r="E173" s="13" t="str">
        <f>_xll.BDH("GILD US Equity","ARDR_FV_ASTS_REC_L3_AFS_NON_GSE","FQ2 2019","FQ2 2019","Currency=USD","Period=FQ","BEST_FPERIOD_OVERRIDE=FQ","FILING_STATUS=MR","SCALING_FORMAT=MLN","Sort=A","Dates=H","DateFormat=P","Fill=—","Direction=H","UseDPDF=Y")</f>
        <v>—</v>
      </c>
      <c r="F173" s="13" t="str">
        <f>_xll.BDH("GILD US Equity","ARDR_FV_ASTS_REC_L3_AFS_NON_GSE","FQ3 2019","FQ3 2019","Currency=USD","Period=FQ","BEST_FPERIOD_OVERRIDE=FQ","FILING_STATUS=MR","SCALING_FORMAT=MLN","Sort=A","Dates=H","DateFormat=P","Fill=—","Direction=H","UseDPDF=Y")</f>
        <v>—</v>
      </c>
      <c r="G173" s="13">
        <f>_xll.BDH("GILD US Equity","ARDR_FV_ASTS_REC_L3_AFS_NON_GSE","FQ4 2019","FQ4 2019","Currency=USD","Period=FQ","BEST_FPERIOD_OVERRIDE=FQ","FILING_STATUS=MR","SCALING_FORMAT=MLN","Sort=A","Dates=H","DateFormat=P","Fill=—","Direction=H","UseDPDF=Y")</f>
        <v>0</v>
      </c>
      <c r="H173" s="13" t="str">
        <f>_xll.BDH("GILD US Equity","ARDR_FV_ASTS_REC_L3_AFS_NON_GSE","FQ1 2020","FQ1 2020","Currency=USD","Period=FQ","BEST_FPERIOD_OVERRIDE=FQ","FILING_STATUS=MR","SCALING_FORMAT=MLN","Sort=A","Dates=H","DateFormat=P","Fill=—","Direction=H","UseDPDF=Y")</f>
        <v>—</v>
      </c>
      <c r="I173" s="13" t="str">
        <f>_xll.BDH("GILD US Equity","ARDR_FV_ASTS_REC_L3_AFS_NON_GSE","FQ2 2020","FQ2 2020","Currency=USD","Period=FQ","BEST_FPERIOD_OVERRIDE=FQ","FILING_STATUS=MR","SCALING_FORMAT=MLN","Sort=A","Dates=H","DateFormat=P","Fill=—","Direction=H","UseDPDF=Y")</f>
        <v>—</v>
      </c>
      <c r="J173" s="13" t="str">
        <f>_xll.BDH("GILD US Equity","ARDR_FV_ASTS_REC_L3_AFS_NON_GSE","FQ3 2020","FQ3 2020","Currency=USD","Period=FQ","BEST_FPERIOD_OVERRIDE=FQ","FILING_STATUS=MR","SCALING_FORMAT=MLN","Sort=A","Dates=H","DateFormat=P","Fill=—","Direction=H","UseDPDF=Y")</f>
        <v>—</v>
      </c>
      <c r="K173" s="13">
        <f>_xll.BDH("GILD US Equity","ARDR_FV_ASTS_REC_L3_AFS_NON_GSE","FQ4 2020","FQ4 2020","Currency=USD","Period=FQ","BEST_FPERIOD_OVERRIDE=FQ","FILING_STATUS=MR","SCALING_FORMAT=MLN","Sort=A","Dates=H","DateFormat=P","Fill=—","Direction=H","UseDPDF=Y")</f>
        <v>0</v>
      </c>
      <c r="L173" s="13" t="str">
        <f>_xll.BDH("GILD US Equity","ARDR_FV_ASTS_REC_L3_AFS_NON_GSE","FQ1 2021","FQ1 2021","Currency=USD","Period=FQ","BEST_FPERIOD_OVERRIDE=FQ","FILING_STATUS=MR","SCALING_FORMAT=MLN","Sort=A","Dates=H","DateFormat=P","Fill=—","Direction=H","UseDPDF=Y")</f>
        <v>—</v>
      </c>
      <c r="M173" s="13">
        <f>_xll.BDH("GILD US Equity","ARDR_FV_ASTS_REC_L3_AFS_NON_GSE","FQ2 2021","FQ2 2021","Currency=USD","Period=FQ","BEST_FPERIOD_OVERRIDE=FQ","FILING_STATUS=MR","SCALING_FORMAT=MLN","Sort=A","Dates=H","DateFormat=P","Fill=—","Direction=H","UseDPDF=Y")</f>
        <v>0</v>
      </c>
      <c r="N173" s="13" t="str">
        <f>_xll.BDH("GILD US Equity","ARDR_FV_ASTS_REC_L3_AFS_NON_GSE","FQ3 2021","FQ3 2021","Currency=USD","Period=FQ","BEST_FPERIOD_OVERRIDE=FQ","FILING_STATUS=MR","SCALING_FORMAT=MLN","Sort=A","Dates=H","DateFormat=P","Fill=—","Direction=H","UseDPDF=Y")</f>
        <v>—</v>
      </c>
      <c r="O173" s="13">
        <f>_xll.BDH("GILD US Equity","ARDR_FV_ASTS_REC_L3_AFS_NON_GSE","FQ4 2021","FQ4 2021","Currency=USD","Period=FQ","BEST_FPERIOD_OVERRIDE=FQ","FILING_STATUS=MR","SCALING_FORMAT=MLN","Sort=A","Dates=H","DateFormat=P","Fill=—","Direction=H","UseDPDF=Y")</f>
        <v>0</v>
      </c>
      <c r="P173" s="13" t="str">
        <f>_xll.BDH("GILD US Equity","ARDR_FV_ASTS_REC_L3_AFS_NON_GSE","FQ1 2022","FQ1 2022","Currency=USD","Period=FQ","BEST_FPERIOD_OVERRIDE=FQ","FILING_STATUS=MR","SCALING_FORMAT=MLN","Sort=A","Dates=H","DateFormat=P","Fill=—","Direction=H","UseDPDF=Y")</f>
        <v>—</v>
      </c>
      <c r="Q173" s="13" t="str">
        <f>_xll.BDH("GILD US Equity","ARDR_FV_ASTS_REC_L3_AFS_NON_GSE","FQ2 2022","FQ2 2022","Currency=USD","Period=FQ","BEST_FPERIOD_OVERRIDE=FQ","FILING_STATUS=MR","SCALING_FORMAT=MLN","Sort=A","Dates=H","DateFormat=P","Fill=—","Direction=H","UseDPDF=Y")</f>
        <v>—</v>
      </c>
      <c r="R173" s="13" t="str">
        <f>_xll.BDH("GILD US Equity","ARDR_FV_ASTS_REC_L3_AFS_NON_GSE","FQ3 2022","FQ3 2022","Currency=USD","Period=FQ","BEST_FPERIOD_OVERRIDE=FQ","FILING_STATUS=MR","SCALING_FORMAT=MLN","Sort=A","Dates=H","DateFormat=P","Fill=—","Direction=H","UseDPDF=Y")</f>
        <v>—</v>
      </c>
      <c r="S173" s="13" t="str">
        <f>_xll.BDH("GILD US Equity","ARDR_FV_ASTS_REC_L3_AFS_NON_GSE","FQ4 2022","FQ4 2022","Currency=USD","Period=FQ","BEST_FPERIOD_OVERRIDE=FQ","FILING_STATUS=MR","SCALING_FORMAT=MLN","Sort=A","Dates=H","DateFormat=P","Fill=—","Direction=H","UseDPDF=Y")</f>
        <v>—</v>
      </c>
      <c r="T173" s="13">
        <f>_xll.BDH("GILD US Equity","ARDR_FV_ASTS_REC_L3_AFS_NON_GSE","FQ1 2023","FQ1 2023","Currency=USD","Period=FQ","BEST_FPERIOD_OVERRIDE=FQ","FILING_STATUS=MR","SCALING_FORMAT=MLN","Sort=A","Dates=H","DateFormat=P","Fill=—","Direction=H","UseDPDF=Y")</f>
        <v>0</v>
      </c>
      <c r="U173" s="13" t="str">
        <f>_xll.BDH("GILD US Equity","ARDR_FV_ASTS_REC_L3_AFS_NON_GSE","FQ2 2023","FQ2 2023","Currency=USD","Period=FQ","BEST_FPERIOD_OVERRIDE=FQ","FILING_STATUS=MR","SCALING_FORMAT=MLN","Sort=A","Dates=H","DateFormat=P","Fill=—","Direction=H","UseDPDF=Y")</f>
        <v>—</v>
      </c>
      <c r="V173" s="13" t="str">
        <f>_xll.BDH("GILD US Equity","ARDR_FV_ASTS_REC_L3_AFS_NON_GSE","FQ3 2023","FQ3 2023","Currency=USD","Period=FQ","BEST_FPERIOD_OVERRIDE=FQ","FILING_STATUS=MR","SCALING_FORMAT=MLN","Sort=A","Dates=H","DateFormat=P","Fill=—","Direction=H","UseDPDF=Y")</f>
        <v>—</v>
      </c>
      <c r="W173" s="13">
        <f>_xll.BDH("GILD US Equity","ARDR_FV_ASTS_REC_L3_AFS_NON_GSE","FQ4 2023","FQ4 2023","Currency=USD","Period=FQ","BEST_FPERIOD_OVERRIDE=FQ","FILING_STATUS=MR","SCALING_FORMAT=MLN","Sort=A","Dates=H","DateFormat=P","Fill=—","Direction=H","UseDPDF=Y")</f>
        <v>0</v>
      </c>
      <c r="X173" s="13" t="str">
        <f>_xll.BDH("GILD US Equity","ARDR_FV_ASTS_REC_L3_AFS_NON_GSE","FQ1 2024","FQ1 2024","Currency=USD","Period=FQ","BEST_FPERIOD_OVERRIDE=FQ","FILING_STATUS=MR","SCALING_FORMAT=MLN","Sort=A","Dates=H","DateFormat=P","Fill=—","Direction=H","UseDPDF=Y")</f>
        <v>—</v>
      </c>
      <c r="Y173" s="13" t="str">
        <f>_xll.BDH("GILD US Equity","ARDR_FV_ASTS_REC_L3_AFS_NON_GSE","FQ2 2024","FQ2 2024","Currency=USD","Period=FQ","BEST_FPERIOD_OVERRIDE=FQ","FILING_STATUS=MR","SCALING_FORMAT=MLN","Sort=A","Dates=H","DateFormat=P","Fill=—","Direction=H","UseDPDF=Y")</f>
        <v>—</v>
      </c>
      <c r="Z173" s="13">
        <f>_xll.BDH("GILD US Equity","ARDR_FV_ASTS_REC_L3_AFS_NON_GSE","FQ3 2024","FQ3 2024","Currency=USD","Period=FQ","BEST_FPERIOD_OVERRIDE=FQ","FILING_STATUS=MR","SCALING_FORMAT=MLN","Sort=A","Dates=H","DateFormat=P","Fill=—","Direction=H","UseDPDF=Y")</f>
        <v>0</v>
      </c>
      <c r="AA173" s="13" t="str">
        <f>_xll.BDH("GILD US Equity","ARDR_FV_ASTS_REC_L3_AFS_NON_GSE","FQ4 2024","FQ4 2024","Currency=USD","Period=FQ","BEST_FPERIOD_OVERRIDE=FQ","FILING_STATUS=MR","SCALING_FORMAT=MLN","Sort=A","Dates=H","DateFormat=P","Fill=—","Direction=H","UseDPDF=Y")</f>
        <v>—</v>
      </c>
    </row>
    <row r="174" spans="1:27" x14ac:dyDescent="0.25">
      <c r="A174" s="10" t="s">
        <v>1205</v>
      </c>
      <c r="B174" s="10" t="s">
        <v>1206</v>
      </c>
      <c r="C174" s="13">
        <f>_xll.BDH("GILD US Equity","ARDR_FV_ASSETS_REC_L3_AFS_OTHER","FQ4 2018","FQ4 2018","Currency=USD","Period=FQ","BEST_FPERIOD_OVERRIDE=FQ","FILING_STATUS=MR","SCALING_FORMAT=MLN","Sort=A","Dates=H","DateFormat=P","Fill=—","Direction=H","UseDPDF=Y")</f>
        <v>0</v>
      </c>
      <c r="D174" s="13">
        <f>_xll.BDH("GILD US Equity","ARDR_FV_ASSETS_REC_L3_AFS_OTHER","FQ1 2019","FQ1 2019","Currency=USD","Period=FQ","BEST_FPERIOD_OVERRIDE=FQ","FILING_STATUS=MR","SCALING_FORMAT=MLN","Sort=A","Dates=H","DateFormat=P","Fill=—","Direction=H","UseDPDF=Y")</f>
        <v>0</v>
      </c>
      <c r="E174" s="13">
        <f>_xll.BDH("GILD US Equity","ARDR_FV_ASSETS_REC_L3_AFS_OTHER","FQ2 2019","FQ2 2019","Currency=USD","Period=FQ","BEST_FPERIOD_OVERRIDE=FQ","FILING_STATUS=MR","SCALING_FORMAT=MLN","Sort=A","Dates=H","DateFormat=P","Fill=—","Direction=H","UseDPDF=Y")</f>
        <v>0</v>
      </c>
      <c r="F174" s="13">
        <f>_xll.BDH("GILD US Equity","ARDR_FV_ASSETS_REC_L3_AFS_OTHER","FQ3 2019","FQ3 2019","Currency=USD","Period=FQ","BEST_FPERIOD_OVERRIDE=FQ","FILING_STATUS=MR","SCALING_FORMAT=MLN","Sort=A","Dates=H","DateFormat=P","Fill=—","Direction=H","UseDPDF=Y")</f>
        <v>0</v>
      </c>
      <c r="G174" s="13" t="str">
        <f>_xll.BDH("GILD US Equity","ARDR_FV_ASSETS_REC_L3_AFS_OTHER","FQ4 2019","FQ4 2019","Currency=USD","Period=FQ","BEST_FPERIOD_OVERRIDE=FQ","FILING_STATUS=MR","SCALING_FORMAT=MLN","Sort=A","Dates=H","DateFormat=P","Fill=—","Direction=H","UseDPDF=Y")</f>
        <v>—</v>
      </c>
      <c r="H174" s="13">
        <f>_xll.BDH("GILD US Equity","ARDR_FV_ASSETS_REC_L3_AFS_OTHER","FQ1 2020","FQ1 2020","Currency=USD","Period=FQ","BEST_FPERIOD_OVERRIDE=FQ","FILING_STATUS=MR","SCALING_FORMAT=MLN","Sort=A","Dates=H","DateFormat=P","Fill=—","Direction=H","UseDPDF=Y")</f>
        <v>0</v>
      </c>
      <c r="I174" s="13">
        <f>_xll.BDH("GILD US Equity","ARDR_FV_ASSETS_REC_L3_AFS_OTHER","FQ2 2020","FQ2 2020","Currency=USD","Period=FQ","BEST_FPERIOD_OVERRIDE=FQ","FILING_STATUS=MR","SCALING_FORMAT=MLN","Sort=A","Dates=H","DateFormat=P","Fill=—","Direction=H","UseDPDF=Y")</f>
        <v>0</v>
      </c>
      <c r="J174" s="13">
        <f>_xll.BDH("GILD US Equity","ARDR_FV_ASSETS_REC_L3_AFS_OTHER","FQ3 2020","FQ3 2020","Currency=USD","Period=FQ","BEST_FPERIOD_OVERRIDE=FQ","FILING_STATUS=MR","SCALING_FORMAT=MLN","Sort=A","Dates=H","DateFormat=P","Fill=—","Direction=H","UseDPDF=Y")</f>
        <v>0</v>
      </c>
      <c r="K174" s="13">
        <f>_xll.BDH("GILD US Equity","ARDR_FV_ASSETS_REC_L3_AFS_OTHER","FQ4 2020","FQ4 2020","Currency=USD","Period=FQ","BEST_FPERIOD_OVERRIDE=FQ","FILING_STATUS=MR","SCALING_FORMAT=MLN","Sort=A","Dates=H","DateFormat=P","Fill=—","Direction=H","UseDPDF=Y")</f>
        <v>0</v>
      </c>
      <c r="L174" s="13">
        <f>_xll.BDH("GILD US Equity","ARDR_FV_ASSETS_REC_L3_AFS_OTHER","FQ1 2021","FQ1 2021","Currency=USD","Period=FQ","BEST_FPERIOD_OVERRIDE=FQ","FILING_STATUS=MR","SCALING_FORMAT=MLN","Sort=A","Dates=H","DateFormat=P","Fill=—","Direction=H","UseDPDF=Y")</f>
        <v>0</v>
      </c>
      <c r="M174" s="13">
        <f>_xll.BDH("GILD US Equity","ARDR_FV_ASSETS_REC_L3_AFS_OTHER","FQ2 2021","FQ2 2021","Currency=USD","Period=FQ","BEST_FPERIOD_OVERRIDE=FQ","FILING_STATUS=MR","SCALING_FORMAT=MLN","Sort=A","Dates=H","DateFormat=P","Fill=—","Direction=H","UseDPDF=Y")</f>
        <v>0</v>
      </c>
      <c r="N174" s="13">
        <f>_xll.BDH("GILD US Equity","ARDR_FV_ASSETS_REC_L3_AFS_OTHER","FQ3 2021","FQ3 2021","Currency=USD","Period=FQ","BEST_FPERIOD_OVERRIDE=FQ","FILING_STATUS=MR","SCALING_FORMAT=MLN","Sort=A","Dates=H","DateFormat=P","Fill=—","Direction=H","UseDPDF=Y")</f>
        <v>0</v>
      </c>
      <c r="O174" s="13">
        <f>_xll.BDH("GILD US Equity","ARDR_FV_ASSETS_REC_L3_AFS_OTHER","FQ4 2021","FQ4 2021","Currency=USD","Period=FQ","BEST_FPERIOD_OVERRIDE=FQ","FILING_STATUS=MR","SCALING_FORMAT=MLN","Sort=A","Dates=H","DateFormat=P","Fill=—","Direction=H","UseDPDF=Y")</f>
        <v>0</v>
      </c>
      <c r="P174" s="13">
        <f>_xll.BDH("GILD US Equity","ARDR_FV_ASSETS_REC_L3_AFS_OTHER","FQ1 2022","FQ1 2022","Currency=USD","Period=FQ","BEST_FPERIOD_OVERRIDE=FQ","FILING_STATUS=MR","SCALING_FORMAT=MLN","Sort=A","Dates=H","DateFormat=P","Fill=—","Direction=H","UseDPDF=Y")</f>
        <v>0</v>
      </c>
      <c r="Q174" s="13" t="str">
        <f>_xll.BDH("GILD US Equity","ARDR_FV_ASSETS_REC_L3_AFS_OTHER","FQ2 2022","FQ2 2022","Currency=USD","Period=FQ","BEST_FPERIOD_OVERRIDE=FQ","FILING_STATUS=MR","SCALING_FORMAT=MLN","Sort=A","Dates=H","DateFormat=P","Fill=—","Direction=H","UseDPDF=Y")</f>
        <v>—</v>
      </c>
      <c r="R174" s="13">
        <f>_xll.BDH("GILD US Equity","ARDR_FV_ASSETS_REC_L3_AFS_OTHER","FQ3 2022","FQ3 2022","Currency=USD","Period=FQ","BEST_FPERIOD_OVERRIDE=FQ","FILING_STATUS=MR","SCALING_FORMAT=MLN","Sort=A","Dates=H","DateFormat=P","Fill=—","Direction=H","UseDPDF=Y")</f>
        <v>0</v>
      </c>
      <c r="S174" s="13" t="str">
        <f>_xll.BDH("GILD US Equity","ARDR_FV_ASSETS_REC_L3_AFS_OTHER","FQ4 2022","FQ4 2022","Currency=USD","Period=FQ","BEST_FPERIOD_OVERRIDE=FQ","FILING_STATUS=MR","SCALING_FORMAT=MLN","Sort=A","Dates=H","DateFormat=P","Fill=—","Direction=H","UseDPDF=Y")</f>
        <v>—</v>
      </c>
      <c r="T174" s="13" t="str">
        <f>_xll.BDH("GILD US Equity","ARDR_FV_ASSETS_REC_L3_AFS_OTHER","FQ1 2023","FQ1 2023","Currency=USD","Period=FQ","BEST_FPERIOD_OVERRIDE=FQ","FILING_STATUS=MR","SCALING_FORMAT=MLN","Sort=A","Dates=H","DateFormat=P","Fill=—","Direction=H","UseDPDF=Y")</f>
        <v>—</v>
      </c>
      <c r="U174" s="13">
        <f>_xll.BDH("GILD US Equity","ARDR_FV_ASSETS_REC_L3_AFS_OTHER","FQ2 2023","FQ2 2023","Currency=USD","Period=FQ","BEST_FPERIOD_OVERRIDE=FQ","FILING_STATUS=MR","SCALING_FORMAT=MLN","Sort=A","Dates=H","DateFormat=P","Fill=—","Direction=H","UseDPDF=Y")</f>
        <v>0</v>
      </c>
      <c r="V174" s="13">
        <f>_xll.BDH("GILD US Equity","ARDR_FV_ASSETS_REC_L3_AFS_OTHER","FQ3 2023","FQ3 2023","Currency=USD","Period=FQ","BEST_FPERIOD_OVERRIDE=FQ","FILING_STATUS=MR","SCALING_FORMAT=MLN","Sort=A","Dates=H","DateFormat=P","Fill=—","Direction=H","UseDPDF=Y")</f>
        <v>0</v>
      </c>
      <c r="W174" s="13">
        <f>_xll.BDH("GILD US Equity","ARDR_FV_ASSETS_REC_L3_AFS_OTHER","FQ4 2023","FQ4 2023","Currency=USD","Period=FQ","BEST_FPERIOD_OVERRIDE=FQ","FILING_STATUS=MR","SCALING_FORMAT=MLN","Sort=A","Dates=H","DateFormat=P","Fill=—","Direction=H","UseDPDF=Y")</f>
        <v>0</v>
      </c>
      <c r="X174" s="13">
        <f>_xll.BDH("GILD US Equity","ARDR_FV_ASSETS_REC_L3_AFS_OTHER","FQ1 2024","FQ1 2024","Currency=USD","Period=FQ","BEST_FPERIOD_OVERRIDE=FQ","FILING_STATUS=MR","SCALING_FORMAT=MLN","Sort=A","Dates=H","DateFormat=P","Fill=—","Direction=H","UseDPDF=Y")</f>
        <v>0</v>
      </c>
      <c r="Y174" s="13" t="str">
        <f>_xll.BDH("GILD US Equity","ARDR_FV_ASSETS_REC_L3_AFS_OTHER","FQ2 2024","FQ2 2024","Currency=USD","Period=FQ","BEST_FPERIOD_OVERRIDE=FQ","FILING_STATUS=MR","SCALING_FORMAT=MLN","Sort=A","Dates=H","DateFormat=P","Fill=—","Direction=H","UseDPDF=Y")</f>
        <v>—</v>
      </c>
      <c r="Z174" s="13">
        <f>_xll.BDH("GILD US Equity","ARDR_FV_ASSETS_REC_L3_AFS_OTHER","FQ3 2024","FQ3 2024","Currency=USD","Period=FQ","BEST_FPERIOD_OVERRIDE=FQ","FILING_STATUS=MR","SCALING_FORMAT=MLN","Sort=A","Dates=H","DateFormat=P","Fill=—","Direction=H","UseDPDF=Y")</f>
        <v>0</v>
      </c>
      <c r="AA174" s="13">
        <f>_xll.BDH("GILD US Equity","ARDR_FV_ASSETS_REC_L3_AFS_OTHER","FQ4 2024","FQ4 2024","Currency=USD","Period=FQ","BEST_FPERIOD_OVERRIDE=FQ","FILING_STATUS=MR","SCALING_FORMAT=MLN","Sort=A","Dates=H","DateFormat=P","Fill=—","Direction=H","UseDPDF=Y")</f>
        <v>0</v>
      </c>
    </row>
    <row r="175" spans="1:27" x14ac:dyDescent="0.25">
      <c r="A175" s="10" t="s">
        <v>1207</v>
      </c>
      <c r="B175" s="10" t="s">
        <v>1208</v>
      </c>
      <c r="C175" s="13">
        <f>_xll.BDH("GILD US Equity","ARDR_FV_ASTS_REC_L3_DERIVATIVES","FQ4 2018","FQ4 2018","Currency=USD","Period=FQ","BEST_FPERIOD_OVERRIDE=FQ","FILING_STATUS=MR","SCALING_FORMAT=MLN","Sort=A","Dates=H","DateFormat=P","Fill=—","Direction=H","UseDPDF=Y")</f>
        <v>0</v>
      </c>
      <c r="D175" s="13">
        <f>_xll.BDH("GILD US Equity","ARDR_FV_ASTS_REC_L3_DERIVATIVES","FQ1 2019","FQ1 2019","Currency=USD","Period=FQ","BEST_FPERIOD_OVERRIDE=FQ","FILING_STATUS=MR","SCALING_FORMAT=MLN","Sort=A","Dates=H","DateFormat=P","Fill=—","Direction=H","UseDPDF=Y")</f>
        <v>0</v>
      </c>
      <c r="E175" s="13" t="str">
        <f>_xll.BDH("GILD US Equity","ARDR_FV_ASTS_REC_L3_DERIVATIVES","FQ2 2019","FQ2 2019","Currency=USD","Period=FQ","BEST_FPERIOD_OVERRIDE=FQ","FILING_STATUS=MR","SCALING_FORMAT=MLN","Sort=A","Dates=H","DateFormat=P","Fill=—","Direction=H","UseDPDF=Y")</f>
        <v>—</v>
      </c>
      <c r="F175" s="13" t="str">
        <f>_xll.BDH("GILD US Equity","ARDR_FV_ASTS_REC_L3_DERIVATIVES","FQ3 2019","FQ3 2019","Currency=USD","Period=FQ","BEST_FPERIOD_OVERRIDE=FQ","FILING_STATUS=MR","SCALING_FORMAT=MLN","Sort=A","Dates=H","DateFormat=P","Fill=—","Direction=H","UseDPDF=Y")</f>
        <v>—</v>
      </c>
      <c r="G175" s="13">
        <f>_xll.BDH("GILD US Equity","ARDR_FV_ASTS_REC_L3_DERIVATIVES","FQ4 2019","FQ4 2019","Currency=USD","Period=FQ","BEST_FPERIOD_OVERRIDE=FQ","FILING_STATUS=MR","SCALING_FORMAT=MLN","Sort=A","Dates=H","DateFormat=P","Fill=—","Direction=H","UseDPDF=Y")</f>
        <v>0</v>
      </c>
      <c r="H175" s="13">
        <f>_xll.BDH("GILD US Equity","ARDR_FV_ASTS_REC_L3_DERIVATIVES","FQ1 2020","FQ1 2020","Currency=USD","Period=FQ","BEST_FPERIOD_OVERRIDE=FQ","FILING_STATUS=MR","SCALING_FORMAT=MLN","Sort=A","Dates=H","DateFormat=P","Fill=—","Direction=H","UseDPDF=Y")</f>
        <v>0</v>
      </c>
      <c r="I175" s="13">
        <f>_xll.BDH("GILD US Equity","ARDR_FV_ASTS_REC_L3_DERIVATIVES","FQ2 2020","FQ2 2020","Currency=USD","Period=FQ","BEST_FPERIOD_OVERRIDE=FQ","FILING_STATUS=MR","SCALING_FORMAT=MLN","Sort=A","Dates=H","DateFormat=P","Fill=—","Direction=H","UseDPDF=Y")</f>
        <v>0</v>
      </c>
      <c r="J175" s="13">
        <f>_xll.BDH("GILD US Equity","ARDR_FV_ASTS_REC_L3_DERIVATIVES","FQ3 2020","FQ3 2020","Currency=USD","Period=FQ","BEST_FPERIOD_OVERRIDE=FQ","FILING_STATUS=MR","SCALING_FORMAT=MLN","Sort=A","Dates=H","DateFormat=P","Fill=—","Direction=H","UseDPDF=Y")</f>
        <v>0</v>
      </c>
      <c r="K175" s="13">
        <f>_xll.BDH("GILD US Equity","ARDR_FV_ASTS_REC_L3_DERIVATIVES","FQ4 2020","FQ4 2020","Currency=USD","Period=FQ","BEST_FPERIOD_OVERRIDE=FQ","FILING_STATUS=MR","SCALING_FORMAT=MLN","Sort=A","Dates=H","DateFormat=P","Fill=—","Direction=H","UseDPDF=Y")</f>
        <v>0</v>
      </c>
      <c r="L175" s="13" t="str">
        <f>_xll.BDH("GILD US Equity","ARDR_FV_ASTS_REC_L3_DERIVATIVES","FQ1 2021","FQ1 2021","Currency=USD","Period=FQ","BEST_FPERIOD_OVERRIDE=FQ","FILING_STATUS=MR","SCALING_FORMAT=MLN","Sort=A","Dates=H","DateFormat=P","Fill=—","Direction=H","UseDPDF=Y")</f>
        <v>—</v>
      </c>
      <c r="M175" s="13" t="str">
        <f>_xll.BDH("GILD US Equity","ARDR_FV_ASTS_REC_L3_DERIVATIVES","FQ2 2021","FQ2 2021","Currency=USD","Period=FQ","BEST_FPERIOD_OVERRIDE=FQ","FILING_STATUS=MR","SCALING_FORMAT=MLN","Sort=A","Dates=H","DateFormat=P","Fill=—","Direction=H","UseDPDF=Y")</f>
        <v>—</v>
      </c>
      <c r="N175" s="13">
        <f>_xll.BDH("GILD US Equity","ARDR_FV_ASTS_REC_L3_DERIVATIVES","FQ3 2021","FQ3 2021","Currency=USD","Period=FQ","BEST_FPERIOD_OVERRIDE=FQ","FILING_STATUS=MR","SCALING_FORMAT=MLN","Sort=A","Dates=H","DateFormat=P","Fill=—","Direction=H","UseDPDF=Y")</f>
        <v>0</v>
      </c>
      <c r="O175" s="13" t="str">
        <f>_xll.BDH("GILD US Equity","ARDR_FV_ASTS_REC_L3_DERIVATIVES","FQ4 2021","FQ4 2021","Currency=USD","Period=FQ","BEST_FPERIOD_OVERRIDE=FQ","FILING_STATUS=MR","SCALING_FORMAT=MLN","Sort=A","Dates=H","DateFormat=P","Fill=—","Direction=H","UseDPDF=Y")</f>
        <v>—</v>
      </c>
      <c r="P175" s="13">
        <f>_xll.BDH("GILD US Equity","ARDR_FV_ASTS_REC_L3_DERIVATIVES","FQ1 2022","FQ1 2022","Currency=USD","Period=FQ","BEST_FPERIOD_OVERRIDE=FQ","FILING_STATUS=MR","SCALING_FORMAT=MLN","Sort=A","Dates=H","DateFormat=P","Fill=—","Direction=H","UseDPDF=Y")</f>
        <v>0</v>
      </c>
      <c r="Q175" s="13">
        <f>_xll.BDH("GILD US Equity","ARDR_FV_ASTS_REC_L3_DERIVATIVES","FQ2 2022","FQ2 2022","Currency=USD","Period=FQ","BEST_FPERIOD_OVERRIDE=FQ","FILING_STATUS=MR","SCALING_FORMAT=MLN","Sort=A","Dates=H","DateFormat=P","Fill=—","Direction=H","UseDPDF=Y")</f>
        <v>0</v>
      </c>
      <c r="R175" s="13">
        <f>_xll.BDH("GILD US Equity","ARDR_FV_ASTS_REC_L3_DERIVATIVES","FQ3 2022","FQ3 2022","Currency=USD","Period=FQ","BEST_FPERIOD_OVERRIDE=FQ","FILING_STATUS=MR","SCALING_FORMAT=MLN","Sort=A","Dates=H","DateFormat=P","Fill=—","Direction=H","UseDPDF=Y")</f>
        <v>0</v>
      </c>
      <c r="S175" s="13">
        <f>_xll.BDH("GILD US Equity","ARDR_FV_ASTS_REC_L3_DERIVATIVES","FQ4 2022","FQ4 2022","Currency=USD","Period=FQ","BEST_FPERIOD_OVERRIDE=FQ","FILING_STATUS=MR","SCALING_FORMAT=MLN","Sort=A","Dates=H","DateFormat=P","Fill=—","Direction=H","UseDPDF=Y")</f>
        <v>0</v>
      </c>
      <c r="T175" s="13">
        <f>_xll.BDH("GILD US Equity","ARDR_FV_ASTS_REC_L3_DERIVATIVES","FQ1 2023","FQ1 2023","Currency=USD","Period=FQ","BEST_FPERIOD_OVERRIDE=FQ","FILING_STATUS=MR","SCALING_FORMAT=MLN","Sort=A","Dates=H","DateFormat=P","Fill=—","Direction=H","UseDPDF=Y")</f>
        <v>0</v>
      </c>
      <c r="U175" s="13">
        <f>_xll.BDH("GILD US Equity","ARDR_FV_ASTS_REC_L3_DERIVATIVES","FQ2 2023","FQ2 2023","Currency=USD","Period=FQ","BEST_FPERIOD_OVERRIDE=FQ","FILING_STATUS=MR","SCALING_FORMAT=MLN","Sort=A","Dates=H","DateFormat=P","Fill=—","Direction=H","UseDPDF=Y")</f>
        <v>0</v>
      </c>
      <c r="V175" s="13">
        <f>_xll.BDH("GILD US Equity","ARDR_FV_ASTS_REC_L3_DERIVATIVES","FQ3 2023","FQ3 2023","Currency=USD","Period=FQ","BEST_FPERIOD_OVERRIDE=FQ","FILING_STATUS=MR","SCALING_FORMAT=MLN","Sort=A","Dates=H","DateFormat=P","Fill=—","Direction=H","UseDPDF=Y")</f>
        <v>0</v>
      </c>
      <c r="W175" s="13">
        <f>_xll.BDH("GILD US Equity","ARDR_FV_ASTS_REC_L3_DERIVATIVES","FQ4 2023","FQ4 2023","Currency=USD","Period=FQ","BEST_FPERIOD_OVERRIDE=FQ","FILING_STATUS=MR","SCALING_FORMAT=MLN","Sort=A","Dates=H","DateFormat=P","Fill=—","Direction=H","UseDPDF=Y")</f>
        <v>0</v>
      </c>
      <c r="X175" s="13">
        <f>_xll.BDH("GILD US Equity","ARDR_FV_ASTS_REC_L3_DERIVATIVES","FQ1 2024","FQ1 2024","Currency=USD","Period=FQ","BEST_FPERIOD_OVERRIDE=FQ","FILING_STATUS=MR","SCALING_FORMAT=MLN","Sort=A","Dates=H","DateFormat=P","Fill=—","Direction=H","UseDPDF=Y")</f>
        <v>0</v>
      </c>
      <c r="Y175" s="13">
        <f>_xll.BDH("GILD US Equity","ARDR_FV_ASTS_REC_L3_DERIVATIVES","FQ2 2024","FQ2 2024","Currency=USD","Period=FQ","BEST_FPERIOD_OVERRIDE=FQ","FILING_STATUS=MR","SCALING_FORMAT=MLN","Sort=A","Dates=H","DateFormat=P","Fill=—","Direction=H","UseDPDF=Y")</f>
        <v>0</v>
      </c>
      <c r="Z175" s="13">
        <f>_xll.BDH("GILD US Equity","ARDR_FV_ASTS_REC_L3_DERIVATIVES","FQ3 2024","FQ3 2024","Currency=USD","Period=FQ","BEST_FPERIOD_OVERRIDE=FQ","FILING_STATUS=MR","SCALING_FORMAT=MLN","Sort=A","Dates=H","DateFormat=P","Fill=—","Direction=H","UseDPDF=Y")</f>
        <v>0</v>
      </c>
      <c r="AA175" s="13">
        <f>_xll.BDH("GILD US Equity","ARDR_FV_ASTS_REC_L3_DERIVATIVES","FQ4 2024","FQ4 2024","Currency=USD","Period=FQ","BEST_FPERIOD_OVERRIDE=FQ","FILING_STATUS=MR","SCALING_FORMAT=MLN","Sort=A","Dates=H","DateFormat=P","Fill=—","Direction=H","UseDPDF=Y")</f>
        <v>0</v>
      </c>
    </row>
    <row r="176" spans="1:27" x14ac:dyDescent="0.25">
      <c r="A176" s="10" t="s">
        <v>1209</v>
      </c>
      <c r="B176" s="10" t="s">
        <v>1210</v>
      </c>
      <c r="C176" s="13">
        <f>_xll.BDH("GILD US Equity","ARDR_FV_ASSETS_REC_L3_OTHER","FQ4 2018","FQ4 2018","Currency=USD","Period=FQ","BEST_FPERIOD_OVERRIDE=FQ","FILING_STATUS=MR","SCALING_FORMAT=MLN","Sort=A","Dates=H","DateFormat=P","Fill=—","Direction=H","UseDPDF=Y")</f>
        <v>0</v>
      </c>
      <c r="D176" s="13">
        <f>_xll.BDH("GILD US Equity","ARDR_FV_ASSETS_REC_L3_OTHER","FQ1 2019","FQ1 2019","Currency=USD","Period=FQ","BEST_FPERIOD_OVERRIDE=FQ","FILING_STATUS=MR","SCALING_FORMAT=MLN","Sort=A","Dates=H","DateFormat=P","Fill=—","Direction=H","UseDPDF=Y")</f>
        <v>0</v>
      </c>
      <c r="E176" s="13">
        <f>_xll.BDH("GILD US Equity","ARDR_FV_ASSETS_REC_L3_OTHER","FQ2 2019","FQ2 2019","Currency=USD","Period=FQ","BEST_FPERIOD_OVERRIDE=FQ","FILING_STATUS=MR","SCALING_FORMAT=MLN","Sort=A","Dates=H","DateFormat=P","Fill=—","Direction=H","UseDPDF=Y")</f>
        <v>0</v>
      </c>
      <c r="F176" s="13">
        <f>_xll.BDH("GILD US Equity","ARDR_FV_ASSETS_REC_L3_OTHER","FQ3 2019","FQ3 2019","Currency=USD","Period=FQ","BEST_FPERIOD_OVERRIDE=FQ","FILING_STATUS=MR","SCALING_FORMAT=MLN","Sort=A","Dates=H","DateFormat=P","Fill=—","Direction=H","UseDPDF=Y")</f>
        <v>0</v>
      </c>
      <c r="G176" s="13">
        <f>_xll.BDH("GILD US Equity","ARDR_FV_ASSETS_REC_L3_OTHER","FQ4 2019","FQ4 2019","Currency=USD","Period=FQ","BEST_FPERIOD_OVERRIDE=FQ","FILING_STATUS=MR","SCALING_FORMAT=MLN","Sort=A","Dates=H","DateFormat=P","Fill=—","Direction=H","UseDPDF=Y")</f>
        <v>0</v>
      </c>
      <c r="H176" s="13">
        <f>_xll.BDH("GILD US Equity","ARDR_FV_ASSETS_REC_L3_OTHER","FQ1 2020","FQ1 2020","Currency=USD","Period=FQ","BEST_FPERIOD_OVERRIDE=FQ","FILING_STATUS=MR","SCALING_FORMAT=MLN","Sort=A","Dates=H","DateFormat=P","Fill=—","Direction=H","UseDPDF=Y")</f>
        <v>0</v>
      </c>
      <c r="I176" s="13">
        <f>_xll.BDH("GILD US Equity","ARDR_FV_ASSETS_REC_L3_OTHER","FQ2 2020","FQ2 2020","Currency=USD","Period=FQ","BEST_FPERIOD_OVERRIDE=FQ","FILING_STATUS=MR","SCALING_FORMAT=MLN","Sort=A","Dates=H","DateFormat=P","Fill=—","Direction=H","UseDPDF=Y")</f>
        <v>0</v>
      </c>
      <c r="J176" s="13">
        <f>_xll.BDH("GILD US Equity","ARDR_FV_ASSETS_REC_L3_OTHER","FQ3 2020","FQ3 2020","Currency=USD","Period=FQ","BEST_FPERIOD_OVERRIDE=FQ","FILING_STATUS=MR","SCALING_FORMAT=MLN","Sort=A","Dates=H","DateFormat=P","Fill=—","Direction=H","UseDPDF=Y")</f>
        <v>0</v>
      </c>
      <c r="K176" s="13">
        <f>_xll.BDH("GILD US Equity","ARDR_FV_ASSETS_REC_L3_OTHER","FQ4 2020","FQ4 2020","Currency=USD","Period=FQ","BEST_FPERIOD_OVERRIDE=FQ","FILING_STATUS=MR","SCALING_FORMAT=MLN","Sort=A","Dates=H","DateFormat=P","Fill=—","Direction=H","UseDPDF=Y")</f>
        <v>0</v>
      </c>
      <c r="L176" s="13">
        <f>_xll.BDH("GILD US Equity","ARDR_FV_ASSETS_REC_L3_OTHER","FQ1 2021","FQ1 2021","Currency=USD","Period=FQ","BEST_FPERIOD_OVERRIDE=FQ","FILING_STATUS=MR","SCALING_FORMAT=MLN","Sort=A","Dates=H","DateFormat=P","Fill=—","Direction=H","UseDPDF=Y")</f>
        <v>0</v>
      </c>
      <c r="M176" s="13">
        <f>_xll.BDH("GILD US Equity","ARDR_FV_ASSETS_REC_L3_OTHER","FQ2 2021","FQ2 2021","Currency=USD","Period=FQ","BEST_FPERIOD_OVERRIDE=FQ","FILING_STATUS=MR","SCALING_FORMAT=MLN","Sort=A","Dates=H","DateFormat=P","Fill=—","Direction=H","UseDPDF=Y")</f>
        <v>0</v>
      </c>
      <c r="N176" s="13">
        <f>_xll.BDH("GILD US Equity","ARDR_FV_ASSETS_REC_L3_OTHER","FQ3 2021","FQ3 2021","Currency=USD","Period=FQ","BEST_FPERIOD_OVERRIDE=FQ","FILING_STATUS=MR","SCALING_FORMAT=MLN","Sort=A","Dates=H","DateFormat=P","Fill=—","Direction=H","UseDPDF=Y")</f>
        <v>0</v>
      </c>
      <c r="O176" s="13">
        <f>_xll.BDH("GILD US Equity","ARDR_FV_ASSETS_REC_L3_OTHER","FQ4 2021","FQ4 2021","Currency=USD","Period=FQ","BEST_FPERIOD_OVERRIDE=FQ","FILING_STATUS=MR","SCALING_FORMAT=MLN","Sort=A","Dates=H","DateFormat=P","Fill=—","Direction=H","UseDPDF=Y")</f>
        <v>0</v>
      </c>
      <c r="P176" s="13">
        <f>_xll.BDH("GILD US Equity","ARDR_FV_ASSETS_REC_L3_OTHER","FQ1 2022","FQ1 2022","Currency=USD","Period=FQ","BEST_FPERIOD_OVERRIDE=FQ","FILING_STATUS=MR","SCALING_FORMAT=MLN","Sort=A","Dates=H","DateFormat=P","Fill=—","Direction=H","UseDPDF=Y")</f>
        <v>0</v>
      </c>
      <c r="Q176" s="13">
        <f>_xll.BDH("GILD US Equity","ARDR_FV_ASSETS_REC_L3_OTHER","FQ2 2022","FQ2 2022","Currency=USD","Period=FQ","BEST_FPERIOD_OVERRIDE=FQ","FILING_STATUS=MR","SCALING_FORMAT=MLN","Sort=A","Dates=H","DateFormat=P","Fill=—","Direction=H","UseDPDF=Y")</f>
        <v>0</v>
      </c>
      <c r="R176" s="13">
        <f>_xll.BDH("GILD US Equity","ARDR_FV_ASSETS_REC_L3_OTHER","FQ3 2022","FQ3 2022","Currency=USD","Period=FQ","BEST_FPERIOD_OVERRIDE=FQ","FILING_STATUS=MR","SCALING_FORMAT=MLN","Sort=A","Dates=H","DateFormat=P","Fill=—","Direction=H","UseDPDF=Y")</f>
        <v>0</v>
      </c>
      <c r="S176" s="13" t="str">
        <f>_xll.BDH("GILD US Equity","ARDR_FV_ASSETS_REC_L3_OTHER","FQ4 2022","FQ4 2022","Currency=USD","Period=FQ","BEST_FPERIOD_OVERRIDE=FQ","FILING_STATUS=MR","SCALING_FORMAT=MLN","Sort=A","Dates=H","DateFormat=P","Fill=—","Direction=H","UseDPDF=Y")</f>
        <v>—</v>
      </c>
      <c r="T176" s="13">
        <f>_xll.BDH("GILD US Equity","ARDR_FV_ASSETS_REC_L3_OTHER","FQ1 2023","FQ1 2023","Currency=USD","Period=FQ","BEST_FPERIOD_OVERRIDE=FQ","FILING_STATUS=MR","SCALING_FORMAT=MLN","Sort=A","Dates=H","DateFormat=P","Fill=—","Direction=H","UseDPDF=Y")</f>
        <v>0</v>
      </c>
      <c r="U176" s="13">
        <f>_xll.BDH("GILD US Equity","ARDR_FV_ASSETS_REC_L3_OTHER","FQ2 2023","FQ2 2023","Currency=USD","Period=FQ","BEST_FPERIOD_OVERRIDE=FQ","FILING_STATUS=MR","SCALING_FORMAT=MLN","Sort=A","Dates=H","DateFormat=P","Fill=—","Direction=H","UseDPDF=Y")</f>
        <v>0</v>
      </c>
      <c r="V176" s="13">
        <f>_xll.BDH("GILD US Equity","ARDR_FV_ASSETS_REC_L3_OTHER","FQ3 2023","FQ3 2023","Currency=USD","Period=FQ","BEST_FPERIOD_OVERRIDE=FQ","FILING_STATUS=MR","SCALING_FORMAT=MLN","Sort=A","Dates=H","DateFormat=P","Fill=—","Direction=H","UseDPDF=Y")</f>
        <v>0</v>
      </c>
      <c r="W176" s="13" t="str">
        <f>_xll.BDH("GILD US Equity","ARDR_FV_ASSETS_REC_L3_OTHER","FQ4 2023","FQ4 2023","Currency=USD","Period=FQ","BEST_FPERIOD_OVERRIDE=FQ","FILING_STATUS=MR","SCALING_FORMAT=MLN","Sort=A","Dates=H","DateFormat=P","Fill=—","Direction=H","UseDPDF=Y")</f>
        <v>—</v>
      </c>
      <c r="X176" s="13">
        <f>_xll.BDH("GILD US Equity","ARDR_FV_ASSETS_REC_L3_OTHER","FQ1 2024","FQ1 2024","Currency=USD","Period=FQ","BEST_FPERIOD_OVERRIDE=FQ","FILING_STATUS=MR","SCALING_FORMAT=MLN","Sort=A","Dates=H","DateFormat=P","Fill=—","Direction=H","UseDPDF=Y")</f>
        <v>0</v>
      </c>
      <c r="Y176" s="13" t="str">
        <f>_xll.BDH("GILD US Equity","ARDR_FV_ASSETS_REC_L3_OTHER","FQ2 2024","FQ2 2024","Currency=USD","Period=FQ","BEST_FPERIOD_OVERRIDE=FQ","FILING_STATUS=MR","SCALING_FORMAT=MLN","Sort=A","Dates=H","DateFormat=P","Fill=—","Direction=H","UseDPDF=Y")</f>
        <v>—</v>
      </c>
      <c r="Z176" s="13" t="str">
        <f>_xll.BDH("GILD US Equity","ARDR_FV_ASSETS_REC_L3_OTHER","FQ3 2024","FQ3 2024","Currency=USD","Period=FQ","BEST_FPERIOD_OVERRIDE=FQ","FILING_STATUS=MR","SCALING_FORMAT=MLN","Sort=A","Dates=H","DateFormat=P","Fill=—","Direction=H","UseDPDF=Y")</f>
        <v>—</v>
      </c>
      <c r="AA176" s="13" t="str">
        <f>_xll.BDH("GILD US Equity","ARDR_FV_ASSETS_REC_L3_OTHER","FQ4 2024","FQ4 2024","Currency=USD","Period=FQ","BEST_FPERIOD_OVERRIDE=FQ","FILING_STATUS=MR","SCALING_FORMAT=MLN","Sort=A","Dates=H","DateFormat=P","Fill=—","Direction=H","UseDPDF=Y")</f>
        <v>—</v>
      </c>
    </row>
    <row r="177" spans="1:27" x14ac:dyDescent="0.25">
      <c r="A177" s="10" t="s">
        <v>1211</v>
      </c>
      <c r="B177" s="10" t="s">
        <v>1212</v>
      </c>
      <c r="C177" s="13">
        <f>_xll.BDH("GILD US Equity","ARDR_FV_ASSETS_REC_TOT_AFS","FQ4 2018","FQ4 2018","Currency=USD","Period=FQ","BEST_FPERIOD_OVERRIDE=FQ","FILING_STATUS=MR","SCALING_FORMAT=MLN","Sort=A","Dates=H","DateFormat=P","Fill=—","Direction=H","UseDPDF=Y")</f>
        <v>6374</v>
      </c>
      <c r="D177" s="13">
        <f>_xll.BDH("GILD US Equity","ARDR_FV_ASSETS_REC_TOT_AFS","FQ1 2019","FQ1 2019","Currency=USD","Period=FQ","BEST_FPERIOD_OVERRIDE=FQ","FILING_STATUS=MR","SCALING_FORMAT=MLN","Sort=A","Dates=H","DateFormat=P","Fill=—","Direction=H","UseDPDF=Y")</f>
        <v>29637</v>
      </c>
      <c r="E177" s="13">
        <f>_xll.BDH("GILD US Equity","ARDR_FV_ASSETS_REC_TOT_AFS","FQ2 2019","FQ2 2019","Currency=USD","Period=FQ","BEST_FPERIOD_OVERRIDE=FQ","FILING_STATUS=MR","SCALING_FORMAT=MLN","Sort=A","Dates=H","DateFormat=P","Fill=—","Direction=H","UseDPDF=Y")</f>
        <v>25059</v>
      </c>
      <c r="F177" s="13">
        <f>_xll.BDH("GILD US Equity","ARDR_FV_ASSETS_REC_TOT_AFS","FQ3 2019","FQ3 2019","Currency=USD","Period=FQ","BEST_FPERIOD_OVERRIDE=FQ","FILING_STATUS=MR","SCALING_FORMAT=MLN","Sort=A","Dates=H","DateFormat=P","Fill=—","Direction=H","UseDPDF=Y")</f>
        <v>19053</v>
      </c>
      <c r="G177" s="13" t="str">
        <f>_xll.BDH("GILD US Equity","ARDR_FV_ASSETS_REC_TOT_AFS","FQ4 2019","FQ4 2019","Currency=USD","Period=FQ","BEST_FPERIOD_OVERRIDE=FQ","FILING_STATUS=MR","SCALING_FORMAT=MLN","Sort=A","Dates=H","DateFormat=P","Fill=—","Direction=H","UseDPDF=Y")</f>
        <v>—</v>
      </c>
      <c r="H177" s="13">
        <f>_xll.BDH("GILD US Equity","ARDR_FV_ASSETS_REC_TOT_AFS","FQ1 2020","FQ1 2020","Currency=USD","Period=FQ","BEST_FPERIOD_OVERRIDE=FQ","FILING_STATUS=MR","SCALING_FORMAT=MLN","Sort=A","Dates=H","DateFormat=P","Fill=—","Direction=H","UseDPDF=Y")</f>
        <v>14920</v>
      </c>
      <c r="I177" s="13">
        <f>_xll.BDH("GILD US Equity","ARDR_FV_ASSETS_REC_TOT_AFS","FQ2 2020","FQ2 2020","Currency=USD","Period=FQ","BEST_FPERIOD_OVERRIDE=FQ","FILING_STATUS=MR","SCALING_FORMAT=MLN","Sort=A","Dates=H","DateFormat=P","Fill=—","Direction=H","UseDPDF=Y")</f>
        <v>14935</v>
      </c>
      <c r="J177" s="13">
        <f>_xll.BDH("GILD US Equity","ARDR_FV_ASSETS_REC_TOT_AFS","FQ3 2020","FQ3 2020","Currency=USD","Period=FQ","BEST_FPERIOD_OVERRIDE=FQ","FILING_STATUS=MR","SCALING_FORMAT=MLN","Sort=A","Dates=H","DateFormat=P","Fill=—","Direction=H","UseDPDF=Y")</f>
        <v>13399</v>
      </c>
      <c r="K177" s="13">
        <f>_xll.BDH("GILD US Equity","ARDR_FV_ASSETS_REC_TOT_AFS","FQ4 2020","FQ4 2020","Currency=USD","Period=FQ","BEST_FPERIOD_OVERRIDE=FQ","FILING_STATUS=MR","SCALING_FORMAT=MLN","Sort=A","Dates=H","DateFormat=P","Fill=—","Direction=H","UseDPDF=Y")</f>
        <v>2026</v>
      </c>
      <c r="L177" s="13">
        <f>_xll.BDH("GILD US Equity","ARDR_FV_ASSETS_REC_TOT_AFS","FQ1 2021","FQ1 2021","Currency=USD","Period=FQ","BEST_FPERIOD_OVERRIDE=FQ","FILING_STATUS=MR","SCALING_FORMAT=MLN","Sort=A","Dates=H","DateFormat=P","Fill=—","Direction=H","UseDPDF=Y")</f>
        <v>2478</v>
      </c>
      <c r="M177" s="13">
        <f>_xll.BDH("GILD US Equity","ARDR_FV_ASSETS_REC_TOT_AFS","FQ2 2021","FQ2 2021","Currency=USD","Period=FQ","BEST_FPERIOD_OVERRIDE=FQ","FILING_STATUS=MR","SCALING_FORMAT=MLN","Sort=A","Dates=H","DateFormat=P","Fill=—","Direction=H","UseDPDF=Y")</f>
        <v>2523</v>
      </c>
      <c r="N177" s="13">
        <f>_xll.BDH("GILD US Equity","ARDR_FV_ASSETS_REC_TOT_AFS","FQ3 2021","FQ3 2021","Currency=USD","Period=FQ","BEST_FPERIOD_OVERRIDE=FQ","FILING_STATUS=MR","SCALING_FORMAT=MLN","Sort=A","Dates=H","DateFormat=P","Fill=—","Direction=H","UseDPDF=Y")</f>
        <v>2489</v>
      </c>
      <c r="O177" s="13">
        <f>_xll.BDH("GILD US Equity","ARDR_FV_ASSETS_REC_TOT_AFS","FQ4 2021","FQ4 2021","Currency=USD","Period=FQ","BEST_FPERIOD_OVERRIDE=FQ","FILING_STATUS=MR","SCALING_FORMAT=MLN","Sort=A","Dates=H","DateFormat=P","Fill=—","Direction=H","UseDPDF=Y")</f>
        <v>2497</v>
      </c>
      <c r="P177" s="13">
        <f>_xll.BDH("GILD US Equity","ARDR_FV_ASSETS_REC_TOT_AFS","FQ1 2022","FQ1 2022","Currency=USD","Period=FQ","BEST_FPERIOD_OVERRIDE=FQ","FILING_STATUS=MR","SCALING_FORMAT=MLN","Sort=A","Dates=H","DateFormat=P","Fill=—","Direction=H","UseDPDF=Y")</f>
        <v>2513</v>
      </c>
      <c r="Q177" s="13">
        <f>_xll.BDH("GILD US Equity","ARDR_FV_ASSETS_REC_TOT_AFS","FQ2 2022","FQ2 2022","Currency=USD","Period=FQ","BEST_FPERIOD_OVERRIDE=FQ","FILING_STATUS=MR","SCALING_FORMAT=MLN","Sort=A","Dates=H","DateFormat=P","Fill=—","Direction=H","UseDPDF=Y")</f>
        <v>2290</v>
      </c>
      <c r="R177" s="13">
        <f>_xll.BDH("GILD US Equity","ARDR_FV_ASSETS_REC_TOT_AFS","FQ3 2022","FQ3 2022","Currency=USD","Period=FQ","BEST_FPERIOD_OVERRIDE=FQ","FILING_STATUS=MR","SCALING_FORMAT=MLN","Sort=A","Dates=H","DateFormat=P","Fill=—","Direction=H","UseDPDF=Y")</f>
        <v>2289</v>
      </c>
      <c r="S177" s="13">
        <f>_xll.BDH("GILD US Equity","ARDR_FV_ASSETS_REC_TOT_AFS","FQ4 2022","FQ4 2022","Currency=USD","Period=FQ","BEST_FPERIOD_OVERRIDE=FQ","FILING_STATUS=MR","SCALING_FORMAT=MLN","Sort=A","Dates=H","DateFormat=P","Fill=—","Direction=H","UseDPDF=Y")</f>
        <v>2293</v>
      </c>
      <c r="T177" s="13">
        <f>_xll.BDH("GILD US Equity","ARDR_FV_ASSETS_REC_TOT_AFS","FQ1 2023","FQ1 2023","Currency=USD","Period=FQ","BEST_FPERIOD_OVERRIDE=FQ","FILING_STATUS=MR","SCALING_FORMAT=MLN","Sort=A","Dates=H","DateFormat=P","Fill=—","Direction=H","UseDPDF=Y")</f>
        <v>1982</v>
      </c>
      <c r="U177" s="13">
        <f>_xll.BDH("GILD US Equity","ARDR_FV_ASSETS_REC_TOT_AFS","FQ2 2023","FQ2 2023","Currency=USD","Period=FQ","BEST_FPERIOD_OVERRIDE=FQ","FILING_STATUS=MR","SCALING_FORMAT=MLN","Sort=A","Dates=H","DateFormat=P","Fill=—","Direction=H","UseDPDF=Y")</f>
        <v>7801</v>
      </c>
      <c r="V177" s="13">
        <f>_xll.BDH("GILD US Equity","ARDR_FV_ASSETS_REC_TOT_AFS","FQ3 2023","FQ3 2023","Currency=USD","Period=FQ","BEST_FPERIOD_OVERRIDE=FQ","FILING_STATUS=MR","SCALING_FORMAT=MLN","Sort=A","Dates=H","DateFormat=P","Fill=—","Direction=H","UseDPDF=Y")</f>
        <v>4668</v>
      </c>
      <c r="W177" s="13">
        <f>_xll.BDH("GILD US Equity","ARDR_FV_ASSETS_REC_TOT_AFS","FQ4 2023","FQ4 2023","Currency=USD","Period=FQ","BEST_FPERIOD_OVERRIDE=FQ","FILING_STATUS=MR","SCALING_FORMAT=MLN","Sort=A","Dates=H","DateFormat=P","Fill=—","Direction=H","UseDPDF=Y")</f>
        <v>3884</v>
      </c>
      <c r="X177" s="13">
        <f>_xll.BDH("GILD US Equity","ARDR_FV_ASSETS_REC_TOT_AFS","FQ1 2024","FQ1 2024","Currency=USD","Period=FQ","BEST_FPERIOD_OVERRIDE=FQ","FILING_STATUS=MR","SCALING_FORMAT=MLN","Sort=A","Dates=H","DateFormat=P","Fill=—","Direction=H","UseDPDF=Y")</f>
        <v>1550</v>
      </c>
      <c r="Y177" s="13">
        <f>_xll.BDH("GILD US Equity","ARDR_FV_ASSETS_REC_TOT_AFS","FQ2 2024","FQ2 2024","Currency=USD","Period=FQ","BEST_FPERIOD_OVERRIDE=FQ","FILING_STATUS=MR","SCALING_FORMAT=MLN","Sort=A","Dates=H","DateFormat=P","Fill=—","Direction=H","UseDPDF=Y")</f>
        <v>3341</v>
      </c>
      <c r="Z177" s="13">
        <f>_xll.BDH("GILD US Equity","ARDR_FV_ASSETS_REC_TOT_AFS","FQ3 2024","FQ3 2024","Currency=USD","Period=FQ","BEST_FPERIOD_OVERRIDE=FQ","FILING_STATUS=MR","SCALING_FORMAT=MLN","Sort=A","Dates=H","DateFormat=P","Fill=—","Direction=H","UseDPDF=Y")</f>
        <v>5510</v>
      </c>
      <c r="AA177" s="13">
        <f>_xll.BDH("GILD US Equity","ARDR_FV_ASSETS_REC_TOT_AFS","FQ4 2024","FQ4 2024","Currency=USD","Period=FQ","BEST_FPERIOD_OVERRIDE=FQ","FILING_STATUS=MR","SCALING_FORMAT=MLN","Sort=A","Dates=H","DateFormat=P","Fill=—","Direction=H","UseDPDF=Y")</f>
        <v>10406</v>
      </c>
    </row>
    <row r="178" spans="1:27" x14ac:dyDescent="0.25">
      <c r="A178" s="10" t="s">
        <v>1213</v>
      </c>
      <c r="B178" s="10" t="s">
        <v>1214</v>
      </c>
      <c r="C178" s="13">
        <f>_xll.BDH("GILD US Equity","ARDR_FV_ASSETS_REC_TOT_CP","FQ4 2018","FQ4 2018","Currency=USD","Period=FQ","BEST_FPERIOD_OVERRIDE=FQ","FILING_STATUS=MR","SCALING_FORMAT=MLN","Sort=A","Dates=H","DateFormat=P","Fill=—","Direction=H","UseDPDF=Y")</f>
        <v>13067</v>
      </c>
      <c r="D178" s="13" t="str">
        <f>_xll.BDH("GILD US Equity","ARDR_FV_ASSETS_REC_TOT_CP","FQ1 2019","FQ1 2019","Currency=USD","Period=FQ","BEST_FPERIOD_OVERRIDE=FQ","FILING_STATUS=MR","SCALING_FORMAT=MLN","Sort=A","Dates=H","DateFormat=P","Fill=—","Direction=H","UseDPDF=Y")</f>
        <v>—</v>
      </c>
      <c r="E178" s="13" t="str">
        <f>_xll.BDH("GILD US Equity","ARDR_FV_ASSETS_REC_TOT_CP","FQ2 2019","FQ2 2019","Currency=USD","Period=FQ","BEST_FPERIOD_OVERRIDE=FQ","FILING_STATUS=MR","SCALING_FORMAT=MLN","Sort=A","Dates=H","DateFormat=P","Fill=—","Direction=H","UseDPDF=Y")</f>
        <v>—</v>
      </c>
      <c r="F178" s="13" t="str">
        <f>_xll.BDH("GILD US Equity","ARDR_FV_ASSETS_REC_TOT_CP","FQ3 2019","FQ3 2019","Currency=USD","Period=FQ","BEST_FPERIOD_OVERRIDE=FQ","FILING_STATUS=MR","SCALING_FORMAT=MLN","Sort=A","Dates=H","DateFormat=P","Fill=—","Direction=H","UseDPDF=Y")</f>
        <v>—</v>
      </c>
      <c r="G178" s="13" t="str">
        <f>_xll.BDH("GILD US Equity","ARDR_FV_ASSETS_REC_TOT_CP","FQ4 2019","FQ4 2019","Currency=USD","Period=FQ","BEST_FPERIOD_OVERRIDE=FQ","FILING_STATUS=MR","SCALING_FORMAT=MLN","Sort=A","Dates=H","DateFormat=P","Fill=—","Direction=H","UseDPDF=Y")</f>
        <v>—</v>
      </c>
      <c r="H178" s="13" t="str">
        <f>_xll.BDH("GILD US Equity","ARDR_FV_ASSETS_REC_TOT_CP","FQ1 2020","FQ1 2020","Currency=USD","Period=FQ","BEST_FPERIOD_OVERRIDE=FQ","FILING_STATUS=MR","SCALING_FORMAT=MLN","Sort=A","Dates=H","DateFormat=P","Fill=—","Direction=H","UseDPDF=Y")</f>
        <v>—</v>
      </c>
      <c r="I178" s="13" t="str">
        <f>_xll.BDH("GILD US Equity","ARDR_FV_ASSETS_REC_TOT_CP","FQ2 2020","FQ2 2020","Currency=USD","Period=FQ","BEST_FPERIOD_OVERRIDE=FQ","FILING_STATUS=MR","SCALING_FORMAT=MLN","Sort=A","Dates=H","DateFormat=P","Fill=—","Direction=H","UseDPDF=Y")</f>
        <v>—</v>
      </c>
      <c r="J178" s="13" t="str">
        <f>_xll.BDH("GILD US Equity","ARDR_FV_ASSETS_REC_TOT_CP","FQ3 2020","FQ3 2020","Currency=USD","Period=FQ","BEST_FPERIOD_OVERRIDE=FQ","FILING_STATUS=MR","SCALING_FORMAT=MLN","Sort=A","Dates=H","DateFormat=P","Fill=—","Direction=H","UseDPDF=Y")</f>
        <v>—</v>
      </c>
      <c r="K178" s="13" t="str">
        <f>_xll.BDH("GILD US Equity","ARDR_FV_ASSETS_REC_TOT_CP","FQ4 2020","FQ4 2020","Currency=USD","Period=FQ","BEST_FPERIOD_OVERRIDE=FQ","FILING_STATUS=MR","SCALING_FORMAT=MLN","Sort=A","Dates=H","DateFormat=P","Fill=—","Direction=H","UseDPDF=Y")</f>
        <v>—</v>
      </c>
      <c r="L178" s="13" t="str">
        <f>_xll.BDH("GILD US Equity","ARDR_FV_ASSETS_REC_TOT_CP","FQ1 2021","FQ1 2021","Currency=USD","Period=FQ","BEST_FPERIOD_OVERRIDE=FQ","FILING_STATUS=MR","SCALING_FORMAT=MLN","Sort=A","Dates=H","DateFormat=P","Fill=—","Direction=H","UseDPDF=Y")</f>
        <v>—</v>
      </c>
      <c r="M178" s="13" t="str">
        <f>_xll.BDH("GILD US Equity","ARDR_FV_ASSETS_REC_TOT_CP","FQ2 2021","FQ2 2021","Currency=USD","Period=FQ","BEST_FPERIOD_OVERRIDE=FQ","FILING_STATUS=MR","SCALING_FORMAT=MLN","Sort=A","Dates=H","DateFormat=P","Fill=—","Direction=H","UseDPDF=Y")</f>
        <v>—</v>
      </c>
      <c r="N178" s="13" t="str">
        <f>_xll.BDH("GILD US Equity","ARDR_FV_ASSETS_REC_TOT_CP","FQ3 2021","FQ3 2021","Currency=USD","Period=FQ","BEST_FPERIOD_OVERRIDE=FQ","FILING_STATUS=MR","SCALING_FORMAT=MLN","Sort=A","Dates=H","DateFormat=P","Fill=—","Direction=H","UseDPDF=Y")</f>
        <v>—</v>
      </c>
      <c r="O178" s="13" t="str">
        <f>_xll.BDH("GILD US Equity","ARDR_FV_ASSETS_REC_TOT_CP","FQ4 2021","FQ4 2021","Currency=USD","Period=FQ","BEST_FPERIOD_OVERRIDE=FQ","FILING_STATUS=MR","SCALING_FORMAT=MLN","Sort=A","Dates=H","DateFormat=P","Fill=—","Direction=H","UseDPDF=Y")</f>
        <v>—</v>
      </c>
      <c r="P178" s="13" t="str">
        <f>_xll.BDH("GILD US Equity","ARDR_FV_ASSETS_REC_TOT_CP","FQ1 2022","FQ1 2022","Currency=USD","Period=FQ","BEST_FPERIOD_OVERRIDE=FQ","FILING_STATUS=MR","SCALING_FORMAT=MLN","Sort=A","Dates=H","DateFormat=P","Fill=—","Direction=H","UseDPDF=Y")</f>
        <v>—</v>
      </c>
      <c r="Q178" s="13" t="str">
        <f>_xll.BDH("GILD US Equity","ARDR_FV_ASSETS_REC_TOT_CP","FQ2 2022","FQ2 2022","Currency=USD","Period=FQ","BEST_FPERIOD_OVERRIDE=FQ","FILING_STATUS=MR","SCALING_FORMAT=MLN","Sort=A","Dates=H","DateFormat=P","Fill=—","Direction=H","UseDPDF=Y")</f>
        <v>—</v>
      </c>
      <c r="R178" s="13" t="str">
        <f>_xll.BDH("GILD US Equity","ARDR_FV_ASSETS_REC_TOT_CP","FQ3 2022","FQ3 2022","Currency=USD","Period=FQ","BEST_FPERIOD_OVERRIDE=FQ","FILING_STATUS=MR","SCALING_FORMAT=MLN","Sort=A","Dates=H","DateFormat=P","Fill=—","Direction=H","UseDPDF=Y")</f>
        <v>—</v>
      </c>
      <c r="S178" s="13" t="str">
        <f>_xll.BDH("GILD US Equity","ARDR_FV_ASSETS_REC_TOT_CP","FQ4 2022","FQ4 2022","Currency=USD","Period=FQ","BEST_FPERIOD_OVERRIDE=FQ","FILING_STATUS=MR","SCALING_FORMAT=MLN","Sort=A","Dates=H","DateFormat=P","Fill=—","Direction=H","UseDPDF=Y")</f>
        <v>—</v>
      </c>
      <c r="T178" s="13" t="str">
        <f>_xll.BDH("GILD US Equity","ARDR_FV_ASSETS_REC_TOT_CP","FQ1 2023","FQ1 2023","Currency=USD","Period=FQ","BEST_FPERIOD_OVERRIDE=FQ","FILING_STATUS=MR","SCALING_FORMAT=MLN","Sort=A","Dates=H","DateFormat=P","Fill=—","Direction=H","UseDPDF=Y")</f>
        <v>—</v>
      </c>
      <c r="U178" s="13" t="str">
        <f>_xll.BDH("GILD US Equity","ARDR_FV_ASSETS_REC_TOT_CP","FQ2 2023","FQ2 2023","Currency=USD","Period=FQ","BEST_FPERIOD_OVERRIDE=FQ","FILING_STATUS=MR","SCALING_FORMAT=MLN","Sort=A","Dates=H","DateFormat=P","Fill=—","Direction=H","UseDPDF=Y")</f>
        <v>—</v>
      </c>
      <c r="V178" s="13" t="str">
        <f>_xll.BDH("GILD US Equity","ARDR_FV_ASSETS_REC_TOT_CP","FQ3 2023","FQ3 2023","Currency=USD","Period=FQ","BEST_FPERIOD_OVERRIDE=FQ","FILING_STATUS=MR","SCALING_FORMAT=MLN","Sort=A","Dates=H","DateFormat=P","Fill=—","Direction=H","UseDPDF=Y")</f>
        <v>—</v>
      </c>
      <c r="W178" s="13" t="str">
        <f>_xll.BDH("GILD US Equity","ARDR_FV_ASSETS_REC_TOT_CP","FQ4 2023","FQ4 2023","Currency=USD","Period=FQ","BEST_FPERIOD_OVERRIDE=FQ","FILING_STATUS=MR","SCALING_FORMAT=MLN","Sort=A","Dates=H","DateFormat=P","Fill=—","Direction=H","UseDPDF=Y")</f>
        <v>—</v>
      </c>
      <c r="X178" s="13" t="str">
        <f>_xll.BDH("GILD US Equity","ARDR_FV_ASSETS_REC_TOT_CP","FQ1 2024","FQ1 2024","Currency=USD","Period=FQ","BEST_FPERIOD_OVERRIDE=FQ","FILING_STATUS=MR","SCALING_FORMAT=MLN","Sort=A","Dates=H","DateFormat=P","Fill=—","Direction=H","UseDPDF=Y")</f>
        <v>—</v>
      </c>
      <c r="Y178" s="13" t="str">
        <f>_xll.BDH("GILD US Equity","ARDR_FV_ASSETS_REC_TOT_CP","FQ2 2024","FQ2 2024","Currency=USD","Period=FQ","BEST_FPERIOD_OVERRIDE=FQ","FILING_STATUS=MR","SCALING_FORMAT=MLN","Sort=A","Dates=H","DateFormat=P","Fill=—","Direction=H","UseDPDF=Y")</f>
        <v>—</v>
      </c>
      <c r="Z178" s="13" t="str">
        <f>_xll.BDH("GILD US Equity","ARDR_FV_ASSETS_REC_TOT_CP","FQ3 2024","FQ3 2024","Currency=USD","Period=FQ","BEST_FPERIOD_OVERRIDE=FQ","FILING_STATUS=MR","SCALING_FORMAT=MLN","Sort=A","Dates=H","DateFormat=P","Fill=—","Direction=H","UseDPDF=Y")</f>
        <v>—</v>
      </c>
      <c r="AA178" s="13" t="str">
        <f>_xll.BDH("GILD US Equity","ARDR_FV_ASSETS_REC_TOT_CP","FQ4 2024","FQ4 2024","Currency=USD","Period=FQ","BEST_FPERIOD_OVERRIDE=FQ","FILING_STATUS=MR","SCALING_FORMAT=MLN","Sort=A","Dates=H","DateFormat=P","Fill=—","Direction=H","UseDPDF=Y")</f>
        <v>—</v>
      </c>
    </row>
    <row r="179" spans="1:27" x14ac:dyDescent="0.25">
      <c r="A179" s="10" t="s">
        <v>1215</v>
      </c>
      <c r="B179" s="10" t="s">
        <v>1216</v>
      </c>
      <c r="C179" s="13">
        <f>_xll.BDH("GILD US Equity","ARDR_FV_ASTS_REC_TOT_INV_SEC","FQ4 2018","FQ4 2018","Currency=USD","Period=FQ","BEST_FPERIOD_OVERRIDE=FQ","FILING_STATUS=MR","SCALING_FORMAT=MLN","Sort=A","Dates=H","DateFormat=P","Fill=—","Direction=H","UseDPDF=Y")</f>
        <v>6243</v>
      </c>
      <c r="D179" s="13" t="str">
        <f>_xll.BDH("GILD US Equity","ARDR_FV_ASTS_REC_TOT_INV_SEC","FQ1 2019","FQ1 2019","Currency=USD","Period=FQ","BEST_FPERIOD_OVERRIDE=FQ","FILING_STATUS=MR","SCALING_FORMAT=MLN","Sort=A","Dates=H","DateFormat=P","Fill=—","Direction=H","UseDPDF=Y")</f>
        <v>—</v>
      </c>
      <c r="E179" s="13" t="str">
        <f>_xll.BDH("GILD US Equity","ARDR_FV_ASTS_REC_TOT_INV_SEC","FQ2 2019","FQ2 2019","Currency=USD","Period=FQ","BEST_FPERIOD_OVERRIDE=FQ","FILING_STATUS=MR","SCALING_FORMAT=MLN","Sort=A","Dates=H","DateFormat=P","Fill=—","Direction=H","UseDPDF=Y")</f>
        <v>—</v>
      </c>
      <c r="F179" s="13" t="str">
        <f>_xll.BDH("GILD US Equity","ARDR_FV_ASTS_REC_TOT_INV_SEC","FQ3 2019","FQ3 2019","Currency=USD","Period=FQ","BEST_FPERIOD_OVERRIDE=FQ","FILING_STATUS=MR","SCALING_FORMAT=MLN","Sort=A","Dates=H","DateFormat=P","Fill=—","Direction=H","UseDPDF=Y")</f>
        <v>—</v>
      </c>
      <c r="G179" s="13" t="str">
        <f>_xll.BDH("GILD US Equity","ARDR_FV_ASTS_REC_TOT_INV_SEC","FQ4 2019","FQ4 2019","Currency=USD","Period=FQ","BEST_FPERIOD_OVERRIDE=FQ","FILING_STATUS=MR","SCALING_FORMAT=MLN","Sort=A","Dates=H","DateFormat=P","Fill=—","Direction=H","UseDPDF=Y")</f>
        <v>—</v>
      </c>
      <c r="H179" s="13" t="str">
        <f>_xll.BDH("GILD US Equity","ARDR_FV_ASTS_REC_TOT_INV_SEC","FQ1 2020","FQ1 2020","Currency=USD","Period=FQ","BEST_FPERIOD_OVERRIDE=FQ","FILING_STATUS=MR","SCALING_FORMAT=MLN","Sort=A","Dates=H","DateFormat=P","Fill=—","Direction=H","UseDPDF=Y")</f>
        <v>—</v>
      </c>
      <c r="I179" s="13" t="str">
        <f>_xll.BDH("GILD US Equity","ARDR_FV_ASTS_REC_TOT_INV_SEC","FQ2 2020","FQ2 2020","Currency=USD","Period=FQ","BEST_FPERIOD_OVERRIDE=FQ","FILING_STATUS=MR","SCALING_FORMAT=MLN","Sort=A","Dates=H","DateFormat=P","Fill=—","Direction=H","UseDPDF=Y")</f>
        <v>—</v>
      </c>
      <c r="J179" s="13" t="str">
        <f>_xll.BDH("GILD US Equity","ARDR_FV_ASTS_REC_TOT_INV_SEC","FQ3 2020","FQ3 2020","Currency=USD","Period=FQ","BEST_FPERIOD_OVERRIDE=FQ","FILING_STATUS=MR","SCALING_FORMAT=MLN","Sort=A","Dates=H","DateFormat=P","Fill=—","Direction=H","UseDPDF=Y")</f>
        <v>—</v>
      </c>
      <c r="K179" s="13" t="str">
        <f>_xll.BDH("GILD US Equity","ARDR_FV_ASTS_REC_TOT_INV_SEC","FQ4 2020","FQ4 2020","Currency=USD","Period=FQ","BEST_FPERIOD_OVERRIDE=FQ","FILING_STATUS=MR","SCALING_FORMAT=MLN","Sort=A","Dates=H","DateFormat=P","Fill=—","Direction=H","UseDPDF=Y")</f>
        <v>—</v>
      </c>
      <c r="L179" s="13" t="str">
        <f>_xll.BDH("GILD US Equity","ARDR_FV_ASTS_REC_TOT_INV_SEC","FQ1 2021","FQ1 2021","Currency=USD","Period=FQ","BEST_FPERIOD_OVERRIDE=FQ","FILING_STATUS=MR","SCALING_FORMAT=MLN","Sort=A","Dates=H","DateFormat=P","Fill=—","Direction=H","UseDPDF=Y")</f>
        <v>—</v>
      </c>
      <c r="M179" s="13" t="str">
        <f>_xll.BDH("GILD US Equity","ARDR_FV_ASTS_REC_TOT_INV_SEC","FQ2 2021","FQ2 2021","Currency=USD","Period=FQ","BEST_FPERIOD_OVERRIDE=FQ","FILING_STATUS=MR","SCALING_FORMAT=MLN","Sort=A","Dates=H","DateFormat=P","Fill=—","Direction=H","UseDPDF=Y")</f>
        <v>—</v>
      </c>
      <c r="N179" s="13" t="str">
        <f>_xll.BDH("GILD US Equity","ARDR_FV_ASTS_REC_TOT_INV_SEC","FQ3 2021","FQ3 2021","Currency=USD","Period=FQ","BEST_FPERIOD_OVERRIDE=FQ","FILING_STATUS=MR","SCALING_FORMAT=MLN","Sort=A","Dates=H","DateFormat=P","Fill=—","Direction=H","UseDPDF=Y")</f>
        <v>—</v>
      </c>
      <c r="O179" s="13" t="str">
        <f>_xll.BDH("GILD US Equity","ARDR_FV_ASTS_REC_TOT_INV_SEC","FQ4 2021","FQ4 2021","Currency=USD","Period=FQ","BEST_FPERIOD_OVERRIDE=FQ","FILING_STATUS=MR","SCALING_FORMAT=MLN","Sort=A","Dates=H","DateFormat=P","Fill=—","Direction=H","UseDPDF=Y")</f>
        <v>—</v>
      </c>
      <c r="P179" s="13" t="str">
        <f>_xll.BDH("GILD US Equity","ARDR_FV_ASTS_REC_TOT_INV_SEC","FQ1 2022","FQ1 2022","Currency=USD","Period=FQ","BEST_FPERIOD_OVERRIDE=FQ","FILING_STATUS=MR","SCALING_FORMAT=MLN","Sort=A","Dates=H","DateFormat=P","Fill=—","Direction=H","UseDPDF=Y")</f>
        <v>—</v>
      </c>
      <c r="Q179" s="13" t="str">
        <f>_xll.BDH("GILD US Equity","ARDR_FV_ASTS_REC_TOT_INV_SEC","FQ2 2022","FQ2 2022","Currency=USD","Period=FQ","BEST_FPERIOD_OVERRIDE=FQ","FILING_STATUS=MR","SCALING_FORMAT=MLN","Sort=A","Dates=H","DateFormat=P","Fill=—","Direction=H","UseDPDF=Y")</f>
        <v>—</v>
      </c>
      <c r="R179" s="13" t="str">
        <f>_xll.BDH("GILD US Equity","ARDR_FV_ASTS_REC_TOT_INV_SEC","FQ3 2022","FQ3 2022","Currency=USD","Period=FQ","BEST_FPERIOD_OVERRIDE=FQ","FILING_STATUS=MR","SCALING_FORMAT=MLN","Sort=A","Dates=H","DateFormat=P","Fill=—","Direction=H","UseDPDF=Y")</f>
        <v>—</v>
      </c>
      <c r="S179" s="13" t="str">
        <f>_xll.BDH("GILD US Equity","ARDR_FV_ASTS_REC_TOT_INV_SEC","FQ4 2022","FQ4 2022","Currency=USD","Period=FQ","BEST_FPERIOD_OVERRIDE=FQ","FILING_STATUS=MR","SCALING_FORMAT=MLN","Sort=A","Dates=H","DateFormat=P","Fill=—","Direction=H","UseDPDF=Y")</f>
        <v>—</v>
      </c>
      <c r="T179" s="13" t="str">
        <f>_xll.BDH("GILD US Equity","ARDR_FV_ASTS_REC_TOT_INV_SEC","FQ1 2023","FQ1 2023","Currency=USD","Period=FQ","BEST_FPERIOD_OVERRIDE=FQ","FILING_STATUS=MR","SCALING_FORMAT=MLN","Sort=A","Dates=H","DateFormat=P","Fill=—","Direction=H","UseDPDF=Y")</f>
        <v>—</v>
      </c>
      <c r="U179" s="13" t="str">
        <f>_xll.BDH("GILD US Equity","ARDR_FV_ASTS_REC_TOT_INV_SEC","FQ2 2023","FQ2 2023","Currency=USD","Period=FQ","BEST_FPERIOD_OVERRIDE=FQ","FILING_STATUS=MR","SCALING_FORMAT=MLN","Sort=A","Dates=H","DateFormat=P","Fill=—","Direction=H","UseDPDF=Y")</f>
        <v>—</v>
      </c>
      <c r="V179" s="13" t="str">
        <f>_xll.BDH("GILD US Equity","ARDR_FV_ASTS_REC_TOT_INV_SEC","FQ3 2023","FQ3 2023","Currency=USD","Period=FQ","BEST_FPERIOD_OVERRIDE=FQ","FILING_STATUS=MR","SCALING_FORMAT=MLN","Sort=A","Dates=H","DateFormat=P","Fill=—","Direction=H","UseDPDF=Y")</f>
        <v>—</v>
      </c>
      <c r="W179" s="13" t="str">
        <f>_xll.BDH("GILD US Equity","ARDR_FV_ASTS_REC_TOT_INV_SEC","FQ4 2023","FQ4 2023","Currency=USD","Period=FQ","BEST_FPERIOD_OVERRIDE=FQ","FILING_STATUS=MR","SCALING_FORMAT=MLN","Sort=A","Dates=H","DateFormat=P","Fill=—","Direction=H","UseDPDF=Y")</f>
        <v>—</v>
      </c>
      <c r="X179" s="13" t="str">
        <f>_xll.BDH("GILD US Equity","ARDR_FV_ASTS_REC_TOT_INV_SEC","FQ1 2024","FQ1 2024","Currency=USD","Period=FQ","BEST_FPERIOD_OVERRIDE=FQ","FILING_STATUS=MR","SCALING_FORMAT=MLN","Sort=A","Dates=H","DateFormat=P","Fill=—","Direction=H","UseDPDF=Y")</f>
        <v>—</v>
      </c>
      <c r="Y179" s="13" t="str">
        <f>_xll.BDH("GILD US Equity","ARDR_FV_ASTS_REC_TOT_INV_SEC","FQ2 2024","FQ2 2024","Currency=USD","Period=FQ","BEST_FPERIOD_OVERRIDE=FQ","FILING_STATUS=MR","SCALING_FORMAT=MLN","Sort=A","Dates=H","DateFormat=P","Fill=—","Direction=H","UseDPDF=Y")</f>
        <v>—</v>
      </c>
      <c r="Z179" s="13" t="str">
        <f>_xll.BDH("GILD US Equity","ARDR_FV_ASTS_REC_TOT_INV_SEC","FQ3 2024","FQ3 2024","Currency=USD","Period=FQ","BEST_FPERIOD_OVERRIDE=FQ","FILING_STATUS=MR","SCALING_FORMAT=MLN","Sort=A","Dates=H","DateFormat=P","Fill=—","Direction=H","UseDPDF=Y")</f>
        <v>—</v>
      </c>
      <c r="AA179" s="13" t="str">
        <f>_xll.BDH("GILD US Equity","ARDR_FV_ASTS_REC_TOT_INV_SEC","FQ4 2024","FQ4 2024","Currency=USD","Period=FQ","BEST_FPERIOD_OVERRIDE=FQ","FILING_STATUS=MR","SCALING_FORMAT=MLN","Sort=A","Dates=H","DateFormat=P","Fill=—","Direction=H","UseDPDF=Y")</f>
        <v>—</v>
      </c>
    </row>
    <row r="180" spans="1:27" x14ac:dyDescent="0.25">
      <c r="A180" s="10" t="s">
        <v>1217</v>
      </c>
      <c r="B180" s="10" t="s">
        <v>1218</v>
      </c>
      <c r="C180" s="13">
        <f>_xll.BDH("GILD US Equity","ARDR_FV_ASTS_REC_TOT_DERIVATIVES","FQ4 2018","FQ4 2018","Currency=USD","Period=FQ","BEST_FPERIOD_OVERRIDE=FQ","FILING_STATUS=MR","SCALING_FORMAT=MLN","Sort=A","Dates=H","DateFormat=P","Fill=—","Direction=H","UseDPDF=Y")</f>
        <v>78</v>
      </c>
      <c r="D180" s="13" t="str">
        <f>_xll.BDH("GILD US Equity","ARDR_FV_ASTS_REC_TOT_DERIVATIVES","FQ1 2019","FQ1 2019","Currency=USD","Period=FQ","BEST_FPERIOD_OVERRIDE=FQ","FILING_STATUS=MR","SCALING_FORMAT=MLN","Sort=A","Dates=H","DateFormat=P","Fill=—","Direction=H","UseDPDF=Y")</f>
        <v>—</v>
      </c>
      <c r="E180" s="13" t="str">
        <f>_xll.BDH("GILD US Equity","ARDR_FV_ASTS_REC_TOT_DERIVATIVES","FQ2 2019","FQ2 2019","Currency=USD","Period=FQ","BEST_FPERIOD_OVERRIDE=FQ","FILING_STATUS=MR","SCALING_FORMAT=MLN","Sort=A","Dates=H","DateFormat=P","Fill=—","Direction=H","UseDPDF=Y")</f>
        <v>—</v>
      </c>
      <c r="F180" s="13" t="str">
        <f>_xll.BDH("GILD US Equity","ARDR_FV_ASTS_REC_TOT_DERIVATIVES","FQ3 2019","FQ3 2019","Currency=USD","Period=FQ","BEST_FPERIOD_OVERRIDE=FQ","FILING_STATUS=MR","SCALING_FORMAT=MLN","Sort=A","Dates=H","DateFormat=P","Fill=—","Direction=H","UseDPDF=Y")</f>
        <v>—</v>
      </c>
      <c r="G180" s="13" t="str">
        <f>_xll.BDH("GILD US Equity","ARDR_FV_ASTS_REC_TOT_DERIVATIVES","FQ4 2019","FQ4 2019","Currency=USD","Period=FQ","BEST_FPERIOD_OVERRIDE=FQ","FILING_STATUS=MR","SCALING_FORMAT=MLN","Sort=A","Dates=H","DateFormat=P","Fill=—","Direction=H","UseDPDF=Y")</f>
        <v>—</v>
      </c>
      <c r="H180" s="13">
        <f>_xll.BDH("GILD US Equity","ARDR_FV_ASTS_REC_TOT_DERIVATIVES","FQ1 2020","FQ1 2020","Currency=USD","Period=FQ","BEST_FPERIOD_OVERRIDE=FQ","FILING_STATUS=MR","SCALING_FORMAT=MLN","Sort=A","Dates=H","DateFormat=P","Fill=—","Direction=H","UseDPDF=Y")</f>
        <v>76</v>
      </c>
      <c r="I180" s="13">
        <f>_xll.BDH("GILD US Equity","ARDR_FV_ASTS_REC_TOT_DERIVATIVES","FQ2 2020","FQ2 2020","Currency=USD","Period=FQ","BEST_FPERIOD_OVERRIDE=FQ","FILING_STATUS=MR","SCALING_FORMAT=MLN","Sort=A","Dates=H","DateFormat=P","Fill=—","Direction=H","UseDPDF=Y")</f>
        <v>21</v>
      </c>
      <c r="J180" s="13">
        <f>_xll.BDH("GILD US Equity","ARDR_FV_ASTS_REC_TOT_DERIVATIVES","FQ3 2020","FQ3 2020","Currency=USD","Period=FQ","BEST_FPERIOD_OVERRIDE=FQ","FILING_STATUS=MR","SCALING_FORMAT=MLN","Sort=A","Dates=H","DateFormat=P","Fill=—","Direction=H","UseDPDF=Y")</f>
        <v>6</v>
      </c>
      <c r="K180" s="13">
        <f>_xll.BDH("GILD US Equity","ARDR_FV_ASTS_REC_TOT_DERIVATIVES","FQ4 2020","FQ4 2020","Currency=USD","Period=FQ","BEST_FPERIOD_OVERRIDE=FQ","FILING_STATUS=MR","SCALING_FORMAT=MLN","Sort=A","Dates=H","DateFormat=P","Fill=—","Direction=H","UseDPDF=Y")</f>
        <v>12</v>
      </c>
      <c r="L180" s="13" t="str">
        <f>_xll.BDH("GILD US Equity","ARDR_FV_ASTS_REC_TOT_DERIVATIVES","FQ1 2021","FQ1 2021","Currency=USD","Period=FQ","BEST_FPERIOD_OVERRIDE=FQ","FILING_STATUS=MR","SCALING_FORMAT=MLN","Sort=A","Dates=H","DateFormat=P","Fill=—","Direction=H","UseDPDF=Y")</f>
        <v>—</v>
      </c>
      <c r="M180" s="13">
        <f>_xll.BDH("GILD US Equity","ARDR_FV_ASTS_REC_TOT_DERIVATIVES","FQ2 2021","FQ2 2021","Currency=USD","Period=FQ","BEST_FPERIOD_OVERRIDE=FQ","FILING_STATUS=MR","SCALING_FORMAT=MLN","Sort=A","Dates=H","DateFormat=P","Fill=—","Direction=H","UseDPDF=Y")</f>
        <v>28</v>
      </c>
      <c r="N180" s="13">
        <f>_xll.BDH("GILD US Equity","ARDR_FV_ASTS_REC_TOT_DERIVATIVES","FQ3 2021","FQ3 2021","Currency=USD","Period=FQ","BEST_FPERIOD_OVERRIDE=FQ","FILING_STATUS=MR","SCALING_FORMAT=MLN","Sort=A","Dates=H","DateFormat=P","Fill=—","Direction=H","UseDPDF=Y")</f>
        <v>55</v>
      </c>
      <c r="O180" s="13">
        <f>_xll.BDH("GILD US Equity","ARDR_FV_ASTS_REC_TOT_DERIVATIVES","FQ4 2021","FQ4 2021","Currency=USD","Period=FQ","BEST_FPERIOD_OVERRIDE=FQ","FILING_STATUS=MR","SCALING_FORMAT=MLN","Sort=A","Dates=H","DateFormat=P","Fill=—","Direction=H","UseDPDF=Y")</f>
        <v>80</v>
      </c>
      <c r="P180" s="13">
        <f>_xll.BDH("GILD US Equity","ARDR_FV_ASTS_REC_TOT_DERIVATIVES","FQ1 2022","FQ1 2022","Currency=USD","Period=FQ","BEST_FPERIOD_OVERRIDE=FQ","FILING_STATUS=MR","SCALING_FORMAT=MLN","Sort=A","Dates=H","DateFormat=P","Fill=—","Direction=H","UseDPDF=Y")</f>
        <v>84</v>
      </c>
      <c r="Q180" s="13">
        <f>_xll.BDH("GILD US Equity","ARDR_FV_ASTS_REC_TOT_DERIVATIVES","FQ2 2022","FQ2 2022","Currency=USD","Period=FQ","BEST_FPERIOD_OVERRIDE=FQ","FILING_STATUS=MR","SCALING_FORMAT=MLN","Sort=A","Dates=H","DateFormat=P","Fill=—","Direction=H","UseDPDF=Y")</f>
        <v>136</v>
      </c>
      <c r="R180" s="13">
        <f>_xll.BDH("GILD US Equity","ARDR_FV_ASTS_REC_TOT_DERIVATIVES","FQ3 2022","FQ3 2022","Currency=USD","Period=FQ","BEST_FPERIOD_OVERRIDE=FQ","FILING_STATUS=MR","SCALING_FORMAT=MLN","Sort=A","Dates=H","DateFormat=P","Fill=—","Direction=H","UseDPDF=Y")</f>
        <v>242</v>
      </c>
      <c r="S180" s="13">
        <f>_xll.BDH("GILD US Equity","ARDR_FV_ASTS_REC_TOT_DERIVATIVES","FQ4 2022","FQ4 2022","Currency=USD","Period=FQ","BEST_FPERIOD_OVERRIDE=FQ","FILING_STATUS=MR","SCALING_FORMAT=MLN","Sort=A","Dates=H","DateFormat=P","Fill=—","Direction=H","UseDPDF=Y")</f>
        <v>60</v>
      </c>
      <c r="T180" s="13">
        <f>_xll.BDH("GILD US Equity","ARDR_FV_ASTS_REC_TOT_DERIVATIVES","FQ1 2023","FQ1 2023","Currency=USD","Period=FQ","BEST_FPERIOD_OVERRIDE=FQ","FILING_STATUS=MR","SCALING_FORMAT=MLN","Sort=A","Dates=H","DateFormat=P","Fill=—","Direction=H","UseDPDF=Y")</f>
        <v>32</v>
      </c>
      <c r="U180" s="13">
        <f>_xll.BDH("GILD US Equity","ARDR_FV_ASTS_REC_TOT_DERIVATIVES","FQ2 2023","FQ2 2023","Currency=USD","Period=FQ","BEST_FPERIOD_OVERRIDE=FQ","FILING_STATUS=MR","SCALING_FORMAT=MLN","Sort=A","Dates=H","DateFormat=P","Fill=—","Direction=H","UseDPDF=Y")</f>
        <v>25</v>
      </c>
      <c r="V180" s="13">
        <f>_xll.BDH("GILD US Equity","ARDR_FV_ASTS_REC_TOT_DERIVATIVES","FQ3 2023","FQ3 2023","Currency=USD","Period=FQ","BEST_FPERIOD_OVERRIDE=FQ","FILING_STATUS=MR","SCALING_FORMAT=MLN","Sort=A","Dates=H","DateFormat=P","Fill=—","Direction=H","UseDPDF=Y")</f>
        <v>67</v>
      </c>
      <c r="W180" s="13">
        <f>_xll.BDH("GILD US Equity","ARDR_FV_ASTS_REC_TOT_DERIVATIVES","FQ4 2023","FQ4 2023","Currency=USD","Period=FQ","BEST_FPERIOD_OVERRIDE=FQ","FILING_STATUS=MR","SCALING_FORMAT=MLN","Sort=A","Dates=H","DateFormat=P","Fill=—","Direction=H","UseDPDF=Y")</f>
        <v>7</v>
      </c>
      <c r="X180" s="13">
        <f>_xll.BDH("GILD US Equity","ARDR_FV_ASTS_REC_TOT_DERIVATIVES","FQ1 2024","FQ1 2024","Currency=USD","Period=FQ","BEST_FPERIOD_OVERRIDE=FQ","FILING_STATUS=MR","SCALING_FORMAT=MLN","Sort=A","Dates=H","DateFormat=P","Fill=—","Direction=H","UseDPDF=Y")</f>
        <v>39</v>
      </c>
      <c r="Y180" s="13">
        <f>_xll.BDH("GILD US Equity","ARDR_FV_ASTS_REC_TOT_DERIVATIVES","FQ2 2024","FQ2 2024","Currency=USD","Period=FQ","BEST_FPERIOD_OVERRIDE=FQ","FILING_STATUS=MR","SCALING_FORMAT=MLN","Sort=A","Dates=H","DateFormat=P","Fill=—","Direction=H","UseDPDF=Y")</f>
        <v>60</v>
      </c>
      <c r="Z180" s="13">
        <f>_xll.BDH("GILD US Equity","ARDR_FV_ASTS_REC_TOT_DERIVATIVES","FQ3 2024","FQ3 2024","Currency=USD","Period=FQ","BEST_FPERIOD_OVERRIDE=FQ","FILING_STATUS=MR","SCALING_FORMAT=MLN","Sort=A","Dates=H","DateFormat=P","Fill=—","Direction=H","UseDPDF=Y")</f>
        <v>7</v>
      </c>
      <c r="AA180" s="13">
        <f>_xll.BDH("GILD US Equity","ARDR_FV_ASTS_REC_TOT_DERIVATIVES","FQ4 2024","FQ4 2024","Currency=USD","Period=FQ","BEST_FPERIOD_OVERRIDE=FQ","FILING_STATUS=MR","SCALING_FORMAT=MLN","Sort=A","Dates=H","DateFormat=P","Fill=—","Direction=H","UseDPDF=Y")</f>
        <v>128</v>
      </c>
    </row>
    <row r="181" spans="1:27" x14ac:dyDescent="0.25">
      <c r="A181" s="10" t="s">
        <v>1219</v>
      </c>
      <c r="B181" s="10" t="s">
        <v>1220</v>
      </c>
      <c r="C181" s="13">
        <f>_xll.BDH("GILD US Equity","ARDR_FV_ASSETS_REC_TOT_OTHER","FQ4 2018","FQ4 2018","Currency=USD","Period=FQ","BEST_FPERIOD_OVERRIDE=FQ","FILING_STATUS=MR","SCALING_FORMAT=MLN","Sort=A","Dates=H","DateFormat=P","Fill=—","Direction=H","UseDPDF=Y")</f>
        <v>4790</v>
      </c>
      <c r="D181" s="13" t="str">
        <f>_xll.BDH("GILD US Equity","ARDR_FV_ASSETS_REC_TOT_OTHER","FQ1 2019","FQ1 2019","Currency=USD","Period=FQ","BEST_FPERIOD_OVERRIDE=FQ","FILING_STATUS=MR","SCALING_FORMAT=MLN","Sort=A","Dates=H","DateFormat=P","Fill=—","Direction=H","UseDPDF=Y")</f>
        <v>—</v>
      </c>
      <c r="E181" s="13">
        <f>_xll.BDH("GILD US Equity","ARDR_FV_ASSETS_REC_TOT_OTHER","FQ2 2019","FQ2 2019","Currency=USD","Period=FQ","BEST_FPERIOD_OVERRIDE=FQ","FILING_STATUS=MR","SCALING_FORMAT=MLN","Sort=A","Dates=H","DateFormat=P","Fill=—","Direction=H","UseDPDF=Y")</f>
        <v>4399</v>
      </c>
      <c r="F181" s="13">
        <f>_xll.BDH("GILD US Equity","ARDR_FV_ASSETS_REC_TOT_OTHER","FQ3 2019","FQ3 2019","Currency=USD","Period=FQ","BEST_FPERIOD_OVERRIDE=FQ","FILING_STATUS=MR","SCALING_FORMAT=MLN","Sort=A","Dates=H","DateFormat=P","Fill=—","Direction=H","UseDPDF=Y")</f>
        <v>6216</v>
      </c>
      <c r="G181" s="13" t="str">
        <f>_xll.BDH("GILD US Equity","ARDR_FV_ASSETS_REC_TOT_OTHER","FQ4 2019","FQ4 2019","Currency=USD","Period=FQ","BEST_FPERIOD_OVERRIDE=FQ","FILING_STATUS=MR","SCALING_FORMAT=MLN","Sort=A","Dates=H","DateFormat=P","Fill=—","Direction=H","UseDPDF=Y")</f>
        <v>—</v>
      </c>
      <c r="H181" s="13">
        <f>_xll.BDH("GILD US Equity","ARDR_FV_ASSETS_REC_TOT_OTHER","FQ1 2020","FQ1 2020","Currency=USD","Period=FQ","BEST_FPERIOD_OVERRIDE=FQ","FILING_STATUS=MR","SCALING_FORMAT=MLN","Sort=A","Dates=H","DateFormat=P","Fill=—","Direction=H","UseDPDF=Y")</f>
        <v>11235</v>
      </c>
      <c r="I181" s="13">
        <f>_xll.BDH("GILD US Equity","ARDR_FV_ASSETS_REC_TOT_OTHER","FQ2 2020","FQ2 2020","Currency=USD","Period=FQ","BEST_FPERIOD_OVERRIDE=FQ","FILING_STATUS=MR","SCALING_FORMAT=MLN","Sort=A","Dates=H","DateFormat=P","Fill=—","Direction=H","UseDPDF=Y")</f>
        <v>8413</v>
      </c>
      <c r="J181" s="13">
        <f>_xll.BDH("GILD US Equity","ARDR_FV_ASSETS_REC_TOT_OTHER","FQ3 2020","FQ3 2020","Currency=USD","Period=FQ","BEST_FPERIOD_OVERRIDE=FQ","FILING_STATUS=MR","SCALING_FORMAT=MLN","Sort=A","Dates=H","DateFormat=P","Fill=—","Direction=H","UseDPDF=Y")</f>
        <v>14610</v>
      </c>
      <c r="K181" s="13">
        <f>_xll.BDH("GILD US Equity","ARDR_FV_ASSETS_REC_TOT_OTHER","FQ4 2020","FQ4 2020","Currency=USD","Period=FQ","BEST_FPERIOD_OVERRIDE=FQ","FILING_STATUS=MR","SCALING_FORMAT=MLN","Sort=A","Dates=H","DateFormat=P","Fill=—","Direction=H","UseDPDF=Y")</f>
        <v>6970</v>
      </c>
      <c r="L181" s="13">
        <f>_xll.BDH("GILD US Equity","ARDR_FV_ASSETS_REC_TOT_OTHER","FQ1 2021","FQ1 2021","Currency=USD","Period=FQ","BEST_FPERIOD_OVERRIDE=FQ","FILING_STATUS=MR","SCALING_FORMAT=MLN","Sort=A","Dates=H","DateFormat=P","Fill=—","Direction=H","UseDPDF=Y")</f>
        <v>4753</v>
      </c>
      <c r="M181" s="13">
        <f>_xll.BDH("GILD US Equity","ARDR_FV_ASSETS_REC_TOT_OTHER","FQ2 2021","FQ2 2021","Currency=USD","Period=FQ","BEST_FPERIOD_OVERRIDE=FQ","FILING_STATUS=MR","SCALING_FORMAT=MLN","Sort=A","Dates=H","DateFormat=P","Fill=—","Direction=H","UseDPDF=Y")</f>
        <v>5494</v>
      </c>
      <c r="N181" s="13">
        <f>_xll.BDH("GILD US Equity","ARDR_FV_ASSETS_REC_TOT_OTHER","FQ3 2021","FQ3 2021","Currency=USD","Period=FQ","BEST_FPERIOD_OVERRIDE=FQ","FILING_STATUS=MR","SCALING_FORMAT=MLN","Sort=A","Dates=H","DateFormat=P","Fill=—","Direction=H","UseDPDF=Y")</f>
        <v>4774</v>
      </c>
      <c r="O181" s="13">
        <f>_xll.BDH("GILD US Equity","ARDR_FV_ASSETS_REC_TOT_OTHER","FQ4 2021","FQ4 2021","Currency=USD","Period=FQ","BEST_FPERIOD_OVERRIDE=FQ","FILING_STATUS=MR","SCALING_FORMAT=MLN","Sort=A","Dates=H","DateFormat=P","Fill=—","Direction=H","UseDPDF=Y")</f>
        <v>5743</v>
      </c>
      <c r="P181" s="13">
        <f>_xll.BDH("GILD US Equity","ARDR_FV_ASSETS_REC_TOT_OTHER","FQ1 2022","FQ1 2022","Currency=USD","Period=FQ","BEST_FPERIOD_OVERRIDE=FQ","FILING_STATUS=MR","SCALING_FORMAT=MLN","Sort=A","Dates=H","DateFormat=P","Fill=—","Direction=H","UseDPDF=Y")</f>
        <v>4338</v>
      </c>
      <c r="Q181" s="13">
        <f>_xll.BDH("GILD US Equity","ARDR_FV_ASSETS_REC_TOT_OTHER","FQ2 2022","FQ2 2022","Currency=USD","Period=FQ","BEST_FPERIOD_OVERRIDE=FQ","FILING_STATUS=MR","SCALING_FORMAT=MLN","Sort=A","Dates=H","DateFormat=P","Fill=—","Direction=H","UseDPDF=Y")</f>
        <v>4711</v>
      </c>
      <c r="R181" s="13">
        <f>_xll.BDH("GILD US Equity","ARDR_FV_ASSETS_REC_TOT_OTHER","FQ3 2022","FQ3 2022","Currency=USD","Period=FQ","BEST_FPERIOD_OVERRIDE=FQ","FILING_STATUS=MR","SCALING_FORMAT=MLN","Sort=A","Dates=H","DateFormat=P","Fill=—","Direction=H","UseDPDF=Y")</f>
        <v>5036</v>
      </c>
      <c r="S181" s="13">
        <f>_xll.BDH("GILD US Equity","ARDR_FV_ASSETS_REC_TOT_OTHER","FQ4 2022","FQ4 2022","Currency=USD","Period=FQ","BEST_FPERIOD_OVERRIDE=FQ","FILING_STATUS=MR","SCALING_FORMAT=MLN","Sort=A","Dates=H","DateFormat=P","Fill=—","Direction=H","UseDPDF=Y")</f>
        <v>5248</v>
      </c>
      <c r="T181" s="13">
        <f>_xll.BDH("GILD US Equity","ARDR_FV_ASSETS_REC_TOT_OTHER","FQ1 2023","FQ1 2023","Currency=USD","Period=FQ","BEST_FPERIOD_OVERRIDE=FQ","FILING_STATUS=MR","SCALING_FORMAT=MLN","Sort=A","Dates=H","DateFormat=P","Fill=—","Direction=H","UseDPDF=Y")</f>
        <v>4550</v>
      </c>
      <c r="U181" s="13">
        <f>_xll.BDH("GILD US Equity","ARDR_FV_ASSETS_REC_TOT_OTHER","FQ2 2023","FQ2 2023","Currency=USD","Period=FQ","BEST_FPERIOD_OVERRIDE=FQ","FILING_STATUS=MR","SCALING_FORMAT=MLN","Sort=A","Dates=H","DateFormat=P","Fill=—","Direction=H","UseDPDF=Y")</f>
        <v>268</v>
      </c>
      <c r="V181" s="13">
        <f>_xll.BDH("GILD US Equity","ARDR_FV_ASSETS_REC_TOT_OTHER","FQ3 2023","FQ3 2023","Currency=USD","Period=FQ","BEST_FPERIOD_OVERRIDE=FQ","FILING_STATUS=MR","SCALING_FORMAT=MLN","Sort=A","Dates=H","DateFormat=P","Fill=—","Direction=H","UseDPDF=Y")</f>
        <v>3307</v>
      </c>
      <c r="W181" s="13" t="str">
        <f>_xll.BDH("GILD US Equity","ARDR_FV_ASSETS_REC_TOT_OTHER","FQ4 2023","FQ4 2023","Currency=USD","Period=FQ","BEST_FPERIOD_OVERRIDE=FQ","FILING_STATUS=MR","SCALING_FORMAT=MLN","Sort=A","Dates=H","DateFormat=P","Fill=—","Direction=H","UseDPDF=Y")</f>
        <v>—</v>
      </c>
      <c r="X181" s="13">
        <f>_xll.BDH("GILD US Equity","ARDR_FV_ASSETS_REC_TOT_OTHER","FQ1 2024","FQ1 2024","Currency=USD","Period=FQ","BEST_FPERIOD_OVERRIDE=FQ","FILING_STATUS=MR","SCALING_FORMAT=MLN","Sort=A","Dates=H","DateFormat=P","Fill=—","Direction=H","UseDPDF=Y")</f>
        <v>2126</v>
      </c>
      <c r="Y181" s="13" t="str">
        <f>_xll.BDH("GILD US Equity","ARDR_FV_ASSETS_REC_TOT_OTHER","FQ2 2024","FQ2 2024","Currency=USD","Period=FQ","BEST_FPERIOD_OVERRIDE=FQ","FILING_STATUS=MR","SCALING_FORMAT=MLN","Sort=A","Dates=H","DateFormat=P","Fill=—","Direction=H","UseDPDF=Y")</f>
        <v>—</v>
      </c>
      <c r="Z181" s="13" t="str">
        <f>_xll.BDH("GILD US Equity","ARDR_FV_ASSETS_REC_TOT_OTHER","FQ3 2024","FQ3 2024","Currency=USD","Period=FQ","BEST_FPERIOD_OVERRIDE=FQ","FILING_STATUS=MR","SCALING_FORMAT=MLN","Sort=A","Dates=H","DateFormat=P","Fill=—","Direction=H","UseDPDF=Y")</f>
        <v>—</v>
      </c>
      <c r="AA181" s="13" t="str">
        <f>_xll.BDH("GILD US Equity","ARDR_FV_ASSETS_REC_TOT_OTHER","FQ4 2024","FQ4 2024","Currency=USD","Period=FQ","BEST_FPERIOD_OVERRIDE=FQ","FILING_STATUS=MR","SCALING_FORMAT=MLN","Sort=A","Dates=H","DateFormat=P","Fill=—","Direction=H","UseDPDF=Y")</f>
        <v>—</v>
      </c>
    </row>
    <row r="182" spans="1:27" x14ac:dyDescent="0.25">
      <c r="A182" s="10" t="s">
        <v>1221</v>
      </c>
      <c r="B182" s="10" t="s">
        <v>1222</v>
      </c>
      <c r="C182" s="13">
        <f>_xll.BDH("GILD US Equity","ARDR_FV_LIABS_REC_L1_DERIVATIVES","FQ4 2018","FQ4 2018","Currency=USD","Period=FQ","BEST_FPERIOD_OVERRIDE=FQ","FILING_STATUS=MR","SCALING_FORMAT=MLN","Sort=A","Dates=H","DateFormat=P","Fill=—","Direction=H","UseDPDF=Y")</f>
        <v>0</v>
      </c>
      <c r="D182" s="13">
        <f>_xll.BDH("GILD US Equity","ARDR_FV_LIABS_REC_L1_DERIVATIVES","FQ1 2019","FQ1 2019","Currency=USD","Period=FQ","BEST_FPERIOD_OVERRIDE=FQ","FILING_STATUS=MR","SCALING_FORMAT=MLN","Sort=A","Dates=H","DateFormat=P","Fill=—","Direction=H","UseDPDF=Y")</f>
        <v>0</v>
      </c>
      <c r="E182" s="13">
        <f>_xll.BDH("GILD US Equity","ARDR_FV_LIABS_REC_L1_DERIVATIVES","FQ2 2019","FQ2 2019","Currency=USD","Period=FQ","BEST_FPERIOD_OVERRIDE=FQ","FILING_STATUS=MR","SCALING_FORMAT=MLN","Sort=A","Dates=H","DateFormat=P","Fill=—","Direction=H","UseDPDF=Y")</f>
        <v>0</v>
      </c>
      <c r="F182" s="13">
        <f>_xll.BDH("GILD US Equity","ARDR_FV_LIABS_REC_L1_DERIVATIVES","FQ3 2019","FQ3 2019","Currency=USD","Period=FQ","BEST_FPERIOD_OVERRIDE=FQ","FILING_STATUS=MR","SCALING_FORMAT=MLN","Sort=A","Dates=H","DateFormat=P","Fill=—","Direction=H","UseDPDF=Y")</f>
        <v>0</v>
      </c>
      <c r="G182" s="13">
        <f>_xll.BDH("GILD US Equity","ARDR_FV_LIABS_REC_L1_DERIVATIVES","FQ4 2019","FQ4 2019","Currency=USD","Period=FQ","BEST_FPERIOD_OVERRIDE=FQ","FILING_STATUS=MR","SCALING_FORMAT=MLN","Sort=A","Dates=H","DateFormat=P","Fill=—","Direction=H","UseDPDF=Y")</f>
        <v>0</v>
      </c>
      <c r="H182" s="13">
        <f>_xll.BDH("GILD US Equity","ARDR_FV_LIABS_REC_L1_DERIVATIVES","FQ1 2020","FQ1 2020","Currency=USD","Period=FQ","BEST_FPERIOD_OVERRIDE=FQ","FILING_STATUS=MR","SCALING_FORMAT=MLN","Sort=A","Dates=H","DateFormat=P","Fill=—","Direction=H","UseDPDF=Y")</f>
        <v>0</v>
      </c>
      <c r="I182" s="13">
        <f>_xll.BDH("GILD US Equity","ARDR_FV_LIABS_REC_L1_DERIVATIVES","FQ2 2020","FQ2 2020","Currency=USD","Period=FQ","BEST_FPERIOD_OVERRIDE=FQ","FILING_STATUS=MR","SCALING_FORMAT=MLN","Sort=A","Dates=H","DateFormat=P","Fill=—","Direction=H","UseDPDF=Y")</f>
        <v>0</v>
      </c>
      <c r="J182" s="13">
        <f>_xll.BDH("GILD US Equity","ARDR_FV_LIABS_REC_L1_DERIVATIVES","FQ3 2020","FQ3 2020","Currency=USD","Period=FQ","BEST_FPERIOD_OVERRIDE=FQ","FILING_STATUS=MR","SCALING_FORMAT=MLN","Sort=A","Dates=H","DateFormat=P","Fill=—","Direction=H","UseDPDF=Y")</f>
        <v>0</v>
      </c>
      <c r="K182" s="13">
        <f>_xll.BDH("GILD US Equity","ARDR_FV_LIABS_REC_L1_DERIVATIVES","FQ4 2020","FQ4 2020","Currency=USD","Period=FQ","BEST_FPERIOD_OVERRIDE=FQ","FILING_STATUS=MR","SCALING_FORMAT=MLN","Sort=A","Dates=H","DateFormat=P","Fill=—","Direction=H","UseDPDF=Y")</f>
        <v>0</v>
      </c>
      <c r="L182" s="13">
        <f>_xll.BDH("GILD US Equity","ARDR_FV_LIABS_REC_L1_DERIVATIVES","FQ1 2021","FQ1 2021","Currency=USD","Period=FQ","BEST_FPERIOD_OVERRIDE=FQ","FILING_STATUS=MR","SCALING_FORMAT=MLN","Sort=A","Dates=H","DateFormat=P","Fill=—","Direction=H","UseDPDF=Y")</f>
        <v>0</v>
      </c>
      <c r="M182" s="13">
        <f>_xll.BDH("GILD US Equity","ARDR_FV_LIABS_REC_L1_DERIVATIVES","FQ2 2021","FQ2 2021","Currency=USD","Period=FQ","BEST_FPERIOD_OVERRIDE=FQ","FILING_STATUS=MR","SCALING_FORMAT=MLN","Sort=A","Dates=H","DateFormat=P","Fill=—","Direction=H","UseDPDF=Y")</f>
        <v>0</v>
      </c>
      <c r="N182" s="13">
        <f>_xll.BDH("GILD US Equity","ARDR_FV_LIABS_REC_L1_DERIVATIVES","FQ3 2021","FQ3 2021","Currency=USD","Period=FQ","BEST_FPERIOD_OVERRIDE=FQ","FILING_STATUS=MR","SCALING_FORMAT=MLN","Sort=A","Dates=H","DateFormat=P","Fill=—","Direction=H","UseDPDF=Y")</f>
        <v>0</v>
      </c>
      <c r="O182" s="13">
        <f>_xll.BDH("GILD US Equity","ARDR_FV_LIABS_REC_L1_DERIVATIVES","FQ4 2021","FQ4 2021","Currency=USD","Period=FQ","BEST_FPERIOD_OVERRIDE=FQ","FILING_STATUS=MR","SCALING_FORMAT=MLN","Sort=A","Dates=H","DateFormat=P","Fill=—","Direction=H","UseDPDF=Y")</f>
        <v>0</v>
      </c>
      <c r="P182" s="13">
        <f>_xll.BDH("GILD US Equity","ARDR_FV_LIABS_REC_L1_DERIVATIVES","FQ1 2022","FQ1 2022","Currency=USD","Period=FQ","BEST_FPERIOD_OVERRIDE=FQ","FILING_STATUS=MR","SCALING_FORMAT=MLN","Sort=A","Dates=H","DateFormat=P","Fill=—","Direction=H","UseDPDF=Y")</f>
        <v>0</v>
      </c>
      <c r="Q182" s="13">
        <f>_xll.BDH("GILD US Equity","ARDR_FV_LIABS_REC_L1_DERIVATIVES","FQ2 2022","FQ2 2022","Currency=USD","Period=FQ","BEST_FPERIOD_OVERRIDE=FQ","FILING_STATUS=MR","SCALING_FORMAT=MLN","Sort=A","Dates=H","DateFormat=P","Fill=—","Direction=H","UseDPDF=Y")</f>
        <v>0</v>
      </c>
      <c r="R182" s="13">
        <f>_xll.BDH("GILD US Equity","ARDR_FV_LIABS_REC_L1_DERIVATIVES","FQ3 2022","FQ3 2022","Currency=USD","Period=FQ","BEST_FPERIOD_OVERRIDE=FQ","FILING_STATUS=MR","SCALING_FORMAT=MLN","Sort=A","Dates=H","DateFormat=P","Fill=—","Direction=H","UseDPDF=Y")</f>
        <v>0</v>
      </c>
      <c r="S182" s="13">
        <f>_xll.BDH("GILD US Equity","ARDR_FV_LIABS_REC_L1_DERIVATIVES","FQ4 2022","FQ4 2022","Currency=USD","Period=FQ","BEST_FPERIOD_OVERRIDE=FQ","FILING_STATUS=MR","SCALING_FORMAT=MLN","Sort=A","Dates=H","DateFormat=P","Fill=—","Direction=H","UseDPDF=Y")</f>
        <v>0</v>
      </c>
      <c r="T182" s="13">
        <f>_xll.BDH("GILD US Equity","ARDR_FV_LIABS_REC_L1_DERIVATIVES","FQ1 2023","FQ1 2023","Currency=USD","Period=FQ","BEST_FPERIOD_OVERRIDE=FQ","FILING_STATUS=MR","SCALING_FORMAT=MLN","Sort=A","Dates=H","DateFormat=P","Fill=—","Direction=H","UseDPDF=Y")</f>
        <v>0</v>
      </c>
      <c r="U182" s="13">
        <f>_xll.BDH("GILD US Equity","ARDR_FV_LIABS_REC_L1_DERIVATIVES","FQ2 2023","FQ2 2023","Currency=USD","Period=FQ","BEST_FPERIOD_OVERRIDE=FQ","FILING_STATUS=MR","SCALING_FORMAT=MLN","Sort=A","Dates=H","DateFormat=P","Fill=—","Direction=H","UseDPDF=Y")</f>
        <v>0</v>
      </c>
      <c r="V182" s="13">
        <f>_xll.BDH("GILD US Equity","ARDR_FV_LIABS_REC_L1_DERIVATIVES","FQ3 2023","FQ3 2023","Currency=USD","Period=FQ","BEST_FPERIOD_OVERRIDE=FQ","FILING_STATUS=MR","SCALING_FORMAT=MLN","Sort=A","Dates=H","DateFormat=P","Fill=—","Direction=H","UseDPDF=Y")</f>
        <v>0</v>
      </c>
      <c r="W182" s="13">
        <f>_xll.BDH("GILD US Equity","ARDR_FV_LIABS_REC_L1_DERIVATIVES","FQ4 2023","FQ4 2023","Currency=USD","Period=FQ","BEST_FPERIOD_OVERRIDE=FQ","FILING_STATUS=MR","SCALING_FORMAT=MLN","Sort=A","Dates=H","DateFormat=P","Fill=—","Direction=H","UseDPDF=Y")</f>
        <v>0</v>
      </c>
      <c r="X182" s="13">
        <f>_xll.BDH("GILD US Equity","ARDR_FV_LIABS_REC_L1_DERIVATIVES","FQ1 2024","FQ1 2024","Currency=USD","Period=FQ","BEST_FPERIOD_OVERRIDE=FQ","FILING_STATUS=MR","SCALING_FORMAT=MLN","Sort=A","Dates=H","DateFormat=P","Fill=—","Direction=H","UseDPDF=Y")</f>
        <v>0</v>
      </c>
      <c r="Y182" s="13">
        <f>_xll.BDH("GILD US Equity","ARDR_FV_LIABS_REC_L1_DERIVATIVES","FQ2 2024","FQ2 2024","Currency=USD","Period=FQ","BEST_FPERIOD_OVERRIDE=FQ","FILING_STATUS=MR","SCALING_FORMAT=MLN","Sort=A","Dates=H","DateFormat=P","Fill=—","Direction=H","UseDPDF=Y")</f>
        <v>0</v>
      </c>
      <c r="Z182" s="13">
        <f>_xll.BDH("GILD US Equity","ARDR_FV_LIABS_REC_L1_DERIVATIVES","FQ3 2024","FQ3 2024","Currency=USD","Period=FQ","BEST_FPERIOD_OVERRIDE=FQ","FILING_STATUS=MR","SCALING_FORMAT=MLN","Sort=A","Dates=H","DateFormat=P","Fill=—","Direction=H","UseDPDF=Y")</f>
        <v>0</v>
      </c>
      <c r="AA182" s="13">
        <f>_xll.BDH("GILD US Equity","ARDR_FV_LIABS_REC_L1_DERIVATIVES","FQ4 2024","FQ4 2024","Currency=USD","Period=FQ","BEST_FPERIOD_OVERRIDE=FQ","FILING_STATUS=MR","SCALING_FORMAT=MLN","Sort=A","Dates=H","DateFormat=P","Fill=—","Direction=H","UseDPDF=Y")</f>
        <v>0</v>
      </c>
    </row>
    <row r="183" spans="1:27" x14ac:dyDescent="0.25">
      <c r="A183" s="10" t="s">
        <v>1223</v>
      </c>
      <c r="B183" s="10" t="s">
        <v>1224</v>
      </c>
      <c r="C183" s="13">
        <f>_xll.BDH("GILD US Equity","ARDR_FV_LIABS_REC_L1_OTHER","FQ4 2018","FQ4 2018","Currency=USD","Period=FQ","BEST_FPERIOD_OVERRIDE=FQ","FILING_STATUS=MR","SCALING_FORMAT=MLN","Sort=A","Dates=H","DateFormat=P","Fill=—","Direction=H","UseDPDF=Y")</f>
        <v>124</v>
      </c>
      <c r="D183" s="13">
        <f>_xll.BDH("GILD US Equity","ARDR_FV_LIABS_REC_L1_OTHER","FQ1 2019","FQ1 2019","Currency=USD","Period=FQ","BEST_FPERIOD_OVERRIDE=FQ","FILING_STATUS=MR","SCALING_FORMAT=MLN","Sort=A","Dates=H","DateFormat=P","Fill=—","Direction=H","UseDPDF=Y")</f>
        <v>150</v>
      </c>
      <c r="E183" s="13">
        <f>_xll.BDH("GILD US Equity","ARDR_FV_LIABS_REC_L1_OTHER","FQ2 2019","FQ2 2019","Currency=USD","Period=FQ","BEST_FPERIOD_OVERRIDE=FQ","FILING_STATUS=MR","SCALING_FORMAT=MLN","Sort=A","Dates=H","DateFormat=P","Fill=—","Direction=H","UseDPDF=Y")</f>
        <v>156</v>
      </c>
      <c r="F183" s="13">
        <f>_xll.BDH("GILD US Equity","ARDR_FV_LIABS_REC_L1_OTHER","FQ3 2019","FQ3 2019","Currency=USD","Period=FQ","BEST_FPERIOD_OVERRIDE=FQ","FILING_STATUS=MR","SCALING_FORMAT=MLN","Sort=A","Dates=H","DateFormat=P","Fill=—","Direction=H","UseDPDF=Y")</f>
        <v>159</v>
      </c>
      <c r="G183" s="13">
        <f>_xll.BDH("GILD US Equity","ARDR_FV_LIABS_REC_L1_OTHER","FQ4 2019","FQ4 2019","Currency=USD","Period=FQ","BEST_FPERIOD_OVERRIDE=FQ","FILING_STATUS=MR","SCALING_FORMAT=MLN","Sort=A","Dates=H","DateFormat=P","Fill=—","Direction=H","UseDPDF=Y")</f>
        <v>171</v>
      </c>
      <c r="H183" s="13">
        <f>_xll.BDH("GILD US Equity","ARDR_FV_LIABS_REC_L1_OTHER","FQ1 2020","FQ1 2020","Currency=USD","Period=FQ","BEST_FPERIOD_OVERRIDE=FQ","FILING_STATUS=MR","SCALING_FORMAT=MLN","Sort=A","Dates=H","DateFormat=P","Fill=—","Direction=H","UseDPDF=Y")</f>
        <v>156</v>
      </c>
      <c r="I183" s="13">
        <f>_xll.BDH("GILD US Equity","ARDR_FV_LIABS_REC_L1_OTHER","FQ2 2020","FQ2 2020","Currency=USD","Period=FQ","BEST_FPERIOD_OVERRIDE=FQ","FILING_STATUS=MR","SCALING_FORMAT=MLN","Sort=A","Dates=H","DateFormat=P","Fill=—","Direction=H","UseDPDF=Y")</f>
        <v>183</v>
      </c>
      <c r="J183" s="13">
        <f>_xll.BDH("GILD US Equity","ARDR_FV_LIABS_REC_L1_OTHER","FQ3 2020","FQ3 2020","Currency=USD","Period=FQ","BEST_FPERIOD_OVERRIDE=FQ","FILING_STATUS=MR","SCALING_FORMAT=MLN","Sort=A","Dates=H","DateFormat=P","Fill=—","Direction=H","UseDPDF=Y")</f>
        <v>200</v>
      </c>
      <c r="K183" s="13">
        <f>_xll.BDH("GILD US Equity","ARDR_FV_LIABS_REC_L1_OTHER","FQ4 2020","FQ4 2020","Currency=USD","Period=FQ","BEST_FPERIOD_OVERRIDE=FQ","FILING_STATUS=MR","SCALING_FORMAT=MLN","Sort=A","Dates=H","DateFormat=P","Fill=—","Direction=H","UseDPDF=Y")</f>
        <v>218</v>
      </c>
      <c r="L183" s="13">
        <f>_xll.BDH("GILD US Equity","ARDR_FV_LIABS_REC_L1_OTHER","FQ1 2021","FQ1 2021","Currency=USD","Period=FQ","BEST_FPERIOD_OVERRIDE=FQ","FILING_STATUS=MR","SCALING_FORMAT=MLN","Sort=A","Dates=H","DateFormat=P","Fill=—","Direction=H","UseDPDF=Y")</f>
        <v>235</v>
      </c>
      <c r="M183" s="13">
        <f>_xll.BDH("GILD US Equity","ARDR_FV_LIABS_REC_L1_OTHER","FQ2 2021","FQ2 2021","Currency=USD","Period=FQ","BEST_FPERIOD_OVERRIDE=FQ","FILING_STATUS=MR","SCALING_FORMAT=MLN","Sort=A","Dates=H","DateFormat=P","Fill=—","Direction=H","UseDPDF=Y")</f>
        <v>248</v>
      </c>
      <c r="N183" s="13">
        <f>_xll.BDH("GILD US Equity","ARDR_FV_LIABS_REC_L1_OTHER","FQ3 2021","FQ3 2021","Currency=USD","Period=FQ","BEST_FPERIOD_OVERRIDE=FQ","FILING_STATUS=MR","SCALING_FORMAT=MLN","Sort=A","Dates=H","DateFormat=P","Fill=—","Direction=H","UseDPDF=Y")</f>
        <v>249</v>
      </c>
      <c r="O183" s="13">
        <f>_xll.BDH("GILD US Equity","ARDR_FV_LIABS_REC_L1_OTHER","FQ4 2021","FQ4 2021","Currency=USD","Period=FQ","BEST_FPERIOD_OVERRIDE=FQ","FILING_STATUS=MR","SCALING_FORMAT=MLN","Sort=A","Dates=H","DateFormat=P","Fill=—","Direction=H","UseDPDF=Y")</f>
        <v>261</v>
      </c>
      <c r="P183" s="13">
        <f>_xll.BDH("GILD US Equity","ARDR_FV_LIABS_REC_L1_OTHER","FQ1 2022","FQ1 2022","Currency=USD","Period=FQ","BEST_FPERIOD_OVERRIDE=FQ","FILING_STATUS=MR","SCALING_FORMAT=MLN","Sort=A","Dates=H","DateFormat=P","Fill=—","Direction=H","UseDPDF=Y")</f>
        <v>253</v>
      </c>
      <c r="Q183" s="13">
        <f>_xll.BDH("GILD US Equity","ARDR_FV_LIABS_REC_L1_OTHER","FQ2 2022","FQ2 2022","Currency=USD","Period=FQ","BEST_FPERIOD_OVERRIDE=FQ","FILING_STATUS=MR","SCALING_FORMAT=MLN","Sort=A","Dates=H","DateFormat=P","Fill=—","Direction=H","UseDPDF=Y")</f>
        <v>215</v>
      </c>
      <c r="R183" s="13">
        <f>_xll.BDH("GILD US Equity","ARDR_FV_LIABS_REC_L1_OTHER","FQ3 2022","FQ3 2022","Currency=USD","Period=FQ","BEST_FPERIOD_OVERRIDE=FQ","FILING_STATUS=MR","SCALING_FORMAT=MLN","Sort=A","Dates=H","DateFormat=P","Fill=—","Direction=H","UseDPDF=Y")</f>
        <v>208</v>
      </c>
      <c r="S183" s="13">
        <f>_xll.BDH("GILD US Equity","ARDR_FV_LIABS_REC_L1_OTHER","FQ4 2022","FQ4 2022","Currency=USD","Period=FQ","BEST_FPERIOD_OVERRIDE=FQ","FILING_STATUS=MR","SCALING_FORMAT=MLN","Sort=A","Dates=H","DateFormat=P","Fill=—","Direction=H","UseDPDF=Y")</f>
        <v>220</v>
      </c>
      <c r="T183" s="13">
        <f>_xll.BDH("GILD US Equity","ARDR_FV_LIABS_REC_L1_OTHER","FQ1 2023","FQ1 2023","Currency=USD","Period=FQ","BEST_FPERIOD_OVERRIDE=FQ","FILING_STATUS=MR","SCALING_FORMAT=MLN","Sort=A","Dates=H","DateFormat=P","Fill=—","Direction=H","UseDPDF=Y")</f>
        <v>249</v>
      </c>
      <c r="U183" s="13">
        <f>_xll.BDH("GILD US Equity","ARDR_FV_LIABS_REC_L1_OTHER","FQ2 2023","FQ2 2023","Currency=USD","Period=FQ","BEST_FPERIOD_OVERRIDE=FQ","FILING_STATUS=MR","SCALING_FORMAT=MLN","Sort=A","Dates=H","DateFormat=P","Fill=—","Direction=H","UseDPDF=Y")</f>
        <v>267</v>
      </c>
      <c r="V183" s="13">
        <f>_xll.BDH("GILD US Equity","ARDR_FV_LIABS_REC_L1_OTHER","FQ3 2023","FQ3 2023","Currency=USD","Period=FQ","BEST_FPERIOD_OVERRIDE=FQ","FILING_STATUS=MR","SCALING_FORMAT=MLN","Sort=A","Dates=H","DateFormat=P","Fill=—","Direction=H","UseDPDF=Y")</f>
        <v>258</v>
      </c>
      <c r="W183" s="13" t="str">
        <f>_xll.BDH("GILD US Equity","ARDR_FV_LIABS_REC_L1_OTHER","FQ4 2023","FQ4 2023","Currency=USD","Period=FQ","BEST_FPERIOD_OVERRIDE=FQ","FILING_STATUS=MR","SCALING_FORMAT=MLN","Sort=A","Dates=H","DateFormat=P","Fill=—","Direction=H","UseDPDF=Y")</f>
        <v>—</v>
      </c>
      <c r="X183" s="13">
        <f>_xll.BDH("GILD US Equity","ARDR_FV_LIABS_REC_L1_OTHER","FQ1 2024","FQ1 2024","Currency=USD","Period=FQ","BEST_FPERIOD_OVERRIDE=FQ","FILING_STATUS=MR","SCALING_FORMAT=MLN","Sort=A","Dates=H","DateFormat=P","Fill=—","Direction=H","UseDPDF=Y")</f>
        <v>318</v>
      </c>
      <c r="Y183" s="13">
        <f>_xll.BDH("GILD US Equity","ARDR_FV_LIABS_REC_L1_OTHER","FQ2 2024","FQ2 2024","Currency=USD","Period=FQ","BEST_FPERIOD_OVERRIDE=FQ","FILING_STATUS=MR","SCALING_FORMAT=MLN","Sort=A","Dates=H","DateFormat=P","Fill=—","Direction=H","UseDPDF=Y")</f>
        <v>327</v>
      </c>
      <c r="Z183" s="13">
        <f>_xll.BDH("GILD US Equity","ARDR_FV_LIABS_REC_L1_OTHER","FQ3 2024","FQ3 2024","Currency=USD","Period=FQ","BEST_FPERIOD_OVERRIDE=FQ","FILING_STATUS=MR","SCALING_FORMAT=MLN","Sort=A","Dates=H","DateFormat=P","Fill=—","Direction=H","UseDPDF=Y")</f>
        <v>343</v>
      </c>
      <c r="AA183" s="13">
        <f>_xll.BDH("GILD US Equity","ARDR_FV_LIABS_REC_L1_OTHER","FQ4 2024","FQ4 2024","Currency=USD","Period=FQ","BEST_FPERIOD_OVERRIDE=FQ","FILING_STATUS=MR","SCALING_FORMAT=MLN","Sort=A","Dates=H","DateFormat=P","Fill=—","Direction=H","UseDPDF=Y")</f>
        <v>343</v>
      </c>
    </row>
    <row r="184" spans="1:27" x14ac:dyDescent="0.25">
      <c r="A184" s="10" t="s">
        <v>1225</v>
      </c>
      <c r="B184" s="10" t="s">
        <v>1226</v>
      </c>
      <c r="C184" s="13">
        <f>_xll.BDH("GILD US Equity","ARDR_FV_LIABS_REC_L2_DERIVATIVES","FQ4 2018","FQ4 2018","Currency=USD","Period=FQ","BEST_FPERIOD_OVERRIDE=FQ","FILING_STATUS=MR","SCALING_FORMAT=MLN","Sort=A","Dates=H","DateFormat=P","Fill=—","Direction=H","UseDPDF=Y")</f>
        <v>1</v>
      </c>
      <c r="D184" s="13">
        <f>_xll.BDH("GILD US Equity","ARDR_FV_LIABS_REC_L2_DERIVATIVES","FQ1 2019","FQ1 2019","Currency=USD","Period=FQ","BEST_FPERIOD_OVERRIDE=FQ","FILING_STATUS=MR","SCALING_FORMAT=MLN","Sort=A","Dates=H","DateFormat=P","Fill=—","Direction=H","UseDPDF=Y")</f>
        <v>2</v>
      </c>
      <c r="E184" s="13">
        <f>_xll.BDH("GILD US Equity","ARDR_FV_LIABS_REC_L2_DERIVATIVES","FQ2 2019","FQ2 2019","Currency=USD","Period=FQ","BEST_FPERIOD_OVERRIDE=FQ","FILING_STATUS=MR","SCALING_FORMAT=MLN","Sort=A","Dates=H","DateFormat=P","Fill=—","Direction=H","UseDPDF=Y")</f>
        <v>6</v>
      </c>
      <c r="F184" s="13">
        <f>_xll.BDH("GILD US Equity","ARDR_FV_LIABS_REC_L2_DERIVATIVES","FQ3 2019","FQ3 2019","Currency=USD","Period=FQ","BEST_FPERIOD_OVERRIDE=FQ","FILING_STATUS=MR","SCALING_FORMAT=MLN","Sort=A","Dates=H","DateFormat=P","Fill=—","Direction=H","UseDPDF=Y")</f>
        <v>1</v>
      </c>
      <c r="G184" s="13">
        <f>_xll.BDH("GILD US Equity","ARDR_FV_LIABS_REC_L2_DERIVATIVES","FQ4 2019","FQ4 2019","Currency=USD","Period=FQ","BEST_FPERIOD_OVERRIDE=FQ","FILING_STATUS=MR","SCALING_FORMAT=MLN","Sort=A","Dates=H","DateFormat=P","Fill=—","Direction=H","UseDPDF=Y")</f>
        <v>8</v>
      </c>
      <c r="H184" s="13">
        <f>_xll.BDH("GILD US Equity","ARDR_FV_LIABS_REC_L2_DERIVATIVES","FQ1 2020","FQ1 2020","Currency=USD","Period=FQ","BEST_FPERIOD_OVERRIDE=FQ","FILING_STATUS=MR","SCALING_FORMAT=MLN","Sort=A","Dates=H","DateFormat=P","Fill=—","Direction=H","UseDPDF=Y")</f>
        <v>0</v>
      </c>
      <c r="I184" s="13">
        <f>_xll.BDH("GILD US Equity","ARDR_FV_LIABS_REC_L2_DERIVATIVES","FQ2 2020","FQ2 2020","Currency=USD","Period=FQ","BEST_FPERIOD_OVERRIDE=FQ","FILING_STATUS=MR","SCALING_FORMAT=MLN","Sort=A","Dates=H","DateFormat=P","Fill=—","Direction=H","UseDPDF=Y")</f>
        <v>18</v>
      </c>
      <c r="J184" s="13">
        <f>_xll.BDH("GILD US Equity","ARDR_FV_LIABS_REC_L2_DERIVATIVES","FQ3 2020","FQ3 2020","Currency=USD","Period=FQ","BEST_FPERIOD_OVERRIDE=FQ","FILING_STATUS=MR","SCALING_FORMAT=MLN","Sort=A","Dates=H","DateFormat=P","Fill=—","Direction=H","UseDPDF=Y")</f>
        <v>50</v>
      </c>
      <c r="K184" s="13">
        <f>_xll.BDH("GILD US Equity","ARDR_FV_LIABS_REC_L2_DERIVATIVES","FQ4 2020","FQ4 2020","Currency=USD","Period=FQ","BEST_FPERIOD_OVERRIDE=FQ","FILING_STATUS=MR","SCALING_FORMAT=MLN","Sort=A","Dates=H","DateFormat=P","Fill=—","Direction=H","UseDPDF=Y")</f>
        <v>121</v>
      </c>
      <c r="L184" s="13">
        <f>_xll.BDH("GILD US Equity","ARDR_FV_LIABS_REC_L2_DERIVATIVES","FQ1 2021","FQ1 2021","Currency=USD","Period=FQ","BEST_FPERIOD_OVERRIDE=FQ","FILING_STATUS=MR","SCALING_FORMAT=MLN","Sort=A","Dates=H","DateFormat=P","Fill=—","Direction=H","UseDPDF=Y")</f>
        <v>41</v>
      </c>
      <c r="M184" s="13">
        <f>_xll.BDH("GILD US Equity","ARDR_FV_LIABS_REC_L2_DERIVATIVES","FQ2 2021","FQ2 2021","Currency=USD","Period=FQ","BEST_FPERIOD_OVERRIDE=FQ","FILING_STATUS=MR","SCALING_FORMAT=MLN","Sort=A","Dates=H","DateFormat=P","Fill=—","Direction=H","UseDPDF=Y")</f>
        <v>30</v>
      </c>
      <c r="N184" s="13">
        <f>_xll.BDH("GILD US Equity","ARDR_FV_LIABS_REC_L2_DERIVATIVES","FQ3 2021","FQ3 2021","Currency=USD","Period=FQ","BEST_FPERIOD_OVERRIDE=FQ","FILING_STATUS=MR","SCALING_FORMAT=MLN","Sort=A","Dates=H","DateFormat=P","Fill=—","Direction=H","UseDPDF=Y")</f>
        <v>8</v>
      </c>
      <c r="O184" s="13">
        <f>_xll.BDH("GILD US Equity","ARDR_FV_LIABS_REC_L2_DERIVATIVES","FQ4 2021","FQ4 2021","Currency=USD","Period=FQ","BEST_FPERIOD_OVERRIDE=FQ","FILING_STATUS=MR","SCALING_FORMAT=MLN","Sort=A","Dates=H","DateFormat=P","Fill=—","Direction=H","UseDPDF=Y")</f>
        <v>5</v>
      </c>
      <c r="P184" s="13">
        <f>_xll.BDH("GILD US Equity","ARDR_FV_LIABS_REC_L2_DERIVATIVES","FQ1 2022","FQ1 2022","Currency=USD","Period=FQ","BEST_FPERIOD_OVERRIDE=FQ","FILING_STATUS=MR","SCALING_FORMAT=MLN","Sort=A","Dates=H","DateFormat=P","Fill=—","Direction=H","UseDPDF=Y")</f>
        <v>11</v>
      </c>
      <c r="Q184" s="13">
        <f>_xll.BDH("GILD US Equity","ARDR_FV_LIABS_REC_L2_DERIVATIVES","FQ2 2022","FQ2 2022","Currency=USD","Period=FQ","BEST_FPERIOD_OVERRIDE=FQ","FILING_STATUS=MR","SCALING_FORMAT=MLN","Sort=A","Dates=H","DateFormat=P","Fill=—","Direction=H","UseDPDF=Y")</f>
        <v>3</v>
      </c>
      <c r="R184" s="13">
        <f>_xll.BDH("GILD US Equity","ARDR_FV_LIABS_REC_L2_DERIVATIVES","FQ3 2022","FQ3 2022","Currency=USD","Period=FQ","BEST_FPERIOD_OVERRIDE=FQ","FILING_STATUS=MR","SCALING_FORMAT=MLN","Sort=A","Dates=H","DateFormat=P","Fill=—","Direction=H","UseDPDF=Y")</f>
        <v>2</v>
      </c>
      <c r="S184" s="13">
        <f>_xll.BDH("GILD US Equity","ARDR_FV_LIABS_REC_L2_DERIVATIVES","FQ4 2022","FQ4 2022","Currency=USD","Period=FQ","BEST_FPERIOD_OVERRIDE=FQ","FILING_STATUS=MR","SCALING_FORMAT=MLN","Sort=A","Dates=H","DateFormat=P","Fill=—","Direction=H","UseDPDF=Y")</f>
        <v>42</v>
      </c>
      <c r="T184" s="13">
        <f>_xll.BDH("GILD US Equity","ARDR_FV_LIABS_REC_L2_DERIVATIVES","FQ1 2023","FQ1 2023","Currency=USD","Period=FQ","BEST_FPERIOD_OVERRIDE=FQ","FILING_STATUS=MR","SCALING_FORMAT=MLN","Sort=A","Dates=H","DateFormat=P","Fill=—","Direction=H","UseDPDF=Y")</f>
        <v>49</v>
      </c>
      <c r="U184" s="13">
        <f>_xll.BDH("GILD US Equity","ARDR_FV_LIABS_REC_L2_DERIVATIVES","FQ2 2023","FQ2 2023","Currency=USD","Period=FQ","BEST_FPERIOD_OVERRIDE=FQ","FILING_STATUS=MR","SCALING_FORMAT=MLN","Sort=A","Dates=H","DateFormat=P","Fill=—","Direction=H","UseDPDF=Y")</f>
        <v>36</v>
      </c>
      <c r="V184" s="13">
        <f>_xll.BDH("GILD US Equity","ARDR_FV_LIABS_REC_L2_DERIVATIVES","FQ3 2023","FQ3 2023","Currency=USD","Period=FQ","BEST_FPERIOD_OVERRIDE=FQ","FILING_STATUS=MR","SCALING_FORMAT=MLN","Sort=A","Dates=H","DateFormat=P","Fill=—","Direction=H","UseDPDF=Y")</f>
        <v>0</v>
      </c>
      <c r="W184" s="13">
        <f>_xll.BDH("GILD US Equity","ARDR_FV_LIABS_REC_L2_DERIVATIVES","FQ4 2023","FQ4 2023","Currency=USD","Period=FQ","BEST_FPERIOD_OVERRIDE=FQ","FILING_STATUS=MR","SCALING_FORMAT=MLN","Sort=A","Dates=H","DateFormat=P","Fill=—","Direction=H","UseDPDF=Y")</f>
        <v>69</v>
      </c>
      <c r="X184" s="13">
        <f>_xll.BDH("GILD US Equity","ARDR_FV_LIABS_REC_L2_DERIVATIVES","FQ1 2024","FQ1 2024","Currency=USD","Period=FQ","BEST_FPERIOD_OVERRIDE=FQ","FILING_STATUS=MR","SCALING_FORMAT=MLN","Sort=A","Dates=H","DateFormat=P","Fill=—","Direction=H","UseDPDF=Y")</f>
        <v>10</v>
      </c>
      <c r="Y184" s="13">
        <f>_xll.BDH("GILD US Equity","ARDR_FV_LIABS_REC_L2_DERIVATIVES","FQ2 2024","FQ2 2024","Currency=USD","Period=FQ","BEST_FPERIOD_OVERRIDE=FQ","FILING_STATUS=MR","SCALING_FORMAT=MLN","Sort=A","Dates=H","DateFormat=P","Fill=—","Direction=H","UseDPDF=Y")</f>
        <v>2</v>
      </c>
      <c r="Z184" s="13">
        <f>_xll.BDH("GILD US Equity","ARDR_FV_LIABS_REC_L2_DERIVATIVES","FQ3 2024","FQ3 2024","Currency=USD","Period=FQ","BEST_FPERIOD_OVERRIDE=FQ","FILING_STATUS=MR","SCALING_FORMAT=MLN","Sort=A","Dates=H","DateFormat=P","Fill=—","Direction=H","UseDPDF=Y")</f>
        <v>49</v>
      </c>
      <c r="AA184" s="13">
        <f>_xll.BDH("GILD US Equity","ARDR_FV_LIABS_REC_L2_DERIVATIVES","FQ4 2024","FQ4 2024","Currency=USD","Period=FQ","BEST_FPERIOD_OVERRIDE=FQ","FILING_STATUS=MR","SCALING_FORMAT=MLN","Sort=A","Dates=H","DateFormat=P","Fill=—","Direction=H","UseDPDF=Y")</f>
        <v>3</v>
      </c>
    </row>
    <row r="185" spans="1:27" x14ac:dyDescent="0.25">
      <c r="A185" s="10" t="s">
        <v>1227</v>
      </c>
      <c r="B185" s="10" t="s">
        <v>1228</v>
      </c>
      <c r="C185" s="13">
        <f>_xll.BDH("GILD US Equity","ARDR_FV_LIABS_REC_L2_OTHER","FQ4 2018","FQ4 2018","Currency=USD","Period=FQ","BEST_FPERIOD_OVERRIDE=FQ","FILING_STATUS=MR","SCALING_FORMAT=MLN","Sort=A","Dates=H","DateFormat=P","Fill=—","Direction=H","UseDPDF=Y")</f>
        <v>0</v>
      </c>
      <c r="D185" s="13">
        <f>_xll.BDH("GILD US Equity","ARDR_FV_LIABS_REC_L2_OTHER","FQ1 2019","FQ1 2019","Currency=USD","Period=FQ","BEST_FPERIOD_OVERRIDE=FQ","FILING_STATUS=MR","SCALING_FORMAT=MLN","Sort=A","Dates=H","DateFormat=P","Fill=—","Direction=H","UseDPDF=Y")</f>
        <v>0</v>
      </c>
      <c r="E185" s="13">
        <f>_xll.BDH("GILD US Equity","ARDR_FV_LIABS_REC_L2_OTHER","FQ2 2019","FQ2 2019","Currency=USD","Period=FQ","BEST_FPERIOD_OVERRIDE=FQ","FILING_STATUS=MR","SCALING_FORMAT=MLN","Sort=A","Dates=H","DateFormat=P","Fill=—","Direction=H","UseDPDF=Y")</f>
        <v>0</v>
      </c>
      <c r="F185" s="13">
        <f>_xll.BDH("GILD US Equity","ARDR_FV_LIABS_REC_L2_OTHER","FQ3 2019","FQ3 2019","Currency=USD","Period=FQ","BEST_FPERIOD_OVERRIDE=FQ","FILING_STATUS=MR","SCALING_FORMAT=MLN","Sort=A","Dates=H","DateFormat=P","Fill=—","Direction=H","UseDPDF=Y")</f>
        <v>0</v>
      </c>
      <c r="G185" s="13">
        <f>_xll.BDH("GILD US Equity","ARDR_FV_LIABS_REC_L2_OTHER","FQ4 2019","FQ4 2019","Currency=USD","Period=FQ","BEST_FPERIOD_OVERRIDE=FQ","FILING_STATUS=MR","SCALING_FORMAT=MLN","Sort=A","Dates=H","DateFormat=P","Fill=—","Direction=H","UseDPDF=Y")</f>
        <v>0</v>
      </c>
      <c r="H185" s="13">
        <f>_xll.BDH("GILD US Equity","ARDR_FV_LIABS_REC_L2_OTHER","FQ1 2020","FQ1 2020","Currency=USD","Period=FQ","BEST_FPERIOD_OVERRIDE=FQ","FILING_STATUS=MR","SCALING_FORMAT=MLN","Sort=A","Dates=H","DateFormat=P","Fill=—","Direction=H","UseDPDF=Y")</f>
        <v>5</v>
      </c>
      <c r="I185" s="13">
        <f>_xll.BDH("GILD US Equity","ARDR_FV_LIABS_REC_L2_OTHER","FQ2 2020","FQ2 2020","Currency=USD","Period=FQ","BEST_FPERIOD_OVERRIDE=FQ","FILING_STATUS=MR","SCALING_FORMAT=MLN","Sort=A","Dates=H","DateFormat=P","Fill=—","Direction=H","UseDPDF=Y")</f>
        <v>0</v>
      </c>
      <c r="J185" s="13">
        <f>_xll.BDH("GILD US Equity","ARDR_FV_LIABS_REC_L2_OTHER","FQ3 2020","FQ3 2020","Currency=USD","Period=FQ","BEST_FPERIOD_OVERRIDE=FQ","FILING_STATUS=MR","SCALING_FORMAT=MLN","Sort=A","Dates=H","DateFormat=P","Fill=—","Direction=H","UseDPDF=Y")</f>
        <v>0</v>
      </c>
      <c r="K185" s="13">
        <f>_xll.BDH("GILD US Equity","ARDR_FV_LIABS_REC_L2_OTHER","FQ4 2020","FQ4 2020","Currency=USD","Period=FQ","BEST_FPERIOD_OVERRIDE=FQ","FILING_STATUS=MR","SCALING_FORMAT=MLN","Sort=A","Dates=H","DateFormat=P","Fill=—","Direction=H","UseDPDF=Y")</f>
        <v>0</v>
      </c>
      <c r="L185" s="13">
        <f>_xll.BDH("GILD US Equity","ARDR_FV_LIABS_REC_L2_OTHER","FQ1 2021","FQ1 2021","Currency=USD","Period=FQ","BEST_FPERIOD_OVERRIDE=FQ","FILING_STATUS=MR","SCALING_FORMAT=MLN","Sort=A","Dates=H","DateFormat=P","Fill=—","Direction=H","UseDPDF=Y")</f>
        <v>0</v>
      </c>
      <c r="M185" s="13">
        <f>_xll.BDH("GILD US Equity","ARDR_FV_LIABS_REC_L2_OTHER","FQ2 2021","FQ2 2021","Currency=USD","Period=FQ","BEST_FPERIOD_OVERRIDE=FQ","FILING_STATUS=MR","SCALING_FORMAT=MLN","Sort=A","Dates=H","DateFormat=P","Fill=—","Direction=H","UseDPDF=Y")</f>
        <v>0</v>
      </c>
      <c r="N185" s="13">
        <f>_xll.BDH("GILD US Equity","ARDR_FV_LIABS_REC_L2_OTHER","FQ3 2021","FQ3 2021","Currency=USD","Period=FQ","BEST_FPERIOD_OVERRIDE=FQ","FILING_STATUS=MR","SCALING_FORMAT=MLN","Sort=A","Dates=H","DateFormat=P","Fill=—","Direction=H","UseDPDF=Y")</f>
        <v>0</v>
      </c>
      <c r="O185" s="13">
        <f>_xll.BDH("GILD US Equity","ARDR_FV_LIABS_REC_L2_OTHER","FQ4 2021","FQ4 2021","Currency=USD","Period=FQ","BEST_FPERIOD_OVERRIDE=FQ","FILING_STATUS=MR","SCALING_FORMAT=MLN","Sort=A","Dates=H","DateFormat=P","Fill=—","Direction=H","UseDPDF=Y")</f>
        <v>0</v>
      </c>
      <c r="P185" s="13">
        <f>_xll.BDH("GILD US Equity","ARDR_FV_LIABS_REC_L2_OTHER","FQ1 2022","FQ1 2022","Currency=USD","Period=FQ","BEST_FPERIOD_OVERRIDE=FQ","FILING_STATUS=MR","SCALING_FORMAT=MLN","Sort=A","Dates=H","DateFormat=P","Fill=—","Direction=H","UseDPDF=Y")</f>
        <v>0</v>
      </c>
      <c r="Q185" s="13">
        <f>_xll.BDH("GILD US Equity","ARDR_FV_LIABS_REC_L2_OTHER","FQ2 2022","FQ2 2022","Currency=USD","Period=FQ","BEST_FPERIOD_OVERRIDE=FQ","FILING_STATUS=MR","SCALING_FORMAT=MLN","Sort=A","Dates=H","DateFormat=P","Fill=—","Direction=H","UseDPDF=Y")</f>
        <v>0</v>
      </c>
      <c r="R185" s="13">
        <f>_xll.BDH("GILD US Equity","ARDR_FV_LIABS_REC_L2_OTHER","FQ3 2022","FQ3 2022","Currency=USD","Period=FQ","BEST_FPERIOD_OVERRIDE=FQ","FILING_STATUS=MR","SCALING_FORMAT=MLN","Sort=A","Dates=H","DateFormat=P","Fill=—","Direction=H","UseDPDF=Y")</f>
        <v>0</v>
      </c>
      <c r="S185" s="13">
        <f>_xll.BDH("GILD US Equity","ARDR_FV_LIABS_REC_L2_OTHER","FQ4 2022","FQ4 2022","Currency=USD","Period=FQ","BEST_FPERIOD_OVERRIDE=FQ","FILING_STATUS=MR","SCALING_FORMAT=MLN","Sort=A","Dates=H","DateFormat=P","Fill=—","Direction=H","UseDPDF=Y")</f>
        <v>0</v>
      </c>
      <c r="T185" s="13">
        <f>_xll.BDH("GILD US Equity","ARDR_FV_LIABS_REC_L2_OTHER","FQ1 2023","FQ1 2023","Currency=USD","Period=FQ","BEST_FPERIOD_OVERRIDE=FQ","FILING_STATUS=MR","SCALING_FORMAT=MLN","Sort=A","Dates=H","DateFormat=P","Fill=—","Direction=H","UseDPDF=Y")</f>
        <v>0</v>
      </c>
      <c r="U185" s="13">
        <f>_xll.BDH("GILD US Equity","ARDR_FV_LIABS_REC_L2_OTHER","FQ2 2023","FQ2 2023","Currency=USD","Period=FQ","BEST_FPERIOD_OVERRIDE=FQ","FILING_STATUS=MR","SCALING_FORMAT=MLN","Sort=A","Dates=H","DateFormat=P","Fill=—","Direction=H","UseDPDF=Y")</f>
        <v>0</v>
      </c>
      <c r="V185" s="13">
        <f>_xll.BDH("GILD US Equity","ARDR_FV_LIABS_REC_L2_OTHER","FQ3 2023","FQ3 2023","Currency=USD","Period=FQ","BEST_FPERIOD_OVERRIDE=FQ","FILING_STATUS=MR","SCALING_FORMAT=MLN","Sort=A","Dates=H","DateFormat=P","Fill=—","Direction=H","UseDPDF=Y")</f>
        <v>8</v>
      </c>
      <c r="W185" s="13" t="str">
        <f>_xll.BDH("GILD US Equity","ARDR_FV_LIABS_REC_L2_OTHER","FQ4 2023","FQ4 2023","Currency=USD","Period=FQ","BEST_FPERIOD_OVERRIDE=FQ","FILING_STATUS=MR","SCALING_FORMAT=MLN","Sort=A","Dates=H","DateFormat=P","Fill=—","Direction=H","UseDPDF=Y")</f>
        <v>—</v>
      </c>
      <c r="X185" s="13">
        <f>_xll.BDH("GILD US Equity","ARDR_FV_LIABS_REC_L2_OTHER","FQ1 2024","FQ1 2024","Currency=USD","Period=FQ","BEST_FPERIOD_OVERRIDE=FQ","FILING_STATUS=MR","SCALING_FORMAT=MLN","Sort=A","Dates=H","DateFormat=P","Fill=—","Direction=H","UseDPDF=Y")</f>
        <v>0</v>
      </c>
      <c r="Y185" s="13" t="str">
        <f>_xll.BDH("GILD US Equity","ARDR_FV_LIABS_REC_L2_OTHER","FQ2 2024","FQ2 2024","Currency=USD","Period=FQ","BEST_FPERIOD_OVERRIDE=FQ","FILING_STATUS=MR","SCALING_FORMAT=MLN","Sort=A","Dates=H","DateFormat=P","Fill=—","Direction=H","UseDPDF=Y")</f>
        <v>—</v>
      </c>
      <c r="Z185" s="13" t="str">
        <f>_xll.BDH("GILD US Equity","ARDR_FV_LIABS_REC_L2_OTHER","FQ3 2024","FQ3 2024","Currency=USD","Period=FQ","BEST_FPERIOD_OVERRIDE=FQ","FILING_STATUS=MR","SCALING_FORMAT=MLN","Sort=A","Dates=H","DateFormat=P","Fill=—","Direction=H","UseDPDF=Y")</f>
        <v>—</v>
      </c>
      <c r="AA185" s="13">
        <f>_xll.BDH("GILD US Equity","ARDR_FV_LIABS_REC_L2_OTHER","FQ4 2024","FQ4 2024","Currency=USD","Period=FQ","BEST_FPERIOD_OVERRIDE=FQ","FILING_STATUS=MR","SCALING_FORMAT=MLN","Sort=A","Dates=H","DateFormat=P","Fill=—","Direction=H","UseDPDF=Y")</f>
        <v>0</v>
      </c>
    </row>
    <row r="186" spans="1:27" x14ac:dyDescent="0.25">
      <c r="A186" s="10" t="s">
        <v>1229</v>
      </c>
      <c r="B186" s="10" t="s">
        <v>1230</v>
      </c>
      <c r="C186" s="13">
        <f>_xll.BDH("GILD US Equity","ARDR_FV_LIABS_REC_L3_DERIVATIVES","FQ4 2018","FQ4 2018","Currency=USD","Period=FQ","BEST_FPERIOD_OVERRIDE=FQ","FILING_STATUS=MR","SCALING_FORMAT=MLN","Sort=A","Dates=H","DateFormat=P","Fill=—","Direction=H","UseDPDF=Y")</f>
        <v>0</v>
      </c>
      <c r="D186" s="13">
        <f>_xll.BDH("GILD US Equity","ARDR_FV_LIABS_REC_L3_DERIVATIVES","FQ1 2019","FQ1 2019","Currency=USD","Period=FQ","BEST_FPERIOD_OVERRIDE=FQ","FILING_STATUS=MR","SCALING_FORMAT=MLN","Sort=A","Dates=H","DateFormat=P","Fill=—","Direction=H","UseDPDF=Y")</f>
        <v>0</v>
      </c>
      <c r="E186" s="13">
        <f>_xll.BDH("GILD US Equity","ARDR_FV_LIABS_REC_L3_DERIVATIVES","FQ2 2019","FQ2 2019","Currency=USD","Period=FQ","BEST_FPERIOD_OVERRIDE=FQ","FILING_STATUS=MR","SCALING_FORMAT=MLN","Sort=A","Dates=H","DateFormat=P","Fill=—","Direction=H","UseDPDF=Y")</f>
        <v>0</v>
      </c>
      <c r="F186" s="13" t="str">
        <f>_xll.BDH("GILD US Equity","ARDR_FV_LIABS_REC_L3_DERIVATIVES","FQ3 2019","FQ3 2019","Currency=USD","Period=FQ","BEST_FPERIOD_OVERRIDE=FQ","FILING_STATUS=MR","SCALING_FORMAT=MLN","Sort=A","Dates=H","DateFormat=P","Fill=—","Direction=H","UseDPDF=Y")</f>
        <v>—</v>
      </c>
      <c r="G186" s="13">
        <f>_xll.BDH("GILD US Equity","ARDR_FV_LIABS_REC_L3_DERIVATIVES","FQ4 2019","FQ4 2019","Currency=USD","Period=FQ","BEST_FPERIOD_OVERRIDE=FQ","FILING_STATUS=MR","SCALING_FORMAT=MLN","Sort=A","Dates=H","DateFormat=P","Fill=—","Direction=H","UseDPDF=Y")</f>
        <v>0</v>
      </c>
      <c r="H186" s="13">
        <f>_xll.BDH("GILD US Equity","ARDR_FV_LIABS_REC_L3_DERIVATIVES","FQ1 2020","FQ1 2020","Currency=USD","Period=FQ","BEST_FPERIOD_OVERRIDE=FQ","FILING_STATUS=MR","SCALING_FORMAT=MLN","Sort=A","Dates=H","DateFormat=P","Fill=—","Direction=H","UseDPDF=Y")</f>
        <v>0</v>
      </c>
      <c r="I186" s="13">
        <f>_xll.BDH("GILD US Equity","ARDR_FV_LIABS_REC_L3_DERIVATIVES","FQ2 2020","FQ2 2020","Currency=USD","Period=FQ","BEST_FPERIOD_OVERRIDE=FQ","FILING_STATUS=MR","SCALING_FORMAT=MLN","Sort=A","Dates=H","DateFormat=P","Fill=—","Direction=H","UseDPDF=Y")</f>
        <v>0</v>
      </c>
      <c r="J186" s="13">
        <f>_xll.BDH("GILD US Equity","ARDR_FV_LIABS_REC_L3_DERIVATIVES","FQ3 2020","FQ3 2020","Currency=USD","Period=FQ","BEST_FPERIOD_OVERRIDE=FQ","FILING_STATUS=MR","SCALING_FORMAT=MLN","Sort=A","Dates=H","DateFormat=P","Fill=—","Direction=H","UseDPDF=Y")</f>
        <v>0</v>
      </c>
      <c r="K186" s="13">
        <f>_xll.BDH("GILD US Equity","ARDR_FV_LIABS_REC_L3_DERIVATIVES","FQ4 2020","FQ4 2020","Currency=USD","Period=FQ","BEST_FPERIOD_OVERRIDE=FQ","FILING_STATUS=MR","SCALING_FORMAT=MLN","Sort=A","Dates=H","DateFormat=P","Fill=—","Direction=H","UseDPDF=Y")</f>
        <v>0</v>
      </c>
      <c r="L186" s="13">
        <f>_xll.BDH("GILD US Equity","ARDR_FV_LIABS_REC_L3_DERIVATIVES","FQ1 2021","FQ1 2021","Currency=USD","Period=FQ","BEST_FPERIOD_OVERRIDE=FQ","FILING_STATUS=MR","SCALING_FORMAT=MLN","Sort=A","Dates=H","DateFormat=P","Fill=—","Direction=H","UseDPDF=Y")</f>
        <v>0</v>
      </c>
      <c r="M186" s="13">
        <f>_xll.BDH("GILD US Equity","ARDR_FV_LIABS_REC_L3_DERIVATIVES","FQ2 2021","FQ2 2021","Currency=USD","Period=FQ","BEST_FPERIOD_OVERRIDE=FQ","FILING_STATUS=MR","SCALING_FORMAT=MLN","Sort=A","Dates=H","DateFormat=P","Fill=—","Direction=H","UseDPDF=Y")</f>
        <v>0</v>
      </c>
      <c r="N186" s="13">
        <f>_xll.BDH("GILD US Equity","ARDR_FV_LIABS_REC_L3_DERIVATIVES","FQ3 2021","FQ3 2021","Currency=USD","Period=FQ","BEST_FPERIOD_OVERRIDE=FQ","FILING_STATUS=MR","SCALING_FORMAT=MLN","Sort=A","Dates=H","DateFormat=P","Fill=—","Direction=H","UseDPDF=Y")</f>
        <v>0</v>
      </c>
      <c r="O186" s="13">
        <f>_xll.BDH("GILD US Equity","ARDR_FV_LIABS_REC_L3_DERIVATIVES","FQ4 2021","FQ4 2021","Currency=USD","Period=FQ","BEST_FPERIOD_OVERRIDE=FQ","FILING_STATUS=MR","SCALING_FORMAT=MLN","Sort=A","Dates=H","DateFormat=P","Fill=—","Direction=H","UseDPDF=Y")</f>
        <v>0</v>
      </c>
      <c r="P186" s="13">
        <f>_xll.BDH("GILD US Equity","ARDR_FV_LIABS_REC_L3_DERIVATIVES","FQ1 2022","FQ1 2022","Currency=USD","Period=FQ","BEST_FPERIOD_OVERRIDE=FQ","FILING_STATUS=MR","SCALING_FORMAT=MLN","Sort=A","Dates=H","DateFormat=P","Fill=—","Direction=H","UseDPDF=Y")</f>
        <v>0</v>
      </c>
      <c r="Q186" s="13">
        <f>_xll.BDH("GILD US Equity","ARDR_FV_LIABS_REC_L3_DERIVATIVES","FQ2 2022","FQ2 2022","Currency=USD","Period=FQ","BEST_FPERIOD_OVERRIDE=FQ","FILING_STATUS=MR","SCALING_FORMAT=MLN","Sort=A","Dates=H","DateFormat=P","Fill=—","Direction=H","UseDPDF=Y")</f>
        <v>0</v>
      </c>
      <c r="R186" s="13">
        <f>_xll.BDH("GILD US Equity","ARDR_FV_LIABS_REC_L3_DERIVATIVES","FQ3 2022","FQ3 2022","Currency=USD","Period=FQ","BEST_FPERIOD_OVERRIDE=FQ","FILING_STATUS=MR","SCALING_FORMAT=MLN","Sort=A","Dates=H","DateFormat=P","Fill=—","Direction=H","UseDPDF=Y")</f>
        <v>0</v>
      </c>
      <c r="S186" s="13">
        <f>_xll.BDH("GILD US Equity","ARDR_FV_LIABS_REC_L3_DERIVATIVES","FQ4 2022","FQ4 2022","Currency=USD","Period=FQ","BEST_FPERIOD_OVERRIDE=FQ","FILING_STATUS=MR","SCALING_FORMAT=MLN","Sort=A","Dates=H","DateFormat=P","Fill=—","Direction=H","UseDPDF=Y")</f>
        <v>0</v>
      </c>
      <c r="T186" s="13">
        <f>_xll.BDH("GILD US Equity","ARDR_FV_LIABS_REC_L3_DERIVATIVES","FQ1 2023","FQ1 2023","Currency=USD","Period=FQ","BEST_FPERIOD_OVERRIDE=FQ","FILING_STATUS=MR","SCALING_FORMAT=MLN","Sort=A","Dates=H","DateFormat=P","Fill=—","Direction=H","UseDPDF=Y")</f>
        <v>0</v>
      </c>
      <c r="U186" s="13">
        <f>_xll.BDH("GILD US Equity","ARDR_FV_LIABS_REC_L3_DERIVATIVES","FQ2 2023","FQ2 2023","Currency=USD","Period=FQ","BEST_FPERIOD_OVERRIDE=FQ","FILING_STATUS=MR","SCALING_FORMAT=MLN","Sort=A","Dates=H","DateFormat=P","Fill=—","Direction=H","UseDPDF=Y")</f>
        <v>0</v>
      </c>
      <c r="V186" s="13">
        <f>_xll.BDH("GILD US Equity","ARDR_FV_LIABS_REC_L3_DERIVATIVES","FQ3 2023","FQ3 2023","Currency=USD","Period=FQ","BEST_FPERIOD_OVERRIDE=FQ","FILING_STATUS=MR","SCALING_FORMAT=MLN","Sort=A","Dates=H","DateFormat=P","Fill=—","Direction=H","UseDPDF=Y")</f>
        <v>0</v>
      </c>
      <c r="W186" s="13">
        <f>_xll.BDH("GILD US Equity","ARDR_FV_LIABS_REC_L3_DERIVATIVES","FQ4 2023","FQ4 2023","Currency=USD","Period=FQ","BEST_FPERIOD_OVERRIDE=FQ","FILING_STATUS=MR","SCALING_FORMAT=MLN","Sort=A","Dates=H","DateFormat=P","Fill=—","Direction=H","UseDPDF=Y")</f>
        <v>0</v>
      </c>
      <c r="X186" s="13">
        <f>_xll.BDH("GILD US Equity","ARDR_FV_LIABS_REC_L3_DERIVATIVES","FQ1 2024","FQ1 2024","Currency=USD","Period=FQ","BEST_FPERIOD_OVERRIDE=FQ","FILING_STATUS=MR","SCALING_FORMAT=MLN","Sort=A","Dates=H","DateFormat=P","Fill=—","Direction=H","UseDPDF=Y")</f>
        <v>0</v>
      </c>
      <c r="Y186" s="13">
        <f>_xll.BDH("GILD US Equity","ARDR_FV_LIABS_REC_L3_DERIVATIVES","FQ2 2024","FQ2 2024","Currency=USD","Period=FQ","BEST_FPERIOD_OVERRIDE=FQ","FILING_STATUS=MR","SCALING_FORMAT=MLN","Sort=A","Dates=H","DateFormat=P","Fill=—","Direction=H","UseDPDF=Y")</f>
        <v>0</v>
      </c>
      <c r="Z186" s="13">
        <f>_xll.BDH("GILD US Equity","ARDR_FV_LIABS_REC_L3_DERIVATIVES","FQ3 2024","FQ3 2024","Currency=USD","Period=FQ","BEST_FPERIOD_OVERRIDE=FQ","FILING_STATUS=MR","SCALING_FORMAT=MLN","Sort=A","Dates=H","DateFormat=P","Fill=—","Direction=H","UseDPDF=Y")</f>
        <v>0</v>
      </c>
      <c r="AA186" s="13">
        <f>_xll.BDH("GILD US Equity","ARDR_FV_LIABS_REC_L3_DERIVATIVES","FQ4 2024","FQ4 2024","Currency=USD","Period=FQ","BEST_FPERIOD_OVERRIDE=FQ","FILING_STATUS=MR","SCALING_FORMAT=MLN","Sort=A","Dates=H","DateFormat=P","Fill=—","Direction=H","UseDPDF=Y")</f>
        <v>0</v>
      </c>
    </row>
    <row r="187" spans="1:27" x14ac:dyDescent="0.25">
      <c r="A187" s="10" t="s">
        <v>1231</v>
      </c>
      <c r="B187" s="10" t="s">
        <v>1232</v>
      </c>
      <c r="C187" s="13">
        <f>_xll.BDH("GILD US Equity","ARDR_FV_LIABS_REC_L3_OTHER","FQ4 2018","FQ4 2018","Currency=USD","Period=FQ","BEST_FPERIOD_OVERRIDE=FQ","FILING_STATUS=MR","SCALING_FORMAT=MLN","Sort=A","Dates=H","DateFormat=P","Fill=—","Direction=H","UseDPDF=Y")</f>
        <v>0</v>
      </c>
      <c r="D187" s="13" t="str">
        <f>_xll.BDH("GILD US Equity","ARDR_FV_LIABS_REC_L3_OTHER","FQ1 2019","FQ1 2019","Currency=USD","Period=FQ","BEST_FPERIOD_OVERRIDE=FQ","FILING_STATUS=MR","SCALING_FORMAT=MLN","Sort=A","Dates=H","DateFormat=P","Fill=—","Direction=H","UseDPDF=Y")</f>
        <v>—</v>
      </c>
      <c r="E187" s="13">
        <f>_xll.BDH("GILD US Equity","ARDR_FV_LIABS_REC_L3_OTHER","FQ2 2019","FQ2 2019","Currency=USD","Period=FQ","BEST_FPERIOD_OVERRIDE=FQ","FILING_STATUS=MR","SCALING_FORMAT=MLN","Sort=A","Dates=H","DateFormat=P","Fill=—","Direction=H","UseDPDF=Y")</f>
        <v>0</v>
      </c>
      <c r="F187" s="13">
        <f>_xll.BDH("GILD US Equity","ARDR_FV_LIABS_REC_L3_OTHER","FQ3 2019","FQ3 2019","Currency=USD","Period=FQ","BEST_FPERIOD_OVERRIDE=FQ","FILING_STATUS=MR","SCALING_FORMAT=MLN","Sort=A","Dates=H","DateFormat=P","Fill=—","Direction=H","UseDPDF=Y")</f>
        <v>0</v>
      </c>
      <c r="G187" s="13">
        <f>_xll.BDH("GILD US Equity","ARDR_FV_LIABS_REC_L3_OTHER","FQ4 2019","FQ4 2019","Currency=USD","Period=FQ","BEST_FPERIOD_OVERRIDE=FQ","FILING_STATUS=MR","SCALING_FORMAT=MLN","Sort=A","Dates=H","DateFormat=P","Fill=—","Direction=H","UseDPDF=Y")</f>
        <v>0</v>
      </c>
      <c r="H187" s="13">
        <f>_xll.BDH("GILD US Equity","ARDR_FV_LIABS_REC_L3_OTHER","FQ1 2020","FQ1 2020","Currency=USD","Period=FQ","BEST_FPERIOD_OVERRIDE=FQ","FILING_STATUS=MR","SCALING_FORMAT=MLN","Sort=A","Dates=H","DateFormat=P","Fill=—","Direction=H","UseDPDF=Y")</f>
        <v>0</v>
      </c>
      <c r="I187" s="13">
        <f>_xll.BDH("GILD US Equity","ARDR_FV_LIABS_REC_L3_OTHER","FQ2 2020","FQ2 2020","Currency=USD","Period=FQ","BEST_FPERIOD_OVERRIDE=FQ","FILING_STATUS=MR","SCALING_FORMAT=MLN","Sort=A","Dates=H","DateFormat=P","Fill=—","Direction=H","UseDPDF=Y")</f>
        <v>0</v>
      </c>
      <c r="J187" s="13">
        <f>_xll.BDH("GILD US Equity","ARDR_FV_LIABS_REC_L3_OTHER","FQ3 2020","FQ3 2020","Currency=USD","Period=FQ","BEST_FPERIOD_OVERRIDE=FQ","FILING_STATUS=MR","SCALING_FORMAT=MLN","Sort=A","Dates=H","DateFormat=P","Fill=—","Direction=H","UseDPDF=Y")</f>
        <v>0</v>
      </c>
      <c r="K187" s="13">
        <f>_xll.BDH("GILD US Equity","ARDR_FV_LIABS_REC_L3_OTHER","FQ4 2020","FQ4 2020","Currency=USD","Period=FQ","BEST_FPERIOD_OVERRIDE=FQ","FILING_STATUS=MR","SCALING_FORMAT=MLN","Sort=A","Dates=H","DateFormat=P","Fill=—","Direction=H","UseDPDF=Y")</f>
        <v>0</v>
      </c>
      <c r="L187" s="13">
        <f>_xll.BDH("GILD US Equity","ARDR_FV_LIABS_REC_L3_OTHER","FQ1 2021","FQ1 2021","Currency=USD","Period=FQ","BEST_FPERIOD_OVERRIDE=FQ","FILING_STATUS=MR","SCALING_FORMAT=MLN","Sort=A","Dates=H","DateFormat=P","Fill=—","Direction=H","UseDPDF=Y")</f>
        <v>341</v>
      </c>
      <c r="M187" s="13">
        <f>_xll.BDH("GILD US Equity","ARDR_FV_LIABS_REC_L3_OTHER","FQ2 2021","FQ2 2021","Currency=USD","Period=FQ","BEST_FPERIOD_OVERRIDE=FQ","FILING_STATUS=MR","SCALING_FORMAT=MLN","Sort=A","Dates=H","DateFormat=P","Fill=—","Direction=H","UseDPDF=Y")</f>
        <v>334</v>
      </c>
      <c r="N187" s="13">
        <f>_xll.BDH("GILD US Equity","ARDR_FV_LIABS_REC_L3_OTHER","FQ3 2021","FQ3 2021","Currency=USD","Period=FQ","BEST_FPERIOD_OVERRIDE=FQ","FILING_STATUS=MR","SCALING_FORMAT=MLN","Sort=A","Dates=H","DateFormat=P","Fill=—","Direction=H","UseDPDF=Y")</f>
        <v>328</v>
      </c>
      <c r="O187" s="13">
        <f>_xll.BDH("GILD US Equity","ARDR_FV_LIABS_REC_L3_OTHER","FQ4 2021","FQ4 2021","Currency=USD","Period=FQ","BEST_FPERIOD_OVERRIDE=FQ","FILING_STATUS=MR","SCALING_FORMAT=MLN","Sort=A","Dates=H","DateFormat=P","Fill=—","Direction=H","UseDPDF=Y")</f>
        <v>317</v>
      </c>
      <c r="P187" s="13">
        <f>_xll.BDH("GILD US Equity","ARDR_FV_LIABS_REC_L3_OTHER","FQ1 2022","FQ1 2022","Currency=USD","Period=FQ","BEST_FPERIOD_OVERRIDE=FQ","FILING_STATUS=MR","SCALING_FORMAT=MLN","Sort=A","Dates=H","DateFormat=P","Fill=—","Direction=H","UseDPDF=Y")</f>
        <v>322</v>
      </c>
      <c r="Q187" s="13">
        <f>_xll.BDH("GILD US Equity","ARDR_FV_LIABS_REC_L3_OTHER","FQ2 2022","FQ2 2022","Currency=USD","Period=FQ","BEST_FPERIOD_OVERRIDE=FQ","FILING_STATUS=MR","SCALING_FORMAT=MLN","Sort=A","Dates=H","DateFormat=P","Fill=—","Direction=H","UseDPDF=Y")</f>
        <v>306</v>
      </c>
      <c r="R187" s="13">
        <f>_xll.BDH("GILD US Equity","ARDR_FV_LIABS_REC_L3_OTHER","FQ3 2022","FQ3 2022","Currency=USD","Period=FQ","BEST_FPERIOD_OVERRIDE=FQ","FILING_STATUS=MR","SCALING_FORMAT=MLN","Sort=A","Dates=H","DateFormat=P","Fill=—","Direction=H","UseDPDF=Y")</f>
        <v>249</v>
      </c>
      <c r="S187" s="13">
        <f>_xll.BDH("GILD US Equity","ARDR_FV_LIABS_REC_L3_OTHER","FQ4 2022","FQ4 2022","Currency=USD","Period=FQ","BEST_FPERIOD_OVERRIDE=FQ","FILING_STATUS=MR","SCALING_FORMAT=MLN","Sort=A","Dates=H","DateFormat=P","Fill=—","Direction=H","UseDPDF=Y")</f>
        <v>275</v>
      </c>
      <c r="T187" s="13">
        <f>_xll.BDH("GILD US Equity","ARDR_FV_LIABS_REC_L3_OTHER","FQ1 2023","FQ1 2023","Currency=USD","Period=FQ","BEST_FPERIOD_OVERRIDE=FQ","FILING_STATUS=MR","SCALING_FORMAT=MLN","Sort=A","Dates=H","DateFormat=P","Fill=—","Direction=H","UseDPDF=Y")</f>
        <v>277</v>
      </c>
      <c r="U187" s="13">
        <f>_xll.BDH("GILD US Equity","ARDR_FV_LIABS_REC_L3_OTHER","FQ2 2023","FQ2 2023","Currency=USD","Period=FQ","BEST_FPERIOD_OVERRIDE=FQ","FILING_STATUS=MR","SCALING_FORMAT=MLN","Sort=A","Dates=H","DateFormat=P","Fill=—","Direction=H","UseDPDF=Y")</f>
        <v>288</v>
      </c>
      <c r="V187" s="13">
        <f>_xll.BDH("GILD US Equity","ARDR_FV_LIABS_REC_L3_OTHER","FQ3 2023","FQ3 2023","Currency=USD","Period=FQ","BEST_FPERIOD_OVERRIDE=FQ","FILING_STATUS=MR","SCALING_FORMAT=MLN","Sort=A","Dates=H","DateFormat=P","Fill=—","Direction=H","UseDPDF=Y")</f>
        <v>275</v>
      </c>
      <c r="W187" s="13">
        <f>_xll.BDH("GILD US Equity","ARDR_FV_LIABS_REC_L3_OTHER","FQ4 2023","FQ4 2023","Currency=USD","Period=FQ","BEST_FPERIOD_OVERRIDE=FQ","FILING_STATUS=MR","SCALING_FORMAT=MLN","Sort=A","Dates=H","DateFormat=P","Fill=—","Direction=H","UseDPDF=Y")</f>
        <v>0</v>
      </c>
      <c r="X187" s="13">
        <f>_xll.BDH("GILD US Equity","ARDR_FV_LIABS_REC_L3_OTHER","FQ1 2024","FQ1 2024","Currency=USD","Period=FQ","BEST_FPERIOD_OVERRIDE=FQ","FILING_STATUS=MR","SCALING_FORMAT=MLN","Sort=A","Dates=H","DateFormat=P","Fill=—","Direction=H","UseDPDF=Y")</f>
        <v>222</v>
      </c>
      <c r="Y187" s="13">
        <f>_xll.BDH("GILD US Equity","ARDR_FV_LIABS_REC_L3_OTHER","FQ2 2024","FQ2 2024","Currency=USD","Period=FQ","BEST_FPERIOD_OVERRIDE=FQ","FILING_STATUS=MR","SCALING_FORMAT=MLN","Sort=A","Dates=H","DateFormat=P","Fill=—","Direction=H","UseDPDF=Y")</f>
        <v>209</v>
      </c>
      <c r="Z187" s="13">
        <f>_xll.BDH("GILD US Equity","ARDR_FV_LIABS_REC_L3_OTHER","FQ3 2024","FQ3 2024","Currency=USD","Period=FQ","BEST_FPERIOD_OVERRIDE=FQ","FILING_STATUS=MR","SCALING_FORMAT=MLN","Sort=A","Dates=H","DateFormat=P","Fill=—","Direction=H","UseDPDF=Y")</f>
        <v>222</v>
      </c>
      <c r="AA187" s="13">
        <f>_xll.BDH("GILD US Equity","ARDR_FV_LIABS_REC_L3_OTHER","FQ4 2024","FQ4 2024","Currency=USD","Period=FQ","BEST_FPERIOD_OVERRIDE=FQ","FILING_STATUS=MR","SCALING_FORMAT=MLN","Sort=A","Dates=H","DateFormat=P","Fill=—","Direction=H","UseDPDF=Y")</f>
        <v>206</v>
      </c>
    </row>
    <row r="188" spans="1:27" x14ac:dyDescent="0.25">
      <c r="A188" s="10" t="s">
        <v>1233</v>
      </c>
      <c r="B188" s="10" t="s">
        <v>1234</v>
      </c>
      <c r="C188" s="13">
        <f>_xll.BDH("GILD US Equity","ARDR_FV_LIABS_REC_TOT_DERV","FQ4 2018","FQ4 2018","Currency=USD","Period=FQ","BEST_FPERIOD_OVERRIDE=FQ","FILING_STATUS=MR","SCALING_FORMAT=MLN","Sort=A","Dates=H","DateFormat=P","Fill=—","Direction=H","UseDPDF=Y")</f>
        <v>1</v>
      </c>
      <c r="D188" s="13" t="str">
        <f>_xll.BDH("GILD US Equity","ARDR_FV_LIABS_REC_TOT_DERV","FQ1 2019","FQ1 2019","Currency=USD","Period=FQ","BEST_FPERIOD_OVERRIDE=FQ","FILING_STATUS=MR","SCALING_FORMAT=MLN","Sort=A","Dates=H","DateFormat=P","Fill=—","Direction=H","UseDPDF=Y")</f>
        <v>—</v>
      </c>
      <c r="E188" s="13">
        <f>_xll.BDH("GILD US Equity","ARDR_FV_LIABS_REC_TOT_DERV","FQ2 2019","FQ2 2019","Currency=USD","Period=FQ","BEST_FPERIOD_OVERRIDE=FQ","FILING_STATUS=MR","SCALING_FORMAT=MLN","Sort=A","Dates=H","DateFormat=P","Fill=—","Direction=H","UseDPDF=Y")</f>
        <v>6</v>
      </c>
      <c r="F188" s="13">
        <f>_xll.BDH("GILD US Equity","ARDR_FV_LIABS_REC_TOT_DERV","FQ3 2019","FQ3 2019","Currency=USD","Period=FQ","BEST_FPERIOD_OVERRIDE=FQ","FILING_STATUS=MR","SCALING_FORMAT=MLN","Sort=A","Dates=H","DateFormat=P","Fill=—","Direction=H","UseDPDF=Y")</f>
        <v>1</v>
      </c>
      <c r="G188" s="13">
        <f>_xll.BDH("GILD US Equity","ARDR_FV_LIABS_REC_TOT_DERV","FQ4 2019","FQ4 2019","Currency=USD","Period=FQ","BEST_FPERIOD_OVERRIDE=FQ","FILING_STATUS=MR","SCALING_FORMAT=MLN","Sort=A","Dates=H","DateFormat=P","Fill=—","Direction=H","UseDPDF=Y")</f>
        <v>8</v>
      </c>
      <c r="H188" s="13">
        <f>_xll.BDH("GILD US Equity","ARDR_FV_LIABS_REC_TOT_DERV","FQ1 2020","FQ1 2020","Currency=USD","Period=FQ","BEST_FPERIOD_OVERRIDE=FQ","FILING_STATUS=MR","SCALING_FORMAT=MLN","Sort=A","Dates=H","DateFormat=P","Fill=—","Direction=H","UseDPDF=Y")</f>
        <v>5</v>
      </c>
      <c r="I188" s="13">
        <f>_xll.BDH("GILD US Equity","ARDR_FV_LIABS_REC_TOT_DERV","FQ2 2020","FQ2 2020","Currency=USD","Period=FQ","BEST_FPERIOD_OVERRIDE=FQ","FILING_STATUS=MR","SCALING_FORMAT=MLN","Sort=A","Dates=H","DateFormat=P","Fill=—","Direction=H","UseDPDF=Y")</f>
        <v>18</v>
      </c>
      <c r="J188" s="13">
        <f>_xll.BDH("GILD US Equity","ARDR_FV_LIABS_REC_TOT_DERV","FQ3 2020","FQ3 2020","Currency=USD","Period=FQ","BEST_FPERIOD_OVERRIDE=FQ","FILING_STATUS=MR","SCALING_FORMAT=MLN","Sort=A","Dates=H","DateFormat=P","Fill=—","Direction=H","UseDPDF=Y")</f>
        <v>50</v>
      </c>
      <c r="K188" s="13">
        <f>_xll.BDH("GILD US Equity","ARDR_FV_LIABS_REC_TOT_DERV","FQ4 2020","FQ4 2020","Currency=USD","Period=FQ","BEST_FPERIOD_OVERRIDE=FQ","FILING_STATUS=MR","SCALING_FORMAT=MLN","Sort=A","Dates=H","DateFormat=P","Fill=—","Direction=H","UseDPDF=Y")</f>
        <v>121</v>
      </c>
      <c r="L188" s="13">
        <f>_xll.BDH("GILD US Equity","ARDR_FV_LIABS_REC_TOT_DERV","FQ1 2021","FQ1 2021","Currency=USD","Period=FQ","BEST_FPERIOD_OVERRIDE=FQ","FILING_STATUS=MR","SCALING_FORMAT=MLN","Sort=A","Dates=H","DateFormat=P","Fill=—","Direction=H","UseDPDF=Y")</f>
        <v>41</v>
      </c>
      <c r="M188" s="13">
        <f>_xll.BDH("GILD US Equity","ARDR_FV_LIABS_REC_TOT_DERV","FQ2 2021","FQ2 2021","Currency=USD","Period=FQ","BEST_FPERIOD_OVERRIDE=FQ","FILING_STATUS=MR","SCALING_FORMAT=MLN","Sort=A","Dates=H","DateFormat=P","Fill=—","Direction=H","UseDPDF=Y")</f>
        <v>30</v>
      </c>
      <c r="N188" s="13">
        <f>_xll.BDH("GILD US Equity","ARDR_FV_LIABS_REC_TOT_DERV","FQ3 2021","FQ3 2021","Currency=USD","Period=FQ","BEST_FPERIOD_OVERRIDE=FQ","FILING_STATUS=MR","SCALING_FORMAT=MLN","Sort=A","Dates=H","DateFormat=P","Fill=—","Direction=H","UseDPDF=Y")</f>
        <v>8</v>
      </c>
      <c r="O188" s="13">
        <f>_xll.BDH("GILD US Equity","ARDR_FV_LIABS_REC_TOT_DERV","FQ4 2021","FQ4 2021","Currency=USD","Period=FQ","BEST_FPERIOD_OVERRIDE=FQ","FILING_STATUS=MR","SCALING_FORMAT=MLN","Sort=A","Dates=H","DateFormat=P","Fill=—","Direction=H","UseDPDF=Y")</f>
        <v>5</v>
      </c>
      <c r="P188" s="13">
        <f>_xll.BDH("GILD US Equity","ARDR_FV_LIABS_REC_TOT_DERV","FQ1 2022","FQ1 2022","Currency=USD","Period=FQ","BEST_FPERIOD_OVERRIDE=FQ","FILING_STATUS=MR","SCALING_FORMAT=MLN","Sort=A","Dates=H","DateFormat=P","Fill=—","Direction=H","UseDPDF=Y")</f>
        <v>11</v>
      </c>
      <c r="Q188" s="13">
        <f>_xll.BDH("GILD US Equity","ARDR_FV_LIABS_REC_TOT_DERV","FQ2 2022","FQ2 2022","Currency=USD","Period=FQ","BEST_FPERIOD_OVERRIDE=FQ","FILING_STATUS=MR","SCALING_FORMAT=MLN","Sort=A","Dates=H","DateFormat=P","Fill=—","Direction=H","UseDPDF=Y")</f>
        <v>3</v>
      </c>
      <c r="R188" s="13">
        <f>_xll.BDH("GILD US Equity","ARDR_FV_LIABS_REC_TOT_DERV","FQ3 2022","FQ3 2022","Currency=USD","Period=FQ","BEST_FPERIOD_OVERRIDE=FQ","FILING_STATUS=MR","SCALING_FORMAT=MLN","Sort=A","Dates=H","DateFormat=P","Fill=—","Direction=H","UseDPDF=Y")</f>
        <v>2</v>
      </c>
      <c r="S188" s="13">
        <f>_xll.BDH("GILD US Equity","ARDR_FV_LIABS_REC_TOT_DERV","FQ4 2022","FQ4 2022","Currency=USD","Period=FQ","BEST_FPERIOD_OVERRIDE=FQ","FILING_STATUS=MR","SCALING_FORMAT=MLN","Sort=A","Dates=H","DateFormat=P","Fill=—","Direction=H","UseDPDF=Y")</f>
        <v>42</v>
      </c>
      <c r="T188" s="13">
        <f>_xll.BDH("GILD US Equity","ARDR_FV_LIABS_REC_TOT_DERV","FQ1 2023","FQ1 2023","Currency=USD","Period=FQ","BEST_FPERIOD_OVERRIDE=FQ","FILING_STATUS=MR","SCALING_FORMAT=MLN","Sort=A","Dates=H","DateFormat=P","Fill=—","Direction=H","UseDPDF=Y")</f>
        <v>49</v>
      </c>
      <c r="U188" s="13">
        <f>_xll.BDH("GILD US Equity","ARDR_FV_LIABS_REC_TOT_DERV","FQ2 2023","FQ2 2023","Currency=USD","Period=FQ","BEST_FPERIOD_OVERRIDE=FQ","FILING_STATUS=MR","SCALING_FORMAT=MLN","Sort=A","Dates=H","DateFormat=P","Fill=—","Direction=H","UseDPDF=Y")</f>
        <v>36</v>
      </c>
      <c r="V188" s="13">
        <f>_xll.BDH("GILD US Equity","ARDR_FV_LIABS_REC_TOT_DERV","FQ3 2023","FQ3 2023","Currency=USD","Period=FQ","BEST_FPERIOD_OVERRIDE=FQ","FILING_STATUS=MR","SCALING_FORMAT=MLN","Sort=A","Dates=H","DateFormat=P","Fill=—","Direction=H","UseDPDF=Y")</f>
        <v>8</v>
      </c>
      <c r="W188" s="13">
        <f>_xll.BDH("GILD US Equity","ARDR_FV_LIABS_REC_TOT_DERV","FQ4 2023","FQ4 2023","Currency=USD","Period=FQ","BEST_FPERIOD_OVERRIDE=FQ","FILING_STATUS=MR","SCALING_FORMAT=MLN","Sort=A","Dates=H","DateFormat=P","Fill=—","Direction=H","UseDPDF=Y")</f>
        <v>59</v>
      </c>
      <c r="X188" s="13">
        <f>_xll.BDH("GILD US Equity","ARDR_FV_LIABS_REC_TOT_DERV","FQ1 2024","FQ1 2024","Currency=USD","Period=FQ","BEST_FPERIOD_OVERRIDE=FQ","FILING_STATUS=MR","SCALING_FORMAT=MLN","Sort=A","Dates=H","DateFormat=P","Fill=—","Direction=H","UseDPDF=Y")</f>
        <v>10</v>
      </c>
      <c r="Y188" s="13">
        <f>_xll.BDH("GILD US Equity","ARDR_FV_LIABS_REC_TOT_DERV","FQ2 2024","FQ2 2024","Currency=USD","Period=FQ","BEST_FPERIOD_OVERRIDE=FQ","FILING_STATUS=MR","SCALING_FORMAT=MLN","Sort=A","Dates=H","DateFormat=P","Fill=—","Direction=H","UseDPDF=Y")</f>
        <v>2</v>
      </c>
      <c r="Z188" s="13">
        <f>_xll.BDH("GILD US Equity","ARDR_FV_LIABS_REC_TOT_DERV","FQ3 2024","FQ3 2024","Currency=USD","Period=FQ","BEST_FPERIOD_OVERRIDE=FQ","FILING_STATUS=MR","SCALING_FORMAT=MLN","Sort=A","Dates=H","DateFormat=P","Fill=—","Direction=H","UseDPDF=Y")</f>
        <v>49</v>
      </c>
      <c r="AA188" s="13">
        <f>_xll.BDH("GILD US Equity","ARDR_FV_LIABS_REC_TOT_DERV","FQ4 2024","FQ4 2024","Currency=USD","Period=FQ","BEST_FPERIOD_OVERRIDE=FQ","FILING_STATUS=MR","SCALING_FORMAT=MLN","Sort=A","Dates=H","DateFormat=P","Fill=—","Direction=H","UseDPDF=Y")</f>
        <v>3</v>
      </c>
    </row>
    <row r="189" spans="1:27" x14ac:dyDescent="0.25">
      <c r="A189" s="10" t="s">
        <v>1235</v>
      </c>
      <c r="B189" s="10" t="s">
        <v>1236</v>
      </c>
      <c r="C189" s="13">
        <f>_xll.BDH("GILD US Equity","ARDR_FV_LIABS_REC_TOT_OTHER","FQ4 2018","FQ4 2018","Currency=USD","Period=FQ","BEST_FPERIOD_OVERRIDE=FQ","FILING_STATUS=MR","SCALING_FORMAT=MLN","Sort=A","Dates=H","DateFormat=P","Fill=—","Direction=H","UseDPDF=Y")</f>
        <v>124</v>
      </c>
      <c r="D189" s="13" t="str">
        <f>_xll.BDH("GILD US Equity","ARDR_FV_LIABS_REC_TOT_OTHER","FQ1 2019","FQ1 2019","Currency=USD","Period=FQ","BEST_FPERIOD_OVERRIDE=FQ","FILING_STATUS=MR","SCALING_FORMAT=MLN","Sort=A","Dates=H","DateFormat=P","Fill=—","Direction=H","UseDPDF=Y")</f>
        <v>—</v>
      </c>
      <c r="E189" s="13">
        <f>_xll.BDH("GILD US Equity","ARDR_FV_LIABS_REC_TOT_OTHER","FQ2 2019","FQ2 2019","Currency=USD","Period=FQ","BEST_FPERIOD_OVERRIDE=FQ","FILING_STATUS=MR","SCALING_FORMAT=MLN","Sort=A","Dates=H","DateFormat=P","Fill=—","Direction=H","UseDPDF=Y")</f>
        <v>156</v>
      </c>
      <c r="F189" s="13">
        <f>_xll.BDH("GILD US Equity","ARDR_FV_LIABS_REC_TOT_OTHER","FQ3 2019","FQ3 2019","Currency=USD","Period=FQ","BEST_FPERIOD_OVERRIDE=FQ","FILING_STATUS=MR","SCALING_FORMAT=MLN","Sort=A","Dates=H","DateFormat=P","Fill=—","Direction=H","UseDPDF=Y")</f>
        <v>159</v>
      </c>
      <c r="G189" s="13">
        <f>_xll.BDH("GILD US Equity","ARDR_FV_LIABS_REC_TOT_OTHER","FQ4 2019","FQ4 2019","Currency=USD","Period=FQ","BEST_FPERIOD_OVERRIDE=FQ","FILING_STATUS=MR","SCALING_FORMAT=MLN","Sort=A","Dates=H","DateFormat=P","Fill=—","Direction=H","UseDPDF=Y")</f>
        <v>171</v>
      </c>
      <c r="H189" s="13">
        <f>_xll.BDH("GILD US Equity","ARDR_FV_LIABS_REC_TOT_OTHER","FQ1 2020","FQ1 2020","Currency=USD","Period=FQ","BEST_FPERIOD_OVERRIDE=FQ","FILING_STATUS=MR","SCALING_FORMAT=MLN","Sort=A","Dates=H","DateFormat=P","Fill=—","Direction=H","UseDPDF=Y")</f>
        <v>156</v>
      </c>
      <c r="I189" s="13">
        <f>_xll.BDH("GILD US Equity","ARDR_FV_LIABS_REC_TOT_OTHER","FQ2 2020","FQ2 2020","Currency=USD","Period=FQ","BEST_FPERIOD_OVERRIDE=FQ","FILING_STATUS=MR","SCALING_FORMAT=MLN","Sort=A","Dates=H","DateFormat=P","Fill=—","Direction=H","UseDPDF=Y")</f>
        <v>183</v>
      </c>
      <c r="J189" s="13">
        <f>_xll.BDH("GILD US Equity","ARDR_FV_LIABS_REC_TOT_OTHER","FQ3 2020","FQ3 2020","Currency=USD","Period=FQ","BEST_FPERIOD_OVERRIDE=FQ","FILING_STATUS=MR","SCALING_FORMAT=MLN","Sort=A","Dates=H","DateFormat=P","Fill=—","Direction=H","UseDPDF=Y")</f>
        <v>200</v>
      </c>
      <c r="K189" s="13">
        <f>_xll.BDH("GILD US Equity","ARDR_FV_LIABS_REC_TOT_OTHER","FQ4 2020","FQ4 2020","Currency=USD","Period=FQ","BEST_FPERIOD_OVERRIDE=FQ","FILING_STATUS=MR","SCALING_FORMAT=MLN","Sort=A","Dates=H","DateFormat=P","Fill=—","Direction=H","UseDPDF=Y")</f>
        <v>218</v>
      </c>
      <c r="L189" s="13">
        <f>_xll.BDH("GILD US Equity","ARDR_FV_LIABS_REC_TOT_OTHER","FQ1 2021","FQ1 2021","Currency=USD","Period=FQ","BEST_FPERIOD_OVERRIDE=FQ","FILING_STATUS=MR","SCALING_FORMAT=MLN","Sort=A","Dates=H","DateFormat=P","Fill=—","Direction=H","UseDPDF=Y")</f>
        <v>576</v>
      </c>
      <c r="M189" s="13">
        <f>_xll.BDH("GILD US Equity","ARDR_FV_LIABS_REC_TOT_OTHER","FQ2 2021","FQ2 2021","Currency=USD","Period=FQ","BEST_FPERIOD_OVERRIDE=FQ","FILING_STATUS=MR","SCALING_FORMAT=MLN","Sort=A","Dates=H","DateFormat=P","Fill=—","Direction=H","UseDPDF=Y")</f>
        <v>582</v>
      </c>
      <c r="N189" s="13">
        <f>_xll.BDH("GILD US Equity","ARDR_FV_LIABS_REC_TOT_OTHER","FQ3 2021","FQ3 2021","Currency=USD","Period=FQ","BEST_FPERIOD_OVERRIDE=FQ","FILING_STATUS=MR","SCALING_FORMAT=MLN","Sort=A","Dates=H","DateFormat=P","Fill=—","Direction=H","UseDPDF=Y")</f>
        <v>577</v>
      </c>
      <c r="O189" s="13">
        <f>_xll.BDH("GILD US Equity","ARDR_FV_LIABS_REC_TOT_OTHER","FQ4 2021","FQ4 2021","Currency=USD","Period=FQ","BEST_FPERIOD_OVERRIDE=FQ","FILING_STATUS=MR","SCALING_FORMAT=MLN","Sort=A","Dates=H","DateFormat=P","Fill=—","Direction=H","UseDPDF=Y")</f>
        <v>578</v>
      </c>
      <c r="P189" s="13">
        <f>_xll.BDH("GILD US Equity","ARDR_FV_LIABS_REC_TOT_OTHER","FQ1 2022","FQ1 2022","Currency=USD","Period=FQ","BEST_FPERIOD_OVERRIDE=FQ","FILING_STATUS=MR","SCALING_FORMAT=MLN","Sort=A","Dates=H","DateFormat=P","Fill=—","Direction=H","UseDPDF=Y")</f>
        <v>575</v>
      </c>
      <c r="Q189" s="13">
        <f>_xll.BDH("GILD US Equity","ARDR_FV_LIABS_REC_TOT_OTHER","FQ2 2022","FQ2 2022","Currency=USD","Period=FQ","BEST_FPERIOD_OVERRIDE=FQ","FILING_STATUS=MR","SCALING_FORMAT=MLN","Sort=A","Dates=H","DateFormat=P","Fill=—","Direction=H","UseDPDF=Y")</f>
        <v>521</v>
      </c>
      <c r="R189" s="13">
        <f>_xll.BDH("GILD US Equity","ARDR_FV_LIABS_REC_TOT_OTHER","FQ3 2022","FQ3 2022","Currency=USD","Period=FQ","BEST_FPERIOD_OVERRIDE=FQ","FILING_STATUS=MR","SCALING_FORMAT=MLN","Sort=A","Dates=H","DateFormat=P","Fill=—","Direction=H","UseDPDF=Y")</f>
        <v>457</v>
      </c>
      <c r="S189" s="13">
        <f>_xll.BDH("GILD US Equity","ARDR_FV_LIABS_REC_TOT_OTHER","FQ4 2022","FQ4 2022","Currency=USD","Period=FQ","BEST_FPERIOD_OVERRIDE=FQ","FILING_STATUS=MR","SCALING_FORMAT=MLN","Sort=A","Dates=H","DateFormat=P","Fill=—","Direction=H","UseDPDF=Y")</f>
        <v>495</v>
      </c>
      <c r="T189" s="13">
        <f>_xll.BDH("GILD US Equity","ARDR_FV_LIABS_REC_TOT_OTHER","FQ1 2023","FQ1 2023","Currency=USD","Period=FQ","BEST_FPERIOD_OVERRIDE=FQ","FILING_STATUS=MR","SCALING_FORMAT=MLN","Sort=A","Dates=H","DateFormat=P","Fill=—","Direction=H","UseDPDF=Y")</f>
        <v>526</v>
      </c>
      <c r="U189" s="13">
        <f>_xll.BDH("GILD US Equity","ARDR_FV_LIABS_REC_TOT_OTHER","FQ2 2023","FQ2 2023","Currency=USD","Period=FQ","BEST_FPERIOD_OVERRIDE=FQ","FILING_STATUS=MR","SCALING_FORMAT=MLN","Sort=A","Dates=H","DateFormat=P","Fill=—","Direction=H","UseDPDF=Y")</f>
        <v>555</v>
      </c>
      <c r="V189" s="13">
        <f>_xll.BDH("GILD US Equity","ARDR_FV_LIABS_REC_TOT_OTHER","FQ3 2023","FQ3 2023","Currency=USD","Period=FQ","BEST_FPERIOD_OVERRIDE=FQ","FILING_STATUS=MR","SCALING_FORMAT=MLN","Sort=A","Dates=H","DateFormat=P","Fill=—","Direction=H","UseDPDF=Y")</f>
        <v>533</v>
      </c>
      <c r="W189" s="13" t="str">
        <f>_xll.BDH("GILD US Equity","ARDR_FV_LIABS_REC_TOT_OTHER","FQ4 2023","FQ4 2023","Currency=USD","Period=FQ","BEST_FPERIOD_OVERRIDE=FQ","FILING_STATUS=MR","SCALING_FORMAT=MLN","Sort=A","Dates=H","DateFormat=P","Fill=—","Direction=H","UseDPDF=Y")</f>
        <v>—</v>
      </c>
      <c r="X189" s="13">
        <f>_xll.BDH("GILD US Equity","ARDR_FV_LIABS_REC_TOT_OTHER","FQ1 2024","FQ1 2024","Currency=USD","Period=FQ","BEST_FPERIOD_OVERRIDE=FQ","FILING_STATUS=MR","SCALING_FORMAT=MLN","Sort=A","Dates=H","DateFormat=P","Fill=—","Direction=H","UseDPDF=Y")</f>
        <v>540</v>
      </c>
      <c r="Y189" s="13">
        <f>_xll.BDH("GILD US Equity","ARDR_FV_LIABS_REC_TOT_OTHER","FQ2 2024","FQ2 2024","Currency=USD","Period=FQ","BEST_FPERIOD_OVERRIDE=FQ","FILING_STATUS=MR","SCALING_FORMAT=MLN","Sort=A","Dates=H","DateFormat=P","Fill=—","Direction=H","UseDPDF=Y")</f>
        <v>536</v>
      </c>
      <c r="Z189" s="13">
        <f>_xll.BDH("GILD US Equity","ARDR_FV_LIABS_REC_TOT_OTHER","FQ3 2024","FQ3 2024","Currency=USD","Period=FQ","BEST_FPERIOD_OVERRIDE=FQ","FILING_STATUS=MR","SCALING_FORMAT=MLN","Sort=A","Dates=H","DateFormat=P","Fill=—","Direction=H","UseDPDF=Y")</f>
        <v>565</v>
      </c>
      <c r="AA189" s="13">
        <f>_xll.BDH("GILD US Equity","ARDR_FV_LIABS_REC_TOT_OTHER","FQ4 2024","FQ4 2024","Currency=USD","Period=FQ","BEST_FPERIOD_OVERRIDE=FQ","FILING_STATUS=MR","SCALING_FORMAT=MLN","Sort=A","Dates=H","DateFormat=P","Fill=—","Direction=H","UseDPDF=Y")</f>
        <v>549</v>
      </c>
    </row>
    <row r="190" spans="1:27" x14ac:dyDescent="0.25">
      <c r="A190" s="10" t="s">
        <v>1237</v>
      </c>
      <c r="B190" s="10" t="s">
        <v>1238</v>
      </c>
      <c r="C190" s="13" t="str">
        <f>_xll.BDH("GILD US Equity","ARDR_FV_HEDG_DERIV_ASSETS_FX","FQ4 2018","FQ4 2018","Currency=USD","Period=FQ","BEST_FPERIOD_OVERRIDE=FQ","FILING_STATUS=MR","SCALING_FORMAT=MLN","Sort=A","Dates=H","DateFormat=P","Fill=—","Direction=H","UseDPDF=Y")</f>
        <v>—</v>
      </c>
      <c r="D190" s="13" t="str">
        <f>_xll.BDH("GILD US Equity","ARDR_FV_HEDG_DERIV_ASSETS_FX","FQ1 2019","FQ1 2019","Currency=USD","Period=FQ","BEST_FPERIOD_OVERRIDE=FQ","FILING_STATUS=MR","SCALING_FORMAT=MLN","Sort=A","Dates=H","DateFormat=P","Fill=—","Direction=H","UseDPDF=Y")</f>
        <v>—</v>
      </c>
      <c r="E190" s="13" t="str">
        <f>_xll.BDH("GILD US Equity","ARDR_FV_HEDG_DERIV_ASSETS_FX","FQ2 2019","FQ2 2019","Currency=USD","Period=FQ","BEST_FPERIOD_OVERRIDE=FQ","FILING_STATUS=MR","SCALING_FORMAT=MLN","Sort=A","Dates=H","DateFormat=P","Fill=—","Direction=H","UseDPDF=Y")</f>
        <v>—</v>
      </c>
      <c r="F190" s="13" t="str">
        <f>_xll.BDH("GILD US Equity","ARDR_FV_HEDG_DERIV_ASSETS_FX","FQ3 2019","FQ3 2019","Currency=USD","Period=FQ","BEST_FPERIOD_OVERRIDE=FQ","FILING_STATUS=MR","SCALING_FORMAT=MLN","Sort=A","Dates=H","DateFormat=P","Fill=—","Direction=H","UseDPDF=Y")</f>
        <v>—</v>
      </c>
      <c r="G190" s="13">
        <f>_xll.BDH("GILD US Equity","ARDR_FV_HEDG_DERIV_ASSETS_FX","FQ4 2019","FQ4 2019","Currency=USD","Period=FQ","BEST_FPERIOD_OVERRIDE=FQ","FILING_STATUS=MR","SCALING_FORMAT=MLN","Sort=A","Dates=H","DateFormat=P","Fill=—","Direction=H","UseDPDF=Y")</f>
        <v>36</v>
      </c>
      <c r="H190" s="13" t="str">
        <f>_xll.BDH("GILD US Equity","ARDR_FV_HEDG_DERIV_ASSETS_FX","FQ1 2020","FQ1 2020","Currency=USD","Period=FQ","BEST_FPERIOD_OVERRIDE=FQ","FILING_STATUS=MR","SCALING_FORMAT=MLN","Sort=A","Dates=H","DateFormat=P","Fill=—","Direction=H","UseDPDF=Y")</f>
        <v>—</v>
      </c>
      <c r="I190" s="13" t="str">
        <f>_xll.BDH("GILD US Equity","ARDR_FV_HEDG_DERIV_ASSETS_FX","FQ2 2020","FQ2 2020","Currency=USD","Period=FQ","BEST_FPERIOD_OVERRIDE=FQ","FILING_STATUS=MR","SCALING_FORMAT=MLN","Sort=A","Dates=H","DateFormat=P","Fill=—","Direction=H","UseDPDF=Y")</f>
        <v>—</v>
      </c>
      <c r="J190" s="13">
        <f>_xll.BDH("GILD US Equity","ARDR_FV_HEDG_DERIV_ASSETS_FX","FQ3 2020","FQ3 2020","Currency=USD","Period=FQ","BEST_FPERIOD_OVERRIDE=FQ","FILING_STATUS=MR","SCALING_FORMAT=MLN","Sort=A","Dates=H","DateFormat=P","Fill=—","Direction=H","UseDPDF=Y")</f>
        <v>6</v>
      </c>
      <c r="K190" s="13">
        <f>_xll.BDH("GILD US Equity","ARDR_FV_HEDG_DERIV_ASSETS_FX","FQ4 2020","FQ4 2020","Currency=USD","Period=FQ","BEST_FPERIOD_OVERRIDE=FQ","FILING_STATUS=MR","SCALING_FORMAT=MLN","Sort=A","Dates=H","DateFormat=P","Fill=—","Direction=H","UseDPDF=Y")</f>
        <v>0</v>
      </c>
      <c r="L190" s="13" t="str">
        <f>_xll.BDH("GILD US Equity","ARDR_FV_HEDG_DERIV_ASSETS_FX","FQ1 2021","FQ1 2021","Currency=USD","Period=FQ","BEST_FPERIOD_OVERRIDE=FQ","FILING_STATUS=MR","SCALING_FORMAT=MLN","Sort=A","Dates=H","DateFormat=P","Fill=—","Direction=H","UseDPDF=Y")</f>
        <v>—</v>
      </c>
      <c r="M190" s="13">
        <f>_xll.BDH("GILD US Equity","ARDR_FV_HEDG_DERIV_ASSETS_FX","FQ2 2021","FQ2 2021","Currency=USD","Period=FQ","BEST_FPERIOD_OVERRIDE=FQ","FILING_STATUS=MR","SCALING_FORMAT=MLN","Sort=A","Dates=H","DateFormat=P","Fill=—","Direction=H","UseDPDF=Y")</f>
        <v>28</v>
      </c>
      <c r="N190" s="13">
        <f>_xll.BDH("GILD US Equity","ARDR_FV_HEDG_DERIV_ASSETS_FX","FQ3 2021","FQ3 2021","Currency=USD","Period=FQ","BEST_FPERIOD_OVERRIDE=FQ","FILING_STATUS=MR","SCALING_FORMAT=MLN","Sort=A","Dates=H","DateFormat=P","Fill=—","Direction=H","UseDPDF=Y")</f>
        <v>55</v>
      </c>
      <c r="O190" s="13">
        <f>_xll.BDH("GILD US Equity","ARDR_FV_HEDG_DERIV_ASSETS_FX","FQ4 2021","FQ4 2021","Currency=USD","Period=FQ","BEST_FPERIOD_OVERRIDE=FQ","FILING_STATUS=MR","SCALING_FORMAT=MLN","Sort=A","Dates=H","DateFormat=P","Fill=—","Direction=H","UseDPDF=Y")</f>
        <v>80</v>
      </c>
      <c r="P190" s="13" t="str">
        <f>_xll.BDH("GILD US Equity","ARDR_FV_HEDG_DERIV_ASSETS_FX","FQ1 2022","FQ1 2022","Currency=USD","Period=FQ","BEST_FPERIOD_OVERRIDE=FQ","FILING_STATUS=MR","SCALING_FORMAT=MLN","Sort=A","Dates=H","DateFormat=P","Fill=—","Direction=H","UseDPDF=Y")</f>
        <v>—</v>
      </c>
      <c r="Q190" s="13">
        <f>_xll.BDH("GILD US Equity","ARDR_FV_HEDG_DERIV_ASSETS_FX","FQ2 2022","FQ2 2022","Currency=USD","Period=FQ","BEST_FPERIOD_OVERRIDE=FQ","FILING_STATUS=MR","SCALING_FORMAT=MLN","Sort=A","Dates=H","DateFormat=P","Fill=—","Direction=H","UseDPDF=Y")</f>
        <v>132</v>
      </c>
      <c r="R190" s="13" t="str">
        <f>_xll.BDH("GILD US Equity","ARDR_FV_HEDG_DERIV_ASSETS_FX","FQ3 2022","FQ3 2022","Currency=USD","Period=FQ","BEST_FPERIOD_OVERRIDE=FQ","FILING_STATUS=MR","SCALING_FORMAT=MLN","Sort=A","Dates=H","DateFormat=P","Fill=—","Direction=H","UseDPDF=Y")</f>
        <v>—</v>
      </c>
      <c r="S190" s="13">
        <f>_xll.BDH("GILD US Equity","ARDR_FV_HEDG_DERIV_ASSETS_FX","FQ4 2022","FQ4 2022","Currency=USD","Period=FQ","BEST_FPERIOD_OVERRIDE=FQ","FILING_STATUS=MR","SCALING_FORMAT=MLN","Sort=A","Dates=H","DateFormat=P","Fill=—","Direction=H","UseDPDF=Y")</f>
        <v>60</v>
      </c>
      <c r="T190" s="13">
        <f>_xll.BDH("GILD US Equity","ARDR_FV_HEDG_DERIV_ASSETS_FX","FQ1 2023","FQ1 2023","Currency=USD","Period=FQ","BEST_FPERIOD_OVERRIDE=FQ","FILING_STATUS=MR","SCALING_FORMAT=MLN","Sort=A","Dates=H","DateFormat=P","Fill=—","Direction=H","UseDPDF=Y")</f>
        <v>32</v>
      </c>
      <c r="U190" s="13">
        <f>_xll.BDH("GILD US Equity","ARDR_FV_HEDG_DERIV_ASSETS_FX","FQ2 2023","FQ2 2023","Currency=USD","Period=FQ","BEST_FPERIOD_OVERRIDE=FQ","FILING_STATUS=MR","SCALING_FORMAT=MLN","Sort=A","Dates=H","DateFormat=P","Fill=—","Direction=H","UseDPDF=Y")</f>
        <v>26</v>
      </c>
      <c r="V190" s="13">
        <f>_xll.BDH("GILD US Equity","ARDR_FV_HEDG_DERIV_ASSETS_FX","FQ3 2023","FQ3 2023","Currency=USD","Period=FQ","BEST_FPERIOD_OVERRIDE=FQ","FILING_STATUS=MR","SCALING_FORMAT=MLN","Sort=A","Dates=H","DateFormat=P","Fill=—","Direction=H","UseDPDF=Y")</f>
        <v>67</v>
      </c>
      <c r="W190" s="13">
        <f>_xll.BDH("GILD US Equity","ARDR_FV_HEDG_DERIV_ASSETS_FX","FQ4 2023","FQ4 2023","Currency=USD","Period=FQ","BEST_FPERIOD_OVERRIDE=FQ","FILING_STATUS=MR","SCALING_FORMAT=MLN","Sort=A","Dates=H","DateFormat=P","Fill=—","Direction=H","UseDPDF=Y")</f>
        <v>7</v>
      </c>
      <c r="X190" s="13">
        <f>_xll.BDH("GILD US Equity","ARDR_FV_HEDG_DERIV_ASSETS_FX","FQ1 2024","FQ1 2024","Currency=USD","Period=FQ","BEST_FPERIOD_OVERRIDE=FQ","FILING_STATUS=MR","SCALING_FORMAT=MLN","Sort=A","Dates=H","DateFormat=P","Fill=—","Direction=H","UseDPDF=Y")</f>
        <v>39</v>
      </c>
      <c r="Y190" s="13">
        <f>_xll.BDH("GILD US Equity","ARDR_FV_HEDG_DERIV_ASSETS_FX","FQ2 2024","FQ2 2024","Currency=USD","Period=FQ","BEST_FPERIOD_OVERRIDE=FQ","FILING_STATUS=MR","SCALING_FORMAT=MLN","Sort=A","Dates=H","DateFormat=P","Fill=—","Direction=H","UseDPDF=Y")</f>
        <v>62</v>
      </c>
      <c r="Z190" s="13">
        <f>_xll.BDH("GILD US Equity","ARDR_FV_HEDG_DERIV_ASSETS_FX","FQ3 2024","FQ3 2024","Currency=USD","Period=FQ","BEST_FPERIOD_OVERRIDE=FQ","FILING_STATUS=MR","SCALING_FORMAT=MLN","Sort=A","Dates=H","DateFormat=P","Fill=—","Direction=H","UseDPDF=Y")</f>
        <v>7</v>
      </c>
      <c r="AA190" s="13">
        <f>_xll.BDH("GILD US Equity","ARDR_FV_HEDG_DERIV_ASSETS_FX","FQ4 2024","FQ4 2024","Currency=USD","Period=FQ","BEST_FPERIOD_OVERRIDE=FQ","FILING_STATUS=MR","SCALING_FORMAT=MLN","Sort=A","Dates=H","DateFormat=P","Fill=—","Direction=H","UseDPDF=Y")</f>
        <v>128</v>
      </c>
    </row>
    <row r="191" spans="1:27" x14ac:dyDescent="0.25">
      <c r="A191" s="10" t="s">
        <v>1239</v>
      </c>
      <c r="B191" s="10" t="s">
        <v>1240</v>
      </c>
      <c r="C191" s="13" t="str">
        <f>_xll.BDH("GILD US Equity","ARDR_FV_NON_HEDG_DERIV_ASSETS_FX","FQ4 2018","FQ4 2018","Currency=USD","Period=FQ","BEST_FPERIOD_OVERRIDE=FQ","FILING_STATUS=MR","SCALING_FORMAT=MLN","Sort=A","Dates=H","DateFormat=P","Fill=—","Direction=H","UseDPDF=Y")</f>
        <v>—</v>
      </c>
      <c r="D191" s="13" t="str">
        <f>_xll.BDH("GILD US Equity","ARDR_FV_NON_HEDG_DERIV_ASSETS_FX","FQ1 2019","FQ1 2019","Currency=USD","Period=FQ","BEST_FPERIOD_OVERRIDE=FQ","FILING_STATUS=MR","SCALING_FORMAT=MLN","Sort=A","Dates=H","DateFormat=P","Fill=—","Direction=H","UseDPDF=Y")</f>
        <v>—</v>
      </c>
      <c r="E191" s="13" t="str">
        <f>_xll.BDH("GILD US Equity","ARDR_FV_NON_HEDG_DERIV_ASSETS_FX","FQ2 2019","FQ2 2019","Currency=USD","Period=FQ","BEST_FPERIOD_OVERRIDE=FQ","FILING_STATUS=MR","SCALING_FORMAT=MLN","Sort=A","Dates=H","DateFormat=P","Fill=—","Direction=H","UseDPDF=Y")</f>
        <v>—</v>
      </c>
      <c r="F191" s="13" t="str">
        <f>_xll.BDH("GILD US Equity","ARDR_FV_NON_HEDG_DERIV_ASSETS_FX","FQ3 2019","FQ3 2019","Currency=USD","Period=FQ","BEST_FPERIOD_OVERRIDE=FQ","FILING_STATUS=MR","SCALING_FORMAT=MLN","Sort=A","Dates=H","DateFormat=P","Fill=—","Direction=H","UseDPDF=Y")</f>
        <v>—</v>
      </c>
      <c r="G191" s="13">
        <f>_xll.BDH("GILD US Equity","ARDR_FV_NON_HEDG_DERIV_ASSETS_FX","FQ4 2019","FQ4 2019","Currency=USD","Period=FQ","BEST_FPERIOD_OVERRIDE=FQ","FILING_STATUS=MR","SCALING_FORMAT=MLN","Sort=A","Dates=H","DateFormat=P","Fill=—","Direction=H","UseDPDF=Y")</f>
        <v>1</v>
      </c>
      <c r="H191" s="13" t="str">
        <f>_xll.BDH("GILD US Equity","ARDR_FV_NON_HEDG_DERIV_ASSETS_FX","FQ1 2020","FQ1 2020","Currency=USD","Period=FQ","BEST_FPERIOD_OVERRIDE=FQ","FILING_STATUS=MR","SCALING_FORMAT=MLN","Sort=A","Dates=H","DateFormat=P","Fill=—","Direction=H","UseDPDF=Y")</f>
        <v>—</v>
      </c>
      <c r="I191" s="13" t="str">
        <f>_xll.BDH("GILD US Equity","ARDR_FV_NON_HEDG_DERIV_ASSETS_FX","FQ2 2020","FQ2 2020","Currency=USD","Period=FQ","BEST_FPERIOD_OVERRIDE=FQ","FILING_STATUS=MR","SCALING_FORMAT=MLN","Sort=A","Dates=H","DateFormat=P","Fill=—","Direction=H","UseDPDF=Y")</f>
        <v>—</v>
      </c>
      <c r="J191" s="13">
        <f>_xll.BDH("GILD US Equity","ARDR_FV_NON_HEDG_DERIV_ASSETS_FX","FQ3 2020","FQ3 2020","Currency=USD","Period=FQ","BEST_FPERIOD_OVERRIDE=FQ","FILING_STATUS=MR","SCALING_FORMAT=MLN","Sort=A","Dates=H","DateFormat=P","Fill=—","Direction=H","UseDPDF=Y")</f>
        <v>0</v>
      </c>
      <c r="K191" s="13">
        <f>_xll.BDH("GILD US Equity","ARDR_FV_NON_HEDG_DERIV_ASSETS_FX","FQ4 2020","FQ4 2020","Currency=USD","Period=FQ","BEST_FPERIOD_OVERRIDE=FQ","FILING_STATUS=MR","SCALING_FORMAT=MLN","Sort=A","Dates=H","DateFormat=P","Fill=—","Direction=H","UseDPDF=Y")</f>
        <v>12</v>
      </c>
      <c r="L191" s="13" t="str">
        <f>_xll.BDH("GILD US Equity","ARDR_FV_NON_HEDG_DERIV_ASSETS_FX","FQ1 2021","FQ1 2021","Currency=USD","Period=FQ","BEST_FPERIOD_OVERRIDE=FQ","FILING_STATUS=MR","SCALING_FORMAT=MLN","Sort=A","Dates=H","DateFormat=P","Fill=—","Direction=H","UseDPDF=Y")</f>
        <v>—</v>
      </c>
      <c r="M191" s="13">
        <f>_xll.BDH("GILD US Equity","ARDR_FV_NON_HEDG_DERIV_ASSETS_FX","FQ2 2021","FQ2 2021","Currency=USD","Period=FQ","BEST_FPERIOD_OVERRIDE=FQ","FILING_STATUS=MR","SCALING_FORMAT=MLN","Sort=A","Dates=H","DateFormat=P","Fill=—","Direction=H","UseDPDF=Y")</f>
        <v>0</v>
      </c>
      <c r="N191" s="13">
        <f>_xll.BDH("GILD US Equity","ARDR_FV_NON_HEDG_DERIV_ASSETS_FX","FQ3 2021","FQ3 2021","Currency=USD","Period=FQ","BEST_FPERIOD_OVERRIDE=FQ","FILING_STATUS=MR","SCALING_FORMAT=MLN","Sort=A","Dates=H","DateFormat=P","Fill=—","Direction=H","UseDPDF=Y")</f>
        <v>0</v>
      </c>
      <c r="O191" s="13">
        <f>_xll.BDH("GILD US Equity","ARDR_FV_NON_HEDG_DERIV_ASSETS_FX","FQ4 2021","FQ4 2021","Currency=USD","Period=FQ","BEST_FPERIOD_OVERRIDE=FQ","FILING_STATUS=MR","SCALING_FORMAT=MLN","Sort=A","Dates=H","DateFormat=P","Fill=—","Direction=H","UseDPDF=Y")</f>
        <v>0</v>
      </c>
      <c r="P191" s="13" t="str">
        <f>_xll.BDH("GILD US Equity","ARDR_FV_NON_HEDG_DERIV_ASSETS_FX","FQ1 2022","FQ1 2022","Currency=USD","Period=FQ","BEST_FPERIOD_OVERRIDE=FQ","FILING_STATUS=MR","SCALING_FORMAT=MLN","Sort=A","Dates=H","DateFormat=P","Fill=—","Direction=H","UseDPDF=Y")</f>
        <v>—</v>
      </c>
      <c r="Q191" s="13">
        <f>_xll.BDH("GILD US Equity","ARDR_FV_NON_HEDG_DERIV_ASSETS_FX","FQ2 2022","FQ2 2022","Currency=USD","Period=FQ","BEST_FPERIOD_OVERRIDE=FQ","FILING_STATUS=MR","SCALING_FORMAT=MLN","Sort=A","Dates=H","DateFormat=P","Fill=—","Direction=H","UseDPDF=Y")</f>
        <v>4</v>
      </c>
      <c r="R191" s="13" t="str">
        <f>_xll.BDH("GILD US Equity","ARDR_FV_NON_HEDG_DERIV_ASSETS_FX","FQ3 2022","FQ3 2022","Currency=USD","Period=FQ","BEST_FPERIOD_OVERRIDE=FQ","FILING_STATUS=MR","SCALING_FORMAT=MLN","Sort=A","Dates=H","DateFormat=P","Fill=—","Direction=H","UseDPDF=Y")</f>
        <v>—</v>
      </c>
      <c r="S191" s="13" t="str">
        <f>_xll.BDH("GILD US Equity","ARDR_FV_NON_HEDG_DERIV_ASSETS_FX","FQ4 2022","FQ4 2022","Currency=USD","Period=FQ","BEST_FPERIOD_OVERRIDE=FQ","FILING_STATUS=MR","SCALING_FORMAT=MLN","Sort=A","Dates=H","DateFormat=P","Fill=—","Direction=H","UseDPDF=Y")</f>
        <v>—</v>
      </c>
      <c r="T191" s="13" t="str">
        <f>_xll.BDH("GILD US Equity","ARDR_FV_NON_HEDG_DERIV_ASSETS_FX","FQ1 2023","FQ1 2023","Currency=USD","Period=FQ","BEST_FPERIOD_OVERRIDE=FQ","FILING_STATUS=MR","SCALING_FORMAT=MLN","Sort=A","Dates=H","DateFormat=P","Fill=—","Direction=H","UseDPDF=Y")</f>
        <v>—</v>
      </c>
      <c r="U191" s="13" t="str">
        <f>_xll.BDH("GILD US Equity","ARDR_FV_NON_HEDG_DERIV_ASSETS_FX","FQ2 2023","FQ2 2023","Currency=USD","Period=FQ","BEST_FPERIOD_OVERRIDE=FQ","FILING_STATUS=MR","SCALING_FORMAT=MLN","Sort=A","Dates=H","DateFormat=P","Fill=—","Direction=H","UseDPDF=Y")</f>
        <v>—</v>
      </c>
      <c r="V191" s="13" t="str">
        <f>_xll.BDH("GILD US Equity","ARDR_FV_NON_HEDG_DERIV_ASSETS_FX","FQ3 2023","FQ3 2023","Currency=USD","Period=FQ","BEST_FPERIOD_OVERRIDE=FQ","FILING_STATUS=MR","SCALING_FORMAT=MLN","Sort=A","Dates=H","DateFormat=P","Fill=—","Direction=H","UseDPDF=Y")</f>
        <v>—</v>
      </c>
      <c r="W191" s="13" t="str">
        <f>_xll.BDH("GILD US Equity","ARDR_FV_NON_HEDG_DERIV_ASSETS_FX","FQ4 2023","FQ4 2023","Currency=USD","Period=FQ","BEST_FPERIOD_OVERRIDE=FQ","FILING_STATUS=MR","SCALING_FORMAT=MLN","Sort=A","Dates=H","DateFormat=P","Fill=—","Direction=H","UseDPDF=Y")</f>
        <v>—</v>
      </c>
      <c r="X191" s="13" t="str">
        <f>_xll.BDH("GILD US Equity","ARDR_FV_NON_HEDG_DERIV_ASSETS_FX","FQ1 2024","FQ1 2024","Currency=USD","Period=FQ","BEST_FPERIOD_OVERRIDE=FQ","FILING_STATUS=MR","SCALING_FORMAT=MLN","Sort=A","Dates=H","DateFormat=P","Fill=—","Direction=H","UseDPDF=Y")</f>
        <v>—</v>
      </c>
      <c r="Y191" s="13" t="str">
        <f>_xll.BDH("GILD US Equity","ARDR_FV_NON_HEDG_DERIV_ASSETS_FX","FQ2 2024","FQ2 2024","Currency=USD","Period=FQ","BEST_FPERIOD_OVERRIDE=FQ","FILING_STATUS=MR","SCALING_FORMAT=MLN","Sort=A","Dates=H","DateFormat=P","Fill=—","Direction=H","UseDPDF=Y")</f>
        <v>—</v>
      </c>
      <c r="Z191" s="13" t="str">
        <f>_xll.BDH("GILD US Equity","ARDR_FV_NON_HEDG_DERIV_ASSETS_FX","FQ3 2024","FQ3 2024","Currency=USD","Period=FQ","BEST_FPERIOD_OVERRIDE=FQ","FILING_STATUS=MR","SCALING_FORMAT=MLN","Sort=A","Dates=H","DateFormat=P","Fill=—","Direction=H","UseDPDF=Y")</f>
        <v>—</v>
      </c>
      <c r="AA191" s="13" t="str">
        <f>_xll.BDH("GILD US Equity","ARDR_FV_NON_HEDG_DERIV_ASSETS_FX","FQ4 2024","FQ4 2024","Currency=USD","Period=FQ","BEST_FPERIOD_OVERRIDE=FQ","FILING_STATUS=MR","SCALING_FORMAT=MLN","Sort=A","Dates=H","DateFormat=P","Fill=—","Direction=H","UseDPDF=Y")</f>
        <v>—</v>
      </c>
    </row>
    <row r="192" spans="1:27" x14ac:dyDescent="0.25">
      <c r="A192" s="10" t="s">
        <v>1241</v>
      </c>
      <c r="B192" s="10" t="s">
        <v>1242</v>
      </c>
      <c r="C192" s="13" t="str">
        <f>_xll.BDH("GILD US Equity","ARDR_FV_HEDG_DERIV_LIABS_FX","FQ4 2018","FQ4 2018","Currency=USD","Period=FQ","BEST_FPERIOD_OVERRIDE=FQ","FILING_STATUS=MR","SCALING_FORMAT=MLN","Sort=A","Dates=H","DateFormat=P","Fill=—","Direction=H","UseDPDF=Y")</f>
        <v>—</v>
      </c>
      <c r="D192" s="13" t="str">
        <f>_xll.BDH("GILD US Equity","ARDR_FV_HEDG_DERIV_LIABS_FX","FQ1 2019","FQ1 2019","Currency=USD","Period=FQ","BEST_FPERIOD_OVERRIDE=FQ","FILING_STATUS=MR","SCALING_FORMAT=MLN","Sort=A","Dates=H","DateFormat=P","Fill=—","Direction=H","UseDPDF=Y")</f>
        <v>—</v>
      </c>
      <c r="E192" s="13" t="str">
        <f>_xll.BDH("GILD US Equity","ARDR_FV_HEDG_DERIV_LIABS_FX","FQ2 2019","FQ2 2019","Currency=USD","Period=FQ","BEST_FPERIOD_OVERRIDE=FQ","FILING_STATUS=MR","SCALING_FORMAT=MLN","Sort=A","Dates=H","DateFormat=P","Fill=—","Direction=H","UseDPDF=Y")</f>
        <v>—</v>
      </c>
      <c r="F192" s="13" t="str">
        <f>_xll.BDH("GILD US Equity","ARDR_FV_HEDG_DERIV_LIABS_FX","FQ3 2019","FQ3 2019","Currency=USD","Period=FQ","BEST_FPERIOD_OVERRIDE=FQ","FILING_STATUS=MR","SCALING_FORMAT=MLN","Sort=A","Dates=H","DateFormat=P","Fill=—","Direction=H","UseDPDF=Y")</f>
        <v>—</v>
      </c>
      <c r="G192" s="13">
        <f>_xll.BDH("GILD US Equity","ARDR_FV_HEDG_DERIV_LIABS_FX","FQ4 2019","FQ4 2019","Currency=USD","Period=FQ","BEST_FPERIOD_OVERRIDE=FQ","FILING_STATUS=MR","SCALING_FORMAT=MLN","Sort=A","Dates=H","DateFormat=P","Fill=—","Direction=H","UseDPDF=Y")</f>
        <v>0</v>
      </c>
      <c r="H192" s="13" t="str">
        <f>_xll.BDH("GILD US Equity","ARDR_FV_HEDG_DERIV_LIABS_FX","FQ1 2020","FQ1 2020","Currency=USD","Period=FQ","BEST_FPERIOD_OVERRIDE=FQ","FILING_STATUS=MR","SCALING_FORMAT=MLN","Sort=A","Dates=H","DateFormat=P","Fill=—","Direction=H","UseDPDF=Y")</f>
        <v>—</v>
      </c>
      <c r="I192" s="13" t="str">
        <f>_xll.BDH("GILD US Equity","ARDR_FV_HEDG_DERIV_LIABS_FX","FQ2 2020","FQ2 2020","Currency=USD","Period=FQ","BEST_FPERIOD_OVERRIDE=FQ","FILING_STATUS=MR","SCALING_FORMAT=MLN","Sort=A","Dates=H","DateFormat=P","Fill=—","Direction=H","UseDPDF=Y")</f>
        <v>—</v>
      </c>
      <c r="J192" s="13">
        <f>_xll.BDH("GILD US Equity","ARDR_FV_HEDG_DERIV_LIABS_FX","FQ3 2020","FQ3 2020","Currency=USD","Period=FQ","BEST_FPERIOD_OVERRIDE=FQ","FILING_STATUS=MR","SCALING_FORMAT=MLN","Sort=A","Dates=H","DateFormat=P","Fill=—","Direction=H","UseDPDF=Y")</f>
        <v>0</v>
      </c>
      <c r="K192" s="13">
        <f>_xll.BDH("GILD US Equity","ARDR_FV_HEDG_DERIV_LIABS_FX","FQ4 2020","FQ4 2020","Currency=USD","Period=FQ","BEST_FPERIOD_OVERRIDE=FQ","FILING_STATUS=MR","SCALING_FORMAT=MLN","Sort=A","Dates=H","DateFormat=P","Fill=—","Direction=H","UseDPDF=Y")</f>
        <v>1</v>
      </c>
      <c r="L192" s="13" t="str">
        <f>_xll.BDH("GILD US Equity","ARDR_FV_HEDG_DERIV_LIABS_FX","FQ1 2021","FQ1 2021","Currency=USD","Period=FQ","BEST_FPERIOD_OVERRIDE=FQ","FILING_STATUS=MR","SCALING_FORMAT=MLN","Sort=A","Dates=H","DateFormat=P","Fill=—","Direction=H","UseDPDF=Y")</f>
        <v>—</v>
      </c>
      <c r="M192" s="13">
        <f>_xll.BDH("GILD US Equity","ARDR_FV_HEDG_DERIV_LIABS_FX","FQ2 2021","FQ2 2021","Currency=USD","Period=FQ","BEST_FPERIOD_OVERRIDE=FQ","FILING_STATUS=MR","SCALING_FORMAT=MLN","Sort=A","Dates=H","DateFormat=P","Fill=—","Direction=H","UseDPDF=Y")</f>
        <v>0</v>
      </c>
      <c r="N192" s="13">
        <f>_xll.BDH("GILD US Equity","ARDR_FV_HEDG_DERIV_LIABS_FX","FQ3 2021","FQ3 2021","Currency=USD","Period=FQ","BEST_FPERIOD_OVERRIDE=FQ","FILING_STATUS=MR","SCALING_FORMAT=MLN","Sort=A","Dates=H","DateFormat=P","Fill=—","Direction=H","UseDPDF=Y")</f>
        <v>0</v>
      </c>
      <c r="O192" s="13">
        <f>_xll.BDH("GILD US Equity","ARDR_FV_HEDG_DERIV_LIABS_FX","FQ4 2021","FQ4 2021","Currency=USD","Period=FQ","BEST_FPERIOD_OVERRIDE=FQ","FILING_STATUS=MR","SCALING_FORMAT=MLN","Sort=A","Dates=H","DateFormat=P","Fill=—","Direction=H","UseDPDF=Y")</f>
        <v>0</v>
      </c>
      <c r="P192" s="13" t="str">
        <f>_xll.BDH("GILD US Equity","ARDR_FV_HEDG_DERIV_LIABS_FX","FQ1 2022","FQ1 2022","Currency=USD","Period=FQ","BEST_FPERIOD_OVERRIDE=FQ","FILING_STATUS=MR","SCALING_FORMAT=MLN","Sort=A","Dates=H","DateFormat=P","Fill=—","Direction=H","UseDPDF=Y")</f>
        <v>—</v>
      </c>
      <c r="Q192" s="13">
        <f>_xll.BDH("GILD US Equity","ARDR_FV_HEDG_DERIV_LIABS_FX","FQ2 2022","FQ2 2022","Currency=USD","Period=FQ","BEST_FPERIOD_OVERRIDE=FQ","FILING_STATUS=MR","SCALING_FORMAT=MLN","Sort=A","Dates=H","DateFormat=P","Fill=—","Direction=H","UseDPDF=Y")</f>
        <v>2</v>
      </c>
      <c r="R192" s="13" t="str">
        <f>_xll.BDH("GILD US Equity","ARDR_FV_HEDG_DERIV_LIABS_FX","FQ3 2022","FQ3 2022","Currency=USD","Period=FQ","BEST_FPERIOD_OVERRIDE=FQ","FILING_STATUS=MR","SCALING_FORMAT=MLN","Sort=A","Dates=H","DateFormat=P","Fill=—","Direction=H","UseDPDF=Y")</f>
        <v>—</v>
      </c>
      <c r="S192" s="13" t="str">
        <f>_xll.BDH("GILD US Equity","ARDR_FV_HEDG_DERIV_LIABS_FX","FQ4 2022","FQ4 2022","Currency=USD","Period=FQ","BEST_FPERIOD_OVERRIDE=FQ","FILING_STATUS=MR","SCALING_FORMAT=MLN","Sort=A","Dates=H","DateFormat=P","Fill=—","Direction=H","UseDPDF=Y")</f>
        <v>—</v>
      </c>
      <c r="T192" s="13" t="str">
        <f>_xll.BDH("GILD US Equity","ARDR_FV_HEDG_DERIV_LIABS_FX","FQ1 2023","FQ1 2023","Currency=USD","Period=FQ","BEST_FPERIOD_OVERRIDE=FQ","FILING_STATUS=MR","SCALING_FORMAT=MLN","Sort=A","Dates=H","DateFormat=P","Fill=—","Direction=H","UseDPDF=Y")</f>
        <v>—</v>
      </c>
      <c r="U192" s="13" t="str">
        <f>_xll.BDH("GILD US Equity","ARDR_FV_HEDG_DERIV_LIABS_FX","FQ2 2023","FQ2 2023","Currency=USD","Period=FQ","BEST_FPERIOD_OVERRIDE=FQ","FILING_STATUS=MR","SCALING_FORMAT=MLN","Sort=A","Dates=H","DateFormat=P","Fill=—","Direction=H","UseDPDF=Y")</f>
        <v>—</v>
      </c>
      <c r="V192" s="13" t="str">
        <f>_xll.BDH("GILD US Equity","ARDR_FV_HEDG_DERIV_LIABS_FX","FQ3 2023","FQ3 2023","Currency=USD","Period=FQ","BEST_FPERIOD_OVERRIDE=FQ","FILING_STATUS=MR","SCALING_FORMAT=MLN","Sort=A","Dates=H","DateFormat=P","Fill=—","Direction=H","UseDPDF=Y")</f>
        <v>—</v>
      </c>
      <c r="W192" s="13" t="str">
        <f>_xll.BDH("GILD US Equity","ARDR_FV_HEDG_DERIV_LIABS_FX","FQ4 2023","FQ4 2023","Currency=USD","Period=FQ","BEST_FPERIOD_OVERRIDE=FQ","FILING_STATUS=MR","SCALING_FORMAT=MLN","Sort=A","Dates=H","DateFormat=P","Fill=—","Direction=H","UseDPDF=Y")</f>
        <v>—</v>
      </c>
      <c r="X192" s="13" t="str">
        <f>_xll.BDH("GILD US Equity","ARDR_FV_HEDG_DERIV_LIABS_FX","FQ1 2024","FQ1 2024","Currency=USD","Period=FQ","BEST_FPERIOD_OVERRIDE=FQ","FILING_STATUS=MR","SCALING_FORMAT=MLN","Sort=A","Dates=H","DateFormat=P","Fill=—","Direction=H","UseDPDF=Y")</f>
        <v>—</v>
      </c>
      <c r="Y192" s="13" t="str">
        <f>_xll.BDH("GILD US Equity","ARDR_FV_HEDG_DERIV_LIABS_FX","FQ2 2024","FQ2 2024","Currency=USD","Period=FQ","BEST_FPERIOD_OVERRIDE=FQ","FILING_STATUS=MR","SCALING_FORMAT=MLN","Sort=A","Dates=H","DateFormat=P","Fill=—","Direction=H","UseDPDF=Y")</f>
        <v>—</v>
      </c>
      <c r="Z192" s="13" t="str">
        <f>_xll.BDH("GILD US Equity","ARDR_FV_HEDG_DERIV_LIABS_FX","FQ3 2024","FQ3 2024","Currency=USD","Period=FQ","BEST_FPERIOD_OVERRIDE=FQ","FILING_STATUS=MR","SCALING_FORMAT=MLN","Sort=A","Dates=H","DateFormat=P","Fill=—","Direction=H","UseDPDF=Y")</f>
        <v>—</v>
      </c>
      <c r="AA192" s="13" t="str">
        <f>_xll.BDH("GILD US Equity","ARDR_FV_HEDG_DERIV_LIABS_FX","FQ4 2024","FQ4 2024","Currency=USD","Period=FQ","BEST_FPERIOD_OVERRIDE=FQ","FILING_STATUS=MR","SCALING_FORMAT=MLN","Sort=A","Dates=H","DateFormat=P","Fill=—","Direction=H","UseDPDF=Y")</f>
        <v>—</v>
      </c>
    </row>
    <row r="193" spans="1:27" x14ac:dyDescent="0.25">
      <c r="A193" s="10" t="s">
        <v>1243</v>
      </c>
      <c r="B193" s="10" t="s">
        <v>1244</v>
      </c>
      <c r="C193" s="13" t="str">
        <f>_xll.BDH("GILD US Equity","ARDR_FV_HEDG_DERIV_LIABI_FX","FQ4 2018","FQ4 2018","Currency=USD","Period=FQ","BEST_FPERIOD_OVERRIDE=FQ","FILING_STATUS=MR","SCALING_FORMAT=MLN","Sort=A","Dates=H","DateFormat=P","Fill=—","Direction=H","UseDPDF=Y")</f>
        <v>—</v>
      </c>
      <c r="D193" s="13" t="str">
        <f>_xll.BDH("GILD US Equity","ARDR_FV_HEDG_DERIV_LIABI_FX","FQ1 2019","FQ1 2019","Currency=USD","Period=FQ","BEST_FPERIOD_OVERRIDE=FQ","FILING_STATUS=MR","SCALING_FORMAT=MLN","Sort=A","Dates=H","DateFormat=P","Fill=—","Direction=H","UseDPDF=Y")</f>
        <v>—</v>
      </c>
      <c r="E193" s="13" t="str">
        <f>_xll.BDH("GILD US Equity","ARDR_FV_HEDG_DERIV_LIABI_FX","FQ2 2019","FQ2 2019","Currency=USD","Period=FQ","BEST_FPERIOD_OVERRIDE=FQ","FILING_STATUS=MR","SCALING_FORMAT=MLN","Sort=A","Dates=H","DateFormat=P","Fill=—","Direction=H","UseDPDF=Y")</f>
        <v>—</v>
      </c>
      <c r="F193" s="13" t="str">
        <f>_xll.BDH("GILD US Equity","ARDR_FV_HEDG_DERIV_LIABI_FX","FQ3 2019","FQ3 2019","Currency=USD","Period=FQ","BEST_FPERIOD_OVERRIDE=FQ","FILING_STATUS=MR","SCALING_FORMAT=MLN","Sort=A","Dates=H","DateFormat=P","Fill=—","Direction=H","UseDPDF=Y")</f>
        <v>—</v>
      </c>
      <c r="G193" s="13">
        <f>_xll.BDH("GILD US Equity","ARDR_FV_HEDG_DERIV_LIABI_FX","FQ4 2019","FQ4 2019","Currency=USD","Period=FQ","BEST_FPERIOD_OVERRIDE=FQ","FILING_STATUS=MR","SCALING_FORMAT=MLN","Sort=A","Dates=H","DateFormat=P","Fill=—","Direction=H","UseDPDF=Y")</f>
        <v>8</v>
      </c>
      <c r="H193" s="13" t="str">
        <f>_xll.BDH("GILD US Equity","ARDR_FV_HEDG_DERIV_LIABI_FX","FQ1 2020","FQ1 2020","Currency=USD","Period=FQ","BEST_FPERIOD_OVERRIDE=FQ","FILING_STATUS=MR","SCALING_FORMAT=MLN","Sort=A","Dates=H","DateFormat=P","Fill=—","Direction=H","UseDPDF=Y")</f>
        <v>—</v>
      </c>
      <c r="I193" s="13" t="str">
        <f>_xll.BDH("GILD US Equity","ARDR_FV_HEDG_DERIV_LIABI_FX","FQ2 2020","FQ2 2020","Currency=USD","Period=FQ","BEST_FPERIOD_OVERRIDE=FQ","FILING_STATUS=MR","SCALING_FORMAT=MLN","Sort=A","Dates=H","DateFormat=P","Fill=—","Direction=H","UseDPDF=Y")</f>
        <v>—</v>
      </c>
      <c r="J193" s="13">
        <f>_xll.BDH("GILD US Equity","ARDR_FV_HEDG_DERIV_LIABI_FX","FQ3 2020","FQ3 2020","Currency=USD","Period=FQ","BEST_FPERIOD_OVERRIDE=FQ","FILING_STATUS=MR","SCALING_FORMAT=MLN","Sort=A","Dates=H","DateFormat=P","Fill=—","Direction=H","UseDPDF=Y")</f>
        <v>50</v>
      </c>
      <c r="K193" s="13">
        <f>_xll.BDH("GILD US Equity","ARDR_FV_HEDG_DERIV_LIABI_FX","FQ4 2020","FQ4 2020","Currency=USD","Period=FQ","BEST_FPERIOD_OVERRIDE=FQ","FILING_STATUS=MR","SCALING_FORMAT=MLN","Sort=A","Dates=H","DateFormat=P","Fill=—","Direction=H","UseDPDF=Y")</f>
        <v>120</v>
      </c>
      <c r="L193" s="13" t="str">
        <f>_xll.BDH("GILD US Equity","ARDR_FV_HEDG_DERIV_LIABI_FX","FQ1 2021","FQ1 2021","Currency=USD","Period=FQ","BEST_FPERIOD_OVERRIDE=FQ","FILING_STATUS=MR","SCALING_FORMAT=MLN","Sort=A","Dates=H","DateFormat=P","Fill=—","Direction=H","UseDPDF=Y")</f>
        <v>—</v>
      </c>
      <c r="M193" s="13">
        <f>_xll.BDH("GILD US Equity","ARDR_FV_HEDG_DERIV_LIABI_FX","FQ2 2021","FQ2 2021","Currency=USD","Period=FQ","BEST_FPERIOD_OVERRIDE=FQ","FILING_STATUS=MR","SCALING_FORMAT=MLN","Sort=A","Dates=H","DateFormat=P","Fill=—","Direction=H","UseDPDF=Y")</f>
        <v>30</v>
      </c>
      <c r="N193" s="13">
        <f>_xll.BDH("GILD US Equity","ARDR_FV_HEDG_DERIV_LIABI_FX","FQ3 2021","FQ3 2021","Currency=USD","Period=FQ","BEST_FPERIOD_OVERRIDE=FQ","FILING_STATUS=MR","SCALING_FORMAT=MLN","Sort=A","Dates=H","DateFormat=P","Fill=—","Direction=H","UseDPDF=Y")</f>
        <v>8</v>
      </c>
      <c r="O193" s="13">
        <f>_xll.BDH("GILD US Equity","ARDR_FV_HEDG_DERIV_LIABI_FX","FQ4 2021","FQ4 2021","Currency=USD","Period=FQ","BEST_FPERIOD_OVERRIDE=FQ","FILING_STATUS=MR","SCALING_FORMAT=MLN","Sort=A","Dates=H","DateFormat=P","Fill=—","Direction=H","UseDPDF=Y")</f>
        <v>5</v>
      </c>
      <c r="P193" s="13" t="str">
        <f>_xll.BDH("GILD US Equity","ARDR_FV_HEDG_DERIV_LIABI_FX","FQ1 2022","FQ1 2022","Currency=USD","Period=FQ","BEST_FPERIOD_OVERRIDE=FQ","FILING_STATUS=MR","SCALING_FORMAT=MLN","Sort=A","Dates=H","DateFormat=P","Fill=—","Direction=H","UseDPDF=Y")</f>
        <v>—</v>
      </c>
      <c r="Q193" s="13">
        <f>_xll.BDH("GILD US Equity","ARDR_FV_HEDG_DERIV_LIABI_FX","FQ2 2022","FQ2 2022","Currency=USD","Period=FQ","BEST_FPERIOD_OVERRIDE=FQ","FILING_STATUS=MR","SCALING_FORMAT=MLN","Sort=A","Dates=H","DateFormat=P","Fill=—","Direction=H","UseDPDF=Y")</f>
        <v>0</v>
      </c>
      <c r="R193" s="13" t="str">
        <f>_xll.BDH("GILD US Equity","ARDR_FV_HEDG_DERIV_LIABI_FX","FQ3 2022","FQ3 2022","Currency=USD","Period=FQ","BEST_FPERIOD_OVERRIDE=FQ","FILING_STATUS=MR","SCALING_FORMAT=MLN","Sort=A","Dates=H","DateFormat=P","Fill=—","Direction=H","UseDPDF=Y")</f>
        <v>—</v>
      </c>
      <c r="S193" s="13">
        <f>_xll.BDH("GILD US Equity","ARDR_FV_HEDG_DERIV_LIABI_FX","FQ4 2022","FQ4 2022","Currency=USD","Period=FQ","BEST_FPERIOD_OVERRIDE=FQ","FILING_STATUS=MR","SCALING_FORMAT=MLN","Sort=A","Dates=H","DateFormat=P","Fill=—","Direction=H","UseDPDF=Y")</f>
        <v>42</v>
      </c>
      <c r="T193" s="13">
        <f>_xll.BDH("GILD US Equity","ARDR_FV_HEDG_DERIV_LIABI_FX","FQ1 2023","FQ1 2023","Currency=USD","Period=FQ","BEST_FPERIOD_OVERRIDE=FQ","FILING_STATUS=MR","SCALING_FORMAT=MLN","Sort=A","Dates=H","DateFormat=P","Fill=—","Direction=H","UseDPDF=Y")</f>
        <v>49</v>
      </c>
      <c r="U193" s="13">
        <f>_xll.BDH("GILD US Equity","ARDR_FV_HEDG_DERIV_LIABI_FX","FQ2 2023","FQ2 2023","Currency=USD","Period=FQ","BEST_FPERIOD_OVERRIDE=FQ","FILING_STATUS=MR","SCALING_FORMAT=MLN","Sort=A","Dates=H","DateFormat=P","Fill=—","Direction=H","UseDPDF=Y")</f>
        <v>36</v>
      </c>
      <c r="V193" s="13">
        <f>_xll.BDH("GILD US Equity","ARDR_FV_HEDG_DERIV_LIABI_FX","FQ3 2023","FQ3 2023","Currency=USD","Period=FQ","BEST_FPERIOD_OVERRIDE=FQ","FILING_STATUS=MR","SCALING_FORMAT=MLN","Sort=A","Dates=H","DateFormat=P","Fill=—","Direction=H","UseDPDF=Y")</f>
        <v>8</v>
      </c>
      <c r="W193" s="13">
        <f>_xll.BDH("GILD US Equity","ARDR_FV_HEDG_DERIV_LIABI_FX","FQ4 2023","FQ4 2023","Currency=USD","Period=FQ","BEST_FPERIOD_OVERRIDE=FQ","FILING_STATUS=MR","SCALING_FORMAT=MLN","Sort=A","Dates=H","DateFormat=P","Fill=—","Direction=H","UseDPDF=Y")</f>
        <v>60</v>
      </c>
      <c r="X193" s="13">
        <f>_xll.BDH("GILD US Equity","ARDR_FV_HEDG_DERIV_LIABI_FX","FQ1 2024","FQ1 2024","Currency=USD","Period=FQ","BEST_FPERIOD_OVERRIDE=FQ","FILING_STATUS=MR","SCALING_FORMAT=MLN","Sort=A","Dates=H","DateFormat=P","Fill=—","Direction=H","UseDPDF=Y")</f>
        <v>10</v>
      </c>
      <c r="Y193" s="13">
        <f>_xll.BDH("GILD US Equity","ARDR_FV_HEDG_DERIV_LIABI_FX","FQ2 2024","FQ2 2024","Currency=USD","Period=FQ","BEST_FPERIOD_OVERRIDE=FQ","FILING_STATUS=MR","SCALING_FORMAT=MLN","Sort=A","Dates=H","DateFormat=P","Fill=—","Direction=H","UseDPDF=Y")</f>
        <v>0</v>
      </c>
      <c r="Z193" s="13">
        <f>_xll.BDH("GILD US Equity","ARDR_FV_HEDG_DERIV_LIABI_FX","FQ3 2024","FQ3 2024","Currency=USD","Period=FQ","BEST_FPERIOD_OVERRIDE=FQ","FILING_STATUS=MR","SCALING_FORMAT=MLN","Sort=A","Dates=H","DateFormat=P","Fill=—","Direction=H","UseDPDF=Y")</f>
        <v>49</v>
      </c>
      <c r="AA193" s="13">
        <f>_xll.BDH("GILD US Equity","ARDR_FV_HEDG_DERIV_LIABI_FX","FQ4 2024","FQ4 2024","Currency=USD","Period=FQ","BEST_FPERIOD_OVERRIDE=FQ","FILING_STATUS=MR","SCALING_FORMAT=MLN","Sort=A","Dates=H","DateFormat=P","Fill=—","Direction=H","UseDPDF=Y")</f>
        <v>3</v>
      </c>
    </row>
    <row r="194" spans="1:27" x14ac:dyDescent="0.25">
      <c r="A194" s="10" t="s">
        <v>1245</v>
      </c>
      <c r="B194" s="10" t="s">
        <v>1246</v>
      </c>
      <c r="C194" s="13">
        <f>_xll.BDH("GILD US Equity","ARDR_DTA_NOL_CARRYFORWARD","FQ4 2018","FQ4 2018","Currency=USD","Period=FQ","BEST_FPERIOD_OVERRIDE=FQ","FILING_STATUS=MR","SCALING_FORMAT=MLN","Sort=A","Dates=H","DateFormat=P","Fill=—","Direction=H","UseDPDF=Y")</f>
        <v>344</v>
      </c>
      <c r="D194" s="13" t="str">
        <f>_xll.BDH("GILD US Equity","ARDR_DTA_NOL_CARRYFORWARD","FQ1 2019","FQ1 2019","Currency=USD","Period=FQ","BEST_FPERIOD_OVERRIDE=FQ","FILING_STATUS=MR","SCALING_FORMAT=MLN","Sort=A","Dates=H","DateFormat=P","Fill=—","Direction=H","UseDPDF=Y")</f>
        <v>—</v>
      </c>
      <c r="E194" s="13" t="str">
        <f>_xll.BDH("GILD US Equity","ARDR_DTA_NOL_CARRYFORWARD","FQ2 2019","FQ2 2019","Currency=USD","Period=FQ","BEST_FPERIOD_OVERRIDE=FQ","FILING_STATUS=MR","SCALING_FORMAT=MLN","Sort=A","Dates=H","DateFormat=P","Fill=—","Direction=H","UseDPDF=Y")</f>
        <v>—</v>
      </c>
      <c r="F194" s="13" t="str">
        <f>_xll.BDH("GILD US Equity","ARDR_DTA_NOL_CARRYFORWARD","FQ3 2019","FQ3 2019","Currency=USD","Period=FQ","BEST_FPERIOD_OVERRIDE=FQ","FILING_STATUS=MR","SCALING_FORMAT=MLN","Sort=A","Dates=H","DateFormat=P","Fill=—","Direction=H","UseDPDF=Y")</f>
        <v>—</v>
      </c>
      <c r="G194" s="13">
        <f>_xll.BDH("GILD US Equity","ARDR_DTA_NOL_CARRYFORWARD","FQ4 2019","FQ4 2019","Currency=USD","Period=FQ","BEST_FPERIOD_OVERRIDE=FQ","FILING_STATUS=MR","SCALING_FORMAT=MLN","Sort=A","Dates=H","DateFormat=P","Fill=—","Direction=H","UseDPDF=Y")</f>
        <v>184</v>
      </c>
      <c r="H194" s="13" t="str">
        <f>_xll.BDH("GILD US Equity","ARDR_DTA_NOL_CARRYFORWARD","FQ1 2020","FQ1 2020","Currency=USD","Period=FQ","BEST_FPERIOD_OVERRIDE=FQ","FILING_STATUS=MR","SCALING_FORMAT=MLN","Sort=A","Dates=H","DateFormat=P","Fill=—","Direction=H","UseDPDF=Y")</f>
        <v>—</v>
      </c>
      <c r="I194" s="13" t="str">
        <f>_xll.BDH("GILD US Equity","ARDR_DTA_NOL_CARRYFORWARD","FQ2 2020","FQ2 2020","Currency=USD","Period=FQ","BEST_FPERIOD_OVERRIDE=FQ","FILING_STATUS=MR","SCALING_FORMAT=MLN","Sort=A","Dates=H","DateFormat=P","Fill=—","Direction=H","UseDPDF=Y")</f>
        <v>—</v>
      </c>
      <c r="J194" s="13" t="str">
        <f>_xll.BDH("GILD US Equity","ARDR_DTA_NOL_CARRYFORWARD","FQ3 2020","FQ3 2020","Currency=USD","Period=FQ","BEST_FPERIOD_OVERRIDE=FQ","FILING_STATUS=MR","SCALING_FORMAT=MLN","Sort=A","Dates=H","DateFormat=P","Fill=—","Direction=H","UseDPDF=Y")</f>
        <v>—</v>
      </c>
      <c r="K194" s="13">
        <f>_xll.BDH("GILD US Equity","ARDR_DTA_NOL_CARRYFORWARD","FQ4 2020","FQ4 2020","Currency=USD","Period=FQ","BEST_FPERIOD_OVERRIDE=FQ","FILING_STATUS=MR","SCALING_FORMAT=MLN","Sort=A","Dates=H","DateFormat=P","Fill=—","Direction=H","UseDPDF=Y")</f>
        <v>587</v>
      </c>
      <c r="L194" s="13" t="str">
        <f>_xll.BDH("GILD US Equity","ARDR_DTA_NOL_CARRYFORWARD","FQ1 2021","FQ1 2021","Currency=USD","Period=FQ","BEST_FPERIOD_OVERRIDE=FQ","FILING_STATUS=MR","SCALING_FORMAT=MLN","Sort=A","Dates=H","DateFormat=P","Fill=—","Direction=H","UseDPDF=Y")</f>
        <v>—</v>
      </c>
      <c r="M194" s="13" t="str">
        <f>_xll.BDH("GILD US Equity","ARDR_DTA_NOL_CARRYFORWARD","FQ2 2021","FQ2 2021","Currency=USD","Period=FQ","BEST_FPERIOD_OVERRIDE=FQ","FILING_STATUS=MR","SCALING_FORMAT=MLN","Sort=A","Dates=H","DateFormat=P","Fill=—","Direction=H","UseDPDF=Y")</f>
        <v>—</v>
      </c>
      <c r="N194" s="13" t="str">
        <f>_xll.BDH("GILD US Equity","ARDR_DTA_NOL_CARRYFORWARD","FQ3 2021","FQ3 2021","Currency=USD","Period=FQ","BEST_FPERIOD_OVERRIDE=FQ","FILING_STATUS=MR","SCALING_FORMAT=MLN","Sort=A","Dates=H","DateFormat=P","Fill=—","Direction=H","UseDPDF=Y")</f>
        <v>—</v>
      </c>
      <c r="O194" s="13">
        <f>_xll.BDH("GILD US Equity","ARDR_DTA_NOL_CARRYFORWARD","FQ4 2021","FQ4 2021","Currency=USD","Period=FQ","BEST_FPERIOD_OVERRIDE=FQ","FILING_STATUS=MR","SCALING_FORMAT=MLN","Sort=A","Dates=H","DateFormat=P","Fill=—","Direction=H","UseDPDF=Y")</f>
        <v>413</v>
      </c>
      <c r="P194" s="13" t="str">
        <f>_xll.BDH("GILD US Equity","ARDR_DTA_NOL_CARRYFORWARD","FQ1 2022","FQ1 2022","Currency=USD","Period=FQ","BEST_FPERIOD_OVERRIDE=FQ","FILING_STATUS=MR","SCALING_FORMAT=MLN","Sort=A","Dates=H","DateFormat=P","Fill=—","Direction=H","UseDPDF=Y")</f>
        <v>—</v>
      </c>
      <c r="Q194" s="13" t="str">
        <f>_xll.BDH("GILD US Equity","ARDR_DTA_NOL_CARRYFORWARD","FQ2 2022","FQ2 2022","Currency=USD","Period=FQ","BEST_FPERIOD_OVERRIDE=FQ","FILING_STATUS=MR","SCALING_FORMAT=MLN","Sort=A","Dates=H","DateFormat=P","Fill=—","Direction=H","UseDPDF=Y")</f>
        <v>—</v>
      </c>
      <c r="R194" s="13" t="str">
        <f>_xll.BDH("GILD US Equity","ARDR_DTA_NOL_CARRYFORWARD","FQ3 2022","FQ3 2022","Currency=USD","Period=FQ","BEST_FPERIOD_OVERRIDE=FQ","FILING_STATUS=MR","SCALING_FORMAT=MLN","Sort=A","Dates=H","DateFormat=P","Fill=—","Direction=H","UseDPDF=Y")</f>
        <v>—</v>
      </c>
      <c r="S194" s="13">
        <f>_xll.BDH("GILD US Equity","ARDR_DTA_NOL_CARRYFORWARD","FQ4 2022","FQ4 2022","Currency=USD","Period=FQ","BEST_FPERIOD_OVERRIDE=FQ","FILING_STATUS=MR","SCALING_FORMAT=MLN","Sort=A","Dates=H","DateFormat=P","Fill=—","Direction=H","UseDPDF=Y")</f>
        <v>430</v>
      </c>
      <c r="T194" s="13" t="str">
        <f>_xll.BDH("GILD US Equity","ARDR_DTA_NOL_CARRYFORWARD","FQ1 2023","FQ1 2023","Currency=USD","Period=FQ","BEST_FPERIOD_OVERRIDE=FQ","FILING_STATUS=MR","SCALING_FORMAT=MLN","Sort=A","Dates=H","DateFormat=P","Fill=—","Direction=H","UseDPDF=Y")</f>
        <v>—</v>
      </c>
      <c r="U194" s="13" t="str">
        <f>_xll.BDH("GILD US Equity","ARDR_DTA_NOL_CARRYFORWARD","FQ2 2023","FQ2 2023","Currency=USD","Period=FQ","BEST_FPERIOD_OVERRIDE=FQ","FILING_STATUS=MR","SCALING_FORMAT=MLN","Sort=A","Dates=H","DateFormat=P","Fill=—","Direction=H","UseDPDF=Y")</f>
        <v>—</v>
      </c>
      <c r="V194" s="13" t="str">
        <f>_xll.BDH("GILD US Equity","ARDR_DTA_NOL_CARRYFORWARD","FQ3 2023","FQ3 2023","Currency=USD","Period=FQ","BEST_FPERIOD_OVERRIDE=FQ","FILING_STATUS=MR","SCALING_FORMAT=MLN","Sort=A","Dates=H","DateFormat=P","Fill=—","Direction=H","UseDPDF=Y")</f>
        <v>—</v>
      </c>
      <c r="W194" s="13">
        <f>_xll.BDH("GILD US Equity","ARDR_DTA_NOL_CARRYFORWARD","FQ4 2023","FQ4 2023","Currency=USD","Period=FQ","BEST_FPERIOD_OVERRIDE=FQ","FILING_STATUS=MR","SCALING_FORMAT=MLN","Sort=A","Dates=H","DateFormat=P","Fill=—","Direction=H","UseDPDF=Y")</f>
        <v>417</v>
      </c>
      <c r="X194" s="13" t="str">
        <f>_xll.BDH("GILD US Equity","ARDR_DTA_NOL_CARRYFORWARD","FQ1 2024","FQ1 2024","Currency=USD","Period=FQ","BEST_FPERIOD_OVERRIDE=FQ","FILING_STATUS=MR","SCALING_FORMAT=MLN","Sort=A","Dates=H","DateFormat=P","Fill=—","Direction=H","UseDPDF=Y")</f>
        <v>—</v>
      </c>
      <c r="Y194" s="13" t="str">
        <f>_xll.BDH("GILD US Equity","ARDR_DTA_NOL_CARRYFORWARD","FQ2 2024","FQ2 2024","Currency=USD","Period=FQ","BEST_FPERIOD_OVERRIDE=FQ","FILING_STATUS=MR","SCALING_FORMAT=MLN","Sort=A","Dates=H","DateFormat=P","Fill=—","Direction=H","UseDPDF=Y")</f>
        <v>—</v>
      </c>
      <c r="Z194" s="13" t="str">
        <f>_xll.BDH("GILD US Equity","ARDR_DTA_NOL_CARRYFORWARD","FQ3 2024","FQ3 2024","Currency=USD","Period=FQ","BEST_FPERIOD_OVERRIDE=FQ","FILING_STATUS=MR","SCALING_FORMAT=MLN","Sort=A","Dates=H","DateFormat=P","Fill=—","Direction=H","UseDPDF=Y")</f>
        <v>—</v>
      </c>
      <c r="AA194" s="13">
        <f>_xll.BDH("GILD US Equity","ARDR_DTA_NOL_CARRYFORWARD","FQ4 2024","FQ4 2024","Currency=USD","Period=FQ","BEST_FPERIOD_OVERRIDE=FQ","FILING_STATUS=MR","SCALING_FORMAT=MLN","Sort=A","Dates=H","DateFormat=P","Fill=—","Direction=H","UseDPDF=Y")</f>
        <v>288</v>
      </c>
    </row>
    <row r="195" spans="1:27" x14ac:dyDescent="0.25">
      <c r="A195" s="10" t="s">
        <v>1247</v>
      </c>
      <c r="B195" s="10" t="s">
        <v>1248</v>
      </c>
      <c r="C195" s="13" t="str">
        <f>_xll.BDH("GILD US Equity","ARDR_FV_HEDGING_TOTAL_ASSETS","FQ4 2018","FQ4 2018","Currency=USD","Period=FQ","BEST_FPERIOD_OVERRIDE=FQ","FILING_STATUS=MR","SCALING_FORMAT=MLN","Sort=A","Dates=H","DateFormat=P","Fill=—","Direction=H","UseDPDF=Y")</f>
        <v>—</v>
      </c>
      <c r="D195" s="13" t="str">
        <f>_xll.BDH("GILD US Equity","ARDR_FV_HEDGING_TOTAL_ASSETS","FQ1 2019","FQ1 2019","Currency=USD","Period=FQ","BEST_FPERIOD_OVERRIDE=FQ","FILING_STATUS=MR","SCALING_FORMAT=MLN","Sort=A","Dates=H","DateFormat=P","Fill=—","Direction=H","UseDPDF=Y")</f>
        <v>—</v>
      </c>
      <c r="E195" s="13" t="str">
        <f>_xll.BDH("GILD US Equity","ARDR_FV_HEDGING_TOTAL_ASSETS","FQ2 2019","FQ2 2019","Currency=USD","Period=FQ","BEST_FPERIOD_OVERRIDE=FQ","FILING_STATUS=MR","SCALING_FORMAT=MLN","Sort=A","Dates=H","DateFormat=P","Fill=—","Direction=H","UseDPDF=Y")</f>
        <v>—</v>
      </c>
      <c r="F195" s="13" t="str">
        <f>_xll.BDH("GILD US Equity","ARDR_FV_HEDGING_TOTAL_ASSETS","FQ3 2019","FQ3 2019","Currency=USD","Period=FQ","BEST_FPERIOD_OVERRIDE=FQ","FILING_STATUS=MR","SCALING_FORMAT=MLN","Sort=A","Dates=H","DateFormat=P","Fill=—","Direction=H","UseDPDF=Y")</f>
        <v>—</v>
      </c>
      <c r="G195" s="13">
        <f>_xll.BDH("GILD US Equity","ARDR_FV_HEDGING_TOTAL_ASSETS","FQ4 2019","FQ4 2019","Currency=USD","Period=FQ","BEST_FPERIOD_OVERRIDE=FQ","FILING_STATUS=MR","SCALING_FORMAT=MLN","Sort=A","Dates=H","DateFormat=P","Fill=—","Direction=H","UseDPDF=Y")</f>
        <v>0</v>
      </c>
      <c r="H195" s="13" t="str">
        <f>_xll.BDH("GILD US Equity","ARDR_FV_HEDGING_TOTAL_ASSETS","FQ1 2020","FQ1 2020","Currency=USD","Period=FQ","BEST_FPERIOD_OVERRIDE=FQ","FILING_STATUS=MR","SCALING_FORMAT=MLN","Sort=A","Dates=H","DateFormat=P","Fill=—","Direction=H","UseDPDF=Y")</f>
        <v>—</v>
      </c>
      <c r="I195" s="13" t="str">
        <f>_xll.BDH("GILD US Equity","ARDR_FV_HEDGING_TOTAL_ASSETS","FQ2 2020","FQ2 2020","Currency=USD","Period=FQ","BEST_FPERIOD_OVERRIDE=FQ","FILING_STATUS=MR","SCALING_FORMAT=MLN","Sort=A","Dates=H","DateFormat=P","Fill=—","Direction=H","UseDPDF=Y")</f>
        <v>—</v>
      </c>
      <c r="J195" s="13">
        <f>_xll.BDH("GILD US Equity","ARDR_FV_HEDGING_TOTAL_ASSETS","FQ3 2020","FQ3 2020","Currency=USD","Period=FQ","BEST_FPERIOD_OVERRIDE=FQ","FILING_STATUS=MR","SCALING_FORMAT=MLN","Sort=A","Dates=H","DateFormat=P","Fill=—","Direction=H","UseDPDF=Y")</f>
        <v>6</v>
      </c>
      <c r="K195" s="13">
        <f>_xll.BDH("GILD US Equity","ARDR_FV_HEDGING_TOTAL_ASSETS","FQ4 2020","FQ4 2020","Currency=USD","Period=FQ","BEST_FPERIOD_OVERRIDE=FQ","FILING_STATUS=MR","SCALING_FORMAT=MLN","Sort=A","Dates=H","DateFormat=P","Fill=—","Direction=H","UseDPDF=Y")</f>
        <v>0</v>
      </c>
      <c r="L195" s="13" t="str">
        <f>_xll.BDH("GILD US Equity","ARDR_FV_HEDGING_TOTAL_ASSETS","FQ1 2021","FQ1 2021","Currency=USD","Period=FQ","BEST_FPERIOD_OVERRIDE=FQ","FILING_STATUS=MR","SCALING_FORMAT=MLN","Sort=A","Dates=H","DateFormat=P","Fill=—","Direction=H","UseDPDF=Y")</f>
        <v>—</v>
      </c>
      <c r="M195" s="13">
        <f>_xll.BDH("GILD US Equity","ARDR_FV_HEDGING_TOTAL_ASSETS","FQ2 2021","FQ2 2021","Currency=USD","Period=FQ","BEST_FPERIOD_OVERRIDE=FQ","FILING_STATUS=MR","SCALING_FORMAT=MLN","Sort=A","Dates=H","DateFormat=P","Fill=—","Direction=H","UseDPDF=Y")</f>
        <v>28</v>
      </c>
      <c r="N195" s="13">
        <f>_xll.BDH("GILD US Equity","ARDR_FV_HEDGING_TOTAL_ASSETS","FQ3 2021","FQ3 2021","Currency=USD","Period=FQ","BEST_FPERIOD_OVERRIDE=FQ","FILING_STATUS=MR","SCALING_FORMAT=MLN","Sort=A","Dates=H","DateFormat=P","Fill=—","Direction=H","UseDPDF=Y")</f>
        <v>55</v>
      </c>
      <c r="O195" s="13">
        <f>_xll.BDH("GILD US Equity","ARDR_FV_HEDGING_TOTAL_ASSETS","FQ4 2021","FQ4 2021","Currency=USD","Period=FQ","BEST_FPERIOD_OVERRIDE=FQ","FILING_STATUS=MR","SCALING_FORMAT=MLN","Sort=A","Dates=H","DateFormat=P","Fill=—","Direction=H","UseDPDF=Y")</f>
        <v>80</v>
      </c>
      <c r="P195" s="13" t="str">
        <f>_xll.BDH("GILD US Equity","ARDR_FV_HEDGING_TOTAL_ASSETS","FQ1 2022","FQ1 2022","Currency=USD","Period=FQ","BEST_FPERIOD_OVERRIDE=FQ","FILING_STATUS=MR","SCALING_FORMAT=MLN","Sort=A","Dates=H","DateFormat=P","Fill=—","Direction=H","UseDPDF=Y")</f>
        <v>—</v>
      </c>
      <c r="Q195" s="13">
        <f>_xll.BDH("GILD US Equity","ARDR_FV_HEDGING_TOTAL_ASSETS","FQ2 2022","FQ2 2022","Currency=USD","Period=FQ","BEST_FPERIOD_OVERRIDE=FQ","FILING_STATUS=MR","SCALING_FORMAT=MLN","Sort=A","Dates=H","DateFormat=P","Fill=—","Direction=H","UseDPDF=Y")</f>
        <v>132</v>
      </c>
      <c r="R195" s="13" t="str">
        <f>_xll.BDH("GILD US Equity","ARDR_FV_HEDGING_TOTAL_ASSETS","FQ3 2022","FQ3 2022","Currency=USD","Period=FQ","BEST_FPERIOD_OVERRIDE=FQ","FILING_STATUS=MR","SCALING_FORMAT=MLN","Sort=A","Dates=H","DateFormat=P","Fill=—","Direction=H","UseDPDF=Y")</f>
        <v>—</v>
      </c>
      <c r="S195" s="13">
        <f>_xll.BDH("GILD US Equity","ARDR_FV_HEDGING_TOTAL_ASSETS","FQ4 2022","FQ4 2022","Currency=USD","Period=FQ","BEST_FPERIOD_OVERRIDE=FQ","FILING_STATUS=MR","SCALING_FORMAT=MLN","Sort=A","Dates=H","DateFormat=P","Fill=—","Direction=H","UseDPDF=Y")</f>
        <v>60</v>
      </c>
      <c r="T195" s="13">
        <f>_xll.BDH("GILD US Equity","ARDR_FV_HEDGING_TOTAL_ASSETS","FQ1 2023","FQ1 2023","Currency=USD","Period=FQ","BEST_FPERIOD_OVERRIDE=FQ","FILING_STATUS=MR","SCALING_FORMAT=MLN","Sort=A","Dates=H","DateFormat=P","Fill=—","Direction=H","UseDPDF=Y")</f>
        <v>32</v>
      </c>
      <c r="U195" s="13">
        <f>_xll.BDH("GILD US Equity","ARDR_FV_HEDGING_TOTAL_ASSETS","FQ2 2023","FQ2 2023","Currency=USD","Period=FQ","BEST_FPERIOD_OVERRIDE=FQ","FILING_STATUS=MR","SCALING_FORMAT=MLN","Sort=A","Dates=H","DateFormat=P","Fill=—","Direction=H","UseDPDF=Y")</f>
        <v>25</v>
      </c>
      <c r="V195" s="13">
        <f>_xll.BDH("GILD US Equity","ARDR_FV_HEDGING_TOTAL_ASSETS","FQ3 2023","FQ3 2023","Currency=USD","Period=FQ","BEST_FPERIOD_OVERRIDE=FQ","FILING_STATUS=MR","SCALING_FORMAT=MLN","Sort=A","Dates=H","DateFormat=P","Fill=—","Direction=H","UseDPDF=Y")</f>
        <v>67</v>
      </c>
      <c r="W195" s="13">
        <f>_xll.BDH("GILD US Equity","ARDR_FV_HEDGING_TOTAL_ASSETS","FQ4 2023","FQ4 2023","Currency=USD","Period=FQ","BEST_FPERIOD_OVERRIDE=FQ","FILING_STATUS=MR","SCALING_FORMAT=MLN","Sort=A","Dates=H","DateFormat=P","Fill=—","Direction=H","UseDPDF=Y")</f>
        <v>7</v>
      </c>
      <c r="X195" s="13">
        <f>_xll.BDH("GILD US Equity","ARDR_FV_HEDGING_TOTAL_ASSETS","FQ1 2024","FQ1 2024","Currency=USD","Period=FQ","BEST_FPERIOD_OVERRIDE=FQ","FILING_STATUS=MR","SCALING_FORMAT=MLN","Sort=A","Dates=H","DateFormat=P","Fill=—","Direction=H","UseDPDF=Y")</f>
        <v>39</v>
      </c>
      <c r="Y195" s="13">
        <f>_xll.BDH("GILD US Equity","ARDR_FV_HEDGING_TOTAL_ASSETS","FQ2 2024","FQ2 2024","Currency=USD","Period=FQ","BEST_FPERIOD_OVERRIDE=FQ","FILING_STATUS=MR","SCALING_FORMAT=MLN","Sort=A","Dates=H","DateFormat=P","Fill=—","Direction=H","UseDPDF=Y")</f>
        <v>58</v>
      </c>
      <c r="Z195" s="13">
        <f>_xll.BDH("GILD US Equity","ARDR_FV_HEDGING_TOTAL_ASSETS","FQ3 2024","FQ3 2024","Currency=USD","Period=FQ","BEST_FPERIOD_OVERRIDE=FQ","FILING_STATUS=MR","SCALING_FORMAT=MLN","Sort=A","Dates=H","DateFormat=P","Fill=—","Direction=H","UseDPDF=Y")</f>
        <v>7</v>
      </c>
      <c r="AA195" s="13">
        <f>_xll.BDH("GILD US Equity","ARDR_FV_HEDGING_TOTAL_ASSETS","FQ4 2024","FQ4 2024","Currency=USD","Period=FQ","BEST_FPERIOD_OVERRIDE=FQ","FILING_STATUS=MR","SCALING_FORMAT=MLN","Sort=A","Dates=H","DateFormat=P","Fill=—","Direction=H","UseDPDF=Y")</f>
        <v>128</v>
      </c>
    </row>
    <row r="196" spans="1:27" x14ac:dyDescent="0.25">
      <c r="A196" s="10" t="s">
        <v>1249</v>
      </c>
      <c r="B196" s="10" t="s">
        <v>1250</v>
      </c>
      <c r="C196" s="13" t="str">
        <f>_xll.BDH("GILD US Equity","ARDR_FV_HEDGING_TOTAL_LIABS","FQ4 2018","FQ4 2018","Currency=USD","Period=FQ","BEST_FPERIOD_OVERRIDE=FQ","FILING_STATUS=MR","SCALING_FORMAT=MLN","Sort=A","Dates=H","DateFormat=P","Fill=—","Direction=H","UseDPDF=Y")</f>
        <v>—</v>
      </c>
      <c r="D196" s="13" t="str">
        <f>_xll.BDH("GILD US Equity","ARDR_FV_HEDGING_TOTAL_LIABS","FQ1 2019","FQ1 2019","Currency=USD","Period=FQ","BEST_FPERIOD_OVERRIDE=FQ","FILING_STATUS=MR","SCALING_FORMAT=MLN","Sort=A","Dates=H","DateFormat=P","Fill=—","Direction=H","UseDPDF=Y")</f>
        <v>—</v>
      </c>
      <c r="E196" s="13" t="str">
        <f>_xll.BDH("GILD US Equity","ARDR_FV_HEDGING_TOTAL_LIABS","FQ2 2019","FQ2 2019","Currency=USD","Period=FQ","BEST_FPERIOD_OVERRIDE=FQ","FILING_STATUS=MR","SCALING_FORMAT=MLN","Sort=A","Dates=H","DateFormat=P","Fill=—","Direction=H","UseDPDF=Y")</f>
        <v>—</v>
      </c>
      <c r="F196" s="13" t="str">
        <f>_xll.BDH("GILD US Equity","ARDR_FV_HEDGING_TOTAL_LIABS","FQ3 2019","FQ3 2019","Currency=USD","Period=FQ","BEST_FPERIOD_OVERRIDE=FQ","FILING_STATUS=MR","SCALING_FORMAT=MLN","Sort=A","Dates=H","DateFormat=P","Fill=—","Direction=H","UseDPDF=Y")</f>
        <v>—</v>
      </c>
      <c r="G196" s="13">
        <f>_xll.BDH("GILD US Equity","ARDR_FV_HEDGING_TOTAL_LIABS","FQ4 2019","FQ4 2019","Currency=USD","Period=FQ","BEST_FPERIOD_OVERRIDE=FQ","FILING_STATUS=MR","SCALING_FORMAT=MLN","Sort=A","Dates=H","DateFormat=P","Fill=—","Direction=H","UseDPDF=Y")</f>
        <v>8</v>
      </c>
      <c r="H196" s="13" t="str">
        <f>_xll.BDH("GILD US Equity","ARDR_FV_HEDGING_TOTAL_LIABS","FQ1 2020","FQ1 2020","Currency=USD","Period=FQ","BEST_FPERIOD_OVERRIDE=FQ","FILING_STATUS=MR","SCALING_FORMAT=MLN","Sort=A","Dates=H","DateFormat=P","Fill=—","Direction=H","UseDPDF=Y")</f>
        <v>—</v>
      </c>
      <c r="I196" s="13" t="str">
        <f>_xll.BDH("GILD US Equity","ARDR_FV_HEDGING_TOTAL_LIABS","FQ2 2020","FQ2 2020","Currency=USD","Period=FQ","BEST_FPERIOD_OVERRIDE=FQ","FILING_STATUS=MR","SCALING_FORMAT=MLN","Sort=A","Dates=H","DateFormat=P","Fill=—","Direction=H","UseDPDF=Y")</f>
        <v>—</v>
      </c>
      <c r="J196" s="13">
        <f>_xll.BDH("GILD US Equity","ARDR_FV_HEDGING_TOTAL_LIABS","FQ3 2020","FQ3 2020","Currency=USD","Period=FQ","BEST_FPERIOD_OVERRIDE=FQ","FILING_STATUS=MR","SCALING_FORMAT=MLN","Sort=A","Dates=H","DateFormat=P","Fill=—","Direction=H","UseDPDF=Y")</f>
        <v>50</v>
      </c>
      <c r="K196" s="13">
        <f>_xll.BDH("GILD US Equity","ARDR_FV_HEDGING_TOTAL_LIABS","FQ4 2020","FQ4 2020","Currency=USD","Period=FQ","BEST_FPERIOD_OVERRIDE=FQ","FILING_STATUS=MR","SCALING_FORMAT=MLN","Sort=A","Dates=H","DateFormat=P","Fill=—","Direction=H","UseDPDF=Y")</f>
        <v>120</v>
      </c>
      <c r="L196" s="13" t="str">
        <f>_xll.BDH("GILD US Equity","ARDR_FV_HEDGING_TOTAL_LIABS","FQ1 2021","FQ1 2021","Currency=USD","Period=FQ","BEST_FPERIOD_OVERRIDE=FQ","FILING_STATUS=MR","SCALING_FORMAT=MLN","Sort=A","Dates=H","DateFormat=P","Fill=—","Direction=H","UseDPDF=Y")</f>
        <v>—</v>
      </c>
      <c r="M196" s="13">
        <f>_xll.BDH("GILD US Equity","ARDR_FV_HEDGING_TOTAL_LIABS","FQ2 2021","FQ2 2021","Currency=USD","Period=FQ","BEST_FPERIOD_OVERRIDE=FQ","FILING_STATUS=MR","SCALING_FORMAT=MLN","Sort=A","Dates=H","DateFormat=P","Fill=—","Direction=H","UseDPDF=Y")</f>
        <v>30</v>
      </c>
      <c r="N196" s="13">
        <f>_xll.BDH("GILD US Equity","ARDR_FV_HEDGING_TOTAL_LIABS","FQ3 2021","FQ3 2021","Currency=USD","Period=FQ","BEST_FPERIOD_OVERRIDE=FQ","FILING_STATUS=MR","SCALING_FORMAT=MLN","Sort=A","Dates=H","DateFormat=P","Fill=—","Direction=H","UseDPDF=Y")</f>
        <v>8</v>
      </c>
      <c r="O196" s="13">
        <f>_xll.BDH("GILD US Equity","ARDR_FV_HEDGING_TOTAL_LIABS","FQ4 2021","FQ4 2021","Currency=USD","Period=FQ","BEST_FPERIOD_OVERRIDE=FQ","FILING_STATUS=MR","SCALING_FORMAT=MLN","Sort=A","Dates=H","DateFormat=P","Fill=—","Direction=H","UseDPDF=Y")</f>
        <v>5</v>
      </c>
      <c r="P196" s="13" t="str">
        <f>_xll.BDH("GILD US Equity","ARDR_FV_HEDGING_TOTAL_LIABS","FQ1 2022","FQ1 2022","Currency=USD","Period=FQ","BEST_FPERIOD_OVERRIDE=FQ","FILING_STATUS=MR","SCALING_FORMAT=MLN","Sort=A","Dates=H","DateFormat=P","Fill=—","Direction=H","UseDPDF=Y")</f>
        <v>—</v>
      </c>
      <c r="Q196" s="13">
        <f>_xll.BDH("GILD US Equity","ARDR_FV_HEDGING_TOTAL_LIABS","FQ2 2022","FQ2 2022","Currency=USD","Period=FQ","BEST_FPERIOD_OVERRIDE=FQ","FILING_STATUS=MR","SCALING_FORMAT=MLN","Sort=A","Dates=H","DateFormat=P","Fill=—","Direction=H","UseDPDF=Y")</f>
        <v>0</v>
      </c>
      <c r="R196" s="13" t="str">
        <f>_xll.BDH("GILD US Equity","ARDR_FV_HEDGING_TOTAL_LIABS","FQ3 2022","FQ3 2022","Currency=USD","Period=FQ","BEST_FPERIOD_OVERRIDE=FQ","FILING_STATUS=MR","SCALING_FORMAT=MLN","Sort=A","Dates=H","DateFormat=P","Fill=—","Direction=H","UseDPDF=Y")</f>
        <v>—</v>
      </c>
      <c r="S196" s="13">
        <f>_xll.BDH("GILD US Equity","ARDR_FV_HEDGING_TOTAL_LIABS","FQ4 2022","FQ4 2022","Currency=USD","Period=FQ","BEST_FPERIOD_OVERRIDE=FQ","FILING_STATUS=MR","SCALING_FORMAT=MLN","Sort=A","Dates=H","DateFormat=P","Fill=—","Direction=H","UseDPDF=Y")</f>
        <v>42</v>
      </c>
      <c r="T196" s="13">
        <f>_xll.BDH("GILD US Equity","ARDR_FV_HEDGING_TOTAL_LIABS","FQ1 2023","FQ1 2023","Currency=USD","Period=FQ","BEST_FPERIOD_OVERRIDE=FQ","FILING_STATUS=MR","SCALING_FORMAT=MLN","Sort=A","Dates=H","DateFormat=P","Fill=—","Direction=H","UseDPDF=Y")</f>
        <v>49</v>
      </c>
      <c r="U196" s="13">
        <f>_xll.BDH("GILD US Equity","ARDR_FV_HEDGING_TOTAL_LIABS","FQ2 2023","FQ2 2023","Currency=USD","Period=FQ","BEST_FPERIOD_OVERRIDE=FQ","FILING_STATUS=MR","SCALING_FORMAT=MLN","Sort=A","Dates=H","DateFormat=P","Fill=—","Direction=H","UseDPDF=Y")</f>
        <v>36</v>
      </c>
      <c r="V196" s="13">
        <f>_xll.BDH("GILD US Equity","ARDR_FV_HEDGING_TOTAL_LIABS","FQ3 2023","FQ3 2023","Currency=USD","Period=FQ","BEST_FPERIOD_OVERRIDE=FQ","FILING_STATUS=MR","SCALING_FORMAT=MLN","Sort=A","Dates=H","DateFormat=P","Fill=—","Direction=H","UseDPDF=Y")</f>
        <v>8</v>
      </c>
      <c r="W196" s="13">
        <f>_xll.BDH("GILD US Equity","ARDR_FV_HEDGING_TOTAL_LIABS","FQ4 2023","FQ4 2023","Currency=USD","Period=FQ","BEST_FPERIOD_OVERRIDE=FQ","FILING_STATUS=MR","SCALING_FORMAT=MLN","Sort=A","Dates=H","DateFormat=P","Fill=—","Direction=H","UseDPDF=Y")</f>
        <v>59</v>
      </c>
      <c r="X196" s="13">
        <f>_xll.BDH("GILD US Equity","ARDR_FV_HEDGING_TOTAL_LIABS","FQ1 2024","FQ1 2024","Currency=USD","Period=FQ","BEST_FPERIOD_OVERRIDE=FQ","FILING_STATUS=MR","SCALING_FORMAT=MLN","Sort=A","Dates=H","DateFormat=P","Fill=—","Direction=H","UseDPDF=Y")</f>
        <v>10</v>
      </c>
      <c r="Y196" s="13">
        <f>_xll.BDH("GILD US Equity","ARDR_FV_HEDGING_TOTAL_LIABS","FQ2 2024","FQ2 2024","Currency=USD","Period=FQ","BEST_FPERIOD_OVERRIDE=FQ","FILING_STATUS=MR","SCALING_FORMAT=MLN","Sort=A","Dates=H","DateFormat=P","Fill=—","Direction=H","UseDPDF=Y")</f>
        <v>0</v>
      </c>
      <c r="Z196" s="13">
        <f>_xll.BDH("GILD US Equity","ARDR_FV_HEDGING_TOTAL_LIABS","FQ3 2024","FQ3 2024","Currency=USD","Period=FQ","BEST_FPERIOD_OVERRIDE=FQ","FILING_STATUS=MR","SCALING_FORMAT=MLN","Sort=A","Dates=H","DateFormat=P","Fill=—","Direction=H","UseDPDF=Y")</f>
        <v>49</v>
      </c>
      <c r="AA196" s="13">
        <f>_xll.BDH("GILD US Equity","ARDR_FV_HEDGING_TOTAL_LIABS","FQ4 2024","FQ4 2024","Currency=USD","Period=FQ","BEST_FPERIOD_OVERRIDE=FQ","FILING_STATUS=MR","SCALING_FORMAT=MLN","Sort=A","Dates=H","DateFormat=P","Fill=—","Direction=H","UseDPDF=Y")</f>
        <v>3</v>
      </c>
    </row>
    <row r="197" spans="1:27" x14ac:dyDescent="0.25">
      <c r="A197" s="10" t="s">
        <v>1251</v>
      </c>
      <c r="B197" s="10" t="s">
        <v>1252</v>
      </c>
      <c r="C197" s="13" t="str">
        <f>_xll.BDH("GILD US Equity","ARDR_FV_NON_HEDGING_TOTAL_ASSETS","FQ4 2018","FQ4 2018","Currency=USD","Period=FQ","BEST_FPERIOD_OVERRIDE=FQ","FILING_STATUS=MR","SCALING_FORMAT=MLN","Sort=A","Dates=H","DateFormat=P","Fill=—","Direction=H","UseDPDF=Y")</f>
        <v>—</v>
      </c>
      <c r="D197" s="13" t="str">
        <f>_xll.BDH("GILD US Equity","ARDR_FV_NON_HEDGING_TOTAL_ASSETS","FQ1 2019","FQ1 2019","Currency=USD","Period=FQ","BEST_FPERIOD_OVERRIDE=FQ","FILING_STATUS=MR","SCALING_FORMAT=MLN","Sort=A","Dates=H","DateFormat=P","Fill=—","Direction=H","UseDPDF=Y")</f>
        <v>—</v>
      </c>
      <c r="E197" s="13" t="str">
        <f>_xll.BDH("GILD US Equity","ARDR_FV_NON_HEDGING_TOTAL_ASSETS","FQ2 2019","FQ2 2019","Currency=USD","Period=FQ","BEST_FPERIOD_OVERRIDE=FQ","FILING_STATUS=MR","SCALING_FORMAT=MLN","Sort=A","Dates=H","DateFormat=P","Fill=—","Direction=H","UseDPDF=Y")</f>
        <v>—</v>
      </c>
      <c r="F197" s="13" t="str">
        <f>_xll.BDH("GILD US Equity","ARDR_FV_NON_HEDGING_TOTAL_ASSETS","FQ3 2019","FQ3 2019","Currency=USD","Period=FQ","BEST_FPERIOD_OVERRIDE=FQ","FILING_STATUS=MR","SCALING_FORMAT=MLN","Sort=A","Dates=H","DateFormat=P","Fill=—","Direction=H","UseDPDF=Y")</f>
        <v>—</v>
      </c>
      <c r="G197" s="13">
        <f>_xll.BDH("GILD US Equity","ARDR_FV_NON_HEDGING_TOTAL_ASSETS","FQ4 2019","FQ4 2019","Currency=USD","Period=FQ","BEST_FPERIOD_OVERRIDE=FQ","FILING_STATUS=MR","SCALING_FORMAT=MLN","Sort=A","Dates=H","DateFormat=P","Fill=—","Direction=H","UseDPDF=Y")</f>
        <v>1</v>
      </c>
      <c r="H197" s="13" t="str">
        <f>_xll.BDH("GILD US Equity","ARDR_FV_NON_HEDGING_TOTAL_ASSETS","FQ1 2020","FQ1 2020","Currency=USD","Period=FQ","BEST_FPERIOD_OVERRIDE=FQ","FILING_STATUS=MR","SCALING_FORMAT=MLN","Sort=A","Dates=H","DateFormat=P","Fill=—","Direction=H","UseDPDF=Y")</f>
        <v>—</v>
      </c>
      <c r="I197" s="13" t="str">
        <f>_xll.BDH("GILD US Equity","ARDR_FV_NON_HEDGING_TOTAL_ASSETS","FQ2 2020","FQ2 2020","Currency=USD","Period=FQ","BEST_FPERIOD_OVERRIDE=FQ","FILING_STATUS=MR","SCALING_FORMAT=MLN","Sort=A","Dates=H","DateFormat=P","Fill=—","Direction=H","UseDPDF=Y")</f>
        <v>—</v>
      </c>
      <c r="J197" s="13">
        <f>_xll.BDH("GILD US Equity","ARDR_FV_NON_HEDGING_TOTAL_ASSETS","FQ3 2020","FQ3 2020","Currency=USD","Period=FQ","BEST_FPERIOD_OVERRIDE=FQ","FILING_STATUS=MR","SCALING_FORMAT=MLN","Sort=A","Dates=H","DateFormat=P","Fill=—","Direction=H","UseDPDF=Y")</f>
        <v>0</v>
      </c>
      <c r="K197" s="13">
        <f>_xll.BDH("GILD US Equity","ARDR_FV_NON_HEDGING_TOTAL_ASSETS","FQ4 2020","FQ4 2020","Currency=USD","Period=FQ","BEST_FPERIOD_OVERRIDE=FQ","FILING_STATUS=MR","SCALING_FORMAT=MLN","Sort=A","Dates=H","DateFormat=P","Fill=—","Direction=H","UseDPDF=Y")</f>
        <v>12</v>
      </c>
      <c r="L197" s="13" t="str">
        <f>_xll.BDH("GILD US Equity","ARDR_FV_NON_HEDGING_TOTAL_ASSETS","FQ1 2021","FQ1 2021","Currency=USD","Period=FQ","BEST_FPERIOD_OVERRIDE=FQ","FILING_STATUS=MR","SCALING_FORMAT=MLN","Sort=A","Dates=H","DateFormat=P","Fill=—","Direction=H","UseDPDF=Y")</f>
        <v>—</v>
      </c>
      <c r="M197" s="13">
        <f>_xll.BDH("GILD US Equity","ARDR_FV_NON_HEDGING_TOTAL_ASSETS","FQ2 2021","FQ2 2021","Currency=USD","Period=FQ","BEST_FPERIOD_OVERRIDE=FQ","FILING_STATUS=MR","SCALING_FORMAT=MLN","Sort=A","Dates=H","DateFormat=P","Fill=—","Direction=H","UseDPDF=Y")</f>
        <v>0</v>
      </c>
      <c r="N197" s="13">
        <f>_xll.BDH("GILD US Equity","ARDR_FV_NON_HEDGING_TOTAL_ASSETS","FQ3 2021","FQ3 2021","Currency=USD","Period=FQ","BEST_FPERIOD_OVERRIDE=FQ","FILING_STATUS=MR","SCALING_FORMAT=MLN","Sort=A","Dates=H","DateFormat=P","Fill=—","Direction=H","UseDPDF=Y")</f>
        <v>0</v>
      </c>
      <c r="O197" s="13">
        <f>_xll.BDH("GILD US Equity","ARDR_FV_NON_HEDGING_TOTAL_ASSETS","FQ4 2021","FQ4 2021","Currency=USD","Period=FQ","BEST_FPERIOD_OVERRIDE=FQ","FILING_STATUS=MR","SCALING_FORMAT=MLN","Sort=A","Dates=H","DateFormat=P","Fill=—","Direction=H","UseDPDF=Y")</f>
        <v>0</v>
      </c>
      <c r="P197" s="13" t="str">
        <f>_xll.BDH("GILD US Equity","ARDR_FV_NON_HEDGING_TOTAL_ASSETS","FQ1 2022","FQ1 2022","Currency=USD","Period=FQ","BEST_FPERIOD_OVERRIDE=FQ","FILING_STATUS=MR","SCALING_FORMAT=MLN","Sort=A","Dates=H","DateFormat=P","Fill=—","Direction=H","UseDPDF=Y")</f>
        <v>—</v>
      </c>
      <c r="Q197" s="13">
        <f>_xll.BDH("GILD US Equity","ARDR_FV_NON_HEDGING_TOTAL_ASSETS","FQ2 2022","FQ2 2022","Currency=USD","Period=FQ","BEST_FPERIOD_OVERRIDE=FQ","FILING_STATUS=MR","SCALING_FORMAT=MLN","Sort=A","Dates=H","DateFormat=P","Fill=—","Direction=H","UseDPDF=Y")</f>
        <v>4</v>
      </c>
      <c r="R197" s="13" t="str">
        <f>_xll.BDH("GILD US Equity","ARDR_FV_NON_HEDGING_TOTAL_ASSETS","FQ3 2022","FQ3 2022","Currency=USD","Period=FQ","BEST_FPERIOD_OVERRIDE=FQ","FILING_STATUS=MR","SCALING_FORMAT=MLN","Sort=A","Dates=H","DateFormat=P","Fill=—","Direction=H","UseDPDF=Y")</f>
        <v>—</v>
      </c>
      <c r="S197" s="13" t="str">
        <f>_xll.BDH("GILD US Equity","ARDR_FV_NON_HEDGING_TOTAL_ASSETS","FQ4 2022","FQ4 2022","Currency=USD","Period=FQ","BEST_FPERIOD_OVERRIDE=FQ","FILING_STATUS=MR","SCALING_FORMAT=MLN","Sort=A","Dates=H","DateFormat=P","Fill=—","Direction=H","UseDPDF=Y")</f>
        <v>—</v>
      </c>
      <c r="T197" s="13" t="str">
        <f>_xll.BDH("GILD US Equity","ARDR_FV_NON_HEDGING_TOTAL_ASSETS","FQ1 2023","FQ1 2023","Currency=USD","Period=FQ","BEST_FPERIOD_OVERRIDE=FQ","FILING_STATUS=MR","SCALING_FORMAT=MLN","Sort=A","Dates=H","DateFormat=P","Fill=—","Direction=H","UseDPDF=Y")</f>
        <v>—</v>
      </c>
      <c r="U197" s="13" t="str">
        <f>_xll.BDH("GILD US Equity","ARDR_FV_NON_HEDGING_TOTAL_ASSETS","FQ2 2023","FQ2 2023","Currency=USD","Period=FQ","BEST_FPERIOD_OVERRIDE=FQ","FILING_STATUS=MR","SCALING_FORMAT=MLN","Sort=A","Dates=H","DateFormat=P","Fill=—","Direction=H","UseDPDF=Y")</f>
        <v>—</v>
      </c>
      <c r="V197" s="13" t="str">
        <f>_xll.BDH("GILD US Equity","ARDR_FV_NON_HEDGING_TOTAL_ASSETS","FQ3 2023","FQ3 2023","Currency=USD","Period=FQ","BEST_FPERIOD_OVERRIDE=FQ","FILING_STATUS=MR","SCALING_FORMAT=MLN","Sort=A","Dates=H","DateFormat=P","Fill=—","Direction=H","UseDPDF=Y")</f>
        <v>—</v>
      </c>
      <c r="W197" s="13" t="str">
        <f>_xll.BDH("GILD US Equity","ARDR_FV_NON_HEDGING_TOTAL_ASSETS","FQ4 2023","FQ4 2023","Currency=USD","Period=FQ","BEST_FPERIOD_OVERRIDE=FQ","FILING_STATUS=MR","SCALING_FORMAT=MLN","Sort=A","Dates=H","DateFormat=P","Fill=—","Direction=H","UseDPDF=Y")</f>
        <v>—</v>
      </c>
      <c r="X197" s="13" t="str">
        <f>_xll.BDH("GILD US Equity","ARDR_FV_NON_HEDGING_TOTAL_ASSETS","FQ1 2024","FQ1 2024","Currency=USD","Period=FQ","BEST_FPERIOD_OVERRIDE=FQ","FILING_STATUS=MR","SCALING_FORMAT=MLN","Sort=A","Dates=H","DateFormat=P","Fill=—","Direction=H","UseDPDF=Y")</f>
        <v>—</v>
      </c>
      <c r="Y197" s="13" t="str">
        <f>_xll.BDH("GILD US Equity","ARDR_FV_NON_HEDGING_TOTAL_ASSETS","FQ2 2024","FQ2 2024","Currency=USD","Period=FQ","BEST_FPERIOD_OVERRIDE=FQ","FILING_STATUS=MR","SCALING_FORMAT=MLN","Sort=A","Dates=H","DateFormat=P","Fill=—","Direction=H","UseDPDF=Y")</f>
        <v>—</v>
      </c>
      <c r="Z197" s="13" t="str">
        <f>_xll.BDH("GILD US Equity","ARDR_FV_NON_HEDGING_TOTAL_ASSETS","FQ3 2024","FQ3 2024","Currency=USD","Period=FQ","BEST_FPERIOD_OVERRIDE=FQ","FILING_STATUS=MR","SCALING_FORMAT=MLN","Sort=A","Dates=H","DateFormat=P","Fill=—","Direction=H","UseDPDF=Y")</f>
        <v>—</v>
      </c>
      <c r="AA197" s="13" t="str">
        <f>_xll.BDH("GILD US Equity","ARDR_FV_NON_HEDGING_TOTAL_ASSETS","FQ4 2024","FQ4 2024","Currency=USD","Period=FQ","BEST_FPERIOD_OVERRIDE=FQ","FILING_STATUS=MR","SCALING_FORMAT=MLN","Sort=A","Dates=H","DateFormat=P","Fill=—","Direction=H","UseDPDF=Y")</f>
        <v>—</v>
      </c>
    </row>
    <row r="198" spans="1:27" x14ac:dyDescent="0.25">
      <c r="A198" s="10" t="s">
        <v>1253</v>
      </c>
      <c r="B198" s="10" t="s">
        <v>1254</v>
      </c>
      <c r="C198" s="13" t="str">
        <f>_xll.BDH("GILD US Equity","ARDR_FV_NON_HEDGING_TOTAL_LIABS","FQ4 2018","FQ4 2018","Currency=USD","Period=FQ","BEST_FPERIOD_OVERRIDE=FQ","FILING_STATUS=MR","SCALING_FORMAT=MLN","Sort=A","Dates=H","DateFormat=P","Fill=—","Direction=H","UseDPDF=Y")</f>
        <v>—</v>
      </c>
      <c r="D198" s="13" t="str">
        <f>_xll.BDH("GILD US Equity","ARDR_FV_NON_HEDGING_TOTAL_LIABS","FQ1 2019","FQ1 2019","Currency=USD","Period=FQ","BEST_FPERIOD_OVERRIDE=FQ","FILING_STATUS=MR","SCALING_FORMAT=MLN","Sort=A","Dates=H","DateFormat=P","Fill=—","Direction=H","UseDPDF=Y")</f>
        <v>—</v>
      </c>
      <c r="E198" s="13" t="str">
        <f>_xll.BDH("GILD US Equity","ARDR_FV_NON_HEDGING_TOTAL_LIABS","FQ2 2019","FQ2 2019","Currency=USD","Period=FQ","BEST_FPERIOD_OVERRIDE=FQ","FILING_STATUS=MR","SCALING_FORMAT=MLN","Sort=A","Dates=H","DateFormat=P","Fill=—","Direction=H","UseDPDF=Y")</f>
        <v>—</v>
      </c>
      <c r="F198" s="13" t="str">
        <f>_xll.BDH("GILD US Equity","ARDR_FV_NON_HEDGING_TOTAL_LIABS","FQ3 2019","FQ3 2019","Currency=USD","Period=FQ","BEST_FPERIOD_OVERRIDE=FQ","FILING_STATUS=MR","SCALING_FORMAT=MLN","Sort=A","Dates=H","DateFormat=P","Fill=—","Direction=H","UseDPDF=Y")</f>
        <v>—</v>
      </c>
      <c r="G198" s="13">
        <f>_xll.BDH("GILD US Equity","ARDR_FV_NON_HEDGING_TOTAL_LIABS","FQ4 2019","FQ4 2019","Currency=USD","Period=FQ","BEST_FPERIOD_OVERRIDE=FQ","FILING_STATUS=MR","SCALING_FORMAT=MLN","Sort=A","Dates=H","DateFormat=P","Fill=—","Direction=H","UseDPDF=Y")</f>
        <v>0</v>
      </c>
      <c r="H198" s="13" t="str">
        <f>_xll.BDH("GILD US Equity","ARDR_FV_NON_HEDGING_TOTAL_LIABS","FQ1 2020","FQ1 2020","Currency=USD","Period=FQ","BEST_FPERIOD_OVERRIDE=FQ","FILING_STATUS=MR","SCALING_FORMAT=MLN","Sort=A","Dates=H","DateFormat=P","Fill=—","Direction=H","UseDPDF=Y")</f>
        <v>—</v>
      </c>
      <c r="I198" s="13" t="str">
        <f>_xll.BDH("GILD US Equity","ARDR_FV_NON_HEDGING_TOTAL_LIABS","FQ2 2020","FQ2 2020","Currency=USD","Period=FQ","BEST_FPERIOD_OVERRIDE=FQ","FILING_STATUS=MR","SCALING_FORMAT=MLN","Sort=A","Dates=H","DateFormat=P","Fill=—","Direction=H","UseDPDF=Y")</f>
        <v>—</v>
      </c>
      <c r="J198" s="13">
        <f>_xll.BDH("GILD US Equity","ARDR_FV_NON_HEDGING_TOTAL_LIABS","FQ3 2020","FQ3 2020","Currency=USD","Period=FQ","BEST_FPERIOD_OVERRIDE=FQ","FILING_STATUS=MR","SCALING_FORMAT=MLN","Sort=A","Dates=H","DateFormat=P","Fill=—","Direction=H","UseDPDF=Y")</f>
        <v>0</v>
      </c>
      <c r="K198" s="13">
        <f>_xll.BDH("GILD US Equity","ARDR_FV_NON_HEDGING_TOTAL_LIABS","FQ4 2020","FQ4 2020","Currency=USD","Period=FQ","BEST_FPERIOD_OVERRIDE=FQ","FILING_STATUS=MR","SCALING_FORMAT=MLN","Sort=A","Dates=H","DateFormat=P","Fill=—","Direction=H","UseDPDF=Y")</f>
        <v>1</v>
      </c>
      <c r="L198" s="13" t="str">
        <f>_xll.BDH("GILD US Equity","ARDR_FV_NON_HEDGING_TOTAL_LIABS","FQ1 2021","FQ1 2021","Currency=USD","Period=FQ","BEST_FPERIOD_OVERRIDE=FQ","FILING_STATUS=MR","SCALING_FORMAT=MLN","Sort=A","Dates=H","DateFormat=P","Fill=—","Direction=H","UseDPDF=Y")</f>
        <v>—</v>
      </c>
      <c r="M198" s="13">
        <f>_xll.BDH("GILD US Equity","ARDR_FV_NON_HEDGING_TOTAL_LIABS","FQ2 2021","FQ2 2021","Currency=USD","Period=FQ","BEST_FPERIOD_OVERRIDE=FQ","FILING_STATUS=MR","SCALING_FORMAT=MLN","Sort=A","Dates=H","DateFormat=P","Fill=—","Direction=H","UseDPDF=Y")</f>
        <v>0</v>
      </c>
      <c r="N198" s="13">
        <f>_xll.BDH("GILD US Equity","ARDR_FV_NON_HEDGING_TOTAL_LIABS","FQ3 2021","FQ3 2021","Currency=USD","Period=FQ","BEST_FPERIOD_OVERRIDE=FQ","FILING_STATUS=MR","SCALING_FORMAT=MLN","Sort=A","Dates=H","DateFormat=P","Fill=—","Direction=H","UseDPDF=Y")</f>
        <v>0</v>
      </c>
      <c r="O198" s="13" t="str">
        <f>_xll.BDH("GILD US Equity","ARDR_FV_NON_HEDGING_TOTAL_LIABS","FQ4 2021","FQ4 2021","Currency=USD","Period=FQ","BEST_FPERIOD_OVERRIDE=FQ","FILING_STATUS=MR","SCALING_FORMAT=MLN","Sort=A","Dates=H","DateFormat=P","Fill=—","Direction=H","UseDPDF=Y")</f>
        <v>—</v>
      </c>
      <c r="P198" s="13" t="str">
        <f>_xll.BDH("GILD US Equity","ARDR_FV_NON_HEDGING_TOTAL_LIABS","FQ1 2022","FQ1 2022","Currency=USD","Period=FQ","BEST_FPERIOD_OVERRIDE=FQ","FILING_STATUS=MR","SCALING_FORMAT=MLN","Sort=A","Dates=H","DateFormat=P","Fill=—","Direction=H","UseDPDF=Y")</f>
        <v>—</v>
      </c>
      <c r="Q198" s="13">
        <f>_xll.BDH("GILD US Equity","ARDR_FV_NON_HEDGING_TOTAL_LIABS","FQ2 2022","FQ2 2022","Currency=USD","Period=FQ","BEST_FPERIOD_OVERRIDE=FQ","FILING_STATUS=MR","SCALING_FORMAT=MLN","Sort=A","Dates=H","DateFormat=P","Fill=—","Direction=H","UseDPDF=Y")</f>
        <v>2</v>
      </c>
      <c r="R198" s="13" t="str">
        <f>_xll.BDH("GILD US Equity","ARDR_FV_NON_HEDGING_TOTAL_LIABS","FQ3 2022","FQ3 2022","Currency=USD","Period=FQ","BEST_FPERIOD_OVERRIDE=FQ","FILING_STATUS=MR","SCALING_FORMAT=MLN","Sort=A","Dates=H","DateFormat=P","Fill=—","Direction=H","UseDPDF=Y")</f>
        <v>—</v>
      </c>
      <c r="S198" s="13" t="str">
        <f>_xll.BDH("GILD US Equity","ARDR_FV_NON_HEDGING_TOTAL_LIABS","FQ4 2022","FQ4 2022","Currency=USD","Period=FQ","BEST_FPERIOD_OVERRIDE=FQ","FILING_STATUS=MR","SCALING_FORMAT=MLN","Sort=A","Dates=H","DateFormat=P","Fill=—","Direction=H","UseDPDF=Y")</f>
        <v>—</v>
      </c>
      <c r="T198" s="13" t="str">
        <f>_xll.BDH("GILD US Equity","ARDR_FV_NON_HEDGING_TOTAL_LIABS","FQ1 2023","FQ1 2023","Currency=USD","Period=FQ","BEST_FPERIOD_OVERRIDE=FQ","FILING_STATUS=MR","SCALING_FORMAT=MLN","Sort=A","Dates=H","DateFormat=P","Fill=—","Direction=H","UseDPDF=Y")</f>
        <v>—</v>
      </c>
      <c r="U198" s="13" t="str">
        <f>_xll.BDH("GILD US Equity","ARDR_FV_NON_HEDGING_TOTAL_LIABS","FQ2 2023","FQ2 2023","Currency=USD","Period=FQ","BEST_FPERIOD_OVERRIDE=FQ","FILING_STATUS=MR","SCALING_FORMAT=MLN","Sort=A","Dates=H","DateFormat=P","Fill=—","Direction=H","UseDPDF=Y")</f>
        <v>—</v>
      </c>
      <c r="V198" s="13" t="str">
        <f>_xll.BDH("GILD US Equity","ARDR_FV_NON_HEDGING_TOTAL_LIABS","FQ3 2023","FQ3 2023","Currency=USD","Period=FQ","BEST_FPERIOD_OVERRIDE=FQ","FILING_STATUS=MR","SCALING_FORMAT=MLN","Sort=A","Dates=H","DateFormat=P","Fill=—","Direction=H","UseDPDF=Y")</f>
        <v>—</v>
      </c>
      <c r="W198" s="13" t="str">
        <f>_xll.BDH("GILD US Equity","ARDR_FV_NON_HEDGING_TOTAL_LIABS","FQ4 2023","FQ4 2023","Currency=USD","Period=FQ","BEST_FPERIOD_OVERRIDE=FQ","FILING_STATUS=MR","SCALING_FORMAT=MLN","Sort=A","Dates=H","DateFormat=P","Fill=—","Direction=H","UseDPDF=Y")</f>
        <v>—</v>
      </c>
      <c r="X198" s="13" t="str">
        <f>_xll.BDH("GILD US Equity","ARDR_FV_NON_HEDGING_TOTAL_LIABS","FQ1 2024","FQ1 2024","Currency=USD","Period=FQ","BEST_FPERIOD_OVERRIDE=FQ","FILING_STATUS=MR","SCALING_FORMAT=MLN","Sort=A","Dates=H","DateFormat=P","Fill=—","Direction=H","UseDPDF=Y")</f>
        <v>—</v>
      </c>
      <c r="Y198" s="13" t="str">
        <f>_xll.BDH("GILD US Equity","ARDR_FV_NON_HEDGING_TOTAL_LIABS","FQ2 2024","FQ2 2024","Currency=USD","Period=FQ","BEST_FPERIOD_OVERRIDE=FQ","FILING_STATUS=MR","SCALING_FORMAT=MLN","Sort=A","Dates=H","DateFormat=P","Fill=—","Direction=H","UseDPDF=Y")</f>
        <v>—</v>
      </c>
      <c r="Z198" s="13" t="str">
        <f>_xll.BDH("GILD US Equity","ARDR_FV_NON_HEDGING_TOTAL_LIABS","FQ3 2024","FQ3 2024","Currency=USD","Period=FQ","BEST_FPERIOD_OVERRIDE=FQ","FILING_STATUS=MR","SCALING_FORMAT=MLN","Sort=A","Dates=H","DateFormat=P","Fill=—","Direction=H","UseDPDF=Y")</f>
        <v>—</v>
      </c>
      <c r="AA198" s="13" t="str">
        <f>_xll.BDH("GILD US Equity","ARDR_FV_NON_HEDGING_TOTAL_LIABS","FQ4 2024","FQ4 2024","Currency=USD","Period=FQ","BEST_FPERIOD_OVERRIDE=FQ","FILING_STATUS=MR","SCALING_FORMAT=MLN","Sort=A","Dates=H","DateFormat=P","Fill=—","Direction=H","UseDPDF=Y")</f>
        <v>—</v>
      </c>
    </row>
    <row r="199" spans="1:27" x14ac:dyDescent="0.25">
      <c r="A199" s="10" t="s">
        <v>1255</v>
      </c>
      <c r="B199" s="10" t="s">
        <v>1256</v>
      </c>
      <c r="C199" s="13" t="str">
        <f>_xll.BDH("GILD US Equity","ARDR_OPTIONS_BEGINNING_OF_PERIOD","FQ4 2018","FQ4 2018","Currency=USD","Period=FQ","BEST_FPERIOD_OVERRIDE=FQ","FILING_STATUS=MR","Sort=A","Dates=H","DateFormat=P","Fill=—","Direction=H","UseDPDF=Y")</f>
        <v>—</v>
      </c>
      <c r="D199" s="13" t="str">
        <f>_xll.BDH("GILD US Equity","ARDR_OPTIONS_BEGINNING_OF_PERIOD","FQ1 2019","FQ1 2019","Currency=USD","Period=FQ","BEST_FPERIOD_OVERRIDE=FQ","FILING_STATUS=MR","Sort=A","Dates=H","DateFormat=P","Fill=—","Direction=H","UseDPDF=Y")</f>
        <v>—</v>
      </c>
      <c r="E199" s="13" t="str">
        <f>_xll.BDH("GILD US Equity","ARDR_OPTIONS_BEGINNING_OF_PERIOD","FQ2 2019","FQ2 2019","Currency=USD","Period=FQ","BEST_FPERIOD_OVERRIDE=FQ","FILING_STATUS=MR","Sort=A","Dates=H","DateFormat=P","Fill=—","Direction=H","UseDPDF=Y")</f>
        <v>—</v>
      </c>
      <c r="F199" s="13" t="str">
        <f>_xll.BDH("GILD US Equity","ARDR_OPTIONS_BEGINNING_OF_PERIOD","FQ3 2019","FQ3 2019","Currency=USD","Period=FQ","BEST_FPERIOD_OVERRIDE=FQ","FILING_STATUS=MR","Sort=A","Dates=H","DateFormat=P","Fill=—","Direction=H","UseDPDF=Y")</f>
        <v>—</v>
      </c>
      <c r="G199" s="13" t="str">
        <f>_xll.BDH("GILD US Equity","ARDR_OPTIONS_BEGINNING_OF_PERIOD","FQ4 2019","FQ4 2019","Currency=USD","Period=FQ","BEST_FPERIOD_OVERRIDE=FQ","FILING_STATUS=MR","Sort=A","Dates=H","DateFormat=P","Fill=—","Direction=H","UseDPDF=Y")</f>
        <v>—</v>
      </c>
      <c r="H199" s="13" t="str">
        <f>_xll.BDH("GILD US Equity","ARDR_OPTIONS_BEGINNING_OF_PERIOD","FQ1 2020","FQ1 2020","Currency=USD","Period=FQ","BEST_FPERIOD_OVERRIDE=FQ","FILING_STATUS=MR","Sort=A","Dates=H","DateFormat=P","Fill=—","Direction=H","UseDPDF=Y")</f>
        <v>—</v>
      </c>
      <c r="I199" s="13" t="str">
        <f>_xll.BDH("GILD US Equity","ARDR_OPTIONS_BEGINNING_OF_PERIOD","FQ2 2020","FQ2 2020","Currency=USD","Period=FQ","BEST_FPERIOD_OVERRIDE=FQ","FILING_STATUS=MR","Sort=A","Dates=H","DateFormat=P","Fill=—","Direction=H","UseDPDF=Y")</f>
        <v>—</v>
      </c>
      <c r="J199" s="13" t="str">
        <f>_xll.BDH("GILD US Equity","ARDR_OPTIONS_BEGINNING_OF_PERIOD","FQ3 2020","FQ3 2020","Currency=USD","Period=FQ","BEST_FPERIOD_OVERRIDE=FQ","FILING_STATUS=MR","Sort=A","Dates=H","DateFormat=P","Fill=—","Direction=H","UseDPDF=Y")</f>
        <v>—</v>
      </c>
      <c r="K199" s="13" t="str">
        <f>_xll.BDH("GILD US Equity","ARDR_OPTIONS_BEGINNING_OF_PERIOD","FQ4 2020","FQ4 2020","Currency=USD","Period=FQ","BEST_FPERIOD_OVERRIDE=FQ","FILING_STATUS=MR","Sort=A","Dates=H","DateFormat=P","Fill=—","Direction=H","UseDPDF=Y")</f>
        <v>—</v>
      </c>
      <c r="L199" s="13" t="str">
        <f>_xll.BDH("GILD US Equity","ARDR_OPTIONS_BEGINNING_OF_PERIOD","FQ1 2021","FQ1 2021","Currency=USD","Period=FQ","BEST_FPERIOD_OVERRIDE=FQ","FILING_STATUS=MR","Sort=A","Dates=H","DateFormat=P","Fill=—","Direction=H","UseDPDF=Y")</f>
        <v>—</v>
      </c>
      <c r="M199" s="13" t="str">
        <f>_xll.BDH("GILD US Equity","ARDR_OPTIONS_BEGINNING_OF_PERIOD","FQ2 2021","FQ2 2021","Currency=USD","Period=FQ","BEST_FPERIOD_OVERRIDE=FQ","FILING_STATUS=MR","Sort=A","Dates=H","DateFormat=P","Fill=—","Direction=H","UseDPDF=Y")</f>
        <v>—</v>
      </c>
      <c r="N199" s="13" t="str">
        <f>_xll.BDH("GILD US Equity","ARDR_OPTIONS_BEGINNING_OF_PERIOD","FQ3 2021","FQ3 2021","Currency=USD","Period=FQ","BEST_FPERIOD_OVERRIDE=FQ","FILING_STATUS=MR","Sort=A","Dates=H","DateFormat=P","Fill=—","Direction=H","UseDPDF=Y")</f>
        <v>—</v>
      </c>
      <c r="O199" s="13" t="str">
        <f>_xll.BDH("GILD US Equity","ARDR_OPTIONS_BEGINNING_OF_PERIOD","FQ4 2021","FQ4 2021","Currency=USD","Period=FQ","BEST_FPERIOD_OVERRIDE=FQ","FILING_STATUS=MR","Sort=A","Dates=H","DateFormat=P","Fill=—","Direction=H","UseDPDF=Y")</f>
        <v>—</v>
      </c>
      <c r="P199" s="13" t="str">
        <f>_xll.BDH("GILD US Equity","ARDR_OPTIONS_BEGINNING_OF_PERIOD","FQ1 2022","FQ1 2022","Currency=USD","Period=FQ","BEST_FPERIOD_OVERRIDE=FQ","FILING_STATUS=MR","Sort=A","Dates=H","DateFormat=P","Fill=—","Direction=H","UseDPDF=Y")</f>
        <v>—</v>
      </c>
      <c r="Q199" s="13" t="str">
        <f>_xll.BDH("GILD US Equity","ARDR_OPTIONS_BEGINNING_OF_PERIOD","FQ2 2022","FQ2 2022","Currency=USD","Period=FQ","BEST_FPERIOD_OVERRIDE=FQ","FILING_STATUS=MR","Sort=A","Dates=H","DateFormat=P","Fill=—","Direction=H","UseDPDF=Y")</f>
        <v>—</v>
      </c>
      <c r="R199" s="13" t="str">
        <f>_xll.BDH("GILD US Equity","ARDR_OPTIONS_BEGINNING_OF_PERIOD","FQ3 2022","FQ3 2022","Currency=USD","Period=FQ","BEST_FPERIOD_OVERRIDE=FQ","FILING_STATUS=MR","Sort=A","Dates=H","DateFormat=P","Fill=—","Direction=H","UseDPDF=Y")</f>
        <v>—</v>
      </c>
      <c r="S199" s="13" t="str">
        <f>_xll.BDH("GILD US Equity","ARDR_OPTIONS_BEGINNING_OF_PERIOD","FQ4 2022","FQ4 2022","Currency=USD","Period=FQ","BEST_FPERIOD_OVERRIDE=FQ","FILING_STATUS=MR","Sort=A","Dates=H","DateFormat=P","Fill=—","Direction=H","UseDPDF=Y")</f>
        <v>—</v>
      </c>
      <c r="T199" s="13" t="str">
        <f>_xll.BDH("GILD US Equity","ARDR_OPTIONS_BEGINNING_OF_PERIOD","FQ1 2023","FQ1 2023","Currency=USD","Period=FQ","BEST_FPERIOD_OVERRIDE=FQ","FILING_STATUS=MR","Sort=A","Dates=H","DateFormat=P","Fill=—","Direction=H","UseDPDF=Y")</f>
        <v>—</v>
      </c>
      <c r="U199" s="13" t="str">
        <f>_xll.BDH("GILD US Equity","ARDR_OPTIONS_BEGINNING_OF_PERIOD","FQ2 2023","FQ2 2023","Currency=USD","Period=FQ","BEST_FPERIOD_OVERRIDE=FQ","FILING_STATUS=MR","Sort=A","Dates=H","DateFormat=P","Fill=—","Direction=H","UseDPDF=Y")</f>
        <v>—</v>
      </c>
      <c r="V199" s="13" t="str">
        <f>_xll.BDH("GILD US Equity","ARDR_OPTIONS_BEGINNING_OF_PERIOD","FQ3 2023","FQ3 2023","Currency=USD","Period=FQ","BEST_FPERIOD_OVERRIDE=FQ","FILING_STATUS=MR","Sort=A","Dates=H","DateFormat=P","Fill=—","Direction=H","UseDPDF=Y")</f>
        <v>—</v>
      </c>
      <c r="W199" s="13">
        <f>_xll.BDH("GILD US Equity","ARDR_OPTIONS_BEGINNING_OF_PERIOD","FQ4 2023","FQ4 2023","Currency=USD","Period=FQ","BEST_FPERIOD_OVERRIDE=FQ","FILING_STATUS=MR","Sort=A","Dates=H","DateFormat=P","Fill=—","Direction=H","UseDPDF=Y")</f>
        <v>14.4</v>
      </c>
      <c r="X199" s="13" t="str">
        <f>_xll.BDH("GILD US Equity","ARDR_OPTIONS_BEGINNING_OF_PERIOD","FQ1 2024","FQ1 2024","Currency=USD","Period=FQ","BEST_FPERIOD_OVERRIDE=FQ","FILING_STATUS=MR","Sort=A","Dates=H","DateFormat=P","Fill=—","Direction=H","UseDPDF=Y")</f>
        <v>—</v>
      </c>
      <c r="Y199" s="13" t="str">
        <f>_xll.BDH("GILD US Equity","ARDR_OPTIONS_BEGINNING_OF_PERIOD","FQ2 2024","FQ2 2024","Currency=USD","Period=FQ","BEST_FPERIOD_OVERRIDE=FQ","FILING_STATUS=MR","Sort=A","Dates=H","DateFormat=P","Fill=—","Direction=H","UseDPDF=Y")</f>
        <v>—</v>
      </c>
      <c r="Z199" s="13" t="str">
        <f>_xll.BDH("GILD US Equity","ARDR_OPTIONS_BEGINNING_OF_PERIOD","FQ3 2024","FQ3 2024","Currency=USD","Period=FQ","BEST_FPERIOD_OVERRIDE=FQ","FILING_STATUS=MR","Sort=A","Dates=H","DateFormat=P","Fill=—","Direction=H","UseDPDF=Y")</f>
        <v>—</v>
      </c>
      <c r="AA199" s="13" t="str">
        <f>_xll.BDH("GILD US Equity","ARDR_OPTIONS_BEGINNING_OF_PERIOD","FQ4 2024","FQ4 2024","Currency=USD","Period=FQ","BEST_FPERIOD_OVERRIDE=FQ","FILING_STATUS=MR","Sort=A","Dates=H","DateFormat=P","Fill=—","Direction=H","UseDPDF=Y")</f>
        <v>—</v>
      </c>
    </row>
    <row r="200" spans="1:27" x14ac:dyDescent="0.25">
      <c r="A200" s="10" t="s">
        <v>1257</v>
      </c>
      <c r="B200" s="10" t="s">
        <v>1258</v>
      </c>
      <c r="C200" s="14">
        <f>_xll.BDH("GILD US Equity","ARDR_AVG_PRICE_PER_SHARE_REPURCH","FQ4 2018","FQ4 2018","Currency=USD","Period=FQ","BEST_FPERIOD_OVERRIDE=FQ","FILING_STATUS=MR","Sort=A","Dates=H","DateFormat=P","Fill=—","Direction=H","UseDPDF=Y")</f>
        <v>68.489999999999995</v>
      </c>
      <c r="D200" s="14">
        <f>_xll.BDH("GILD US Equity","ARDR_AVG_PRICE_PER_SHARE_REPURCH","FQ1 2019","FQ1 2019","Currency=USD","Period=FQ","BEST_FPERIOD_OVERRIDE=FQ","FILING_STATUS=MR","Sort=A","Dates=H","DateFormat=P","Fill=—","Direction=H","UseDPDF=Y")</f>
        <v>67.260000000000005</v>
      </c>
      <c r="E200" s="14">
        <f>_xll.BDH("GILD US Equity","ARDR_AVG_PRICE_PER_SHARE_REPURCH","FQ2 2019","FQ2 2019","Currency=USD","Period=FQ","BEST_FPERIOD_OVERRIDE=FQ","FILING_STATUS=MR","Sort=A","Dates=H","DateFormat=P","Fill=—","Direction=H","UseDPDF=Y")</f>
        <v>65.73</v>
      </c>
      <c r="F200" s="14">
        <f>_xll.BDH("GILD US Equity","ARDR_AVG_PRICE_PER_SHARE_REPURCH","FQ3 2019","FQ3 2019","Currency=USD","Period=FQ","BEST_FPERIOD_OVERRIDE=FQ","FILING_STATUS=MR","Sort=A","Dates=H","DateFormat=P","Fill=—","Direction=H","UseDPDF=Y")</f>
        <v>65.209999999999994</v>
      </c>
      <c r="G200" s="14">
        <f>_xll.BDH("GILD US Equity","ARDR_AVG_PRICE_PER_SHARE_REPURCH","FQ4 2019","FQ4 2019","Currency=USD","Period=FQ","BEST_FPERIOD_OVERRIDE=FQ","FILING_STATUS=MR","Sort=A","Dates=H","DateFormat=P","Fill=—","Direction=H","UseDPDF=Y")</f>
        <v>64.95</v>
      </c>
      <c r="H200" s="14">
        <f>_xll.BDH("GILD US Equity","ARDR_AVG_PRICE_PER_SHARE_REPURCH","FQ1 2020","FQ1 2020","Currency=USD","Period=FQ","BEST_FPERIOD_OVERRIDE=FQ","FILING_STATUS=MR","Sort=A","Dates=H","DateFormat=P","Fill=—","Direction=H","UseDPDF=Y")</f>
        <v>70.8</v>
      </c>
      <c r="I200" s="14">
        <f>_xll.BDH("GILD US Equity","ARDR_AVG_PRICE_PER_SHARE_REPURCH","FQ2 2020","FQ2 2020","Currency=USD","Period=FQ","BEST_FPERIOD_OVERRIDE=FQ","FILING_STATUS=MR","Sort=A","Dates=H","DateFormat=P","Fill=—","Direction=H","UseDPDF=Y")</f>
        <v>71.010000000000005</v>
      </c>
      <c r="J200" s="14">
        <f>_xll.BDH("GILD US Equity","ARDR_AVG_PRICE_PER_SHARE_REPURCH","FQ3 2020","FQ3 2020","Currency=USD","Period=FQ","BEST_FPERIOD_OVERRIDE=FQ","FILING_STATUS=MR","Sort=A","Dates=H","DateFormat=P","Fill=—","Direction=H","UseDPDF=Y")</f>
        <v>68.23</v>
      </c>
      <c r="K200" s="14">
        <f>_xll.BDH("GILD US Equity","ARDR_AVG_PRICE_PER_SHARE_REPURCH","FQ4 2020","FQ4 2020","Currency=USD","Period=FQ","BEST_FPERIOD_OVERRIDE=FQ","FILING_STATUS=MR","Sort=A","Dates=H","DateFormat=P","Fill=—","Direction=H","UseDPDF=Y")</f>
        <v>60.78</v>
      </c>
      <c r="L200" s="14">
        <f>_xll.BDH("GILD US Equity","ARDR_AVG_PRICE_PER_SHARE_REPURCH","FQ1 2021","FQ1 2021","Currency=USD","Period=FQ","BEST_FPERIOD_OVERRIDE=FQ","FILING_STATUS=MR","Sort=A","Dates=H","DateFormat=P","Fill=—","Direction=H","UseDPDF=Y")</f>
        <v>64.7</v>
      </c>
      <c r="M200" s="14">
        <f>_xll.BDH("GILD US Equity","ARDR_AVG_PRICE_PER_SHARE_REPURCH","FQ2 2021","FQ2 2021","Currency=USD","Period=FQ","BEST_FPERIOD_OVERRIDE=FQ","FILING_STATUS=MR","Sort=A","Dates=H","DateFormat=P","Fill=—","Direction=H","UseDPDF=Y")</f>
        <v>66.81</v>
      </c>
      <c r="N200" s="14">
        <f>_xll.BDH("GILD US Equity","ARDR_AVG_PRICE_PER_SHARE_REPURCH","FQ3 2021","FQ3 2021","Currency=USD","Period=FQ","BEST_FPERIOD_OVERRIDE=FQ","FILING_STATUS=MR","Sort=A","Dates=H","DateFormat=P","Fill=—","Direction=H","UseDPDF=Y")</f>
        <v>70</v>
      </c>
      <c r="O200" s="14">
        <f>_xll.BDH("GILD US Equity","ARDR_AVG_PRICE_PER_SHARE_REPURCH","FQ4 2021","FQ4 2021","Currency=USD","Period=FQ","BEST_FPERIOD_OVERRIDE=FQ","FILING_STATUS=MR","Sort=A","Dates=H","DateFormat=P","Fill=—","Direction=H","UseDPDF=Y")</f>
        <v>68.19</v>
      </c>
      <c r="P200" s="14">
        <f>_xll.BDH("GILD US Equity","ARDR_AVG_PRICE_PER_SHARE_REPURCH","FQ1 2022","FQ1 2022","Currency=USD","Period=FQ","BEST_FPERIOD_OVERRIDE=FQ","FILING_STATUS=MR","Sort=A","Dates=H","DateFormat=P","Fill=—","Direction=H","UseDPDF=Y")</f>
        <v>62.68</v>
      </c>
      <c r="Q200" s="14">
        <f>_xll.BDH("GILD US Equity","ARDR_AVG_PRICE_PER_SHARE_REPURCH","FQ2 2022","FQ2 2022","Currency=USD","Period=FQ","BEST_FPERIOD_OVERRIDE=FQ","FILING_STATUS=MR","Sort=A","Dates=H","DateFormat=P","Fill=—","Direction=H","UseDPDF=Y")</f>
        <v>61.69</v>
      </c>
      <c r="R200" s="14">
        <f>_xll.BDH("GILD US Equity","ARDR_AVG_PRICE_PER_SHARE_REPURCH","FQ3 2022","FQ3 2022","Currency=USD","Period=FQ","BEST_FPERIOD_OVERRIDE=FQ","FILING_STATUS=MR","Sort=A","Dates=H","DateFormat=P","Fill=—","Direction=H","UseDPDF=Y")</f>
        <v>63.18</v>
      </c>
      <c r="S200" s="14">
        <f>_xll.BDH("GILD US Equity","ARDR_AVG_PRICE_PER_SHARE_REPURCH","FQ4 2022","FQ4 2022","Currency=USD","Period=FQ","BEST_FPERIOD_OVERRIDE=FQ","FILING_STATUS=MR","Sort=A","Dates=H","DateFormat=P","Fill=—","Direction=H","UseDPDF=Y")</f>
        <v>84.35</v>
      </c>
      <c r="T200" s="14">
        <f>_xll.BDH("GILD US Equity","ARDR_AVG_PRICE_PER_SHARE_REPURCH","FQ1 2023","FQ1 2023","Currency=USD","Period=FQ","BEST_FPERIOD_OVERRIDE=FQ","FILING_STATUS=MR","Sort=A","Dates=H","DateFormat=P","Fill=—","Direction=H","UseDPDF=Y")</f>
        <v>81.790000000000006</v>
      </c>
      <c r="U200" s="14">
        <f>_xll.BDH("GILD US Equity","ARDR_AVG_PRICE_PER_SHARE_REPURCH","FQ2 2023","FQ2 2023","Currency=USD","Period=FQ","BEST_FPERIOD_OVERRIDE=FQ","FILING_STATUS=MR","Sort=A","Dates=H","DateFormat=P","Fill=—","Direction=H","UseDPDF=Y")</f>
        <v>79.459999999999994</v>
      </c>
      <c r="V200" s="14">
        <f>_xll.BDH("GILD US Equity","ARDR_AVG_PRICE_PER_SHARE_REPURCH","FQ3 2023","FQ3 2023","Currency=USD","Period=FQ","BEST_FPERIOD_OVERRIDE=FQ","FILING_STATUS=MR","Sort=A","Dates=H","DateFormat=P","Fill=—","Direction=H","UseDPDF=Y")</f>
        <v>77.349999999999994</v>
      </c>
      <c r="W200" s="14">
        <f>_xll.BDH("GILD US Equity","ARDR_AVG_PRICE_PER_SHARE_REPURCH","FQ4 2023","FQ4 2023","Currency=USD","Period=FQ","BEST_FPERIOD_OVERRIDE=FQ","FILING_STATUS=MR","Sort=A","Dates=H","DateFormat=P","Fill=—","Direction=H","UseDPDF=Y")</f>
        <v>79.52</v>
      </c>
      <c r="X200" s="14">
        <f>_xll.BDH("GILD US Equity","ARDR_AVG_PRICE_PER_SHARE_REPURCH","FQ1 2024","FQ1 2024","Currency=USD","Period=FQ","BEST_FPERIOD_OVERRIDE=FQ","FILING_STATUS=MR","Sort=A","Dates=H","DateFormat=P","Fill=—","Direction=H","UseDPDF=Y")</f>
        <v>76.61</v>
      </c>
      <c r="Y200" s="14">
        <f>_xll.BDH("GILD US Equity","ARDR_AVG_PRICE_PER_SHARE_REPURCH","FQ2 2024","FQ2 2024","Currency=USD","Period=FQ","BEST_FPERIOD_OVERRIDE=FQ","FILING_STATUS=MR","Sort=A","Dates=H","DateFormat=P","Fill=—","Direction=H","UseDPDF=Y")</f>
        <v>66.38</v>
      </c>
      <c r="Z200" s="14">
        <f>_xll.BDH("GILD US Equity","ARDR_AVG_PRICE_PER_SHARE_REPURCH","FQ3 2024","FQ3 2024","Currency=USD","Period=FQ","BEST_FPERIOD_OVERRIDE=FQ","FILING_STATUS=MR","Sort=A","Dates=H","DateFormat=P","Fill=—","Direction=H","UseDPDF=Y")</f>
        <v>76.319999999999993</v>
      </c>
      <c r="AA200" s="14">
        <f>_xll.BDH("GILD US Equity","ARDR_AVG_PRICE_PER_SHARE_REPURCH","FQ4 2024","FQ4 2024","Currency=USD","Period=FQ","BEST_FPERIOD_OVERRIDE=FQ","FILING_STATUS=MR","Sort=A","Dates=H","DateFormat=P","Fill=—","Direction=H","UseDPDF=Y")</f>
        <v>91.58</v>
      </c>
    </row>
    <row r="201" spans="1:27" x14ac:dyDescent="0.25">
      <c r="A201" s="10" t="s">
        <v>1259</v>
      </c>
      <c r="B201" s="10" t="s">
        <v>1260</v>
      </c>
      <c r="C201" s="13" t="str">
        <f>_xll.BDH("GILD US Equity","ARDR_UTB_BALANCE_BEGIN_PERIOD","FQ4 2018","FQ4 2018","Currency=USD","Period=FQ","BEST_FPERIOD_OVERRIDE=FQ","FILING_STATUS=MR","SCALING_FORMAT=MLN","Sort=A","Dates=H","DateFormat=P","Fill=—","Direction=H","UseDPDF=Y")</f>
        <v>—</v>
      </c>
      <c r="D201" s="13" t="str">
        <f>_xll.BDH("GILD US Equity","ARDR_UTB_BALANCE_BEGIN_PERIOD","FQ1 2019","FQ1 2019","Currency=USD","Period=FQ","BEST_FPERIOD_OVERRIDE=FQ","FILING_STATUS=MR","SCALING_FORMAT=MLN","Sort=A","Dates=H","DateFormat=P","Fill=—","Direction=H","UseDPDF=Y")</f>
        <v>—</v>
      </c>
      <c r="E201" s="13" t="str">
        <f>_xll.BDH("GILD US Equity","ARDR_UTB_BALANCE_BEGIN_PERIOD","FQ2 2019","FQ2 2019","Currency=USD","Period=FQ","BEST_FPERIOD_OVERRIDE=FQ","FILING_STATUS=MR","SCALING_FORMAT=MLN","Sort=A","Dates=H","DateFormat=P","Fill=—","Direction=H","UseDPDF=Y")</f>
        <v>—</v>
      </c>
      <c r="F201" s="13" t="str">
        <f>_xll.BDH("GILD US Equity","ARDR_UTB_BALANCE_BEGIN_PERIOD","FQ3 2019","FQ3 2019","Currency=USD","Period=FQ","BEST_FPERIOD_OVERRIDE=FQ","FILING_STATUS=MR","SCALING_FORMAT=MLN","Sort=A","Dates=H","DateFormat=P","Fill=—","Direction=H","UseDPDF=Y")</f>
        <v>—</v>
      </c>
      <c r="G201" s="13">
        <f>_xll.BDH("GILD US Equity","ARDR_UTB_BALANCE_BEGIN_PERIOD","FQ4 2019","FQ4 2019","Currency=USD","Period=FQ","BEST_FPERIOD_OVERRIDE=FQ","FILING_STATUS=MR","SCALING_FORMAT=MLN","Sort=A","Dates=H","DateFormat=P","Fill=—","Direction=H","UseDPDF=Y")</f>
        <v>1595</v>
      </c>
      <c r="H201" s="13" t="str">
        <f>_xll.BDH("GILD US Equity","ARDR_UTB_BALANCE_BEGIN_PERIOD","FQ1 2020","FQ1 2020","Currency=USD","Period=FQ","BEST_FPERIOD_OVERRIDE=FQ","FILING_STATUS=MR","SCALING_FORMAT=MLN","Sort=A","Dates=H","DateFormat=P","Fill=—","Direction=H","UseDPDF=Y")</f>
        <v>—</v>
      </c>
      <c r="I201" s="13" t="str">
        <f>_xll.BDH("GILD US Equity","ARDR_UTB_BALANCE_BEGIN_PERIOD","FQ2 2020","FQ2 2020","Currency=USD","Period=FQ","BEST_FPERIOD_OVERRIDE=FQ","FILING_STATUS=MR","SCALING_FORMAT=MLN","Sort=A","Dates=H","DateFormat=P","Fill=—","Direction=H","UseDPDF=Y")</f>
        <v>—</v>
      </c>
      <c r="J201" s="13" t="str">
        <f>_xll.BDH("GILD US Equity","ARDR_UTB_BALANCE_BEGIN_PERIOD","FQ3 2020","FQ3 2020","Currency=USD","Period=FQ","BEST_FPERIOD_OVERRIDE=FQ","FILING_STATUS=MR","SCALING_FORMAT=MLN","Sort=A","Dates=H","DateFormat=P","Fill=—","Direction=H","UseDPDF=Y")</f>
        <v>—</v>
      </c>
      <c r="K201" s="13">
        <f>_xll.BDH("GILD US Equity","ARDR_UTB_BALANCE_BEGIN_PERIOD","FQ4 2020","FQ4 2020","Currency=USD","Period=FQ","BEST_FPERIOD_OVERRIDE=FQ","FILING_STATUS=MR","SCALING_FORMAT=MLN","Sort=A","Dates=H","DateFormat=P","Fill=—","Direction=H","UseDPDF=Y")</f>
        <v>2031</v>
      </c>
      <c r="L201" s="13" t="str">
        <f>_xll.BDH("GILD US Equity","ARDR_UTB_BALANCE_BEGIN_PERIOD","FQ1 2021","FQ1 2021","Currency=USD","Period=FQ","BEST_FPERIOD_OVERRIDE=FQ","FILING_STATUS=MR","SCALING_FORMAT=MLN","Sort=A","Dates=H","DateFormat=P","Fill=—","Direction=H","UseDPDF=Y")</f>
        <v>—</v>
      </c>
      <c r="M201" s="13" t="str">
        <f>_xll.BDH("GILD US Equity","ARDR_UTB_BALANCE_BEGIN_PERIOD","FQ2 2021","FQ2 2021","Currency=USD","Period=FQ","BEST_FPERIOD_OVERRIDE=FQ","FILING_STATUS=MR","SCALING_FORMAT=MLN","Sort=A","Dates=H","DateFormat=P","Fill=—","Direction=H","UseDPDF=Y")</f>
        <v>—</v>
      </c>
      <c r="N201" s="13" t="str">
        <f>_xll.BDH("GILD US Equity","ARDR_UTB_BALANCE_BEGIN_PERIOD","FQ3 2021","FQ3 2021","Currency=USD","Period=FQ","BEST_FPERIOD_OVERRIDE=FQ","FILING_STATUS=MR","SCALING_FORMAT=MLN","Sort=A","Dates=H","DateFormat=P","Fill=—","Direction=H","UseDPDF=Y")</f>
        <v>—</v>
      </c>
      <c r="O201" s="13">
        <f>_xll.BDH("GILD US Equity","ARDR_UTB_BALANCE_BEGIN_PERIOD","FQ4 2021","FQ4 2021","Currency=USD","Period=FQ","BEST_FPERIOD_OVERRIDE=FQ","FILING_STATUS=MR","SCALING_FORMAT=MLN","Sort=A","Dates=H","DateFormat=P","Fill=—","Direction=H","UseDPDF=Y")</f>
        <v>1614</v>
      </c>
      <c r="P201" s="13" t="str">
        <f>_xll.BDH("GILD US Equity","ARDR_UTB_BALANCE_BEGIN_PERIOD","FQ1 2022","FQ1 2022","Currency=USD","Period=FQ","BEST_FPERIOD_OVERRIDE=FQ","FILING_STATUS=MR","SCALING_FORMAT=MLN","Sort=A","Dates=H","DateFormat=P","Fill=—","Direction=H","UseDPDF=Y")</f>
        <v>—</v>
      </c>
      <c r="Q201" s="13" t="str">
        <f>_xll.BDH("GILD US Equity","ARDR_UTB_BALANCE_BEGIN_PERIOD","FQ2 2022","FQ2 2022","Currency=USD","Period=FQ","BEST_FPERIOD_OVERRIDE=FQ","FILING_STATUS=MR","SCALING_FORMAT=MLN","Sort=A","Dates=H","DateFormat=P","Fill=—","Direction=H","UseDPDF=Y")</f>
        <v>—</v>
      </c>
      <c r="R201" s="13" t="str">
        <f>_xll.BDH("GILD US Equity","ARDR_UTB_BALANCE_BEGIN_PERIOD","FQ3 2022","FQ3 2022","Currency=USD","Period=FQ","BEST_FPERIOD_OVERRIDE=FQ","FILING_STATUS=MR","SCALING_FORMAT=MLN","Sort=A","Dates=H","DateFormat=P","Fill=—","Direction=H","UseDPDF=Y")</f>
        <v>—</v>
      </c>
      <c r="S201" s="13">
        <f>_xll.BDH("GILD US Equity","ARDR_UTB_BALANCE_BEGIN_PERIOD","FQ4 2022","FQ4 2022","Currency=USD","Period=FQ","BEST_FPERIOD_OVERRIDE=FQ","FILING_STATUS=MR","SCALING_FORMAT=MLN","Sort=A","Dates=H","DateFormat=P","Fill=—","Direction=H","UseDPDF=Y")</f>
        <v>1713</v>
      </c>
      <c r="T201" s="13" t="str">
        <f>_xll.BDH("GILD US Equity","ARDR_UTB_BALANCE_BEGIN_PERIOD","FQ1 2023","FQ1 2023","Currency=USD","Period=FQ","BEST_FPERIOD_OVERRIDE=FQ","FILING_STATUS=MR","SCALING_FORMAT=MLN","Sort=A","Dates=H","DateFormat=P","Fill=—","Direction=H","UseDPDF=Y")</f>
        <v>—</v>
      </c>
      <c r="U201" s="13" t="str">
        <f>_xll.BDH("GILD US Equity","ARDR_UTB_BALANCE_BEGIN_PERIOD","FQ2 2023","FQ2 2023","Currency=USD","Period=FQ","BEST_FPERIOD_OVERRIDE=FQ","FILING_STATUS=MR","SCALING_FORMAT=MLN","Sort=A","Dates=H","DateFormat=P","Fill=—","Direction=H","UseDPDF=Y")</f>
        <v>—</v>
      </c>
      <c r="V201" s="13" t="str">
        <f>_xll.BDH("GILD US Equity","ARDR_UTB_BALANCE_BEGIN_PERIOD","FQ3 2023","FQ3 2023","Currency=USD","Period=FQ","BEST_FPERIOD_OVERRIDE=FQ","FILING_STATUS=MR","SCALING_FORMAT=MLN","Sort=A","Dates=H","DateFormat=P","Fill=—","Direction=H","UseDPDF=Y")</f>
        <v>—</v>
      </c>
      <c r="W201" s="13">
        <f>_xll.BDH("GILD US Equity","ARDR_UTB_BALANCE_BEGIN_PERIOD","FQ4 2023","FQ4 2023","Currency=USD","Period=FQ","BEST_FPERIOD_OVERRIDE=FQ","FILING_STATUS=MR","SCALING_FORMAT=MLN","Sort=A","Dates=H","DateFormat=P","Fill=—","Direction=H","UseDPDF=Y")</f>
        <v>1959</v>
      </c>
      <c r="X201" s="13" t="str">
        <f>_xll.BDH("GILD US Equity","ARDR_UTB_BALANCE_BEGIN_PERIOD","FQ1 2024","FQ1 2024","Currency=USD","Period=FQ","BEST_FPERIOD_OVERRIDE=FQ","FILING_STATUS=MR","SCALING_FORMAT=MLN","Sort=A","Dates=H","DateFormat=P","Fill=—","Direction=H","UseDPDF=Y")</f>
        <v>—</v>
      </c>
      <c r="Y201" s="13" t="str">
        <f>_xll.BDH("GILD US Equity","ARDR_UTB_BALANCE_BEGIN_PERIOD","FQ2 2024","FQ2 2024","Currency=USD","Period=FQ","BEST_FPERIOD_OVERRIDE=FQ","FILING_STATUS=MR","SCALING_FORMAT=MLN","Sort=A","Dates=H","DateFormat=P","Fill=—","Direction=H","UseDPDF=Y")</f>
        <v>—</v>
      </c>
      <c r="Z201" s="13" t="str">
        <f>_xll.BDH("GILD US Equity","ARDR_UTB_BALANCE_BEGIN_PERIOD","FQ3 2024","FQ3 2024","Currency=USD","Period=FQ","BEST_FPERIOD_OVERRIDE=FQ","FILING_STATUS=MR","SCALING_FORMAT=MLN","Sort=A","Dates=H","DateFormat=P","Fill=—","Direction=H","UseDPDF=Y")</f>
        <v>—</v>
      </c>
      <c r="AA201" s="13">
        <f>_xll.BDH("GILD US Equity","ARDR_UTB_BALANCE_BEGIN_PERIOD","FQ4 2024","FQ4 2024","Currency=USD","Period=FQ","BEST_FPERIOD_OVERRIDE=FQ","FILING_STATUS=MR","SCALING_FORMAT=MLN","Sort=A","Dates=H","DateFormat=P","Fill=—","Direction=H","UseDPDF=Y")</f>
        <v>1962</v>
      </c>
    </row>
    <row r="202" spans="1:27" x14ac:dyDescent="0.25">
      <c r="A202" s="10" t="s">
        <v>1261</v>
      </c>
      <c r="B202" s="10" t="s">
        <v>1262</v>
      </c>
      <c r="C202" s="13" t="str">
        <f>_xll.BDH("GILD US Equity","ARDR_UTB_BALANCE_END_PERIOD","FQ4 2018","FQ4 2018","Currency=USD","Period=FQ","BEST_FPERIOD_OVERRIDE=FQ","FILING_STATUS=MR","SCALING_FORMAT=MLN","Sort=A","Dates=H","DateFormat=P","Fill=—","Direction=H","UseDPDF=Y")</f>
        <v>—</v>
      </c>
      <c r="D202" s="13" t="str">
        <f>_xll.BDH("GILD US Equity","ARDR_UTB_BALANCE_END_PERIOD","FQ1 2019","FQ1 2019","Currency=USD","Period=FQ","BEST_FPERIOD_OVERRIDE=FQ","FILING_STATUS=MR","SCALING_FORMAT=MLN","Sort=A","Dates=H","DateFormat=P","Fill=—","Direction=H","UseDPDF=Y")</f>
        <v>—</v>
      </c>
      <c r="E202" s="13" t="str">
        <f>_xll.BDH("GILD US Equity","ARDR_UTB_BALANCE_END_PERIOD","FQ2 2019","FQ2 2019","Currency=USD","Period=FQ","BEST_FPERIOD_OVERRIDE=FQ","FILING_STATUS=MR","SCALING_FORMAT=MLN","Sort=A","Dates=H","DateFormat=P","Fill=—","Direction=H","UseDPDF=Y")</f>
        <v>—</v>
      </c>
      <c r="F202" s="13" t="str">
        <f>_xll.BDH("GILD US Equity","ARDR_UTB_BALANCE_END_PERIOD","FQ3 2019","FQ3 2019","Currency=USD","Period=FQ","BEST_FPERIOD_OVERRIDE=FQ","FILING_STATUS=MR","SCALING_FORMAT=MLN","Sort=A","Dates=H","DateFormat=P","Fill=—","Direction=H","UseDPDF=Y")</f>
        <v>—</v>
      </c>
      <c r="G202" s="13">
        <f>_xll.BDH("GILD US Equity","ARDR_UTB_BALANCE_END_PERIOD","FQ4 2019","FQ4 2019","Currency=USD","Period=FQ","BEST_FPERIOD_OVERRIDE=FQ","FILING_STATUS=MR","SCALING_FORMAT=MLN","Sort=A","Dates=H","DateFormat=P","Fill=—","Direction=H","UseDPDF=Y")</f>
        <v>2031</v>
      </c>
      <c r="H202" s="13" t="str">
        <f>_xll.BDH("GILD US Equity","ARDR_UTB_BALANCE_END_PERIOD","FQ1 2020","FQ1 2020","Currency=USD","Period=FQ","BEST_FPERIOD_OVERRIDE=FQ","FILING_STATUS=MR","SCALING_FORMAT=MLN","Sort=A","Dates=H","DateFormat=P","Fill=—","Direction=H","UseDPDF=Y")</f>
        <v>—</v>
      </c>
      <c r="I202" s="13" t="str">
        <f>_xll.BDH("GILD US Equity","ARDR_UTB_BALANCE_END_PERIOD","FQ2 2020","FQ2 2020","Currency=USD","Period=FQ","BEST_FPERIOD_OVERRIDE=FQ","FILING_STATUS=MR","SCALING_FORMAT=MLN","Sort=A","Dates=H","DateFormat=P","Fill=—","Direction=H","UseDPDF=Y")</f>
        <v>—</v>
      </c>
      <c r="J202" s="13" t="str">
        <f>_xll.BDH("GILD US Equity","ARDR_UTB_BALANCE_END_PERIOD","FQ3 2020","FQ3 2020","Currency=USD","Period=FQ","BEST_FPERIOD_OVERRIDE=FQ","FILING_STATUS=MR","SCALING_FORMAT=MLN","Sort=A","Dates=H","DateFormat=P","Fill=—","Direction=H","UseDPDF=Y")</f>
        <v>—</v>
      </c>
      <c r="K202" s="13">
        <f>_xll.BDH("GILD US Equity","ARDR_UTB_BALANCE_END_PERIOD","FQ4 2020","FQ4 2020","Currency=USD","Period=FQ","BEST_FPERIOD_OVERRIDE=FQ","FILING_STATUS=MR","SCALING_FORMAT=MLN","Sort=A","Dates=H","DateFormat=P","Fill=—","Direction=H","UseDPDF=Y")</f>
        <v>1614</v>
      </c>
      <c r="L202" s="13" t="str">
        <f>_xll.BDH("GILD US Equity","ARDR_UTB_BALANCE_END_PERIOD","FQ1 2021","FQ1 2021","Currency=USD","Period=FQ","BEST_FPERIOD_OVERRIDE=FQ","FILING_STATUS=MR","SCALING_FORMAT=MLN","Sort=A","Dates=H","DateFormat=P","Fill=—","Direction=H","UseDPDF=Y")</f>
        <v>—</v>
      </c>
      <c r="M202" s="13" t="str">
        <f>_xll.BDH("GILD US Equity","ARDR_UTB_BALANCE_END_PERIOD","FQ2 2021","FQ2 2021","Currency=USD","Period=FQ","BEST_FPERIOD_OVERRIDE=FQ","FILING_STATUS=MR","SCALING_FORMAT=MLN","Sort=A","Dates=H","DateFormat=P","Fill=—","Direction=H","UseDPDF=Y")</f>
        <v>—</v>
      </c>
      <c r="N202" s="13" t="str">
        <f>_xll.BDH("GILD US Equity","ARDR_UTB_BALANCE_END_PERIOD","FQ3 2021","FQ3 2021","Currency=USD","Period=FQ","BEST_FPERIOD_OVERRIDE=FQ","FILING_STATUS=MR","SCALING_FORMAT=MLN","Sort=A","Dates=H","DateFormat=P","Fill=—","Direction=H","UseDPDF=Y")</f>
        <v>—</v>
      </c>
      <c r="O202" s="13">
        <f>_xll.BDH("GILD US Equity","ARDR_UTB_BALANCE_END_PERIOD","FQ4 2021","FQ4 2021","Currency=USD","Period=FQ","BEST_FPERIOD_OVERRIDE=FQ","FILING_STATUS=MR","SCALING_FORMAT=MLN","Sort=A","Dates=H","DateFormat=P","Fill=—","Direction=H","UseDPDF=Y")</f>
        <v>1713</v>
      </c>
      <c r="P202" s="13" t="str">
        <f>_xll.BDH("GILD US Equity","ARDR_UTB_BALANCE_END_PERIOD","FQ1 2022","FQ1 2022","Currency=USD","Period=FQ","BEST_FPERIOD_OVERRIDE=FQ","FILING_STATUS=MR","SCALING_FORMAT=MLN","Sort=A","Dates=H","DateFormat=P","Fill=—","Direction=H","UseDPDF=Y")</f>
        <v>—</v>
      </c>
      <c r="Q202" s="13" t="str">
        <f>_xll.BDH("GILD US Equity","ARDR_UTB_BALANCE_END_PERIOD","FQ2 2022","FQ2 2022","Currency=USD","Period=FQ","BEST_FPERIOD_OVERRIDE=FQ","FILING_STATUS=MR","SCALING_FORMAT=MLN","Sort=A","Dates=H","DateFormat=P","Fill=—","Direction=H","UseDPDF=Y")</f>
        <v>—</v>
      </c>
      <c r="R202" s="13" t="str">
        <f>_xll.BDH("GILD US Equity","ARDR_UTB_BALANCE_END_PERIOD","FQ3 2022","FQ3 2022","Currency=USD","Period=FQ","BEST_FPERIOD_OVERRIDE=FQ","FILING_STATUS=MR","SCALING_FORMAT=MLN","Sort=A","Dates=H","DateFormat=P","Fill=—","Direction=H","UseDPDF=Y")</f>
        <v>—</v>
      </c>
      <c r="S202" s="13">
        <f>_xll.BDH("GILD US Equity","ARDR_UTB_BALANCE_END_PERIOD","FQ4 2022","FQ4 2022","Currency=USD","Period=FQ","BEST_FPERIOD_OVERRIDE=FQ","FILING_STATUS=MR","SCALING_FORMAT=MLN","Sort=A","Dates=H","DateFormat=P","Fill=—","Direction=H","UseDPDF=Y")</f>
        <v>1959</v>
      </c>
      <c r="T202" s="13" t="str">
        <f>_xll.BDH("GILD US Equity","ARDR_UTB_BALANCE_END_PERIOD","FQ1 2023","FQ1 2023","Currency=USD","Period=FQ","BEST_FPERIOD_OVERRIDE=FQ","FILING_STATUS=MR","SCALING_FORMAT=MLN","Sort=A","Dates=H","DateFormat=P","Fill=—","Direction=H","UseDPDF=Y")</f>
        <v>—</v>
      </c>
      <c r="U202" s="13" t="str">
        <f>_xll.BDH("GILD US Equity","ARDR_UTB_BALANCE_END_PERIOD","FQ2 2023","FQ2 2023","Currency=USD","Period=FQ","BEST_FPERIOD_OVERRIDE=FQ","FILING_STATUS=MR","SCALING_FORMAT=MLN","Sort=A","Dates=H","DateFormat=P","Fill=—","Direction=H","UseDPDF=Y")</f>
        <v>—</v>
      </c>
      <c r="V202" s="13" t="str">
        <f>_xll.BDH("GILD US Equity","ARDR_UTB_BALANCE_END_PERIOD","FQ3 2023","FQ3 2023","Currency=USD","Period=FQ","BEST_FPERIOD_OVERRIDE=FQ","FILING_STATUS=MR","SCALING_FORMAT=MLN","Sort=A","Dates=H","DateFormat=P","Fill=—","Direction=H","UseDPDF=Y")</f>
        <v>—</v>
      </c>
      <c r="W202" s="13">
        <f>_xll.BDH("GILD US Equity","ARDR_UTB_BALANCE_END_PERIOD","FQ4 2023","FQ4 2023","Currency=USD","Period=FQ","BEST_FPERIOD_OVERRIDE=FQ","FILING_STATUS=MR","SCALING_FORMAT=MLN","Sort=A","Dates=H","DateFormat=P","Fill=—","Direction=H","UseDPDF=Y")</f>
        <v>1962</v>
      </c>
      <c r="X202" s="13" t="str">
        <f>_xll.BDH("GILD US Equity","ARDR_UTB_BALANCE_END_PERIOD","FQ1 2024","FQ1 2024","Currency=USD","Period=FQ","BEST_FPERIOD_OVERRIDE=FQ","FILING_STATUS=MR","SCALING_FORMAT=MLN","Sort=A","Dates=H","DateFormat=P","Fill=—","Direction=H","UseDPDF=Y")</f>
        <v>—</v>
      </c>
      <c r="Y202" s="13" t="str">
        <f>_xll.BDH("GILD US Equity","ARDR_UTB_BALANCE_END_PERIOD","FQ2 2024","FQ2 2024","Currency=USD","Period=FQ","BEST_FPERIOD_OVERRIDE=FQ","FILING_STATUS=MR","SCALING_FORMAT=MLN","Sort=A","Dates=H","DateFormat=P","Fill=—","Direction=H","UseDPDF=Y")</f>
        <v>—</v>
      </c>
      <c r="Z202" s="13" t="str">
        <f>_xll.BDH("GILD US Equity","ARDR_UTB_BALANCE_END_PERIOD","FQ3 2024","FQ3 2024","Currency=USD","Period=FQ","BEST_FPERIOD_OVERRIDE=FQ","FILING_STATUS=MR","SCALING_FORMAT=MLN","Sort=A","Dates=H","DateFormat=P","Fill=—","Direction=H","UseDPDF=Y")</f>
        <v>—</v>
      </c>
      <c r="AA202" s="13">
        <f>_xll.BDH("GILD US Equity","ARDR_UTB_BALANCE_END_PERIOD","FQ4 2024","FQ4 2024","Currency=USD","Period=FQ","BEST_FPERIOD_OVERRIDE=FQ","FILING_STATUS=MR","SCALING_FORMAT=MLN","Sort=A","Dates=H","DateFormat=P","Fill=—","Direction=H","UseDPDF=Y")</f>
        <v>2325</v>
      </c>
    </row>
    <row r="203" spans="1:27" x14ac:dyDescent="0.25">
      <c r="A203" s="10" t="s">
        <v>1263</v>
      </c>
      <c r="B203" s="10" t="s">
        <v>1264</v>
      </c>
      <c r="C203" s="13" t="str">
        <f>_xll.BDH("GILD US Equity","ARDR_ADDITIONS_TAX_POS_CUR_YR","FQ4 2018","FQ4 2018","Currency=USD","Period=FQ","BEST_FPERIOD_OVERRIDE=FQ","FILING_STATUS=MR","SCALING_FORMAT=MLN","Sort=A","Dates=H","DateFormat=P","Fill=—","Direction=H","UseDPDF=Y")</f>
        <v>—</v>
      </c>
      <c r="D203" s="13" t="str">
        <f>_xll.BDH("GILD US Equity","ARDR_ADDITIONS_TAX_POS_CUR_YR","FQ1 2019","FQ1 2019","Currency=USD","Period=FQ","BEST_FPERIOD_OVERRIDE=FQ","FILING_STATUS=MR","SCALING_FORMAT=MLN","Sort=A","Dates=H","DateFormat=P","Fill=—","Direction=H","UseDPDF=Y")</f>
        <v>—</v>
      </c>
      <c r="E203" s="13" t="str">
        <f>_xll.BDH("GILD US Equity","ARDR_ADDITIONS_TAX_POS_CUR_YR","FQ2 2019","FQ2 2019","Currency=USD","Period=FQ","BEST_FPERIOD_OVERRIDE=FQ","FILING_STATUS=MR","SCALING_FORMAT=MLN","Sort=A","Dates=H","DateFormat=P","Fill=—","Direction=H","UseDPDF=Y")</f>
        <v>—</v>
      </c>
      <c r="F203" s="13" t="str">
        <f>_xll.BDH("GILD US Equity","ARDR_ADDITIONS_TAX_POS_CUR_YR","FQ3 2019","FQ3 2019","Currency=USD","Period=FQ","BEST_FPERIOD_OVERRIDE=FQ","FILING_STATUS=MR","SCALING_FORMAT=MLN","Sort=A","Dates=H","DateFormat=P","Fill=—","Direction=H","UseDPDF=Y")</f>
        <v>—</v>
      </c>
      <c r="G203" s="13">
        <f>_xll.BDH("GILD US Equity","ARDR_ADDITIONS_TAX_POS_CUR_YR","FQ4 2019","FQ4 2019","Currency=USD","Period=FQ","BEST_FPERIOD_OVERRIDE=FQ","FILING_STATUS=MR","SCALING_FORMAT=MLN","Sort=A","Dates=H","DateFormat=P","Fill=—","Direction=H","UseDPDF=Y")</f>
        <v>138</v>
      </c>
      <c r="H203" s="13" t="str">
        <f>_xll.BDH("GILD US Equity","ARDR_ADDITIONS_TAX_POS_CUR_YR","FQ1 2020","FQ1 2020","Currency=USD","Period=FQ","BEST_FPERIOD_OVERRIDE=FQ","FILING_STATUS=MR","SCALING_FORMAT=MLN","Sort=A","Dates=H","DateFormat=P","Fill=—","Direction=H","UseDPDF=Y")</f>
        <v>—</v>
      </c>
      <c r="I203" s="13" t="str">
        <f>_xll.BDH("GILD US Equity","ARDR_ADDITIONS_TAX_POS_CUR_YR","FQ2 2020","FQ2 2020","Currency=USD","Period=FQ","BEST_FPERIOD_OVERRIDE=FQ","FILING_STATUS=MR","SCALING_FORMAT=MLN","Sort=A","Dates=H","DateFormat=P","Fill=—","Direction=H","UseDPDF=Y")</f>
        <v>—</v>
      </c>
      <c r="J203" s="13" t="str">
        <f>_xll.BDH("GILD US Equity","ARDR_ADDITIONS_TAX_POS_CUR_YR","FQ3 2020","FQ3 2020","Currency=USD","Period=FQ","BEST_FPERIOD_OVERRIDE=FQ","FILING_STATUS=MR","SCALING_FORMAT=MLN","Sort=A","Dates=H","DateFormat=P","Fill=—","Direction=H","UseDPDF=Y")</f>
        <v>—</v>
      </c>
      <c r="K203" s="13">
        <f>_xll.BDH("GILD US Equity","ARDR_ADDITIONS_TAX_POS_CUR_YR","FQ4 2020","FQ4 2020","Currency=USD","Period=FQ","BEST_FPERIOD_OVERRIDE=FQ","FILING_STATUS=MR","SCALING_FORMAT=MLN","Sort=A","Dates=H","DateFormat=P","Fill=—","Direction=H","UseDPDF=Y")</f>
        <v>121</v>
      </c>
      <c r="L203" s="13" t="str">
        <f>_xll.BDH("GILD US Equity","ARDR_ADDITIONS_TAX_POS_CUR_YR","FQ1 2021","FQ1 2021","Currency=USD","Period=FQ","BEST_FPERIOD_OVERRIDE=FQ","FILING_STATUS=MR","SCALING_FORMAT=MLN","Sort=A","Dates=H","DateFormat=P","Fill=—","Direction=H","UseDPDF=Y")</f>
        <v>—</v>
      </c>
      <c r="M203" s="13" t="str">
        <f>_xll.BDH("GILD US Equity","ARDR_ADDITIONS_TAX_POS_CUR_YR","FQ2 2021","FQ2 2021","Currency=USD","Period=FQ","BEST_FPERIOD_OVERRIDE=FQ","FILING_STATUS=MR","SCALING_FORMAT=MLN","Sort=A","Dates=H","DateFormat=P","Fill=—","Direction=H","UseDPDF=Y")</f>
        <v>—</v>
      </c>
      <c r="N203" s="13" t="str">
        <f>_xll.BDH("GILD US Equity","ARDR_ADDITIONS_TAX_POS_CUR_YR","FQ3 2021","FQ3 2021","Currency=USD","Period=FQ","BEST_FPERIOD_OVERRIDE=FQ","FILING_STATUS=MR","SCALING_FORMAT=MLN","Sort=A","Dates=H","DateFormat=P","Fill=—","Direction=H","UseDPDF=Y")</f>
        <v>—</v>
      </c>
      <c r="O203" s="13">
        <f>_xll.BDH("GILD US Equity","ARDR_ADDITIONS_TAX_POS_CUR_YR","FQ4 2021","FQ4 2021","Currency=USD","Period=FQ","BEST_FPERIOD_OVERRIDE=FQ","FILING_STATUS=MR","SCALING_FORMAT=MLN","Sort=A","Dates=H","DateFormat=P","Fill=—","Direction=H","UseDPDF=Y")</f>
        <v>147</v>
      </c>
      <c r="P203" s="13" t="str">
        <f>_xll.BDH("GILD US Equity","ARDR_ADDITIONS_TAX_POS_CUR_YR","FQ1 2022","FQ1 2022","Currency=USD","Period=FQ","BEST_FPERIOD_OVERRIDE=FQ","FILING_STATUS=MR","SCALING_FORMAT=MLN","Sort=A","Dates=H","DateFormat=P","Fill=—","Direction=H","UseDPDF=Y")</f>
        <v>—</v>
      </c>
      <c r="Q203" s="13" t="str">
        <f>_xll.BDH("GILD US Equity","ARDR_ADDITIONS_TAX_POS_CUR_YR","FQ2 2022","FQ2 2022","Currency=USD","Period=FQ","BEST_FPERIOD_OVERRIDE=FQ","FILING_STATUS=MR","SCALING_FORMAT=MLN","Sort=A","Dates=H","DateFormat=P","Fill=—","Direction=H","UseDPDF=Y")</f>
        <v>—</v>
      </c>
      <c r="R203" s="13" t="str">
        <f>_xll.BDH("GILD US Equity","ARDR_ADDITIONS_TAX_POS_CUR_YR","FQ3 2022","FQ3 2022","Currency=USD","Period=FQ","BEST_FPERIOD_OVERRIDE=FQ","FILING_STATUS=MR","SCALING_FORMAT=MLN","Sort=A","Dates=H","DateFormat=P","Fill=—","Direction=H","UseDPDF=Y")</f>
        <v>—</v>
      </c>
      <c r="S203" s="13">
        <f>_xll.BDH("GILD US Equity","ARDR_ADDITIONS_TAX_POS_CUR_YR","FQ4 2022","FQ4 2022","Currency=USD","Period=FQ","BEST_FPERIOD_OVERRIDE=FQ","FILING_STATUS=MR","SCALING_FORMAT=MLN","Sort=A","Dates=H","DateFormat=P","Fill=—","Direction=H","UseDPDF=Y")</f>
        <v>129</v>
      </c>
      <c r="T203" s="13" t="str">
        <f>_xll.BDH("GILD US Equity","ARDR_ADDITIONS_TAX_POS_CUR_YR","FQ1 2023","FQ1 2023","Currency=USD","Period=FQ","BEST_FPERIOD_OVERRIDE=FQ","FILING_STATUS=MR","SCALING_FORMAT=MLN","Sort=A","Dates=H","DateFormat=P","Fill=—","Direction=H","UseDPDF=Y")</f>
        <v>—</v>
      </c>
      <c r="U203" s="13" t="str">
        <f>_xll.BDH("GILD US Equity","ARDR_ADDITIONS_TAX_POS_CUR_YR","FQ2 2023","FQ2 2023","Currency=USD","Period=FQ","BEST_FPERIOD_OVERRIDE=FQ","FILING_STATUS=MR","SCALING_FORMAT=MLN","Sort=A","Dates=H","DateFormat=P","Fill=—","Direction=H","UseDPDF=Y")</f>
        <v>—</v>
      </c>
      <c r="V203" s="13" t="str">
        <f>_xll.BDH("GILD US Equity","ARDR_ADDITIONS_TAX_POS_CUR_YR","FQ3 2023","FQ3 2023","Currency=USD","Period=FQ","BEST_FPERIOD_OVERRIDE=FQ","FILING_STATUS=MR","SCALING_FORMAT=MLN","Sort=A","Dates=H","DateFormat=P","Fill=—","Direction=H","UseDPDF=Y")</f>
        <v>—</v>
      </c>
      <c r="W203" s="13">
        <f>_xll.BDH("GILD US Equity","ARDR_ADDITIONS_TAX_POS_CUR_YR","FQ4 2023","FQ4 2023","Currency=USD","Period=FQ","BEST_FPERIOD_OVERRIDE=FQ","FILING_STATUS=MR","SCALING_FORMAT=MLN","Sort=A","Dates=H","DateFormat=P","Fill=—","Direction=H","UseDPDF=Y")</f>
        <v>265</v>
      </c>
      <c r="X203" s="13" t="str">
        <f>_xll.BDH("GILD US Equity","ARDR_ADDITIONS_TAX_POS_CUR_YR","FQ1 2024","FQ1 2024","Currency=USD","Period=FQ","BEST_FPERIOD_OVERRIDE=FQ","FILING_STATUS=MR","SCALING_FORMAT=MLN","Sort=A","Dates=H","DateFormat=P","Fill=—","Direction=H","UseDPDF=Y")</f>
        <v>—</v>
      </c>
      <c r="Y203" s="13" t="str">
        <f>_xll.BDH("GILD US Equity","ARDR_ADDITIONS_TAX_POS_CUR_YR","FQ2 2024","FQ2 2024","Currency=USD","Period=FQ","BEST_FPERIOD_OVERRIDE=FQ","FILING_STATUS=MR","SCALING_FORMAT=MLN","Sort=A","Dates=H","DateFormat=P","Fill=—","Direction=H","UseDPDF=Y")</f>
        <v>—</v>
      </c>
      <c r="Z203" s="13" t="str">
        <f>_xll.BDH("GILD US Equity","ARDR_ADDITIONS_TAX_POS_CUR_YR","FQ3 2024","FQ3 2024","Currency=USD","Period=FQ","BEST_FPERIOD_OVERRIDE=FQ","FILING_STATUS=MR","SCALING_FORMAT=MLN","Sort=A","Dates=H","DateFormat=P","Fill=—","Direction=H","UseDPDF=Y")</f>
        <v>—</v>
      </c>
      <c r="AA203" s="13">
        <f>_xll.BDH("GILD US Equity","ARDR_ADDITIONS_TAX_POS_CUR_YR","FQ4 2024","FQ4 2024","Currency=USD","Period=FQ","BEST_FPERIOD_OVERRIDE=FQ","FILING_STATUS=MR","SCALING_FORMAT=MLN","Sort=A","Dates=H","DateFormat=P","Fill=—","Direction=H","UseDPDF=Y")</f>
        <v>743</v>
      </c>
    </row>
    <row r="204" spans="1:27" x14ac:dyDescent="0.25">
      <c r="A204" s="10" t="s">
        <v>1265</v>
      </c>
      <c r="B204" s="10" t="s">
        <v>1266</v>
      </c>
      <c r="C204" s="13" t="str">
        <f>_xll.BDH("GILD US Equity","ARDR_ADDITIONS_TAX_POS_PR_YR","FQ4 2018","FQ4 2018","Currency=USD","Period=FQ","BEST_FPERIOD_OVERRIDE=FQ","FILING_STATUS=MR","SCALING_FORMAT=MLN","Sort=A","Dates=H","DateFormat=P","Fill=—","Direction=H","UseDPDF=Y")</f>
        <v>—</v>
      </c>
      <c r="D204" s="13" t="str">
        <f>_xll.BDH("GILD US Equity","ARDR_ADDITIONS_TAX_POS_PR_YR","FQ1 2019","FQ1 2019","Currency=USD","Period=FQ","BEST_FPERIOD_OVERRIDE=FQ","FILING_STATUS=MR","SCALING_FORMAT=MLN","Sort=A","Dates=H","DateFormat=P","Fill=—","Direction=H","UseDPDF=Y")</f>
        <v>—</v>
      </c>
      <c r="E204" s="13" t="str">
        <f>_xll.BDH("GILD US Equity","ARDR_ADDITIONS_TAX_POS_PR_YR","FQ2 2019","FQ2 2019","Currency=USD","Period=FQ","BEST_FPERIOD_OVERRIDE=FQ","FILING_STATUS=MR","SCALING_FORMAT=MLN","Sort=A","Dates=H","DateFormat=P","Fill=—","Direction=H","UseDPDF=Y")</f>
        <v>—</v>
      </c>
      <c r="F204" s="13" t="str">
        <f>_xll.BDH("GILD US Equity","ARDR_ADDITIONS_TAX_POS_PR_YR","FQ3 2019","FQ3 2019","Currency=USD","Period=FQ","BEST_FPERIOD_OVERRIDE=FQ","FILING_STATUS=MR","SCALING_FORMAT=MLN","Sort=A","Dates=H","DateFormat=P","Fill=—","Direction=H","UseDPDF=Y")</f>
        <v>—</v>
      </c>
      <c r="G204" s="13">
        <f>_xll.BDH("GILD US Equity","ARDR_ADDITIONS_TAX_POS_PR_YR","FQ4 2019","FQ4 2019","Currency=USD","Period=FQ","BEST_FPERIOD_OVERRIDE=FQ","FILING_STATUS=MR","SCALING_FORMAT=MLN","Sort=A","Dates=H","DateFormat=P","Fill=—","Direction=H","UseDPDF=Y")</f>
        <v>405</v>
      </c>
      <c r="H204" s="13" t="str">
        <f>_xll.BDH("GILD US Equity","ARDR_ADDITIONS_TAX_POS_PR_YR","FQ1 2020","FQ1 2020","Currency=USD","Period=FQ","BEST_FPERIOD_OVERRIDE=FQ","FILING_STATUS=MR","SCALING_FORMAT=MLN","Sort=A","Dates=H","DateFormat=P","Fill=—","Direction=H","UseDPDF=Y")</f>
        <v>—</v>
      </c>
      <c r="I204" s="13" t="str">
        <f>_xll.BDH("GILD US Equity","ARDR_ADDITIONS_TAX_POS_PR_YR","FQ2 2020","FQ2 2020","Currency=USD","Period=FQ","BEST_FPERIOD_OVERRIDE=FQ","FILING_STATUS=MR","SCALING_FORMAT=MLN","Sort=A","Dates=H","DateFormat=P","Fill=—","Direction=H","UseDPDF=Y")</f>
        <v>—</v>
      </c>
      <c r="J204" s="13" t="str">
        <f>_xll.BDH("GILD US Equity","ARDR_ADDITIONS_TAX_POS_PR_YR","FQ3 2020","FQ3 2020","Currency=USD","Period=FQ","BEST_FPERIOD_OVERRIDE=FQ","FILING_STATUS=MR","SCALING_FORMAT=MLN","Sort=A","Dates=H","DateFormat=P","Fill=—","Direction=H","UseDPDF=Y")</f>
        <v>—</v>
      </c>
      <c r="K204" s="13">
        <f>_xll.BDH("GILD US Equity","ARDR_ADDITIONS_TAX_POS_PR_YR","FQ4 2020","FQ4 2020","Currency=USD","Period=FQ","BEST_FPERIOD_OVERRIDE=FQ","FILING_STATUS=MR","SCALING_FORMAT=MLN","Sort=A","Dates=H","DateFormat=P","Fill=—","Direction=H","UseDPDF=Y")</f>
        <v>398</v>
      </c>
      <c r="L204" s="13" t="str">
        <f>_xll.BDH("GILD US Equity","ARDR_ADDITIONS_TAX_POS_PR_YR","FQ1 2021","FQ1 2021","Currency=USD","Period=FQ","BEST_FPERIOD_OVERRIDE=FQ","FILING_STATUS=MR","SCALING_FORMAT=MLN","Sort=A","Dates=H","DateFormat=P","Fill=—","Direction=H","UseDPDF=Y")</f>
        <v>—</v>
      </c>
      <c r="M204" s="13" t="str">
        <f>_xll.BDH("GILD US Equity","ARDR_ADDITIONS_TAX_POS_PR_YR","FQ2 2021","FQ2 2021","Currency=USD","Period=FQ","BEST_FPERIOD_OVERRIDE=FQ","FILING_STATUS=MR","SCALING_FORMAT=MLN","Sort=A","Dates=H","DateFormat=P","Fill=—","Direction=H","UseDPDF=Y")</f>
        <v>—</v>
      </c>
      <c r="N204" s="13" t="str">
        <f>_xll.BDH("GILD US Equity","ARDR_ADDITIONS_TAX_POS_PR_YR","FQ3 2021","FQ3 2021","Currency=USD","Period=FQ","BEST_FPERIOD_OVERRIDE=FQ","FILING_STATUS=MR","SCALING_FORMAT=MLN","Sort=A","Dates=H","DateFormat=P","Fill=—","Direction=H","UseDPDF=Y")</f>
        <v>—</v>
      </c>
      <c r="O204" s="13">
        <f>_xll.BDH("GILD US Equity","ARDR_ADDITIONS_TAX_POS_PR_YR","FQ4 2021","FQ4 2021","Currency=USD","Period=FQ","BEST_FPERIOD_OVERRIDE=FQ","FILING_STATUS=MR","SCALING_FORMAT=MLN","Sort=A","Dates=H","DateFormat=P","Fill=—","Direction=H","UseDPDF=Y")</f>
        <v>161</v>
      </c>
      <c r="P204" s="13" t="str">
        <f>_xll.BDH("GILD US Equity","ARDR_ADDITIONS_TAX_POS_PR_YR","FQ1 2022","FQ1 2022","Currency=USD","Period=FQ","BEST_FPERIOD_OVERRIDE=FQ","FILING_STATUS=MR","SCALING_FORMAT=MLN","Sort=A","Dates=H","DateFormat=P","Fill=—","Direction=H","UseDPDF=Y")</f>
        <v>—</v>
      </c>
      <c r="Q204" s="13" t="str">
        <f>_xll.BDH("GILD US Equity","ARDR_ADDITIONS_TAX_POS_PR_YR","FQ2 2022","FQ2 2022","Currency=USD","Period=FQ","BEST_FPERIOD_OVERRIDE=FQ","FILING_STATUS=MR","SCALING_FORMAT=MLN","Sort=A","Dates=H","DateFormat=P","Fill=—","Direction=H","UseDPDF=Y")</f>
        <v>—</v>
      </c>
      <c r="R204" s="13" t="str">
        <f>_xll.BDH("GILD US Equity","ARDR_ADDITIONS_TAX_POS_PR_YR","FQ3 2022","FQ3 2022","Currency=USD","Period=FQ","BEST_FPERIOD_OVERRIDE=FQ","FILING_STATUS=MR","SCALING_FORMAT=MLN","Sort=A","Dates=H","DateFormat=P","Fill=—","Direction=H","UseDPDF=Y")</f>
        <v>—</v>
      </c>
      <c r="S204" s="13">
        <f>_xll.BDH("GILD US Equity","ARDR_ADDITIONS_TAX_POS_PR_YR","FQ4 2022","FQ4 2022","Currency=USD","Period=FQ","BEST_FPERIOD_OVERRIDE=FQ","FILING_STATUS=MR","SCALING_FORMAT=MLN","Sort=A","Dates=H","DateFormat=P","Fill=—","Direction=H","UseDPDF=Y")</f>
        <v>225</v>
      </c>
      <c r="T204" s="13" t="str">
        <f>_xll.BDH("GILD US Equity","ARDR_ADDITIONS_TAX_POS_PR_YR","FQ1 2023","FQ1 2023","Currency=USD","Period=FQ","BEST_FPERIOD_OVERRIDE=FQ","FILING_STATUS=MR","SCALING_FORMAT=MLN","Sort=A","Dates=H","DateFormat=P","Fill=—","Direction=H","UseDPDF=Y")</f>
        <v>—</v>
      </c>
      <c r="U204" s="13" t="str">
        <f>_xll.BDH("GILD US Equity","ARDR_ADDITIONS_TAX_POS_PR_YR","FQ2 2023","FQ2 2023","Currency=USD","Period=FQ","BEST_FPERIOD_OVERRIDE=FQ","FILING_STATUS=MR","SCALING_FORMAT=MLN","Sort=A","Dates=H","DateFormat=P","Fill=—","Direction=H","UseDPDF=Y")</f>
        <v>—</v>
      </c>
      <c r="V204" s="13" t="str">
        <f>_xll.BDH("GILD US Equity","ARDR_ADDITIONS_TAX_POS_PR_YR","FQ3 2023","FQ3 2023","Currency=USD","Period=FQ","BEST_FPERIOD_OVERRIDE=FQ","FILING_STATUS=MR","SCALING_FORMAT=MLN","Sort=A","Dates=H","DateFormat=P","Fill=—","Direction=H","UseDPDF=Y")</f>
        <v>—</v>
      </c>
      <c r="W204" s="13">
        <f>_xll.BDH("GILD US Equity","ARDR_ADDITIONS_TAX_POS_PR_YR","FQ4 2023","FQ4 2023","Currency=USD","Period=FQ","BEST_FPERIOD_OVERRIDE=FQ","FILING_STATUS=MR","SCALING_FORMAT=MLN","Sort=A","Dates=H","DateFormat=P","Fill=—","Direction=H","UseDPDF=Y")</f>
        <v>109</v>
      </c>
      <c r="X204" s="13" t="str">
        <f>_xll.BDH("GILD US Equity","ARDR_ADDITIONS_TAX_POS_PR_YR","FQ1 2024","FQ1 2024","Currency=USD","Period=FQ","BEST_FPERIOD_OVERRIDE=FQ","FILING_STATUS=MR","SCALING_FORMAT=MLN","Sort=A","Dates=H","DateFormat=P","Fill=—","Direction=H","UseDPDF=Y")</f>
        <v>—</v>
      </c>
      <c r="Y204" s="13" t="str">
        <f>_xll.BDH("GILD US Equity","ARDR_ADDITIONS_TAX_POS_PR_YR","FQ2 2024","FQ2 2024","Currency=USD","Period=FQ","BEST_FPERIOD_OVERRIDE=FQ","FILING_STATUS=MR","SCALING_FORMAT=MLN","Sort=A","Dates=H","DateFormat=P","Fill=—","Direction=H","UseDPDF=Y")</f>
        <v>—</v>
      </c>
      <c r="Z204" s="13" t="str">
        <f>_xll.BDH("GILD US Equity","ARDR_ADDITIONS_TAX_POS_PR_YR","FQ3 2024","FQ3 2024","Currency=USD","Period=FQ","BEST_FPERIOD_OVERRIDE=FQ","FILING_STATUS=MR","SCALING_FORMAT=MLN","Sort=A","Dates=H","DateFormat=P","Fill=—","Direction=H","UseDPDF=Y")</f>
        <v>—</v>
      </c>
      <c r="AA204" s="13">
        <f>_xll.BDH("GILD US Equity","ARDR_ADDITIONS_TAX_POS_PR_YR","FQ4 2024","FQ4 2024","Currency=USD","Period=FQ","BEST_FPERIOD_OVERRIDE=FQ","FILING_STATUS=MR","SCALING_FORMAT=MLN","Sort=A","Dates=H","DateFormat=P","Fill=—","Direction=H","UseDPDF=Y")</f>
        <v>190</v>
      </c>
    </row>
    <row r="205" spans="1:27" x14ac:dyDescent="0.25">
      <c r="A205" s="10" t="s">
        <v>1267</v>
      </c>
      <c r="B205" s="10" t="s">
        <v>1268</v>
      </c>
      <c r="C205" s="13" t="str">
        <f>_xll.BDH("GILD US Equity","ARDR_REDUCTIONS_TAX_POS_PR_YR","FQ4 2018","FQ4 2018","Currency=USD","Period=FQ","BEST_FPERIOD_OVERRIDE=FQ","FILING_STATUS=MR","SCALING_FORMAT=MLN","Sort=A","Dates=H","DateFormat=P","Fill=—","Direction=H","UseDPDF=Y")</f>
        <v>—</v>
      </c>
      <c r="D205" s="13" t="str">
        <f>_xll.BDH("GILD US Equity","ARDR_REDUCTIONS_TAX_POS_PR_YR","FQ1 2019","FQ1 2019","Currency=USD","Period=FQ","BEST_FPERIOD_OVERRIDE=FQ","FILING_STATUS=MR","SCALING_FORMAT=MLN","Sort=A","Dates=H","DateFormat=P","Fill=—","Direction=H","UseDPDF=Y")</f>
        <v>—</v>
      </c>
      <c r="E205" s="13" t="str">
        <f>_xll.BDH("GILD US Equity","ARDR_REDUCTIONS_TAX_POS_PR_YR","FQ2 2019","FQ2 2019","Currency=USD","Period=FQ","BEST_FPERIOD_OVERRIDE=FQ","FILING_STATUS=MR","SCALING_FORMAT=MLN","Sort=A","Dates=H","DateFormat=P","Fill=—","Direction=H","UseDPDF=Y")</f>
        <v>—</v>
      </c>
      <c r="F205" s="13" t="str">
        <f>_xll.BDH("GILD US Equity","ARDR_REDUCTIONS_TAX_POS_PR_YR","FQ3 2019","FQ3 2019","Currency=USD","Period=FQ","BEST_FPERIOD_OVERRIDE=FQ","FILING_STATUS=MR","SCALING_FORMAT=MLN","Sort=A","Dates=H","DateFormat=P","Fill=—","Direction=H","UseDPDF=Y")</f>
        <v>—</v>
      </c>
      <c r="G205" s="13">
        <f>_xll.BDH("GILD US Equity","ARDR_REDUCTIONS_TAX_POS_PR_YR","FQ4 2019","FQ4 2019","Currency=USD","Period=FQ","BEST_FPERIOD_OVERRIDE=FQ","FILING_STATUS=MR","SCALING_FORMAT=MLN","Sort=A","Dates=H","DateFormat=P","Fill=—","Direction=H","UseDPDF=Y")</f>
        <v>0</v>
      </c>
      <c r="H205" s="13" t="str">
        <f>_xll.BDH("GILD US Equity","ARDR_REDUCTIONS_TAX_POS_PR_YR","FQ1 2020","FQ1 2020","Currency=USD","Period=FQ","BEST_FPERIOD_OVERRIDE=FQ","FILING_STATUS=MR","SCALING_FORMAT=MLN","Sort=A","Dates=H","DateFormat=P","Fill=—","Direction=H","UseDPDF=Y")</f>
        <v>—</v>
      </c>
      <c r="I205" s="13" t="str">
        <f>_xll.BDH("GILD US Equity","ARDR_REDUCTIONS_TAX_POS_PR_YR","FQ2 2020","FQ2 2020","Currency=USD","Period=FQ","BEST_FPERIOD_OVERRIDE=FQ","FILING_STATUS=MR","SCALING_FORMAT=MLN","Sort=A","Dates=H","DateFormat=P","Fill=—","Direction=H","UseDPDF=Y")</f>
        <v>—</v>
      </c>
      <c r="J205" s="13" t="str">
        <f>_xll.BDH("GILD US Equity","ARDR_REDUCTIONS_TAX_POS_PR_YR","FQ3 2020","FQ3 2020","Currency=USD","Period=FQ","BEST_FPERIOD_OVERRIDE=FQ","FILING_STATUS=MR","SCALING_FORMAT=MLN","Sort=A","Dates=H","DateFormat=P","Fill=—","Direction=H","UseDPDF=Y")</f>
        <v>—</v>
      </c>
      <c r="K205" s="13">
        <f>_xll.BDH("GILD US Equity","ARDR_REDUCTIONS_TAX_POS_PR_YR","FQ4 2020","FQ4 2020","Currency=USD","Period=FQ","BEST_FPERIOD_OVERRIDE=FQ","FILING_STATUS=MR","SCALING_FORMAT=MLN","Sort=A","Dates=H","DateFormat=P","Fill=—","Direction=H","UseDPDF=Y")</f>
        <v>-481</v>
      </c>
      <c r="L205" s="13" t="str">
        <f>_xll.BDH("GILD US Equity","ARDR_REDUCTIONS_TAX_POS_PR_YR","FQ1 2021","FQ1 2021","Currency=USD","Period=FQ","BEST_FPERIOD_OVERRIDE=FQ","FILING_STATUS=MR","SCALING_FORMAT=MLN","Sort=A","Dates=H","DateFormat=P","Fill=—","Direction=H","UseDPDF=Y")</f>
        <v>—</v>
      </c>
      <c r="M205" s="13" t="str">
        <f>_xll.BDH("GILD US Equity","ARDR_REDUCTIONS_TAX_POS_PR_YR","FQ2 2021","FQ2 2021","Currency=USD","Period=FQ","BEST_FPERIOD_OVERRIDE=FQ","FILING_STATUS=MR","SCALING_FORMAT=MLN","Sort=A","Dates=H","DateFormat=P","Fill=—","Direction=H","UseDPDF=Y")</f>
        <v>—</v>
      </c>
      <c r="N205" s="13" t="str">
        <f>_xll.BDH("GILD US Equity","ARDR_REDUCTIONS_TAX_POS_PR_YR","FQ3 2021","FQ3 2021","Currency=USD","Period=FQ","BEST_FPERIOD_OVERRIDE=FQ","FILING_STATUS=MR","SCALING_FORMAT=MLN","Sort=A","Dates=H","DateFormat=P","Fill=—","Direction=H","UseDPDF=Y")</f>
        <v>—</v>
      </c>
      <c r="O205" s="13">
        <f>_xll.BDH("GILD US Equity","ARDR_REDUCTIONS_TAX_POS_PR_YR","FQ4 2021","FQ4 2021","Currency=USD","Period=FQ","BEST_FPERIOD_OVERRIDE=FQ","FILING_STATUS=MR","SCALING_FORMAT=MLN","Sort=A","Dates=H","DateFormat=P","Fill=—","Direction=H","UseDPDF=Y")</f>
        <v>-179</v>
      </c>
      <c r="P205" s="13" t="str">
        <f>_xll.BDH("GILD US Equity","ARDR_REDUCTIONS_TAX_POS_PR_YR","FQ1 2022","FQ1 2022","Currency=USD","Period=FQ","BEST_FPERIOD_OVERRIDE=FQ","FILING_STATUS=MR","SCALING_FORMAT=MLN","Sort=A","Dates=H","DateFormat=P","Fill=—","Direction=H","UseDPDF=Y")</f>
        <v>—</v>
      </c>
      <c r="Q205" s="13" t="str">
        <f>_xll.BDH("GILD US Equity","ARDR_REDUCTIONS_TAX_POS_PR_YR","FQ2 2022","FQ2 2022","Currency=USD","Period=FQ","BEST_FPERIOD_OVERRIDE=FQ","FILING_STATUS=MR","SCALING_FORMAT=MLN","Sort=A","Dates=H","DateFormat=P","Fill=—","Direction=H","UseDPDF=Y")</f>
        <v>—</v>
      </c>
      <c r="R205" s="13" t="str">
        <f>_xll.BDH("GILD US Equity","ARDR_REDUCTIONS_TAX_POS_PR_YR","FQ3 2022","FQ3 2022","Currency=USD","Period=FQ","BEST_FPERIOD_OVERRIDE=FQ","FILING_STATUS=MR","SCALING_FORMAT=MLN","Sort=A","Dates=H","DateFormat=P","Fill=—","Direction=H","UseDPDF=Y")</f>
        <v>—</v>
      </c>
      <c r="S205" s="13">
        <f>_xll.BDH("GILD US Equity","ARDR_REDUCTIONS_TAX_POS_PR_YR","FQ4 2022","FQ4 2022","Currency=USD","Period=FQ","BEST_FPERIOD_OVERRIDE=FQ","FILING_STATUS=MR","SCALING_FORMAT=MLN","Sort=A","Dates=H","DateFormat=P","Fill=—","Direction=H","UseDPDF=Y")</f>
        <v>-31</v>
      </c>
      <c r="T205" s="13" t="str">
        <f>_xll.BDH("GILD US Equity","ARDR_REDUCTIONS_TAX_POS_PR_YR","FQ1 2023","FQ1 2023","Currency=USD","Period=FQ","BEST_FPERIOD_OVERRIDE=FQ","FILING_STATUS=MR","SCALING_FORMAT=MLN","Sort=A","Dates=H","DateFormat=P","Fill=—","Direction=H","UseDPDF=Y")</f>
        <v>—</v>
      </c>
      <c r="U205" s="13" t="str">
        <f>_xll.BDH("GILD US Equity","ARDR_REDUCTIONS_TAX_POS_PR_YR","FQ2 2023","FQ2 2023","Currency=USD","Period=FQ","BEST_FPERIOD_OVERRIDE=FQ","FILING_STATUS=MR","SCALING_FORMAT=MLN","Sort=A","Dates=H","DateFormat=P","Fill=—","Direction=H","UseDPDF=Y")</f>
        <v>—</v>
      </c>
      <c r="V205" s="13" t="str">
        <f>_xll.BDH("GILD US Equity","ARDR_REDUCTIONS_TAX_POS_PR_YR","FQ3 2023","FQ3 2023","Currency=USD","Period=FQ","BEST_FPERIOD_OVERRIDE=FQ","FILING_STATUS=MR","SCALING_FORMAT=MLN","Sort=A","Dates=H","DateFormat=P","Fill=—","Direction=H","UseDPDF=Y")</f>
        <v>—</v>
      </c>
      <c r="W205" s="13">
        <f>_xll.BDH("GILD US Equity","ARDR_REDUCTIONS_TAX_POS_PR_YR","FQ4 2023","FQ4 2023","Currency=USD","Period=FQ","BEST_FPERIOD_OVERRIDE=FQ","FILING_STATUS=MR","SCALING_FORMAT=MLN","Sort=A","Dates=H","DateFormat=P","Fill=—","Direction=H","UseDPDF=Y")</f>
        <v>-315</v>
      </c>
      <c r="X205" s="13" t="str">
        <f>_xll.BDH("GILD US Equity","ARDR_REDUCTIONS_TAX_POS_PR_YR","FQ1 2024","FQ1 2024","Currency=USD","Period=FQ","BEST_FPERIOD_OVERRIDE=FQ","FILING_STATUS=MR","SCALING_FORMAT=MLN","Sort=A","Dates=H","DateFormat=P","Fill=—","Direction=H","UseDPDF=Y")</f>
        <v>—</v>
      </c>
      <c r="Y205" s="13" t="str">
        <f>_xll.BDH("GILD US Equity","ARDR_REDUCTIONS_TAX_POS_PR_YR","FQ2 2024","FQ2 2024","Currency=USD","Period=FQ","BEST_FPERIOD_OVERRIDE=FQ","FILING_STATUS=MR","SCALING_FORMAT=MLN","Sort=A","Dates=H","DateFormat=P","Fill=—","Direction=H","UseDPDF=Y")</f>
        <v>—</v>
      </c>
      <c r="Z205" s="13" t="str">
        <f>_xll.BDH("GILD US Equity","ARDR_REDUCTIONS_TAX_POS_PR_YR","FQ3 2024","FQ3 2024","Currency=USD","Period=FQ","BEST_FPERIOD_OVERRIDE=FQ","FILING_STATUS=MR","SCALING_FORMAT=MLN","Sort=A","Dates=H","DateFormat=P","Fill=—","Direction=H","UseDPDF=Y")</f>
        <v>—</v>
      </c>
      <c r="AA205" s="13">
        <f>_xll.BDH("GILD US Equity","ARDR_REDUCTIONS_TAX_POS_PR_YR","FQ4 2024","FQ4 2024","Currency=USD","Period=FQ","BEST_FPERIOD_OVERRIDE=FQ","FILING_STATUS=MR","SCALING_FORMAT=MLN","Sort=A","Dates=H","DateFormat=P","Fill=—","Direction=H","UseDPDF=Y")</f>
        <v>-298</v>
      </c>
    </row>
    <row r="206" spans="1:27" x14ac:dyDescent="0.25">
      <c r="A206" s="10" t="s">
        <v>1269</v>
      </c>
      <c r="B206" s="10" t="s">
        <v>1270</v>
      </c>
      <c r="C206" s="13" t="str">
        <f>_xll.BDH("GILD US Equity","ARDR_SETTLEMENTS","FQ4 2018","FQ4 2018","Currency=USD","Period=FQ","BEST_FPERIOD_OVERRIDE=FQ","FILING_STATUS=MR","SCALING_FORMAT=MLN","Sort=A","Dates=H","DateFormat=P","Fill=—","Direction=H","UseDPDF=Y")</f>
        <v>—</v>
      </c>
      <c r="D206" s="13" t="str">
        <f>_xll.BDH("GILD US Equity","ARDR_SETTLEMENTS","FQ1 2019","FQ1 2019","Currency=USD","Period=FQ","BEST_FPERIOD_OVERRIDE=FQ","FILING_STATUS=MR","SCALING_FORMAT=MLN","Sort=A","Dates=H","DateFormat=P","Fill=—","Direction=H","UseDPDF=Y")</f>
        <v>—</v>
      </c>
      <c r="E206" s="13" t="str">
        <f>_xll.BDH("GILD US Equity","ARDR_SETTLEMENTS","FQ2 2019","FQ2 2019","Currency=USD","Period=FQ","BEST_FPERIOD_OVERRIDE=FQ","FILING_STATUS=MR","SCALING_FORMAT=MLN","Sort=A","Dates=H","DateFormat=P","Fill=—","Direction=H","UseDPDF=Y")</f>
        <v>—</v>
      </c>
      <c r="F206" s="13" t="str">
        <f>_xll.BDH("GILD US Equity","ARDR_SETTLEMENTS","FQ3 2019","FQ3 2019","Currency=USD","Period=FQ","BEST_FPERIOD_OVERRIDE=FQ","FILING_STATUS=MR","SCALING_FORMAT=MLN","Sort=A","Dates=H","DateFormat=P","Fill=—","Direction=H","UseDPDF=Y")</f>
        <v>—</v>
      </c>
      <c r="G206" s="13">
        <f>_xll.BDH("GILD US Equity","ARDR_SETTLEMENTS","FQ4 2019","FQ4 2019","Currency=USD","Period=FQ","BEST_FPERIOD_OVERRIDE=FQ","FILING_STATUS=MR","SCALING_FORMAT=MLN","Sort=A","Dates=H","DateFormat=P","Fill=—","Direction=H","UseDPDF=Y")</f>
        <v>-104</v>
      </c>
      <c r="H206" s="13" t="str">
        <f>_xll.BDH("GILD US Equity","ARDR_SETTLEMENTS","FQ1 2020","FQ1 2020","Currency=USD","Period=FQ","BEST_FPERIOD_OVERRIDE=FQ","FILING_STATUS=MR","SCALING_FORMAT=MLN","Sort=A","Dates=H","DateFormat=P","Fill=—","Direction=H","UseDPDF=Y")</f>
        <v>—</v>
      </c>
      <c r="I206" s="13" t="str">
        <f>_xll.BDH("GILD US Equity","ARDR_SETTLEMENTS","FQ2 2020","FQ2 2020","Currency=USD","Period=FQ","BEST_FPERIOD_OVERRIDE=FQ","FILING_STATUS=MR","SCALING_FORMAT=MLN","Sort=A","Dates=H","DateFormat=P","Fill=—","Direction=H","UseDPDF=Y")</f>
        <v>—</v>
      </c>
      <c r="J206" s="13" t="str">
        <f>_xll.BDH("GILD US Equity","ARDR_SETTLEMENTS","FQ3 2020","FQ3 2020","Currency=USD","Period=FQ","BEST_FPERIOD_OVERRIDE=FQ","FILING_STATUS=MR","SCALING_FORMAT=MLN","Sort=A","Dates=H","DateFormat=P","Fill=—","Direction=H","UseDPDF=Y")</f>
        <v>—</v>
      </c>
      <c r="K206" s="13">
        <f>_xll.BDH("GILD US Equity","ARDR_SETTLEMENTS","FQ4 2020","FQ4 2020","Currency=USD","Period=FQ","BEST_FPERIOD_OVERRIDE=FQ","FILING_STATUS=MR","SCALING_FORMAT=MLN","Sort=A","Dates=H","DateFormat=P","Fill=—","Direction=H","UseDPDF=Y")</f>
        <v>-454</v>
      </c>
      <c r="L206" s="13" t="str">
        <f>_xll.BDH("GILD US Equity","ARDR_SETTLEMENTS","FQ1 2021","FQ1 2021","Currency=USD","Period=FQ","BEST_FPERIOD_OVERRIDE=FQ","FILING_STATUS=MR","SCALING_FORMAT=MLN","Sort=A","Dates=H","DateFormat=P","Fill=—","Direction=H","UseDPDF=Y")</f>
        <v>—</v>
      </c>
      <c r="M206" s="13" t="str">
        <f>_xll.BDH("GILD US Equity","ARDR_SETTLEMENTS","FQ2 2021","FQ2 2021","Currency=USD","Period=FQ","BEST_FPERIOD_OVERRIDE=FQ","FILING_STATUS=MR","SCALING_FORMAT=MLN","Sort=A","Dates=H","DateFormat=P","Fill=—","Direction=H","UseDPDF=Y")</f>
        <v>—</v>
      </c>
      <c r="N206" s="13" t="str">
        <f>_xll.BDH("GILD US Equity","ARDR_SETTLEMENTS","FQ3 2021","FQ3 2021","Currency=USD","Period=FQ","BEST_FPERIOD_OVERRIDE=FQ","FILING_STATUS=MR","SCALING_FORMAT=MLN","Sort=A","Dates=H","DateFormat=P","Fill=—","Direction=H","UseDPDF=Y")</f>
        <v>—</v>
      </c>
      <c r="O206" s="13">
        <f>_xll.BDH("GILD US Equity","ARDR_SETTLEMENTS","FQ4 2021","FQ4 2021","Currency=USD","Period=FQ","BEST_FPERIOD_OVERRIDE=FQ","FILING_STATUS=MR","SCALING_FORMAT=MLN","Sort=A","Dates=H","DateFormat=P","Fill=—","Direction=H","UseDPDF=Y")</f>
        <v>-28</v>
      </c>
      <c r="P206" s="13" t="str">
        <f>_xll.BDH("GILD US Equity","ARDR_SETTLEMENTS","FQ1 2022","FQ1 2022","Currency=USD","Period=FQ","BEST_FPERIOD_OVERRIDE=FQ","FILING_STATUS=MR","SCALING_FORMAT=MLN","Sort=A","Dates=H","DateFormat=P","Fill=—","Direction=H","UseDPDF=Y")</f>
        <v>—</v>
      </c>
      <c r="Q206" s="13" t="str">
        <f>_xll.BDH("GILD US Equity","ARDR_SETTLEMENTS","FQ2 2022","FQ2 2022","Currency=USD","Period=FQ","BEST_FPERIOD_OVERRIDE=FQ","FILING_STATUS=MR","SCALING_FORMAT=MLN","Sort=A","Dates=H","DateFormat=P","Fill=—","Direction=H","UseDPDF=Y")</f>
        <v>—</v>
      </c>
      <c r="R206" s="13" t="str">
        <f>_xll.BDH("GILD US Equity","ARDR_SETTLEMENTS","FQ3 2022","FQ3 2022","Currency=USD","Period=FQ","BEST_FPERIOD_OVERRIDE=FQ","FILING_STATUS=MR","SCALING_FORMAT=MLN","Sort=A","Dates=H","DateFormat=P","Fill=—","Direction=H","UseDPDF=Y")</f>
        <v>—</v>
      </c>
      <c r="S206" s="13">
        <f>_xll.BDH("GILD US Equity","ARDR_SETTLEMENTS","FQ4 2022","FQ4 2022","Currency=USD","Period=FQ","BEST_FPERIOD_OVERRIDE=FQ","FILING_STATUS=MR","SCALING_FORMAT=MLN","Sort=A","Dates=H","DateFormat=P","Fill=—","Direction=H","UseDPDF=Y")</f>
        <v>-10</v>
      </c>
      <c r="T206" s="13" t="str">
        <f>_xll.BDH("GILD US Equity","ARDR_SETTLEMENTS","FQ1 2023","FQ1 2023","Currency=USD","Period=FQ","BEST_FPERIOD_OVERRIDE=FQ","FILING_STATUS=MR","SCALING_FORMAT=MLN","Sort=A","Dates=H","DateFormat=P","Fill=—","Direction=H","UseDPDF=Y")</f>
        <v>—</v>
      </c>
      <c r="U206" s="13" t="str">
        <f>_xll.BDH("GILD US Equity","ARDR_SETTLEMENTS","FQ2 2023","FQ2 2023","Currency=USD","Period=FQ","BEST_FPERIOD_OVERRIDE=FQ","FILING_STATUS=MR","SCALING_FORMAT=MLN","Sort=A","Dates=H","DateFormat=P","Fill=—","Direction=H","UseDPDF=Y")</f>
        <v>—</v>
      </c>
      <c r="V206" s="13" t="str">
        <f>_xll.BDH("GILD US Equity","ARDR_SETTLEMENTS","FQ3 2023","FQ3 2023","Currency=USD","Period=FQ","BEST_FPERIOD_OVERRIDE=FQ","FILING_STATUS=MR","SCALING_FORMAT=MLN","Sort=A","Dates=H","DateFormat=P","Fill=—","Direction=H","UseDPDF=Y")</f>
        <v>—</v>
      </c>
      <c r="W206" s="13">
        <f>_xll.BDH("GILD US Equity","ARDR_SETTLEMENTS","FQ4 2023","FQ4 2023","Currency=USD","Period=FQ","BEST_FPERIOD_OVERRIDE=FQ","FILING_STATUS=MR","SCALING_FORMAT=MLN","Sort=A","Dates=H","DateFormat=P","Fill=—","Direction=H","UseDPDF=Y")</f>
        <v>-42</v>
      </c>
      <c r="X206" s="13" t="str">
        <f>_xll.BDH("GILD US Equity","ARDR_SETTLEMENTS","FQ1 2024","FQ1 2024","Currency=USD","Period=FQ","BEST_FPERIOD_OVERRIDE=FQ","FILING_STATUS=MR","SCALING_FORMAT=MLN","Sort=A","Dates=H","DateFormat=P","Fill=—","Direction=H","UseDPDF=Y")</f>
        <v>—</v>
      </c>
      <c r="Y206" s="13" t="str">
        <f>_xll.BDH("GILD US Equity","ARDR_SETTLEMENTS","FQ2 2024","FQ2 2024","Currency=USD","Period=FQ","BEST_FPERIOD_OVERRIDE=FQ","FILING_STATUS=MR","SCALING_FORMAT=MLN","Sort=A","Dates=H","DateFormat=P","Fill=—","Direction=H","UseDPDF=Y")</f>
        <v>—</v>
      </c>
      <c r="Z206" s="13" t="str">
        <f>_xll.BDH("GILD US Equity","ARDR_SETTLEMENTS","FQ3 2024","FQ3 2024","Currency=USD","Period=FQ","BEST_FPERIOD_OVERRIDE=FQ","FILING_STATUS=MR","SCALING_FORMAT=MLN","Sort=A","Dates=H","DateFormat=P","Fill=—","Direction=H","UseDPDF=Y")</f>
        <v>—</v>
      </c>
      <c r="AA206" s="13">
        <f>_xll.BDH("GILD US Equity","ARDR_SETTLEMENTS","FQ4 2024","FQ4 2024","Currency=USD","Period=FQ","BEST_FPERIOD_OVERRIDE=FQ","FILING_STATUS=MR","SCALING_FORMAT=MLN","Sort=A","Dates=H","DateFormat=P","Fill=—","Direction=H","UseDPDF=Y")</f>
        <v>-270</v>
      </c>
    </row>
    <row r="207" spans="1:27" x14ac:dyDescent="0.25">
      <c r="A207" s="10" t="s">
        <v>1271</v>
      </c>
      <c r="B207" s="10" t="s">
        <v>1272</v>
      </c>
      <c r="C207" s="13" t="str">
        <f>_xll.BDH("GILD US Equity","ARDR_STATUTES_LIMITATIONS_UTB","FQ4 2018","FQ4 2018","Currency=USD","Period=FQ","BEST_FPERIOD_OVERRIDE=FQ","FILING_STATUS=MR","SCALING_FORMAT=MLN","Sort=A","Dates=H","DateFormat=P","Fill=—","Direction=H","UseDPDF=Y")</f>
        <v>—</v>
      </c>
      <c r="D207" s="13" t="str">
        <f>_xll.BDH("GILD US Equity","ARDR_STATUTES_LIMITATIONS_UTB","FQ1 2019","FQ1 2019","Currency=USD","Period=FQ","BEST_FPERIOD_OVERRIDE=FQ","FILING_STATUS=MR","SCALING_FORMAT=MLN","Sort=A","Dates=H","DateFormat=P","Fill=—","Direction=H","UseDPDF=Y")</f>
        <v>—</v>
      </c>
      <c r="E207" s="13" t="str">
        <f>_xll.BDH("GILD US Equity","ARDR_STATUTES_LIMITATIONS_UTB","FQ2 2019","FQ2 2019","Currency=USD","Period=FQ","BEST_FPERIOD_OVERRIDE=FQ","FILING_STATUS=MR","SCALING_FORMAT=MLN","Sort=A","Dates=H","DateFormat=P","Fill=—","Direction=H","UseDPDF=Y")</f>
        <v>—</v>
      </c>
      <c r="F207" s="13" t="str">
        <f>_xll.BDH("GILD US Equity","ARDR_STATUTES_LIMITATIONS_UTB","FQ3 2019","FQ3 2019","Currency=USD","Period=FQ","BEST_FPERIOD_OVERRIDE=FQ","FILING_STATUS=MR","SCALING_FORMAT=MLN","Sort=A","Dates=H","DateFormat=P","Fill=—","Direction=H","UseDPDF=Y")</f>
        <v>—</v>
      </c>
      <c r="G207" s="13">
        <f>_xll.BDH("GILD US Equity","ARDR_STATUTES_LIMITATIONS_UTB","FQ4 2019","FQ4 2019","Currency=USD","Period=FQ","BEST_FPERIOD_OVERRIDE=FQ","FILING_STATUS=MR","SCALING_FORMAT=MLN","Sort=A","Dates=H","DateFormat=P","Fill=—","Direction=H","UseDPDF=Y")</f>
        <v>-3</v>
      </c>
      <c r="H207" s="13" t="str">
        <f>_xll.BDH("GILD US Equity","ARDR_STATUTES_LIMITATIONS_UTB","FQ1 2020","FQ1 2020","Currency=USD","Period=FQ","BEST_FPERIOD_OVERRIDE=FQ","FILING_STATUS=MR","SCALING_FORMAT=MLN","Sort=A","Dates=H","DateFormat=P","Fill=—","Direction=H","UseDPDF=Y")</f>
        <v>—</v>
      </c>
      <c r="I207" s="13" t="str">
        <f>_xll.BDH("GILD US Equity","ARDR_STATUTES_LIMITATIONS_UTB","FQ2 2020","FQ2 2020","Currency=USD","Period=FQ","BEST_FPERIOD_OVERRIDE=FQ","FILING_STATUS=MR","SCALING_FORMAT=MLN","Sort=A","Dates=H","DateFormat=P","Fill=—","Direction=H","UseDPDF=Y")</f>
        <v>—</v>
      </c>
      <c r="J207" s="13" t="str">
        <f>_xll.BDH("GILD US Equity","ARDR_STATUTES_LIMITATIONS_UTB","FQ3 2020","FQ3 2020","Currency=USD","Period=FQ","BEST_FPERIOD_OVERRIDE=FQ","FILING_STATUS=MR","SCALING_FORMAT=MLN","Sort=A","Dates=H","DateFormat=P","Fill=—","Direction=H","UseDPDF=Y")</f>
        <v>—</v>
      </c>
      <c r="K207" s="13">
        <f>_xll.BDH("GILD US Equity","ARDR_STATUTES_LIMITATIONS_UTB","FQ4 2020","FQ4 2020","Currency=USD","Period=FQ","BEST_FPERIOD_OVERRIDE=FQ","FILING_STATUS=MR","SCALING_FORMAT=MLN","Sort=A","Dates=H","DateFormat=P","Fill=—","Direction=H","UseDPDF=Y")</f>
        <v>-1</v>
      </c>
      <c r="L207" s="13" t="str">
        <f>_xll.BDH("GILD US Equity","ARDR_STATUTES_LIMITATIONS_UTB","FQ1 2021","FQ1 2021","Currency=USD","Period=FQ","BEST_FPERIOD_OVERRIDE=FQ","FILING_STATUS=MR","SCALING_FORMAT=MLN","Sort=A","Dates=H","DateFormat=P","Fill=—","Direction=H","UseDPDF=Y")</f>
        <v>—</v>
      </c>
      <c r="M207" s="13" t="str">
        <f>_xll.BDH("GILD US Equity","ARDR_STATUTES_LIMITATIONS_UTB","FQ2 2021","FQ2 2021","Currency=USD","Period=FQ","BEST_FPERIOD_OVERRIDE=FQ","FILING_STATUS=MR","SCALING_FORMAT=MLN","Sort=A","Dates=H","DateFormat=P","Fill=—","Direction=H","UseDPDF=Y")</f>
        <v>—</v>
      </c>
      <c r="N207" s="13" t="str">
        <f>_xll.BDH("GILD US Equity","ARDR_STATUTES_LIMITATIONS_UTB","FQ3 2021","FQ3 2021","Currency=USD","Period=FQ","BEST_FPERIOD_OVERRIDE=FQ","FILING_STATUS=MR","SCALING_FORMAT=MLN","Sort=A","Dates=H","DateFormat=P","Fill=—","Direction=H","UseDPDF=Y")</f>
        <v>—</v>
      </c>
      <c r="O207" s="13">
        <f>_xll.BDH("GILD US Equity","ARDR_STATUTES_LIMITATIONS_UTB","FQ4 2021","FQ4 2021","Currency=USD","Period=FQ","BEST_FPERIOD_OVERRIDE=FQ","FILING_STATUS=MR","SCALING_FORMAT=MLN","Sort=A","Dates=H","DateFormat=P","Fill=—","Direction=H","UseDPDF=Y")</f>
        <v>-2</v>
      </c>
      <c r="P207" s="13" t="str">
        <f>_xll.BDH("GILD US Equity","ARDR_STATUTES_LIMITATIONS_UTB","FQ1 2022","FQ1 2022","Currency=USD","Period=FQ","BEST_FPERIOD_OVERRIDE=FQ","FILING_STATUS=MR","SCALING_FORMAT=MLN","Sort=A","Dates=H","DateFormat=P","Fill=—","Direction=H","UseDPDF=Y")</f>
        <v>—</v>
      </c>
      <c r="Q207" s="13" t="str">
        <f>_xll.BDH("GILD US Equity","ARDR_STATUTES_LIMITATIONS_UTB","FQ2 2022","FQ2 2022","Currency=USD","Period=FQ","BEST_FPERIOD_OVERRIDE=FQ","FILING_STATUS=MR","SCALING_FORMAT=MLN","Sort=A","Dates=H","DateFormat=P","Fill=—","Direction=H","UseDPDF=Y")</f>
        <v>—</v>
      </c>
      <c r="R207" s="13" t="str">
        <f>_xll.BDH("GILD US Equity","ARDR_STATUTES_LIMITATIONS_UTB","FQ3 2022","FQ3 2022","Currency=USD","Period=FQ","BEST_FPERIOD_OVERRIDE=FQ","FILING_STATUS=MR","SCALING_FORMAT=MLN","Sort=A","Dates=H","DateFormat=P","Fill=—","Direction=H","UseDPDF=Y")</f>
        <v>—</v>
      </c>
      <c r="S207" s="13">
        <f>_xll.BDH("GILD US Equity","ARDR_STATUTES_LIMITATIONS_UTB","FQ4 2022","FQ4 2022","Currency=USD","Period=FQ","BEST_FPERIOD_OVERRIDE=FQ","FILING_STATUS=MR","SCALING_FORMAT=MLN","Sort=A","Dates=H","DateFormat=P","Fill=—","Direction=H","UseDPDF=Y")</f>
        <v>-68</v>
      </c>
      <c r="T207" s="13" t="str">
        <f>_xll.BDH("GILD US Equity","ARDR_STATUTES_LIMITATIONS_UTB","FQ1 2023","FQ1 2023","Currency=USD","Period=FQ","BEST_FPERIOD_OVERRIDE=FQ","FILING_STATUS=MR","SCALING_FORMAT=MLN","Sort=A","Dates=H","DateFormat=P","Fill=—","Direction=H","UseDPDF=Y")</f>
        <v>—</v>
      </c>
      <c r="U207" s="13" t="str">
        <f>_xll.BDH("GILD US Equity","ARDR_STATUTES_LIMITATIONS_UTB","FQ2 2023","FQ2 2023","Currency=USD","Period=FQ","BEST_FPERIOD_OVERRIDE=FQ","FILING_STATUS=MR","SCALING_FORMAT=MLN","Sort=A","Dates=H","DateFormat=P","Fill=—","Direction=H","UseDPDF=Y")</f>
        <v>—</v>
      </c>
      <c r="V207" s="13" t="str">
        <f>_xll.BDH("GILD US Equity","ARDR_STATUTES_LIMITATIONS_UTB","FQ3 2023","FQ3 2023","Currency=USD","Period=FQ","BEST_FPERIOD_OVERRIDE=FQ","FILING_STATUS=MR","SCALING_FORMAT=MLN","Sort=A","Dates=H","DateFormat=P","Fill=—","Direction=H","UseDPDF=Y")</f>
        <v>—</v>
      </c>
      <c r="W207" s="13">
        <f>_xll.BDH("GILD US Equity","ARDR_STATUTES_LIMITATIONS_UTB","FQ4 2023","FQ4 2023","Currency=USD","Period=FQ","BEST_FPERIOD_OVERRIDE=FQ","FILING_STATUS=MR","SCALING_FORMAT=MLN","Sort=A","Dates=H","DateFormat=P","Fill=—","Direction=H","UseDPDF=Y")</f>
        <v>-13</v>
      </c>
      <c r="X207" s="13" t="str">
        <f>_xll.BDH("GILD US Equity","ARDR_STATUTES_LIMITATIONS_UTB","FQ1 2024","FQ1 2024","Currency=USD","Period=FQ","BEST_FPERIOD_OVERRIDE=FQ","FILING_STATUS=MR","SCALING_FORMAT=MLN","Sort=A","Dates=H","DateFormat=P","Fill=—","Direction=H","UseDPDF=Y")</f>
        <v>—</v>
      </c>
      <c r="Y207" s="13" t="str">
        <f>_xll.BDH("GILD US Equity","ARDR_STATUTES_LIMITATIONS_UTB","FQ2 2024","FQ2 2024","Currency=USD","Period=FQ","BEST_FPERIOD_OVERRIDE=FQ","FILING_STATUS=MR","SCALING_FORMAT=MLN","Sort=A","Dates=H","DateFormat=P","Fill=—","Direction=H","UseDPDF=Y")</f>
        <v>—</v>
      </c>
      <c r="Z207" s="13" t="str">
        <f>_xll.BDH("GILD US Equity","ARDR_STATUTES_LIMITATIONS_UTB","FQ3 2024","FQ3 2024","Currency=USD","Period=FQ","BEST_FPERIOD_OVERRIDE=FQ","FILING_STATUS=MR","SCALING_FORMAT=MLN","Sort=A","Dates=H","DateFormat=P","Fill=—","Direction=H","UseDPDF=Y")</f>
        <v>—</v>
      </c>
      <c r="AA207" s="13">
        <f>_xll.BDH("GILD US Equity","ARDR_STATUTES_LIMITATIONS_UTB","FQ4 2024","FQ4 2024","Currency=USD","Period=FQ","BEST_FPERIOD_OVERRIDE=FQ","FILING_STATUS=MR","SCALING_FORMAT=MLN","Sort=A","Dates=H","DateFormat=P","Fill=—","Direction=H","UseDPDF=Y")</f>
        <v>-2</v>
      </c>
    </row>
    <row r="208" spans="1:27" x14ac:dyDescent="0.25">
      <c r="A208" s="10" t="s">
        <v>1273</v>
      </c>
      <c r="B208" s="10" t="s">
        <v>1274</v>
      </c>
      <c r="C208" s="13" t="str">
        <f>_xll.BDH("GILD US Equity","ARDR_TOTAL_DERIVATIVE_ASSETS","FQ4 2018","FQ4 2018","Currency=USD","Period=FQ","BEST_FPERIOD_OVERRIDE=FQ","FILING_STATUS=MR","SCALING_FORMAT=MLN","Sort=A","Dates=H","DateFormat=P","Fill=—","Direction=H","UseDPDF=Y")</f>
        <v>—</v>
      </c>
      <c r="D208" s="13" t="str">
        <f>_xll.BDH("GILD US Equity","ARDR_TOTAL_DERIVATIVE_ASSETS","FQ1 2019","FQ1 2019","Currency=USD","Period=FQ","BEST_FPERIOD_OVERRIDE=FQ","FILING_STATUS=MR","SCALING_FORMAT=MLN","Sort=A","Dates=H","DateFormat=P","Fill=—","Direction=H","UseDPDF=Y")</f>
        <v>—</v>
      </c>
      <c r="E208" s="13">
        <f>_xll.BDH("GILD US Equity","ARDR_TOTAL_DERIVATIVE_ASSETS","FQ2 2019","FQ2 2019","Currency=USD","Period=FQ","BEST_FPERIOD_OVERRIDE=FQ","FILING_STATUS=MR","SCALING_FORMAT=MLN","Sort=A","Dates=H","DateFormat=P","Fill=—","Direction=H","UseDPDF=Y")</f>
        <v>48</v>
      </c>
      <c r="F208" s="13">
        <f>_xll.BDH("GILD US Equity","ARDR_TOTAL_DERIVATIVE_ASSETS","FQ3 2019","FQ3 2019","Currency=USD","Period=FQ","BEST_FPERIOD_OVERRIDE=FQ","FILING_STATUS=MR","SCALING_FORMAT=MLN","Sort=A","Dates=H","DateFormat=P","Fill=—","Direction=H","UseDPDF=Y")</f>
        <v>80</v>
      </c>
      <c r="G208" s="13" t="str">
        <f>_xll.BDH("GILD US Equity","ARDR_TOTAL_DERIVATIVE_ASSETS","FQ4 2019","FQ4 2019","Currency=USD","Period=FQ","BEST_FPERIOD_OVERRIDE=FQ","FILING_STATUS=MR","SCALING_FORMAT=MLN","Sort=A","Dates=H","DateFormat=P","Fill=—","Direction=H","UseDPDF=Y")</f>
        <v>—</v>
      </c>
      <c r="H208" s="13" t="str">
        <f>_xll.BDH("GILD US Equity","ARDR_TOTAL_DERIVATIVE_ASSETS","FQ1 2020","FQ1 2020","Currency=USD","Period=FQ","BEST_FPERIOD_OVERRIDE=FQ","FILING_STATUS=MR","SCALING_FORMAT=MLN","Sort=A","Dates=H","DateFormat=P","Fill=—","Direction=H","UseDPDF=Y")</f>
        <v>—</v>
      </c>
      <c r="I208" s="13">
        <f>_xll.BDH("GILD US Equity","ARDR_TOTAL_DERIVATIVE_ASSETS","FQ2 2020","FQ2 2020","Currency=USD","Period=FQ","BEST_FPERIOD_OVERRIDE=FQ","FILING_STATUS=MR","SCALING_FORMAT=MLN","Sort=A","Dates=H","DateFormat=P","Fill=—","Direction=H","UseDPDF=Y")</f>
        <v>21</v>
      </c>
      <c r="J208" s="13" t="str">
        <f>_xll.BDH("GILD US Equity","ARDR_TOTAL_DERIVATIVE_ASSETS","FQ3 2020","FQ3 2020","Currency=USD","Period=FQ","BEST_FPERIOD_OVERRIDE=FQ","FILING_STATUS=MR","SCALING_FORMAT=MLN","Sort=A","Dates=H","DateFormat=P","Fill=—","Direction=H","UseDPDF=Y")</f>
        <v>—</v>
      </c>
      <c r="K208" s="13">
        <f>_xll.BDH("GILD US Equity","ARDR_TOTAL_DERIVATIVE_ASSETS","FQ4 2020","FQ4 2020","Currency=USD","Period=FQ","BEST_FPERIOD_OVERRIDE=FQ","FILING_STATUS=MR","SCALING_FORMAT=MLN","Sort=A","Dates=H","DateFormat=P","Fill=—","Direction=H","UseDPDF=Y")</f>
        <v>12</v>
      </c>
      <c r="L208" s="13" t="str">
        <f>_xll.BDH("GILD US Equity","ARDR_TOTAL_DERIVATIVE_ASSETS","FQ1 2021","FQ1 2021","Currency=USD","Period=FQ","BEST_FPERIOD_OVERRIDE=FQ","FILING_STATUS=MR","SCALING_FORMAT=MLN","Sort=A","Dates=H","DateFormat=P","Fill=—","Direction=H","UseDPDF=Y")</f>
        <v>—</v>
      </c>
      <c r="M208" s="13">
        <f>_xll.BDH("GILD US Equity","ARDR_TOTAL_DERIVATIVE_ASSETS","FQ2 2021","FQ2 2021","Currency=USD","Period=FQ","BEST_FPERIOD_OVERRIDE=FQ","FILING_STATUS=MR","SCALING_FORMAT=MLN","Sort=A","Dates=H","DateFormat=P","Fill=—","Direction=H","UseDPDF=Y")</f>
        <v>28</v>
      </c>
      <c r="N208" s="13">
        <f>_xll.BDH("GILD US Equity","ARDR_TOTAL_DERIVATIVE_ASSETS","FQ3 2021","FQ3 2021","Currency=USD","Period=FQ","BEST_FPERIOD_OVERRIDE=FQ","FILING_STATUS=MR","SCALING_FORMAT=MLN","Sort=A","Dates=H","DateFormat=P","Fill=—","Direction=H","UseDPDF=Y")</f>
        <v>55</v>
      </c>
      <c r="O208" s="13">
        <f>_xll.BDH("GILD US Equity","ARDR_TOTAL_DERIVATIVE_ASSETS","FQ4 2021","FQ4 2021","Currency=USD","Period=FQ","BEST_FPERIOD_OVERRIDE=FQ","FILING_STATUS=MR","SCALING_FORMAT=MLN","Sort=A","Dates=H","DateFormat=P","Fill=—","Direction=H","UseDPDF=Y")</f>
        <v>80</v>
      </c>
      <c r="P208" s="13">
        <f>_xll.BDH("GILD US Equity","ARDR_TOTAL_DERIVATIVE_ASSETS","FQ1 2022","FQ1 2022","Currency=USD","Period=FQ","BEST_FPERIOD_OVERRIDE=FQ","FILING_STATUS=MR","SCALING_FORMAT=MLN","Sort=A","Dates=H","DateFormat=P","Fill=—","Direction=H","UseDPDF=Y")</f>
        <v>84</v>
      </c>
      <c r="Q208" s="13">
        <f>_xll.BDH("GILD US Equity","ARDR_TOTAL_DERIVATIVE_ASSETS","FQ2 2022","FQ2 2022","Currency=USD","Period=FQ","BEST_FPERIOD_OVERRIDE=FQ","FILING_STATUS=MR","SCALING_FORMAT=MLN","Sort=A","Dates=H","DateFormat=P","Fill=—","Direction=H","UseDPDF=Y")</f>
        <v>136</v>
      </c>
      <c r="R208" s="13">
        <f>_xll.BDH("GILD US Equity","ARDR_TOTAL_DERIVATIVE_ASSETS","FQ3 2022","FQ3 2022","Currency=USD","Period=FQ","BEST_FPERIOD_OVERRIDE=FQ","FILING_STATUS=MR","SCALING_FORMAT=MLN","Sort=A","Dates=H","DateFormat=P","Fill=—","Direction=H","UseDPDF=Y")</f>
        <v>242</v>
      </c>
      <c r="S208" s="13">
        <f>_xll.BDH("GILD US Equity","ARDR_TOTAL_DERIVATIVE_ASSETS","FQ4 2022","FQ4 2022","Currency=USD","Period=FQ","BEST_FPERIOD_OVERRIDE=FQ","FILING_STATUS=MR","SCALING_FORMAT=MLN","Sort=A","Dates=H","DateFormat=P","Fill=—","Direction=H","UseDPDF=Y")</f>
        <v>60</v>
      </c>
      <c r="T208" s="13" t="str">
        <f>_xll.BDH("GILD US Equity","ARDR_TOTAL_DERIVATIVE_ASSETS","FQ1 2023","FQ1 2023","Currency=USD","Period=FQ","BEST_FPERIOD_OVERRIDE=FQ","FILING_STATUS=MR","SCALING_FORMAT=MLN","Sort=A","Dates=H","DateFormat=P","Fill=—","Direction=H","UseDPDF=Y")</f>
        <v>—</v>
      </c>
      <c r="U208" s="13" t="str">
        <f>_xll.BDH("GILD US Equity","ARDR_TOTAL_DERIVATIVE_ASSETS","FQ2 2023","FQ2 2023","Currency=USD","Period=FQ","BEST_FPERIOD_OVERRIDE=FQ","FILING_STATUS=MR","SCALING_FORMAT=MLN","Sort=A","Dates=H","DateFormat=P","Fill=—","Direction=H","UseDPDF=Y")</f>
        <v>—</v>
      </c>
      <c r="V208" s="13">
        <f>_xll.BDH("GILD US Equity","ARDR_TOTAL_DERIVATIVE_ASSETS","FQ3 2023","FQ3 2023","Currency=USD","Period=FQ","BEST_FPERIOD_OVERRIDE=FQ","FILING_STATUS=MR","SCALING_FORMAT=MLN","Sort=A","Dates=H","DateFormat=P","Fill=—","Direction=H","UseDPDF=Y")</f>
        <v>67</v>
      </c>
      <c r="W208" s="13">
        <f>_xll.BDH("GILD US Equity","ARDR_TOTAL_DERIVATIVE_ASSETS","FQ4 2023","FQ4 2023","Currency=USD","Period=FQ","BEST_FPERIOD_OVERRIDE=FQ","FILING_STATUS=MR","SCALING_FORMAT=MLN","Sort=A","Dates=H","DateFormat=P","Fill=—","Direction=H","UseDPDF=Y")</f>
        <v>7</v>
      </c>
      <c r="X208" s="13" t="str">
        <f>_xll.BDH("GILD US Equity","ARDR_TOTAL_DERIVATIVE_ASSETS","FQ1 2024","FQ1 2024","Currency=USD","Period=FQ","BEST_FPERIOD_OVERRIDE=FQ","FILING_STATUS=MR","SCALING_FORMAT=MLN","Sort=A","Dates=H","DateFormat=P","Fill=—","Direction=H","UseDPDF=Y")</f>
        <v>—</v>
      </c>
      <c r="Y208" s="13" t="str">
        <f>_xll.BDH("GILD US Equity","ARDR_TOTAL_DERIVATIVE_ASSETS","FQ2 2024","FQ2 2024","Currency=USD","Period=FQ","BEST_FPERIOD_OVERRIDE=FQ","FILING_STATUS=MR","SCALING_FORMAT=MLN","Sort=A","Dates=H","DateFormat=P","Fill=—","Direction=H","UseDPDF=Y")</f>
        <v>—</v>
      </c>
      <c r="Z208" s="13">
        <f>_xll.BDH("GILD US Equity","ARDR_TOTAL_DERIVATIVE_ASSETS","FQ3 2024","FQ3 2024","Currency=USD","Period=FQ","BEST_FPERIOD_OVERRIDE=FQ","FILING_STATUS=MR","SCALING_FORMAT=MLN","Sort=A","Dates=H","DateFormat=P","Fill=—","Direction=H","UseDPDF=Y")</f>
        <v>7</v>
      </c>
      <c r="AA208" s="13">
        <f>_xll.BDH("GILD US Equity","ARDR_TOTAL_DERIVATIVE_ASSETS","FQ4 2024","FQ4 2024","Currency=USD","Period=FQ","BEST_FPERIOD_OVERRIDE=FQ","FILING_STATUS=MR","SCALING_FORMAT=MLN","Sort=A","Dates=H","DateFormat=P","Fill=—","Direction=H","UseDPDF=Y")</f>
        <v>128</v>
      </c>
    </row>
    <row r="209" spans="1:27" x14ac:dyDescent="0.25">
      <c r="A209" s="10" t="s">
        <v>1275</v>
      </c>
      <c r="B209" s="10" t="s">
        <v>1276</v>
      </c>
      <c r="C209" s="13">
        <f>_xll.BDH("GILD US Equity","ARDR_RESTRICTED_STOCK_UNITS","FQ4 2018","FQ4 2018","Currency=USD","Period=FQ","BEST_FPERIOD_OVERRIDE=FQ","FILING_STATUS=MR","Sort=A","Dates=H","DateFormat=P","Fill=—","Direction=H","UseDPDF=Y")</f>
        <v>0.83199999999999996</v>
      </c>
      <c r="D209" s="13" t="str">
        <f>_xll.BDH("GILD US Equity","ARDR_RESTRICTED_STOCK_UNITS","FQ1 2019","FQ1 2019","Currency=USD","Period=FQ","BEST_FPERIOD_OVERRIDE=FQ","FILING_STATUS=MR","Sort=A","Dates=H","DateFormat=P","Fill=—","Direction=H","UseDPDF=Y")</f>
        <v>—</v>
      </c>
      <c r="E209" s="13" t="str">
        <f>_xll.BDH("GILD US Equity","ARDR_RESTRICTED_STOCK_UNITS","FQ2 2019","FQ2 2019","Currency=USD","Period=FQ","BEST_FPERIOD_OVERRIDE=FQ","FILING_STATUS=MR","Sort=A","Dates=H","DateFormat=P","Fill=—","Direction=H","UseDPDF=Y")</f>
        <v>—</v>
      </c>
      <c r="F209" s="13" t="str">
        <f>_xll.BDH("GILD US Equity","ARDR_RESTRICTED_STOCK_UNITS","FQ3 2019","FQ3 2019","Currency=USD","Period=FQ","BEST_FPERIOD_OVERRIDE=FQ","FILING_STATUS=MR","Sort=A","Dates=H","DateFormat=P","Fill=—","Direction=H","UseDPDF=Y")</f>
        <v>—</v>
      </c>
      <c r="G209" s="13">
        <f>_xll.BDH("GILD US Equity","ARDR_RESTRICTED_STOCK_UNITS","FQ4 2019","FQ4 2019","Currency=USD","Period=FQ","BEST_FPERIOD_OVERRIDE=FQ","FILING_STATUS=MR","Sort=A","Dates=H","DateFormat=P","Fill=—","Direction=H","UseDPDF=Y")</f>
        <v>17.2</v>
      </c>
      <c r="H209" s="13" t="str">
        <f>_xll.BDH("GILD US Equity","ARDR_RESTRICTED_STOCK_UNITS","FQ1 2020","FQ1 2020","Currency=USD","Period=FQ","BEST_FPERIOD_OVERRIDE=FQ","FILING_STATUS=MR","Sort=A","Dates=H","DateFormat=P","Fill=—","Direction=H","UseDPDF=Y")</f>
        <v>—</v>
      </c>
      <c r="I209" s="13" t="str">
        <f>_xll.BDH("GILD US Equity","ARDR_RESTRICTED_STOCK_UNITS","FQ2 2020","FQ2 2020","Currency=USD","Period=FQ","BEST_FPERIOD_OVERRIDE=FQ","FILING_STATUS=MR","Sort=A","Dates=H","DateFormat=P","Fill=—","Direction=H","UseDPDF=Y")</f>
        <v>—</v>
      </c>
      <c r="J209" s="13" t="str">
        <f>_xll.BDH("GILD US Equity","ARDR_RESTRICTED_STOCK_UNITS","FQ3 2020","FQ3 2020","Currency=USD","Period=FQ","BEST_FPERIOD_OVERRIDE=FQ","FILING_STATUS=MR","Sort=A","Dates=H","DateFormat=P","Fill=—","Direction=H","UseDPDF=Y")</f>
        <v>—</v>
      </c>
      <c r="K209" s="13">
        <f>_xll.BDH("GILD US Equity","ARDR_RESTRICTED_STOCK_UNITS","FQ4 2020","FQ4 2020","Currency=USD","Period=FQ","BEST_FPERIOD_OVERRIDE=FQ","FILING_STATUS=MR","Sort=A","Dates=H","DateFormat=P","Fill=—","Direction=H","UseDPDF=Y")</f>
        <v>19.5</v>
      </c>
      <c r="L209" s="13" t="str">
        <f>_xll.BDH("GILD US Equity","ARDR_RESTRICTED_STOCK_UNITS","FQ1 2021","FQ1 2021","Currency=USD","Period=FQ","BEST_FPERIOD_OVERRIDE=FQ","FILING_STATUS=MR","Sort=A","Dates=H","DateFormat=P","Fill=—","Direction=H","UseDPDF=Y")</f>
        <v>—</v>
      </c>
      <c r="M209" s="13" t="str">
        <f>_xll.BDH("GILD US Equity","ARDR_RESTRICTED_STOCK_UNITS","FQ2 2021","FQ2 2021","Currency=USD","Period=FQ","BEST_FPERIOD_OVERRIDE=FQ","FILING_STATUS=MR","Sort=A","Dates=H","DateFormat=P","Fill=—","Direction=H","UseDPDF=Y")</f>
        <v>—</v>
      </c>
      <c r="N209" s="13" t="str">
        <f>_xll.BDH("GILD US Equity","ARDR_RESTRICTED_STOCK_UNITS","FQ3 2021","FQ3 2021","Currency=USD","Period=FQ","BEST_FPERIOD_OVERRIDE=FQ","FILING_STATUS=MR","Sort=A","Dates=H","DateFormat=P","Fill=—","Direction=H","UseDPDF=Y")</f>
        <v>—</v>
      </c>
      <c r="O209" s="13">
        <f>_xll.BDH("GILD US Equity","ARDR_RESTRICTED_STOCK_UNITS","FQ4 2021","FQ4 2021","Currency=USD","Period=FQ","BEST_FPERIOD_OVERRIDE=FQ","FILING_STATUS=MR","Sort=A","Dates=H","DateFormat=P","Fill=—","Direction=H","UseDPDF=Y")</f>
        <v>20.9</v>
      </c>
      <c r="P209" s="13" t="str">
        <f>_xll.BDH("GILD US Equity","ARDR_RESTRICTED_STOCK_UNITS","FQ1 2022","FQ1 2022","Currency=USD","Period=FQ","BEST_FPERIOD_OVERRIDE=FQ","FILING_STATUS=MR","Sort=A","Dates=H","DateFormat=P","Fill=—","Direction=H","UseDPDF=Y")</f>
        <v>—</v>
      </c>
      <c r="Q209" s="13" t="str">
        <f>_xll.BDH("GILD US Equity","ARDR_RESTRICTED_STOCK_UNITS","FQ2 2022","FQ2 2022","Currency=USD","Period=FQ","BEST_FPERIOD_OVERRIDE=FQ","FILING_STATUS=MR","Sort=A","Dates=H","DateFormat=P","Fill=—","Direction=H","UseDPDF=Y")</f>
        <v>—</v>
      </c>
      <c r="R209" s="13" t="str">
        <f>_xll.BDH("GILD US Equity","ARDR_RESTRICTED_STOCK_UNITS","FQ3 2022","FQ3 2022","Currency=USD","Period=FQ","BEST_FPERIOD_OVERRIDE=FQ","FILING_STATUS=MR","Sort=A","Dates=H","DateFormat=P","Fill=—","Direction=H","UseDPDF=Y")</f>
        <v>—</v>
      </c>
      <c r="S209" s="13">
        <f>_xll.BDH("GILD US Equity","ARDR_RESTRICTED_STOCK_UNITS","FQ4 2022","FQ4 2022","Currency=USD","Period=FQ","BEST_FPERIOD_OVERRIDE=FQ","FILING_STATUS=MR","Sort=A","Dates=H","DateFormat=P","Fill=—","Direction=H","UseDPDF=Y")</f>
        <v>23.6</v>
      </c>
      <c r="T209" s="13" t="str">
        <f>_xll.BDH("GILD US Equity","ARDR_RESTRICTED_STOCK_UNITS","FQ1 2023","FQ1 2023","Currency=USD","Period=FQ","BEST_FPERIOD_OVERRIDE=FQ","FILING_STATUS=MR","Sort=A","Dates=H","DateFormat=P","Fill=—","Direction=H","UseDPDF=Y")</f>
        <v>—</v>
      </c>
      <c r="U209" s="13" t="str">
        <f>_xll.BDH("GILD US Equity","ARDR_RESTRICTED_STOCK_UNITS","FQ2 2023","FQ2 2023","Currency=USD","Period=FQ","BEST_FPERIOD_OVERRIDE=FQ","FILING_STATUS=MR","Sort=A","Dates=H","DateFormat=P","Fill=—","Direction=H","UseDPDF=Y")</f>
        <v>—</v>
      </c>
      <c r="V209" s="13" t="str">
        <f>_xll.BDH("GILD US Equity","ARDR_RESTRICTED_STOCK_UNITS","FQ3 2023","FQ3 2023","Currency=USD","Period=FQ","BEST_FPERIOD_OVERRIDE=FQ","FILING_STATUS=MR","Sort=A","Dates=H","DateFormat=P","Fill=—","Direction=H","UseDPDF=Y")</f>
        <v>—</v>
      </c>
      <c r="W209" s="13">
        <f>_xll.BDH("GILD US Equity","ARDR_RESTRICTED_STOCK_UNITS","FQ4 2023","FQ4 2023","Currency=USD","Period=FQ","BEST_FPERIOD_OVERRIDE=FQ","FILING_STATUS=MR","Sort=A","Dates=H","DateFormat=P","Fill=—","Direction=H","UseDPDF=Y")</f>
        <v>22.7</v>
      </c>
      <c r="X209" s="13" t="str">
        <f>_xll.BDH("GILD US Equity","ARDR_RESTRICTED_STOCK_UNITS","FQ1 2024","FQ1 2024","Currency=USD","Period=FQ","BEST_FPERIOD_OVERRIDE=FQ","FILING_STATUS=MR","Sort=A","Dates=H","DateFormat=P","Fill=—","Direction=H","UseDPDF=Y")</f>
        <v>—</v>
      </c>
      <c r="Y209" s="13" t="str">
        <f>_xll.BDH("GILD US Equity","ARDR_RESTRICTED_STOCK_UNITS","FQ2 2024","FQ2 2024","Currency=USD","Period=FQ","BEST_FPERIOD_OVERRIDE=FQ","FILING_STATUS=MR","Sort=A","Dates=H","DateFormat=P","Fill=—","Direction=H","UseDPDF=Y")</f>
        <v>—</v>
      </c>
      <c r="Z209" s="13" t="str">
        <f>_xll.BDH("GILD US Equity","ARDR_RESTRICTED_STOCK_UNITS","FQ3 2024","FQ3 2024","Currency=USD","Period=FQ","BEST_FPERIOD_OVERRIDE=FQ","FILING_STATUS=MR","Sort=A","Dates=H","DateFormat=P","Fill=—","Direction=H","UseDPDF=Y")</f>
        <v>—</v>
      </c>
      <c r="AA209" s="13">
        <f>_xll.BDH("GILD US Equity","ARDR_RESTRICTED_STOCK_UNITS","FQ4 2024","FQ4 2024","Currency=USD","Period=FQ","BEST_FPERIOD_OVERRIDE=FQ","FILING_STATUS=MR","Sort=A","Dates=H","DateFormat=P","Fill=—","Direction=H","UseDPDF=Y")</f>
        <v>21.8</v>
      </c>
    </row>
    <row r="210" spans="1:27" x14ac:dyDescent="0.25">
      <c r="A210" s="10" t="s">
        <v>1277</v>
      </c>
      <c r="B210" s="10" t="s">
        <v>1278</v>
      </c>
      <c r="C210" s="14">
        <f>_xll.BDH("GILD US Equity","ARDR_RSTR_STK_UNIT_WAVG_FV_PS","FQ4 2018","FQ4 2018","Currency=USD","Period=FQ","BEST_FPERIOD_OVERRIDE=FQ","FILING_STATUS=MR","Sort=A","Dates=H","DateFormat=P","Fill=—","Direction=H","UseDPDF=Y")</f>
        <v>82.42</v>
      </c>
      <c r="D210" s="14" t="str">
        <f>_xll.BDH("GILD US Equity","ARDR_RSTR_STK_UNIT_WAVG_FV_PS","FQ1 2019","FQ1 2019","Currency=USD","Period=FQ","BEST_FPERIOD_OVERRIDE=FQ","FILING_STATUS=MR","Sort=A","Dates=H","DateFormat=P","Fill=—","Direction=H","UseDPDF=Y")</f>
        <v>—</v>
      </c>
      <c r="E210" s="14" t="str">
        <f>_xll.BDH("GILD US Equity","ARDR_RSTR_STK_UNIT_WAVG_FV_PS","FQ2 2019","FQ2 2019","Currency=USD","Period=FQ","BEST_FPERIOD_OVERRIDE=FQ","FILING_STATUS=MR","Sort=A","Dates=H","DateFormat=P","Fill=—","Direction=H","UseDPDF=Y")</f>
        <v>—</v>
      </c>
      <c r="F210" s="14" t="str">
        <f>_xll.BDH("GILD US Equity","ARDR_RSTR_STK_UNIT_WAVG_FV_PS","FQ3 2019","FQ3 2019","Currency=USD","Period=FQ","BEST_FPERIOD_OVERRIDE=FQ","FILING_STATUS=MR","Sort=A","Dates=H","DateFormat=P","Fill=—","Direction=H","UseDPDF=Y")</f>
        <v>—</v>
      </c>
      <c r="G210" s="14">
        <f>_xll.BDH("GILD US Equity","ARDR_RSTR_STK_UNIT_WAVG_FV_PS","FQ4 2019","FQ4 2019","Currency=USD","Period=FQ","BEST_FPERIOD_OVERRIDE=FQ","FILING_STATUS=MR","Sort=A","Dates=H","DateFormat=P","Fill=—","Direction=H","UseDPDF=Y")</f>
        <v>70.08</v>
      </c>
      <c r="H210" s="14" t="str">
        <f>_xll.BDH("GILD US Equity","ARDR_RSTR_STK_UNIT_WAVG_FV_PS","FQ1 2020","FQ1 2020","Currency=USD","Period=FQ","BEST_FPERIOD_OVERRIDE=FQ","FILING_STATUS=MR","Sort=A","Dates=H","DateFormat=P","Fill=—","Direction=H","UseDPDF=Y")</f>
        <v>—</v>
      </c>
      <c r="I210" s="14" t="str">
        <f>_xll.BDH("GILD US Equity","ARDR_RSTR_STK_UNIT_WAVG_FV_PS","FQ2 2020","FQ2 2020","Currency=USD","Period=FQ","BEST_FPERIOD_OVERRIDE=FQ","FILING_STATUS=MR","Sort=A","Dates=H","DateFormat=P","Fill=—","Direction=H","UseDPDF=Y")</f>
        <v>—</v>
      </c>
      <c r="J210" s="14" t="str">
        <f>_xll.BDH("GILD US Equity","ARDR_RSTR_STK_UNIT_WAVG_FV_PS","FQ3 2020","FQ3 2020","Currency=USD","Period=FQ","BEST_FPERIOD_OVERRIDE=FQ","FILING_STATUS=MR","Sort=A","Dates=H","DateFormat=P","Fill=—","Direction=H","UseDPDF=Y")</f>
        <v>—</v>
      </c>
      <c r="K210" s="14">
        <f>_xll.BDH("GILD US Equity","ARDR_RSTR_STK_UNIT_WAVG_FV_PS","FQ4 2020","FQ4 2020","Currency=USD","Period=FQ","BEST_FPERIOD_OVERRIDE=FQ","FILING_STATUS=MR","Sort=A","Dates=H","DateFormat=P","Fill=—","Direction=H","UseDPDF=Y")</f>
        <v>69.8</v>
      </c>
      <c r="L210" s="14" t="str">
        <f>_xll.BDH("GILD US Equity","ARDR_RSTR_STK_UNIT_WAVG_FV_PS","FQ1 2021","FQ1 2021","Currency=USD","Period=FQ","BEST_FPERIOD_OVERRIDE=FQ","FILING_STATUS=MR","Sort=A","Dates=H","DateFormat=P","Fill=—","Direction=H","UseDPDF=Y")</f>
        <v>—</v>
      </c>
      <c r="M210" s="14" t="str">
        <f>_xll.BDH("GILD US Equity","ARDR_RSTR_STK_UNIT_WAVG_FV_PS","FQ2 2021","FQ2 2021","Currency=USD","Period=FQ","BEST_FPERIOD_OVERRIDE=FQ","FILING_STATUS=MR","Sort=A","Dates=H","DateFormat=P","Fill=—","Direction=H","UseDPDF=Y")</f>
        <v>—</v>
      </c>
      <c r="N210" s="14" t="str">
        <f>_xll.BDH("GILD US Equity","ARDR_RSTR_STK_UNIT_WAVG_FV_PS","FQ3 2021","FQ3 2021","Currency=USD","Period=FQ","BEST_FPERIOD_OVERRIDE=FQ","FILING_STATUS=MR","Sort=A","Dates=H","DateFormat=P","Fill=—","Direction=H","UseDPDF=Y")</f>
        <v>—</v>
      </c>
      <c r="O210" s="14">
        <f>_xll.BDH("GILD US Equity","ARDR_RSTR_STK_UNIT_WAVG_FV_PS","FQ4 2021","FQ4 2021","Currency=USD","Period=FQ","BEST_FPERIOD_OVERRIDE=FQ","FILING_STATUS=MR","Sort=A","Dates=H","DateFormat=P","Fill=—","Direction=H","UseDPDF=Y")</f>
        <v>67.48</v>
      </c>
      <c r="P210" s="14" t="str">
        <f>_xll.BDH("GILD US Equity","ARDR_RSTR_STK_UNIT_WAVG_FV_PS","FQ1 2022","FQ1 2022","Currency=USD","Period=FQ","BEST_FPERIOD_OVERRIDE=FQ","FILING_STATUS=MR","Sort=A","Dates=H","DateFormat=P","Fill=—","Direction=H","UseDPDF=Y")</f>
        <v>—</v>
      </c>
      <c r="Q210" s="14" t="str">
        <f>_xll.BDH("GILD US Equity","ARDR_RSTR_STK_UNIT_WAVG_FV_PS","FQ2 2022","FQ2 2022","Currency=USD","Period=FQ","BEST_FPERIOD_OVERRIDE=FQ","FILING_STATUS=MR","Sort=A","Dates=H","DateFormat=P","Fill=—","Direction=H","UseDPDF=Y")</f>
        <v>—</v>
      </c>
      <c r="R210" s="14" t="str">
        <f>_xll.BDH("GILD US Equity","ARDR_RSTR_STK_UNIT_WAVG_FV_PS","FQ3 2022","FQ3 2022","Currency=USD","Period=FQ","BEST_FPERIOD_OVERRIDE=FQ","FILING_STATUS=MR","Sort=A","Dates=H","DateFormat=P","Fill=—","Direction=H","UseDPDF=Y")</f>
        <v>—</v>
      </c>
      <c r="S210" s="14">
        <f>_xll.BDH("GILD US Equity","ARDR_RSTR_STK_UNIT_WAVG_FV_PS","FQ4 2022","FQ4 2022","Currency=USD","Period=FQ","BEST_FPERIOD_OVERRIDE=FQ","FILING_STATUS=MR","Sort=A","Dates=H","DateFormat=P","Fill=—","Direction=H","UseDPDF=Y")</f>
        <v>63.62</v>
      </c>
      <c r="T210" s="14" t="str">
        <f>_xll.BDH("GILD US Equity","ARDR_RSTR_STK_UNIT_WAVG_FV_PS","FQ1 2023","FQ1 2023","Currency=USD","Period=FQ","BEST_FPERIOD_OVERRIDE=FQ","FILING_STATUS=MR","Sort=A","Dates=H","DateFormat=P","Fill=—","Direction=H","UseDPDF=Y")</f>
        <v>—</v>
      </c>
      <c r="U210" s="14" t="str">
        <f>_xll.BDH("GILD US Equity","ARDR_RSTR_STK_UNIT_WAVG_FV_PS","FQ2 2023","FQ2 2023","Currency=USD","Period=FQ","BEST_FPERIOD_OVERRIDE=FQ","FILING_STATUS=MR","Sort=A","Dates=H","DateFormat=P","Fill=—","Direction=H","UseDPDF=Y")</f>
        <v>—</v>
      </c>
      <c r="V210" s="14" t="str">
        <f>_xll.BDH("GILD US Equity","ARDR_RSTR_STK_UNIT_WAVG_FV_PS","FQ3 2023","FQ3 2023","Currency=USD","Period=FQ","BEST_FPERIOD_OVERRIDE=FQ","FILING_STATUS=MR","Sort=A","Dates=H","DateFormat=P","Fill=—","Direction=H","UseDPDF=Y")</f>
        <v>—</v>
      </c>
      <c r="W210" s="14">
        <f>_xll.BDH("GILD US Equity","ARDR_RSTR_STK_UNIT_WAVG_FV_PS","FQ4 2023","FQ4 2023","Currency=USD","Period=FQ","BEST_FPERIOD_OVERRIDE=FQ","FILING_STATUS=MR","Sort=A","Dates=H","DateFormat=P","Fill=—","Direction=H","UseDPDF=Y")</f>
        <v>71.239999999999995</v>
      </c>
      <c r="X210" s="14" t="str">
        <f>_xll.BDH("GILD US Equity","ARDR_RSTR_STK_UNIT_WAVG_FV_PS","FQ1 2024","FQ1 2024","Currency=USD","Period=FQ","BEST_FPERIOD_OVERRIDE=FQ","FILING_STATUS=MR","Sort=A","Dates=H","DateFormat=P","Fill=—","Direction=H","UseDPDF=Y")</f>
        <v>—</v>
      </c>
      <c r="Y210" s="14" t="str">
        <f>_xll.BDH("GILD US Equity","ARDR_RSTR_STK_UNIT_WAVG_FV_PS","FQ2 2024","FQ2 2024","Currency=USD","Period=FQ","BEST_FPERIOD_OVERRIDE=FQ","FILING_STATUS=MR","Sort=A","Dates=H","DateFormat=P","Fill=—","Direction=H","UseDPDF=Y")</f>
        <v>—</v>
      </c>
      <c r="Z210" s="14" t="str">
        <f>_xll.BDH("GILD US Equity","ARDR_RSTR_STK_UNIT_WAVG_FV_PS","FQ3 2024","FQ3 2024","Currency=USD","Period=FQ","BEST_FPERIOD_OVERRIDE=FQ","FILING_STATUS=MR","Sort=A","Dates=H","DateFormat=P","Fill=—","Direction=H","UseDPDF=Y")</f>
        <v>—</v>
      </c>
      <c r="AA210" s="14">
        <f>_xll.BDH("GILD US Equity","ARDR_RSTR_STK_UNIT_WAVG_FV_PS","FQ4 2024","FQ4 2024","Currency=USD","Period=FQ","BEST_FPERIOD_OVERRIDE=FQ","FILING_STATUS=MR","Sort=A","Dates=H","DateFormat=P","Fill=—","Direction=H","UseDPDF=Y")</f>
        <v>73.52</v>
      </c>
    </row>
    <row r="211" spans="1:27" x14ac:dyDescent="0.25">
      <c r="A211" s="10" t="s">
        <v>1279</v>
      </c>
      <c r="B211" s="10" t="s">
        <v>1280</v>
      </c>
      <c r="C211" s="14">
        <f>_xll.BDH("GILD US Equity","ARDR_FULL_TIME_EMPLOYEES","FQ4 2018","FQ4 2018","Currency=USD","Period=FQ","BEST_FPERIOD_OVERRIDE=FQ","FILING_STATUS=MR","Sort=A","Dates=H","DateFormat=P","Fill=—","Direction=H","UseDPDF=Y")</f>
        <v>11000</v>
      </c>
      <c r="D211" s="14" t="str">
        <f>_xll.BDH("GILD US Equity","ARDR_FULL_TIME_EMPLOYEES","FQ1 2019","FQ1 2019","Currency=USD","Period=FQ","BEST_FPERIOD_OVERRIDE=FQ","FILING_STATUS=MR","Sort=A","Dates=H","DateFormat=P","Fill=—","Direction=H","UseDPDF=Y")</f>
        <v>—</v>
      </c>
      <c r="E211" s="14" t="str">
        <f>_xll.BDH("GILD US Equity","ARDR_FULL_TIME_EMPLOYEES","FQ2 2019","FQ2 2019","Currency=USD","Period=FQ","BEST_FPERIOD_OVERRIDE=FQ","FILING_STATUS=MR","Sort=A","Dates=H","DateFormat=P","Fill=—","Direction=H","UseDPDF=Y")</f>
        <v>—</v>
      </c>
      <c r="F211" s="14" t="str">
        <f>_xll.BDH("GILD US Equity","ARDR_FULL_TIME_EMPLOYEES","FQ3 2019","FQ3 2019","Currency=USD","Period=FQ","BEST_FPERIOD_OVERRIDE=FQ","FILING_STATUS=MR","Sort=A","Dates=H","DateFormat=P","Fill=—","Direction=H","UseDPDF=Y")</f>
        <v>—</v>
      </c>
      <c r="G211" s="14">
        <f>_xll.BDH("GILD US Equity","ARDR_FULL_TIME_EMPLOYEES","FQ4 2019","FQ4 2019","Currency=USD","Period=FQ","BEST_FPERIOD_OVERRIDE=FQ","FILING_STATUS=MR","Sort=A","Dates=H","DateFormat=P","Fill=—","Direction=H","UseDPDF=Y")</f>
        <v>11800</v>
      </c>
      <c r="H211" s="14" t="str">
        <f>_xll.BDH("GILD US Equity","ARDR_FULL_TIME_EMPLOYEES","FQ1 2020","FQ1 2020","Currency=USD","Period=FQ","BEST_FPERIOD_OVERRIDE=FQ","FILING_STATUS=MR","Sort=A","Dates=H","DateFormat=P","Fill=—","Direction=H","UseDPDF=Y")</f>
        <v>—</v>
      </c>
      <c r="I211" s="14" t="str">
        <f>_xll.BDH("GILD US Equity","ARDR_FULL_TIME_EMPLOYEES","FQ2 2020","FQ2 2020","Currency=USD","Period=FQ","BEST_FPERIOD_OVERRIDE=FQ","FILING_STATUS=MR","Sort=A","Dates=H","DateFormat=P","Fill=—","Direction=H","UseDPDF=Y")</f>
        <v>—</v>
      </c>
      <c r="J211" s="14" t="str">
        <f>_xll.BDH("GILD US Equity","ARDR_FULL_TIME_EMPLOYEES","FQ3 2020","FQ3 2020","Currency=USD","Period=FQ","BEST_FPERIOD_OVERRIDE=FQ","FILING_STATUS=MR","Sort=A","Dates=H","DateFormat=P","Fill=—","Direction=H","UseDPDF=Y")</f>
        <v>—</v>
      </c>
      <c r="K211" s="14">
        <f>_xll.BDH("GILD US Equity","ARDR_FULL_TIME_EMPLOYEES","FQ4 2020","FQ4 2020","Currency=USD","Period=FQ","BEST_FPERIOD_OVERRIDE=FQ","FILING_STATUS=MR","Sort=A","Dates=H","DateFormat=P","Fill=—","Direction=H","UseDPDF=Y")</f>
        <v>13600</v>
      </c>
      <c r="L211" s="14" t="str">
        <f>_xll.BDH("GILD US Equity","ARDR_FULL_TIME_EMPLOYEES","FQ1 2021","FQ1 2021","Currency=USD","Period=FQ","BEST_FPERIOD_OVERRIDE=FQ","FILING_STATUS=MR","Sort=A","Dates=H","DateFormat=P","Fill=—","Direction=H","UseDPDF=Y")</f>
        <v>—</v>
      </c>
      <c r="M211" s="14" t="str">
        <f>_xll.BDH("GILD US Equity","ARDR_FULL_TIME_EMPLOYEES","FQ2 2021","FQ2 2021","Currency=USD","Period=FQ","BEST_FPERIOD_OVERRIDE=FQ","FILING_STATUS=MR","Sort=A","Dates=H","DateFormat=P","Fill=—","Direction=H","UseDPDF=Y")</f>
        <v>—</v>
      </c>
      <c r="N211" s="14" t="str">
        <f>_xll.BDH("GILD US Equity","ARDR_FULL_TIME_EMPLOYEES","FQ3 2021","FQ3 2021","Currency=USD","Period=FQ","BEST_FPERIOD_OVERRIDE=FQ","FILING_STATUS=MR","Sort=A","Dates=H","DateFormat=P","Fill=—","Direction=H","UseDPDF=Y")</f>
        <v>—</v>
      </c>
      <c r="O211" s="14">
        <f>_xll.BDH("GILD US Equity","ARDR_FULL_TIME_EMPLOYEES","FQ4 2021","FQ4 2021","Currency=USD","Period=FQ","BEST_FPERIOD_OVERRIDE=FQ","FILING_STATUS=MR","Sort=A","Dates=H","DateFormat=P","Fill=—","Direction=H","UseDPDF=Y")</f>
        <v>14400</v>
      </c>
      <c r="P211" s="14" t="str">
        <f>_xll.BDH("GILD US Equity","ARDR_FULL_TIME_EMPLOYEES","FQ1 2022","FQ1 2022","Currency=USD","Period=FQ","BEST_FPERIOD_OVERRIDE=FQ","FILING_STATUS=MR","Sort=A","Dates=H","DateFormat=P","Fill=—","Direction=H","UseDPDF=Y")</f>
        <v>—</v>
      </c>
      <c r="Q211" s="14" t="str">
        <f>_xll.BDH("GILD US Equity","ARDR_FULL_TIME_EMPLOYEES","FQ2 2022","FQ2 2022","Currency=USD","Period=FQ","BEST_FPERIOD_OVERRIDE=FQ","FILING_STATUS=MR","Sort=A","Dates=H","DateFormat=P","Fill=—","Direction=H","UseDPDF=Y")</f>
        <v>—</v>
      </c>
      <c r="R211" s="14" t="str">
        <f>_xll.BDH("GILD US Equity","ARDR_FULL_TIME_EMPLOYEES","FQ3 2022","FQ3 2022","Currency=USD","Period=FQ","BEST_FPERIOD_OVERRIDE=FQ","FILING_STATUS=MR","Sort=A","Dates=H","DateFormat=P","Fill=—","Direction=H","UseDPDF=Y")</f>
        <v>—</v>
      </c>
      <c r="S211" s="14">
        <f>_xll.BDH("GILD US Equity","ARDR_FULL_TIME_EMPLOYEES","FQ4 2022","FQ4 2022","Currency=USD","Period=FQ","BEST_FPERIOD_OVERRIDE=FQ","FILING_STATUS=MR","Sort=A","Dates=H","DateFormat=P","Fill=—","Direction=H","UseDPDF=Y")</f>
        <v>17000</v>
      </c>
      <c r="T211" s="14" t="str">
        <f>_xll.BDH("GILD US Equity","ARDR_FULL_TIME_EMPLOYEES","FQ1 2023","FQ1 2023","Currency=USD","Period=FQ","BEST_FPERIOD_OVERRIDE=FQ","FILING_STATUS=MR","Sort=A","Dates=H","DateFormat=P","Fill=—","Direction=H","UseDPDF=Y")</f>
        <v>—</v>
      </c>
      <c r="U211" s="14" t="str">
        <f>_xll.BDH("GILD US Equity","ARDR_FULL_TIME_EMPLOYEES","FQ2 2023","FQ2 2023","Currency=USD","Period=FQ","BEST_FPERIOD_OVERRIDE=FQ","FILING_STATUS=MR","Sort=A","Dates=H","DateFormat=P","Fill=—","Direction=H","UseDPDF=Y")</f>
        <v>—</v>
      </c>
      <c r="V211" s="14" t="str">
        <f>_xll.BDH("GILD US Equity","ARDR_FULL_TIME_EMPLOYEES","FQ3 2023","FQ3 2023","Currency=USD","Period=FQ","BEST_FPERIOD_OVERRIDE=FQ","FILING_STATUS=MR","Sort=A","Dates=H","DateFormat=P","Fill=—","Direction=H","UseDPDF=Y")</f>
        <v>—</v>
      </c>
      <c r="W211" s="14">
        <f>_xll.BDH("GILD US Equity","ARDR_FULL_TIME_EMPLOYEES","FQ4 2023","FQ4 2023","Currency=USD","Period=FQ","BEST_FPERIOD_OVERRIDE=FQ","FILING_STATUS=MR","Sort=A","Dates=H","DateFormat=P","Fill=—","Direction=H","UseDPDF=Y")</f>
        <v>18000</v>
      </c>
      <c r="X211" s="14" t="str">
        <f>_xll.BDH("GILD US Equity","ARDR_FULL_TIME_EMPLOYEES","FQ1 2024","FQ1 2024","Currency=USD","Period=FQ","BEST_FPERIOD_OVERRIDE=FQ","FILING_STATUS=MR","Sort=A","Dates=H","DateFormat=P","Fill=—","Direction=H","UseDPDF=Y")</f>
        <v>—</v>
      </c>
      <c r="Y211" s="14" t="str">
        <f>_xll.BDH("GILD US Equity","ARDR_FULL_TIME_EMPLOYEES","FQ2 2024","FQ2 2024","Currency=USD","Period=FQ","BEST_FPERIOD_OVERRIDE=FQ","FILING_STATUS=MR","Sort=A","Dates=H","DateFormat=P","Fill=—","Direction=H","UseDPDF=Y")</f>
        <v>—</v>
      </c>
      <c r="Z211" s="14" t="str">
        <f>_xll.BDH("GILD US Equity","ARDR_FULL_TIME_EMPLOYEES","FQ3 2024","FQ3 2024","Currency=USD","Period=FQ","BEST_FPERIOD_OVERRIDE=FQ","FILING_STATUS=MR","Sort=A","Dates=H","DateFormat=P","Fill=—","Direction=H","UseDPDF=Y")</f>
        <v>—</v>
      </c>
      <c r="AA211" s="14">
        <f>_xll.BDH("GILD US Equity","ARDR_FULL_TIME_EMPLOYEES","FQ4 2024","FQ4 2024","Currency=USD","Period=FQ","BEST_FPERIOD_OVERRIDE=FQ","FILING_STATUS=MR","Sort=A","Dates=H","DateFormat=P","Fill=—","Direction=H","UseDPDF=Y")</f>
        <v>17600</v>
      </c>
    </row>
    <row r="212" spans="1:27" x14ac:dyDescent="0.25">
      <c r="A212" s="10" t="s">
        <v>1281</v>
      </c>
      <c r="B212" s="10" t="s">
        <v>1282</v>
      </c>
      <c r="C212" s="13">
        <f>_xll.BDH("GILD US Equity","ARDR_CASH_HELD_OVERSEAS","FQ4 2018","FQ4 2018","Currency=USD","Period=FQ","BEST_FPERIOD_OVERRIDE=FQ","FILING_STATUS=MR","SCALING_FORMAT=MLN","Sort=A","Dates=H","DateFormat=P","Fill=—","Direction=H","UseDPDF=Y")</f>
        <v>30400</v>
      </c>
      <c r="D212" s="13" t="str">
        <f>_xll.BDH("GILD US Equity","ARDR_CASH_HELD_OVERSEAS","FQ1 2019","FQ1 2019","Currency=USD","Period=FQ","BEST_FPERIOD_OVERRIDE=FQ","FILING_STATUS=MR","SCALING_FORMAT=MLN","Sort=A","Dates=H","DateFormat=P","Fill=—","Direction=H","UseDPDF=Y")</f>
        <v>—</v>
      </c>
      <c r="E212" s="13" t="str">
        <f>_xll.BDH("GILD US Equity","ARDR_CASH_HELD_OVERSEAS","FQ2 2019","FQ2 2019","Currency=USD","Period=FQ","BEST_FPERIOD_OVERRIDE=FQ","FILING_STATUS=MR","SCALING_FORMAT=MLN","Sort=A","Dates=H","DateFormat=P","Fill=—","Direction=H","UseDPDF=Y")</f>
        <v>—</v>
      </c>
      <c r="F212" s="13" t="str">
        <f>_xll.BDH("GILD US Equity","ARDR_CASH_HELD_OVERSEAS","FQ3 2019","FQ3 2019","Currency=USD","Period=FQ","BEST_FPERIOD_OVERRIDE=FQ","FILING_STATUS=MR","SCALING_FORMAT=MLN","Sort=A","Dates=H","DateFormat=P","Fill=—","Direction=H","UseDPDF=Y")</f>
        <v>—</v>
      </c>
      <c r="G212" s="13" t="str">
        <f>_xll.BDH("GILD US Equity","ARDR_CASH_HELD_OVERSEAS","FQ4 2019","FQ4 2019","Currency=USD","Period=FQ","BEST_FPERIOD_OVERRIDE=FQ","FILING_STATUS=MR","SCALING_FORMAT=MLN","Sort=A","Dates=H","DateFormat=P","Fill=—","Direction=H","UseDPDF=Y")</f>
        <v>—</v>
      </c>
      <c r="H212" s="13" t="str">
        <f>_xll.BDH("GILD US Equity","ARDR_CASH_HELD_OVERSEAS","FQ1 2020","FQ1 2020","Currency=USD","Period=FQ","BEST_FPERIOD_OVERRIDE=FQ","FILING_STATUS=MR","SCALING_FORMAT=MLN","Sort=A","Dates=H","DateFormat=P","Fill=—","Direction=H","UseDPDF=Y")</f>
        <v>—</v>
      </c>
      <c r="I212" s="13" t="str">
        <f>_xll.BDH("GILD US Equity","ARDR_CASH_HELD_OVERSEAS","FQ2 2020","FQ2 2020","Currency=USD","Period=FQ","BEST_FPERIOD_OVERRIDE=FQ","FILING_STATUS=MR","SCALING_FORMAT=MLN","Sort=A","Dates=H","DateFormat=P","Fill=—","Direction=H","UseDPDF=Y")</f>
        <v>—</v>
      </c>
      <c r="J212" s="13" t="str">
        <f>_xll.BDH("GILD US Equity","ARDR_CASH_HELD_OVERSEAS","FQ3 2020","FQ3 2020","Currency=USD","Period=FQ","BEST_FPERIOD_OVERRIDE=FQ","FILING_STATUS=MR","SCALING_FORMAT=MLN","Sort=A","Dates=H","DateFormat=P","Fill=—","Direction=H","UseDPDF=Y")</f>
        <v>—</v>
      </c>
      <c r="K212" s="13" t="str">
        <f>_xll.BDH("GILD US Equity","ARDR_CASH_HELD_OVERSEAS","FQ4 2020","FQ4 2020","Currency=USD","Period=FQ","BEST_FPERIOD_OVERRIDE=FQ","FILING_STATUS=MR","SCALING_FORMAT=MLN","Sort=A","Dates=H","DateFormat=P","Fill=—","Direction=H","UseDPDF=Y")</f>
        <v>—</v>
      </c>
      <c r="L212" s="13" t="str">
        <f>_xll.BDH("GILD US Equity","ARDR_CASH_HELD_OVERSEAS","FQ1 2021","FQ1 2021","Currency=USD","Period=FQ","BEST_FPERIOD_OVERRIDE=FQ","FILING_STATUS=MR","SCALING_FORMAT=MLN","Sort=A","Dates=H","DateFormat=P","Fill=—","Direction=H","UseDPDF=Y")</f>
        <v>—</v>
      </c>
      <c r="M212" s="13" t="str">
        <f>_xll.BDH("GILD US Equity","ARDR_CASH_HELD_OVERSEAS","FQ2 2021","FQ2 2021","Currency=USD","Period=FQ","BEST_FPERIOD_OVERRIDE=FQ","FILING_STATUS=MR","SCALING_FORMAT=MLN","Sort=A","Dates=H","DateFormat=P","Fill=—","Direction=H","UseDPDF=Y")</f>
        <v>—</v>
      </c>
      <c r="N212" s="13" t="str">
        <f>_xll.BDH("GILD US Equity","ARDR_CASH_HELD_OVERSEAS","FQ3 2021","FQ3 2021","Currency=USD","Period=FQ","BEST_FPERIOD_OVERRIDE=FQ","FILING_STATUS=MR","SCALING_FORMAT=MLN","Sort=A","Dates=H","DateFormat=P","Fill=—","Direction=H","UseDPDF=Y")</f>
        <v>—</v>
      </c>
      <c r="O212" s="13" t="str">
        <f>_xll.BDH("GILD US Equity","ARDR_CASH_HELD_OVERSEAS","FQ4 2021","FQ4 2021","Currency=USD","Period=FQ","BEST_FPERIOD_OVERRIDE=FQ","FILING_STATUS=MR","SCALING_FORMAT=MLN","Sort=A","Dates=H","DateFormat=P","Fill=—","Direction=H","UseDPDF=Y")</f>
        <v>—</v>
      </c>
      <c r="P212" s="13" t="str">
        <f>_xll.BDH("GILD US Equity","ARDR_CASH_HELD_OVERSEAS","FQ1 2022","FQ1 2022","Currency=USD","Period=FQ","BEST_FPERIOD_OVERRIDE=FQ","FILING_STATUS=MR","SCALING_FORMAT=MLN","Sort=A","Dates=H","DateFormat=P","Fill=—","Direction=H","UseDPDF=Y")</f>
        <v>—</v>
      </c>
      <c r="Q212" s="13" t="str">
        <f>_xll.BDH("GILD US Equity","ARDR_CASH_HELD_OVERSEAS","FQ2 2022","FQ2 2022","Currency=USD","Period=FQ","BEST_FPERIOD_OVERRIDE=FQ","FILING_STATUS=MR","SCALING_FORMAT=MLN","Sort=A","Dates=H","DateFormat=P","Fill=—","Direction=H","UseDPDF=Y")</f>
        <v>—</v>
      </c>
      <c r="R212" s="13" t="str">
        <f>_xll.BDH("GILD US Equity","ARDR_CASH_HELD_OVERSEAS","FQ3 2022","FQ3 2022","Currency=USD","Period=FQ","BEST_FPERIOD_OVERRIDE=FQ","FILING_STATUS=MR","SCALING_FORMAT=MLN","Sort=A","Dates=H","DateFormat=P","Fill=—","Direction=H","UseDPDF=Y")</f>
        <v>—</v>
      </c>
      <c r="S212" s="13" t="str">
        <f>_xll.BDH("GILD US Equity","ARDR_CASH_HELD_OVERSEAS","FQ4 2022","FQ4 2022","Currency=USD","Period=FQ","BEST_FPERIOD_OVERRIDE=FQ","FILING_STATUS=MR","SCALING_FORMAT=MLN","Sort=A","Dates=H","DateFormat=P","Fill=—","Direction=H","UseDPDF=Y")</f>
        <v>—</v>
      </c>
      <c r="T212" s="13" t="str">
        <f>_xll.BDH("GILD US Equity","ARDR_CASH_HELD_OVERSEAS","FQ1 2023","FQ1 2023","Currency=USD","Period=FQ","BEST_FPERIOD_OVERRIDE=FQ","FILING_STATUS=MR","SCALING_FORMAT=MLN","Sort=A","Dates=H","DateFormat=P","Fill=—","Direction=H","UseDPDF=Y")</f>
        <v>—</v>
      </c>
      <c r="U212" s="13" t="str">
        <f>_xll.BDH("GILD US Equity","ARDR_CASH_HELD_OVERSEAS","FQ2 2023","FQ2 2023","Currency=USD","Period=FQ","BEST_FPERIOD_OVERRIDE=FQ","FILING_STATUS=MR","SCALING_FORMAT=MLN","Sort=A","Dates=H","DateFormat=P","Fill=—","Direction=H","UseDPDF=Y")</f>
        <v>—</v>
      </c>
      <c r="V212" s="13" t="str">
        <f>_xll.BDH("GILD US Equity","ARDR_CASH_HELD_OVERSEAS","FQ3 2023","FQ3 2023","Currency=USD","Period=FQ","BEST_FPERIOD_OVERRIDE=FQ","FILING_STATUS=MR","SCALING_FORMAT=MLN","Sort=A","Dates=H","DateFormat=P","Fill=—","Direction=H","UseDPDF=Y")</f>
        <v>—</v>
      </c>
      <c r="W212" s="13" t="str">
        <f>_xll.BDH("GILD US Equity","ARDR_CASH_HELD_OVERSEAS","FQ4 2023","FQ4 2023","Currency=USD","Period=FQ","BEST_FPERIOD_OVERRIDE=FQ","FILING_STATUS=MR","SCALING_FORMAT=MLN","Sort=A","Dates=H","DateFormat=P","Fill=—","Direction=H","UseDPDF=Y")</f>
        <v>—</v>
      </c>
      <c r="X212" s="13" t="str">
        <f>_xll.BDH("GILD US Equity","ARDR_CASH_HELD_OVERSEAS","FQ1 2024","FQ1 2024","Currency=USD","Period=FQ","BEST_FPERIOD_OVERRIDE=FQ","FILING_STATUS=MR","SCALING_FORMAT=MLN","Sort=A","Dates=H","DateFormat=P","Fill=—","Direction=H","UseDPDF=Y")</f>
        <v>—</v>
      </c>
      <c r="Y212" s="13" t="str">
        <f>_xll.BDH("GILD US Equity","ARDR_CASH_HELD_OVERSEAS","FQ2 2024","FQ2 2024","Currency=USD","Period=FQ","BEST_FPERIOD_OVERRIDE=FQ","FILING_STATUS=MR","SCALING_FORMAT=MLN","Sort=A","Dates=H","DateFormat=P","Fill=—","Direction=H","UseDPDF=Y")</f>
        <v>—</v>
      </c>
      <c r="Z212" s="13" t="str">
        <f>_xll.BDH("GILD US Equity","ARDR_CASH_HELD_OVERSEAS","FQ3 2024","FQ3 2024","Currency=USD","Period=FQ","BEST_FPERIOD_OVERRIDE=FQ","FILING_STATUS=MR","SCALING_FORMAT=MLN","Sort=A","Dates=H","DateFormat=P","Fill=—","Direction=H","UseDPDF=Y")</f>
        <v>—</v>
      </c>
      <c r="AA212" s="13" t="str">
        <f>_xll.BDH("GILD US Equity","ARDR_CASH_HELD_OVERSEAS","FQ4 2024","FQ4 2024","Currency=USD","Period=FQ","BEST_FPERIOD_OVERRIDE=FQ","FILING_STATUS=MR","SCALING_FORMAT=MLN","Sort=A","Dates=H","DateFormat=P","Fill=—","Direction=H","UseDPDF=Y")</f>
        <v>—</v>
      </c>
    </row>
    <row r="213" spans="1:27" x14ac:dyDescent="0.25">
      <c r="A213" s="10" t="s">
        <v>1283</v>
      </c>
      <c r="B213" s="10" t="s">
        <v>1284</v>
      </c>
      <c r="C213" s="13" t="str">
        <f>_xll.BDH("GILD US Equity","ARDR_REM_#_SHS_AUTH_UND_REP_PROG","FQ4 2018","FQ4 2018","Currency=USD","Period=FQ","BEST_FPERIOD_OVERRIDE=FQ","FILING_STATUS=MR","Sort=A","Dates=H","DateFormat=P","Fill=—","Direction=H","UseDPDF=Y")</f>
        <v>—</v>
      </c>
      <c r="D213" s="13" t="str">
        <f>_xll.BDH("GILD US Equity","ARDR_REM_#_SHS_AUTH_UND_REP_PROG","FQ1 2019","FQ1 2019","Currency=USD","Period=FQ","BEST_FPERIOD_OVERRIDE=FQ","FILING_STATUS=MR","Sort=A","Dates=H","DateFormat=P","Fill=—","Direction=H","UseDPDF=Y")</f>
        <v>—</v>
      </c>
      <c r="E213" s="13" t="str">
        <f>_xll.BDH("GILD US Equity","ARDR_REM_#_SHS_AUTH_UND_REP_PROG","FQ2 2019","FQ2 2019","Currency=USD","Period=FQ","BEST_FPERIOD_OVERRIDE=FQ","FILING_STATUS=MR","Sort=A","Dates=H","DateFormat=P","Fill=—","Direction=H","UseDPDF=Y")</f>
        <v>—</v>
      </c>
      <c r="F213" s="13" t="str">
        <f>_xll.BDH("GILD US Equity","ARDR_REM_#_SHS_AUTH_UND_REP_PROG","FQ3 2019","FQ3 2019","Currency=USD","Period=FQ","BEST_FPERIOD_OVERRIDE=FQ","FILING_STATUS=MR","Sort=A","Dates=H","DateFormat=P","Fill=—","Direction=H","UseDPDF=Y")</f>
        <v>—</v>
      </c>
      <c r="G213" s="13" t="str">
        <f>_xll.BDH("GILD US Equity","ARDR_REM_#_SHS_AUTH_UND_REP_PROG","FQ4 2019","FQ4 2019","Currency=USD","Period=FQ","BEST_FPERIOD_OVERRIDE=FQ","FILING_STATUS=MR","Sort=A","Dates=H","DateFormat=P","Fill=—","Direction=H","UseDPDF=Y")</f>
        <v>—</v>
      </c>
      <c r="H213" s="13" t="str">
        <f>_xll.BDH("GILD US Equity","ARDR_REM_#_SHS_AUTH_UND_REP_PROG","FQ1 2020","FQ1 2020","Currency=USD","Period=FQ","BEST_FPERIOD_OVERRIDE=FQ","FILING_STATUS=MR","Sort=A","Dates=H","DateFormat=P","Fill=—","Direction=H","UseDPDF=Y")</f>
        <v>—</v>
      </c>
      <c r="I213" s="13" t="str">
        <f>_xll.BDH("GILD US Equity","ARDR_REM_#_SHS_AUTH_UND_REP_PROG","FQ2 2020","FQ2 2020","Currency=USD","Period=FQ","BEST_FPERIOD_OVERRIDE=FQ","FILING_STATUS=MR","Sort=A","Dates=H","DateFormat=P","Fill=—","Direction=H","UseDPDF=Y")</f>
        <v>—</v>
      </c>
      <c r="J213" s="13" t="str">
        <f>_xll.BDH("GILD US Equity","ARDR_REM_#_SHS_AUTH_UND_REP_PROG","FQ3 2020","FQ3 2020","Currency=USD","Period=FQ","BEST_FPERIOD_OVERRIDE=FQ","FILING_STATUS=MR","Sort=A","Dates=H","DateFormat=P","Fill=—","Direction=H","UseDPDF=Y")</f>
        <v>—</v>
      </c>
      <c r="K213" s="13" t="str">
        <f>_xll.BDH("GILD US Equity","ARDR_REM_#_SHS_AUTH_UND_REP_PROG","FQ4 2020","FQ4 2020","Currency=USD","Period=FQ","BEST_FPERIOD_OVERRIDE=FQ","FILING_STATUS=MR","Sort=A","Dates=H","DateFormat=P","Fill=—","Direction=H","UseDPDF=Y")</f>
        <v>—</v>
      </c>
      <c r="L213" s="13" t="str">
        <f>_xll.BDH("GILD US Equity","ARDR_REM_#_SHS_AUTH_UND_REP_PROG","FQ1 2021","FQ1 2021","Currency=USD","Period=FQ","BEST_FPERIOD_OVERRIDE=FQ","FILING_STATUS=MR","Sort=A","Dates=H","DateFormat=P","Fill=—","Direction=H","UseDPDF=Y")</f>
        <v>—</v>
      </c>
      <c r="M213" s="13" t="str">
        <f>_xll.BDH("GILD US Equity","ARDR_REM_#_SHS_AUTH_UND_REP_PROG","FQ2 2021","FQ2 2021","Currency=USD","Period=FQ","BEST_FPERIOD_OVERRIDE=FQ","FILING_STATUS=MR","Sort=A","Dates=H","DateFormat=P","Fill=—","Direction=H","UseDPDF=Y")</f>
        <v>—</v>
      </c>
      <c r="N213" s="13" t="str">
        <f>_xll.BDH("GILD US Equity","ARDR_REM_#_SHS_AUTH_UND_REP_PROG","FQ3 2021","FQ3 2021","Currency=USD","Period=FQ","BEST_FPERIOD_OVERRIDE=FQ","FILING_STATUS=MR","Sort=A","Dates=H","DateFormat=P","Fill=—","Direction=H","UseDPDF=Y")</f>
        <v>—</v>
      </c>
      <c r="O213" s="13" t="str">
        <f>_xll.BDH("GILD US Equity","ARDR_REM_#_SHS_AUTH_UND_REP_PROG","FQ4 2021","FQ4 2021","Currency=USD","Period=FQ","BEST_FPERIOD_OVERRIDE=FQ","FILING_STATUS=MR","Sort=A","Dates=H","DateFormat=P","Fill=—","Direction=H","UseDPDF=Y")</f>
        <v>—</v>
      </c>
      <c r="P213" s="13" t="str">
        <f>_xll.BDH("GILD US Equity","ARDR_REM_#_SHS_AUTH_UND_REP_PROG","FQ1 2022","FQ1 2022","Currency=USD","Period=FQ","BEST_FPERIOD_OVERRIDE=FQ","FILING_STATUS=MR","Sort=A","Dates=H","DateFormat=P","Fill=—","Direction=H","UseDPDF=Y")</f>
        <v>—</v>
      </c>
      <c r="Q213" s="13" t="str">
        <f>_xll.BDH("GILD US Equity","ARDR_REM_#_SHS_AUTH_UND_REP_PROG","FQ2 2022","FQ2 2022","Currency=USD","Period=FQ","BEST_FPERIOD_OVERRIDE=FQ","FILING_STATUS=MR","Sort=A","Dates=H","DateFormat=P","Fill=—","Direction=H","UseDPDF=Y")</f>
        <v>—</v>
      </c>
      <c r="R213" s="13" t="str">
        <f>_xll.BDH("GILD US Equity","ARDR_REM_#_SHS_AUTH_UND_REP_PROG","FQ3 2022","FQ3 2022","Currency=USD","Period=FQ","BEST_FPERIOD_OVERRIDE=FQ","FILING_STATUS=MR","Sort=A","Dates=H","DateFormat=P","Fill=—","Direction=H","UseDPDF=Y")</f>
        <v>—</v>
      </c>
      <c r="S213" s="13" t="str">
        <f>_xll.BDH("GILD US Equity","ARDR_REM_#_SHS_AUTH_UND_REP_PROG","FQ4 2022","FQ4 2022","Currency=USD","Period=FQ","BEST_FPERIOD_OVERRIDE=FQ","FILING_STATUS=MR","Sort=A","Dates=H","DateFormat=P","Fill=—","Direction=H","UseDPDF=Y")</f>
        <v>—</v>
      </c>
      <c r="T213" s="13" t="str">
        <f>_xll.BDH("GILD US Equity","ARDR_REM_#_SHS_AUTH_UND_REP_PROG","FQ1 2023","FQ1 2023","Currency=USD","Period=FQ","BEST_FPERIOD_OVERRIDE=FQ","FILING_STATUS=MR","Sort=A","Dates=H","DateFormat=P","Fill=—","Direction=H","UseDPDF=Y")</f>
        <v>—</v>
      </c>
      <c r="U213" s="13" t="str">
        <f>_xll.BDH("GILD US Equity","ARDR_REM_#_SHS_AUTH_UND_REP_PROG","FQ2 2023","FQ2 2023","Currency=USD","Period=FQ","BEST_FPERIOD_OVERRIDE=FQ","FILING_STATUS=MR","Sort=A","Dates=H","DateFormat=P","Fill=—","Direction=H","UseDPDF=Y")</f>
        <v>—</v>
      </c>
      <c r="V213" s="13" t="str">
        <f>_xll.BDH("GILD US Equity","ARDR_REM_#_SHS_AUTH_UND_REP_PROG","FQ3 2023","FQ3 2023","Currency=USD","Period=FQ","BEST_FPERIOD_OVERRIDE=FQ","FILING_STATUS=MR","Sort=A","Dates=H","DateFormat=P","Fill=—","Direction=H","UseDPDF=Y")</f>
        <v>—</v>
      </c>
      <c r="W213" s="13" t="str">
        <f>_xll.BDH("GILD US Equity","ARDR_REM_#_SHS_AUTH_UND_REP_PROG","FQ4 2023","FQ4 2023","Currency=USD","Period=FQ","BEST_FPERIOD_OVERRIDE=FQ","FILING_STATUS=MR","Sort=A","Dates=H","DateFormat=P","Fill=—","Direction=H","UseDPDF=Y")</f>
        <v>—</v>
      </c>
      <c r="X213" s="13" t="str">
        <f>_xll.BDH("GILD US Equity","ARDR_REM_#_SHS_AUTH_UND_REP_PROG","FQ1 2024","FQ1 2024","Currency=USD","Period=FQ","BEST_FPERIOD_OVERRIDE=FQ","FILING_STATUS=MR","Sort=A","Dates=H","DateFormat=P","Fill=—","Direction=H","UseDPDF=Y")</f>
        <v>—</v>
      </c>
      <c r="Y213" s="13">
        <f>_xll.BDH("GILD US Equity","ARDR_REM_#_SHS_AUTH_UND_REP_PROG","FQ2 2024","FQ2 2024","Currency=USD","Period=FQ","BEST_FPERIOD_OVERRIDE=FQ","FILING_STATUS=MR","Sort=A","Dates=H","DateFormat=P","Fill=—","Direction=H","UseDPDF=Y")</f>
        <v>3374</v>
      </c>
      <c r="Z213" s="13" t="str">
        <f>_xll.BDH("GILD US Equity","ARDR_REM_#_SHS_AUTH_UND_REP_PROG","FQ3 2024","FQ3 2024","Currency=USD","Period=FQ","BEST_FPERIOD_OVERRIDE=FQ","FILING_STATUS=MR","Sort=A","Dates=H","DateFormat=P","Fill=—","Direction=H","UseDPDF=Y")</f>
        <v>—</v>
      </c>
      <c r="AA213" s="13" t="str">
        <f>_xll.BDH("GILD US Equity","ARDR_REM_#_SHS_AUTH_UND_REP_PROG","FQ4 2024","FQ4 2024","Currency=USD","Period=FQ","BEST_FPERIOD_OVERRIDE=FQ","FILING_STATUS=MR","Sort=A","Dates=H","DateFormat=P","Fill=—","Direction=H","UseDPDF=Y")</f>
        <v>—</v>
      </c>
    </row>
    <row r="214" spans="1:27" x14ac:dyDescent="0.25">
      <c r="A214" s="10" t="s">
        <v>1285</v>
      </c>
      <c r="B214" s="10" t="s">
        <v>1286</v>
      </c>
      <c r="C214" s="13">
        <f>_xll.BDH("GILD US Equity","ARDR_#_SHS_REPURCH_FR_REP_PROG","FQ4 2018","FQ4 2018","Currency=USD","Period=FQ","BEST_FPERIOD_OVERRIDE=FQ","FILING_STATUS=MR","Sort=A","Dates=H","DateFormat=P","Fill=—","Direction=H","UseDPDF=Y")</f>
        <v>14.055</v>
      </c>
      <c r="D214" s="13">
        <f>_xll.BDH("GILD US Equity","ARDR_#_SHS_REPURCH_FR_REP_PROG","FQ1 2019","FQ1 2019","Currency=USD","Period=FQ","BEST_FPERIOD_OVERRIDE=FQ","FILING_STATUS=MR","Sort=A","Dates=H","DateFormat=P","Fill=—","Direction=H","UseDPDF=Y")</f>
        <v>12.372999999999999</v>
      </c>
      <c r="E214" s="13">
        <f>_xll.BDH("GILD US Equity","ARDR_#_SHS_REPURCH_FR_REP_PROG","FQ2 2019","FQ2 2019","Currency=USD","Period=FQ","BEST_FPERIOD_OVERRIDE=FQ","FILING_STATUS=MR","Sort=A","Dates=H","DateFormat=P","Fill=—","Direction=H","UseDPDF=Y")</f>
        <v>8.94</v>
      </c>
      <c r="F214" s="13">
        <f>_xll.BDH("GILD US Equity","ARDR_#_SHS_REPURCH_FR_REP_PROG","FQ3 2019","FQ3 2019","Currency=USD","Period=FQ","BEST_FPERIOD_OVERRIDE=FQ","FILING_STATUS=MR","Sort=A","Dates=H","DateFormat=P","Fill=—","Direction=H","UseDPDF=Y")</f>
        <v>3.419</v>
      </c>
      <c r="G214" s="13">
        <f>_xll.BDH("GILD US Equity","ARDR_#_SHS_REPURCH_FR_REP_PROG","FQ4 2019","FQ4 2019","Currency=USD","Period=FQ","BEST_FPERIOD_OVERRIDE=FQ","FILING_STATUS=MR","Sort=A","Dates=H","DateFormat=P","Fill=—","Direction=H","UseDPDF=Y")</f>
        <v>1.617</v>
      </c>
      <c r="H214" s="13">
        <f>_xll.BDH("GILD US Equity","ARDR_#_SHS_REPURCH_FR_REP_PROG","FQ1 2020","FQ1 2020","Currency=USD","Period=FQ","BEST_FPERIOD_OVERRIDE=FQ","FILING_STATUS=MR","Sort=A","Dates=H","DateFormat=P","Fill=—","Direction=H","UseDPDF=Y")</f>
        <v>18.748999999999999</v>
      </c>
      <c r="I214" s="13">
        <f>_xll.BDH("GILD US Equity","ARDR_#_SHS_REPURCH_FR_REP_PROG","FQ2 2020","FQ2 2020","Currency=USD","Period=FQ","BEST_FPERIOD_OVERRIDE=FQ","FILING_STATUS=MR","Sort=A","Dates=H","DateFormat=P","Fill=—","Direction=H","UseDPDF=Y")</f>
        <v>19.449000000000002</v>
      </c>
      <c r="J214" s="13">
        <f>_xll.BDH("GILD US Equity","ARDR_#_SHS_REPURCH_FR_REP_PROG","FQ3 2020","FQ3 2020","Currency=USD","Period=FQ","BEST_FPERIOD_OVERRIDE=FQ","FILING_STATUS=MR","Sort=A","Dates=H","DateFormat=P","Fill=—","Direction=H","UseDPDF=Y")</f>
        <v>2.96</v>
      </c>
      <c r="K214" s="13">
        <f>_xll.BDH("GILD US Equity","ARDR_#_SHS_REPURCH_FR_REP_PROG","FQ4 2020","FQ4 2020","Currency=USD","Period=FQ","BEST_FPERIOD_OVERRIDE=FQ","FILING_STATUS=MR","Sort=A","Dates=H","DateFormat=P","Fill=—","Direction=H","UseDPDF=Y")</f>
        <v>0.23200000000000001</v>
      </c>
      <c r="L214" s="13">
        <f>_xll.BDH("GILD US Equity","ARDR_#_SHS_REPURCH_FR_REP_PROG","FQ1 2021","FQ1 2021","Currency=USD","Period=FQ","BEST_FPERIOD_OVERRIDE=FQ","FILING_STATUS=MR","Sort=A","Dates=H","DateFormat=P","Fill=—","Direction=H","UseDPDF=Y")</f>
        <v>4.7709999999999999</v>
      </c>
      <c r="M214" s="13">
        <f>_xll.BDH("GILD US Equity","ARDR_#_SHS_REPURCH_FR_REP_PROG","FQ2 2021","FQ2 2021","Currency=USD","Period=FQ","BEST_FPERIOD_OVERRIDE=FQ","FILING_STATUS=MR","Sort=A","Dates=H","DateFormat=P","Fill=—","Direction=H","UseDPDF=Y")</f>
        <v>0.64500000000000002</v>
      </c>
      <c r="N214" s="13">
        <f>_xll.BDH("GILD US Equity","ARDR_#_SHS_REPURCH_FR_REP_PROG","FQ3 2021","FQ3 2021","Currency=USD","Period=FQ","BEST_FPERIOD_OVERRIDE=FQ","FILING_STATUS=MR","Sort=A","Dates=H","DateFormat=P","Fill=—","Direction=H","UseDPDF=Y")</f>
        <v>2.0659999999999998</v>
      </c>
      <c r="O214" s="13">
        <f>_xll.BDH("GILD US Equity","ARDR_#_SHS_REPURCH_FR_REP_PROG","FQ4 2021","FQ4 2021","Currency=USD","Period=FQ","BEST_FPERIOD_OVERRIDE=FQ","FILING_STATUS=MR","Sort=A","Dates=H","DateFormat=P","Fill=—","Direction=H","UseDPDF=Y")</f>
        <v>0.71899999999999997</v>
      </c>
      <c r="P214" s="13">
        <f>_xll.BDH("GILD US Equity","ARDR_#_SHS_REPURCH_FR_REP_PROG","FQ1 2022","FQ1 2022","Currency=USD","Period=FQ","BEST_FPERIOD_OVERRIDE=FQ","FILING_STATUS=MR","Sort=A","Dates=H","DateFormat=P","Fill=—","Direction=H","UseDPDF=Y")</f>
        <v>5.5259999999999998</v>
      </c>
      <c r="Q214" s="13">
        <f>_xll.BDH("GILD US Equity","ARDR_#_SHS_REPURCH_FR_REP_PROG","FQ2 2022","FQ2 2022","Currency=USD","Period=FQ","BEST_FPERIOD_OVERRIDE=FQ","FILING_STATUS=MR","Sort=A","Dates=H","DateFormat=P","Fill=—","Direction=H","UseDPDF=Y")</f>
        <v>1.165</v>
      </c>
      <c r="R214" s="13">
        <f>_xll.BDH("GILD US Equity","ARDR_#_SHS_REPURCH_FR_REP_PROG","FQ3 2022","FQ3 2022","Currency=USD","Period=FQ","BEST_FPERIOD_OVERRIDE=FQ","FILING_STATUS=MR","Sort=A","Dates=H","DateFormat=P","Fill=—","Direction=H","UseDPDF=Y")</f>
        <v>2.8530000000000002</v>
      </c>
      <c r="S214" s="13">
        <f>_xll.BDH("GILD US Equity","ARDR_#_SHS_REPURCH_FR_REP_PROG","FQ4 2022","FQ4 2022","Currency=USD","Period=FQ","BEST_FPERIOD_OVERRIDE=FQ","FILING_STATUS=MR","Sort=A","Dates=H","DateFormat=P","Fill=—","Direction=H","UseDPDF=Y")</f>
        <v>9.3740000000000006</v>
      </c>
      <c r="T214" s="13">
        <f>_xll.BDH("GILD US Equity","ARDR_#_SHS_REPURCH_FR_REP_PROG","FQ1 2023","FQ1 2023","Currency=USD","Period=FQ","BEST_FPERIOD_OVERRIDE=FQ","FILING_STATUS=MR","Sort=A","Dates=H","DateFormat=P","Fill=—","Direction=H","UseDPDF=Y")</f>
        <v>4.8620000000000001</v>
      </c>
      <c r="U214" s="13">
        <f>_xll.BDH("GILD US Equity","ARDR_#_SHS_REPURCH_FR_REP_PROG","FQ2 2023","FQ2 2023","Currency=USD","Period=FQ","BEST_FPERIOD_OVERRIDE=FQ","FILING_STATUS=MR","Sort=A","Dates=H","DateFormat=P","Fill=—","Direction=H","UseDPDF=Y")</f>
        <v>2.2959999999999998</v>
      </c>
      <c r="V214" s="13">
        <f>_xll.BDH("GILD US Equity","ARDR_#_SHS_REPURCH_FR_REP_PROG","FQ3 2023","FQ3 2023","Currency=USD","Period=FQ","BEST_FPERIOD_OVERRIDE=FQ","FILING_STATUS=MR","Sort=A","Dates=H","DateFormat=P","Fill=—","Direction=H","UseDPDF=Y")</f>
        <v>3.8929999999999998</v>
      </c>
      <c r="W214" s="13">
        <f>_xll.BDH("GILD US Equity","ARDR_#_SHS_REPURCH_FR_REP_PROG","FQ4 2023","FQ4 2023","Currency=USD","Period=FQ","BEST_FPERIOD_OVERRIDE=FQ","FILING_STATUS=MR","Sort=A","Dates=H","DateFormat=P","Fill=—","Direction=H","UseDPDF=Y")</f>
        <v>13</v>
      </c>
      <c r="X214" s="13">
        <f>_xll.BDH("GILD US Equity","ARDR_#_SHS_REPURCH_FR_REP_PROG","FQ1 2024","FQ1 2024","Currency=USD","Period=FQ","BEST_FPERIOD_OVERRIDE=FQ","FILING_STATUS=MR","Sort=A","Dates=H","DateFormat=P","Fill=—","Direction=H","UseDPDF=Y")</f>
        <v>5.2039999999999997</v>
      </c>
      <c r="Y214" s="13">
        <f>_xll.BDH("GILD US Equity","ARDR_#_SHS_REPURCH_FR_REP_PROG","FQ2 2024","FQ2 2024","Currency=USD","Period=FQ","BEST_FPERIOD_OVERRIDE=FQ","FILING_STATUS=MR","Sort=A","Dates=H","DateFormat=P","Fill=—","Direction=H","UseDPDF=Y")</f>
        <v>2.0070000000000001</v>
      </c>
      <c r="Z214" s="13">
        <f>_xll.BDH("GILD US Equity","ARDR_#_SHS_REPURCH_FR_REP_PROG","FQ3 2024","FQ3 2024","Currency=USD","Period=FQ","BEST_FPERIOD_OVERRIDE=FQ","FILING_STATUS=MR","Sort=A","Dates=H","DateFormat=P","Fill=—","Direction=H","UseDPDF=Y")</f>
        <v>3.9329999999999998</v>
      </c>
      <c r="AA214" s="13">
        <f>_xll.BDH("GILD US Equity","ARDR_#_SHS_REPURCH_FR_REP_PROG","FQ4 2024","FQ4 2024","Currency=USD","Period=FQ","BEST_FPERIOD_OVERRIDE=FQ","FILING_STATUS=MR","Sort=A","Dates=H","DateFormat=P","Fill=—","Direction=H","UseDPDF=Y")</f>
        <v>3.8250000000000002</v>
      </c>
    </row>
    <row r="215" spans="1:27" x14ac:dyDescent="0.25">
      <c r="A215" s="7" t="s">
        <v>90</v>
      </c>
      <c r="B215" s="7"/>
      <c r="C215" s="7" t="s">
        <v>5</v>
      </c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00"/>
  <sheetViews>
    <sheetView workbookViewId="0">
      <selection activeCell="L15" sqref="A1:XFD1048576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1287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112</v>
      </c>
      <c r="B6" s="6" t="s">
        <v>113</v>
      </c>
      <c r="C6" s="19">
        <f>_xll.BDH("GILD US Equity","BS_TOT_ASSET","FQ4 2018","FQ4 2018","Currency=USD","Period=FQ","BEST_FPERIOD_OVERRIDE=FQ","FILING_STATUS=MR","SCALING_FORMAT=MLN","Sort=A","Dates=H","DateFormat=P","Fill=—","Direction=H","UseDPDF=Y")</f>
        <v>63675</v>
      </c>
      <c r="D6" s="19">
        <f>_xll.BDH("GILD US Equity","BS_TOT_ASSET","FQ1 2019","FQ1 2019","Currency=USD","Period=FQ","BEST_FPERIOD_OVERRIDE=FQ","FILING_STATUS=MR","SCALING_FORMAT=MLN","Sort=A","Dates=H","DateFormat=P","Fill=—","Direction=H","UseDPDF=Y")</f>
        <v>62837</v>
      </c>
      <c r="E6" s="19">
        <f>_xll.BDH("GILD US Equity","BS_TOT_ASSET","FQ2 2019","FQ2 2019","Currency=USD","Period=FQ","BEST_FPERIOD_OVERRIDE=FQ","FILING_STATUS=MR","SCALING_FORMAT=MLN","Sort=A","Dates=H","DateFormat=P","Fill=—","Direction=H","UseDPDF=Y")</f>
        <v>63210</v>
      </c>
      <c r="F6" s="19">
        <f>_xll.BDH("GILD US Equity","BS_TOT_ASSET","FQ3 2019","FQ3 2019","Currency=USD","Period=FQ","BEST_FPERIOD_OVERRIDE=FQ","FILING_STATUS=MR","SCALING_FORMAT=MLN","Sort=A","Dates=H","DateFormat=P","Fill=—","Direction=H","UseDPDF=Y")</f>
        <v>59146</v>
      </c>
      <c r="G6" s="19">
        <f>_xll.BDH("GILD US Equity","BS_TOT_ASSET","FQ4 2019","FQ4 2019","Currency=USD","Period=FQ","BEST_FPERIOD_OVERRIDE=FQ","FILING_STATUS=MR","SCALING_FORMAT=MLN","Sort=A","Dates=H","DateFormat=P","Fill=—","Direction=H","UseDPDF=Y")</f>
        <v>61627</v>
      </c>
      <c r="H6" s="19">
        <f>_xll.BDH("GILD US Equity","BS_TOT_ASSET","FQ1 2020","FQ1 2020","Currency=USD","Period=FQ","BEST_FPERIOD_OVERRIDE=FQ","FILING_STATUS=MR","SCALING_FORMAT=MLN","Sort=A","Dates=H","DateFormat=P","Fill=—","Direction=H","UseDPDF=Y")</f>
        <v>59741</v>
      </c>
      <c r="I6" s="19">
        <f>_xll.BDH("GILD US Equity","BS_TOT_ASSET","FQ2 2020","FQ2 2020","Currency=USD","Period=FQ","BEST_FPERIOD_OVERRIDE=FQ","FILING_STATUS=MR","SCALING_FORMAT=MLN","Sort=A","Dates=H","DateFormat=P","Fill=—","Direction=H","UseDPDF=Y")</f>
        <v>55934</v>
      </c>
      <c r="J6" s="19">
        <f>_xll.BDH("GILD US Equity","BS_TOT_ASSET","FQ3 2020","FQ3 2020","Currency=USD","Period=FQ","BEST_FPERIOD_OVERRIDE=FQ","FILING_STATUS=MR","SCALING_FORMAT=MLN","Sort=A","Dates=H","DateFormat=P","Fill=—","Direction=H","UseDPDF=Y")</f>
        <v>60878</v>
      </c>
      <c r="K6" s="19">
        <f>_xll.BDH("GILD US Equity","BS_TOT_ASSET","FQ4 2020","FQ4 2020","Currency=USD","Period=FQ","BEST_FPERIOD_OVERRIDE=FQ","FILING_STATUS=MR","SCALING_FORMAT=MLN","Sort=A","Dates=H","DateFormat=P","Fill=—","Direction=H","UseDPDF=Y")</f>
        <v>68407</v>
      </c>
      <c r="L6" s="19">
        <f>_xll.BDH("GILD US Equity","BS_TOT_ASSET","FQ1 2021","FQ1 2021","Currency=USD","Period=FQ","BEST_FPERIOD_OVERRIDE=FQ","FILING_STATUS=MR","SCALING_FORMAT=MLN","Sort=A","Dates=H","DateFormat=P","Fill=—","Direction=H","UseDPDF=Y")</f>
        <v>67492</v>
      </c>
      <c r="M6" s="19">
        <f>_xll.BDH("GILD US Equity","BS_TOT_ASSET","FQ2 2021","FQ2 2021","Currency=USD","Period=FQ","BEST_FPERIOD_OVERRIDE=FQ","FILING_STATUS=MR","SCALING_FORMAT=MLN","Sort=A","Dates=H","DateFormat=P","Fill=—","Direction=H","UseDPDF=Y")</f>
        <v>67984</v>
      </c>
      <c r="N6" s="19">
        <f>_xll.BDH("GILD US Equity","BS_TOT_ASSET","FQ3 2021","FQ3 2021","Currency=USD","Period=FQ","BEST_FPERIOD_OVERRIDE=FQ","FILING_STATUS=MR","SCALING_FORMAT=MLN","Sort=A","Dates=H","DateFormat=P","Fill=—","Direction=H","UseDPDF=Y")</f>
        <v>67098</v>
      </c>
      <c r="O6" s="19">
        <f>_xll.BDH("GILD US Equity","BS_TOT_ASSET","FQ4 2021","FQ4 2021","Currency=USD","Period=FQ","BEST_FPERIOD_OVERRIDE=FQ","FILING_STATUS=MR","SCALING_FORMAT=MLN","Sort=A","Dates=H","DateFormat=P","Fill=—","Direction=H","UseDPDF=Y")</f>
        <v>67952</v>
      </c>
      <c r="P6" s="19">
        <f>_xll.BDH("GILD US Equity","BS_TOT_ASSET","FQ1 2022","FQ1 2022","Currency=USD","Period=FQ","BEST_FPERIOD_OVERRIDE=FQ","FILING_STATUS=MR","SCALING_FORMAT=MLN","Sort=A","Dates=H","DateFormat=P","Fill=—","Direction=H","UseDPDF=Y")</f>
        <v>63080</v>
      </c>
      <c r="Q6" s="19">
        <f>_xll.BDH("GILD US Equity","BS_TOT_ASSET","FQ2 2022","FQ2 2022","Currency=USD","Period=FQ","BEST_FPERIOD_OVERRIDE=FQ","FILING_STATUS=MR","SCALING_FORMAT=MLN","Sort=A","Dates=H","DateFormat=P","Fill=—","Direction=H","UseDPDF=Y")</f>
        <v>62870</v>
      </c>
      <c r="R6" s="19">
        <f>_xll.BDH("GILD US Equity","BS_TOT_ASSET","FQ3 2022","FQ3 2022","Currency=USD","Period=FQ","BEST_FPERIOD_OVERRIDE=FQ","FILING_STATUS=MR","SCALING_FORMAT=MLN","Sort=A","Dates=H","DateFormat=P","Fill=—","Direction=H","UseDPDF=Y")</f>
        <v>62557</v>
      </c>
      <c r="S6" s="19">
        <f>_xll.BDH("GILD US Equity","BS_TOT_ASSET","FQ4 2022","FQ4 2022","Currency=USD","Period=FQ","BEST_FPERIOD_OVERRIDE=FQ","FILING_STATUS=MR","SCALING_FORMAT=MLN","Sort=A","Dates=H","DateFormat=P","Fill=—","Direction=H","UseDPDF=Y")</f>
        <v>63171</v>
      </c>
      <c r="T6" s="19">
        <f>_xll.BDH("GILD US Equity","BS_TOT_ASSET","FQ1 2023","FQ1 2023","Currency=USD","Period=FQ","BEST_FPERIOD_OVERRIDE=FQ","FILING_STATUS=MR","SCALING_FORMAT=MLN","Sort=A","Dates=H","DateFormat=P","Fill=—","Direction=H","UseDPDF=Y")</f>
        <v>61876</v>
      </c>
      <c r="U6" s="19">
        <f>_xll.BDH("GILD US Equity","BS_TOT_ASSET","FQ2 2023","FQ2 2023","Currency=USD","Period=FQ","BEST_FPERIOD_OVERRIDE=FQ","FILING_STATUS=MR","SCALING_FORMAT=MLN","Sort=A","Dates=H","DateFormat=P","Fill=—","Direction=H","UseDPDF=Y")</f>
        <v>62337</v>
      </c>
      <c r="V6" s="19">
        <f>_xll.BDH("GILD US Equity","BS_TOT_ASSET","FQ3 2023","FQ3 2023","Currency=USD","Period=FQ","BEST_FPERIOD_OVERRIDE=FQ","FILING_STATUS=MR","SCALING_FORMAT=MLN","Sort=A","Dates=H","DateFormat=P","Fill=—","Direction=H","UseDPDF=Y")</f>
        <v>62373</v>
      </c>
      <c r="W6" s="19">
        <f>_xll.BDH("GILD US Equity","BS_TOT_ASSET","FQ4 2023","FQ4 2023","Currency=USD","Period=FQ","BEST_FPERIOD_OVERRIDE=FQ","FILING_STATUS=MR","SCALING_FORMAT=MLN","Sort=A","Dates=H","DateFormat=P","Fill=—","Direction=H","UseDPDF=Y")</f>
        <v>62125</v>
      </c>
      <c r="X6" s="19">
        <f>_xll.BDH("GILD US Equity","BS_TOT_ASSET","FQ1 2024","FQ1 2024","Currency=USD","Period=FQ","BEST_FPERIOD_OVERRIDE=FQ","FILING_STATUS=MR","SCALING_FORMAT=MLN","Sort=A","Dates=H","DateFormat=P","Fill=—","Direction=H","UseDPDF=Y")</f>
        <v>56292</v>
      </c>
      <c r="Y6" s="19">
        <f>_xll.BDH("GILD US Equity","BS_TOT_ASSET","FQ2 2024","FQ2 2024","Currency=USD","Period=FQ","BEST_FPERIOD_OVERRIDE=FQ","FILING_STATUS=MR","SCALING_FORMAT=MLN","Sort=A","Dates=H","DateFormat=P","Fill=—","Direction=H","UseDPDF=Y")</f>
        <v>53579</v>
      </c>
      <c r="Z6" s="19">
        <f>_xll.BDH("GILD US Equity","BS_TOT_ASSET","FQ3 2024","FQ3 2024","Currency=USD","Period=FQ","BEST_FPERIOD_OVERRIDE=FQ","FILING_STATUS=MR","SCALING_FORMAT=MLN","Sort=A","Dates=H","DateFormat=P","Fill=—","Direction=H","UseDPDF=Y")</f>
        <v>54525</v>
      </c>
      <c r="AA6" s="19">
        <f>_xll.BDH("GILD US Equity","BS_TOT_ASSET","FQ4 2024","FQ4 2024","Currency=USD","Period=FQ","BEST_FPERIOD_OVERRIDE=FQ","FILING_STATUS=MR","SCALING_FORMAT=MLN","Sort=A","Dates=H","DateFormat=P","Fill=—","Direction=H","UseDPDF=Y")</f>
        <v>58995</v>
      </c>
    </row>
    <row r="7" spans="1:27" x14ac:dyDescent="0.25">
      <c r="A7" s="6" t="s">
        <v>112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x14ac:dyDescent="0.25">
      <c r="A8" s="10" t="s">
        <v>744</v>
      </c>
      <c r="B8" s="10" t="s">
        <v>745</v>
      </c>
      <c r="C8" s="13">
        <v>47.2540243423636</v>
      </c>
      <c r="D8" s="13">
        <v>44.406957684166997</v>
      </c>
      <c r="E8" s="13">
        <v>43.004271476032301</v>
      </c>
      <c r="F8" s="13">
        <v>38.643357116288499</v>
      </c>
      <c r="G8" s="13">
        <v>39.515147581417203</v>
      </c>
      <c r="H8" s="13">
        <v>34.791851492275001</v>
      </c>
      <c r="I8" s="13">
        <v>33.814853219866301</v>
      </c>
      <c r="J8" s="13">
        <v>39.382042774072701</v>
      </c>
      <c r="K8" s="13">
        <v>10.8293010949172</v>
      </c>
      <c r="L8" s="13">
        <v>8.3950690452201702</v>
      </c>
      <c r="M8" s="13">
        <v>9.5978465521299103</v>
      </c>
      <c r="N8" s="13">
        <v>8.5516706906316102</v>
      </c>
      <c r="O8" s="13">
        <v>9.5950082411113709</v>
      </c>
      <c r="P8" s="13">
        <v>8.4416613823715902</v>
      </c>
      <c r="Q8" s="13">
        <v>9.0074757435978992</v>
      </c>
      <c r="R8" s="13">
        <v>9.0477484534104899</v>
      </c>
      <c r="S8" s="13">
        <v>10.1074860299821</v>
      </c>
      <c r="T8" s="13">
        <v>9.4899476372098999</v>
      </c>
      <c r="U8" s="13">
        <v>10.6950928020277</v>
      </c>
      <c r="V8" s="13">
        <v>11.004761675725099</v>
      </c>
      <c r="W8" s="13">
        <v>11.692555331992001</v>
      </c>
      <c r="X8" s="13">
        <v>8.3812975200739004</v>
      </c>
      <c r="Y8" s="13">
        <v>5.1736687881446102</v>
      </c>
      <c r="Z8" s="13">
        <v>9.23796423658872</v>
      </c>
      <c r="AA8" s="13">
        <v>16.9353335028392</v>
      </c>
    </row>
    <row r="9" spans="1:27" x14ac:dyDescent="0.25">
      <c r="A9" s="10" t="s">
        <v>746</v>
      </c>
      <c r="B9" s="10" t="s">
        <v>747</v>
      </c>
      <c r="C9" s="13">
        <v>28.174322732626599</v>
      </c>
      <c r="D9" s="13">
        <v>26.9379505705237</v>
      </c>
      <c r="E9" s="13">
        <v>17.781996519538001</v>
      </c>
      <c r="F9" s="13">
        <v>16.0179893822067</v>
      </c>
      <c r="G9" s="13">
        <v>18.873221153066002</v>
      </c>
      <c r="H9" s="13">
        <v>16.8242915250833</v>
      </c>
      <c r="I9" s="13">
        <v>12.060642900561399</v>
      </c>
      <c r="J9" s="13">
        <v>21.166924011958301</v>
      </c>
      <c r="K9" s="13">
        <v>8.7666466882044194</v>
      </c>
      <c r="L9" s="13">
        <v>6.0229360516802002</v>
      </c>
      <c r="M9" s="13">
        <v>7.1972817133443199</v>
      </c>
      <c r="N9" s="13">
        <v>6.5009389251542498</v>
      </c>
      <c r="O9" s="13">
        <v>7.8555450906522202</v>
      </c>
      <c r="P9" s="13">
        <v>6.8103994927076696</v>
      </c>
      <c r="Q9" s="13">
        <v>7.5377763639255599</v>
      </c>
      <c r="R9" s="13">
        <v>7.5115494668862004</v>
      </c>
      <c r="S9" s="13">
        <v>8.5672223013724693</v>
      </c>
      <c r="T9" s="13">
        <v>7.9772448122050497</v>
      </c>
      <c r="U9" s="13">
        <v>9.1502638882204792</v>
      </c>
      <c r="V9" s="13">
        <v>9.1465858624725396</v>
      </c>
      <c r="W9" s="13">
        <v>9.7947686116700208</v>
      </c>
      <c r="X9" s="13">
        <v>8.3812975200739004</v>
      </c>
      <c r="Y9" s="13">
        <v>5.1736687881446102</v>
      </c>
      <c r="Z9" s="13">
        <v>9.23796423658872</v>
      </c>
      <c r="AA9" s="13">
        <v>16.9353335028392</v>
      </c>
    </row>
    <row r="10" spans="1:27" x14ac:dyDescent="0.25">
      <c r="A10" s="10" t="s">
        <v>748</v>
      </c>
      <c r="B10" s="10" t="s">
        <v>749</v>
      </c>
      <c r="C10" s="13">
        <v>19.079701609736901</v>
      </c>
      <c r="D10" s="13">
        <v>17.469007113643201</v>
      </c>
      <c r="E10" s="13">
        <v>25.2222749564942</v>
      </c>
      <c r="F10" s="13">
        <v>22.625367734081799</v>
      </c>
      <c r="G10" s="13">
        <v>20.641926428351201</v>
      </c>
      <c r="H10" s="13">
        <v>17.967559967191701</v>
      </c>
      <c r="I10" s="13">
        <v>21.754210319304899</v>
      </c>
      <c r="J10" s="13">
        <v>18.2151187621144</v>
      </c>
      <c r="K10" s="13">
        <v>2.0626544067127601</v>
      </c>
      <c r="L10" s="13">
        <v>2.37213299353997</v>
      </c>
      <c r="M10" s="13">
        <v>2.4005648387855998</v>
      </c>
      <c r="N10" s="13">
        <v>2.05073176547736</v>
      </c>
      <c r="O10" s="13">
        <v>1.73946315045915</v>
      </c>
      <c r="P10" s="13">
        <v>1.6312618896639199</v>
      </c>
      <c r="Q10" s="13">
        <v>1.4696993796723401</v>
      </c>
      <c r="R10" s="13">
        <v>1.53619898652429</v>
      </c>
      <c r="S10" s="13">
        <v>1.5402637286096501</v>
      </c>
      <c r="T10" s="13">
        <v>1.51270282500485</v>
      </c>
      <c r="U10" s="13">
        <v>1.54482891380721</v>
      </c>
      <c r="V10" s="13">
        <v>1.8581758132525299</v>
      </c>
      <c r="W10" s="13">
        <v>1.8977867203219301</v>
      </c>
      <c r="X10" s="13">
        <v>0</v>
      </c>
      <c r="Y10" s="13">
        <v>0</v>
      </c>
      <c r="Z10" s="13">
        <v>0</v>
      </c>
      <c r="AA10" s="13">
        <v>0</v>
      </c>
    </row>
    <row r="11" spans="1:27" x14ac:dyDescent="0.25">
      <c r="A11" s="10" t="s">
        <v>750</v>
      </c>
      <c r="B11" s="10" t="s">
        <v>751</v>
      </c>
      <c r="C11" s="13">
        <v>5.2249705535924598</v>
      </c>
      <c r="D11" s="13">
        <v>5.2246288015023001</v>
      </c>
      <c r="E11" s="13">
        <v>5.3725676317038404</v>
      </c>
      <c r="F11" s="13">
        <v>5.6047746255029898</v>
      </c>
      <c r="G11" s="13">
        <v>5.8123874275885603</v>
      </c>
      <c r="H11" s="13">
        <v>6.5398972230126704</v>
      </c>
      <c r="I11" s="13">
        <v>5.7103014266814496</v>
      </c>
      <c r="J11" s="13">
        <v>6.4276093169946504</v>
      </c>
      <c r="K11" s="13">
        <v>7.1513149239112996</v>
      </c>
      <c r="L11" s="13">
        <v>5.8155040597404097</v>
      </c>
      <c r="M11" s="13">
        <v>6.1029065662508799</v>
      </c>
      <c r="N11" s="13">
        <v>6.8049718322453696</v>
      </c>
      <c r="O11" s="13">
        <v>6.6120202495879399</v>
      </c>
      <c r="P11" s="13">
        <v>6.0034876347495203</v>
      </c>
      <c r="Q11" s="13">
        <v>6.5500238587561599</v>
      </c>
      <c r="R11" s="13">
        <v>6.9600524321818504</v>
      </c>
      <c r="S11" s="13">
        <v>7.5620142153836403</v>
      </c>
      <c r="T11" s="13">
        <v>6.7263559376818103</v>
      </c>
      <c r="U11" s="13">
        <v>6.7840929143205502</v>
      </c>
      <c r="V11" s="13">
        <v>7.6796049572731802</v>
      </c>
      <c r="W11" s="13">
        <v>7.5010060362172997</v>
      </c>
      <c r="X11" s="13">
        <v>8.2942514033965793</v>
      </c>
      <c r="Y11" s="13">
        <v>8.7030366374885695</v>
      </c>
      <c r="Z11" s="13">
        <v>8.4126547455295704</v>
      </c>
      <c r="AA11" s="13">
        <v>7.4921603525722498</v>
      </c>
    </row>
    <row r="12" spans="1:27" x14ac:dyDescent="0.25">
      <c r="A12" s="10" t="s">
        <v>752</v>
      </c>
      <c r="B12" s="10" t="s">
        <v>753</v>
      </c>
      <c r="C12" s="13">
        <v>5.2249705535924598</v>
      </c>
      <c r="D12" s="13">
        <v>5.2246288015023001</v>
      </c>
      <c r="E12" s="13">
        <v>5.3725676317038404</v>
      </c>
      <c r="F12" s="13">
        <v>5.6047746255029898</v>
      </c>
      <c r="G12" s="13">
        <v>5.8123874275885603</v>
      </c>
      <c r="H12" s="13">
        <v>6.5398972230126704</v>
      </c>
      <c r="I12" s="13">
        <v>5.7103014266814496</v>
      </c>
      <c r="J12" s="13">
        <v>6.4276093169946504</v>
      </c>
      <c r="K12" s="13">
        <v>7.1513149239112996</v>
      </c>
      <c r="L12" s="13">
        <v>5.8155040597404097</v>
      </c>
      <c r="M12" s="13">
        <v>6.1029065662508799</v>
      </c>
      <c r="N12" s="13">
        <v>6.8049718322453696</v>
      </c>
      <c r="O12" s="13">
        <v>6.6120202495879399</v>
      </c>
      <c r="P12" s="13">
        <v>6.0034876347495203</v>
      </c>
      <c r="Q12" s="13">
        <v>6.5500238587561599</v>
      </c>
      <c r="R12" s="13">
        <v>6.9600524321818504</v>
      </c>
      <c r="S12" s="13">
        <v>7.5620142153836403</v>
      </c>
      <c r="T12" s="13">
        <v>6.7263559376818103</v>
      </c>
      <c r="U12" s="13">
        <v>6.7840929143205502</v>
      </c>
      <c r="V12" s="13">
        <v>7.6796049572731802</v>
      </c>
      <c r="W12" s="13">
        <v>7.5010060362172997</v>
      </c>
      <c r="X12" s="13">
        <v>8.2942514033965793</v>
      </c>
      <c r="Y12" s="13">
        <v>8.7030366374885695</v>
      </c>
      <c r="Z12" s="13">
        <v>8.4126547455295704</v>
      </c>
      <c r="AA12" s="13">
        <v>7.4921603525722498</v>
      </c>
    </row>
    <row r="13" spans="1:27" x14ac:dyDescent="0.25">
      <c r="A13" s="10" t="s">
        <v>754</v>
      </c>
      <c r="B13" s="10" t="s">
        <v>755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</row>
    <row r="14" spans="1:27" x14ac:dyDescent="0.25">
      <c r="A14" s="10" t="s">
        <v>756</v>
      </c>
      <c r="B14" s="10" t="s">
        <v>757</v>
      </c>
      <c r="C14" s="13">
        <v>1.27836670592854</v>
      </c>
      <c r="D14" s="13">
        <v>1.4290943234081801</v>
      </c>
      <c r="E14" s="13">
        <v>1.3985128935294999</v>
      </c>
      <c r="F14" s="13">
        <v>1.49122510397998</v>
      </c>
      <c r="G14" s="13">
        <v>1.4960974897366399</v>
      </c>
      <c r="H14" s="13">
        <v>1.6504578095445299</v>
      </c>
      <c r="I14" s="13">
        <v>1.88078807165588</v>
      </c>
      <c r="J14" s="13">
        <v>1.65577055750846</v>
      </c>
      <c r="K14" s="13">
        <v>2.4602745333079898</v>
      </c>
      <c r="L14" s="13">
        <v>2.6358679547205601</v>
      </c>
      <c r="M14" s="13">
        <v>2.60649564603436</v>
      </c>
      <c r="N14" s="13">
        <v>2.4978389817878299</v>
      </c>
      <c r="O14" s="13">
        <v>2.3810925359077002</v>
      </c>
      <c r="P14" s="13">
        <v>2.3493975903614501</v>
      </c>
      <c r="Q14" s="13">
        <v>2.3747415301415602</v>
      </c>
      <c r="R14" s="13">
        <v>2.3386671355723601</v>
      </c>
      <c r="S14" s="13">
        <v>2.3855883237561502</v>
      </c>
      <c r="T14" s="13">
        <v>2.5470295429568801</v>
      </c>
      <c r="U14" s="13">
        <v>2.61963200025667</v>
      </c>
      <c r="V14" s="13">
        <v>2.6678210122969901</v>
      </c>
      <c r="W14" s="13">
        <v>2.8764587525150902</v>
      </c>
      <c r="X14" s="13">
        <v>3.2917643714915101</v>
      </c>
      <c r="Y14" s="13">
        <v>3.7813322383769798</v>
      </c>
      <c r="Z14" s="13">
        <v>3.4277854195323201</v>
      </c>
      <c r="AA14" s="13">
        <v>2.8985507246376798</v>
      </c>
    </row>
    <row r="15" spans="1:27" x14ac:dyDescent="0.25">
      <c r="A15" s="10" t="s">
        <v>758</v>
      </c>
      <c r="B15" s="10" t="s">
        <v>759</v>
      </c>
      <c r="C15" s="13">
        <v>2.9650569297212401</v>
      </c>
      <c r="D15" s="13">
        <v>2.9600394671929</v>
      </c>
      <c r="E15" s="13">
        <v>2.8982755893054901</v>
      </c>
      <c r="F15" s="13">
        <v>3.0027389848848598</v>
      </c>
      <c r="G15" s="13">
        <v>2.1873529459490202</v>
      </c>
      <c r="H15" s="13">
        <v>2.0706047772886298</v>
      </c>
      <c r="I15" s="13">
        <v>2.0416919941359502</v>
      </c>
      <c r="J15" s="13">
        <v>1.7428299221393599</v>
      </c>
      <c r="K15" s="13">
        <v>1.5787857967751799</v>
      </c>
      <c r="L15" s="13">
        <v>1.5157351982457199</v>
      </c>
      <c r="M15" s="13">
        <v>1.50182395857849</v>
      </c>
      <c r="N15" s="13">
        <v>1.59021133267758</v>
      </c>
      <c r="O15" s="13">
        <v>1.6364492582999799</v>
      </c>
      <c r="P15" s="13">
        <v>1.7295497780596101</v>
      </c>
      <c r="Q15" s="13">
        <v>1.6971528550978201</v>
      </c>
      <c r="R15" s="13">
        <v>1.8111482328116799</v>
      </c>
      <c r="S15" s="13">
        <v>1.8631967200139301</v>
      </c>
      <c r="T15" s="13">
        <v>1.8698687697976599</v>
      </c>
      <c r="U15" s="13">
        <v>1.97475014838699</v>
      </c>
      <c r="V15" s="13">
        <v>2.0297243999807599</v>
      </c>
      <c r="W15" s="13">
        <v>2.0056338028169001</v>
      </c>
      <c r="X15" s="13">
        <v>2.19747033326228</v>
      </c>
      <c r="Y15" s="13">
        <v>2.3498012280931002</v>
      </c>
      <c r="Z15" s="13">
        <v>2.44291609353508</v>
      </c>
      <c r="AA15" s="13">
        <v>2.19510127976947</v>
      </c>
    </row>
    <row r="16" spans="1:27" x14ac:dyDescent="0.25">
      <c r="A16" s="10" t="s">
        <v>760</v>
      </c>
      <c r="B16" s="10" t="s">
        <v>761</v>
      </c>
      <c r="C16" s="13">
        <v>0.36906164114644702</v>
      </c>
      <c r="D16" s="13">
        <v>0.42490889125833498</v>
      </c>
      <c r="E16" s="13">
        <v>0.41923746242683102</v>
      </c>
      <c r="F16" s="13">
        <v>0.43451797247489299</v>
      </c>
      <c r="G16" s="13">
        <v>0.27585311632888199</v>
      </c>
      <c r="H16" s="13">
        <v>0.314691752732629</v>
      </c>
      <c r="I16" s="13">
        <v>0.32180784496013198</v>
      </c>
      <c r="J16" s="13">
        <v>0.298958572883472</v>
      </c>
      <c r="K16" s="13">
        <v>1.4267545719005399</v>
      </c>
      <c r="L16" s="13">
        <v>1.26829846500326</v>
      </c>
      <c r="M16" s="13">
        <v>1.3591433278418501</v>
      </c>
      <c r="N16" s="13">
        <v>1.08348982085904</v>
      </c>
      <c r="O16" s="13">
        <v>0.86825994819872798</v>
      </c>
      <c r="P16" s="13">
        <v>0.85605580215599197</v>
      </c>
      <c r="Q16" s="13">
        <v>0.76984253220932097</v>
      </c>
      <c r="R16" s="13">
        <v>0.68737311571846504</v>
      </c>
      <c r="S16" s="13">
        <v>0.91339380411897897</v>
      </c>
      <c r="T16" s="13">
        <v>0.92119723317602997</v>
      </c>
      <c r="U16" s="13">
        <v>0.99780226831576802</v>
      </c>
      <c r="V16" s="13">
        <v>0.98440030141247004</v>
      </c>
      <c r="W16" s="13">
        <v>1.3633802816901399</v>
      </c>
      <c r="X16" s="13">
        <v>1.38207915867264</v>
      </c>
      <c r="Y16" s="13">
        <v>1.4987215140260199</v>
      </c>
      <c r="Z16" s="13">
        <v>1.2544704264099</v>
      </c>
      <c r="AA16" s="13">
        <v>1.43571489109247</v>
      </c>
    </row>
    <row r="17" spans="1:27" x14ac:dyDescent="0.25">
      <c r="A17" s="10" t="s">
        <v>762</v>
      </c>
      <c r="B17" s="10" t="s">
        <v>763</v>
      </c>
      <c r="C17" s="13">
        <v>0.7962308598351</v>
      </c>
      <c r="D17" s="13">
        <v>0.79730095326002204</v>
      </c>
      <c r="E17" s="13">
        <v>0.78785002373042201</v>
      </c>
      <c r="F17" s="13">
        <v>0.88594325905386695</v>
      </c>
      <c r="G17" s="13">
        <v>0.89084329920327099</v>
      </c>
      <c r="H17" s="13">
        <v>0.99763981185450501</v>
      </c>
      <c r="I17" s="13">
        <v>1.1531447777738</v>
      </c>
      <c r="J17" s="13">
        <v>1.1662669601498099</v>
      </c>
      <c r="K17" s="13">
        <v>1.40044147528762</v>
      </c>
      <c r="L17" s="13">
        <v>1.65501096426243</v>
      </c>
      <c r="M17" s="13">
        <v>1.5341845140032899</v>
      </c>
      <c r="N17" s="13">
        <v>1.4948284598646799</v>
      </c>
      <c r="O17" s="13">
        <v>1.51871909583235</v>
      </c>
      <c r="P17" s="13">
        <v>1.6550412175015901</v>
      </c>
      <c r="Q17" s="13">
        <v>1.6478447590265599</v>
      </c>
      <c r="R17" s="13">
        <v>1.6608852726313601</v>
      </c>
      <c r="S17" s="13">
        <v>1.6874831805733601</v>
      </c>
      <c r="T17" s="13">
        <v>2.07350184239447</v>
      </c>
      <c r="U17" s="13">
        <v>2.12875178465438</v>
      </c>
      <c r="V17" s="13">
        <v>2.1211100957144899</v>
      </c>
      <c r="W17" s="13">
        <v>2.04748490945674</v>
      </c>
      <c r="X17" s="13">
        <v>2.39465643430683</v>
      </c>
      <c r="Y17" s="13">
        <v>2.4748502211687402</v>
      </c>
      <c r="Z17" s="13">
        <v>2.6024759284731802</v>
      </c>
      <c r="AA17" s="13">
        <v>2.4527502330706001</v>
      </c>
    </row>
    <row r="18" spans="1:27" x14ac:dyDescent="0.25">
      <c r="A18" s="10" t="s">
        <v>764</v>
      </c>
      <c r="B18" s="10" t="s">
        <v>765</v>
      </c>
      <c r="C18" s="13">
        <v>-2.8519827247742402</v>
      </c>
      <c r="D18" s="13">
        <v>-2.7531549883030699</v>
      </c>
      <c r="E18" s="13">
        <v>-2.7068501819332398</v>
      </c>
      <c r="F18" s="13">
        <v>-2.8319751124336401</v>
      </c>
      <c r="G18" s="13">
        <v>-1.85795187174453</v>
      </c>
      <c r="H18" s="13">
        <v>-1.7324785323312299</v>
      </c>
      <c r="I18" s="13">
        <v>-1.6358565452139999</v>
      </c>
      <c r="J18" s="13">
        <v>-1.5522848976641801</v>
      </c>
      <c r="K18" s="13">
        <v>-1.94570731065534</v>
      </c>
      <c r="L18" s="13">
        <v>-1.80317667279085</v>
      </c>
      <c r="M18" s="13">
        <v>-1.7886561543892701</v>
      </c>
      <c r="N18" s="13">
        <v>-1.67069063161346</v>
      </c>
      <c r="O18" s="13">
        <v>-1.64233576642336</v>
      </c>
      <c r="P18" s="13">
        <v>-1.8912492073557401</v>
      </c>
      <c r="Q18" s="13">
        <v>-1.7400986161921399</v>
      </c>
      <c r="R18" s="13">
        <v>-1.8207394855891399</v>
      </c>
      <c r="S18" s="13">
        <v>-2.07848538095012</v>
      </c>
      <c r="T18" s="13">
        <v>-2.3175383024112701</v>
      </c>
      <c r="U18" s="13">
        <v>-2.4816722011004702</v>
      </c>
      <c r="V18" s="13">
        <v>-2.46741378481074</v>
      </c>
      <c r="W18" s="13">
        <v>-2.5400402414486898</v>
      </c>
      <c r="X18" s="13">
        <v>-2.6824415547502301</v>
      </c>
      <c r="Y18" s="13">
        <v>-2.5420407249108798</v>
      </c>
      <c r="Z18" s="13">
        <v>-2.8720770288858302</v>
      </c>
      <c r="AA18" s="13">
        <v>-3.1850156792948501</v>
      </c>
    </row>
    <row r="19" spans="1:27" x14ac:dyDescent="0.25">
      <c r="A19" s="10" t="s">
        <v>766</v>
      </c>
      <c r="B19" s="10" t="s">
        <v>767</v>
      </c>
      <c r="C19" s="13">
        <v>2.5221829603454999</v>
      </c>
      <c r="D19" s="13">
        <v>3.0857615735951698</v>
      </c>
      <c r="E19" s="13">
        <v>3.5817117544692301</v>
      </c>
      <c r="F19" s="13">
        <v>2.2114766848138498</v>
      </c>
      <c r="G19" s="13">
        <v>2.3366381618446499</v>
      </c>
      <c r="H19" s="13">
        <v>2.12919100785055</v>
      </c>
      <c r="I19" s="13">
        <v>2.6513390781993098</v>
      </c>
      <c r="J19" s="13">
        <v>3.3345379283156502</v>
      </c>
      <c r="K19" s="13">
        <v>2.9426813045448599</v>
      </c>
      <c r="L19" s="13">
        <v>2.8270017187222201</v>
      </c>
      <c r="M19" s="13">
        <v>2.1755118851494499</v>
      </c>
      <c r="N19" s="13">
        <v>2.9971087066678601</v>
      </c>
      <c r="O19" s="13">
        <v>3.1507534730397899</v>
      </c>
      <c r="P19" s="13">
        <v>3.22606214331008</v>
      </c>
      <c r="Q19" s="13">
        <v>3.0236996977890902</v>
      </c>
      <c r="R19" s="13">
        <v>3.3201720031331399</v>
      </c>
      <c r="S19" s="13">
        <v>2.8082506213294098</v>
      </c>
      <c r="T19" s="13">
        <v>2.9833861270929001</v>
      </c>
      <c r="U19" s="13">
        <v>2.8201549641464898</v>
      </c>
      <c r="V19" s="13">
        <v>4.2678723165472201</v>
      </c>
      <c r="W19" s="13">
        <v>3.8213279678068401</v>
      </c>
      <c r="X19" s="13">
        <v>4.9758402614936399</v>
      </c>
      <c r="Y19" s="13">
        <v>5.3304466302096003</v>
      </c>
      <c r="Z19" s="13">
        <v>6.0265933058230203</v>
      </c>
      <c r="AA19" s="13">
        <v>5.1733197728621096</v>
      </c>
    </row>
    <row r="20" spans="1:27" x14ac:dyDescent="0.25">
      <c r="A20" s="10" t="s">
        <v>768</v>
      </c>
      <c r="B20" s="10" t="s">
        <v>769</v>
      </c>
      <c r="C20" s="13">
        <v>0.11464468001570501</v>
      </c>
      <c r="D20" s="13">
        <v>0.117765011060363</v>
      </c>
      <c r="E20" s="13">
        <v>7.4355323524758807E-2</v>
      </c>
      <c r="F20" s="13">
        <v>0.12680485578061099</v>
      </c>
      <c r="G20" s="13">
        <v>6.0038619436286002E-2</v>
      </c>
      <c r="H20" s="13">
        <v>0.115498568822082</v>
      </c>
      <c r="I20" s="13">
        <v>3.5756427217792403E-2</v>
      </c>
      <c r="J20" s="13">
        <v>6.5705180853510301E-3</v>
      </c>
      <c r="K20" s="13">
        <v>1.7542064408613198E-2</v>
      </c>
      <c r="L20" s="13">
        <v>4.7413026729093803E-2</v>
      </c>
      <c r="M20" s="13">
        <v>4.11861614497529E-2</v>
      </c>
      <c r="N20" s="13">
        <v>8.1969656323586396E-2</v>
      </c>
      <c r="O20" s="13">
        <v>0.11773016246762399</v>
      </c>
      <c r="P20" s="13">
        <v>0.126823081800888</v>
      </c>
      <c r="Q20" s="13">
        <v>0.20995705423890601</v>
      </c>
      <c r="R20" s="13">
        <v>0.37086177406205501</v>
      </c>
      <c r="S20" s="13">
        <v>9.3397286729670306E-2</v>
      </c>
      <c r="T20" s="13" t="s">
        <v>148</v>
      </c>
      <c r="U20" s="13" t="s">
        <v>148</v>
      </c>
      <c r="V20" s="13">
        <v>9.1385695733730898E-2</v>
      </c>
      <c r="W20" s="13">
        <v>9.6579476861167E-3</v>
      </c>
      <c r="X20" s="13" t="s">
        <v>148</v>
      </c>
      <c r="Y20" s="13" t="s">
        <v>148</v>
      </c>
      <c r="Z20" s="13">
        <v>1.2838147638697801E-2</v>
      </c>
      <c r="AA20" s="13">
        <v>0.21696753962200199</v>
      </c>
    </row>
    <row r="21" spans="1:27" x14ac:dyDescent="0.25">
      <c r="A21" s="10" t="s">
        <v>770</v>
      </c>
      <c r="B21" s="10" t="s">
        <v>771</v>
      </c>
      <c r="C21" s="13" t="s">
        <v>148</v>
      </c>
      <c r="D21" s="13" t="s">
        <v>148</v>
      </c>
      <c r="E21" s="13" t="s">
        <v>148</v>
      </c>
      <c r="F21" s="13">
        <v>0</v>
      </c>
      <c r="G21" s="13" t="s">
        <v>148</v>
      </c>
      <c r="H21" s="13" t="s">
        <v>148</v>
      </c>
      <c r="I21" s="13" t="s">
        <v>148</v>
      </c>
      <c r="J21" s="13">
        <v>0</v>
      </c>
      <c r="K21" s="13">
        <v>0</v>
      </c>
      <c r="L21" s="13" t="s">
        <v>148</v>
      </c>
      <c r="M21" s="13" t="s">
        <v>148</v>
      </c>
      <c r="N21" s="13">
        <v>0</v>
      </c>
      <c r="O21" s="13">
        <v>0</v>
      </c>
      <c r="P21" s="13" t="s">
        <v>148</v>
      </c>
      <c r="Q21" s="13" t="s">
        <v>148</v>
      </c>
      <c r="R21" s="13">
        <v>0</v>
      </c>
      <c r="S21" s="13" t="s">
        <v>148</v>
      </c>
      <c r="T21" s="13" t="s">
        <v>148</v>
      </c>
      <c r="U21" s="13" t="s">
        <v>148</v>
      </c>
      <c r="V21" s="13" t="s">
        <v>148</v>
      </c>
      <c r="W21" s="13" t="s">
        <v>148</v>
      </c>
      <c r="X21" s="13" t="s">
        <v>148</v>
      </c>
      <c r="Y21" s="13" t="s">
        <v>148</v>
      </c>
      <c r="Z21" s="13" t="s">
        <v>148</v>
      </c>
      <c r="AA21" s="13" t="s">
        <v>148</v>
      </c>
    </row>
    <row r="22" spans="1:27" x14ac:dyDescent="0.25">
      <c r="A22" s="10" t="s">
        <v>772</v>
      </c>
      <c r="B22" s="10" t="s">
        <v>773</v>
      </c>
      <c r="C22" s="13">
        <v>2.4075382803298</v>
      </c>
      <c r="D22" s="13">
        <v>2.9679965625348101</v>
      </c>
      <c r="E22" s="13">
        <v>3.50735643094447</v>
      </c>
      <c r="F22" s="13">
        <v>2.08467182903324</v>
      </c>
      <c r="G22" s="13">
        <v>2.27659954240836</v>
      </c>
      <c r="H22" s="13">
        <v>2.0136924390284698</v>
      </c>
      <c r="I22" s="13">
        <v>2.6155826509815099</v>
      </c>
      <c r="J22" s="13">
        <v>3.3279674102303001</v>
      </c>
      <c r="K22" s="13">
        <v>2.9251392401362399</v>
      </c>
      <c r="L22" s="13">
        <v>2.7795886919931201</v>
      </c>
      <c r="M22" s="13">
        <v>2.13432572369969</v>
      </c>
      <c r="N22" s="13">
        <v>2.91513905034427</v>
      </c>
      <c r="O22" s="13">
        <v>3.0330233105721698</v>
      </c>
      <c r="P22" s="13">
        <v>3.09923906150919</v>
      </c>
      <c r="Q22" s="13">
        <v>2.8137426435501798</v>
      </c>
      <c r="R22" s="13">
        <v>2.9493102290710902</v>
      </c>
      <c r="S22" s="13">
        <v>2.7148533345997401</v>
      </c>
      <c r="T22" s="13">
        <v>2.9833861270929001</v>
      </c>
      <c r="U22" s="13">
        <v>2.8201549641464898</v>
      </c>
      <c r="V22" s="13">
        <v>4.1764866208134901</v>
      </c>
      <c r="W22" s="13">
        <v>3.8116700201207201</v>
      </c>
      <c r="X22" s="13">
        <v>4.9758402614936399</v>
      </c>
      <c r="Y22" s="13">
        <v>5.3304466302096003</v>
      </c>
      <c r="Z22" s="13">
        <v>6.0137551581843196</v>
      </c>
      <c r="AA22" s="13">
        <v>4.9563522332401098</v>
      </c>
    </row>
    <row r="23" spans="1:27" x14ac:dyDescent="0.25">
      <c r="A23" s="6" t="s">
        <v>110</v>
      </c>
      <c r="B23" s="6" t="s">
        <v>111</v>
      </c>
      <c r="C23" s="19">
        <v>56.2795445622301</v>
      </c>
      <c r="D23" s="19">
        <v>54.146442382672603</v>
      </c>
      <c r="E23" s="19">
        <v>53.357063755734899</v>
      </c>
      <c r="F23" s="19">
        <v>47.9508335305853</v>
      </c>
      <c r="G23" s="19">
        <v>49.160270660587102</v>
      </c>
      <c r="H23" s="19">
        <v>45.111397532682702</v>
      </c>
      <c r="I23" s="19">
        <v>44.057281796402897</v>
      </c>
      <c r="J23" s="19">
        <v>50.7999605768915</v>
      </c>
      <c r="K23" s="19">
        <v>23.3835718566813</v>
      </c>
      <c r="L23" s="19">
        <v>19.673442778403398</v>
      </c>
      <c r="M23" s="19">
        <v>20.4827606495646</v>
      </c>
      <c r="N23" s="19">
        <v>20.851590211332699</v>
      </c>
      <c r="O23" s="19">
        <v>21.738874499646801</v>
      </c>
      <c r="P23" s="19">
        <v>20.020608750792601</v>
      </c>
      <c r="Q23" s="19">
        <v>20.9559408302847</v>
      </c>
      <c r="R23" s="19">
        <v>21.666640024297799</v>
      </c>
      <c r="S23" s="19">
        <v>22.863339190451299</v>
      </c>
      <c r="T23" s="19">
        <v>21.746719244941499</v>
      </c>
      <c r="U23" s="19">
        <v>22.918972680751398</v>
      </c>
      <c r="V23" s="19">
        <v>25.6200599618425</v>
      </c>
      <c r="W23" s="19">
        <v>25.891348088531199</v>
      </c>
      <c r="X23" s="19">
        <v>24.943153556455599</v>
      </c>
      <c r="Y23" s="19">
        <v>22.988484294219699</v>
      </c>
      <c r="Z23" s="19">
        <v>27.104997707473601</v>
      </c>
      <c r="AA23" s="19">
        <v>32.4993643529113</v>
      </c>
    </row>
    <row r="24" spans="1:27" x14ac:dyDescent="0.25">
      <c r="A24" s="10" t="s">
        <v>774</v>
      </c>
      <c r="B24" s="10" t="s">
        <v>775</v>
      </c>
      <c r="C24" s="13">
        <v>6.2913231252453903</v>
      </c>
      <c r="D24" s="13">
        <v>7.2743765615799596</v>
      </c>
      <c r="E24" s="13">
        <v>7.5193798449612403</v>
      </c>
      <c r="F24" s="13">
        <v>8.5162141142258108</v>
      </c>
      <c r="G24" s="13">
        <v>8.3891800671783496</v>
      </c>
      <c r="H24" s="13">
        <v>7.6396444652750999</v>
      </c>
      <c r="I24" s="13">
        <v>8.3187327922194001</v>
      </c>
      <c r="J24" s="13">
        <v>7.9010479976346097</v>
      </c>
      <c r="K24" s="13">
        <v>8.2053006271287998</v>
      </c>
      <c r="L24" s="13">
        <v>7.3934688555680701</v>
      </c>
      <c r="M24" s="13">
        <v>7.3487879501059101</v>
      </c>
      <c r="N24" s="13">
        <v>7.5069301618528099</v>
      </c>
      <c r="O24" s="13">
        <v>8.3338238756769503</v>
      </c>
      <c r="P24" s="13">
        <v>8.32752060875079</v>
      </c>
      <c r="Q24" s="13">
        <v>8.4285032606966794</v>
      </c>
      <c r="R24" s="13">
        <v>8.5506018511117894</v>
      </c>
      <c r="S24" s="13">
        <v>9.4663690617530207</v>
      </c>
      <c r="T24" s="13">
        <v>8.8548063869674802</v>
      </c>
      <c r="U24" s="13">
        <v>8.88717775959703</v>
      </c>
      <c r="V24" s="13">
        <v>8.9333525724271698</v>
      </c>
      <c r="W24" s="13">
        <v>9.4937625754527204</v>
      </c>
      <c r="X24" s="13">
        <v>9.4524976906132299</v>
      </c>
      <c r="Y24" s="13">
        <v>9.9777898057074594</v>
      </c>
      <c r="Z24" s="13">
        <v>9.8872077028885794</v>
      </c>
      <c r="AA24" s="13">
        <v>10.048309178744001</v>
      </c>
    </row>
    <row r="25" spans="1:27" x14ac:dyDescent="0.25">
      <c r="A25" s="10" t="s">
        <v>776</v>
      </c>
      <c r="B25" s="10" t="s">
        <v>777</v>
      </c>
      <c r="C25" s="13">
        <v>8.1617589320769497</v>
      </c>
      <c r="D25" s="13" t="s">
        <v>148</v>
      </c>
      <c r="E25" s="13" t="s">
        <v>148</v>
      </c>
      <c r="F25" s="13" t="s">
        <v>148</v>
      </c>
      <c r="G25" s="13">
        <v>10.6966102519999</v>
      </c>
      <c r="H25" s="13" t="s">
        <v>148</v>
      </c>
      <c r="I25" s="13" t="s">
        <v>148</v>
      </c>
      <c r="J25" s="13" t="s">
        <v>148</v>
      </c>
      <c r="K25" s="13">
        <v>10.643647579926</v>
      </c>
      <c r="L25" s="13" t="s">
        <v>148</v>
      </c>
      <c r="M25" s="13" t="s">
        <v>148</v>
      </c>
      <c r="N25" s="13" t="s">
        <v>148</v>
      </c>
      <c r="O25" s="13">
        <v>11.1196138450671</v>
      </c>
      <c r="P25" s="13" t="s">
        <v>148</v>
      </c>
      <c r="Q25" s="13" t="s">
        <v>148</v>
      </c>
      <c r="R25" s="13" t="s">
        <v>148</v>
      </c>
      <c r="S25" s="13">
        <v>12.926817685330301</v>
      </c>
      <c r="T25" s="13" t="s">
        <v>148</v>
      </c>
      <c r="U25" s="13" t="s">
        <v>148</v>
      </c>
      <c r="V25" s="13" t="s">
        <v>148</v>
      </c>
      <c r="W25" s="13">
        <v>13.435814889335999</v>
      </c>
      <c r="X25" s="13" t="s">
        <v>148</v>
      </c>
      <c r="Y25" s="13" t="s">
        <v>148</v>
      </c>
      <c r="Z25" s="13" t="s">
        <v>148</v>
      </c>
      <c r="AA25" s="13">
        <v>14.235104669887299</v>
      </c>
    </row>
    <row r="26" spans="1:27" x14ac:dyDescent="0.25">
      <c r="A26" s="10" t="s">
        <v>778</v>
      </c>
      <c r="B26" s="10" t="s">
        <v>779</v>
      </c>
      <c r="C26" s="13">
        <v>1.8704358068315701</v>
      </c>
      <c r="D26" s="13" t="s">
        <v>148</v>
      </c>
      <c r="E26" s="13" t="s">
        <v>148</v>
      </c>
      <c r="F26" s="13" t="s">
        <v>148</v>
      </c>
      <c r="G26" s="13">
        <v>2.3074301848215901</v>
      </c>
      <c r="H26" s="13" t="s">
        <v>148</v>
      </c>
      <c r="I26" s="13" t="s">
        <v>148</v>
      </c>
      <c r="J26" s="13" t="s">
        <v>148</v>
      </c>
      <c r="K26" s="13">
        <v>2.4383469527972301</v>
      </c>
      <c r="L26" s="13" t="s">
        <v>148</v>
      </c>
      <c r="M26" s="13" t="s">
        <v>148</v>
      </c>
      <c r="N26" s="13" t="s">
        <v>148</v>
      </c>
      <c r="O26" s="13">
        <v>2.78578996939016</v>
      </c>
      <c r="P26" s="13" t="s">
        <v>148</v>
      </c>
      <c r="Q26" s="13" t="s">
        <v>148</v>
      </c>
      <c r="R26" s="13" t="s">
        <v>148</v>
      </c>
      <c r="S26" s="13">
        <v>3.4604486235772698</v>
      </c>
      <c r="T26" s="13" t="s">
        <v>148</v>
      </c>
      <c r="U26" s="13" t="s">
        <v>148</v>
      </c>
      <c r="V26" s="13" t="s">
        <v>148</v>
      </c>
      <c r="W26" s="13">
        <v>3.9420523138833001</v>
      </c>
      <c r="X26" s="13" t="s">
        <v>148</v>
      </c>
      <c r="Y26" s="13" t="s">
        <v>148</v>
      </c>
      <c r="Z26" s="13" t="s">
        <v>148</v>
      </c>
      <c r="AA26" s="13">
        <v>4.1867954911433198</v>
      </c>
    </row>
    <row r="27" spans="1:27" x14ac:dyDescent="0.25">
      <c r="A27" s="10" t="s">
        <v>780</v>
      </c>
      <c r="B27" s="10" t="s">
        <v>781</v>
      </c>
      <c r="C27" s="13">
        <v>2.2347860227718899</v>
      </c>
      <c r="D27" s="13">
        <v>3.53454175087926</v>
      </c>
      <c r="E27" s="13">
        <v>4.8267679164689099</v>
      </c>
      <c r="F27" s="13">
        <v>3.7111554458458702</v>
      </c>
      <c r="G27" s="13">
        <v>2.4145261005727998</v>
      </c>
      <c r="H27" s="13">
        <v>5.9071659329438697</v>
      </c>
      <c r="I27" s="13">
        <v>4.06908141738477</v>
      </c>
      <c r="J27" s="13">
        <v>3.4068136272545102</v>
      </c>
      <c r="K27" s="13">
        <v>0.73384302776031696</v>
      </c>
      <c r="L27" s="13">
        <v>0.857879452379541</v>
      </c>
      <c r="M27" s="13">
        <v>1.22970110614262</v>
      </c>
      <c r="N27" s="13">
        <v>1.63790276908403</v>
      </c>
      <c r="O27" s="13">
        <v>1.9263597833765</v>
      </c>
      <c r="P27" s="13">
        <v>2.2622067216233401</v>
      </c>
      <c r="Q27" s="13">
        <v>2.1266104660410399</v>
      </c>
      <c r="R27" s="13">
        <v>2.0493310101187698</v>
      </c>
      <c r="S27" s="13">
        <v>1.97084105048203</v>
      </c>
      <c r="T27" s="13">
        <v>2.1446118042536702</v>
      </c>
      <c r="U27" s="13">
        <v>2.13998107063221</v>
      </c>
      <c r="V27" s="13">
        <v>1.85336603979286</v>
      </c>
      <c r="W27" s="13">
        <v>1.8720321931589501</v>
      </c>
      <c r="X27" s="13">
        <v>0</v>
      </c>
      <c r="Y27" s="13">
        <v>0</v>
      </c>
      <c r="Z27" s="13">
        <v>0</v>
      </c>
      <c r="AA27" s="13">
        <v>0</v>
      </c>
    </row>
    <row r="28" spans="1:27" x14ac:dyDescent="0.25">
      <c r="A28" s="10" t="s">
        <v>782</v>
      </c>
      <c r="B28" s="10" t="s">
        <v>783</v>
      </c>
      <c r="C28" s="13">
        <v>2.2347860227718899</v>
      </c>
      <c r="D28" s="13">
        <v>3.53454175087926</v>
      </c>
      <c r="E28" s="13">
        <v>4.8267679164689099</v>
      </c>
      <c r="F28" s="13">
        <v>3.7111554458458702</v>
      </c>
      <c r="G28" s="13">
        <v>2.4145261005727998</v>
      </c>
      <c r="H28" s="13">
        <v>5.9071659329438697</v>
      </c>
      <c r="I28" s="13">
        <v>4.06908141738477</v>
      </c>
      <c r="J28" s="13">
        <v>3.4068136272545102</v>
      </c>
      <c r="K28" s="13">
        <v>0.73384302776031696</v>
      </c>
      <c r="L28" s="13">
        <v>0.857879452379541</v>
      </c>
      <c r="M28" s="13">
        <v>1.22970110614262</v>
      </c>
      <c r="N28" s="13">
        <v>1.63790276908403</v>
      </c>
      <c r="O28" s="13">
        <v>1.9263597833765</v>
      </c>
      <c r="P28" s="13">
        <v>2.2622067216233401</v>
      </c>
      <c r="Q28" s="13">
        <v>2.1266104660410399</v>
      </c>
      <c r="R28" s="13">
        <v>2.0493310101187698</v>
      </c>
      <c r="S28" s="13">
        <v>1.97084105048203</v>
      </c>
      <c r="T28" s="13">
        <v>2.1446118042536702</v>
      </c>
      <c r="U28" s="13">
        <v>2.13998107063221</v>
      </c>
      <c r="V28" s="13">
        <v>1.85336603979286</v>
      </c>
      <c r="W28" s="13">
        <v>1.8720321931589501</v>
      </c>
      <c r="X28" s="13">
        <v>0</v>
      </c>
      <c r="Y28" s="13">
        <v>0</v>
      </c>
      <c r="Z28" s="13" t="s">
        <v>148</v>
      </c>
      <c r="AA28" s="13">
        <v>0</v>
      </c>
    </row>
    <row r="29" spans="1:27" x14ac:dyDescent="0.25">
      <c r="A29" s="10" t="s">
        <v>784</v>
      </c>
      <c r="B29" s="10" t="s">
        <v>785</v>
      </c>
      <c r="C29" s="13">
        <v>35.194346289752701</v>
      </c>
      <c r="D29" s="13">
        <v>35.044639304868198</v>
      </c>
      <c r="E29" s="13">
        <v>34.296788482834998</v>
      </c>
      <c r="F29" s="13">
        <v>39.821796909343</v>
      </c>
      <c r="G29" s="13">
        <v>40.036023171661803</v>
      </c>
      <c r="H29" s="13">
        <v>41.341792069098297</v>
      </c>
      <c r="I29" s="13">
        <v>43.554903993992902</v>
      </c>
      <c r="J29" s="13">
        <v>37.8921777982194</v>
      </c>
      <c r="K29" s="13">
        <v>67.677284488429507</v>
      </c>
      <c r="L29" s="13">
        <v>72.075208913649007</v>
      </c>
      <c r="M29" s="13">
        <v>70.938750294186903</v>
      </c>
      <c r="N29" s="13">
        <v>70.003576857730494</v>
      </c>
      <c r="O29" s="13">
        <v>68.000941841299706</v>
      </c>
      <c r="P29" s="13">
        <v>69.389663918833193</v>
      </c>
      <c r="Q29" s="13">
        <v>68.488945442977595</v>
      </c>
      <c r="R29" s="13">
        <v>67.733427114471596</v>
      </c>
      <c r="S29" s="13">
        <v>65.699450697313594</v>
      </c>
      <c r="T29" s="13">
        <v>67.253862563837401</v>
      </c>
      <c r="U29" s="13">
        <v>66.053868489019393</v>
      </c>
      <c r="V29" s="13">
        <v>63.5932214259375</v>
      </c>
      <c r="W29" s="13">
        <v>62.742857142857098</v>
      </c>
      <c r="X29" s="13">
        <v>65.604348752931102</v>
      </c>
      <c r="Y29" s="13">
        <v>67.033725900072795</v>
      </c>
      <c r="Z29" s="13">
        <v>63.007794589637797</v>
      </c>
      <c r="AA29" s="13">
        <v>57.452326468344801</v>
      </c>
    </row>
    <row r="30" spans="1:27" x14ac:dyDescent="0.25">
      <c r="A30" s="10" t="s">
        <v>786</v>
      </c>
      <c r="B30" s="10" t="s">
        <v>787</v>
      </c>
      <c r="C30" s="13">
        <v>31.181782489203002</v>
      </c>
      <c r="D30" s="13">
        <v>31.120199882234999</v>
      </c>
      <c r="E30" s="13">
        <v>30.484100616991</v>
      </c>
      <c r="F30" s="13">
        <v>32.091772900956997</v>
      </c>
      <c r="G30" s="13">
        <v>29.050578480211598</v>
      </c>
      <c r="H30" s="13">
        <v>29.4923084648734</v>
      </c>
      <c r="I30" s="13">
        <v>31.004398040547802</v>
      </c>
      <c r="J30" s="13">
        <v>28.016689115936799</v>
      </c>
      <c r="K30" s="13">
        <v>60.277456985396199</v>
      </c>
      <c r="L30" s="13">
        <v>63.881645232027502</v>
      </c>
      <c r="M30" s="13">
        <v>62.772122852435899</v>
      </c>
      <c r="N30" s="13">
        <v>62.940773197412703</v>
      </c>
      <c r="O30" s="13">
        <v>61.494878737932702</v>
      </c>
      <c r="P30" s="13">
        <v>61.2634749524413</v>
      </c>
      <c r="Q30" s="13">
        <v>60.758708445999702</v>
      </c>
      <c r="R30" s="13">
        <v>60.3513595600812</v>
      </c>
      <c r="S30" s="13">
        <v>58.9004448243656</v>
      </c>
      <c r="T30" s="13">
        <v>59.250759583683497</v>
      </c>
      <c r="U30" s="13">
        <v>57.8532813577811</v>
      </c>
      <c r="V30" s="13">
        <v>56.861141840219297</v>
      </c>
      <c r="W30" s="13">
        <v>55.964587525150897</v>
      </c>
      <c r="X30" s="13">
        <v>56.388119093299203</v>
      </c>
      <c r="Y30" s="13">
        <v>58.130984154239499</v>
      </c>
      <c r="Z30" s="13">
        <v>52.929848693259999</v>
      </c>
      <c r="AA30" s="13">
        <v>47.905754724976703</v>
      </c>
    </row>
    <row r="31" spans="1:27" x14ac:dyDescent="0.25">
      <c r="A31" s="11" t="s">
        <v>788</v>
      </c>
      <c r="B31" s="11" t="s">
        <v>789</v>
      </c>
      <c r="C31" s="25">
        <v>6.4656458578720102</v>
      </c>
      <c r="D31" s="25">
        <v>6.5518723045339504</v>
      </c>
      <c r="E31" s="25">
        <v>6.5132099351368504</v>
      </c>
      <c r="F31" s="25">
        <v>6.9607412166503204</v>
      </c>
      <c r="G31" s="25">
        <v>6.68051341132945</v>
      </c>
      <c r="H31" s="25">
        <v>6.8914146063842203</v>
      </c>
      <c r="I31" s="25">
        <v>7.3604605427825698</v>
      </c>
      <c r="J31" s="25">
        <v>6.7627057393475498</v>
      </c>
      <c r="K31" s="25">
        <v>11.8525881854196</v>
      </c>
      <c r="L31" s="25">
        <v>12.348130148758401</v>
      </c>
      <c r="M31" s="25">
        <v>12.2587667686514</v>
      </c>
      <c r="N31" s="25">
        <v>12.4176577543295</v>
      </c>
      <c r="O31" s="25">
        <v>12.2615964210031</v>
      </c>
      <c r="P31" s="25">
        <v>13.1800887761573</v>
      </c>
      <c r="Q31" s="25">
        <v>13.224113249562601</v>
      </c>
      <c r="R31" s="25">
        <v>13.29027926531</v>
      </c>
      <c r="S31" s="25">
        <v>13.161102404584399</v>
      </c>
      <c r="T31" s="25">
        <v>13.436550520395601</v>
      </c>
      <c r="U31" s="25">
        <v>13.33718337424</v>
      </c>
      <c r="V31" s="25">
        <v>13.329485514565601</v>
      </c>
      <c r="W31" s="25">
        <v>13.3826961770624</v>
      </c>
      <c r="X31" s="25">
        <v>14.7694166133731</v>
      </c>
      <c r="Y31" s="25">
        <v>15.5172735586704</v>
      </c>
      <c r="Z31" s="25">
        <v>15.248051352590601</v>
      </c>
      <c r="AA31" s="25">
        <v>14.092719722010299</v>
      </c>
    </row>
    <row r="32" spans="1:27" x14ac:dyDescent="0.25">
      <c r="A32" s="11" t="s">
        <v>790</v>
      </c>
      <c r="B32" s="11" t="s">
        <v>791</v>
      </c>
      <c r="C32" s="25">
        <v>24.716136631331</v>
      </c>
      <c r="D32" s="25">
        <v>24.568327577701002</v>
      </c>
      <c r="E32" s="25">
        <v>23.970890681854101</v>
      </c>
      <c r="F32" s="25">
        <v>25.131031684306599</v>
      </c>
      <c r="G32" s="25">
        <v>22.370065068882099</v>
      </c>
      <c r="H32" s="25">
        <v>22.600893858489101</v>
      </c>
      <c r="I32" s="25">
        <v>23.643937497765201</v>
      </c>
      <c r="J32" s="25">
        <v>21.253983376589201</v>
      </c>
      <c r="K32" s="25">
        <v>48.424868799976601</v>
      </c>
      <c r="L32" s="25">
        <v>51.533515083269101</v>
      </c>
      <c r="M32" s="25">
        <v>50.513356083784402</v>
      </c>
      <c r="N32" s="25">
        <v>50.523115443083299</v>
      </c>
      <c r="O32" s="25">
        <v>49.233282316929603</v>
      </c>
      <c r="P32" s="25">
        <v>48.083386176284101</v>
      </c>
      <c r="Q32" s="25">
        <v>47.534595196437103</v>
      </c>
      <c r="R32" s="25">
        <v>47.061080294771202</v>
      </c>
      <c r="S32" s="25">
        <v>45.739342419781202</v>
      </c>
      <c r="T32" s="25">
        <v>45.814209063287898</v>
      </c>
      <c r="U32" s="25">
        <v>44.516097983541101</v>
      </c>
      <c r="V32" s="25">
        <v>43.531656325653699</v>
      </c>
      <c r="W32" s="25">
        <v>42.581891348088497</v>
      </c>
      <c r="X32" s="25">
        <v>41.6187024799261</v>
      </c>
      <c r="Y32" s="25">
        <v>42.613710595569202</v>
      </c>
      <c r="Z32" s="25">
        <v>37.681797340669398</v>
      </c>
      <c r="AA32" s="25">
        <v>33.813035002966402</v>
      </c>
    </row>
    <row r="33" spans="1:27" x14ac:dyDescent="0.25">
      <c r="A33" s="10" t="s">
        <v>792</v>
      </c>
      <c r="B33" s="10" t="s">
        <v>793</v>
      </c>
      <c r="C33" s="13" t="s">
        <v>148</v>
      </c>
      <c r="D33" s="13" t="s">
        <v>148</v>
      </c>
      <c r="E33" s="13" t="s">
        <v>148</v>
      </c>
      <c r="F33" s="13">
        <v>0</v>
      </c>
      <c r="G33" s="13" t="s">
        <v>148</v>
      </c>
      <c r="H33" s="13" t="s">
        <v>148</v>
      </c>
      <c r="I33" s="13" t="s">
        <v>148</v>
      </c>
      <c r="J33" s="13">
        <v>0</v>
      </c>
      <c r="K33" s="13">
        <v>0</v>
      </c>
      <c r="L33" s="13" t="s">
        <v>148</v>
      </c>
      <c r="M33" s="13" t="s">
        <v>148</v>
      </c>
      <c r="N33" s="13">
        <v>0</v>
      </c>
      <c r="O33" s="13">
        <v>0</v>
      </c>
      <c r="P33" s="13" t="s">
        <v>148</v>
      </c>
      <c r="Q33" s="13" t="s">
        <v>148</v>
      </c>
      <c r="R33" s="13">
        <v>0</v>
      </c>
      <c r="S33" s="13" t="s">
        <v>148</v>
      </c>
      <c r="T33" s="13" t="s">
        <v>148</v>
      </c>
      <c r="U33" s="13" t="s">
        <v>148</v>
      </c>
      <c r="V33" s="13" t="s">
        <v>148</v>
      </c>
      <c r="W33" s="13" t="s">
        <v>148</v>
      </c>
      <c r="X33" s="13" t="s">
        <v>148</v>
      </c>
      <c r="Y33" s="13" t="s">
        <v>148</v>
      </c>
      <c r="Z33" s="13" t="s">
        <v>148</v>
      </c>
      <c r="AA33" s="13" t="s">
        <v>148</v>
      </c>
    </row>
    <row r="34" spans="1:27" x14ac:dyDescent="0.25">
      <c r="A34" s="10" t="s">
        <v>770</v>
      </c>
      <c r="B34" s="10" t="s">
        <v>794</v>
      </c>
      <c r="C34" s="13" t="s">
        <v>148</v>
      </c>
      <c r="D34" s="13" t="s">
        <v>148</v>
      </c>
      <c r="E34" s="13" t="s">
        <v>148</v>
      </c>
      <c r="F34" s="13">
        <v>0</v>
      </c>
      <c r="G34" s="13" t="s">
        <v>148</v>
      </c>
      <c r="H34" s="13" t="s">
        <v>148</v>
      </c>
      <c r="I34" s="13" t="s">
        <v>148</v>
      </c>
      <c r="J34" s="13">
        <v>0</v>
      </c>
      <c r="K34" s="13">
        <v>0</v>
      </c>
      <c r="L34" s="13" t="s">
        <v>148</v>
      </c>
      <c r="M34" s="13" t="s">
        <v>148</v>
      </c>
      <c r="N34" s="13">
        <v>0</v>
      </c>
      <c r="O34" s="13">
        <v>0</v>
      </c>
      <c r="P34" s="13" t="s">
        <v>148</v>
      </c>
      <c r="Q34" s="13" t="s">
        <v>148</v>
      </c>
      <c r="R34" s="13">
        <v>0</v>
      </c>
      <c r="S34" s="13" t="s">
        <v>148</v>
      </c>
      <c r="T34" s="13" t="s">
        <v>148</v>
      </c>
      <c r="U34" s="13" t="s">
        <v>148</v>
      </c>
      <c r="V34" s="13" t="s">
        <v>148</v>
      </c>
      <c r="W34" s="13" t="s">
        <v>148</v>
      </c>
      <c r="X34" s="13" t="s">
        <v>148</v>
      </c>
      <c r="Y34" s="13" t="s">
        <v>148</v>
      </c>
      <c r="Z34" s="13" t="s">
        <v>148</v>
      </c>
      <c r="AA34" s="13" t="s">
        <v>148</v>
      </c>
    </row>
    <row r="35" spans="1:27" x14ac:dyDescent="0.25">
      <c r="A35" s="10" t="s">
        <v>768</v>
      </c>
      <c r="B35" s="10" t="s">
        <v>795</v>
      </c>
      <c r="C35" s="13">
        <v>7.8523753435414193E-3</v>
      </c>
      <c r="D35" s="13">
        <v>4.7742572051498299E-3</v>
      </c>
      <c r="E35" s="13">
        <v>1.58202816010125E-3</v>
      </c>
      <c r="F35" s="13">
        <v>8.4536570520407101E-3</v>
      </c>
      <c r="G35" s="13">
        <v>0</v>
      </c>
      <c r="H35" s="13">
        <v>1.17172461123851E-2</v>
      </c>
      <c r="I35" s="13">
        <v>1.78782136088962E-3</v>
      </c>
      <c r="J35" s="13">
        <v>3.2852590426755198E-3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4.7558655675332901E-3</v>
      </c>
      <c r="Q35" s="13">
        <v>6.3623349769365402E-3</v>
      </c>
      <c r="R35" s="13">
        <v>1.59854212957782E-2</v>
      </c>
      <c r="S35" s="13">
        <v>1.5830048598249201E-3</v>
      </c>
      <c r="T35" s="13" t="s">
        <v>148</v>
      </c>
      <c r="U35" s="13" t="s">
        <v>148</v>
      </c>
      <c r="V35" s="13">
        <v>1.6032578198900201E-2</v>
      </c>
      <c r="W35" s="13">
        <v>1.6096579476861199E-3</v>
      </c>
      <c r="X35" s="13" t="s">
        <v>148</v>
      </c>
      <c r="Y35" s="13" t="s">
        <v>148</v>
      </c>
      <c r="Z35" s="13">
        <v>0</v>
      </c>
      <c r="AA35" s="13" t="s">
        <v>148</v>
      </c>
    </row>
    <row r="36" spans="1:27" x14ac:dyDescent="0.25">
      <c r="A36" s="10" t="s">
        <v>796</v>
      </c>
      <c r="B36" s="10" t="s">
        <v>797</v>
      </c>
      <c r="C36" s="13">
        <v>4.0047114252061196</v>
      </c>
      <c r="D36" s="13">
        <v>3.9196651654280101</v>
      </c>
      <c r="E36" s="13">
        <v>3.8111058376839102</v>
      </c>
      <c r="F36" s="13">
        <v>7.7215703513339902</v>
      </c>
      <c r="G36" s="13">
        <v>10.9854446914502</v>
      </c>
      <c r="H36" s="13">
        <v>11.8377663581125</v>
      </c>
      <c r="I36" s="13">
        <v>12.548718132084201</v>
      </c>
      <c r="J36" s="13">
        <v>9.8722034232399203</v>
      </c>
      <c r="K36" s="13">
        <v>7.39982750303332</v>
      </c>
      <c r="L36" s="13">
        <v>8.1935636816215194</v>
      </c>
      <c r="M36" s="13">
        <v>8.1666274417510003</v>
      </c>
      <c r="N36" s="13">
        <v>7.0628036603177398</v>
      </c>
      <c r="O36" s="13">
        <v>6.5060631033670804</v>
      </c>
      <c r="P36" s="13">
        <v>8.1214331008243494</v>
      </c>
      <c r="Q36" s="13">
        <v>7.7238746620009504</v>
      </c>
      <c r="R36" s="13">
        <v>7.3660821330946202</v>
      </c>
      <c r="S36" s="13">
        <v>6.7974228680882103</v>
      </c>
      <c r="T36" s="13">
        <v>8.0031029801538605</v>
      </c>
      <c r="U36" s="13">
        <v>8.2005871312382705</v>
      </c>
      <c r="V36" s="13">
        <v>6.71604700751928</v>
      </c>
      <c r="W36" s="13">
        <v>6.7766599597585504</v>
      </c>
      <c r="X36" s="13">
        <v>9.2162296596319209</v>
      </c>
      <c r="Y36" s="13">
        <v>8.9027417458332607</v>
      </c>
      <c r="Z36" s="13">
        <v>10.0779458963778</v>
      </c>
      <c r="AA36" s="13">
        <v>9.5465717433680801</v>
      </c>
    </row>
    <row r="37" spans="1:27" x14ac:dyDescent="0.25">
      <c r="A37" s="6" t="s">
        <v>798</v>
      </c>
      <c r="B37" s="6" t="s">
        <v>799</v>
      </c>
      <c r="C37" s="19">
        <v>43.7204554377699</v>
      </c>
      <c r="D37" s="19">
        <v>45.853557617327397</v>
      </c>
      <c r="E37" s="19">
        <v>46.642936244265201</v>
      </c>
      <c r="F37" s="19">
        <v>52.0491664694147</v>
      </c>
      <c r="G37" s="19">
        <v>50.839729339412898</v>
      </c>
      <c r="H37" s="19">
        <v>54.888602467317199</v>
      </c>
      <c r="I37" s="19">
        <v>55.942718203597103</v>
      </c>
      <c r="J37" s="19">
        <v>49.2000394231085</v>
      </c>
      <c r="K37" s="19">
        <v>76.6164281433187</v>
      </c>
      <c r="L37" s="19">
        <v>80.326557221596602</v>
      </c>
      <c r="M37" s="19">
        <v>79.517239350435403</v>
      </c>
      <c r="N37" s="19">
        <v>79.148409788667294</v>
      </c>
      <c r="O37" s="19">
        <v>78.261125500353202</v>
      </c>
      <c r="P37" s="19">
        <v>79.979391249207396</v>
      </c>
      <c r="Q37" s="19">
        <v>79.044059169715297</v>
      </c>
      <c r="R37" s="19">
        <v>78.333359975702194</v>
      </c>
      <c r="S37" s="19">
        <v>77.136660809548701</v>
      </c>
      <c r="T37" s="19">
        <v>78.253280755058498</v>
      </c>
      <c r="U37" s="19">
        <v>77.081027319248605</v>
      </c>
      <c r="V37" s="19">
        <v>74.3799400381575</v>
      </c>
      <c r="W37" s="19">
        <v>74.108651911468797</v>
      </c>
      <c r="X37" s="19">
        <v>75.056846443544401</v>
      </c>
      <c r="Y37" s="19">
        <v>77.011515705780297</v>
      </c>
      <c r="Z37" s="19">
        <v>72.895002292526399</v>
      </c>
      <c r="AA37" s="19">
        <v>67.5006356470887</v>
      </c>
    </row>
    <row r="38" spans="1:27" x14ac:dyDescent="0.25">
      <c r="A38" s="6" t="s">
        <v>112</v>
      </c>
      <c r="B38" s="6" t="s">
        <v>113</v>
      </c>
      <c r="C38" s="19">
        <v>100</v>
      </c>
      <c r="D38" s="19">
        <v>100</v>
      </c>
      <c r="E38" s="19">
        <v>100</v>
      </c>
      <c r="F38" s="19">
        <v>100</v>
      </c>
      <c r="G38" s="19">
        <v>100</v>
      </c>
      <c r="H38" s="19">
        <v>100</v>
      </c>
      <c r="I38" s="19">
        <v>100</v>
      </c>
      <c r="J38" s="19">
        <v>100</v>
      </c>
      <c r="K38" s="19">
        <v>100</v>
      </c>
      <c r="L38" s="19">
        <v>100</v>
      </c>
      <c r="M38" s="19">
        <v>100</v>
      </c>
      <c r="N38" s="19">
        <v>100</v>
      </c>
      <c r="O38" s="19">
        <v>100</v>
      </c>
      <c r="P38" s="19">
        <v>100</v>
      </c>
      <c r="Q38" s="19">
        <v>100</v>
      </c>
      <c r="R38" s="19">
        <v>100</v>
      </c>
      <c r="S38" s="19">
        <v>100</v>
      </c>
      <c r="T38" s="19">
        <v>100</v>
      </c>
      <c r="U38" s="19">
        <v>100</v>
      </c>
      <c r="V38" s="19">
        <v>100</v>
      </c>
      <c r="W38" s="19">
        <v>100</v>
      </c>
      <c r="X38" s="19">
        <v>100</v>
      </c>
      <c r="Y38" s="19">
        <v>100</v>
      </c>
      <c r="Z38" s="19">
        <v>100</v>
      </c>
      <c r="AA38" s="19">
        <v>100</v>
      </c>
    </row>
    <row r="39" spans="1:27" x14ac:dyDescent="0.25">
      <c r="A39" s="6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x14ac:dyDescent="0.25">
      <c r="A40" s="6" t="s">
        <v>800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x14ac:dyDescent="0.25">
      <c r="A41" s="10" t="s">
        <v>801</v>
      </c>
      <c r="B41" s="10" t="s">
        <v>802</v>
      </c>
      <c r="C41" s="13">
        <v>12.337652139772301</v>
      </c>
      <c r="D41" s="13">
        <v>10.8582523035791</v>
      </c>
      <c r="E41" s="13">
        <v>10.892263882297099</v>
      </c>
      <c r="F41" s="13">
        <v>11.7928515875968</v>
      </c>
      <c r="G41" s="13">
        <v>11.6101708666656</v>
      </c>
      <c r="H41" s="13">
        <v>11.509683466965701</v>
      </c>
      <c r="I41" s="13">
        <v>13.501626917438401</v>
      </c>
      <c r="J41" s="13">
        <v>13.0851867669766</v>
      </c>
      <c r="K41" s="13">
        <v>12.3072200213428</v>
      </c>
      <c r="L41" s="13">
        <v>10.971670716529401</v>
      </c>
      <c r="M41" s="13">
        <v>11.6542127559426</v>
      </c>
      <c r="N41" s="13">
        <v>11.5145011773823</v>
      </c>
      <c r="O41" s="13">
        <v>14.7000824111137</v>
      </c>
      <c r="P41" s="13">
        <v>11.932466708941</v>
      </c>
      <c r="Q41" s="13">
        <v>13.038014951487201</v>
      </c>
      <c r="R41" s="13">
        <v>13.032913982447999</v>
      </c>
      <c r="S41" s="13">
        <v>13.962102863655799</v>
      </c>
      <c r="T41" s="13">
        <v>13.323421035619599</v>
      </c>
      <c r="U41" s="13">
        <v>15.9231275165632</v>
      </c>
      <c r="V41" s="13">
        <v>6.8811825629679504</v>
      </c>
      <c r="W41" s="13">
        <v>14.9891348088531</v>
      </c>
      <c r="X41" s="13">
        <v>16.6062673204008</v>
      </c>
      <c r="Y41" s="13">
        <v>8.3241568524981808</v>
      </c>
      <c r="Z41" s="13">
        <v>12</v>
      </c>
      <c r="AA41" s="13">
        <v>10.607678616831899</v>
      </c>
    </row>
    <row r="42" spans="1:27" x14ac:dyDescent="0.25">
      <c r="A42" s="10" t="s">
        <v>803</v>
      </c>
      <c r="B42" s="10" t="s">
        <v>804</v>
      </c>
      <c r="C42" s="13">
        <v>1.24067530427954</v>
      </c>
      <c r="D42" s="13">
        <v>0.91824880245715101</v>
      </c>
      <c r="E42" s="13">
        <v>0.97611137478247101</v>
      </c>
      <c r="F42" s="13">
        <v>1.0685422513779499</v>
      </c>
      <c r="G42" s="13">
        <v>1.1569604231911299</v>
      </c>
      <c r="H42" s="13">
        <v>0.98759645804388896</v>
      </c>
      <c r="I42" s="13">
        <v>0.95112096399327795</v>
      </c>
      <c r="J42" s="13">
        <v>0.86566575774499799</v>
      </c>
      <c r="K42" s="13">
        <v>1.2337918634057901</v>
      </c>
      <c r="L42" s="13">
        <v>0.84454453861198397</v>
      </c>
      <c r="M42" s="13">
        <v>0.89432807719463403</v>
      </c>
      <c r="N42" s="13">
        <v>0.87185907180541899</v>
      </c>
      <c r="O42" s="13">
        <v>1.0374970567459401</v>
      </c>
      <c r="P42" s="13">
        <v>0.92422320862397001</v>
      </c>
      <c r="Q42" s="13">
        <v>0.89867981549228604</v>
      </c>
      <c r="R42" s="13">
        <v>0.98150486756078503</v>
      </c>
      <c r="S42" s="13">
        <v>1.43261939814155</v>
      </c>
      <c r="T42" s="13">
        <v>1.01331695649363</v>
      </c>
      <c r="U42" s="13">
        <v>0.99780226831576802</v>
      </c>
      <c r="V42" s="13">
        <v>0.93950908245554998</v>
      </c>
      <c r="W42" s="13">
        <v>0.88531187122736399</v>
      </c>
      <c r="X42" s="13">
        <v>1.1049527463938</v>
      </c>
      <c r="Y42" s="13">
        <v>1.00225834748689</v>
      </c>
      <c r="Z42" s="13">
        <v>1.6561210453920201</v>
      </c>
      <c r="AA42" s="13">
        <v>1.4119840664463099</v>
      </c>
    </row>
    <row r="43" spans="1:27" x14ac:dyDescent="0.25">
      <c r="A43" s="10" t="s">
        <v>805</v>
      </c>
      <c r="B43" s="10" t="s">
        <v>806</v>
      </c>
      <c r="C43" s="13" t="s">
        <v>148</v>
      </c>
      <c r="D43" s="13" t="s">
        <v>148</v>
      </c>
      <c r="E43" s="13" t="s">
        <v>148</v>
      </c>
      <c r="F43" s="13" t="s">
        <v>148</v>
      </c>
      <c r="G43" s="13" t="s">
        <v>148</v>
      </c>
      <c r="H43" s="13" t="s">
        <v>148</v>
      </c>
      <c r="I43" s="13" t="s">
        <v>148</v>
      </c>
      <c r="J43" s="13" t="s">
        <v>148</v>
      </c>
      <c r="K43" s="13" t="s">
        <v>148</v>
      </c>
      <c r="L43" s="13" t="s">
        <v>148</v>
      </c>
      <c r="M43" s="13">
        <v>0.64574017415862595</v>
      </c>
      <c r="N43" s="13">
        <v>0.66618975230260202</v>
      </c>
      <c r="O43" s="13">
        <v>0.79320696962561799</v>
      </c>
      <c r="P43" s="13" t="s">
        <v>148</v>
      </c>
      <c r="Q43" s="13">
        <v>1.4347065372991901</v>
      </c>
      <c r="R43" s="13">
        <v>1.4418850008791999</v>
      </c>
      <c r="S43" s="13">
        <v>1.5181016605721001</v>
      </c>
      <c r="T43" s="13">
        <v>1.83916219535846</v>
      </c>
      <c r="U43" s="13">
        <v>3.57091294095</v>
      </c>
      <c r="V43" s="13">
        <v>3.3443958122905699</v>
      </c>
      <c r="W43" s="13">
        <v>1.94446680080483</v>
      </c>
      <c r="X43" s="13">
        <v>2.1281887301925702</v>
      </c>
      <c r="Y43" s="13">
        <v>2.3609996453834499</v>
      </c>
      <c r="Z43" s="13">
        <v>2.8170563961485602</v>
      </c>
      <c r="AA43" s="13">
        <v>2.7900669548266799</v>
      </c>
    </row>
    <row r="44" spans="1:27" x14ac:dyDescent="0.25">
      <c r="A44" s="10" t="s">
        <v>807</v>
      </c>
      <c r="B44" s="10" t="s">
        <v>808</v>
      </c>
      <c r="C44" s="13">
        <v>11.096976835492701</v>
      </c>
      <c r="D44" s="13">
        <v>9.9400035011219501</v>
      </c>
      <c r="E44" s="13">
        <v>9.9161525075146297</v>
      </c>
      <c r="F44" s="13">
        <v>10.7243093362188</v>
      </c>
      <c r="G44" s="13">
        <v>10.4532104434745</v>
      </c>
      <c r="H44" s="13">
        <v>10.522087008921799</v>
      </c>
      <c r="I44" s="13">
        <v>12.5505059534451</v>
      </c>
      <c r="J44" s="13">
        <v>12.219521009231601</v>
      </c>
      <c r="K44" s="13">
        <v>11.0734281579371</v>
      </c>
      <c r="L44" s="13">
        <v>10.1271261779174</v>
      </c>
      <c r="M44" s="13">
        <v>10.1141445045893</v>
      </c>
      <c r="N44" s="13">
        <v>9.9764523532743095</v>
      </c>
      <c r="O44" s="13">
        <v>12.8693783847422</v>
      </c>
      <c r="P44" s="13">
        <v>11.0082435003171</v>
      </c>
      <c r="Q44" s="13">
        <v>10.704628598695701</v>
      </c>
      <c r="R44" s="13">
        <v>10.609524114008</v>
      </c>
      <c r="S44" s="13">
        <v>11.011381804942101</v>
      </c>
      <c r="T44" s="13">
        <v>10.4709418837675</v>
      </c>
      <c r="U44" s="13">
        <v>11.3544123072974</v>
      </c>
      <c r="V44" s="13">
        <v>2.5972776682218299</v>
      </c>
      <c r="W44" s="13">
        <v>12.1593561368209</v>
      </c>
      <c r="X44" s="13">
        <v>13.3731258438144</v>
      </c>
      <c r="Y44" s="13">
        <v>4.9608988596278403</v>
      </c>
      <c r="Z44" s="13">
        <v>7.5268225584594202</v>
      </c>
      <c r="AA44" s="13">
        <v>6.4056275955589497</v>
      </c>
    </row>
    <row r="45" spans="1:27" x14ac:dyDescent="0.25">
      <c r="A45" s="10" t="s">
        <v>809</v>
      </c>
      <c r="B45" s="10" t="s">
        <v>810</v>
      </c>
      <c r="C45" s="13">
        <v>4.3156654888103603</v>
      </c>
      <c r="D45" s="13">
        <v>4.0947212629501699</v>
      </c>
      <c r="E45" s="13">
        <v>3.2779623477297899</v>
      </c>
      <c r="F45" s="13">
        <v>4.3806850843675003</v>
      </c>
      <c r="G45" s="13">
        <v>4.2156846836613804</v>
      </c>
      <c r="H45" s="13">
        <v>3.34611071123684</v>
      </c>
      <c r="I45" s="13">
        <v>5.36167626130797</v>
      </c>
      <c r="J45" s="13">
        <v>2.4606590229639602</v>
      </c>
      <c r="K45" s="13">
        <v>4.1867060388556698</v>
      </c>
      <c r="L45" s="13">
        <v>3.34706335565697</v>
      </c>
      <c r="M45" s="13">
        <v>3.3257825370675498</v>
      </c>
      <c r="N45" s="13">
        <v>3.7422874005186402</v>
      </c>
      <c r="O45" s="13">
        <v>2.3796209088768498</v>
      </c>
      <c r="P45" s="13">
        <v>1.62492073557387</v>
      </c>
      <c r="Q45" s="13">
        <v>1.6239860028630499</v>
      </c>
      <c r="R45" s="13">
        <v>3.6286906341416598</v>
      </c>
      <c r="S45" s="13">
        <v>3.7738835858226101</v>
      </c>
      <c r="T45" s="13">
        <v>3.6896373391945199</v>
      </c>
      <c r="U45" s="13">
        <v>6.4760896417857801</v>
      </c>
      <c r="V45" s="13">
        <v>2.8746412710628002</v>
      </c>
      <c r="W45" s="13">
        <v>3.0953722334004001</v>
      </c>
      <c r="X45" s="13">
        <v>6.5142471399133104</v>
      </c>
      <c r="Y45" s="13">
        <v>3.37818921592415</v>
      </c>
      <c r="Z45" s="13">
        <v>3.3232462173315001</v>
      </c>
      <c r="AA45" s="13">
        <v>3.2680735655564002</v>
      </c>
    </row>
    <row r="46" spans="1:27" x14ac:dyDescent="0.25">
      <c r="A46" s="10" t="s">
        <v>811</v>
      </c>
      <c r="B46" s="10" t="s">
        <v>812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</row>
    <row r="47" spans="1:27" x14ac:dyDescent="0.25">
      <c r="A47" s="10" t="s">
        <v>813</v>
      </c>
      <c r="B47" s="10" t="s">
        <v>814</v>
      </c>
      <c r="C47" s="13" t="s">
        <v>148</v>
      </c>
      <c r="D47" s="13">
        <v>0.119356430128746</v>
      </c>
      <c r="E47" s="13">
        <v>0.115488055687391</v>
      </c>
      <c r="F47" s="13">
        <v>0.15723802116795699</v>
      </c>
      <c r="G47" s="13">
        <v>0.16064387362681901</v>
      </c>
      <c r="H47" s="13" t="s">
        <v>148</v>
      </c>
      <c r="I47" s="13" t="s">
        <v>148</v>
      </c>
      <c r="J47" s="13" t="s">
        <v>148</v>
      </c>
      <c r="K47" s="13">
        <v>0.156416740976801</v>
      </c>
      <c r="L47" s="13" t="s">
        <v>148</v>
      </c>
      <c r="M47" s="13" t="s">
        <v>148</v>
      </c>
      <c r="N47" s="13" t="s">
        <v>148</v>
      </c>
      <c r="O47" s="13">
        <v>0.148634330115376</v>
      </c>
      <c r="P47" s="13" t="s">
        <v>148</v>
      </c>
      <c r="Q47" s="13" t="s">
        <v>148</v>
      </c>
      <c r="R47" s="13" t="s">
        <v>148</v>
      </c>
      <c r="S47" s="13">
        <v>0.175713539440566</v>
      </c>
      <c r="T47" s="13" t="s">
        <v>148</v>
      </c>
      <c r="U47" s="13" t="s">
        <v>148</v>
      </c>
      <c r="V47" s="13" t="s">
        <v>148</v>
      </c>
      <c r="W47" s="13">
        <v>0.20120724346076499</v>
      </c>
      <c r="X47" s="13" t="s">
        <v>148</v>
      </c>
      <c r="Y47" s="13" t="s">
        <v>148</v>
      </c>
      <c r="Z47" s="13" t="s">
        <v>148</v>
      </c>
      <c r="AA47" s="13">
        <v>0.191541656072549</v>
      </c>
    </row>
    <row r="48" spans="1:27" x14ac:dyDescent="0.25">
      <c r="A48" s="11" t="s">
        <v>815</v>
      </c>
      <c r="B48" s="11" t="s">
        <v>816</v>
      </c>
      <c r="C48" s="25" t="s">
        <v>148</v>
      </c>
      <c r="D48" s="25" t="s">
        <v>148</v>
      </c>
      <c r="E48" s="25" t="s">
        <v>148</v>
      </c>
      <c r="F48" s="25" t="s">
        <v>148</v>
      </c>
      <c r="G48" s="25">
        <v>0</v>
      </c>
      <c r="H48" s="25" t="s">
        <v>148</v>
      </c>
      <c r="I48" s="25" t="s">
        <v>148</v>
      </c>
      <c r="J48" s="25" t="s">
        <v>148</v>
      </c>
      <c r="K48" s="25">
        <v>0</v>
      </c>
      <c r="L48" s="25" t="s">
        <v>148</v>
      </c>
      <c r="M48" s="25" t="s">
        <v>148</v>
      </c>
      <c r="N48" s="25" t="s">
        <v>148</v>
      </c>
      <c r="O48" s="25">
        <v>0</v>
      </c>
      <c r="P48" s="25" t="s">
        <v>148</v>
      </c>
      <c r="Q48" s="25" t="s">
        <v>148</v>
      </c>
      <c r="R48" s="25" t="s">
        <v>148</v>
      </c>
      <c r="S48" s="25">
        <v>0</v>
      </c>
      <c r="T48" s="25" t="s">
        <v>148</v>
      </c>
      <c r="U48" s="25" t="s">
        <v>148</v>
      </c>
      <c r="V48" s="25" t="s">
        <v>148</v>
      </c>
      <c r="W48" s="25">
        <v>0</v>
      </c>
      <c r="X48" s="25" t="s">
        <v>148</v>
      </c>
      <c r="Y48" s="25" t="s">
        <v>148</v>
      </c>
      <c r="Z48" s="25" t="s">
        <v>148</v>
      </c>
      <c r="AA48" s="25">
        <v>0</v>
      </c>
    </row>
    <row r="49" spans="1:27" x14ac:dyDescent="0.25">
      <c r="A49" s="11" t="s">
        <v>817</v>
      </c>
      <c r="B49" s="11" t="s">
        <v>818</v>
      </c>
      <c r="C49" s="25" t="s">
        <v>148</v>
      </c>
      <c r="D49" s="25">
        <v>0.119356430128746</v>
      </c>
      <c r="E49" s="25">
        <v>0.115488055687391</v>
      </c>
      <c r="F49" s="25">
        <v>0.15723802116795699</v>
      </c>
      <c r="G49" s="25">
        <v>0.16064387362681901</v>
      </c>
      <c r="H49" s="25" t="s">
        <v>148</v>
      </c>
      <c r="I49" s="25" t="s">
        <v>148</v>
      </c>
      <c r="J49" s="25" t="s">
        <v>148</v>
      </c>
      <c r="K49" s="25">
        <v>0.156416740976801</v>
      </c>
      <c r="L49" s="25" t="s">
        <v>148</v>
      </c>
      <c r="M49" s="25" t="s">
        <v>148</v>
      </c>
      <c r="N49" s="25" t="s">
        <v>148</v>
      </c>
      <c r="O49" s="25">
        <v>0.148634330115376</v>
      </c>
      <c r="P49" s="25" t="s">
        <v>148</v>
      </c>
      <c r="Q49" s="25" t="s">
        <v>148</v>
      </c>
      <c r="R49" s="25" t="s">
        <v>148</v>
      </c>
      <c r="S49" s="25">
        <v>0.175713539440566</v>
      </c>
      <c r="T49" s="25" t="s">
        <v>148</v>
      </c>
      <c r="U49" s="25" t="s">
        <v>148</v>
      </c>
      <c r="V49" s="25" t="s">
        <v>148</v>
      </c>
      <c r="W49" s="25">
        <v>0.20120724346076499</v>
      </c>
      <c r="X49" s="25" t="s">
        <v>148</v>
      </c>
      <c r="Y49" s="25" t="s">
        <v>148</v>
      </c>
      <c r="Z49" s="25" t="s">
        <v>148</v>
      </c>
      <c r="AA49" s="25">
        <v>0.191541656072549</v>
      </c>
    </row>
    <row r="50" spans="1:27" x14ac:dyDescent="0.25">
      <c r="A50" s="10" t="s">
        <v>819</v>
      </c>
      <c r="B50" s="10" t="s">
        <v>820</v>
      </c>
      <c r="C50" s="13">
        <v>4.3156654888103603</v>
      </c>
      <c r="D50" s="13">
        <v>3.9753648328214299</v>
      </c>
      <c r="E50" s="13">
        <v>3.1624742920424</v>
      </c>
      <c r="F50" s="13">
        <v>4.22344706319954</v>
      </c>
      <c r="G50" s="13">
        <v>4.0550408100345603</v>
      </c>
      <c r="H50" s="13">
        <v>3.34611071123684</v>
      </c>
      <c r="I50" s="13">
        <v>5.36167626130797</v>
      </c>
      <c r="J50" s="13">
        <v>2.4606590229639602</v>
      </c>
      <c r="K50" s="13">
        <v>4.0302892978788698</v>
      </c>
      <c r="L50" s="13">
        <v>3.34706335565697</v>
      </c>
      <c r="M50" s="13">
        <v>3.3257825370675498</v>
      </c>
      <c r="N50" s="13">
        <v>3.7422874005186402</v>
      </c>
      <c r="O50" s="13">
        <v>2.2309865787614802</v>
      </c>
      <c r="P50" s="13">
        <v>1.62492073557387</v>
      </c>
      <c r="Q50" s="13">
        <v>1.6239860028630499</v>
      </c>
      <c r="R50" s="13">
        <v>3.6286906341416598</v>
      </c>
      <c r="S50" s="13">
        <v>3.5981700463820401</v>
      </c>
      <c r="T50" s="13">
        <v>3.6896373391945199</v>
      </c>
      <c r="U50" s="13">
        <v>6.4760896417857801</v>
      </c>
      <c r="V50" s="13">
        <v>2.8746412710628002</v>
      </c>
      <c r="W50" s="13">
        <v>2.89416498993964</v>
      </c>
      <c r="X50" s="13">
        <v>6.5142471399133104</v>
      </c>
      <c r="Y50" s="13">
        <v>3.37818921592415</v>
      </c>
      <c r="Z50" s="13">
        <v>3.3232462173315001</v>
      </c>
      <c r="AA50" s="13">
        <v>3.0765319094838501</v>
      </c>
    </row>
    <row r="51" spans="1:27" x14ac:dyDescent="0.25">
      <c r="A51" s="10" t="s">
        <v>821</v>
      </c>
      <c r="B51" s="10" t="s">
        <v>822</v>
      </c>
      <c r="C51" s="13">
        <v>1.5704750687082799E-3</v>
      </c>
      <c r="D51" s="13">
        <v>1.5914190683832801E-3</v>
      </c>
      <c r="E51" s="13">
        <v>6.3281126404050002E-3</v>
      </c>
      <c r="F51" s="13">
        <v>1.69073141040814E-3</v>
      </c>
      <c r="G51" s="13">
        <v>9.7359923410193592E-3</v>
      </c>
      <c r="H51" s="13">
        <v>6.6955692070772201E-3</v>
      </c>
      <c r="I51" s="13">
        <v>2.3241677691565099E-2</v>
      </c>
      <c r="J51" s="13">
        <v>7.3918328460199106E-2</v>
      </c>
      <c r="K51" s="13">
        <v>0.166649611881825</v>
      </c>
      <c r="L51" s="13">
        <v>6.0747940496651498E-2</v>
      </c>
      <c r="M51" s="13">
        <v>4.41280301247352E-2</v>
      </c>
      <c r="N51" s="13">
        <v>1.1922859101612599E-2</v>
      </c>
      <c r="O51" s="13">
        <v>5.8865081233812101E-3</v>
      </c>
      <c r="P51" s="13">
        <v>9.5117311350665801E-3</v>
      </c>
      <c r="Q51" s="13">
        <v>3.1811674884682701E-3</v>
      </c>
      <c r="R51" s="13">
        <v>0</v>
      </c>
      <c r="S51" s="13">
        <v>5.2239160374222403E-2</v>
      </c>
      <c r="T51" s="13">
        <v>1.61613549680005E-3</v>
      </c>
      <c r="U51" s="13">
        <v>1.6041837111185999E-3</v>
      </c>
      <c r="V51" s="13">
        <v>9.3950908245554992</v>
      </c>
      <c r="W51" s="13">
        <v>7.2434607645875296E-2</v>
      </c>
      <c r="X51" s="13">
        <v>0</v>
      </c>
      <c r="Y51" s="13">
        <v>8.4193433994662108</v>
      </c>
      <c r="Z51" s="13">
        <v>6.18065107748739</v>
      </c>
      <c r="AA51" s="13">
        <v>6.47173489278752</v>
      </c>
    </row>
    <row r="52" spans="1:27" x14ac:dyDescent="0.25">
      <c r="A52" s="10" t="s">
        <v>823</v>
      </c>
      <c r="B52" s="10" t="s">
        <v>824</v>
      </c>
      <c r="C52" s="13">
        <v>0</v>
      </c>
      <c r="D52" s="13" t="s">
        <v>148</v>
      </c>
      <c r="E52" s="13" t="s">
        <v>148</v>
      </c>
      <c r="F52" s="13">
        <v>0</v>
      </c>
      <c r="G52" s="13">
        <v>0</v>
      </c>
      <c r="H52" s="13" t="s">
        <v>148</v>
      </c>
      <c r="I52" s="13" t="s">
        <v>148</v>
      </c>
      <c r="J52" s="13">
        <v>0</v>
      </c>
      <c r="K52" s="13">
        <v>0</v>
      </c>
      <c r="L52" s="13" t="s">
        <v>148</v>
      </c>
      <c r="M52" s="13" t="s">
        <v>148</v>
      </c>
      <c r="N52" s="13">
        <v>0</v>
      </c>
      <c r="O52" s="13">
        <v>0</v>
      </c>
      <c r="P52" s="13" t="s">
        <v>148</v>
      </c>
      <c r="Q52" s="13" t="s">
        <v>148</v>
      </c>
      <c r="R52" s="13">
        <v>0</v>
      </c>
      <c r="S52" s="13">
        <v>0</v>
      </c>
      <c r="T52" s="13" t="s">
        <v>148</v>
      </c>
      <c r="U52" s="13" t="s">
        <v>148</v>
      </c>
      <c r="V52" s="13" t="s">
        <v>148</v>
      </c>
      <c r="W52" s="13">
        <v>0</v>
      </c>
      <c r="X52" s="13" t="s">
        <v>148</v>
      </c>
      <c r="Y52" s="13" t="s">
        <v>148</v>
      </c>
      <c r="Z52" s="13" t="s">
        <v>148</v>
      </c>
      <c r="AA52" s="13">
        <v>0</v>
      </c>
    </row>
    <row r="53" spans="1:27" x14ac:dyDescent="0.25">
      <c r="A53" s="10" t="s">
        <v>825</v>
      </c>
      <c r="B53" s="10" t="s">
        <v>826</v>
      </c>
      <c r="C53" s="13">
        <v>1.5704750687082799E-3</v>
      </c>
      <c r="D53" s="13">
        <v>1.5914190683832801E-3</v>
      </c>
      <c r="E53" s="13">
        <v>6.3281126404050002E-3</v>
      </c>
      <c r="F53" s="13">
        <v>1.69073141040814E-3</v>
      </c>
      <c r="G53" s="13">
        <v>9.7359923410193592E-3</v>
      </c>
      <c r="H53" s="13">
        <v>6.6955692070772201E-3</v>
      </c>
      <c r="I53" s="13">
        <v>2.3241677691565099E-2</v>
      </c>
      <c r="J53" s="13">
        <v>7.3918328460199106E-2</v>
      </c>
      <c r="K53" s="13">
        <v>0.166649611881825</v>
      </c>
      <c r="L53" s="13">
        <v>6.0747940496651498E-2</v>
      </c>
      <c r="M53" s="13">
        <v>4.41280301247352E-2</v>
      </c>
      <c r="N53" s="13">
        <v>1.1922859101612599E-2</v>
      </c>
      <c r="O53" s="13">
        <v>5.8865081233812101E-3</v>
      </c>
      <c r="P53" s="13">
        <v>9.5117311350665801E-3</v>
      </c>
      <c r="Q53" s="13">
        <v>3.1811674884682701E-3</v>
      </c>
      <c r="R53" s="13">
        <v>0</v>
      </c>
      <c r="S53" s="13">
        <v>5.2239160374222403E-2</v>
      </c>
      <c r="T53" s="13" t="s">
        <v>148</v>
      </c>
      <c r="U53" s="13" t="s">
        <v>148</v>
      </c>
      <c r="V53" s="13">
        <v>1.28260625591201E-2</v>
      </c>
      <c r="W53" s="13">
        <v>7.2434607645875296E-2</v>
      </c>
      <c r="X53" s="13" t="s">
        <v>148</v>
      </c>
      <c r="Y53" s="13" t="s">
        <v>148</v>
      </c>
      <c r="Z53" s="13">
        <v>7.8862906923429593E-2</v>
      </c>
      <c r="AA53" s="13" t="s">
        <v>148</v>
      </c>
    </row>
    <row r="54" spans="1:27" x14ac:dyDescent="0.25">
      <c r="A54" s="10" t="s">
        <v>827</v>
      </c>
      <c r="B54" s="10" t="s">
        <v>828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1.61613549680005E-3</v>
      </c>
      <c r="U54" s="13">
        <v>1.6041837111185999E-3</v>
      </c>
      <c r="V54" s="13">
        <v>9.3822647619963799</v>
      </c>
      <c r="W54" s="13">
        <v>0</v>
      </c>
      <c r="X54" s="13">
        <v>0</v>
      </c>
      <c r="Y54" s="13">
        <v>8.4193433994662108</v>
      </c>
      <c r="Z54" s="13">
        <v>6.1017881705639603</v>
      </c>
      <c r="AA54" s="13">
        <v>6.47173489278752</v>
      </c>
    </row>
    <row r="55" spans="1:27" x14ac:dyDescent="0.25">
      <c r="A55" s="6" t="s">
        <v>114</v>
      </c>
      <c r="B55" s="6" t="s">
        <v>115</v>
      </c>
      <c r="C55" s="19">
        <v>16.654888103651398</v>
      </c>
      <c r="D55" s="19">
        <v>14.954564985597701</v>
      </c>
      <c r="E55" s="19">
        <v>14.1765543426673</v>
      </c>
      <c r="F55" s="19">
        <v>16.175227403374699</v>
      </c>
      <c r="G55" s="19">
        <v>15.835591542668</v>
      </c>
      <c r="H55" s="19">
        <v>14.8624897474097</v>
      </c>
      <c r="I55" s="19">
        <v>18.886544856437901</v>
      </c>
      <c r="J55" s="19">
        <v>15.619764118400701</v>
      </c>
      <c r="K55" s="19">
        <v>16.660575672080299</v>
      </c>
      <c r="L55" s="19">
        <v>14.379482012683001</v>
      </c>
      <c r="M55" s="19">
        <v>15.0241233231349</v>
      </c>
      <c r="N55" s="19">
        <v>15.268711437002599</v>
      </c>
      <c r="O55" s="19">
        <v>17.085589828113999</v>
      </c>
      <c r="P55" s="19">
        <v>13.566899175650001</v>
      </c>
      <c r="Q55" s="19">
        <v>14.665182121838701</v>
      </c>
      <c r="R55" s="19">
        <v>16.661604616589699</v>
      </c>
      <c r="S55" s="19">
        <v>17.788225609852599</v>
      </c>
      <c r="T55" s="19">
        <v>17.014674510310901</v>
      </c>
      <c r="U55" s="19">
        <v>22.400821342060102</v>
      </c>
      <c r="V55" s="19">
        <v>19.150914658586199</v>
      </c>
      <c r="W55" s="19">
        <v>18.156941649899402</v>
      </c>
      <c r="X55" s="19">
        <v>23.120514460314102</v>
      </c>
      <c r="Y55" s="19">
        <v>20.121689467888501</v>
      </c>
      <c r="Z55" s="19">
        <v>21.503897294818898</v>
      </c>
      <c r="AA55" s="19">
        <v>20.347487075175898</v>
      </c>
    </row>
    <row r="56" spans="1:27" x14ac:dyDescent="0.25">
      <c r="A56" s="10" t="s">
        <v>829</v>
      </c>
      <c r="B56" s="10" t="s">
        <v>830</v>
      </c>
      <c r="C56" s="13">
        <v>38.592854338437398</v>
      </c>
      <c r="D56" s="13">
        <v>39.004089947005703</v>
      </c>
      <c r="E56" s="13">
        <v>38.862521752887197</v>
      </c>
      <c r="F56" s="13">
        <v>38.394819598958499</v>
      </c>
      <c r="G56" s="13">
        <v>36.866957664659999</v>
      </c>
      <c r="H56" s="13">
        <v>36.989672084498103</v>
      </c>
      <c r="I56" s="13">
        <v>37.728394178853598</v>
      </c>
      <c r="J56" s="13">
        <v>45.651959657018999</v>
      </c>
      <c r="K56" s="13">
        <v>42.7631675120967</v>
      </c>
      <c r="L56" s="13">
        <v>41.3486042790257</v>
      </c>
      <c r="M56" s="13">
        <v>41.059661096728597</v>
      </c>
      <c r="N56" s="13">
        <v>37.519747235387001</v>
      </c>
      <c r="O56" s="13">
        <v>37.7737226277372</v>
      </c>
      <c r="P56" s="13">
        <v>39.922320862397001</v>
      </c>
      <c r="Q56" s="13">
        <v>40.074757435979002</v>
      </c>
      <c r="R56" s="13">
        <v>36.691337500199801</v>
      </c>
      <c r="S56" s="13">
        <v>37.080305836538898</v>
      </c>
      <c r="T56" s="13">
        <v>37.100006464541998</v>
      </c>
      <c r="U56" s="13">
        <v>34.023132329114297</v>
      </c>
      <c r="V56" s="13">
        <v>37.177945585429597</v>
      </c>
      <c r="W56" s="13">
        <v>38.205231388329999</v>
      </c>
      <c r="X56" s="13">
        <v>38.241668443118002</v>
      </c>
      <c r="Y56" s="13">
        <v>40.2023180723791</v>
      </c>
      <c r="Z56" s="13">
        <v>39.315910132966501</v>
      </c>
      <c r="AA56" s="13">
        <v>43.044325790321203</v>
      </c>
    </row>
    <row r="57" spans="1:27" x14ac:dyDescent="0.25">
      <c r="A57" s="10" t="s">
        <v>831</v>
      </c>
      <c r="B57" s="10" t="s">
        <v>832</v>
      </c>
      <c r="C57" s="13">
        <v>38.592854338437398</v>
      </c>
      <c r="D57" s="13">
        <v>38.321371166669302</v>
      </c>
      <c r="E57" s="13">
        <v>38.101566207878498</v>
      </c>
      <c r="F57" s="13">
        <v>37.348256855915899</v>
      </c>
      <c r="G57" s="13">
        <v>35.851169130413602</v>
      </c>
      <c r="H57" s="13">
        <v>36.989672084498103</v>
      </c>
      <c r="I57" s="13">
        <v>37.728394178853598</v>
      </c>
      <c r="J57" s="13">
        <v>45.651959657018999</v>
      </c>
      <c r="K57" s="13">
        <v>41.874369582060297</v>
      </c>
      <c r="L57" s="13">
        <v>41.3486042790257</v>
      </c>
      <c r="M57" s="13">
        <v>41.059661096728597</v>
      </c>
      <c r="N57" s="13">
        <v>37.519747235387001</v>
      </c>
      <c r="O57" s="13">
        <v>37.054097009653901</v>
      </c>
      <c r="P57" s="13">
        <v>39.922320862397001</v>
      </c>
      <c r="Q57" s="13">
        <v>40.074757435979002</v>
      </c>
      <c r="R57" s="13">
        <v>36.691337500199801</v>
      </c>
      <c r="S57" s="13">
        <v>36.341042567000699</v>
      </c>
      <c r="T57" s="13">
        <v>37.100006464541998</v>
      </c>
      <c r="U57" s="13">
        <v>34.023132329114297</v>
      </c>
      <c r="V57" s="13">
        <v>37.177945585429597</v>
      </c>
      <c r="W57" s="13">
        <v>37.326358148893398</v>
      </c>
      <c r="X57" s="13">
        <v>38.241668443118002</v>
      </c>
      <c r="Y57" s="13">
        <v>40.2023180723791</v>
      </c>
      <c r="Z57" s="13">
        <v>39.315910132966501</v>
      </c>
      <c r="AA57" s="13">
        <v>42.2001864564794</v>
      </c>
    </row>
    <row r="58" spans="1:27" x14ac:dyDescent="0.25">
      <c r="A58" s="10" t="s">
        <v>833</v>
      </c>
      <c r="B58" s="10" t="s">
        <v>834</v>
      </c>
      <c r="C58" s="13" t="s">
        <v>148</v>
      </c>
      <c r="D58" s="13">
        <v>0.68271878033642597</v>
      </c>
      <c r="E58" s="13">
        <v>0.760955545008701</v>
      </c>
      <c r="F58" s="13">
        <v>1.0465627430426401</v>
      </c>
      <c r="G58" s="13">
        <v>1.01578853424635</v>
      </c>
      <c r="H58" s="13" t="s">
        <v>148</v>
      </c>
      <c r="I58" s="13" t="s">
        <v>148</v>
      </c>
      <c r="J58" s="13" t="s">
        <v>148</v>
      </c>
      <c r="K58" s="13">
        <v>0.88879793003639995</v>
      </c>
      <c r="L58" s="13" t="s">
        <v>148</v>
      </c>
      <c r="M58" s="13" t="s">
        <v>148</v>
      </c>
      <c r="N58" s="13" t="s">
        <v>148</v>
      </c>
      <c r="O58" s="13">
        <v>0.71962561808335301</v>
      </c>
      <c r="P58" s="13" t="s">
        <v>148</v>
      </c>
      <c r="Q58" s="13" t="s">
        <v>148</v>
      </c>
      <c r="R58" s="13" t="s">
        <v>148</v>
      </c>
      <c r="S58" s="13">
        <v>0.73926326953823795</v>
      </c>
      <c r="T58" s="13" t="s">
        <v>148</v>
      </c>
      <c r="U58" s="13" t="s">
        <v>148</v>
      </c>
      <c r="V58" s="13" t="s">
        <v>148</v>
      </c>
      <c r="W58" s="13">
        <v>0.87887323943661999</v>
      </c>
      <c r="X58" s="13" t="s">
        <v>148</v>
      </c>
      <c r="Y58" s="13" t="s">
        <v>148</v>
      </c>
      <c r="Z58" s="13" t="s">
        <v>148</v>
      </c>
      <c r="AA58" s="13">
        <v>0.84413933384185103</v>
      </c>
    </row>
    <row r="59" spans="1:27" x14ac:dyDescent="0.25">
      <c r="A59" s="11" t="s">
        <v>835</v>
      </c>
      <c r="B59" s="11" t="s">
        <v>836</v>
      </c>
      <c r="C59" s="25" t="s">
        <v>148</v>
      </c>
      <c r="D59" s="25" t="s">
        <v>148</v>
      </c>
      <c r="E59" s="25" t="s">
        <v>148</v>
      </c>
      <c r="F59" s="25" t="s">
        <v>148</v>
      </c>
      <c r="G59" s="25">
        <v>0</v>
      </c>
      <c r="H59" s="25" t="s">
        <v>148</v>
      </c>
      <c r="I59" s="25" t="s">
        <v>148</v>
      </c>
      <c r="J59" s="25" t="s">
        <v>148</v>
      </c>
      <c r="K59" s="25">
        <v>0</v>
      </c>
      <c r="L59" s="25" t="s">
        <v>148</v>
      </c>
      <c r="M59" s="25" t="s">
        <v>148</v>
      </c>
      <c r="N59" s="25" t="s">
        <v>148</v>
      </c>
      <c r="O59" s="25">
        <v>0</v>
      </c>
      <c r="P59" s="25" t="s">
        <v>148</v>
      </c>
      <c r="Q59" s="25" t="s">
        <v>148</v>
      </c>
      <c r="R59" s="25" t="s">
        <v>148</v>
      </c>
      <c r="S59" s="25">
        <v>0</v>
      </c>
      <c r="T59" s="25" t="s">
        <v>148</v>
      </c>
      <c r="U59" s="25" t="s">
        <v>148</v>
      </c>
      <c r="V59" s="25" t="s">
        <v>148</v>
      </c>
      <c r="W59" s="25">
        <v>0</v>
      </c>
      <c r="X59" s="25" t="s">
        <v>148</v>
      </c>
      <c r="Y59" s="25" t="s">
        <v>148</v>
      </c>
      <c r="Z59" s="25" t="s">
        <v>148</v>
      </c>
      <c r="AA59" s="25">
        <v>0</v>
      </c>
    </row>
    <row r="60" spans="1:27" x14ac:dyDescent="0.25">
      <c r="A60" s="11" t="s">
        <v>837</v>
      </c>
      <c r="B60" s="11" t="s">
        <v>838</v>
      </c>
      <c r="C60" s="25" t="s">
        <v>148</v>
      </c>
      <c r="D60" s="25">
        <v>0.68271878033642597</v>
      </c>
      <c r="E60" s="25">
        <v>0.760955545008701</v>
      </c>
      <c r="F60" s="25">
        <v>1.0465627430426401</v>
      </c>
      <c r="G60" s="25">
        <v>1.01578853424635</v>
      </c>
      <c r="H60" s="25" t="s">
        <v>148</v>
      </c>
      <c r="I60" s="25" t="s">
        <v>148</v>
      </c>
      <c r="J60" s="25" t="s">
        <v>148</v>
      </c>
      <c r="K60" s="25">
        <v>0.88879793003639995</v>
      </c>
      <c r="L60" s="25" t="s">
        <v>148</v>
      </c>
      <c r="M60" s="25" t="s">
        <v>148</v>
      </c>
      <c r="N60" s="25" t="s">
        <v>148</v>
      </c>
      <c r="O60" s="25">
        <v>0.71962561808335301</v>
      </c>
      <c r="P60" s="25" t="s">
        <v>148</v>
      </c>
      <c r="Q60" s="25" t="s">
        <v>148</v>
      </c>
      <c r="R60" s="25" t="s">
        <v>148</v>
      </c>
      <c r="S60" s="25">
        <v>0.73926326953823795</v>
      </c>
      <c r="T60" s="25" t="s">
        <v>148</v>
      </c>
      <c r="U60" s="25" t="s">
        <v>148</v>
      </c>
      <c r="V60" s="25" t="s">
        <v>148</v>
      </c>
      <c r="W60" s="25">
        <v>0.87887323943661999</v>
      </c>
      <c r="X60" s="25" t="s">
        <v>148</v>
      </c>
      <c r="Y60" s="25" t="s">
        <v>148</v>
      </c>
      <c r="Z60" s="25" t="s">
        <v>148</v>
      </c>
      <c r="AA60" s="25">
        <v>0.84413933384185103</v>
      </c>
    </row>
    <row r="61" spans="1:27" x14ac:dyDescent="0.25">
      <c r="A61" s="10" t="s">
        <v>839</v>
      </c>
      <c r="B61" s="10" t="s">
        <v>840</v>
      </c>
      <c r="C61" s="13">
        <v>10.933647428347101</v>
      </c>
      <c r="D61" s="13">
        <v>10.8853064277416</v>
      </c>
      <c r="E61" s="13">
        <v>10.968201233982001</v>
      </c>
      <c r="F61" s="13">
        <v>10.370946471443499</v>
      </c>
      <c r="G61" s="13">
        <v>10.544079705324</v>
      </c>
      <c r="H61" s="13">
        <v>11.0225808071509</v>
      </c>
      <c r="I61" s="13">
        <v>10.950405835448899</v>
      </c>
      <c r="J61" s="13">
        <v>10.029895857288301</v>
      </c>
      <c r="K61" s="13">
        <v>13.940093850044599</v>
      </c>
      <c r="L61" s="13">
        <v>16.1737687429621</v>
      </c>
      <c r="M61" s="13">
        <v>14.924099788185501</v>
      </c>
      <c r="N61" s="13">
        <v>15.2120778562699</v>
      </c>
      <c r="O61" s="13">
        <v>14.1423357664234</v>
      </c>
      <c r="P61" s="13">
        <v>14.939759036144601</v>
      </c>
      <c r="Q61" s="13">
        <v>13.1064100524893</v>
      </c>
      <c r="R61" s="13">
        <v>12.9865562606903</v>
      </c>
      <c r="S61" s="13">
        <v>11.557518481581701</v>
      </c>
      <c r="T61" s="13">
        <v>12.0450578576508</v>
      </c>
      <c r="U61" s="13">
        <v>9.7373951264898793</v>
      </c>
      <c r="V61" s="13">
        <v>8.0098760681705201</v>
      </c>
      <c r="W61" s="13">
        <v>7.01971830985915</v>
      </c>
      <c r="X61" s="13">
        <v>7.6298585944716804</v>
      </c>
      <c r="Y61" s="13">
        <v>5.7130592209634399</v>
      </c>
      <c r="Z61" s="13">
        <v>5.4525447042641</v>
      </c>
      <c r="AA61" s="13">
        <v>3.9850834816509901</v>
      </c>
    </row>
    <row r="62" spans="1:27" x14ac:dyDescent="0.25">
      <c r="A62" s="10" t="s">
        <v>841</v>
      </c>
      <c r="B62" s="10" t="s">
        <v>842</v>
      </c>
      <c r="C62" s="13">
        <v>0</v>
      </c>
      <c r="D62" s="13" t="s">
        <v>148</v>
      </c>
      <c r="E62" s="13" t="s">
        <v>148</v>
      </c>
      <c r="F62" s="13" t="s">
        <v>148</v>
      </c>
      <c r="G62" s="13">
        <v>0</v>
      </c>
      <c r="H62" s="13" t="s">
        <v>148</v>
      </c>
      <c r="I62" s="13" t="s">
        <v>148</v>
      </c>
      <c r="J62" s="13" t="s">
        <v>148</v>
      </c>
      <c r="K62" s="13">
        <v>0</v>
      </c>
      <c r="L62" s="13" t="s">
        <v>148</v>
      </c>
      <c r="M62" s="13" t="s">
        <v>148</v>
      </c>
      <c r="N62" s="13" t="s">
        <v>148</v>
      </c>
      <c r="O62" s="13">
        <v>0</v>
      </c>
      <c r="P62" s="13" t="s">
        <v>148</v>
      </c>
      <c r="Q62" s="13" t="s">
        <v>148</v>
      </c>
      <c r="R62" s="13" t="s">
        <v>148</v>
      </c>
      <c r="S62" s="13">
        <v>0</v>
      </c>
      <c r="T62" s="13" t="s">
        <v>148</v>
      </c>
      <c r="U62" s="13" t="s">
        <v>148</v>
      </c>
      <c r="V62" s="13" t="s">
        <v>148</v>
      </c>
      <c r="W62" s="13">
        <v>0</v>
      </c>
      <c r="X62" s="13" t="s">
        <v>148</v>
      </c>
      <c r="Y62" s="13" t="s">
        <v>148</v>
      </c>
      <c r="Z62" s="13" t="s">
        <v>148</v>
      </c>
      <c r="AA62" s="13">
        <v>0</v>
      </c>
    </row>
    <row r="63" spans="1:27" x14ac:dyDescent="0.25">
      <c r="A63" s="10" t="s">
        <v>843</v>
      </c>
      <c r="B63" s="10" t="s">
        <v>844</v>
      </c>
      <c r="C63" s="13">
        <v>0</v>
      </c>
      <c r="D63" s="13" t="s">
        <v>148</v>
      </c>
      <c r="E63" s="13" t="s">
        <v>148</v>
      </c>
      <c r="F63" s="13" t="s">
        <v>148</v>
      </c>
      <c r="G63" s="13">
        <v>0</v>
      </c>
      <c r="H63" s="13" t="s">
        <v>148</v>
      </c>
      <c r="I63" s="13" t="s">
        <v>148</v>
      </c>
      <c r="J63" s="13" t="s">
        <v>148</v>
      </c>
      <c r="K63" s="13">
        <v>0</v>
      </c>
      <c r="L63" s="13" t="s">
        <v>148</v>
      </c>
      <c r="M63" s="13" t="s">
        <v>148</v>
      </c>
      <c r="N63" s="13" t="s">
        <v>148</v>
      </c>
      <c r="O63" s="13">
        <v>0</v>
      </c>
      <c r="P63" s="13" t="s">
        <v>148</v>
      </c>
      <c r="Q63" s="13" t="s">
        <v>148</v>
      </c>
      <c r="R63" s="13" t="s">
        <v>148</v>
      </c>
      <c r="S63" s="13">
        <v>0</v>
      </c>
      <c r="T63" s="13" t="s">
        <v>148</v>
      </c>
      <c r="U63" s="13" t="s">
        <v>148</v>
      </c>
      <c r="V63" s="13" t="s">
        <v>148</v>
      </c>
      <c r="W63" s="13">
        <v>0</v>
      </c>
      <c r="X63" s="13" t="s">
        <v>148</v>
      </c>
      <c r="Y63" s="13" t="s">
        <v>148</v>
      </c>
      <c r="Z63" s="13" t="s">
        <v>148</v>
      </c>
      <c r="AA63" s="13">
        <v>0</v>
      </c>
    </row>
    <row r="64" spans="1:27" x14ac:dyDescent="0.25">
      <c r="A64" s="11" t="s">
        <v>845</v>
      </c>
      <c r="B64" s="11" t="s">
        <v>846</v>
      </c>
      <c r="C64" s="25">
        <v>0</v>
      </c>
      <c r="D64" s="25" t="s">
        <v>148</v>
      </c>
      <c r="E64" s="25" t="s">
        <v>148</v>
      </c>
      <c r="F64" s="25" t="s">
        <v>148</v>
      </c>
      <c r="G64" s="25">
        <v>0</v>
      </c>
      <c r="H64" s="25" t="s">
        <v>148</v>
      </c>
      <c r="I64" s="25" t="s">
        <v>148</v>
      </c>
      <c r="J64" s="25" t="s">
        <v>148</v>
      </c>
      <c r="K64" s="25">
        <v>0</v>
      </c>
      <c r="L64" s="25" t="s">
        <v>148</v>
      </c>
      <c r="M64" s="25" t="s">
        <v>148</v>
      </c>
      <c r="N64" s="25" t="s">
        <v>148</v>
      </c>
      <c r="O64" s="25">
        <v>0</v>
      </c>
      <c r="P64" s="25" t="s">
        <v>148</v>
      </c>
      <c r="Q64" s="25" t="s">
        <v>148</v>
      </c>
      <c r="R64" s="25" t="s">
        <v>148</v>
      </c>
      <c r="S64" s="25">
        <v>0</v>
      </c>
      <c r="T64" s="25" t="s">
        <v>148</v>
      </c>
      <c r="U64" s="25" t="s">
        <v>148</v>
      </c>
      <c r="V64" s="25" t="s">
        <v>148</v>
      </c>
      <c r="W64" s="25">
        <v>0</v>
      </c>
      <c r="X64" s="25" t="s">
        <v>148</v>
      </c>
      <c r="Y64" s="25" t="s">
        <v>148</v>
      </c>
      <c r="Z64" s="25" t="s">
        <v>148</v>
      </c>
      <c r="AA64" s="25">
        <v>0</v>
      </c>
    </row>
    <row r="65" spans="1:27" x14ac:dyDescent="0.25">
      <c r="A65" s="11" t="s">
        <v>847</v>
      </c>
      <c r="B65" s="11" t="s">
        <v>848</v>
      </c>
      <c r="C65" s="25">
        <v>0</v>
      </c>
      <c r="D65" s="25" t="s">
        <v>148</v>
      </c>
      <c r="E65" s="25" t="s">
        <v>148</v>
      </c>
      <c r="F65" s="25" t="s">
        <v>148</v>
      </c>
      <c r="G65" s="25">
        <v>0</v>
      </c>
      <c r="H65" s="25" t="s">
        <v>148</v>
      </c>
      <c r="I65" s="25" t="s">
        <v>148</v>
      </c>
      <c r="J65" s="25" t="s">
        <v>148</v>
      </c>
      <c r="K65" s="25">
        <v>0</v>
      </c>
      <c r="L65" s="25" t="s">
        <v>148</v>
      </c>
      <c r="M65" s="25" t="s">
        <v>148</v>
      </c>
      <c r="N65" s="25" t="s">
        <v>148</v>
      </c>
      <c r="O65" s="25">
        <v>0</v>
      </c>
      <c r="P65" s="25" t="s">
        <v>148</v>
      </c>
      <c r="Q65" s="25" t="s">
        <v>148</v>
      </c>
      <c r="R65" s="25" t="s">
        <v>148</v>
      </c>
      <c r="S65" s="25">
        <v>0</v>
      </c>
      <c r="T65" s="25" t="s">
        <v>148</v>
      </c>
      <c r="U65" s="25" t="s">
        <v>148</v>
      </c>
      <c r="V65" s="25" t="s">
        <v>148</v>
      </c>
      <c r="W65" s="25">
        <v>0</v>
      </c>
      <c r="X65" s="25" t="s">
        <v>148</v>
      </c>
      <c r="Y65" s="25" t="s">
        <v>148</v>
      </c>
      <c r="Z65" s="25" t="s">
        <v>148</v>
      </c>
      <c r="AA65" s="25">
        <v>0</v>
      </c>
    </row>
    <row r="66" spans="1:27" x14ac:dyDescent="0.25">
      <c r="A66" s="10" t="s">
        <v>823</v>
      </c>
      <c r="B66" s="10" t="s">
        <v>849</v>
      </c>
      <c r="C66" s="13">
        <v>0</v>
      </c>
      <c r="D66" s="13" t="s">
        <v>148</v>
      </c>
      <c r="E66" s="13" t="s">
        <v>148</v>
      </c>
      <c r="F66" s="13" t="s">
        <v>148</v>
      </c>
      <c r="G66" s="13">
        <v>0</v>
      </c>
      <c r="H66" s="13" t="s">
        <v>148</v>
      </c>
      <c r="I66" s="13" t="s">
        <v>148</v>
      </c>
      <c r="J66" s="13" t="s">
        <v>148</v>
      </c>
      <c r="K66" s="13">
        <v>0</v>
      </c>
      <c r="L66" s="13" t="s">
        <v>148</v>
      </c>
      <c r="M66" s="13" t="s">
        <v>148</v>
      </c>
      <c r="N66" s="13" t="s">
        <v>148</v>
      </c>
      <c r="O66" s="13">
        <v>0</v>
      </c>
      <c r="P66" s="13" t="s">
        <v>148</v>
      </c>
      <c r="Q66" s="13" t="s">
        <v>148</v>
      </c>
      <c r="R66" s="13" t="s">
        <v>148</v>
      </c>
      <c r="S66" s="13">
        <v>0</v>
      </c>
      <c r="T66" s="13" t="s">
        <v>148</v>
      </c>
      <c r="U66" s="13" t="s">
        <v>148</v>
      </c>
      <c r="V66" s="13" t="s">
        <v>148</v>
      </c>
      <c r="W66" s="13" t="s">
        <v>148</v>
      </c>
      <c r="X66" s="13" t="s">
        <v>148</v>
      </c>
      <c r="Y66" s="13" t="s">
        <v>148</v>
      </c>
      <c r="Z66" s="13" t="s">
        <v>148</v>
      </c>
      <c r="AA66" s="13">
        <v>0</v>
      </c>
    </row>
    <row r="67" spans="1:27" x14ac:dyDescent="0.25">
      <c r="A67" s="10" t="s">
        <v>850</v>
      </c>
      <c r="B67" s="10" t="s">
        <v>851</v>
      </c>
      <c r="C67" s="13" t="s">
        <v>148</v>
      </c>
      <c r="D67" s="13" t="s">
        <v>148</v>
      </c>
      <c r="E67" s="13" t="s">
        <v>148</v>
      </c>
      <c r="F67" s="13" t="s">
        <v>148</v>
      </c>
      <c r="G67" s="13" t="s">
        <v>148</v>
      </c>
      <c r="H67" s="13" t="s">
        <v>148</v>
      </c>
      <c r="I67" s="13" t="s">
        <v>148</v>
      </c>
      <c r="J67" s="13" t="s">
        <v>148</v>
      </c>
      <c r="K67" s="13">
        <v>5.7216366746093197</v>
      </c>
      <c r="L67" s="13">
        <v>6.6141172287085901</v>
      </c>
      <c r="M67" s="13">
        <v>6.4338667921864001</v>
      </c>
      <c r="N67" s="13">
        <v>6.8601150555903301</v>
      </c>
      <c r="O67" s="13">
        <v>6.41040734636214</v>
      </c>
      <c r="P67" s="13">
        <v>5.8449587824984102</v>
      </c>
      <c r="Q67" s="13">
        <v>5.35072371560363</v>
      </c>
      <c r="R67" s="13">
        <v>4.8531739053982799</v>
      </c>
      <c r="S67" s="13">
        <v>4.2313719903120104</v>
      </c>
      <c r="T67" s="13">
        <v>3.8803413278169199</v>
      </c>
      <c r="U67" s="13">
        <v>3.3784108956157701</v>
      </c>
      <c r="V67" s="13">
        <v>3.1808635146617901</v>
      </c>
      <c r="W67" s="13">
        <v>2.5561368209255502</v>
      </c>
      <c r="X67" s="13">
        <v>1.65742911959071</v>
      </c>
      <c r="Y67" s="13">
        <v>1.6928274137255299</v>
      </c>
      <c r="Z67" s="13">
        <v>1.4562127464465799</v>
      </c>
      <c r="AA67" s="13">
        <v>1.22722264598695</v>
      </c>
    </row>
    <row r="68" spans="1:27" x14ac:dyDescent="0.25">
      <c r="A68" s="10" t="s">
        <v>825</v>
      </c>
      <c r="B68" s="10" t="s">
        <v>852</v>
      </c>
      <c r="C68" s="13">
        <v>0</v>
      </c>
      <c r="D68" s="13">
        <v>1.5914190683832801E-3</v>
      </c>
      <c r="E68" s="13">
        <v>3.1640563202025001E-3</v>
      </c>
      <c r="F68" s="13">
        <v>0</v>
      </c>
      <c r="G68" s="13">
        <v>3.24533078033979E-3</v>
      </c>
      <c r="H68" s="13">
        <v>1.6738923017693E-3</v>
      </c>
      <c r="I68" s="13">
        <v>8.9391068044481006E-3</v>
      </c>
      <c r="J68" s="13">
        <v>8.21314760668879E-3</v>
      </c>
      <c r="K68" s="13">
        <v>1.02328709050243E-2</v>
      </c>
      <c r="L68" s="13">
        <v>0</v>
      </c>
      <c r="M68" s="13">
        <v>0</v>
      </c>
      <c r="N68" s="13">
        <v>0</v>
      </c>
      <c r="O68" s="13">
        <v>1.4716270308452999E-3</v>
      </c>
      <c r="P68" s="13">
        <v>9.5117311350665801E-3</v>
      </c>
      <c r="Q68" s="13">
        <v>0</v>
      </c>
      <c r="R68" s="13">
        <v>3.1970842591556498E-3</v>
      </c>
      <c r="S68" s="13">
        <v>1.42470437384243E-2</v>
      </c>
      <c r="T68" s="13" t="s">
        <v>148</v>
      </c>
      <c r="U68" s="13" t="s">
        <v>148</v>
      </c>
      <c r="V68" s="13">
        <v>0</v>
      </c>
      <c r="W68" s="13">
        <v>1.12676056338028E-2</v>
      </c>
      <c r="X68" s="13" t="s">
        <v>148</v>
      </c>
      <c r="Y68" s="13" t="s">
        <v>148</v>
      </c>
      <c r="Z68" s="13">
        <v>1.1004126547455299E-2</v>
      </c>
      <c r="AA68" s="13">
        <v>5.08517670989067E-3</v>
      </c>
    </row>
    <row r="69" spans="1:27" x14ac:dyDescent="0.25">
      <c r="A69" s="10" t="s">
        <v>853</v>
      </c>
      <c r="B69" s="10" t="s">
        <v>854</v>
      </c>
      <c r="C69" s="13">
        <v>10.933647428347101</v>
      </c>
      <c r="D69" s="13">
        <v>10.8837150086732</v>
      </c>
      <c r="E69" s="13">
        <v>10.965037177661801</v>
      </c>
      <c r="F69" s="13">
        <v>10.370946471443499</v>
      </c>
      <c r="G69" s="13">
        <v>10.5408343745436</v>
      </c>
      <c r="H69" s="13">
        <v>11.0209069148491</v>
      </c>
      <c r="I69" s="13">
        <v>10.9414667286445</v>
      </c>
      <c r="J69" s="13">
        <v>10.0216827096817</v>
      </c>
      <c r="K69" s="13">
        <v>8.2082243045302405</v>
      </c>
      <c r="L69" s="13">
        <v>9.5596515142535399</v>
      </c>
      <c r="M69" s="13">
        <v>8.4902329959990599</v>
      </c>
      <c r="N69" s="13">
        <v>8.3519628006795994</v>
      </c>
      <c r="O69" s="13">
        <v>7.7304567930303696</v>
      </c>
      <c r="P69" s="13">
        <v>9.0852885225110995</v>
      </c>
      <c r="Q69" s="13">
        <v>7.7556863368856401</v>
      </c>
      <c r="R69" s="13">
        <v>8.1301852710328202</v>
      </c>
      <c r="S69" s="13">
        <v>7.3118994475313004</v>
      </c>
      <c r="T69" s="13">
        <v>8.1647165298338606</v>
      </c>
      <c r="U69" s="13">
        <v>6.3589842308741202</v>
      </c>
      <c r="V69" s="13">
        <v>4.82901255350873</v>
      </c>
      <c r="W69" s="13">
        <v>4.4523138832997997</v>
      </c>
      <c r="X69" s="13">
        <v>5.9724294748809799</v>
      </c>
      <c r="Y69" s="13">
        <v>4.0202318072379102</v>
      </c>
      <c r="Z69" s="13">
        <v>3.9853278312700602</v>
      </c>
      <c r="AA69" s="13">
        <v>2.7527756589541501</v>
      </c>
    </row>
    <row r="70" spans="1:27" x14ac:dyDescent="0.25">
      <c r="A70" s="6" t="s">
        <v>855</v>
      </c>
      <c r="B70" s="6" t="s">
        <v>856</v>
      </c>
      <c r="C70" s="19">
        <v>49.526501766784499</v>
      </c>
      <c r="D70" s="19">
        <v>49.889396374747399</v>
      </c>
      <c r="E70" s="19">
        <v>49.830722986869198</v>
      </c>
      <c r="F70" s="19">
        <v>48.765766070402101</v>
      </c>
      <c r="G70" s="19">
        <v>47.411037369983902</v>
      </c>
      <c r="H70" s="19">
        <v>48.012252891648899</v>
      </c>
      <c r="I70" s="19">
        <v>48.678800014302603</v>
      </c>
      <c r="J70" s="19">
        <v>55.681855514307301</v>
      </c>
      <c r="K70" s="19">
        <v>56.703261362141298</v>
      </c>
      <c r="L70" s="19">
        <v>57.522373021987796</v>
      </c>
      <c r="M70" s="19">
        <v>55.983760884914098</v>
      </c>
      <c r="N70" s="19">
        <v>52.731825091657001</v>
      </c>
      <c r="O70" s="19">
        <v>51.916058394160601</v>
      </c>
      <c r="P70" s="19">
        <v>54.862079898541502</v>
      </c>
      <c r="Q70" s="19">
        <v>53.181167488468297</v>
      </c>
      <c r="R70" s="19">
        <v>49.6778937608901</v>
      </c>
      <c r="S70" s="19">
        <v>48.6378243181207</v>
      </c>
      <c r="T70" s="19">
        <v>49.145064322192802</v>
      </c>
      <c r="U70" s="19">
        <v>43.760527455604198</v>
      </c>
      <c r="V70" s="19">
        <v>45.187821653600103</v>
      </c>
      <c r="W70" s="19">
        <v>45.2249496981891</v>
      </c>
      <c r="X70" s="19">
        <v>45.871527037589701</v>
      </c>
      <c r="Y70" s="19">
        <v>45.915377293342502</v>
      </c>
      <c r="Z70" s="19">
        <v>44.7684548372306</v>
      </c>
      <c r="AA70" s="19">
        <v>47.029409271972199</v>
      </c>
    </row>
    <row r="71" spans="1:27" x14ac:dyDescent="0.25">
      <c r="A71" s="6" t="s">
        <v>116</v>
      </c>
      <c r="B71" s="6" t="s">
        <v>117</v>
      </c>
      <c r="C71" s="19">
        <v>66.181389870435794</v>
      </c>
      <c r="D71" s="19">
        <v>64.843961360345006</v>
      </c>
      <c r="E71" s="19">
        <v>64.007277329536507</v>
      </c>
      <c r="F71" s="19">
        <v>64.9409934737768</v>
      </c>
      <c r="G71" s="19">
        <v>63.2466289126519</v>
      </c>
      <c r="H71" s="19">
        <v>62.874742639058603</v>
      </c>
      <c r="I71" s="19">
        <v>67.565344870740503</v>
      </c>
      <c r="J71" s="19">
        <v>71.301619632707997</v>
      </c>
      <c r="K71" s="19">
        <v>73.363837034221604</v>
      </c>
      <c r="L71" s="19">
        <v>71.901855034670803</v>
      </c>
      <c r="M71" s="19">
        <v>71.007884208048907</v>
      </c>
      <c r="N71" s="19">
        <v>68.000536528659595</v>
      </c>
      <c r="O71" s="19">
        <v>69.001648222274596</v>
      </c>
      <c r="P71" s="19">
        <v>68.428979074191503</v>
      </c>
      <c r="Q71" s="19">
        <v>67.846349610307001</v>
      </c>
      <c r="R71" s="19">
        <v>66.3394983774797</v>
      </c>
      <c r="S71" s="19">
        <v>66.426049927973295</v>
      </c>
      <c r="T71" s="19">
        <v>66.159738832503706</v>
      </c>
      <c r="U71" s="19">
        <v>66.161348797664303</v>
      </c>
      <c r="V71" s="19">
        <v>64.338736312186398</v>
      </c>
      <c r="W71" s="19">
        <v>63.381891348088502</v>
      </c>
      <c r="X71" s="19">
        <v>68.992041497903799</v>
      </c>
      <c r="Y71" s="19">
        <v>66.037066761231102</v>
      </c>
      <c r="Z71" s="19">
        <v>66.272352132049505</v>
      </c>
      <c r="AA71" s="19">
        <v>67.376896347148104</v>
      </c>
    </row>
    <row r="72" spans="1:27" x14ac:dyDescent="0.25">
      <c r="A72" s="10" t="s">
        <v>857</v>
      </c>
      <c r="B72" s="10" t="s">
        <v>168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</row>
    <row r="73" spans="1:27" x14ac:dyDescent="0.25">
      <c r="A73" s="10" t="s">
        <v>858</v>
      </c>
      <c r="B73" s="10" t="s">
        <v>859</v>
      </c>
      <c r="C73" s="13">
        <v>3.58539458186101</v>
      </c>
      <c r="D73" s="13">
        <v>3.97059057561628</v>
      </c>
      <c r="E73" s="13">
        <v>4.2477456098718598</v>
      </c>
      <c r="F73" s="13">
        <v>4.8540898792817799</v>
      </c>
      <c r="G73" s="13">
        <v>4.9523747707985102</v>
      </c>
      <c r="H73" s="13">
        <v>5.5439313034599396</v>
      </c>
      <c r="I73" s="13">
        <v>6.2788286194443401</v>
      </c>
      <c r="J73" s="13">
        <v>6.0990834127270901</v>
      </c>
      <c r="K73" s="13">
        <v>5.6733959974856401</v>
      </c>
      <c r="L73" s="13">
        <v>6.0644224500681601</v>
      </c>
      <c r="M73" s="13">
        <v>6.2838314897623002</v>
      </c>
      <c r="N73" s="13">
        <v>6.6961757429431596</v>
      </c>
      <c r="O73" s="13">
        <v>6.8607252178008</v>
      </c>
      <c r="P73" s="13">
        <v>7.7171845275840196</v>
      </c>
      <c r="Q73" s="13">
        <v>8.0038174009861596</v>
      </c>
      <c r="R73" s="13">
        <v>8.3555797113032906</v>
      </c>
      <c r="S73" s="13">
        <v>8.7872599768881301</v>
      </c>
      <c r="T73" s="13">
        <v>9.3638890684594998</v>
      </c>
      <c r="U73" s="13">
        <v>9.6395399201116501</v>
      </c>
      <c r="V73" s="13">
        <v>10.0684591089093</v>
      </c>
      <c r="W73" s="13">
        <v>10.464386317907399</v>
      </c>
      <c r="X73" s="13">
        <v>12.1047395722305</v>
      </c>
      <c r="Y73" s="13">
        <v>13.107747438362001</v>
      </c>
      <c r="Z73" s="13">
        <v>13.439706556625399</v>
      </c>
      <c r="AA73" s="13">
        <v>13.053648614289299</v>
      </c>
    </row>
    <row r="74" spans="1:27" x14ac:dyDescent="0.25">
      <c r="A74" s="10" t="s">
        <v>860</v>
      </c>
      <c r="B74" s="10" t="s">
        <v>861</v>
      </c>
      <c r="C74" s="13">
        <v>1.5704750687082799E-3</v>
      </c>
      <c r="D74" s="13">
        <v>1.5914190683832801E-3</v>
      </c>
      <c r="E74" s="13">
        <v>1.58202816010125E-3</v>
      </c>
      <c r="F74" s="13">
        <v>1.69073141040814E-3</v>
      </c>
      <c r="G74" s="13">
        <v>1.62266539016989E-3</v>
      </c>
      <c r="H74" s="13">
        <v>1.6738923017693E-3</v>
      </c>
      <c r="I74" s="13">
        <v>1.78782136088962E-3</v>
      </c>
      <c r="J74" s="13">
        <v>1.6426295213377599E-3</v>
      </c>
      <c r="K74" s="13">
        <v>1.4618387007177601E-3</v>
      </c>
      <c r="L74" s="13">
        <v>1.48165708528418E-3</v>
      </c>
      <c r="M74" s="13">
        <v>1.4709343374911699E-3</v>
      </c>
      <c r="N74" s="13">
        <v>1.4903573877015699E-3</v>
      </c>
      <c r="O74" s="13">
        <v>1.4716270308452999E-3</v>
      </c>
      <c r="P74" s="13">
        <v>1.5852885225110999E-3</v>
      </c>
      <c r="Q74" s="13">
        <v>1.5905837442341301E-3</v>
      </c>
      <c r="R74" s="13">
        <v>1.5985421295778199E-3</v>
      </c>
      <c r="S74" s="13">
        <v>1.5830048598249201E-3</v>
      </c>
      <c r="T74" s="13">
        <v>1.61613549680005E-3</v>
      </c>
      <c r="U74" s="13">
        <v>1.6041837111185999E-3</v>
      </c>
      <c r="V74" s="13">
        <v>1.6032578198900201E-3</v>
      </c>
      <c r="W74" s="13">
        <v>1.6096579476861199E-3</v>
      </c>
      <c r="X74" s="13">
        <v>1.77645136076174E-3</v>
      </c>
      <c r="Y74" s="13">
        <v>1.8664028817260501E-3</v>
      </c>
      <c r="Z74" s="13">
        <v>1.8340210912425501E-3</v>
      </c>
      <c r="AA74" s="13">
        <v>1.6950589032968899E-3</v>
      </c>
    </row>
    <row r="75" spans="1:27" x14ac:dyDescent="0.25">
      <c r="A75" s="10" t="s">
        <v>862</v>
      </c>
      <c r="B75" s="10" t="s">
        <v>863</v>
      </c>
      <c r="C75" s="13">
        <v>3.5838241067922998</v>
      </c>
      <c r="D75" s="13">
        <v>3.9689991565478899</v>
      </c>
      <c r="E75" s="13">
        <v>4.24616358171175</v>
      </c>
      <c r="F75" s="13">
        <v>4.8523991478713704</v>
      </c>
      <c r="G75" s="13">
        <v>4.9507521054083403</v>
      </c>
      <c r="H75" s="13">
        <v>5.5422574111581699</v>
      </c>
      <c r="I75" s="13">
        <v>6.2770407980834504</v>
      </c>
      <c r="J75" s="13">
        <v>6.0974407832057604</v>
      </c>
      <c r="K75" s="13">
        <v>5.6719341587849197</v>
      </c>
      <c r="L75" s="13">
        <v>6.0629407929828698</v>
      </c>
      <c r="M75" s="13">
        <v>6.2823605554248099</v>
      </c>
      <c r="N75" s="13">
        <v>6.6946853855554602</v>
      </c>
      <c r="O75" s="13">
        <v>6.8592535907699599</v>
      </c>
      <c r="P75" s="13">
        <v>7.7155992390615102</v>
      </c>
      <c r="Q75" s="13">
        <v>8.0022268172419295</v>
      </c>
      <c r="R75" s="13">
        <v>8.3539811691737107</v>
      </c>
      <c r="S75" s="13">
        <v>8.7856769720283001</v>
      </c>
      <c r="T75" s="13">
        <v>9.3622729329626999</v>
      </c>
      <c r="U75" s="13">
        <v>9.6379357364005305</v>
      </c>
      <c r="V75" s="13">
        <v>10.0668558510894</v>
      </c>
      <c r="W75" s="13">
        <v>10.4627766599598</v>
      </c>
      <c r="X75" s="13">
        <v>12.1029631208698</v>
      </c>
      <c r="Y75" s="13">
        <v>13.1058810354803</v>
      </c>
      <c r="Z75" s="13">
        <v>13.437872535534201</v>
      </c>
      <c r="AA75" s="13">
        <v>13.051953555386101</v>
      </c>
    </row>
    <row r="76" spans="1:27" x14ac:dyDescent="0.25">
      <c r="A76" s="10" t="s">
        <v>864</v>
      </c>
      <c r="B76" s="10" t="s">
        <v>865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</row>
    <row r="77" spans="1:27" x14ac:dyDescent="0.25">
      <c r="A77" s="10" t="s">
        <v>866</v>
      </c>
      <c r="B77" s="10" t="s">
        <v>867</v>
      </c>
      <c r="C77" s="13">
        <v>29.876717707106401</v>
      </c>
      <c r="D77" s="13">
        <v>30.755764915575199</v>
      </c>
      <c r="E77" s="13">
        <v>31.370036386647701</v>
      </c>
      <c r="F77" s="13">
        <v>29.7839245257498</v>
      </c>
      <c r="G77" s="13">
        <v>31.460236584613899</v>
      </c>
      <c r="H77" s="13">
        <v>31.316851073801899</v>
      </c>
      <c r="I77" s="13">
        <v>25.8250795580506</v>
      </c>
      <c r="J77" s="13">
        <v>22.5188081080193</v>
      </c>
      <c r="K77" s="13">
        <v>21.022702355022101</v>
      </c>
      <c r="L77" s="13">
        <v>21.959639660996899</v>
      </c>
      <c r="M77" s="13">
        <v>22.640621322664199</v>
      </c>
      <c r="N77" s="13">
        <v>25.191510924319701</v>
      </c>
      <c r="O77" s="13">
        <v>24.022839651518701</v>
      </c>
      <c r="P77" s="13">
        <v>23.757133798351301</v>
      </c>
      <c r="Q77" s="13">
        <v>24.044854461587398</v>
      </c>
      <c r="R77" s="13">
        <v>25.1866297936282</v>
      </c>
      <c r="S77" s="13">
        <v>24.8325972360735</v>
      </c>
      <c r="T77" s="13">
        <v>24.6024306677872</v>
      </c>
      <c r="U77" s="13">
        <v>24.284133018913298</v>
      </c>
      <c r="V77" s="13">
        <v>25.655331633879999</v>
      </c>
      <c r="W77" s="13">
        <v>26.243863179074399</v>
      </c>
      <c r="X77" s="13">
        <v>18.929865700277102</v>
      </c>
      <c r="Y77" s="13">
        <v>20.838388174471302</v>
      </c>
      <c r="Z77" s="13">
        <v>20.3081155433287</v>
      </c>
      <c r="AA77" s="13">
        <v>19.4880922112043</v>
      </c>
    </row>
    <row r="78" spans="1:27" x14ac:dyDescent="0.25">
      <c r="A78" s="10" t="s">
        <v>868</v>
      </c>
      <c r="B78" s="10" t="s">
        <v>869</v>
      </c>
      <c r="C78" s="13">
        <v>0.12563800549666301</v>
      </c>
      <c r="D78" s="13">
        <v>0.206884478889826</v>
      </c>
      <c r="E78" s="13">
        <v>0.16136687233032701</v>
      </c>
      <c r="F78" s="13">
        <v>0.19781557501775299</v>
      </c>
      <c r="G78" s="13">
        <v>0.13792655816444099</v>
      </c>
      <c r="H78" s="13">
        <v>7.6999045881388006E-2</v>
      </c>
      <c r="I78" s="13">
        <v>0.12514749526227301</v>
      </c>
      <c r="J78" s="13">
        <v>3.7780478990768397E-2</v>
      </c>
      <c r="K78" s="13">
        <v>-8.7710322043065794E-2</v>
      </c>
      <c r="L78" s="13">
        <v>5.6302969240798903E-2</v>
      </c>
      <c r="M78" s="13">
        <v>5.7366439162155801E-2</v>
      </c>
      <c r="N78" s="13">
        <v>0.110286446689916</v>
      </c>
      <c r="O78" s="13">
        <v>0.12214504356016</v>
      </c>
      <c r="P78" s="13">
        <v>0.11572606214330999</v>
      </c>
      <c r="Q78" s="13">
        <v>0.13838078574837001</v>
      </c>
      <c r="R78" s="13">
        <v>0.156657128698627</v>
      </c>
      <c r="S78" s="13">
        <v>3.1660097196498402E-3</v>
      </c>
      <c r="T78" s="13">
        <v>-3.2322709936000997E-2</v>
      </c>
      <c r="U78" s="13">
        <v>1.7646020822304601E-2</v>
      </c>
      <c r="V78" s="13">
        <v>5.2907508056370602E-2</v>
      </c>
      <c r="W78" s="13">
        <v>4.5070422535211298E-2</v>
      </c>
      <c r="X78" s="13">
        <v>0.12257514389256</v>
      </c>
      <c r="Y78" s="13">
        <v>0.17357546800052301</v>
      </c>
      <c r="Z78" s="13">
        <v>0.13388353966070601</v>
      </c>
      <c r="AA78" s="13">
        <v>0.22374777523518899</v>
      </c>
    </row>
    <row r="79" spans="1:27" x14ac:dyDescent="0.25">
      <c r="A79" s="6" t="s">
        <v>870</v>
      </c>
      <c r="B79" s="6" t="s">
        <v>871</v>
      </c>
      <c r="C79" s="19">
        <v>33.587750294464101</v>
      </c>
      <c r="D79" s="19">
        <v>34.933239970081303</v>
      </c>
      <c r="E79" s="19">
        <v>35.779148868849902</v>
      </c>
      <c r="F79" s="19">
        <v>34.835829980049397</v>
      </c>
      <c r="G79" s="19">
        <v>36.550537913576797</v>
      </c>
      <c r="H79" s="19">
        <v>36.9377814231432</v>
      </c>
      <c r="I79" s="19">
        <v>32.229055672757198</v>
      </c>
      <c r="J79" s="19">
        <v>28.655671999737201</v>
      </c>
      <c r="K79" s="19">
        <v>26.608388030464699</v>
      </c>
      <c r="L79" s="19">
        <v>28.0803650803058</v>
      </c>
      <c r="M79" s="19">
        <v>28.9818192515886</v>
      </c>
      <c r="N79" s="19">
        <v>31.9979731139527</v>
      </c>
      <c r="O79" s="19">
        <v>31.005709912879698</v>
      </c>
      <c r="P79" s="19">
        <v>31.590044388078599</v>
      </c>
      <c r="Q79" s="19">
        <v>32.187052648321902</v>
      </c>
      <c r="R79" s="19">
        <v>33.698866633630097</v>
      </c>
      <c r="S79" s="19">
        <v>33.623023222681297</v>
      </c>
      <c r="T79" s="19">
        <v>33.933997026310699</v>
      </c>
      <c r="U79" s="19">
        <v>33.941318959847301</v>
      </c>
      <c r="V79" s="19">
        <v>35.776698250845698</v>
      </c>
      <c r="W79" s="19">
        <v>36.753319919517097</v>
      </c>
      <c r="X79" s="19">
        <v>31.157180416400202</v>
      </c>
      <c r="Y79" s="19">
        <v>34.119711080833902</v>
      </c>
      <c r="Z79" s="19">
        <v>33.8817056396149</v>
      </c>
      <c r="AA79" s="19">
        <v>32.765488600728901</v>
      </c>
    </row>
    <row r="80" spans="1:27" x14ac:dyDescent="0.25">
      <c r="A80" s="10" t="s">
        <v>872</v>
      </c>
      <c r="B80" s="10" t="s">
        <v>170</v>
      </c>
      <c r="C80" s="13">
        <v>0.23085983510011801</v>
      </c>
      <c r="D80" s="13">
        <v>0.22279866957365899</v>
      </c>
      <c r="E80" s="13">
        <v>0.21357380161366901</v>
      </c>
      <c r="F80" s="13">
        <v>0.223176546173875</v>
      </c>
      <c r="G80" s="13">
        <v>0.202833173771237</v>
      </c>
      <c r="H80" s="13">
        <v>0.18747593779816199</v>
      </c>
      <c r="I80" s="13">
        <v>0.20559945650230599</v>
      </c>
      <c r="J80" s="13">
        <v>4.2708367554781697E-2</v>
      </c>
      <c r="K80" s="13">
        <v>2.7774935313637499E-2</v>
      </c>
      <c r="L80" s="13">
        <v>1.77798850234102E-2</v>
      </c>
      <c r="M80" s="13">
        <v>1.0296540362438201E-2</v>
      </c>
      <c r="N80" s="13">
        <v>1.4903573877015699E-3</v>
      </c>
      <c r="O80" s="13">
        <v>-7.3581351542265101E-3</v>
      </c>
      <c r="P80" s="13">
        <v>-1.9023462270133198E-2</v>
      </c>
      <c r="Q80" s="13">
        <v>-3.3402258628916798E-2</v>
      </c>
      <c r="R80" s="13">
        <v>-3.83650111098678E-2</v>
      </c>
      <c r="S80" s="13">
        <v>-4.9073150654572503E-2</v>
      </c>
      <c r="T80" s="13">
        <v>-9.3735858814402995E-2</v>
      </c>
      <c r="U80" s="13">
        <v>-0.10266775751159</v>
      </c>
      <c r="V80" s="13">
        <v>-0.11543456303208099</v>
      </c>
      <c r="W80" s="13">
        <v>-0.13521126760563401</v>
      </c>
      <c r="X80" s="13">
        <v>-0.14922191430398599</v>
      </c>
      <c r="Y80" s="13">
        <v>-0.15677784206498799</v>
      </c>
      <c r="Z80" s="13">
        <v>-0.15405777166437401</v>
      </c>
      <c r="AA80" s="13">
        <v>-0.14238494787693901</v>
      </c>
    </row>
    <row r="81" spans="1:27" x14ac:dyDescent="0.25">
      <c r="A81" s="6" t="s">
        <v>118</v>
      </c>
      <c r="B81" s="6" t="s">
        <v>119</v>
      </c>
      <c r="C81" s="19">
        <v>33.818610129564199</v>
      </c>
      <c r="D81" s="19">
        <v>35.156038639655002</v>
      </c>
      <c r="E81" s="19">
        <v>35.9927226704635</v>
      </c>
      <c r="F81" s="19">
        <v>35.0590065262232</v>
      </c>
      <c r="G81" s="19">
        <v>36.7533710873481</v>
      </c>
      <c r="H81" s="19">
        <v>37.125257360941397</v>
      </c>
      <c r="I81" s="19">
        <v>32.434655129259497</v>
      </c>
      <c r="J81" s="19">
        <v>28.698380367292</v>
      </c>
      <c r="K81" s="19">
        <v>26.6361629657784</v>
      </c>
      <c r="L81" s="19">
        <v>28.098144965329201</v>
      </c>
      <c r="M81" s="19">
        <v>28.992115791951001</v>
      </c>
      <c r="N81" s="19">
        <v>31.999463471340398</v>
      </c>
      <c r="O81" s="19">
        <v>30.9983517777255</v>
      </c>
      <c r="P81" s="19">
        <v>31.571020925808501</v>
      </c>
      <c r="Q81" s="19">
        <v>32.153650389692999</v>
      </c>
      <c r="R81" s="19">
        <v>33.6605016225203</v>
      </c>
      <c r="S81" s="19">
        <v>33.573950072026697</v>
      </c>
      <c r="T81" s="19">
        <v>33.840261167496301</v>
      </c>
      <c r="U81" s="19">
        <v>33.838651202335697</v>
      </c>
      <c r="V81" s="19">
        <v>35.661263687813602</v>
      </c>
      <c r="W81" s="19">
        <v>36.618108651911498</v>
      </c>
      <c r="X81" s="19">
        <v>31.007958502096201</v>
      </c>
      <c r="Y81" s="19">
        <v>33.962933238768898</v>
      </c>
      <c r="Z81" s="19">
        <v>33.727647867950502</v>
      </c>
      <c r="AA81" s="19">
        <v>32.623103652851903</v>
      </c>
    </row>
    <row r="82" spans="1:27" x14ac:dyDescent="0.25">
      <c r="A82" s="6" t="s">
        <v>873</v>
      </c>
      <c r="B82" s="6" t="s">
        <v>874</v>
      </c>
      <c r="C82" s="19">
        <v>100</v>
      </c>
      <c r="D82" s="19">
        <v>100</v>
      </c>
      <c r="E82" s="19">
        <v>100</v>
      </c>
      <c r="F82" s="19">
        <v>100</v>
      </c>
      <c r="G82" s="19">
        <v>100</v>
      </c>
      <c r="H82" s="19">
        <v>100</v>
      </c>
      <c r="I82" s="19">
        <v>100</v>
      </c>
      <c r="J82" s="19">
        <v>100</v>
      </c>
      <c r="K82" s="19">
        <v>100</v>
      </c>
      <c r="L82" s="19">
        <v>100</v>
      </c>
      <c r="M82" s="19">
        <v>100</v>
      </c>
      <c r="N82" s="19">
        <v>100</v>
      </c>
      <c r="O82" s="19">
        <v>100</v>
      </c>
      <c r="P82" s="19">
        <v>100</v>
      </c>
      <c r="Q82" s="19">
        <v>100</v>
      </c>
      <c r="R82" s="19">
        <v>100</v>
      </c>
      <c r="S82" s="19">
        <v>100</v>
      </c>
      <c r="T82" s="19">
        <v>100</v>
      </c>
      <c r="U82" s="19">
        <v>100</v>
      </c>
      <c r="V82" s="19">
        <v>100</v>
      </c>
      <c r="W82" s="19">
        <v>100</v>
      </c>
      <c r="X82" s="19">
        <v>100</v>
      </c>
      <c r="Y82" s="19">
        <v>100</v>
      </c>
      <c r="Z82" s="19">
        <v>100</v>
      </c>
      <c r="AA82" s="19">
        <v>100</v>
      </c>
    </row>
    <row r="83" spans="1:27" x14ac:dyDescent="0.25">
      <c r="A83" s="6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 x14ac:dyDescent="0.25">
      <c r="A84" s="6" t="s">
        <v>4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 x14ac:dyDescent="0.25">
      <c r="A85" s="10" t="s">
        <v>391</v>
      </c>
      <c r="B85" s="10" t="s">
        <v>392</v>
      </c>
      <c r="C85" s="12" t="s">
        <v>393</v>
      </c>
      <c r="D85" s="12" t="s">
        <v>393</v>
      </c>
      <c r="E85" s="12" t="s">
        <v>393</v>
      </c>
      <c r="F85" s="12" t="s">
        <v>393</v>
      </c>
      <c r="G85" s="12" t="s">
        <v>393</v>
      </c>
      <c r="H85" s="12" t="s">
        <v>393</v>
      </c>
      <c r="I85" s="12" t="s">
        <v>393</v>
      </c>
      <c r="J85" s="12" t="s">
        <v>393</v>
      </c>
      <c r="K85" s="12" t="s">
        <v>393</v>
      </c>
      <c r="L85" s="12" t="s">
        <v>393</v>
      </c>
      <c r="M85" s="12" t="s">
        <v>393</v>
      </c>
      <c r="N85" s="12" t="s">
        <v>393</v>
      </c>
      <c r="O85" s="12" t="s">
        <v>393</v>
      </c>
      <c r="P85" s="12" t="s">
        <v>393</v>
      </c>
      <c r="Q85" s="12" t="s">
        <v>393</v>
      </c>
      <c r="R85" s="12" t="s">
        <v>393</v>
      </c>
      <c r="S85" s="12" t="s">
        <v>393</v>
      </c>
      <c r="T85" s="12" t="s">
        <v>393</v>
      </c>
      <c r="U85" s="12" t="s">
        <v>393</v>
      </c>
      <c r="V85" s="12" t="s">
        <v>393</v>
      </c>
      <c r="W85" s="12" t="s">
        <v>393</v>
      </c>
      <c r="X85" s="12" t="s">
        <v>393</v>
      </c>
      <c r="Y85" s="12" t="s">
        <v>393</v>
      </c>
      <c r="Z85" s="12" t="s">
        <v>393</v>
      </c>
      <c r="AA85" s="12" t="s">
        <v>393</v>
      </c>
    </row>
    <row r="86" spans="1:27" x14ac:dyDescent="0.25">
      <c r="A86" s="10" t="s">
        <v>875</v>
      </c>
      <c r="B86" s="10" t="s">
        <v>121</v>
      </c>
      <c r="C86" s="13">
        <v>2.0133490380840202</v>
      </c>
      <c r="D86" s="13">
        <v>2.0274678931203001</v>
      </c>
      <c r="E86" s="13">
        <v>2.0044296788482798</v>
      </c>
      <c r="F86" s="13">
        <v>2.14046596557671</v>
      </c>
      <c r="G86" s="13">
        <v>2.0542943839550798</v>
      </c>
      <c r="H86" s="13">
        <v>2.0990609464187102</v>
      </c>
      <c r="I86" s="13">
        <v>2.2419279865555799</v>
      </c>
      <c r="J86" s="13">
        <v>2.0582147902362098</v>
      </c>
      <c r="K86" s="13">
        <v>1.83314573070007</v>
      </c>
      <c r="L86" s="13">
        <v>1.8579979849463599</v>
      </c>
      <c r="M86" s="13">
        <v>1.8445516592139299</v>
      </c>
      <c r="N86" s="13">
        <v>1.8703985215654699</v>
      </c>
      <c r="O86" s="13">
        <v>1.84542029668001</v>
      </c>
      <c r="P86" s="13">
        <v>1.98953709575143</v>
      </c>
      <c r="Q86" s="13">
        <v>1.9945920152695999</v>
      </c>
      <c r="R86" s="13">
        <v>2.00457183049059</v>
      </c>
      <c r="S86" s="13">
        <v>1.9740070602016699</v>
      </c>
      <c r="T86" s="13">
        <v>2.01693710000646</v>
      </c>
      <c r="U86" s="13">
        <v>2.0004170877648901</v>
      </c>
      <c r="V86" s="13">
        <v>1.99926250140285</v>
      </c>
      <c r="W86" s="13">
        <v>2.0056338028169001</v>
      </c>
      <c r="X86" s="13">
        <v>2.21345839550913</v>
      </c>
      <c r="Y86" s="13">
        <v>2.3255379906306599</v>
      </c>
      <c r="Z86" s="13">
        <v>2.2851902796882202</v>
      </c>
      <c r="AA86" s="13">
        <v>2.1120433935079199</v>
      </c>
    </row>
    <row r="87" spans="1:27" x14ac:dyDescent="0.25">
      <c r="A87" s="10" t="s">
        <v>876</v>
      </c>
      <c r="B87" s="10" t="s">
        <v>877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</row>
    <row r="88" spans="1:27" x14ac:dyDescent="0.25">
      <c r="A88" s="10" t="s">
        <v>878</v>
      </c>
      <c r="B88" s="10" t="s">
        <v>879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</row>
    <row r="89" spans="1:27" x14ac:dyDescent="0.25">
      <c r="A89" s="10" t="s">
        <v>880</v>
      </c>
      <c r="B89" s="10" t="s">
        <v>881</v>
      </c>
      <c r="C89" s="13">
        <v>0.90145268943855505</v>
      </c>
      <c r="D89" s="13">
        <v>0.96121711730350001</v>
      </c>
      <c r="E89" s="13">
        <v>1.0488846701471299</v>
      </c>
      <c r="F89" s="13">
        <v>1.4168329219220199</v>
      </c>
      <c r="G89" s="13">
        <v>1.3792655816444099</v>
      </c>
      <c r="H89" s="13" t="s">
        <v>148</v>
      </c>
      <c r="I89" s="13" t="s">
        <v>148</v>
      </c>
      <c r="J89" s="13" t="s">
        <v>148</v>
      </c>
      <c r="K89" s="13">
        <v>1.21040244419431</v>
      </c>
      <c r="L89" s="13" t="s">
        <v>148</v>
      </c>
      <c r="M89" s="13" t="s">
        <v>148</v>
      </c>
      <c r="N89" s="13" t="s">
        <v>148</v>
      </c>
      <c r="O89" s="13">
        <v>0.99629149988226995</v>
      </c>
      <c r="P89" s="13" t="s">
        <v>148</v>
      </c>
      <c r="Q89" s="13" t="s">
        <v>148</v>
      </c>
      <c r="R89" s="13" t="s">
        <v>148</v>
      </c>
      <c r="S89" s="13">
        <v>1.03053616374602</v>
      </c>
      <c r="T89" s="13" t="s">
        <v>148</v>
      </c>
      <c r="U89" s="13" t="s">
        <v>148</v>
      </c>
      <c r="V89" s="13" t="s">
        <v>148</v>
      </c>
      <c r="W89" s="13">
        <v>1.2281690140845101</v>
      </c>
      <c r="X89" s="13" t="s">
        <v>148</v>
      </c>
      <c r="Y89" s="13" t="s">
        <v>148</v>
      </c>
      <c r="Z89" s="13" t="s">
        <v>148</v>
      </c>
      <c r="AA89" s="13">
        <v>1.1831511145012299</v>
      </c>
    </row>
    <row r="90" spans="1:27" x14ac:dyDescent="0.25">
      <c r="A90" s="10" t="s">
        <v>882</v>
      </c>
      <c r="B90" s="10" t="s">
        <v>883</v>
      </c>
      <c r="C90" s="13" t="s">
        <v>148</v>
      </c>
      <c r="D90" s="13" t="s">
        <v>148</v>
      </c>
      <c r="E90" s="13" t="s">
        <v>148</v>
      </c>
      <c r="F90" s="13" t="s">
        <v>148</v>
      </c>
      <c r="G90" s="13">
        <v>0</v>
      </c>
      <c r="H90" s="13" t="s">
        <v>148</v>
      </c>
      <c r="I90" s="13" t="s">
        <v>148</v>
      </c>
      <c r="J90" s="13" t="s">
        <v>148</v>
      </c>
      <c r="K90" s="13">
        <v>0</v>
      </c>
      <c r="L90" s="13" t="s">
        <v>148</v>
      </c>
      <c r="M90" s="13" t="s">
        <v>148</v>
      </c>
      <c r="N90" s="13" t="s">
        <v>148</v>
      </c>
      <c r="O90" s="13">
        <v>0</v>
      </c>
      <c r="P90" s="13" t="s">
        <v>148</v>
      </c>
      <c r="Q90" s="13" t="s">
        <v>148</v>
      </c>
      <c r="R90" s="13" t="s">
        <v>148</v>
      </c>
      <c r="S90" s="13">
        <v>0</v>
      </c>
      <c r="T90" s="13" t="s">
        <v>148</v>
      </c>
      <c r="U90" s="13" t="s">
        <v>148</v>
      </c>
      <c r="V90" s="13" t="s">
        <v>148</v>
      </c>
      <c r="W90" s="13">
        <v>0</v>
      </c>
      <c r="X90" s="13" t="s">
        <v>148</v>
      </c>
      <c r="Y90" s="13" t="s">
        <v>148</v>
      </c>
      <c r="Z90" s="13" t="s">
        <v>148</v>
      </c>
      <c r="AA90" s="13">
        <v>0</v>
      </c>
    </row>
    <row r="91" spans="1:27" x14ac:dyDescent="0.25">
      <c r="A91" s="10" t="s">
        <v>884</v>
      </c>
      <c r="B91" s="10" t="s">
        <v>885</v>
      </c>
      <c r="C91" s="13" t="s">
        <v>148</v>
      </c>
      <c r="D91" s="13" t="s">
        <v>148</v>
      </c>
      <c r="E91" s="13" t="s">
        <v>148</v>
      </c>
      <c r="F91" s="13" t="s">
        <v>148</v>
      </c>
      <c r="G91" s="13" t="s">
        <v>148</v>
      </c>
      <c r="H91" s="13" t="s">
        <v>148</v>
      </c>
      <c r="I91" s="13" t="s">
        <v>148</v>
      </c>
      <c r="J91" s="13" t="s">
        <v>148</v>
      </c>
      <c r="K91" s="13" t="s">
        <v>148</v>
      </c>
      <c r="L91" s="13" t="s">
        <v>148</v>
      </c>
      <c r="M91" s="13" t="s">
        <v>148</v>
      </c>
      <c r="N91" s="13" t="s">
        <v>148</v>
      </c>
      <c r="O91" s="13" t="s">
        <v>148</v>
      </c>
      <c r="P91" s="13" t="s">
        <v>148</v>
      </c>
      <c r="Q91" s="13" t="s">
        <v>148</v>
      </c>
      <c r="R91" s="13" t="s">
        <v>148</v>
      </c>
      <c r="S91" s="13" t="s">
        <v>148</v>
      </c>
      <c r="T91" s="13" t="s">
        <v>148</v>
      </c>
      <c r="U91" s="13" t="s">
        <v>148</v>
      </c>
      <c r="V91" s="13" t="s">
        <v>148</v>
      </c>
      <c r="W91" s="13">
        <v>3.38028169014084E-3</v>
      </c>
      <c r="X91" s="13" t="s">
        <v>148</v>
      </c>
      <c r="Y91" s="13" t="s">
        <v>148</v>
      </c>
      <c r="Z91" s="13" t="s">
        <v>148</v>
      </c>
      <c r="AA91" s="13" t="s">
        <v>148</v>
      </c>
    </row>
    <row r="92" spans="1:27" x14ac:dyDescent="0.25">
      <c r="A92" s="10" t="s">
        <v>886</v>
      </c>
      <c r="B92" s="10" t="s">
        <v>887</v>
      </c>
      <c r="C92" s="13">
        <v>3.69438555162937E-2</v>
      </c>
      <c r="D92" s="13" t="s">
        <v>148</v>
      </c>
      <c r="E92" s="13" t="s">
        <v>148</v>
      </c>
      <c r="F92" s="13" t="s">
        <v>148</v>
      </c>
      <c r="G92" s="13">
        <v>3.1641975108312903E-2</v>
      </c>
      <c r="H92" s="13" t="s">
        <v>148</v>
      </c>
      <c r="I92" s="13" t="s">
        <v>148</v>
      </c>
      <c r="J92" s="13" t="s">
        <v>148</v>
      </c>
      <c r="K92" s="13">
        <v>2.4266522431914898E-2</v>
      </c>
      <c r="L92" s="13" t="s">
        <v>148</v>
      </c>
      <c r="M92" s="13" t="s">
        <v>148</v>
      </c>
      <c r="N92" s="13" t="s">
        <v>148</v>
      </c>
      <c r="O92" s="13">
        <v>2.4723334118201101E-2</v>
      </c>
      <c r="P92" s="13" t="s">
        <v>148</v>
      </c>
      <c r="Q92" s="13" t="s">
        <v>148</v>
      </c>
      <c r="R92" s="13" t="s">
        <v>148</v>
      </c>
      <c r="S92" s="13">
        <v>2.2795269981478801E-2</v>
      </c>
      <c r="T92" s="13" t="s">
        <v>148</v>
      </c>
      <c r="U92" s="13" t="s">
        <v>148</v>
      </c>
      <c r="V92" s="13" t="s">
        <v>148</v>
      </c>
      <c r="W92" s="13">
        <v>2.3018108651911499E-2</v>
      </c>
      <c r="X92" s="13" t="s">
        <v>148</v>
      </c>
      <c r="Y92" s="13" t="s">
        <v>148</v>
      </c>
      <c r="Z92" s="13" t="s">
        <v>148</v>
      </c>
      <c r="AA92" s="13">
        <v>2.0001695058903299E-2</v>
      </c>
    </row>
    <row r="93" spans="1:27" x14ac:dyDescent="0.25">
      <c r="A93" s="10" t="s">
        <v>888</v>
      </c>
      <c r="B93" s="10" t="s">
        <v>889</v>
      </c>
      <c r="C93" s="13">
        <v>-6.5802905378877101</v>
      </c>
      <c r="D93" s="13">
        <v>-4.8426882250903098</v>
      </c>
      <c r="E93" s="13">
        <v>-5.6905552918841904</v>
      </c>
      <c r="F93" s="13">
        <v>0.42099212119162699</v>
      </c>
      <c r="G93" s="13">
        <v>-0.84703133366868399</v>
      </c>
      <c r="H93" s="13">
        <v>-0.36323462948393898</v>
      </c>
      <c r="I93" s="13">
        <v>5.2061358029105698</v>
      </c>
      <c r="J93" s="13">
        <v>5.3237622786556704</v>
      </c>
      <c r="K93" s="13">
        <v>35.386729428274897</v>
      </c>
      <c r="L93" s="13">
        <v>35.442719137082896</v>
      </c>
      <c r="M93" s="13">
        <v>33.557895975523699</v>
      </c>
      <c r="N93" s="13">
        <v>31.0724611761901</v>
      </c>
      <c r="O93" s="13">
        <v>28.6319755121262</v>
      </c>
      <c r="P93" s="13">
        <v>30.8433734939759</v>
      </c>
      <c r="Q93" s="13">
        <v>30.5646572292031</v>
      </c>
      <c r="R93" s="13">
        <v>29.222948670812201</v>
      </c>
      <c r="S93" s="13">
        <v>28.775862341897401</v>
      </c>
      <c r="T93" s="13">
        <v>29.155084362272898</v>
      </c>
      <c r="U93" s="13">
        <v>27.664148098240201</v>
      </c>
      <c r="V93" s="13">
        <v>27.194459140974502</v>
      </c>
      <c r="W93" s="13">
        <v>27.736016096579501</v>
      </c>
      <c r="X93" s="13">
        <v>36.374618062957403</v>
      </c>
      <c r="Y93" s="13">
        <v>38.406838500158599</v>
      </c>
      <c r="Z93" s="13">
        <v>33.4011921137093</v>
      </c>
      <c r="AA93" s="13">
        <v>29.377065853038399</v>
      </c>
    </row>
    <row r="94" spans="1:27" x14ac:dyDescent="0.25">
      <c r="A94" s="10" t="s">
        <v>890</v>
      </c>
      <c r="B94" s="10" t="s">
        <v>891</v>
      </c>
      <c r="C94" s="13">
        <v>-3.05576788378485E-2</v>
      </c>
      <c r="D94" s="13">
        <v>-2.1921543039928701E-2</v>
      </c>
      <c r="E94" s="13">
        <v>-2.50123303274798E-2</v>
      </c>
      <c r="F94" s="13">
        <v>2.0302471849322E-3</v>
      </c>
      <c r="G94" s="13">
        <v>-3.7396530741395798E-3</v>
      </c>
      <c r="H94" s="13">
        <v>-1.6377412497279901E-3</v>
      </c>
      <c r="I94" s="13">
        <v>2.8696592412486101E-2</v>
      </c>
      <c r="J94" s="13">
        <v>3.0471994809290699E-2</v>
      </c>
      <c r="K94" s="13">
        <v>0.194208493282851</v>
      </c>
      <c r="L94" s="13">
        <v>0.18689474308066101</v>
      </c>
      <c r="M94" s="13">
        <v>0.17025822399388099</v>
      </c>
      <c r="N94" s="13">
        <v>0.144718276252645</v>
      </c>
      <c r="O94" s="13">
        <v>0.135928481869555</v>
      </c>
      <c r="P94" s="13">
        <v>0.15487508719086901</v>
      </c>
      <c r="Q94" s="13">
        <v>0.15119790838237601</v>
      </c>
      <c r="R94" s="13">
        <v>0.13878021004843599</v>
      </c>
      <c r="S94" s="13">
        <v>0.13567760048123301</v>
      </c>
      <c r="T94" s="13">
        <v>0.13923818928178899</v>
      </c>
      <c r="U94" s="13">
        <v>0.131146999374368</v>
      </c>
      <c r="V94" s="13">
        <v>0.122260752248569</v>
      </c>
      <c r="W94" s="13">
        <v>0.1219219138833</v>
      </c>
      <c r="X94" s="13">
        <v>0.20839082285227001</v>
      </c>
      <c r="Y94" s="13">
        <v>0.211061374792363</v>
      </c>
      <c r="Z94" s="13">
        <v>0.181626928931683</v>
      </c>
      <c r="AA94" s="13">
        <v>0.15263985083481699</v>
      </c>
    </row>
    <row r="95" spans="1:27" x14ac:dyDescent="0.25">
      <c r="A95" s="10" t="s">
        <v>892</v>
      </c>
      <c r="B95" s="10" t="s">
        <v>893</v>
      </c>
      <c r="C95" s="13">
        <v>5.4905692972124099E-3</v>
      </c>
      <c r="D95" s="13">
        <v>8.8097601731463894E-3</v>
      </c>
      <c r="E95" s="13">
        <v>1.20503591203923E-2</v>
      </c>
      <c r="F95" s="13">
        <v>6.8319615865823601E-3</v>
      </c>
      <c r="G95" s="13">
        <v>1.7152958930339E-2</v>
      </c>
      <c r="H95" s="13">
        <v>1.76759712760081E-2</v>
      </c>
      <c r="I95" s="13">
        <v>3.1733453713304999E-3</v>
      </c>
      <c r="J95" s="13">
        <v>1.45813265876014E-3</v>
      </c>
      <c r="K95" s="13">
        <v>-0.12390633707076799</v>
      </c>
      <c r="L95" s="13">
        <v>-0.14686499585136001</v>
      </c>
      <c r="M95" s="13">
        <v>-0.133511018769122</v>
      </c>
      <c r="N95" s="13">
        <v>-0.124438188917702</v>
      </c>
      <c r="O95" s="13">
        <v>-0.116526539321874</v>
      </c>
      <c r="P95" s="13">
        <v>-0.121438226062143</v>
      </c>
      <c r="Q95" s="13">
        <v>-0.11581069190392899</v>
      </c>
      <c r="R95" s="13">
        <v>-0.107456730661637</v>
      </c>
      <c r="S95" s="13">
        <v>-9.7359402257364905E-2</v>
      </c>
      <c r="T95" s="13">
        <v>-0.10040756189798999</v>
      </c>
      <c r="U95" s="13">
        <v>-9.1013444663682899E-2</v>
      </c>
      <c r="V95" s="13">
        <v>-7.8360439613294197E-2</v>
      </c>
      <c r="W95" s="13">
        <v>-7.0224321931589506E-2</v>
      </c>
      <c r="X95" s="13">
        <v>-0.10277368009663899</v>
      </c>
      <c r="Y95" s="13">
        <v>-0.107035497116408</v>
      </c>
      <c r="Z95" s="13">
        <v>-7.4218364053186603E-2</v>
      </c>
      <c r="AA95" s="13">
        <v>-4.9263873209594002E-2</v>
      </c>
    </row>
    <row r="96" spans="1:27" x14ac:dyDescent="0.25">
      <c r="A96" s="10" t="s">
        <v>894</v>
      </c>
      <c r="B96" s="10" t="s">
        <v>895</v>
      </c>
      <c r="C96" s="13">
        <v>5.3068881036513497E-3</v>
      </c>
      <c r="D96" s="13">
        <v>5.7620987634673798E-3</v>
      </c>
      <c r="E96" s="13">
        <v>5.9543648156937202E-3</v>
      </c>
      <c r="F96" s="13">
        <v>5.0121073276299302E-3</v>
      </c>
      <c r="G96" s="13">
        <v>5.0374283998896596E-3</v>
      </c>
      <c r="H96" s="13">
        <v>5.0806849567298796E-3</v>
      </c>
      <c r="I96" s="13">
        <v>4.1705116744734901E-3</v>
      </c>
      <c r="J96" s="13">
        <v>5.3423026380630097E-3</v>
      </c>
      <c r="K96" s="13">
        <v>2.0517300861023001E-3</v>
      </c>
      <c r="L96" s="13">
        <v>2.0271454394594898E-3</v>
      </c>
      <c r="M96" s="13">
        <v>2.00536155566016E-3</v>
      </c>
      <c r="N96" s="13">
        <v>2.0352946436555499E-3</v>
      </c>
      <c r="O96" s="13">
        <v>1.8724261243230501E-3</v>
      </c>
      <c r="P96" s="13">
        <v>2.3394023462270101E-3</v>
      </c>
      <c r="Q96" s="13">
        <v>2.2728789565770601E-3</v>
      </c>
      <c r="R96" s="13">
        <v>2.0787329955080998E-3</v>
      </c>
      <c r="S96" s="13">
        <v>2.0346472273669899E-3</v>
      </c>
      <c r="T96" s="13">
        <v>2.0656086366280901E-3</v>
      </c>
      <c r="U96" s="13">
        <v>1.64129008454048E-3</v>
      </c>
      <c r="V96" s="13">
        <v>2.14483510493322E-3</v>
      </c>
      <c r="W96" s="13">
        <v>2.2953319919517099E-3</v>
      </c>
      <c r="X96" s="13">
        <v>1.9164925744333101E-3</v>
      </c>
      <c r="Y96" s="13">
        <v>2.1323148994942002E-3</v>
      </c>
      <c r="Z96" s="13">
        <v>2.3117267308574098E-3</v>
      </c>
      <c r="AA96" s="13">
        <v>2.7073785914060499E-3</v>
      </c>
    </row>
    <row r="97" spans="1:27" x14ac:dyDescent="0.25">
      <c r="A97" s="10" t="s">
        <v>896</v>
      </c>
      <c r="B97" s="10" t="s">
        <v>897</v>
      </c>
      <c r="C97" s="13">
        <v>9.3879577542206494E-2</v>
      </c>
      <c r="D97" s="13">
        <v>0.121945301335201</v>
      </c>
      <c r="E97" s="13">
        <v>0.121485272899858</v>
      </c>
      <c r="F97" s="13">
        <v>0.12758067493997899</v>
      </c>
      <c r="G97" s="13">
        <v>0.10804929819721899</v>
      </c>
      <c r="H97" s="13">
        <v>0.145221872750707</v>
      </c>
      <c r="I97" s="13">
        <v>0.15413171595094199</v>
      </c>
      <c r="J97" s="13">
        <v>0.140922857189789</v>
      </c>
      <c r="K97" s="13">
        <v>0.16614019033139901</v>
      </c>
      <c r="L97" s="13">
        <v>0.17897529633141701</v>
      </c>
      <c r="M97" s="13">
        <v>0.166385859908214</v>
      </c>
      <c r="N97" s="13">
        <v>0.16973575963516099</v>
      </c>
      <c r="O97" s="13">
        <v>0.162966920767601</v>
      </c>
      <c r="P97" s="13">
        <v>0.17040024254914399</v>
      </c>
      <c r="Q97" s="13">
        <v>0.17544006998568501</v>
      </c>
      <c r="R97" s="13">
        <v>0.17644338443339699</v>
      </c>
      <c r="S97" s="13">
        <v>0.17389098795333299</v>
      </c>
      <c r="T97" s="13">
        <v>0.18447974820609001</v>
      </c>
      <c r="U97" s="13">
        <v>0.19149783756035699</v>
      </c>
      <c r="V97" s="13">
        <v>0.19684742596957</v>
      </c>
      <c r="W97" s="13">
        <v>0.188087536418511</v>
      </c>
      <c r="X97" s="13">
        <v>0.213611234278405</v>
      </c>
      <c r="Y97" s="13">
        <v>0.23893535713619099</v>
      </c>
      <c r="Z97" s="13">
        <v>0.21486915176524499</v>
      </c>
      <c r="AA97" s="13">
        <v>0.20200561403508799</v>
      </c>
    </row>
    <row r="98" spans="1:27" x14ac:dyDescent="0.25">
      <c r="A98" s="10" t="s">
        <v>898</v>
      </c>
      <c r="B98" s="10" t="s">
        <v>899</v>
      </c>
      <c r="C98" s="13">
        <v>47.742442088731799</v>
      </c>
      <c r="D98" s="13" t="s">
        <v>148</v>
      </c>
      <c r="E98" s="13" t="s">
        <v>148</v>
      </c>
      <c r="F98" s="13" t="s">
        <v>148</v>
      </c>
      <c r="G98" s="13" t="s">
        <v>148</v>
      </c>
      <c r="H98" s="13" t="s">
        <v>148</v>
      </c>
      <c r="I98" s="13" t="s">
        <v>148</v>
      </c>
      <c r="J98" s="13" t="s">
        <v>148</v>
      </c>
      <c r="K98" s="13" t="s">
        <v>148</v>
      </c>
      <c r="L98" s="13" t="s">
        <v>148</v>
      </c>
      <c r="M98" s="13" t="s">
        <v>148</v>
      </c>
      <c r="N98" s="13" t="s">
        <v>148</v>
      </c>
      <c r="O98" s="13" t="s">
        <v>148</v>
      </c>
      <c r="P98" s="13" t="s">
        <v>148</v>
      </c>
      <c r="Q98" s="13" t="s">
        <v>148</v>
      </c>
      <c r="R98" s="13" t="s">
        <v>148</v>
      </c>
      <c r="S98" s="13" t="s">
        <v>148</v>
      </c>
      <c r="T98" s="13" t="s">
        <v>148</v>
      </c>
      <c r="U98" s="13" t="s">
        <v>148</v>
      </c>
      <c r="V98" s="13" t="s">
        <v>148</v>
      </c>
      <c r="W98" s="13" t="s">
        <v>148</v>
      </c>
      <c r="X98" s="13" t="s">
        <v>148</v>
      </c>
      <c r="Y98" s="13" t="s">
        <v>148</v>
      </c>
      <c r="Z98" s="13" t="s">
        <v>148</v>
      </c>
      <c r="AA98" s="13" t="s">
        <v>148</v>
      </c>
    </row>
    <row r="99" spans="1:27" x14ac:dyDescent="0.25">
      <c r="A99" s="10" t="s">
        <v>900</v>
      </c>
      <c r="B99" s="10" t="s">
        <v>901</v>
      </c>
      <c r="C99" s="13">
        <v>11000</v>
      </c>
      <c r="D99" s="13" t="s">
        <v>148</v>
      </c>
      <c r="E99" s="13" t="s">
        <v>148</v>
      </c>
      <c r="F99" s="13" t="s">
        <v>148</v>
      </c>
      <c r="G99" s="13">
        <v>11800</v>
      </c>
      <c r="H99" s="13" t="s">
        <v>148</v>
      </c>
      <c r="I99" s="13" t="s">
        <v>148</v>
      </c>
      <c r="J99" s="13" t="s">
        <v>148</v>
      </c>
      <c r="K99" s="13">
        <v>13600</v>
      </c>
      <c r="L99" s="13" t="s">
        <v>148</v>
      </c>
      <c r="M99" s="13" t="s">
        <v>148</v>
      </c>
      <c r="N99" s="13" t="s">
        <v>148</v>
      </c>
      <c r="O99" s="13">
        <v>14400</v>
      </c>
      <c r="P99" s="13" t="s">
        <v>148</v>
      </c>
      <c r="Q99" s="13" t="s">
        <v>148</v>
      </c>
      <c r="R99" s="13" t="s">
        <v>148</v>
      </c>
      <c r="S99" s="13">
        <v>17000</v>
      </c>
      <c r="T99" s="13" t="s">
        <v>148</v>
      </c>
      <c r="U99" s="13" t="s">
        <v>148</v>
      </c>
      <c r="V99" s="13" t="s">
        <v>148</v>
      </c>
      <c r="W99" s="13">
        <v>18000</v>
      </c>
      <c r="X99" s="13" t="s">
        <v>148</v>
      </c>
      <c r="Y99" s="13" t="s">
        <v>148</v>
      </c>
      <c r="Z99" s="13" t="s">
        <v>148</v>
      </c>
      <c r="AA99" s="13">
        <v>17600</v>
      </c>
    </row>
    <row r="100" spans="1:27" x14ac:dyDescent="0.25">
      <c r="A100" s="7" t="s">
        <v>90</v>
      </c>
      <c r="B100" s="7"/>
      <c r="C100" s="7" t="s">
        <v>5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25"/>
  <sheetViews>
    <sheetView workbookViewId="0">
      <selection activeCell="L20" sqref="L20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1288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1289</v>
      </c>
      <c r="B6" s="10" t="s">
        <v>1090</v>
      </c>
      <c r="C6" s="13">
        <f>_xll.BDH("GILD US Equity","ARDR_FV_ASSETS_REC_LEVEL_1","FQ4 2018","FQ4 2018","Currency=USD","Period=FQ","BEST_FPERIOD_OVERRIDE=FQ","FILING_STATUS=MR","SCALING_FORMAT=MLN","Sort=A","Dates=H","DateFormat=P","Fill=—","Direction=H","UseDPDF=Y")</f>
        <v>10279</v>
      </c>
      <c r="D6" s="13">
        <f>_xll.BDH("GILD US Equity","ARDR_FV_ASSETS_REC_LEVEL_1","FQ1 2019","FQ1 2019","Currency=USD","Period=FQ","BEST_FPERIOD_OVERRIDE=FQ","FILING_STATUS=MR","SCALING_FORMAT=MLN","Sort=A","Dates=H","DateFormat=P","Fill=—","Direction=H","UseDPDF=Y")</f>
        <v>9809</v>
      </c>
      <c r="E6" s="13">
        <f>_xll.BDH("GILD US Equity","ARDR_FV_ASSETS_REC_LEVEL_1","FQ2 2019","FQ2 2019","Currency=USD","Period=FQ","BEST_FPERIOD_OVERRIDE=FQ","FILING_STATUS=MR","SCALING_FORMAT=MLN","Sort=A","Dates=H","DateFormat=P","Fill=—","Direction=H","UseDPDF=Y")</f>
        <v>8251</v>
      </c>
      <c r="F6" s="13">
        <f>_xll.BDH("GILD US Equity","ARDR_FV_ASSETS_REC_LEVEL_1","FQ3 2019","FQ3 2019","Currency=USD","Period=FQ","BEST_FPERIOD_OVERRIDE=FQ","FILING_STATUS=MR","SCALING_FORMAT=MLN","Sort=A","Dates=H","DateFormat=P","Fill=—","Direction=H","UseDPDF=Y")</f>
        <v>8987</v>
      </c>
      <c r="G6" s="13">
        <f>_xll.BDH("GILD US Equity","ARDR_FV_ASSETS_REC_LEVEL_1","FQ4 2019","FQ4 2019","Currency=USD","Period=FQ","BEST_FPERIOD_OVERRIDE=FQ","FILING_STATUS=MR","SCALING_FORMAT=MLN","Sort=A","Dates=H","DateFormat=P","Fill=—","Direction=H","UseDPDF=Y")</f>
        <v>13472</v>
      </c>
      <c r="H6" s="13">
        <f>_xll.BDH("GILD US Equity","ARDR_FV_ASSETS_REC_LEVEL_1","FQ1 2020","FQ1 2020","Currency=USD","Period=FQ","BEST_FPERIOD_OVERRIDE=FQ","FILING_STATUS=MR","SCALING_FORMAT=MLN","Sort=A","Dates=H","DateFormat=P","Fill=—","Direction=H","UseDPDF=Y")</f>
        <v>13546</v>
      </c>
      <c r="I6" s="13">
        <f>_xll.BDH("GILD US Equity","ARDR_FV_ASSETS_REC_LEVEL_1","FQ2 2020","FQ2 2020","Currency=USD","Period=FQ","BEST_FPERIOD_OVERRIDE=FQ","FILING_STATUS=MR","SCALING_FORMAT=MLN","Sort=A","Dates=H","DateFormat=P","Fill=—","Direction=H","UseDPDF=Y")</f>
        <v>10890</v>
      </c>
      <c r="J6" s="13">
        <f>_xll.BDH("GILD US Equity","ARDR_FV_ASSETS_REC_LEVEL_1","FQ3 2020","FQ3 2020","Currency=USD","Period=FQ","BEST_FPERIOD_OVERRIDE=FQ","FILING_STATUS=MR","SCALING_FORMAT=MLN","Sort=A","Dates=H","DateFormat=P","Fill=—","Direction=H","UseDPDF=Y")</f>
        <v>16848</v>
      </c>
      <c r="K6" s="13">
        <f>_xll.BDH("GILD US Equity","ARDR_FV_ASSETS_REC_LEVEL_1","FQ4 2020","FQ4 2020","Currency=USD","Period=FQ","BEST_FPERIOD_OVERRIDE=FQ","FILING_STATUS=MR","SCALING_FORMAT=MLN","Sort=A","Dates=H","DateFormat=P","Fill=—","Direction=H","UseDPDF=Y")</f>
        <v>7279</v>
      </c>
      <c r="L6" s="13">
        <f>_xll.BDH("GILD US Equity","ARDR_FV_ASSETS_REC_LEVEL_1","FQ1 2021","FQ1 2021","Currency=USD","Period=FQ","BEST_FPERIOD_OVERRIDE=FQ","FILING_STATUS=MR","SCALING_FORMAT=MLN","Sort=A","Dates=H","DateFormat=P","Fill=—","Direction=H","UseDPDF=Y")</f>
        <v>5185</v>
      </c>
      <c r="M6" s="13">
        <f>_xll.BDH("GILD US Equity","ARDR_FV_ASSETS_REC_LEVEL_1","FQ2 2021","FQ2 2021","Currency=USD","Period=FQ","BEST_FPERIOD_OVERRIDE=FQ","FILING_STATUS=MR","SCALING_FORMAT=MLN","Sort=A","Dates=H","DateFormat=P","Fill=—","Direction=H","UseDPDF=Y")</f>
        <v>5907</v>
      </c>
      <c r="N6" s="13">
        <f>_xll.BDH("GILD US Equity","ARDR_FV_ASSETS_REC_LEVEL_1","FQ3 2021","FQ3 2021","Currency=USD","Period=FQ","BEST_FPERIOD_OVERRIDE=FQ","FILING_STATUS=MR","SCALING_FORMAT=MLN","Sort=A","Dates=H","DateFormat=P","Fill=—","Direction=H","UseDPDF=Y")</f>
        <v>5134</v>
      </c>
      <c r="O6" s="13">
        <f>_xll.BDH("GILD US Equity","ARDR_FV_ASSETS_REC_LEVEL_1","FQ4 2021","FQ4 2021","Currency=USD","Period=FQ","BEST_FPERIOD_OVERRIDE=FQ","FILING_STATUS=MR","SCALING_FORMAT=MLN","Sort=A","Dates=H","DateFormat=P","Fill=—","Direction=H","UseDPDF=Y")</f>
        <v>6150</v>
      </c>
      <c r="P6" s="13">
        <f>_xll.BDH("GILD US Equity","ARDR_FV_ASSETS_REC_LEVEL_1","FQ1 2022","FQ1 2022","Currency=USD","Period=FQ","BEST_FPERIOD_OVERRIDE=FQ","FILING_STATUS=MR","SCALING_FORMAT=MLN","Sort=A","Dates=H","DateFormat=P","Fill=—","Direction=H","UseDPDF=Y")</f>
        <v>4814</v>
      </c>
      <c r="Q6" s="13">
        <f>_xll.BDH("GILD US Equity","ARDR_FV_ASSETS_REC_LEVEL_1","FQ2 2022","FQ2 2022","Currency=USD","Period=FQ","BEST_FPERIOD_OVERRIDE=FQ","FILING_STATUS=MR","SCALING_FORMAT=MLN","Sort=A","Dates=H","DateFormat=P","Fill=—","Direction=H","UseDPDF=Y")</f>
        <v>5138</v>
      </c>
      <c r="R6" s="13">
        <f>_xll.BDH("GILD US Equity","ARDR_FV_ASSETS_REC_LEVEL_1","FQ3 2022","FQ3 2022","Currency=USD","Period=FQ","BEST_FPERIOD_OVERRIDE=FQ","FILING_STATUS=MR","SCALING_FORMAT=MLN","Sort=A","Dates=H","DateFormat=P","Fill=—","Direction=H","UseDPDF=Y")</f>
        <v>5242</v>
      </c>
      <c r="S6" s="13">
        <f>_xll.BDH("GILD US Equity","ARDR_FV_ASSETS_REC_LEVEL_1","FQ4 2022","FQ4 2022","Currency=USD","Period=FQ","BEST_FPERIOD_OVERRIDE=FQ","FILING_STATUS=MR","SCALING_FORMAT=MLN","Sort=A","Dates=H","DateFormat=P","Fill=—","Direction=H","UseDPDF=Y")</f>
        <v>5658</v>
      </c>
      <c r="T6" s="13">
        <f>_xll.BDH("GILD US Equity","ARDR_FV_ASSETS_REC_LEVEL_1","FQ1 2023","FQ1 2023","Currency=USD","Period=FQ","BEST_FPERIOD_OVERRIDE=FQ","FILING_STATUS=MR","SCALING_FORMAT=MLN","Sort=A","Dates=H","DateFormat=P","Fill=—","Direction=H","UseDPDF=Y")</f>
        <v>4895</v>
      </c>
      <c r="U6" s="13">
        <f>_xll.BDH("GILD US Equity","ARDR_FV_ASSETS_REC_LEVEL_1","FQ2 2023","FQ2 2023","Currency=USD","Period=FQ","BEST_FPERIOD_OVERRIDE=FQ","FILING_STATUS=MR","SCALING_FORMAT=MLN","Sort=A","Dates=H","DateFormat=P","Fill=—","Direction=H","UseDPDF=Y")</f>
        <v>6105</v>
      </c>
      <c r="V6" s="13">
        <f>_xll.BDH("GILD US Equity","ARDR_FV_ASSETS_REC_LEVEL_1","FQ3 2023","FQ3 2023","Currency=USD","Period=FQ","BEST_FPERIOD_OVERRIDE=FQ","FILING_STATUS=MR","SCALING_FORMAT=MLN","Sort=A","Dates=H","DateFormat=P","Fill=—","Direction=H","UseDPDF=Y")</f>
        <v>6021</v>
      </c>
      <c r="W6" s="13">
        <f>_xll.BDH("GILD US Equity","ARDR_FV_ASSETS_REC_LEVEL_1","FQ4 2023","FQ4 2023","Currency=USD","Period=FQ","BEST_FPERIOD_OVERRIDE=FQ","FILING_STATUS=MR","SCALING_FORMAT=MLN","Sort=A","Dates=H","DateFormat=P","Fill=—","Direction=H","UseDPDF=Y")</f>
        <v>6633</v>
      </c>
      <c r="X6" s="13">
        <f>_xll.BDH("GILD US Equity","ARDR_FV_ASSETS_REC_LEVEL_1","FQ1 2024","FQ1 2024","Currency=USD","Period=FQ","BEST_FPERIOD_OVERRIDE=FQ","FILING_STATUS=MR","SCALING_FORMAT=MLN","Sort=A","Dates=H","DateFormat=P","Fill=—","Direction=H","UseDPDF=Y")</f>
        <v>3676</v>
      </c>
      <c r="Y6" s="13">
        <f>_xll.BDH("GILD US Equity","ARDR_FV_ASSETS_REC_LEVEL_1","FQ2 2024","FQ2 2024","Currency=USD","Period=FQ","BEST_FPERIOD_OVERRIDE=FQ","FILING_STATUS=MR","SCALING_FORMAT=MLN","Sort=A","Dates=H","DateFormat=P","Fill=—","Direction=H","UseDPDF=Y")</f>
        <v>3281</v>
      </c>
      <c r="Z6" s="13">
        <f>_xll.BDH("GILD US Equity","ARDR_FV_ASSETS_REC_LEVEL_1","FQ3 2024","FQ3 2024","Currency=USD","Period=FQ","BEST_FPERIOD_OVERRIDE=FQ","FILING_STATUS=MR","SCALING_FORMAT=MLN","Sort=A","Dates=H","DateFormat=P","Fill=—","Direction=H","UseDPDF=Y")</f>
        <v>5510</v>
      </c>
      <c r="AA6" s="13">
        <f>_xll.BDH("GILD US Equity","ARDR_FV_ASSETS_REC_LEVEL_1","FQ4 2024","FQ4 2024","Currency=USD","Period=FQ","BEST_FPERIOD_OVERRIDE=FQ","FILING_STATUS=MR","SCALING_FORMAT=MLN","Sort=A","Dates=H","DateFormat=P","Fill=—","Direction=H","UseDPDF=Y")</f>
        <v>10405</v>
      </c>
    </row>
    <row r="7" spans="1:27" x14ac:dyDescent="0.25">
      <c r="A7" s="10" t="s">
        <v>1290</v>
      </c>
      <c r="B7" s="10" t="s">
        <v>1092</v>
      </c>
      <c r="C7" s="13">
        <f>_xll.BDH("GILD US Equity","ARDR_FV_ASSETS_REC_LEVEL_2","FQ4 2018","FQ4 2018","Currency=USD","Period=FQ","BEST_FPERIOD_OVERRIDE=FQ","FILING_STATUS=MR","SCALING_FORMAT=MLN","Sort=A","Dates=H","DateFormat=P","Fill=—","Direction=H","UseDPDF=Y")</f>
        <v>20273</v>
      </c>
      <c r="D7" s="13">
        <f>_xll.BDH("GILD US Equity","ARDR_FV_ASSETS_REC_LEVEL_2","FQ1 2019","FQ1 2019","Currency=USD","Period=FQ","BEST_FPERIOD_OVERRIDE=FQ","FILING_STATUS=MR","SCALING_FORMAT=MLN","Sort=A","Dates=H","DateFormat=P","Fill=—","Direction=H","UseDPDF=Y")</f>
        <v>19828</v>
      </c>
      <c r="E7" s="13">
        <f>_xll.BDH("GILD US Equity","ARDR_FV_ASSETS_REC_LEVEL_2","FQ2 2019","FQ2 2019","Currency=USD","Period=FQ","BEST_FPERIOD_OVERRIDE=FQ","FILING_STATUS=MR","SCALING_FORMAT=MLN","Sort=A","Dates=H","DateFormat=P","Fill=—","Direction=H","UseDPDF=Y")</f>
        <v>21207</v>
      </c>
      <c r="F7" s="13">
        <f>_xll.BDH("GILD US Equity","ARDR_FV_ASSETS_REC_LEVEL_2","FQ3 2019","FQ3 2019","Currency=USD","Period=FQ","BEST_FPERIOD_OVERRIDE=FQ","FILING_STATUS=MR","SCALING_FORMAT=MLN","Sort=A","Dates=H","DateFormat=P","Fill=—","Direction=H","UseDPDF=Y")</f>
        <v>16282</v>
      </c>
      <c r="G7" s="13">
        <f>_xll.BDH("GILD US Equity","ARDR_FV_ASSETS_REC_LEVEL_2","FQ4 2019","FQ4 2019","Currency=USD","Period=FQ","BEST_FPERIOD_OVERRIDE=FQ","FILING_STATUS=MR","SCALING_FORMAT=MLN","Sort=A","Dates=H","DateFormat=P","Fill=—","Direction=H","UseDPDF=Y")</f>
        <v>14104</v>
      </c>
      <c r="H7" s="13">
        <f>_xll.BDH("GILD US Equity","ARDR_FV_ASSETS_REC_LEVEL_2","FQ1 2020","FQ1 2020","Currency=USD","Period=FQ","BEST_FPERIOD_OVERRIDE=FQ","FILING_STATUS=MR","SCALING_FORMAT=MLN","Sort=A","Dates=H","DateFormat=P","Fill=—","Direction=H","UseDPDF=Y")</f>
        <v>12924</v>
      </c>
      <c r="I7" s="13">
        <f>_xll.BDH("GILD US Equity","ARDR_FV_ASSETS_REC_LEVEL_2","FQ2 2020","FQ2 2020","Currency=USD","Period=FQ","BEST_FPERIOD_OVERRIDE=FQ","FILING_STATUS=MR","SCALING_FORMAT=MLN","Sort=A","Dates=H","DateFormat=P","Fill=—","Direction=H","UseDPDF=Y")</f>
        <v>12458</v>
      </c>
      <c r="J7" s="13">
        <f>_xll.BDH("GILD US Equity","ARDR_FV_ASSETS_REC_LEVEL_2","FQ3 2020","FQ3 2020","Currency=USD","Period=FQ","BEST_FPERIOD_OVERRIDE=FQ","FILING_STATUS=MR","SCALING_FORMAT=MLN","Sort=A","Dates=H","DateFormat=P","Fill=—","Direction=H","UseDPDF=Y")</f>
        <v>11167</v>
      </c>
      <c r="K7" s="13">
        <f>_xll.BDH("GILD US Equity","ARDR_FV_ASSETS_REC_LEVEL_2","FQ4 2020","FQ4 2020","Currency=USD","Period=FQ","BEST_FPERIOD_OVERRIDE=FQ","FILING_STATUS=MR","SCALING_FORMAT=MLN","Sort=A","Dates=H","DateFormat=P","Fill=—","Direction=H","UseDPDF=Y")</f>
        <v>1729</v>
      </c>
      <c r="L7" s="13">
        <f>_xll.BDH("GILD US Equity","ARDR_FV_ASSETS_REC_LEVEL_2","FQ1 2021","FQ1 2021","Currency=USD","Period=FQ","BEST_FPERIOD_OVERRIDE=FQ","FILING_STATUS=MR","SCALING_FORMAT=MLN","Sort=A","Dates=H","DateFormat=P","Fill=—","Direction=H","UseDPDF=Y")</f>
        <v>2046</v>
      </c>
      <c r="M7" s="13">
        <f>_xll.BDH("GILD US Equity","ARDR_FV_ASSETS_REC_LEVEL_2","FQ2 2021","FQ2 2021","Currency=USD","Period=FQ","BEST_FPERIOD_OVERRIDE=FQ","FILING_STATUS=MR","SCALING_FORMAT=MLN","Sort=A","Dates=H","DateFormat=P","Fill=—","Direction=H","UseDPDF=Y")</f>
        <v>2138</v>
      </c>
      <c r="N7" s="13">
        <f>_xll.BDH("GILD US Equity","ARDR_FV_ASSETS_REC_LEVEL_2","FQ3 2021","FQ3 2021","Currency=USD","Period=FQ","BEST_FPERIOD_OVERRIDE=FQ","FILING_STATUS=MR","SCALING_FORMAT=MLN","Sort=A","Dates=H","DateFormat=P","Fill=—","Direction=H","UseDPDF=Y")</f>
        <v>2184</v>
      </c>
      <c r="O7" s="13">
        <f>_xll.BDH("GILD US Equity","ARDR_FV_ASSETS_REC_LEVEL_2","FQ4 2021","FQ4 2021","Currency=USD","Period=FQ","BEST_FPERIOD_OVERRIDE=FQ","FILING_STATUS=MR","SCALING_FORMAT=MLN","Sort=A","Dates=H","DateFormat=P","Fill=—","Direction=H","UseDPDF=Y")</f>
        <v>2170</v>
      </c>
      <c r="P7" s="13">
        <f>_xll.BDH("GILD US Equity","ARDR_FV_ASSETS_REC_LEVEL_2","FQ1 2022","FQ1 2022","Currency=USD","Period=FQ","BEST_FPERIOD_OVERRIDE=FQ","FILING_STATUS=MR","SCALING_FORMAT=MLN","Sort=A","Dates=H","DateFormat=P","Fill=—","Direction=H","UseDPDF=Y")</f>
        <v>2121</v>
      </c>
      <c r="Q7" s="13">
        <f>_xll.BDH("GILD US Equity","ARDR_FV_ASSETS_REC_LEVEL_2","FQ2 2022","FQ2 2022","Currency=USD","Period=FQ","BEST_FPERIOD_OVERRIDE=FQ","FILING_STATUS=MR","SCALING_FORMAT=MLN","Sort=A","Dates=H","DateFormat=P","Fill=—","Direction=H","UseDPDF=Y")</f>
        <v>1999</v>
      </c>
      <c r="R7" s="13">
        <f>_xll.BDH("GILD US Equity","ARDR_FV_ASSETS_REC_LEVEL_2","FQ3 2022","FQ3 2022","Currency=USD","Period=FQ","BEST_FPERIOD_OVERRIDE=FQ","FILING_STATUS=MR","SCALING_FORMAT=MLN","Sort=A","Dates=H","DateFormat=P","Fill=—","Direction=H","UseDPDF=Y")</f>
        <v>2083</v>
      </c>
      <c r="S7" s="13">
        <f>_xll.BDH("GILD US Equity","ARDR_FV_ASSETS_REC_LEVEL_2","FQ4 2022","FQ4 2022","Currency=USD","Period=FQ","BEST_FPERIOD_OVERRIDE=FQ","FILING_STATUS=MR","SCALING_FORMAT=MLN","Sort=A","Dates=H","DateFormat=P","Fill=—","Direction=H","UseDPDF=Y")</f>
        <v>1943</v>
      </c>
      <c r="T7" s="13">
        <f>_xll.BDH("GILD US Equity","ARDR_FV_ASSETS_REC_LEVEL_2","FQ1 2023","FQ1 2023","Currency=USD","Period=FQ","BEST_FPERIOD_OVERRIDE=FQ","FILING_STATUS=MR","SCALING_FORMAT=MLN","Sort=A","Dates=H","DateFormat=P","Fill=—","Direction=H","UseDPDF=Y")</f>
        <v>2014</v>
      </c>
      <c r="U7" s="13">
        <f>_xll.BDH("GILD US Equity","ARDR_FV_ASSETS_REC_LEVEL_2","FQ2 2023","FQ2 2023","Currency=USD","Period=FQ","BEST_FPERIOD_OVERRIDE=FQ","FILING_STATUS=MR","SCALING_FORMAT=MLN","Sort=A","Dates=H","DateFormat=P","Fill=—","Direction=H","UseDPDF=Y")</f>
        <v>1989</v>
      </c>
      <c r="V7" s="13">
        <f>_xll.BDH("GILD US Equity","ARDR_FV_ASSETS_REC_LEVEL_2","FQ3 2023","FQ3 2023","Currency=USD","Period=FQ","BEST_FPERIOD_OVERRIDE=FQ","FILING_STATUS=MR","SCALING_FORMAT=MLN","Sort=A","Dates=H","DateFormat=P","Fill=—","Direction=H","UseDPDF=Y")</f>
        <v>2021</v>
      </c>
      <c r="W7" s="13">
        <f>_xll.BDH("GILD US Equity","ARDR_FV_ASSETS_REC_LEVEL_2","FQ4 2023","FQ4 2023","Currency=USD","Period=FQ","BEST_FPERIOD_OVERRIDE=FQ","FILING_STATUS=MR","SCALING_FORMAT=MLN","Sort=A","Dates=H","DateFormat=P","Fill=—","Direction=H","UseDPDF=Y")</f>
        <v>2007</v>
      </c>
      <c r="X7" s="13">
        <f>_xll.BDH("GILD US Equity","ARDR_FV_ASSETS_REC_LEVEL_2","FQ1 2024","FQ1 2024","Currency=USD","Period=FQ","BEST_FPERIOD_OVERRIDE=FQ","FILING_STATUS=MR","SCALING_FORMAT=MLN","Sort=A","Dates=H","DateFormat=P","Fill=—","Direction=H","UseDPDF=Y")</f>
        <v>39</v>
      </c>
      <c r="Y7" s="13">
        <f>_xll.BDH("GILD US Equity","ARDR_FV_ASSETS_REC_LEVEL_2","FQ2 2024","FQ2 2024","Currency=USD","Period=FQ","BEST_FPERIOD_OVERRIDE=FQ","FILING_STATUS=MR","SCALING_FORMAT=MLN","Sort=A","Dates=H","DateFormat=P","Fill=—","Direction=H","UseDPDF=Y")</f>
        <v>60</v>
      </c>
      <c r="Z7" s="13">
        <f>_xll.BDH("GILD US Equity","ARDR_FV_ASSETS_REC_LEVEL_2","FQ3 2024","FQ3 2024","Currency=USD","Period=FQ","BEST_FPERIOD_OVERRIDE=FQ","FILING_STATUS=MR","SCALING_FORMAT=MLN","Sort=A","Dates=H","DateFormat=P","Fill=—","Direction=H","UseDPDF=Y")</f>
        <v>7</v>
      </c>
      <c r="AA7" s="13">
        <f>_xll.BDH("GILD US Equity","ARDR_FV_ASSETS_REC_LEVEL_2","FQ4 2024","FQ4 2024","Currency=USD","Period=FQ","BEST_FPERIOD_OVERRIDE=FQ","FILING_STATUS=MR","SCALING_FORMAT=MLN","Sort=A","Dates=H","DateFormat=P","Fill=—","Direction=H","UseDPDF=Y")</f>
        <v>128</v>
      </c>
    </row>
    <row r="8" spans="1:27" x14ac:dyDescent="0.25">
      <c r="A8" s="10" t="s">
        <v>1291</v>
      </c>
      <c r="B8" s="10" t="s">
        <v>1094</v>
      </c>
      <c r="C8" s="13">
        <f>_xll.BDH("GILD US Equity","ARDR_FV_ASSETS_REC_LEVEL_3","FQ4 2018","FQ4 2018","Currency=USD","Period=FQ","BEST_FPERIOD_OVERRIDE=FQ","FILING_STATUS=MR","SCALING_FORMAT=MLN","Sort=A","Dates=H","DateFormat=P","Fill=—","Direction=H","UseDPDF=Y")</f>
        <v>0</v>
      </c>
      <c r="D8" s="13">
        <f>_xll.BDH("GILD US Equity","ARDR_FV_ASSETS_REC_LEVEL_3","FQ1 2019","FQ1 2019","Currency=USD","Period=FQ","BEST_FPERIOD_OVERRIDE=FQ","FILING_STATUS=MR","SCALING_FORMAT=MLN","Sort=A","Dates=H","DateFormat=P","Fill=—","Direction=H","UseDPDF=Y")</f>
        <v>0</v>
      </c>
      <c r="E8" s="13">
        <f>_xll.BDH("GILD US Equity","ARDR_FV_ASSETS_REC_LEVEL_3","FQ2 2019","FQ2 2019","Currency=USD","Period=FQ","BEST_FPERIOD_OVERRIDE=FQ","FILING_STATUS=MR","SCALING_FORMAT=MLN","Sort=A","Dates=H","DateFormat=P","Fill=—","Direction=H","UseDPDF=Y")</f>
        <v>0</v>
      </c>
      <c r="F8" s="13">
        <f>_xll.BDH("GILD US Equity","ARDR_FV_ASSETS_REC_LEVEL_3","FQ3 2019","FQ3 2019","Currency=USD","Period=FQ","BEST_FPERIOD_OVERRIDE=FQ","FILING_STATUS=MR","SCALING_FORMAT=MLN","Sort=A","Dates=H","DateFormat=P","Fill=—","Direction=H","UseDPDF=Y")</f>
        <v>0</v>
      </c>
      <c r="G8" s="13">
        <f>_xll.BDH("GILD US Equity","ARDR_FV_ASSETS_REC_LEVEL_3","FQ4 2019","FQ4 2019","Currency=USD","Period=FQ","BEST_FPERIOD_OVERRIDE=FQ","FILING_STATUS=MR","SCALING_FORMAT=MLN","Sort=A","Dates=H","DateFormat=P","Fill=—","Direction=H","UseDPDF=Y")</f>
        <v>0</v>
      </c>
      <c r="H8" s="13">
        <f>_xll.BDH("GILD US Equity","ARDR_FV_ASSETS_REC_LEVEL_3","FQ1 2020","FQ1 2020","Currency=USD","Period=FQ","BEST_FPERIOD_OVERRIDE=FQ","FILING_STATUS=MR","SCALING_FORMAT=MLN","Sort=A","Dates=H","DateFormat=P","Fill=—","Direction=H","UseDPDF=Y")</f>
        <v>0</v>
      </c>
      <c r="I8" s="13">
        <f>_xll.BDH("GILD US Equity","ARDR_FV_ASSETS_REC_LEVEL_3","FQ2 2020","FQ2 2020","Currency=USD","Period=FQ","BEST_FPERIOD_OVERRIDE=FQ","FILING_STATUS=MR","SCALING_FORMAT=MLN","Sort=A","Dates=H","DateFormat=P","Fill=—","Direction=H","UseDPDF=Y")</f>
        <v>0</v>
      </c>
      <c r="J8" s="13">
        <f>_xll.BDH("GILD US Equity","ARDR_FV_ASSETS_REC_LEVEL_3","FQ3 2020","FQ3 2020","Currency=USD","Period=FQ","BEST_FPERIOD_OVERRIDE=FQ","FILING_STATUS=MR","SCALING_FORMAT=MLN","Sort=A","Dates=H","DateFormat=P","Fill=—","Direction=H","UseDPDF=Y")</f>
        <v>0</v>
      </c>
      <c r="K8" s="13">
        <f>_xll.BDH("GILD US Equity","ARDR_FV_ASSETS_REC_LEVEL_3","FQ4 2020","FQ4 2020","Currency=USD","Period=FQ","BEST_FPERIOD_OVERRIDE=FQ","FILING_STATUS=MR","SCALING_FORMAT=MLN","Sort=A","Dates=H","DateFormat=P","Fill=—","Direction=H","UseDPDF=Y")</f>
        <v>0</v>
      </c>
      <c r="L8" s="13">
        <f>_xll.BDH("GILD US Equity","ARDR_FV_ASSETS_REC_LEVEL_3","FQ1 2021","FQ1 2021","Currency=USD","Period=FQ","BEST_FPERIOD_OVERRIDE=FQ","FILING_STATUS=MR","SCALING_FORMAT=MLN","Sort=A","Dates=H","DateFormat=P","Fill=—","Direction=H","UseDPDF=Y")</f>
        <v>0</v>
      </c>
      <c r="M8" s="13">
        <f>_xll.BDH("GILD US Equity","ARDR_FV_ASSETS_REC_LEVEL_3","FQ2 2021","FQ2 2021","Currency=USD","Period=FQ","BEST_FPERIOD_OVERRIDE=FQ","FILING_STATUS=MR","SCALING_FORMAT=MLN","Sort=A","Dates=H","DateFormat=P","Fill=—","Direction=H","UseDPDF=Y")</f>
        <v>0</v>
      </c>
      <c r="N8" s="13">
        <f>_xll.BDH("GILD US Equity","ARDR_FV_ASSETS_REC_LEVEL_3","FQ3 2021","FQ3 2021","Currency=USD","Period=FQ","BEST_FPERIOD_OVERRIDE=FQ","FILING_STATUS=MR","SCALING_FORMAT=MLN","Sort=A","Dates=H","DateFormat=P","Fill=—","Direction=H","UseDPDF=Y")</f>
        <v>0</v>
      </c>
      <c r="O8" s="13">
        <f>_xll.BDH("GILD US Equity","ARDR_FV_ASSETS_REC_LEVEL_3","FQ4 2021","FQ4 2021","Currency=USD","Period=FQ","BEST_FPERIOD_OVERRIDE=FQ","FILING_STATUS=MR","SCALING_FORMAT=MLN","Sort=A","Dates=H","DateFormat=P","Fill=—","Direction=H","UseDPDF=Y")</f>
        <v>0</v>
      </c>
      <c r="P8" s="13">
        <f>_xll.BDH("GILD US Equity","ARDR_FV_ASSETS_REC_LEVEL_3","FQ1 2022","FQ1 2022","Currency=USD","Period=FQ","BEST_FPERIOD_OVERRIDE=FQ","FILING_STATUS=MR","SCALING_FORMAT=MLN","Sort=A","Dates=H","DateFormat=P","Fill=—","Direction=H","UseDPDF=Y")</f>
        <v>0</v>
      </c>
      <c r="Q8" s="13">
        <f>_xll.BDH("GILD US Equity","ARDR_FV_ASSETS_REC_LEVEL_3","FQ2 2022","FQ2 2022","Currency=USD","Period=FQ","BEST_FPERIOD_OVERRIDE=FQ","FILING_STATUS=MR","SCALING_FORMAT=MLN","Sort=A","Dates=H","DateFormat=P","Fill=—","Direction=H","UseDPDF=Y")</f>
        <v>0</v>
      </c>
      <c r="R8" s="13">
        <f>_xll.BDH("GILD US Equity","ARDR_FV_ASSETS_REC_LEVEL_3","FQ3 2022","FQ3 2022","Currency=USD","Period=FQ","BEST_FPERIOD_OVERRIDE=FQ","FILING_STATUS=MR","SCALING_FORMAT=MLN","Sort=A","Dates=H","DateFormat=P","Fill=—","Direction=H","UseDPDF=Y")</f>
        <v>0</v>
      </c>
      <c r="S8" s="13">
        <f>_xll.BDH("GILD US Equity","ARDR_FV_ASSETS_REC_LEVEL_3","FQ4 2022","FQ4 2022","Currency=USD","Period=FQ","BEST_FPERIOD_OVERRIDE=FQ","FILING_STATUS=MR","SCALING_FORMAT=MLN","Sort=A","Dates=H","DateFormat=P","Fill=—","Direction=H","UseDPDF=Y")</f>
        <v>0</v>
      </c>
      <c r="T8" s="13">
        <f>_xll.BDH("GILD US Equity","ARDR_FV_ASSETS_REC_LEVEL_3","FQ1 2023","FQ1 2023","Currency=USD","Period=FQ","BEST_FPERIOD_OVERRIDE=FQ","FILING_STATUS=MR","SCALING_FORMAT=MLN","Sort=A","Dates=H","DateFormat=P","Fill=—","Direction=H","UseDPDF=Y")</f>
        <v>0</v>
      </c>
      <c r="U8" s="13">
        <f>_xll.BDH("GILD US Equity","ARDR_FV_ASSETS_REC_LEVEL_3","FQ2 2023","FQ2 2023","Currency=USD","Period=FQ","BEST_FPERIOD_OVERRIDE=FQ","FILING_STATUS=MR","SCALING_FORMAT=MLN","Sort=A","Dates=H","DateFormat=P","Fill=—","Direction=H","UseDPDF=Y")</f>
        <v>0</v>
      </c>
      <c r="V8" s="13">
        <f>_xll.BDH("GILD US Equity","ARDR_FV_ASSETS_REC_LEVEL_3","FQ3 2023","FQ3 2023","Currency=USD","Period=FQ","BEST_FPERIOD_OVERRIDE=FQ","FILING_STATUS=MR","SCALING_FORMAT=MLN","Sort=A","Dates=H","DateFormat=P","Fill=—","Direction=H","UseDPDF=Y")</f>
        <v>0</v>
      </c>
      <c r="W8" s="13" t="str">
        <f>_xll.BDH("GILD US Equity","ARDR_FV_ASSETS_REC_LEVEL_3","FQ4 2023","FQ4 2023","Currency=USD","Period=FQ","BEST_FPERIOD_OVERRIDE=FQ","FILING_STATUS=MR","SCALING_FORMAT=MLN","Sort=A","Dates=H","DateFormat=P","Fill=—","Direction=H","UseDPDF=Y")</f>
        <v>—</v>
      </c>
      <c r="X8" s="13">
        <f>_xll.BDH("GILD US Equity","ARDR_FV_ASSETS_REC_LEVEL_3","FQ1 2024","FQ1 2024","Currency=USD","Period=FQ","BEST_FPERIOD_OVERRIDE=FQ","FILING_STATUS=MR","SCALING_FORMAT=MLN","Sort=A","Dates=H","DateFormat=P","Fill=—","Direction=H","UseDPDF=Y")</f>
        <v>0</v>
      </c>
      <c r="Y8" s="13">
        <f>_xll.BDH("GILD US Equity","ARDR_FV_ASSETS_REC_LEVEL_3","FQ2 2024","FQ2 2024","Currency=USD","Period=FQ","BEST_FPERIOD_OVERRIDE=FQ","FILING_STATUS=MR","SCALING_FORMAT=MLN","Sort=A","Dates=H","DateFormat=P","Fill=—","Direction=H","UseDPDF=Y")</f>
        <v>0</v>
      </c>
      <c r="Z8" s="13">
        <f>_xll.BDH("GILD US Equity","ARDR_FV_ASSETS_REC_LEVEL_3","FQ3 2024","FQ3 2024","Currency=USD","Period=FQ","BEST_FPERIOD_OVERRIDE=FQ","FILING_STATUS=MR","SCALING_FORMAT=MLN","Sort=A","Dates=H","DateFormat=P","Fill=—","Direction=H","UseDPDF=Y")</f>
        <v>0</v>
      </c>
      <c r="AA8" s="13">
        <f>_xll.BDH("GILD US Equity","ARDR_FV_ASSETS_REC_LEVEL_3","FQ4 2024","FQ4 2024","Currency=USD","Period=FQ","BEST_FPERIOD_OVERRIDE=FQ","FILING_STATUS=MR","SCALING_FORMAT=MLN","Sort=A","Dates=H","DateFormat=P","Fill=—","Direction=H","UseDPDF=Y")</f>
        <v>0</v>
      </c>
    </row>
    <row r="9" spans="1:27" x14ac:dyDescent="0.25">
      <c r="A9" s="6" t="s">
        <v>1292</v>
      </c>
      <c r="B9" s="6" t="s">
        <v>1096</v>
      </c>
      <c r="C9" s="19">
        <f>_xll.BDH("GILD US Equity","ARDR_FV_ASSETS_REC_TOTAL","FQ4 2018","FQ4 2018","Currency=USD","Period=FQ","BEST_FPERIOD_OVERRIDE=FQ","FILING_STATUS=MR","SCALING_FORMAT=MLN","Sort=A","Dates=H","DateFormat=P","Fill=—","Direction=H","UseDPDF=Y")</f>
        <v>30552</v>
      </c>
      <c r="D9" s="19">
        <f>_xll.BDH("GILD US Equity","ARDR_FV_ASSETS_REC_TOTAL","FQ1 2019","FQ1 2019","Currency=USD","Period=FQ","BEST_FPERIOD_OVERRIDE=FQ","FILING_STATUS=MR","SCALING_FORMAT=MLN","Sort=A","Dates=H","DateFormat=P","Fill=—","Direction=H","UseDPDF=Y")</f>
        <v>29637</v>
      </c>
      <c r="E9" s="19">
        <f>_xll.BDH("GILD US Equity","ARDR_FV_ASSETS_REC_TOTAL","FQ2 2019","FQ2 2019","Currency=USD","Period=FQ","BEST_FPERIOD_OVERRIDE=FQ","FILING_STATUS=MR","SCALING_FORMAT=MLN","Sort=A","Dates=H","DateFormat=P","Fill=—","Direction=H","UseDPDF=Y")</f>
        <v>29458</v>
      </c>
      <c r="F9" s="19">
        <f>_xll.BDH("GILD US Equity","ARDR_FV_ASSETS_REC_TOTAL","FQ3 2019","FQ3 2019","Currency=USD","Period=FQ","BEST_FPERIOD_OVERRIDE=FQ","FILING_STATUS=MR","SCALING_FORMAT=MLN","Sort=A","Dates=H","DateFormat=P","Fill=—","Direction=H","UseDPDF=Y")</f>
        <v>25269</v>
      </c>
      <c r="G9" s="19">
        <f>_xll.BDH("GILD US Equity","ARDR_FV_ASSETS_REC_TOTAL","FQ4 2019","FQ4 2019","Currency=USD","Period=FQ","BEST_FPERIOD_OVERRIDE=FQ","FILING_STATUS=MR","SCALING_FORMAT=MLN","Sort=A","Dates=H","DateFormat=P","Fill=—","Direction=H","UseDPDF=Y")</f>
        <v>27576</v>
      </c>
      <c r="H9" s="19">
        <f>_xll.BDH("GILD US Equity","ARDR_FV_ASSETS_REC_TOTAL","FQ1 2020","FQ1 2020","Currency=USD","Period=FQ","BEST_FPERIOD_OVERRIDE=FQ","FILING_STATUS=MR","SCALING_FORMAT=MLN","Sort=A","Dates=H","DateFormat=P","Fill=—","Direction=H","UseDPDF=Y")</f>
        <v>26470</v>
      </c>
      <c r="I9" s="19">
        <f>_xll.BDH("GILD US Equity","ARDR_FV_ASSETS_REC_TOTAL","FQ2 2020","FQ2 2020","Currency=USD","Period=FQ","BEST_FPERIOD_OVERRIDE=FQ","FILING_STATUS=MR","SCALING_FORMAT=MLN","Sort=A","Dates=H","DateFormat=P","Fill=—","Direction=H","UseDPDF=Y")</f>
        <v>23348</v>
      </c>
      <c r="J9" s="19">
        <f>_xll.BDH("GILD US Equity","ARDR_FV_ASSETS_REC_TOTAL","FQ3 2020","FQ3 2020","Currency=USD","Period=FQ","BEST_FPERIOD_OVERRIDE=FQ","FILING_STATUS=MR","SCALING_FORMAT=MLN","Sort=A","Dates=H","DateFormat=P","Fill=—","Direction=H","UseDPDF=Y")</f>
        <v>28015</v>
      </c>
      <c r="K9" s="19">
        <f>_xll.BDH("GILD US Equity","ARDR_FV_ASSETS_REC_TOTAL","FQ4 2020","FQ4 2020","Currency=USD","Period=FQ","BEST_FPERIOD_OVERRIDE=FQ","FILING_STATUS=MR","SCALING_FORMAT=MLN","Sort=A","Dates=H","DateFormat=P","Fill=—","Direction=H","UseDPDF=Y")</f>
        <v>9008</v>
      </c>
      <c r="L9" s="19">
        <f>_xll.BDH("GILD US Equity","ARDR_FV_ASSETS_REC_TOTAL","FQ1 2021","FQ1 2021","Currency=USD","Period=FQ","BEST_FPERIOD_OVERRIDE=FQ","FILING_STATUS=MR","SCALING_FORMAT=MLN","Sort=A","Dates=H","DateFormat=P","Fill=—","Direction=H","UseDPDF=Y")</f>
        <v>7231</v>
      </c>
      <c r="M9" s="19">
        <f>_xll.BDH("GILD US Equity","ARDR_FV_ASSETS_REC_TOTAL","FQ2 2021","FQ2 2021","Currency=USD","Period=FQ","BEST_FPERIOD_OVERRIDE=FQ","FILING_STATUS=MR","SCALING_FORMAT=MLN","Sort=A","Dates=H","DateFormat=P","Fill=—","Direction=H","UseDPDF=Y")</f>
        <v>8045</v>
      </c>
      <c r="N9" s="19">
        <f>_xll.BDH("GILD US Equity","ARDR_FV_ASSETS_REC_TOTAL","FQ3 2021","FQ3 2021","Currency=USD","Period=FQ","BEST_FPERIOD_OVERRIDE=FQ","FILING_STATUS=MR","SCALING_FORMAT=MLN","Sort=A","Dates=H","DateFormat=P","Fill=—","Direction=H","UseDPDF=Y")</f>
        <v>7318</v>
      </c>
      <c r="O9" s="19">
        <f>_xll.BDH("GILD US Equity","ARDR_FV_ASSETS_REC_TOTAL","FQ4 2021","FQ4 2021","Currency=USD","Period=FQ","BEST_FPERIOD_OVERRIDE=FQ","FILING_STATUS=MR","SCALING_FORMAT=MLN","Sort=A","Dates=H","DateFormat=P","Fill=—","Direction=H","UseDPDF=Y")</f>
        <v>8320</v>
      </c>
      <c r="P9" s="19">
        <f>_xll.BDH("GILD US Equity","ARDR_FV_ASSETS_REC_TOTAL","FQ1 2022","FQ1 2022","Currency=USD","Period=FQ","BEST_FPERIOD_OVERRIDE=FQ","FILING_STATUS=MR","SCALING_FORMAT=MLN","Sort=A","Dates=H","DateFormat=P","Fill=—","Direction=H","UseDPDF=Y")</f>
        <v>6935</v>
      </c>
      <c r="Q9" s="19">
        <f>_xll.BDH("GILD US Equity","ARDR_FV_ASSETS_REC_TOTAL","FQ2 2022","FQ2 2022","Currency=USD","Period=FQ","BEST_FPERIOD_OVERRIDE=FQ","FILING_STATUS=MR","SCALING_FORMAT=MLN","Sort=A","Dates=H","DateFormat=P","Fill=—","Direction=H","UseDPDF=Y")</f>
        <v>7137</v>
      </c>
      <c r="R9" s="19">
        <f>_xll.BDH("GILD US Equity","ARDR_FV_ASSETS_REC_TOTAL","FQ3 2022","FQ3 2022","Currency=USD","Period=FQ","BEST_FPERIOD_OVERRIDE=FQ","FILING_STATUS=MR","SCALING_FORMAT=MLN","Sort=A","Dates=H","DateFormat=P","Fill=—","Direction=H","UseDPDF=Y")</f>
        <v>7325</v>
      </c>
      <c r="S9" s="19">
        <f>_xll.BDH("GILD US Equity","ARDR_FV_ASSETS_REC_TOTAL","FQ4 2022","FQ4 2022","Currency=USD","Period=FQ","BEST_FPERIOD_OVERRIDE=FQ","FILING_STATUS=MR","SCALING_FORMAT=MLN","Sort=A","Dates=H","DateFormat=P","Fill=—","Direction=H","UseDPDF=Y")</f>
        <v>7601</v>
      </c>
      <c r="T9" s="19">
        <f>_xll.BDH("GILD US Equity","ARDR_FV_ASSETS_REC_TOTAL","FQ1 2023","FQ1 2023","Currency=USD","Period=FQ","BEST_FPERIOD_OVERRIDE=FQ","FILING_STATUS=MR","SCALING_FORMAT=MLN","Sort=A","Dates=H","DateFormat=P","Fill=—","Direction=H","UseDPDF=Y")</f>
        <v>6909</v>
      </c>
      <c r="U9" s="19">
        <f>_xll.BDH("GILD US Equity","ARDR_FV_ASSETS_REC_TOTAL","FQ2 2023","FQ2 2023","Currency=USD","Period=FQ","BEST_FPERIOD_OVERRIDE=FQ","FILING_STATUS=MR","SCALING_FORMAT=MLN","Sort=A","Dates=H","DateFormat=P","Fill=—","Direction=H","UseDPDF=Y")</f>
        <v>8094</v>
      </c>
      <c r="V9" s="19">
        <f>_xll.BDH("GILD US Equity","ARDR_FV_ASSETS_REC_TOTAL","FQ3 2023","FQ3 2023","Currency=USD","Period=FQ","BEST_FPERIOD_OVERRIDE=FQ","FILING_STATUS=MR","SCALING_FORMAT=MLN","Sort=A","Dates=H","DateFormat=P","Fill=—","Direction=H","UseDPDF=Y")</f>
        <v>8042</v>
      </c>
      <c r="W9" s="19">
        <f>_xll.BDH("GILD US Equity","ARDR_FV_ASSETS_REC_TOTAL","FQ4 2023","FQ4 2023","Currency=USD","Period=FQ","BEST_FPERIOD_OVERRIDE=FQ","FILING_STATUS=MR","SCALING_FORMAT=MLN","Sort=A","Dates=H","DateFormat=P","Fill=—","Direction=H","UseDPDF=Y")</f>
        <v>8640</v>
      </c>
      <c r="X9" s="19">
        <f>_xll.BDH("GILD US Equity","ARDR_FV_ASSETS_REC_TOTAL","FQ1 2024","FQ1 2024","Currency=USD","Period=FQ","BEST_FPERIOD_OVERRIDE=FQ","FILING_STATUS=MR","SCALING_FORMAT=MLN","Sort=A","Dates=H","DateFormat=P","Fill=—","Direction=H","UseDPDF=Y")</f>
        <v>3715</v>
      </c>
      <c r="Y9" s="19">
        <f>_xll.BDH("GILD US Equity","ARDR_FV_ASSETS_REC_TOTAL","FQ2 2024","FQ2 2024","Currency=USD","Period=FQ","BEST_FPERIOD_OVERRIDE=FQ","FILING_STATUS=MR","SCALING_FORMAT=MLN","Sort=A","Dates=H","DateFormat=P","Fill=—","Direction=H","UseDPDF=Y")</f>
        <v>3341</v>
      </c>
      <c r="Z9" s="19">
        <f>_xll.BDH("GILD US Equity","ARDR_FV_ASSETS_REC_TOTAL","FQ3 2024","FQ3 2024","Currency=USD","Period=FQ","BEST_FPERIOD_OVERRIDE=FQ","FILING_STATUS=MR","SCALING_FORMAT=MLN","Sort=A","Dates=H","DateFormat=P","Fill=—","Direction=H","UseDPDF=Y")</f>
        <v>5517</v>
      </c>
      <c r="AA9" s="19">
        <f>_xll.BDH("GILD US Equity","ARDR_FV_ASSETS_REC_TOTAL","FQ4 2024","FQ4 2024","Currency=USD","Period=FQ","BEST_FPERIOD_OVERRIDE=FQ","FILING_STATUS=MR","SCALING_FORMAT=MLN","Sort=A","Dates=H","DateFormat=P","Fill=—","Direction=H","UseDPDF=Y")</f>
        <v>10533</v>
      </c>
    </row>
    <row r="10" spans="1:27" x14ac:dyDescent="0.25">
      <c r="A10" s="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x14ac:dyDescent="0.25">
      <c r="A11" s="10" t="s">
        <v>1293</v>
      </c>
      <c r="B11" s="10" t="s">
        <v>1098</v>
      </c>
      <c r="C11" s="13">
        <f>_xll.BDH("GILD US Equity","ARDR_FV_LIAB_REC_LEVEL_1","FQ4 2018","FQ4 2018","Currency=USD","Period=FQ","BEST_FPERIOD_OVERRIDE=FQ","FILING_STATUS=MR","SCALING_FORMAT=MLN","Sort=A","Dates=H","DateFormat=P","Fill=—","Direction=H","UseDPDF=Y")</f>
        <v>124</v>
      </c>
      <c r="D11" s="13">
        <f>_xll.BDH("GILD US Equity","ARDR_FV_LIAB_REC_LEVEL_1","FQ1 2019","FQ1 2019","Currency=USD","Period=FQ","BEST_FPERIOD_OVERRIDE=FQ","FILING_STATUS=MR","SCALING_FORMAT=MLN","Sort=A","Dates=H","DateFormat=P","Fill=—","Direction=H","UseDPDF=Y")</f>
        <v>150</v>
      </c>
      <c r="E11" s="13">
        <f>_xll.BDH("GILD US Equity","ARDR_FV_LIAB_REC_LEVEL_1","FQ2 2019","FQ2 2019","Currency=USD","Period=FQ","BEST_FPERIOD_OVERRIDE=FQ","FILING_STATUS=MR","SCALING_FORMAT=MLN","Sort=A","Dates=H","DateFormat=P","Fill=—","Direction=H","UseDPDF=Y")</f>
        <v>156</v>
      </c>
      <c r="F11" s="13">
        <f>_xll.BDH("GILD US Equity","ARDR_FV_LIAB_REC_LEVEL_1","FQ3 2019","FQ3 2019","Currency=USD","Period=FQ","BEST_FPERIOD_OVERRIDE=FQ","FILING_STATUS=MR","SCALING_FORMAT=MLN","Sort=A","Dates=H","DateFormat=P","Fill=—","Direction=H","UseDPDF=Y")</f>
        <v>159</v>
      </c>
      <c r="G11" s="13">
        <f>_xll.BDH("GILD US Equity","ARDR_FV_LIAB_REC_LEVEL_1","FQ4 2019","FQ4 2019","Currency=USD","Period=FQ","BEST_FPERIOD_OVERRIDE=FQ","FILING_STATUS=MR","SCALING_FORMAT=MLN","Sort=A","Dates=H","DateFormat=P","Fill=—","Direction=H","UseDPDF=Y")</f>
        <v>171</v>
      </c>
      <c r="H11" s="13">
        <f>_xll.BDH("GILD US Equity","ARDR_FV_LIAB_REC_LEVEL_1","FQ1 2020","FQ1 2020","Currency=USD","Period=FQ","BEST_FPERIOD_OVERRIDE=FQ","FILING_STATUS=MR","SCALING_FORMAT=MLN","Sort=A","Dates=H","DateFormat=P","Fill=—","Direction=H","UseDPDF=Y")</f>
        <v>156</v>
      </c>
      <c r="I11" s="13">
        <f>_xll.BDH("GILD US Equity","ARDR_FV_LIAB_REC_LEVEL_1","FQ2 2020","FQ2 2020","Currency=USD","Period=FQ","BEST_FPERIOD_OVERRIDE=FQ","FILING_STATUS=MR","SCALING_FORMAT=MLN","Sort=A","Dates=H","DateFormat=P","Fill=—","Direction=H","UseDPDF=Y")</f>
        <v>183</v>
      </c>
      <c r="J11" s="13">
        <f>_xll.BDH("GILD US Equity","ARDR_FV_LIAB_REC_LEVEL_1","FQ3 2020","FQ3 2020","Currency=USD","Period=FQ","BEST_FPERIOD_OVERRIDE=FQ","FILING_STATUS=MR","SCALING_FORMAT=MLN","Sort=A","Dates=H","DateFormat=P","Fill=—","Direction=H","UseDPDF=Y")</f>
        <v>200</v>
      </c>
      <c r="K11" s="13">
        <f>_xll.BDH("GILD US Equity","ARDR_FV_LIAB_REC_LEVEL_1","FQ4 2020","FQ4 2020","Currency=USD","Period=FQ","BEST_FPERIOD_OVERRIDE=FQ","FILING_STATUS=MR","SCALING_FORMAT=MLN","Sort=A","Dates=H","DateFormat=P","Fill=—","Direction=H","UseDPDF=Y")</f>
        <v>218</v>
      </c>
      <c r="L11" s="13">
        <f>_xll.BDH("GILD US Equity","ARDR_FV_LIAB_REC_LEVEL_1","FQ1 2021","FQ1 2021","Currency=USD","Period=FQ","BEST_FPERIOD_OVERRIDE=FQ","FILING_STATUS=MR","SCALING_FORMAT=MLN","Sort=A","Dates=H","DateFormat=P","Fill=—","Direction=H","UseDPDF=Y")</f>
        <v>235</v>
      </c>
      <c r="M11" s="13">
        <f>_xll.BDH("GILD US Equity","ARDR_FV_LIAB_REC_LEVEL_1","FQ2 2021","FQ2 2021","Currency=USD","Period=FQ","BEST_FPERIOD_OVERRIDE=FQ","FILING_STATUS=MR","SCALING_FORMAT=MLN","Sort=A","Dates=H","DateFormat=P","Fill=—","Direction=H","UseDPDF=Y")</f>
        <v>248</v>
      </c>
      <c r="N11" s="13">
        <f>_xll.BDH("GILD US Equity","ARDR_FV_LIAB_REC_LEVEL_1","FQ3 2021","FQ3 2021","Currency=USD","Period=FQ","BEST_FPERIOD_OVERRIDE=FQ","FILING_STATUS=MR","SCALING_FORMAT=MLN","Sort=A","Dates=H","DateFormat=P","Fill=—","Direction=H","UseDPDF=Y")</f>
        <v>249</v>
      </c>
      <c r="O11" s="13">
        <f>_xll.BDH("GILD US Equity","ARDR_FV_LIAB_REC_LEVEL_1","FQ4 2021","FQ4 2021","Currency=USD","Period=FQ","BEST_FPERIOD_OVERRIDE=FQ","FILING_STATUS=MR","SCALING_FORMAT=MLN","Sort=A","Dates=H","DateFormat=P","Fill=—","Direction=H","UseDPDF=Y")</f>
        <v>261</v>
      </c>
      <c r="P11" s="13">
        <f>_xll.BDH("GILD US Equity","ARDR_FV_LIAB_REC_LEVEL_1","FQ1 2022","FQ1 2022","Currency=USD","Period=FQ","BEST_FPERIOD_OVERRIDE=FQ","FILING_STATUS=MR","SCALING_FORMAT=MLN","Sort=A","Dates=H","DateFormat=P","Fill=—","Direction=H","UseDPDF=Y")</f>
        <v>253</v>
      </c>
      <c r="Q11" s="13">
        <f>_xll.BDH("GILD US Equity","ARDR_FV_LIAB_REC_LEVEL_1","FQ2 2022","FQ2 2022","Currency=USD","Period=FQ","BEST_FPERIOD_OVERRIDE=FQ","FILING_STATUS=MR","SCALING_FORMAT=MLN","Sort=A","Dates=H","DateFormat=P","Fill=—","Direction=H","UseDPDF=Y")</f>
        <v>215</v>
      </c>
      <c r="R11" s="13">
        <f>_xll.BDH("GILD US Equity","ARDR_FV_LIAB_REC_LEVEL_1","FQ3 2022","FQ3 2022","Currency=USD","Period=FQ","BEST_FPERIOD_OVERRIDE=FQ","FILING_STATUS=MR","SCALING_FORMAT=MLN","Sort=A","Dates=H","DateFormat=P","Fill=—","Direction=H","UseDPDF=Y")</f>
        <v>208</v>
      </c>
      <c r="S11" s="13">
        <f>_xll.BDH("GILD US Equity","ARDR_FV_LIAB_REC_LEVEL_1","FQ4 2022","FQ4 2022","Currency=USD","Period=FQ","BEST_FPERIOD_OVERRIDE=FQ","FILING_STATUS=MR","SCALING_FORMAT=MLN","Sort=A","Dates=H","DateFormat=P","Fill=—","Direction=H","UseDPDF=Y")</f>
        <v>220</v>
      </c>
      <c r="T11" s="13">
        <f>_xll.BDH("GILD US Equity","ARDR_FV_LIAB_REC_LEVEL_1","FQ1 2023","FQ1 2023","Currency=USD","Period=FQ","BEST_FPERIOD_OVERRIDE=FQ","FILING_STATUS=MR","SCALING_FORMAT=MLN","Sort=A","Dates=H","DateFormat=P","Fill=—","Direction=H","UseDPDF=Y")</f>
        <v>249</v>
      </c>
      <c r="U11" s="13">
        <f>_xll.BDH("GILD US Equity","ARDR_FV_LIAB_REC_LEVEL_1","FQ2 2023","FQ2 2023","Currency=USD","Period=FQ","BEST_FPERIOD_OVERRIDE=FQ","FILING_STATUS=MR","SCALING_FORMAT=MLN","Sort=A","Dates=H","DateFormat=P","Fill=—","Direction=H","UseDPDF=Y")</f>
        <v>267</v>
      </c>
      <c r="V11" s="13">
        <f>_xll.BDH("GILD US Equity","ARDR_FV_LIAB_REC_LEVEL_1","FQ3 2023","FQ3 2023","Currency=USD","Period=FQ","BEST_FPERIOD_OVERRIDE=FQ","FILING_STATUS=MR","SCALING_FORMAT=MLN","Sort=A","Dates=H","DateFormat=P","Fill=—","Direction=H","UseDPDF=Y")</f>
        <v>258</v>
      </c>
      <c r="W11" s="13">
        <f>_xll.BDH("GILD US Equity","ARDR_FV_LIAB_REC_LEVEL_1","FQ4 2023","FQ4 2023","Currency=USD","Period=FQ","BEST_FPERIOD_OVERRIDE=FQ","FILING_STATUS=MR","SCALING_FORMAT=MLN","Sort=A","Dates=H","DateFormat=P","Fill=—","Direction=H","UseDPDF=Y")</f>
        <v>283</v>
      </c>
      <c r="X11" s="13">
        <f>_xll.BDH("GILD US Equity","ARDR_FV_LIAB_REC_LEVEL_1","FQ1 2024","FQ1 2024","Currency=USD","Period=FQ","BEST_FPERIOD_OVERRIDE=FQ","FILING_STATUS=MR","SCALING_FORMAT=MLN","Sort=A","Dates=H","DateFormat=P","Fill=—","Direction=H","UseDPDF=Y")</f>
        <v>318</v>
      </c>
      <c r="Y11" s="13">
        <f>_xll.BDH("GILD US Equity","ARDR_FV_LIAB_REC_LEVEL_1","FQ2 2024","FQ2 2024","Currency=USD","Period=FQ","BEST_FPERIOD_OVERRIDE=FQ","FILING_STATUS=MR","SCALING_FORMAT=MLN","Sort=A","Dates=H","DateFormat=P","Fill=—","Direction=H","UseDPDF=Y")</f>
        <v>327</v>
      </c>
      <c r="Z11" s="13">
        <f>_xll.BDH("GILD US Equity","ARDR_FV_LIAB_REC_LEVEL_1","FQ3 2024","FQ3 2024","Currency=USD","Period=FQ","BEST_FPERIOD_OVERRIDE=FQ","FILING_STATUS=MR","SCALING_FORMAT=MLN","Sort=A","Dates=H","DateFormat=P","Fill=—","Direction=H","UseDPDF=Y")</f>
        <v>343</v>
      </c>
      <c r="AA11" s="13">
        <f>_xll.BDH("GILD US Equity","ARDR_FV_LIAB_REC_LEVEL_1","FQ4 2024","FQ4 2024","Currency=USD","Period=FQ","BEST_FPERIOD_OVERRIDE=FQ","FILING_STATUS=MR","SCALING_FORMAT=MLN","Sort=A","Dates=H","DateFormat=P","Fill=—","Direction=H","UseDPDF=Y")</f>
        <v>343</v>
      </c>
    </row>
    <row r="12" spans="1:27" x14ac:dyDescent="0.25">
      <c r="A12" s="10" t="s">
        <v>1294</v>
      </c>
      <c r="B12" s="10" t="s">
        <v>1100</v>
      </c>
      <c r="C12" s="13">
        <f>_xll.BDH("GILD US Equity","ARDR_FV_LIAB_REC_LEVEL_2","FQ4 2018","FQ4 2018","Currency=USD","Period=FQ","BEST_FPERIOD_OVERRIDE=FQ","FILING_STATUS=MR","SCALING_FORMAT=MLN","Sort=A","Dates=H","DateFormat=P","Fill=—","Direction=H","UseDPDF=Y")</f>
        <v>1</v>
      </c>
      <c r="D12" s="13">
        <f>_xll.BDH("GILD US Equity","ARDR_FV_LIAB_REC_LEVEL_2","FQ1 2019","FQ1 2019","Currency=USD","Period=FQ","BEST_FPERIOD_OVERRIDE=FQ","FILING_STATUS=MR","SCALING_FORMAT=MLN","Sort=A","Dates=H","DateFormat=P","Fill=—","Direction=H","UseDPDF=Y")</f>
        <v>2</v>
      </c>
      <c r="E12" s="13">
        <f>_xll.BDH("GILD US Equity","ARDR_FV_LIAB_REC_LEVEL_2","FQ2 2019","FQ2 2019","Currency=USD","Period=FQ","BEST_FPERIOD_OVERRIDE=FQ","FILING_STATUS=MR","SCALING_FORMAT=MLN","Sort=A","Dates=H","DateFormat=P","Fill=—","Direction=H","UseDPDF=Y")</f>
        <v>6</v>
      </c>
      <c r="F12" s="13">
        <f>_xll.BDH("GILD US Equity","ARDR_FV_LIAB_REC_LEVEL_2","FQ3 2019","FQ3 2019","Currency=USD","Period=FQ","BEST_FPERIOD_OVERRIDE=FQ","FILING_STATUS=MR","SCALING_FORMAT=MLN","Sort=A","Dates=H","DateFormat=P","Fill=—","Direction=H","UseDPDF=Y")</f>
        <v>1</v>
      </c>
      <c r="G12" s="13">
        <f>_xll.BDH("GILD US Equity","ARDR_FV_LIAB_REC_LEVEL_2","FQ4 2019","FQ4 2019","Currency=USD","Period=FQ","BEST_FPERIOD_OVERRIDE=FQ","FILING_STATUS=MR","SCALING_FORMAT=MLN","Sort=A","Dates=H","DateFormat=P","Fill=—","Direction=H","UseDPDF=Y")</f>
        <v>8</v>
      </c>
      <c r="H12" s="13">
        <f>_xll.BDH("GILD US Equity","ARDR_FV_LIAB_REC_LEVEL_2","FQ1 2020","FQ1 2020","Currency=USD","Period=FQ","BEST_FPERIOD_OVERRIDE=FQ","FILING_STATUS=MR","SCALING_FORMAT=MLN","Sort=A","Dates=H","DateFormat=P","Fill=—","Direction=H","UseDPDF=Y")</f>
        <v>5</v>
      </c>
      <c r="I12" s="13">
        <f>_xll.BDH("GILD US Equity","ARDR_FV_LIAB_REC_LEVEL_2","FQ2 2020","FQ2 2020","Currency=USD","Period=FQ","BEST_FPERIOD_OVERRIDE=FQ","FILING_STATUS=MR","SCALING_FORMAT=MLN","Sort=A","Dates=H","DateFormat=P","Fill=—","Direction=H","UseDPDF=Y")</f>
        <v>18</v>
      </c>
      <c r="J12" s="13">
        <f>_xll.BDH("GILD US Equity","ARDR_FV_LIAB_REC_LEVEL_2","FQ3 2020","FQ3 2020","Currency=USD","Period=FQ","BEST_FPERIOD_OVERRIDE=FQ","FILING_STATUS=MR","SCALING_FORMAT=MLN","Sort=A","Dates=H","DateFormat=P","Fill=—","Direction=H","UseDPDF=Y")</f>
        <v>50</v>
      </c>
      <c r="K12" s="13">
        <f>_xll.BDH("GILD US Equity","ARDR_FV_LIAB_REC_LEVEL_2","FQ4 2020","FQ4 2020","Currency=USD","Period=FQ","BEST_FPERIOD_OVERRIDE=FQ","FILING_STATUS=MR","SCALING_FORMAT=MLN","Sort=A","Dates=H","DateFormat=P","Fill=—","Direction=H","UseDPDF=Y")</f>
        <v>121</v>
      </c>
      <c r="L12" s="13">
        <f>_xll.BDH("GILD US Equity","ARDR_FV_LIAB_REC_LEVEL_2","FQ1 2021","FQ1 2021","Currency=USD","Period=FQ","BEST_FPERIOD_OVERRIDE=FQ","FILING_STATUS=MR","SCALING_FORMAT=MLN","Sort=A","Dates=H","DateFormat=P","Fill=—","Direction=H","UseDPDF=Y")</f>
        <v>41</v>
      </c>
      <c r="M12" s="13">
        <f>_xll.BDH("GILD US Equity","ARDR_FV_LIAB_REC_LEVEL_2","FQ2 2021","FQ2 2021","Currency=USD","Period=FQ","BEST_FPERIOD_OVERRIDE=FQ","FILING_STATUS=MR","SCALING_FORMAT=MLN","Sort=A","Dates=H","DateFormat=P","Fill=—","Direction=H","UseDPDF=Y")</f>
        <v>30</v>
      </c>
      <c r="N12" s="13">
        <f>_xll.BDH("GILD US Equity","ARDR_FV_LIAB_REC_LEVEL_2","FQ3 2021","FQ3 2021","Currency=USD","Period=FQ","BEST_FPERIOD_OVERRIDE=FQ","FILING_STATUS=MR","SCALING_FORMAT=MLN","Sort=A","Dates=H","DateFormat=P","Fill=—","Direction=H","UseDPDF=Y")</f>
        <v>8</v>
      </c>
      <c r="O12" s="13">
        <f>_xll.BDH("GILD US Equity","ARDR_FV_LIAB_REC_LEVEL_2","FQ4 2021","FQ4 2021","Currency=USD","Period=FQ","BEST_FPERIOD_OVERRIDE=FQ","FILING_STATUS=MR","SCALING_FORMAT=MLN","Sort=A","Dates=H","DateFormat=P","Fill=—","Direction=H","UseDPDF=Y")</f>
        <v>5</v>
      </c>
      <c r="P12" s="13">
        <f>_xll.BDH("GILD US Equity","ARDR_FV_LIAB_REC_LEVEL_2","FQ1 2022","FQ1 2022","Currency=USD","Period=FQ","BEST_FPERIOD_OVERRIDE=FQ","FILING_STATUS=MR","SCALING_FORMAT=MLN","Sort=A","Dates=H","DateFormat=P","Fill=—","Direction=H","UseDPDF=Y")</f>
        <v>11</v>
      </c>
      <c r="Q12" s="13">
        <f>_xll.BDH("GILD US Equity","ARDR_FV_LIAB_REC_LEVEL_2","FQ2 2022","FQ2 2022","Currency=USD","Period=FQ","BEST_FPERIOD_OVERRIDE=FQ","FILING_STATUS=MR","SCALING_FORMAT=MLN","Sort=A","Dates=H","DateFormat=P","Fill=—","Direction=H","UseDPDF=Y")</f>
        <v>3</v>
      </c>
      <c r="R12" s="13">
        <f>_xll.BDH("GILD US Equity","ARDR_FV_LIAB_REC_LEVEL_2","FQ3 2022","FQ3 2022","Currency=USD","Period=FQ","BEST_FPERIOD_OVERRIDE=FQ","FILING_STATUS=MR","SCALING_FORMAT=MLN","Sort=A","Dates=H","DateFormat=P","Fill=—","Direction=H","UseDPDF=Y")</f>
        <v>2</v>
      </c>
      <c r="S12" s="13">
        <f>_xll.BDH("GILD US Equity","ARDR_FV_LIAB_REC_LEVEL_2","FQ4 2022","FQ4 2022","Currency=USD","Period=FQ","BEST_FPERIOD_OVERRIDE=FQ","FILING_STATUS=MR","SCALING_FORMAT=MLN","Sort=A","Dates=H","DateFormat=P","Fill=—","Direction=H","UseDPDF=Y")</f>
        <v>42</v>
      </c>
      <c r="T12" s="13">
        <f>_xll.BDH("GILD US Equity","ARDR_FV_LIAB_REC_LEVEL_2","FQ1 2023","FQ1 2023","Currency=USD","Period=FQ","BEST_FPERIOD_OVERRIDE=FQ","FILING_STATUS=MR","SCALING_FORMAT=MLN","Sort=A","Dates=H","DateFormat=P","Fill=—","Direction=H","UseDPDF=Y")</f>
        <v>49</v>
      </c>
      <c r="U12" s="13">
        <f>_xll.BDH("GILD US Equity","ARDR_FV_LIAB_REC_LEVEL_2","FQ2 2023","FQ2 2023","Currency=USD","Period=FQ","BEST_FPERIOD_OVERRIDE=FQ","FILING_STATUS=MR","SCALING_FORMAT=MLN","Sort=A","Dates=H","DateFormat=P","Fill=—","Direction=H","UseDPDF=Y")</f>
        <v>36</v>
      </c>
      <c r="V12" s="13">
        <f>_xll.BDH("GILD US Equity","ARDR_FV_LIAB_REC_LEVEL_2","FQ3 2023","FQ3 2023","Currency=USD","Period=FQ","BEST_FPERIOD_OVERRIDE=FQ","FILING_STATUS=MR","SCALING_FORMAT=MLN","Sort=A","Dates=H","DateFormat=P","Fill=—","Direction=H","UseDPDF=Y")</f>
        <v>8</v>
      </c>
      <c r="W12" s="13">
        <f>_xll.BDH("GILD US Equity","ARDR_FV_LIAB_REC_LEVEL_2","FQ4 2023","FQ4 2023","Currency=USD","Period=FQ","BEST_FPERIOD_OVERRIDE=FQ","FILING_STATUS=MR","SCALING_FORMAT=MLN","Sort=A","Dates=H","DateFormat=P","Fill=—","Direction=H","UseDPDF=Y")</f>
        <v>59</v>
      </c>
      <c r="X12" s="13">
        <f>_xll.BDH("GILD US Equity","ARDR_FV_LIAB_REC_LEVEL_2","FQ1 2024","FQ1 2024","Currency=USD","Period=FQ","BEST_FPERIOD_OVERRIDE=FQ","FILING_STATUS=MR","SCALING_FORMAT=MLN","Sort=A","Dates=H","DateFormat=P","Fill=—","Direction=H","UseDPDF=Y")</f>
        <v>10</v>
      </c>
      <c r="Y12" s="13">
        <f>_xll.BDH("GILD US Equity","ARDR_FV_LIAB_REC_LEVEL_2","FQ2 2024","FQ2 2024","Currency=USD","Period=FQ","BEST_FPERIOD_OVERRIDE=FQ","FILING_STATUS=MR","SCALING_FORMAT=MLN","Sort=A","Dates=H","DateFormat=P","Fill=—","Direction=H","UseDPDF=Y")</f>
        <v>2</v>
      </c>
      <c r="Z12" s="13">
        <f>_xll.BDH("GILD US Equity","ARDR_FV_LIAB_REC_LEVEL_2","FQ3 2024","FQ3 2024","Currency=USD","Period=FQ","BEST_FPERIOD_OVERRIDE=FQ","FILING_STATUS=MR","SCALING_FORMAT=MLN","Sort=A","Dates=H","DateFormat=P","Fill=—","Direction=H","UseDPDF=Y")</f>
        <v>49</v>
      </c>
      <c r="AA12" s="13">
        <f>_xll.BDH("GILD US Equity","ARDR_FV_LIAB_REC_LEVEL_2","FQ4 2024","FQ4 2024","Currency=USD","Period=FQ","BEST_FPERIOD_OVERRIDE=FQ","FILING_STATUS=MR","SCALING_FORMAT=MLN","Sort=A","Dates=H","DateFormat=P","Fill=—","Direction=H","UseDPDF=Y")</f>
        <v>3</v>
      </c>
    </row>
    <row r="13" spans="1:27" x14ac:dyDescent="0.25">
      <c r="A13" s="10" t="s">
        <v>1295</v>
      </c>
      <c r="B13" s="10" t="s">
        <v>1102</v>
      </c>
      <c r="C13" s="13">
        <f>_xll.BDH("GILD US Equity","ARDR_FV_LIAB_REC_LEVEL_3","FQ4 2018","FQ4 2018","Currency=USD","Period=FQ","BEST_FPERIOD_OVERRIDE=FQ","FILING_STATUS=MR","SCALING_FORMAT=MLN","Sort=A","Dates=H","DateFormat=P","Fill=—","Direction=H","UseDPDF=Y")</f>
        <v>0</v>
      </c>
      <c r="D13" s="13">
        <f>_xll.BDH("GILD US Equity","ARDR_FV_LIAB_REC_LEVEL_3","FQ1 2019","FQ1 2019","Currency=USD","Period=FQ","BEST_FPERIOD_OVERRIDE=FQ","FILING_STATUS=MR","SCALING_FORMAT=MLN","Sort=A","Dates=H","DateFormat=P","Fill=—","Direction=H","UseDPDF=Y")</f>
        <v>0</v>
      </c>
      <c r="E13" s="13">
        <f>_xll.BDH("GILD US Equity","ARDR_FV_LIAB_REC_LEVEL_3","FQ2 2019","FQ2 2019","Currency=USD","Period=FQ","BEST_FPERIOD_OVERRIDE=FQ","FILING_STATUS=MR","SCALING_FORMAT=MLN","Sort=A","Dates=H","DateFormat=P","Fill=—","Direction=H","UseDPDF=Y")</f>
        <v>0</v>
      </c>
      <c r="F13" s="13">
        <f>_xll.BDH("GILD US Equity","ARDR_FV_LIAB_REC_LEVEL_3","FQ3 2019","FQ3 2019","Currency=USD","Period=FQ","BEST_FPERIOD_OVERRIDE=FQ","FILING_STATUS=MR","SCALING_FORMAT=MLN","Sort=A","Dates=H","DateFormat=P","Fill=—","Direction=H","UseDPDF=Y")</f>
        <v>0</v>
      </c>
      <c r="G13" s="13">
        <f>_xll.BDH("GILD US Equity","ARDR_FV_LIAB_REC_LEVEL_3","FQ4 2019","FQ4 2019","Currency=USD","Period=FQ","BEST_FPERIOD_OVERRIDE=FQ","FILING_STATUS=MR","SCALING_FORMAT=MLN","Sort=A","Dates=H","DateFormat=P","Fill=—","Direction=H","UseDPDF=Y")</f>
        <v>0</v>
      </c>
      <c r="H13" s="13">
        <f>_xll.BDH("GILD US Equity","ARDR_FV_LIAB_REC_LEVEL_3","FQ1 2020","FQ1 2020","Currency=USD","Period=FQ","BEST_FPERIOD_OVERRIDE=FQ","FILING_STATUS=MR","SCALING_FORMAT=MLN","Sort=A","Dates=H","DateFormat=P","Fill=—","Direction=H","UseDPDF=Y")</f>
        <v>0</v>
      </c>
      <c r="I13" s="13">
        <f>_xll.BDH("GILD US Equity","ARDR_FV_LIAB_REC_LEVEL_3","FQ2 2020","FQ2 2020","Currency=USD","Period=FQ","BEST_FPERIOD_OVERRIDE=FQ","FILING_STATUS=MR","SCALING_FORMAT=MLN","Sort=A","Dates=H","DateFormat=P","Fill=—","Direction=H","UseDPDF=Y")</f>
        <v>0</v>
      </c>
      <c r="J13" s="13">
        <f>_xll.BDH("GILD US Equity","ARDR_FV_LIAB_REC_LEVEL_3","FQ3 2020","FQ3 2020","Currency=USD","Period=FQ","BEST_FPERIOD_OVERRIDE=FQ","FILING_STATUS=MR","SCALING_FORMAT=MLN","Sort=A","Dates=H","DateFormat=P","Fill=—","Direction=H","UseDPDF=Y")</f>
        <v>0</v>
      </c>
      <c r="K13" s="13">
        <f>_xll.BDH("GILD US Equity","ARDR_FV_LIAB_REC_LEVEL_3","FQ4 2020","FQ4 2020","Currency=USD","Period=FQ","BEST_FPERIOD_OVERRIDE=FQ","FILING_STATUS=MR","SCALING_FORMAT=MLN","Sort=A","Dates=H","DateFormat=P","Fill=—","Direction=H","UseDPDF=Y")</f>
        <v>0</v>
      </c>
      <c r="L13" s="13">
        <f>_xll.BDH("GILD US Equity","ARDR_FV_LIAB_REC_LEVEL_3","FQ1 2021","FQ1 2021","Currency=USD","Period=FQ","BEST_FPERIOD_OVERRIDE=FQ","FILING_STATUS=MR","SCALING_FORMAT=MLN","Sort=A","Dates=H","DateFormat=P","Fill=—","Direction=H","UseDPDF=Y")</f>
        <v>341</v>
      </c>
      <c r="M13" s="13">
        <f>_xll.BDH("GILD US Equity","ARDR_FV_LIAB_REC_LEVEL_3","FQ2 2021","FQ2 2021","Currency=USD","Period=FQ","BEST_FPERIOD_OVERRIDE=FQ","FILING_STATUS=MR","SCALING_FORMAT=MLN","Sort=A","Dates=H","DateFormat=P","Fill=—","Direction=H","UseDPDF=Y")</f>
        <v>334</v>
      </c>
      <c r="N13" s="13">
        <f>_xll.BDH("GILD US Equity","ARDR_FV_LIAB_REC_LEVEL_3","FQ3 2021","FQ3 2021","Currency=USD","Period=FQ","BEST_FPERIOD_OVERRIDE=FQ","FILING_STATUS=MR","SCALING_FORMAT=MLN","Sort=A","Dates=H","DateFormat=P","Fill=—","Direction=H","UseDPDF=Y")</f>
        <v>328</v>
      </c>
      <c r="O13" s="13">
        <f>_xll.BDH("GILD US Equity","ARDR_FV_LIAB_REC_LEVEL_3","FQ4 2021","FQ4 2021","Currency=USD","Period=FQ","BEST_FPERIOD_OVERRIDE=FQ","FILING_STATUS=MR","SCALING_FORMAT=MLN","Sort=A","Dates=H","DateFormat=P","Fill=—","Direction=H","UseDPDF=Y")</f>
        <v>317</v>
      </c>
      <c r="P13" s="13">
        <f>_xll.BDH("GILD US Equity","ARDR_FV_LIAB_REC_LEVEL_3","FQ1 2022","FQ1 2022","Currency=USD","Period=FQ","BEST_FPERIOD_OVERRIDE=FQ","FILING_STATUS=MR","SCALING_FORMAT=MLN","Sort=A","Dates=H","DateFormat=P","Fill=—","Direction=H","UseDPDF=Y")</f>
        <v>322</v>
      </c>
      <c r="Q13" s="13">
        <f>_xll.BDH("GILD US Equity","ARDR_FV_LIAB_REC_LEVEL_3","FQ2 2022","FQ2 2022","Currency=USD","Period=FQ","BEST_FPERIOD_OVERRIDE=FQ","FILING_STATUS=MR","SCALING_FORMAT=MLN","Sort=A","Dates=H","DateFormat=P","Fill=—","Direction=H","UseDPDF=Y")</f>
        <v>306</v>
      </c>
      <c r="R13" s="13">
        <f>_xll.BDH("GILD US Equity","ARDR_FV_LIAB_REC_LEVEL_3","FQ3 2022","FQ3 2022","Currency=USD","Period=FQ","BEST_FPERIOD_OVERRIDE=FQ","FILING_STATUS=MR","SCALING_FORMAT=MLN","Sort=A","Dates=H","DateFormat=P","Fill=—","Direction=H","UseDPDF=Y")</f>
        <v>249</v>
      </c>
      <c r="S13" s="13">
        <f>_xll.BDH("GILD US Equity","ARDR_FV_LIAB_REC_LEVEL_3","FQ4 2022","FQ4 2022","Currency=USD","Period=FQ","BEST_FPERIOD_OVERRIDE=FQ","FILING_STATUS=MR","SCALING_FORMAT=MLN","Sort=A","Dates=H","DateFormat=P","Fill=—","Direction=H","UseDPDF=Y")</f>
        <v>275</v>
      </c>
      <c r="T13" s="13">
        <f>_xll.BDH("GILD US Equity","ARDR_FV_LIAB_REC_LEVEL_3","FQ1 2023","FQ1 2023","Currency=USD","Period=FQ","BEST_FPERIOD_OVERRIDE=FQ","FILING_STATUS=MR","SCALING_FORMAT=MLN","Sort=A","Dates=H","DateFormat=P","Fill=—","Direction=H","UseDPDF=Y")</f>
        <v>277</v>
      </c>
      <c r="U13" s="13">
        <f>_xll.BDH("GILD US Equity","ARDR_FV_LIAB_REC_LEVEL_3","FQ2 2023","FQ2 2023","Currency=USD","Period=FQ","BEST_FPERIOD_OVERRIDE=FQ","FILING_STATUS=MR","SCALING_FORMAT=MLN","Sort=A","Dates=H","DateFormat=P","Fill=—","Direction=H","UseDPDF=Y")</f>
        <v>288</v>
      </c>
      <c r="V13" s="13">
        <f>_xll.BDH("GILD US Equity","ARDR_FV_LIAB_REC_LEVEL_3","FQ3 2023","FQ3 2023","Currency=USD","Period=FQ","BEST_FPERIOD_OVERRIDE=FQ","FILING_STATUS=MR","SCALING_FORMAT=MLN","Sort=A","Dates=H","DateFormat=P","Fill=—","Direction=H","UseDPDF=Y")</f>
        <v>275</v>
      </c>
      <c r="W13" s="13">
        <f>_xll.BDH("GILD US Equity","ARDR_FV_LIAB_REC_LEVEL_3","FQ4 2023","FQ4 2023","Currency=USD","Period=FQ","BEST_FPERIOD_OVERRIDE=FQ","FILING_STATUS=MR","SCALING_FORMAT=MLN","Sort=A","Dates=H","DateFormat=P","Fill=—","Direction=H","UseDPDF=Y")</f>
        <v>228</v>
      </c>
      <c r="X13" s="13">
        <f>_xll.BDH("GILD US Equity","ARDR_FV_LIAB_REC_LEVEL_3","FQ1 2024","FQ1 2024","Currency=USD","Period=FQ","BEST_FPERIOD_OVERRIDE=FQ","FILING_STATUS=MR","SCALING_FORMAT=MLN","Sort=A","Dates=H","DateFormat=P","Fill=—","Direction=H","UseDPDF=Y")</f>
        <v>222</v>
      </c>
      <c r="Y13" s="13">
        <f>_xll.BDH("GILD US Equity","ARDR_FV_LIAB_REC_LEVEL_3","FQ2 2024","FQ2 2024","Currency=USD","Period=FQ","BEST_FPERIOD_OVERRIDE=FQ","FILING_STATUS=MR","SCALING_FORMAT=MLN","Sort=A","Dates=H","DateFormat=P","Fill=—","Direction=H","UseDPDF=Y")</f>
        <v>209</v>
      </c>
      <c r="Z13" s="13">
        <f>_xll.BDH("GILD US Equity","ARDR_FV_LIAB_REC_LEVEL_3","FQ3 2024","FQ3 2024","Currency=USD","Period=FQ","BEST_FPERIOD_OVERRIDE=FQ","FILING_STATUS=MR","SCALING_FORMAT=MLN","Sort=A","Dates=H","DateFormat=P","Fill=—","Direction=H","UseDPDF=Y")</f>
        <v>222</v>
      </c>
      <c r="AA13" s="13">
        <f>_xll.BDH("GILD US Equity","ARDR_FV_LIAB_REC_LEVEL_3","FQ4 2024","FQ4 2024","Currency=USD","Period=FQ","BEST_FPERIOD_OVERRIDE=FQ","FILING_STATUS=MR","SCALING_FORMAT=MLN","Sort=A","Dates=H","DateFormat=P","Fill=—","Direction=H","UseDPDF=Y")</f>
        <v>206</v>
      </c>
    </row>
    <row r="14" spans="1:27" x14ac:dyDescent="0.25">
      <c r="A14" s="6" t="s">
        <v>1296</v>
      </c>
      <c r="B14" s="6" t="s">
        <v>1104</v>
      </c>
      <c r="C14" s="19">
        <f>_xll.BDH("GILD US Equity","ARDR_FV_LIAB_REC_TOTAL","FQ4 2018","FQ4 2018","Currency=USD","Period=FQ","BEST_FPERIOD_OVERRIDE=FQ","FILING_STATUS=MR","SCALING_FORMAT=MLN","Sort=A","Dates=H","DateFormat=P","Fill=—","Direction=H","UseDPDF=Y")</f>
        <v>125</v>
      </c>
      <c r="D14" s="19">
        <f>_xll.BDH("GILD US Equity","ARDR_FV_LIAB_REC_TOTAL","FQ1 2019","FQ1 2019","Currency=USD","Period=FQ","BEST_FPERIOD_OVERRIDE=FQ","FILING_STATUS=MR","SCALING_FORMAT=MLN","Sort=A","Dates=H","DateFormat=P","Fill=—","Direction=H","UseDPDF=Y")</f>
        <v>152</v>
      </c>
      <c r="E14" s="19">
        <f>_xll.BDH("GILD US Equity","ARDR_FV_LIAB_REC_TOTAL","FQ2 2019","FQ2 2019","Currency=USD","Period=FQ","BEST_FPERIOD_OVERRIDE=FQ","FILING_STATUS=MR","SCALING_FORMAT=MLN","Sort=A","Dates=H","DateFormat=P","Fill=—","Direction=H","UseDPDF=Y")</f>
        <v>162</v>
      </c>
      <c r="F14" s="19">
        <f>_xll.BDH("GILD US Equity","ARDR_FV_LIAB_REC_TOTAL","FQ3 2019","FQ3 2019","Currency=USD","Period=FQ","BEST_FPERIOD_OVERRIDE=FQ","FILING_STATUS=MR","SCALING_FORMAT=MLN","Sort=A","Dates=H","DateFormat=P","Fill=—","Direction=H","UseDPDF=Y")</f>
        <v>160</v>
      </c>
      <c r="G14" s="19">
        <f>_xll.BDH("GILD US Equity","ARDR_FV_LIAB_REC_TOTAL","FQ4 2019","FQ4 2019","Currency=USD","Period=FQ","BEST_FPERIOD_OVERRIDE=FQ","FILING_STATUS=MR","SCALING_FORMAT=MLN","Sort=A","Dates=H","DateFormat=P","Fill=—","Direction=H","UseDPDF=Y")</f>
        <v>179</v>
      </c>
      <c r="H14" s="19">
        <f>_xll.BDH("GILD US Equity","ARDR_FV_LIAB_REC_TOTAL","FQ1 2020","FQ1 2020","Currency=USD","Period=FQ","BEST_FPERIOD_OVERRIDE=FQ","FILING_STATUS=MR","SCALING_FORMAT=MLN","Sort=A","Dates=H","DateFormat=P","Fill=—","Direction=H","UseDPDF=Y")</f>
        <v>161</v>
      </c>
      <c r="I14" s="19">
        <f>_xll.BDH("GILD US Equity","ARDR_FV_LIAB_REC_TOTAL","FQ2 2020","FQ2 2020","Currency=USD","Period=FQ","BEST_FPERIOD_OVERRIDE=FQ","FILING_STATUS=MR","SCALING_FORMAT=MLN","Sort=A","Dates=H","DateFormat=P","Fill=—","Direction=H","UseDPDF=Y")</f>
        <v>201</v>
      </c>
      <c r="J14" s="19">
        <f>_xll.BDH("GILD US Equity","ARDR_FV_LIAB_REC_TOTAL","FQ3 2020","FQ3 2020","Currency=USD","Period=FQ","BEST_FPERIOD_OVERRIDE=FQ","FILING_STATUS=MR","SCALING_FORMAT=MLN","Sort=A","Dates=H","DateFormat=P","Fill=—","Direction=H","UseDPDF=Y")</f>
        <v>250</v>
      </c>
      <c r="K14" s="19">
        <f>_xll.BDH("GILD US Equity","ARDR_FV_LIAB_REC_TOTAL","FQ4 2020","FQ4 2020","Currency=USD","Period=FQ","BEST_FPERIOD_OVERRIDE=FQ","FILING_STATUS=MR","SCALING_FORMAT=MLN","Sort=A","Dates=H","DateFormat=P","Fill=—","Direction=H","UseDPDF=Y")</f>
        <v>339</v>
      </c>
      <c r="L14" s="19">
        <f>_xll.BDH("GILD US Equity","ARDR_FV_LIAB_REC_TOTAL","FQ1 2021","FQ1 2021","Currency=USD","Period=FQ","BEST_FPERIOD_OVERRIDE=FQ","FILING_STATUS=MR","SCALING_FORMAT=MLN","Sort=A","Dates=H","DateFormat=P","Fill=—","Direction=H","UseDPDF=Y")</f>
        <v>617</v>
      </c>
      <c r="M14" s="19">
        <f>_xll.BDH("GILD US Equity","ARDR_FV_LIAB_REC_TOTAL","FQ2 2021","FQ2 2021","Currency=USD","Period=FQ","BEST_FPERIOD_OVERRIDE=FQ","FILING_STATUS=MR","SCALING_FORMAT=MLN","Sort=A","Dates=H","DateFormat=P","Fill=—","Direction=H","UseDPDF=Y")</f>
        <v>612</v>
      </c>
      <c r="N14" s="19">
        <f>_xll.BDH("GILD US Equity","ARDR_FV_LIAB_REC_TOTAL","FQ3 2021","FQ3 2021","Currency=USD","Period=FQ","BEST_FPERIOD_OVERRIDE=FQ","FILING_STATUS=MR","SCALING_FORMAT=MLN","Sort=A","Dates=H","DateFormat=P","Fill=—","Direction=H","UseDPDF=Y")</f>
        <v>585</v>
      </c>
      <c r="O14" s="19">
        <f>_xll.BDH("GILD US Equity","ARDR_FV_LIAB_REC_TOTAL","FQ4 2021","FQ4 2021","Currency=USD","Period=FQ","BEST_FPERIOD_OVERRIDE=FQ","FILING_STATUS=MR","SCALING_FORMAT=MLN","Sort=A","Dates=H","DateFormat=P","Fill=—","Direction=H","UseDPDF=Y")</f>
        <v>583</v>
      </c>
      <c r="P14" s="19">
        <f>_xll.BDH("GILD US Equity","ARDR_FV_LIAB_REC_TOTAL","FQ1 2022","FQ1 2022","Currency=USD","Period=FQ","BEST_FPERIOD_OVERRIDE=FQ","FILING_STATUS=MR","SCALING_FORMAT=MLN","Sort=A","Dates=H","DateFormat=P","Fill=—","Direction=H","UseDPDF=Y")</f>
        <v>586</v>
      </c>
      <c r="Q14" s="19">
        <f>_xll.BDH("GILD US Equity","ARDR_FV_LIAB_REC_TOTAL","FQ2 2022","FQ2 2022","Currency=USD","Period=FQ","BEST_FPERIOD_OVERRIDE=FQ","FILING_STATUS=MR","SCALING_FORMAT=MLN","Sort=A","Dates=H","DateFormat=P","Fill=—","Direction=H","UseDPDF=Y")</f>
        <v>524</v>
      </c>
      <c r="R14" s="19">
        <f>_xll.BDH("GILD US Equity","ARDR_FV_LIAB_REC_TOTAL","FQ3 2022","FQ3 2022","Currency=USD","Period=FQ","BEST_FPERIOD_OVERRIDE=FQ","FILING_STATUS=MR","SCALING_FORMAT=MLN","Sort=A","Dates=H","DateFormat=P","Fill=—","Direction=H","UseDPDF=Y")</f>
        <v>459</v>
      </c>
      <c r="S14" s="19">
        <f>_xll.BDH("GILD US Equity","ARDR_FV_LIAB_REC_TOTAL","FQ4 2022","FQ4 2022","Currency=USD","Period=FQ","BEST_FPERIOD_OVERRIDE=FQ","FILING_STATUS=MR","SCALING_FORMAT=MLN","Sort=A","Dates=H","DateFormat=P","Fill=—","Direction=H","UseDPDF=Y")</f>
        <v>537</v>
      </c>
      <c r="T14" s="19">
        <f>_xll.BDH("GILD US Equity","ARDR_FV_LIAB_REC_TOTAL","FQ1 2023","FQ1 2023","Currency=USD","Period=FQ","BEST_FPERIOD_OVERRIDE=FQ","FILING_STATUS=MR","SCALING_FORMAT=MLN","Sort=A","Dates=H","DateFormat=P","Fill=—","Direction=H","UseDPDF=Y")</f>
        <v>575</v>
      </c>
      <c r="U14" s="19">
        <f>_xll.BDH("GILD US Equity","ARDR_FV_LIAB_REC_TOTAL","FQ2 2023","FQ2 2023","Currency=USD","Period=FQ","BEST_FPERIOD_OVERRIDE=FQ","FILING_STATUS=MR","SCALING_FORMAT=MLN","Sort=A","Dates=H","DateFormat=P","Fill=—","Direction=H","UseDPDF=Y")</f>
        <v>591</v>
      </c>
      <c r="V14" s="19">
        <f>_xll.BDH("GILD US Equity","ARDR_FV_LIAB_REC_TOTAL","FQ3 2023","FQ3 2023","Currency=USD","Period=FQ","BEST_FPERIOD_OVERRIDE=FQ","FILING_STATUS=MR","SCALING_FORMAT=MLN","Sort=A","Dates=H","DateFormat=P","Fill=—","Direction=H","UseDPDF=Y")</f>
        <v>541</v>
      </c>
      <c r="W14" s="19">
        <f>_xll.BDH("GILD US Equity","ARDR_FV_LIAB_REC_TOTAL","FQ4 2023","FQ4 2023","Currency=USD","Period=FQ","BEST_FPERIOD_OVERRIDE=FQ","FILING_STATUS=MR","SCALING_FORMAT=MLN","Sort=A","Dates=H","DateFormat=P","Fill=—","Direction=H","UseDPDF=Y")</f>
        <v>570</v>
      </c>
      <c r="X14" s="19">
        <f>_xll.BDH("GILD US Equity","ARDR_FV_LIAB_REC_TOTAL","FQ1 2024","FQ1 2024","Currency=USD","Period=FQ","BEST_FPERIOD_OVERRIDE=FQ","FILING_STATUS=MR","SCALING_FORMAT=MLN","Sort=A","Dates=H","DateFormat=P","Fill=—","Direction=H","UseDPDF=Y")</f>
        <v>550</v>
      </c>
      <c r="Y14" s="19">
        <f>_xll.BDH("GILD US Equity","ARDR_FV_LIAB_REC_TOTAL","FQ2 2024","FQ2 2024","Currency=USD","Period=FQ","BEST_FPERIOD_OVERRIDE=FQ","FILING_STATUS=MR","SCALING_FORMAT=MLN","Sort=A","Dates=H","DateFormat=P","Fill=—","Direction=H","UseDPDF=Y")</f>
        <v>538</v>
      </c>
      <c r="Z14" s="19">
        <f>_xll.BDH("GILD US Equity","ARDR_FV_LIAB_REC_TOTAL","FQ3 2024","FQ3 2024","Currency=USD","Period=FQ","BEST_FPERIOD_OVERRIDE=FQ","FILING_STATUS=MR","SCALING_FORMAT=MLN","Sort=A","Dates=H","DateFormat=P","Fill=—","Direction=H","UseDPDF=Y")</f>
        <v>614</v>
      </c>
      <c r="AA14" s="19">
        <f>_xll.BDH("GILD US Equity","ARDR_FV_LIAB_REC_TOTAL","FQ4 2024","FQ4 2024","Currency=USD","Period=FQ","BEST_FPERIOD_OVERRIDE=FQ","FILING_STATUS=MR","SCALING_FORMAT=MLN","Sort=A","Dates=H","DateFormat=P","Fill=—","Direction=H","UseDPDF=Y")</f>
        <v>552</v>
      </c>
    </row>
    <row r="15" spans="1:27" x14ac:dyDescent="0.25">
      <c r="A15" s="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x14ac:dyDescent="0.25">
      <c r="A16" s="10" t="s">
        <v>1297</v>
      </c>
      <c r="B16" s="10" t="s">
        <v>1298</v>
      </c>
      <c r="C16" s="14">
        <f>_xll.BDH("GILD US Equity","LEVEL_1_ASSETS_TO_TOTAL_EQUITY","FQ4 2018","FQ4 2018","Currency=USD","Period=FQ","BEST_FPERIOD_OVERRIDE=FQ","FILING_STATUS=MR","Sort=A","Dates=H","DateFormat=P","Fill=—","Direction=H","UseDPDF=Y")</f>
        <v>47.733800000000002</v>
      </c>
      <c r="D16" s="14">
        <f>_xll.BDH("GILD US Equity","LEVEL_1_ASSETS_TO_TOTAL_EQUITY","FQ1 2019","FQ1 2019","Currency=USD","Period=FQ","BEST_FPERIOD_OVERRIDE=FQ","FILING_STATUS=MR","Sort=A","Dates=H","DateFormat=P","Fill=—","Direction=H","UseDPDF=Y")</f>
        <v>44.402700000000003</v>
      </c>
      <c r="E16" s="14">
        <f>_xll.BDH("GILD US Equity","LEVEL_1_ASSETS_TO_TOTAL_EQUITY","FQ2 2019","FQ2 2019","Currency=USD","Period=FQ","BEST_FPERIOD_OVERRIDE=FQ","FILING_STATUS=MR","Sort=A","Dates=H","DateFormat=P","Fill=—","Direction=H","UseDPDF=Y")</f>
        <v>36.266500000000001</v>
      </c>
      <c r="F16" s="14">
        <f>_xll.BDH("GILD US Equity","LEVEL_1_ASSETS_TO_TOTAL_EQUITY","FQ3 2019","FQ3 2019","Currency=USD","Period=FQ","BEST_FPERIOD_OVERRIDE=FQ","FILING_STATUS=MR","Sort=A","Dates=H","DateFormat=P","Fill=—","Direction=H","UseDPDF=Y")</f>
        <v>43.3401</v>
      </c>
      <c r="G16" s="14">
        <f>_xll.BDH("GILD US Equity","LEVEL_1_ASSETS_TO_TOTAL_EQUITY","FQ4 2019","FQ4 2019","Currency=USD","Period=FQ","BEST_FPERIOD_OVERRIDE=FQ","FILING_STATUS=MR","Sort=A","Dates=H","DateFormat=P","Fill=—","Direction=H","UseDPDF=Y")</f>
        <v>59.478999999999999</v>
      </c>
      <c r="H16" s="14">
        <f>_xll.BDH("GILD US Equity","LEVEL_1_ASSETS_TO_TOTAL_EQUITY","FQ1 2020","FQ1 2020","Currency=USD","Period=FQ","BEST_FPERIOD_OVERRIDE=FQ","FILING_STATUS=MR","Sort=A","Dates=H","DateFormat=P","Fill=—","Direction=H","UseDPDF=Y")</f>
        <v>61.075800000000001</v>
      </c>
      <c r="I16" s="14">
        <f>_xll.BDH("GILD US Equity","LEVEL_1_ASSETS_TO_TOTAL_EQUITY","FQ2 2020","FQ2 2020","Currency=USD","Period=FQ","BEST_FPERIOD_OVERRIDE=FQ","FILING_STATUS=MR","Sort=A","Dates=H","DateFormat=P","Fill=—","Direction=H","UseDPDF=Y")</f>
        <v>60.026499999999999</v>
      </c>
      <c r="J16" s="14">
        <f>_xll.BDH("GILD US Equity","LEVEL_1_ASSETS_TO_TOTAL_EQUITY","FQ3 2020","FQ3 2020","Currency=USD","Period=FQ","BEST_FPERIOD_OVERRIDE=FQ","FILING_STATUS=MR","Sort=A","Dates=H","DateFormat=P","Fill=—","Direction=H","UseDPDF=Y")</f>
        <v>96.434100000000001</v>
      </c>
      <c r="K16" s="14">
        <f>_xll.BDH("GILD US Equity","LEVEL_1_ASSETS_TO_TOTAL_EQUITY","FQ4 2020","FQ4 2020","Currency=USD","Period=FQ","BEST_FPERIOD_OVERRIDE=FQ","FILING_STATUS=MR","Sort=A","Dates=H","DateFormat=P","Fill=—","Direction=H","UseDPDF=Y")</f>
        <v>39.948399999999999</v>
      </c>
      <c r="L16" s="14">
        <f>_xll.BDH("GILD US Equity","LEVEL_1_ASSETS_TO_TOTAL_EQUITY","FQ1 2021","FQ1 2021","Currency=USD","Period=FQ","BEST_FPERIOD_OVERRIDE=FQ","FILING_STATUS=MR","Sort=A","Dates=H","DateFormat=P","Fill=—","Direction=H","UseDPDF=Y")</f>
        <v>27.3413</v>
      </c>
      <c r="M16" s="14">
        <f>_xll.BDH("GILD US Equity","LEVEL_1_ASSETS_TO_TOTAL_EQUITY","FQ2 2021","FQ2 2021","Currency=USD","Period=FQ","BEST_FPERIOD_OVERRIDE=FQ","FILING_STATUS=MR","Sort=A","Dates=H","DateFormat=P","Fill=—","Direction=H","UseDPDF=Y")</f>
        <v>29.9696</v>
      </c>
      <c r="N16" s="14">
        <f>_xll.BDH("GILD US Equity","LEVEL_1_ASSETS_TO_TOTAL_EQUITY","FQ3 2021","FQ3 2021","Currency=USD","Period=FQ","BEST_FPERIOD_OVERRIDE=FQ","FILING_STATUS=MR","Sort=A","Dates=H","DateFormat=P","Fill=—","Direction=H","UseDPDF=Y")</f>
        <v>23.911300000000001</v>
      </c>
      <c r="O16" s="14">
        <f>_xll.BDH("GILD US Equity","LEVEL_1_ASSETS_TO_TOTAL_EQUITY","FQ4 2021","FQ4 2021","Currency=USD","Period=FQ","BEST_FPERIOD_OVERRIDE=FQ","FILING_STATUS=MR","Sort=A","Dates=H","DateFormat=P","Fill=—","Direction=H","UseDPDF=Y")</f>
        <v>29.1967</v>
      </c>
      <c r="P16" s="14">
        <f>_xll.BDH("GILD US Equity","LEVEL_1_ASSETS_TO_TOTAL_EQUITY","FQ1 2022","FQ1 2022","Currency=USD","Period=FQ","BEST_FPERIOD_OVERRIDE=FQ","FILING_STATUS=MR","Sort=A","Dates=H","DateFormat=P","Fill=—","Direction=H","UseDPDF=Y")</f>
        <v>24.172699999999999</v>
      </c>
      <c r="Q16" s="14">
        <f>_xll.BDH("GILD US Equity","LEVEL_1_ASSETS_TO_TOTAL_EQUITY","FQ2 2022","FQ2 2022","Currency=USD","Period=FQ","BEST_FPERIOD_OVERRIDE=FQ","FILING_STATUS=MR","Sort=A","Dates=H","DateFormat=P","Fill=—","Direction=H","UseDPDF=Y")</f>
        <v>25.416799999999999</v>
      </c>
      <c r="R16" s="14">
        <f>_xll.BDH("GILD US Equity","LEVEL_1_ASSETS_TO_TOTAL_EQUITY","FQ3 2022","FQ3 2022","Currency=USD","Period=FQ","BEST_FPERIOD_OVERRIDE=FQ","FILING_STATUS=MR","Sort=A","Dates=H","DateFormat=P","Fill=—","Direction=H","UseDPDF=Y")</f>
        <v>24.894300000000001</v>
      </c>
      <c r="S16" s="14">
        <f>_xll.BDH("GILD US Equity","LEVEL_1_ASSETS_TO_TOTAL_EQUITY","FQ4 2022","FQ4 2022","Currency=USD","Period=FQ","BEST_FPERIOD_OVERRIDE=FQ","FILING_STATUS=MR","Sort=A","Dates=H","DateFormat=P","Fill=—","Direction=H","UseDPDF=Y")</f>
        <v>26.677399999999999</v>
      </c>
      <c r="T16" s="14">
        <f>_xll.BDH("GILD US Equity","LEVEL_1_ASSETS_TO_TOTAL_EQUITY","FQ1 2023","FQ1 2023","Currency=USD","Period=FQ","BEST_FPERIOD_OVERRIDE=FQ","FILING_STATUS=MR","Sort=A","Dates=H","DateFormat=P","Fill=—","Direction=H","UseDPDF=Y")</f>
        <v>23.377400000000002</v>
      </c>
      <c r="U16" s="14">
        <f>_xll.BDH("GILD US Equity","LEVEL_1_ASSETS_TO_TOTAL_EQUITY","FQ2 2023","FQ2 2023","Currency=USD","Period=FQ","BEST_FPERIOD_OVERRIDE=FQ","FILING_STATUS=MR","Sort=A","Dates=H","DateFormat=P","Fill=—","Direction=H","UseDPDF=Y")</f>
        <v>28.9419</v>
      </c>
      <c r="V16" s="14">
        <f>_xll.BDH("GILD US Equity","LEVEL_1_ASSETS_TO_TOTAL_EQUITY","FQ3 2023","FQ3 2023","Currency=USD","Period=FQ","BEST_FPERIOD_OVERRIDE=FQ","FILING_STATUS=MR","Sort=A","Dates=H","DateFormat=P","Fill=—","Direction=H","UseDPDF=Y")</f>
        <v>27.069199999999999</v>
      </c>
      <c r="W16" s="14">
        <f>_xll.BDH("GILD US Equity","LEVEL_1_ASSETS_TO_TOTAL_EQUITY","FQ4 2023","FQ4 2023","Currency=USD","Period=FQ","BEST_FPERIOD_OVERRIDE=FQ","FILING_STATUS=MR","Sort=A","Dates=H","DateFormat=P","Fill=—","Direction=H","UseDPDF=Y")</f>
        <v>29.157299999999999</v>
      </c>
      <c r="X16" s="14">
        <f>_xll.BDH("GILD US Equity","LEVEL_1_ASSETS_TO_TOTAL_EQUITY","FQ1 2024","FQ1 2024","Currency=USD","Period=FQ","BEST_FPERIOD_OVERRIDE=FQ","FILING_STATUS=MR","Sort=A","Dates=H","DateFormat=P","Fill=—","Direction=H","UseDPDF=Y")</f>
        <v>21.059899999999999</v>
      </c>
      <c r="Y16" s="14">
        <f>_xll.BDH("GILD US Equity","LEVEL_1_ASSETS_TO_TOTAL_EQUITY","FQ2 2024","FQ2 2024","Currency=USD","Period=FQ","BEST_FPERIOD_OVERRIDE=FQ","FILING_STATUS=MR","Sort=A","Dates=H","DateFormat=P","Fill=—","Direction=H","UseDPDF=Y")</f>
        <v>18.0304</v>
      </c>
      <c r="Z16" s="14">
        <f>_xll.BDH("GILD US Equity","LEVEL_1_ASSETS_TO_TOTAL_EQUITY","FQ3 2024","FQ3 2024","Currency=USD","Period=FQ","BEST_FPERIOD_OVERRIDE=FQ","FILING_STATUS=MR","Sort=A","Dates=H","DateFormat=P","Fill=—","Direction=H","UseDPDF=Y")</f>
        <v>29.9619</v>
      </c>
      <c r="AA16" s="14">
        <f>_xll.BDH("GILD US Equity","LEVEL_1_ASSETS_TO_TOTAL_EQUITY","FQ4 2024","FQ4 2024","Currency=USD","Period=FQ","BEST_FPERIOD_OVERRIDE=FQ","FILING_STATUS=MR","Sort=A","Dates=H","DateFormat=P","Fill=—","Direction=H","UseDPDF=Y")</f>
        <v>54.063200000000002</v>
      </c>
    </row>
    <row r="17" spans="1:27" x14ac:dyDescent="0.25">
      <c r="A17" s="10" t="s">
        <v>1299</v>
      </c>
      <c r="B17" s="10" t="s">
        <v>1300</v>
      </c>
      <c r="C17" s="14">
        <f>_xll.BDH("GILD US Equity","LEVEL_2_ASSETS_TO_TOTAL_EQUITY","FQ4 2018","FQ4 2018","Currency=USD","Period=FQ","BEST_FPERIOD_OVERRIDE=FQ","FILING_STATUS=MR","Sort=A","Dates=H","DateFormat=P","Fill=—","Direction=H","UseDPDF=Y")</f>
        <v>94.144099999999995</v>
      </c>
      <c r="D17" s="14">
        <f>_xll.BDH("GILD US Equity","LEVEL_2_ASSETS_TO_TOTAL_EQUITY","FQ1 2019","FQ1 2019","Currency=USD","Period=FQ","BEST_FPERIOD_OVERRIDE=FQ","FILING_STATUS=MR","Sort=A","Dates=H","DateFormat=P","Fill=—","Direction=H","UseDPDF=Y")</f>
        <v>89.756</v>
      </c>
      <c r="E17" s="14">
        <f>_xll.BDH("GILD US Equity","LEVEL_2_ASSETS_TO_TOTAL_EQUITY","FQ2 2019","FQ2 2019","Currency=USD","Period=FQ","BEST_FPERIOD_OVERRIDE=FQ","FILING_STATUS=MR","Sort=A","Dates=H","DateFormat=P","Fill=—","Direction=H","UseDPDF=Y")</f>
        <v>93.213499999999996</v>
      </c>
      <c r="F17" s="14">
        <f>_xll.BDH("GILD US Equity","LEVEL_2_ASSETS_TO_TOTAL_EQUITY","FQ3 2019","FQ3 2019","Currency=USD","Period=FQ","BEST_FPERIOD_OVERRIDE=FQ","FILING_STATUS=MR","Sort=A","Dates=H","DateFormat=P","Fill=—","Direction=H","UseDPDF=Y")</f>
        <v>78.520399999999995</v>
      </c>
      <c r="G17" s="14">
        <f>_xll.BDH("GILD US Equity","LEVEL_2_ASSETS_TO_TOTAL_EQUITY","FQ4 2019","FQ4 2019","Currency=USD","Period=FQ","BEST_FPERIOD_OVERRIDE=FQ","FILING_STATUS=MR","Sort=A","Dates=H","DateFormat=P","Fill=—","Direction=H","UseDPDF=Y")</f>
        <v>62.269300000000001</v>
      </c>
      <c r="H17" s="14">
        <f>_xll.BDH("GILD US Equity","LEVEL_2_ASSETS_TO_TOTAL_EQUITY","FQ1 2020","FQ1 2020","Currency=USD","Period=FQ","BEST_FPERIOD_OVERRIDE=FQ","FILING_STATUS=MR","Sort=A","Dates=H","DateFormat=P","Fill=—","Direction=H","UseDPDF=Y")</f>
        <v>58.271299999999997</v>
      </c>
      <c r="I17" s="14">
        <f>_xll.BDH("GILD US Equity","LEVEL_2_ASSETS_TO_TOTAL_EQUITY","FQ2 2020","FQ2 2020","Currency=USD","Period=FQ","BEST_FPERIOD_OVERRIDE=FQ","FILING_STATUS=MR","Sort=A","Dates=H","DateFormat=P","Fill=—","Direction=H","UseDPDF=Y")</f>
        <v>68.669399999999996</v>
      </c>
      <c r="J17" s="14">
        <f>_xll.BDH("GILD US Equity","LEVEL_2_ASSETS_TO_TOTAL_EQUITY","FQ3 2020","FQ3 2020","Currency=USD","Period=FQ","BEST_FPERIOD_OVERRIDE=FQ","FILING_STATUS=MR","Sort=A","Dates=H","DateFormat=P","Fill=—","Direction=H","UseDPDF=Y")</f>
        <v>63.917299999999997</v>
      </c>
      <c r="K17" s="14">
        <f>_xll.BDH("GILD US Equity","LEVEL_2_ASSETS_TO_TOTAL_EQUITY","FQ4 2020","FQ4 2020","Currency=USD","Period=FQ","BEST_FPERIOD_OVERRIDE=FQ","FILING_STATUS=MR","Sort=A","Dates=H","DateFormat=P","Fill=—","Direction=H","UseDPDF=Y")</f>
        <v>9.4891000000000005</v>
      </c>
      <c r="L17" s="14">
        <f>_xll.BDH("GILD US Equity","LEVEL_2_ASSETS_TO_TOTAL_EQUITY","FQ1 2021","FQ1 2021","Currency=USD","Period=FQ","BEST_FPERIOD_OVERRIDE=FQ","FILING_STATUS=MR","Sort=A","Dates=H","DateFormat=P","Fill=—","Direction=H","UseDPDF=Y")</f>
        <v>10.7889</v>
      </c>
      <c r="M17" s="14">
        <f>_xll.BDH("GILD US Equity","LEVEL_2_ASSETS_TO_TOTAL_EQUITY","FQ2 2021","FQ2 2021","Currency=USD","Period=FQ","BEST_FPERIOD_OVERRIDE=FQ","FILING_STATUS=MR","Sort=A","Dates=H","DateFormat=P","Fill=—","Direction=H","UseDPDF=Y")</f>
        <v>10.847300000000001</v>
      </c>
      <c r="N17" s="14">
        <f>_xll.BDH("GILD US Equity","LEVEL_2_ASSETS_TO_TOTAL_EQUITY","FQ3 2021","FQ3 2021","Currency=USD","Period=FQ","BEST_FPERIOD_OVERRIDE=FQ","FILING_STATUS=MR","Sort=A","Dates=H","DateFormat=P","Fill=—","Direction=H","UseDPDF=Y")</f>
        <v>10.171900000000001</v>
      </c>
      <c r="O17" s="14">
        <f>_xll.BDH("GILD US Equity","LEVEL_2_ASSETS_TO_TOTAL_EQUITY","FQ4 2021","FQ4 2021","Currency=USD","Period=FQ","BEST_FPERIOD_OVERRIDE=FQ","FILING_STATUS=MR","Sort=A","Dates=H","DateFormat=P","Fill=—","Direction=H","UseDPDF=Y")</f>
        <v>10.3019</v>
      </c>
      <c r="P17" s="14">
        <f>_xll.BDH("GILD US Equity","LEVEL_2_ASSETS_TO_TOTAL_EQUITY","FQ1 2022","FQ1 2022","Currency=USD","Period=FQ","BEST_FPERIOD_OVERRIDE=FQ","FILING_STATUS=MR","Sort=A","Dates=H","DateFormat=P","Fill=—","Direction=H","UseDPDF=Y")</f>
        <v>10.6503</v>
      </c>
      <c r="Q17" s="14">
        <f>_xll.BDH("GILD US Equity","LEVEL_2_ASSETS_TO_TOTAL_EQUITY","FQ2 2022","FQ2 2022","Currency=USD","Period=FQ","BEST_FPERIOD_OVERRIDE=FQ","FILING_STATUS=MR","Sort=A","Dates=H","DateFormat=P","Fill=—","Direction=H","UseDPDF=Y")</f>
        <v>9.8887</v>
      </c>
      <c r="R17" s="14">
        <f>_xll.BDH("GILD US Equity","LEVEL_2_ASSETS_TO_TOTAL_EQUITY","FQ3 2022","FQ3 2022","Currency=USD","Period=FQ","BEST_FPERIOD_OVERRIDE=FQ","FILING_STATUS=MR","Sort=A","Dates=H","DateFormat=P","Fill=—","Direction=H","UseDPDF=Y")</f>
        <v>9.8922000000000008</v>
      </c>
      <c r="S17" s="14">
        <f>_xll.BDH("GILD US Equity","LEVEL_2_ASSETS_TO_TOTAL_EQUITY","FQ4 2022","FQ4 2022","Currency=USD","Period=FQ","BEST_FPERIOD_OVERRIDE=FQ","FILING_STATUS=MR","Sort=A","Dates=H","DateFormat=P","Fill=—","Direction=H","UseDPDF=Y")</f>
        <v>9.1611999999999991</v>
      </c>
      <c r="T17" s="14">
        <f>_xll.BDH("GILD US Equity","LEVEL_2_ASSETS_TO_TOTAL_EQUITY","FQ1 2023","FQ1 2023","Currency=USD","Period=FQ","BEST_FPERIOD_OVERRIDE=FQ","FILING_STATUS=MR","Sort=A","Dates=H","DateFormat=P","Fill=—","Direction=H","UseDPDF=Y")</f>
        <v>9.6183999999999994</v>
      </c>
      <c r="U17" s="14">
        <f>_xll.BDH("GILD US Equity","LEVEL_2_ASSETS_TO_TOTAL_EQUITY","FQ2 2023","FQ2 2023","Currency=USD","Period=FQ","BEST_FPERIOD_OVERRIDE=FQ","FILING_STATUS=MR","Sort=A","Dates=H","DateFormat=P","Fill=—","Direction=H","UseDPDF=Y")</f>
        <v>9.4291999999999998</v>
      </c>
      <c r="V17" s="14">
        <f>_xll.BDH("GILD US Equity","LEVEL_2_ASSETS_TO_TOTAL_EQUITY","FQ3 2023","FQ3 2023","Currency=USD","Period=FQ","BEST_FPERIOD_OVERRIDE=FQ","FILING_STATUS=MR","Sort=A","Dates=H","DateFormat=P","Fill=—","Direction=H","UseDPDF=Y")</f>
        <v>9.0860000000000003</v>
      </c>
      <c r="W17" s="14">
        <f>_xll.BDH("GILD US Equity","LEVEL_2_ASSETS_TO_TOTAL_EQUITY","FQ4 2023","FQ4 2023","Currency=USD","Period=FQ","BEST_FPERIOD_OVERRIDE=FQ","FILING_STATUS=MR","Sort=A","Dates=H","DateFormat=P","Fill=—","Direction=H","UseDPDF=Y")</f>
        <v>8.8224</v>
      </c>
      <c r="X17" s="14">
        <f>_xll.BDH("GILD US Equity","LEVEL_2_ASSETS_TO_TOTAL_EQUITY","FQ1 2024","FQ1 2024","Currency=USD","Period=FQ","BEST_FPERIOD_OVERRIDE=FQ","FILING_STATUS=MR","Sort=A","Dates=H","DateFormat=P","Fill=—","Direction=H","UseDPDF=Y")</f>
        <v>0.22339999999999999</v>
      </c>
      <c r="Y17" s="14">
        <f>_xll.BDH("GILD US Equity","LEVEL_2_ASSETS_TO_TOTAL_EQUITY","FQ2 2024","FQ2 2024","Currency=USD","Period=FQ","BEST_FPERIOD_OVERRIDE=FQ","FILING_STATUS=MR","Sort=A","Dates=H","DateFormat=P","Fill=—","Direction=H","UseDPDF=Y")</f>
        <v>0.32969999999999999</v>
      </c>
      <c r="Z17" s="14">
        <f>_xll.BDH("GILD US Equity","LEVEL_2_ASSETS_TO_TOTAL_EQUITY","FQ3 2024","FQ3 2024","Currency=USD","Period=FQ","BEST_FPERIOD_OVERRIDE=FQ","FILING_STATUS=MR","Sort=A","Dates=H","DateFormat=P","Fill=—","Direction=H","UseDPDF=Y")</f>
        <v>3.8100000000000002E-2</v>
      </c>
      <c r="AA17" s="14">
        <f>_xll.BDH("GILD US Equity","LEVEL_2_ASSETS_TO_TOTAL_EQUITY","FQ4 2024","FQ4 2024","Currency=USD","Period=FQ","BEST_FPERIOD_OVERRIDE=FQ","FILING_STATUS=MR","Sort=A","Dates=H","DateFormat=P","Fill=—","Direction=H","UseDPDF=Y")</f>
        <v>0.66510000000000002</v>
      </c>
    </row>
    <row r="18" spans="1:27" x14ac:dyDescent="0.25">
      <c r="A18" s="10" t="s">
        <v>1301</v>
      </c>
      <c r="B18" s="10" t="s">
        <v>1302</v>
      </c>
      <c r="C18" s="14">
        <f>_xll.BDH("GILD US Equity","LEVEL_3_ASSETS_TO_TOTAL_EQUITY","FQ4 2018","FQ4 2018","Currency=USD","Period=FQ","BEST_FPERIOD_OVERRIDE=FQ","FILING_STATUS=MR","Sort=A","Dates=H","DateFormat=P","Fill=—","Direction=H","UseDPDF=Y")</f>
        <v>0</v>
      </c>
      <c r="D18" s="14">
        <f>_xll.BDH("GILD US Equity","LEVEL_3_ASSETS_TO_TOTAL_EQUITY","FQ1 2019","FQ1 2019","Currency=USD","Period=FQ","BEST_FPERIOD_OVERRIDE=FQ","FILING_STATUS=MR","Sort=A","Dates=H","DateFormat=P","Fill=—","Direction=H","UseDPDF=Y")</f>
        <v>0</v>
      </c>
      <c r="E18" s="14">
        <f>_xll.BDH("GILD US Equity","LEVEL_3_ASSETS_TO_TOTAL_EQUITY","FQ2 2019","FQ2 2019","Currency=USD","Period=FQ","BEST_FPERIOD_OVERRIDE=FQ","FILING_STATUS=MR","Sort=A","Dates=H","DateFormat=P","Fill=—","Direction=H","UseDPDF=Y")</f>
        <v>0</v>
      </c>
      <c r="F18" s="14">
        <f>_xll.BDH("GILD US Equity","LEVEL_3_ASSETS_TO_TOTAL_EQUITY","FQ3 2019","FQ3 2019","Currency=USD","Period=FQ","BEST_FPERIOD_OVERRIDE=FQ","FILING_STATUS=MR","Sort=A","Dates=H","DateFormat=P","Fill=—","Direction=H","UseDPDF=Y")</f>
        <v>0</v>
      </c>
      <c r="G18" s="14">
        <f>_xll.BDH("GILD US Equity","LEVEL_3_ASSETS_TO_TOTAL_EQUITY","FQ4 2019","FQ4 2019","Currency=USD","Period=FQ","BEST_FPERIOD_OVERRIDE=FQ","FILING_STATUS=MR","Sort=A","Dates=H","DateFormat=P","Fill=—","Direction=H","UseDPDF=Y")</f>
        <v>0</v>
      </c>
      <c r="H18" s="14">
        <f>_xll.BDH("GILD US Equity","LEVEL_3_ASSETS_TO_TOTAL_EQUITY","FQ1 2020","FQ1 2020","Currency=USD","Period=FQ","BEST_FPERIOD_OVERRIDE=FQ","FILING_STATUS=MR","Sort=A","Dates=H","DateFormat=P","Fill=—","Direction=H","UseDPDF=Y")</f>
        <v>0</v>
      </c>
      <c r="I18" s="14">
        <f>_xll.BDH("GILD US Equity","LEVEL_3_ASSETS_TO_TOTAL_EQUITY","FQ2 2020","FQ2 2020","Currency=USD","Period=FQ","BEST_FPERIOD_OVERRIDE=FQ","FILING_STATUS=MR","Sort=A","Dates=H","DateFormat=P","Fill=—","Direction=H","UseDPDF=Y")</f>
        <v>0</v>
      </c>
      <c r="J18" s="14">
        <f>_xll.BDH("GILD US Equity","LEVEL_3_ASSETS_TO_TOTAL_EQUITY","FQ3 2020","FQ3 2020","Currency=USD","Period=FQ","BEST_FPERIOD_OVERRIDE=FQ","FILING_STATUS=MR","Sort=A","Dates=H","DateFormat=P","Fill=—","Direction=H","UseDPDF=Y")</f>
        <v>0</v>
      </c>
      <c r="K18" s="14">
        <f>_xll.BDH("GILD US Equity","LEVEL_3_ASSETS_TO_TOTAL_EQUITY","FQ4 2020","FQ4 2020","Currency=USD","Period=FQ","BEST_FPERIOD_OVERRIDE=FQ","FILING_STATUS=MR","Sort=A","Dates=H","DateFormat=P","Fill=—","Direction=H","UseDPDF=Y")</f>
        <v>0</v>
      </c>
      <c r="L18" s="14">
        <f>_xll.BDH("GILD US Equity","LEVEL_3_ASSETS_TO_TOTAL_EQUITY","FQ1 2021","FQ1 2021","Currency=USD","Period=FQ","BEST_FPERIOD_OVERRIDE=FQ","FILING_STATUS=MR","Sort=A","Dates=H","DateFormat=P","Fill=—","Direction=H","UseDPDF=Y")</f>
        <v>0</v>
      </c>
      <c r="M18" s="14">
        <f>_xll.BDH("GILD US Equity","LEVEL_3_ASSETS_TO_TOTAL_EQUITY","FQ2 2021","FQ2 2021","Currency=USD","Period=FQ","BEST_FPERIOD_OVERRIDE=FQ","FILING_STATUS=MR","Sort=A","Dates=H","DateFormat=P","Fill=—","Direction=H","UseDPDF=Y")</f>
        <v>0</v>
      </c>
      <c r="N18" s="14">
        <f>_xll.BDH("GILD US Equity","LEVEL_3_ASSETS_TO_TOTAL_EQUITY","FQ3 2021","FQ3 2021","Currency=USD","Period=FQ","BEST_FPERIOD_OVERRIDE=FQ","FILING_STATUS=MR","Sort=A","Dates=H","DateFormat=P","Fill=—","Direction=H","UseDPDF=Y")</f>
        <v>0</v>
      </c>
      <c r="O18" s="14">
        <f>_xll.BDH("GILD US Equity","LEVEL_3_ASSETS_TO_TOTAL_EQUITY","FQ4 2021","FQ4 2021","Currency=USD","Period=FQ","BEST_FPERIOD_OVERRIDE=FQ","FILING_STATUS=MR","Sort=A","Dates=H","DateFormat=P","Fill=—","Direction=H","UseDPDF=Y")</f>
        <v>0</v>
      </c>
      <c r="P18" s="14">
        <f>_xll.BDH("GILD US Equity","LEVEL_3_ASSETS_TO_TOTAL_EQUITY","FQ1 2022","FQ1 2022","Currency=USD","Period=FQ","BEST_FPERIOD_OVERRIDE=FQ","FILING_STATUS=MR","Sort=A","Dates=H","DateFormat=P","Fill=—","Direction=H","UseDPDF=Y")</f>
        <v>0</v>
      </c>
      <c r="Q18" s="14">
        <f>_xll.BDH("GILD US Equity","LEVEL_3_ASSETS_TO_TOTAL_EQUITY","FQ2 2022","FQ2 2022","Currency=USD","Period=FQ","BEST_FPERIOD_OVERRIDE=FQ","FILING_STATUS=MR","Sort=A","Dates=H","DateFormat=P","Fill=—","Direction=H","UseDPDF=Y")</f>
        <v>0</v>
      </c>
      <c r="R18" s="14">
        <f>_xll.BDH("GILD US Equity","LEVEL_3_ASSETS_TO_TOTAL_EQUITY","FQ3 2022","FQ3 2022","Currency=USD","Period=FQ","BEST_FPERIOD_OVERRIDE=FQ","FILING_STATUS=MR","Sort=A","Dates=H","DateFormat=P","Fill=—","Direction=H","UseDPDF=Y")</f>
        <v>0</v>
      </c>
      <c r="S18" s="14">
        <f>_xll.BDH("GILD US Equity","LEVEL_3_ASSETS_TO_TOTAL_EQUITY","FQ4 2022","FQ4 2022","Currency=USD","Period=FQ","BEST_FPERIOD_OVERRIDE=FQ","FILING_STATUS=MR","Sort=A","Dates=H","DateFormat=P","Fill=—","Direction=H","UseDPDF=Y")</f>
        <v>0</v>
      </c>
      <c r="T18" s="14">
        <f>_xll.BDH("GILD US Equity","LEVEL_3_ASSETS_TO_TOTAL_EQUITY","FQ1 2023","FQ1 2023","Currency=USD","Period=FQ","BEST_FPERIOD_OVERRIDE=FQ","FILING_STATUS=MR","Sort=A","Dates=H","DateFormat=P","Fill=—","Direction=H","UseDPDF=Y")</f>
        <v>0</v>
      </c>
      <c r="U18" s="14">
        <f>_xll.BDH("GILD US Equity","LEVEL_3_ASSETS_TO_TOTAL_EQUITY","FQ2 2023","FQ2 2023","Currency=USD","Period=FQ","BEST_FPERIOD_OVERRIDE=FQ","FILING_STATUS=MR","Sort=A","Dates=H","DateFormat=P","Fill=—","Direction=H","UseDPDF=Y")</f>
        <v>0</v>
      </c>
      <c r="V18" s="14">
        <f>_xll.BDH("GILD US Equity","LEVEL_3_ASSETS_TO_TOTAL_EQUITY","FQ3 2023","FQ3 2023","Currency=USD","Period=FQ","BEST_FPERIOD_OVERRIDE=FQ","FILING_STATUS=MR","Sort=A","Dates=H","DateFormat=P","Fill=—","Direction=H","UseDPDF=Y")</f>
        <v>0</v>
      </c>
      <c r="W18" s="14">
        <f>_xll.BDH("GILD US Equity","LEVEL_3_ASSETS_TO_TOTAL_EQUITY","FQ4 2023","FQ4 2023","Currency=USD","Period=FQ","BEST_FPERIOD_OVERRIDE=FQ","FILING_STATUS=MR","Sort=A","Dates=H","DateFormat=P","Fill=—","Direction=H","UseDPDF=Y")</f>
        <v>0</v>
      </c>
      <c r="X18" s="14">
        <f>_xll.BDH("GILD US Equity","LEVEL_3_ASSETS_TO_TOTAL_EQUITY","FQ1 2024","FQ1 2024","Currency=USD","Period=FQ","BEST_FPERIOD_OVERRIDE=FQ","FILING_STATUS=MR","Sort=A","Dates=H","DateFormat=P","Fill=—","Direction=H","UseDPDF=Y")</f>
        <v>0</v>
      </c>
      <c r="Y18" s="14">
        <f>_xll.BDH("GILD US Equity","LEVEL_3_ASSETS_TO_TOTAL_EQUITY","FQ2 2024","FQ2 2024","Currency=USD","Period=FQ","BEST_FPERIOD_OVERRIDE=FQ","FILING_STATUS=MR","Sort=A","Dates=H","DateFormat=P","Fill=—","Direction=H","UseDPDF=Y")</f>
        <v>0</v>
      </c>
      <c r="Z18" s="14">
        <f>_xll.BDH("GILD US Equity","LEVEL_3_ASSETS_TO_TOTAL_EQUITY","FQ3 2024","FQ3 2024","Currency=USD","Period=FQ","BEST_FPERIOD_OVERRIDE=FQ","FILING_STATUS=MR","Sort=A","Dates=H","DateFormat=P","Fill=—","Direction=H","UseDPDF=Y")</f>
        <v>0</v>
      </c>
      <c r="AA18" s="14">
        <f>_xll.BDH("GILD US Equity","LEVEL_3_ASSETS_TO_TOTAL_EQUITY","FQ4 2024","FQ4 2024","Currency=USD","Period=FQ","BEST_FPERIOD_OVERRIDE=FQ","FILING_STATUS=MR","Sort=A","Dates=H","DateFormat=P","Fill=—","Direction=H","UseDPDF=Y")</f>
        <v>0</v>
      </c>
    </row>
    <row r="19" spans="1:27" x14ac:dyDescent="0.25">
      <c r="A19" s="6" t="s">
        <v>1303</v>
      </c>
      <c r="B19" s="6" t="s">
        <v>1304</v>
      </c>
      <c r="C19" s="20">
        <f>_xll.BDH("GILD US Equity","TOT_FAIR_VAL_ASSETS_TO_TOT_EQTY","FQ4 2018","FQ4 2018","Currency=USD","Period=FQ","BEST_FPERIOD_OVERRIDE=FQ","FILING_STATUS=MR","Sort=A","Dates=H","DateFormat=P","Fill=—","Direction=H","UseDPDF=Y")</f>
        <v>141.87799999999999</v>
      </c>
      <c r="D19" s="20">
        <f>_xll.BDH("GILD US Equity","TOT_FAIR_VAL_ASSETS_TO_TOT_EQTY","FQ1 2019","FQ1 2019","Currency=USD","Period=FQ","BEST_FPERIOD_OVERRIDE=FQ","FILING_STATUS=MR","Sort=A","Dates=H","DateFormat=P","Fill=—","Direction=H","UseDPDF=Y")</f>
        <v>134.15870000000001</v>
      </c>
      <c r="E19" s="20">
        <f>_xll.BDH("GILD US Equity","TOT_FAIR_VAL_ASSETS_TO_TOT_EQTY","FQ2 2019","FQ2 2019","Currency=USD","Period=FQ","BEST_FPERIOD_OVERRIDE=FQ","FILING_STATUS=MR","Sort=A","Dates=H","DateFormat=P","Fill=—","Direction=H","UseDPDF=Y")</f>
        <v>129.47999999999999</v>
      </c>
      <c r="F19" s="20">
        <f>_xll.BDH("GILD US Equity","TOT_FAIR_VAL_ASSETS_TO_TOT_EQTY","FQ3 2019","FQ3 2019","Currency=USD","Period=FQ","BEST_FPERIOD_OVERRIDE=FQ","FILING_STATUS=MR","Sort=A","Dates=H","DateFormat=P","Fill=—","Direction=H","UseDPDF=Y")</f>
        <v>121.8605</v>
      </c>
      <c r="G19" s="20">
        <f>_xll.BDH("GILD US Equity","TOT_FAIR_VAL_ASSETS_TO_TOT_EQTY","FQ4 2019","FQ4 2019","Currency=USD","Period=FQ","BEST_FPERIOD_OVERRIDE=FQ","FILING_STATUS=MR","Sort=A","Dates=H","DateFormat=P","Fill=—","Direction=H","UseDPDF=Y")</f>
        <v>121.7483</v>
      </c>
      <c r="H19" s="20">
        <f>_xll.BDH("GILD US Equity","TOT_FAIR_VAL_ASSETS_TO_TOT_EQTY","FQ1 2020","FQ1 2020","Currency=USD","Period=FQ","BEST_FPERIOD_OVERRIDE=FQ","FILING_STATUS=MR","Sort=A","Dates=H","DateFormat=P","Fill=—","Direction=H","UseDPDF=Y")</f>
        <v>119.3471</v>
      </c>
      <c r="I19" s="20">
        <f>_xll.BDH("GILD US Equity","TOT_FAIR_VAL_ASSETS_TO_TOT_EQTY","FQ2 2020","FQ2 2020","Currency=USD","Period=FQ","BEST_FPERIOD_OVERRIDE=FQ","FILING_STATUS=MR","Sort=A","Dates=H","DateFormat=P","Fill=—","Direction=H","UseDPDF=Y")</f>
        <v>128.69579999999999</v>
      </c>
      <c r="J19" s="20">
        <f>_xll.BDH("GILD US Equity","TOT_FAIR_VAL_ASSETS_TO_TOT_EQTY","FQ3 2020","FQ3 2020","Currency=USD","Period=FQ","BEST_FPERIOD_OVERRIDE=FQ","FILING_STATUS=MR","Sort=A","Dates=H","DateFormat=P","Fill=—","Direction=H","UseDPDF=Y")</f>
        <v>160.35140000000001</v>
      </c>
      <c r="K19" s="20">
        <f>_xll.BDH("GILD US Equity","TOT_FAIR_VAL_ASSETS_TO_TOT_EQTY","FQ4 2020","FQ4 2020","Currency=USD","Period=FQ","BEST_FPERIOD_OVERRIDE=FQ","FILING_STATUS=MR","Sort=A","Dates=H","DateFormat=P","Fill=—","Direction=H","UseDPDF=Y")</f>
        <v>49.4375</v>
      </c>
      <c r="L19" s="20">
        <f>_xll.BDH("GILD US Equity","TOT_FAIR_VAL_ASSETS_TO_TOT_EQTY","FQ1 2021","FQ1 2021","Currency=USD","Period=FQ","BEST_FPERIOD_OVERRIDE=FQ","FILING_STATUS=MR","Sort=A","Dates=H","DateFormat=P","Fill=—","Direction=H","UseDPDF=Y")</f>
        <v>38.130099999999999</v>
      </c>
      <c r="M19" s="20">
        <f>_xll.BDH("GILD US Equity","TOT_FAIR_VAL_ASSETS_TO_TOT_EQTY","FQ2 2021","FQ2 2021","Currency=USD","Period=FQ","BEST_FPERIOD_OVERRIDE=FQ","FILING_STATUS=MR","Sort=A","Dates=H","DateFormat=P","Fill=—","Direction=H","UseDPDF=Y")</f>
        <v>40.816800000000001</v>
      </c>
      <c r="N19" s="20">
        <f>_xll.BDH("GILD US Equity","TOT_FAIR_VAL_ASSETS_TO_TOT_EQTY","FQ3 2021","FQ3 2021","Currency=USD","Period=FQ","BEST_FPERIOD_OVERRIDE=FQ","FILING_STATUS=MR","Sort=A","Dates=H","DateFormat=P","Fill=—","Direction=H","UseDPDF=Y")</f>
        <v>34.083199999999998</v>
      </c>
      <c r="O19" s="20">
        <f>_xll.BDH("GILD US Equity","TOT_FAIR_VAL_ASSETS_TO_TOT_EQTY","FQ4 2021","FQ4 2021","Currency=USD","Period=FQ","BEST_FPERIOD_OVERRIDE=FQ","FILING_STATUS=MR","Sort=A","Dates=H","DateFormat=P","Fill=—","Direction=H","UseDPDF=Y")</f>
        <v>39.498699999999999</v>
      </c>
      <c r="P19" s="20">
        <f>_xll.BDH("GILD US Equity","TOT_FAIR_VAL_ASSETS_TO_TOT_EQTY","FQ1 2022","FQ1 2022","Currency=USD","Period=FQ","BEST_FPERIOD_OVERRIDE=FQ","FILING_STATUS=MR","Sort=A","Dates=H","DateFormat=P","Fill=—","Direction=H","UseDPDF=Y")</f>
        <v>34.823</v>
      </c>
      <c r="Q19" s="20">
        <f>_xll.BDH("GILD US Equity","TOT_FAIR_VAL_ASSETS_TO_TOT_EQTY","FQ2 2022","FQ2 2022","Currency=USD","Period=FQ","BEST_FPERIOD_OVERRIDE=FQ","FILING_STATUS=MR","Sort=A","Dates=H","DateFormat=P","Fill=—","Direction=H","UseDPDF=Y")</f>
        <v>35.305500000000002</v>
      </c>
      <c r="R19" s="20">
        <f>_xll.BDH("GILD US Equity","TOT_FAIR_VAL_ASSETS_TO_TOT_EQTY","FQ3 2022","FQ3 2022","Currency=USD","Period=FQ","BEST_FPERIOD_OVERRIDE=FQ","FILING_STATUS=MR","Sort=A","Dates=H","DateFormat=P","Fill=—","Direction=H","UseDPDF=Y")</f>
        <v>34.786499999999997</v>
      </c>
      <c r="S19" s="20">
        <f>_xll.BDH("GILD US Equity","TOT_FAIR_VAL_ASSETS_TO_TOT_EQTY","FQ4 2022","FQ4 2022","Currency=USD","Period=FQ","BEST_FPERIOD_OVERRIDE=FQ","FILING_STATUS=MR","Sort=A","Dates=H","DateFormat=P","Fill=—","Direction=H","UseDPDF=Y")</f>
        <v>35.8386</v>
      </c>
      <c r="T19" s="20">
        <f>_xll.BDH("GILD US Equity","TOT_FAIR_VAL_ASSETS_TO_TOT_EQTY","FQ1 2023","FQ1 2023","Currency=USD","Period=FQ","BEST_FPERIOD_OVERRIDE=FQ","FILING_STATUS=MR","Sort=A","Dates=H","DateFormat=P","Fill=—","Direction=H","UseDPDF=Y")</f>
        <v>32.995800000000003</v>
      </c>
      <c r="U19" s="20">
        <f>_xll.BDH("GILD US Equity","TOT_FAIR_VAL_ASSETS_TO_TOT_EQTY","FQ2 2023","FQ2 2023","Currency=USD","Period=FQ","BEST_FPERIOD_OVERRIDE=FQ","FILING_STATUS=MR","Sort=A","Dates=H","DateFormat=P","Fill=—","Direction=H","UseDPDF=Y")</f>
        <v>38.371099999999998</v>
      </c>
      <c r="V19" s="20">
        <f>_xll.BDH("GILD US Equity","TOT_FAIR_VAL_ASSETS_TO_TOT_EQTY","FQ3 2023","FQ3 2023","Currency=USD","Period=FQ","BEST_FPERIOD_OVERRIDE=FQ","FILING_STATUS=MR","Sort=A","Dates=H","DateFormat=P","Fill=—","Direction=H","UseDPDF=Y")</f>
        <v>36.155200000000001</v>
      </c>
      <c r="W19" s="20">
        <f>_xll.BDH("GILD US Equity","TOT_FAIR_VAL_ASSETS_TO_TOT_EQTY","FQ4 2023","FQ4 2023","Currency=USD","Period=FQ","BEST_FPERIOD_OVERRIDE=FQ","FILING_STATUS=MR","Sort=A","Dates=H","DateFormat=P","Fill=—","Direction=H","UseDPDF=Y")</f>
        <v>37.979700000000001</v>
      </c>
      <c r="X19" s="20">
        <f>_xll.BDH("GILD US Equity","TOT_FAIR_VAL_ASSETS_TO_TOT_EQTY","FQ1 2024","FQ1 2024","Currency=USD","Period=FQ","BEST_FPERIOD_OVERRIDE=FQ","FILING_STATUS=MR","Sort=A","Dates=H","DateFormat=P","Fill=—","Direction=H","UseDPDF=Y")</f>
        <v>21.283300000000001</v>
      </c>
      <c r="Y19" s="20">
        <f>_xll.BDH("GILD US Equity","TOT_FAIR_VAL_ASSETS_TO_TOT_EQTY","FQ2 2024","FQ2 2024","Currency=USD","Period=FQ","BEST_FPERIOD_OVERRIDE=FQ","FILING_STATUS=MR","Sort=A","Dates=H","DateFormat=P","Fill=—","Direction=H","UseDPDF=Y")</f>
        <v>18.360199999999999</v>
      </c>
      <c r="Z19" s="20">
        <f>_xll.BDH("GILD US Equity","TOT_FAIR_VAL_ASSETS_TO_TOT_EQTY","FQ3 2024","FQ3 2024","Currency=USD","Period=FQ","BEST_FPERIOD_OVERRIDE=FQ","FILING_STATUS=MR","Sort=A","Dates=H","DateFormat=P","Fill=—","Direction=H","UseDPDF=Y")</f>
        <v>30</v>
      </c>
      <c r="AA19" s="20">
        <f>_xll.BDH("GILD US Equity","TOT_FAIR_VAL_ASSETS_TO_TOT_EQTY","FQ4 2024","FQ4 2024","Currency=USD","Period=FQ","BEST_FPERIOD_OVERRIDE=FQ","FILING_STATUS=MR","Sort=A","Dates=H","DateFormat=P","Fill=—","Direction=H","UseDPDF=Y")</f>
        <v>54.728299999999997</v>
      </c>
    </row>
    <row r="20" spans="1:27" x14ac:dyDescent="0.25">
      <c r="A20" s="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10" t="s">
        <v>1305</v>
      </c>
      <c r="B21" s="10" t="s">
        <v>1306</v>
      </c>
      <c r="C21" s="14">
        <f>_xll.BDH("GILD US Equity","LEVEL_1_ASSETS_TO_TOTAL_ASSETS","FQ4 2018","FQ4 2018","Currency=USD","Period=FQ","BEST_FPERIOD_OVERRIDE=FQ","FILING_STATUS=MR","Sort=A","Dates=H","DateFormat=P","Fill=—","Direction=H","UseDPDF=Y")</f>
        <v>16.142900000000001</v>
      </c>
      <c r="D21" s="14">
        <f>_xll.BDH("GILD US Equity","LEVEL_1_ASSETS_TO_TOTAL_ASSETS","FQ1 2019","FQ1 2019","Currency=USD","Period=FQ","BEST_FPERIOD_OVERRIDE=FQ","FILING_STATUS=MR","Sort=A","Dates=H","DateFormat=P","Fill=—","Direction=H","UseDPDF=Y")</f>
        <v>15.610200000000001</v>
      </c>
      <c r="E21" s="14">
        <f>_xll.BDH("GILD US Equity","LEVEL_1_ASSETS_TO_TOTAL_ASSETS","FQ2 2019","FQ2 2019","Currency=USD","Period=FQ","BEST_FPERIOD_OVERRIDE=FQ","FILING_STATUS=MR","Sort=A","Dates=H","DateFormat=P","Fill=—","Direction=H","UseDPDF=Y")</f>
        <v>13.0533</v>
      </c>
      <c r="F21" s="14">
        <f>_xll.BDH("GILD US Equity","LEVEL_1_ASSETS_TO_TOTAL_ASSETS","FQ3 2019","FQ3 2019","Currency=USD","Period=FQ","BEST_FPERIOD_OVERRIDE=FQ","FILING_STATUS=MR","Sort=A","Dates=H","DateFormat=P","Fill=—","Direction=H","UseDPDF=Y")</f>
        <v>15.194599999999999</v>
      </c>
      <c r="G21" s="14">
        <f>_xll.BDH("GILD US Equity","LEVEL_1_ASSETS_TO_TOTAL_ASSETS","FQ4 2019","FQ4 2019","Currency=USD","Period=FQ","BEST_FPERIOD_OVERRIDE=FQ","FILING_STATUS=MR","Sort=A","Dates=H","DateFormat=P","Fill=—","Direction=H","UseDPDF=Y")</f>
        <v>21.860499999999998</v>
      </c>
      <c r="H21" s="14">
        <f>_xll.BDH("GILD US Equity","LEVEL_1_ASSETS_TO_TOTAL_ASSETS","FQ1 2020","FQ1 2020","Currency=USD","Period=FQ","BEST_FPERIOD_OVERRIDE=FQ","FILING_STATUS=MR","Sort=A","Dates=H","DateFormat=P","Fill=—","Direction=H","UseDPDF=Y")</f>
        <v>22.674499999999998</v>
      </c>
      <c r="I21" s="14">
        <f>_xll.BDH("GILD US Equity","LEVEL_1_ASSETS_TO_TOTAL_ASSETS","FQ2 2020","FQ2 2020","Currency=USD","Period=FQ","BEST_FPERIOD_OVERRIDE=FQ","FILING_STATUS=MR","Sort=A","Dates=H","DateFormat=P","Fill=—","Direction=H","UseDPDF=Y")</f>
        <v>19.4694</v>
      </c>
      <c r="J21" s="14">
        <f>_xll.BDH("GILD US Equity","LEVEL_1_ASSETS_TO_TOTAL_ASSETS","FQ3 2020","FQ3 2020","Currency=USD","Period=FQ","BEST_FPERIOD_OVERRIDE=FQ","FILING_STATUS=MR","Sort=A","Dates=H","DateFormat=P","Fill=—","Direction=H","UseDPDF=Y")</f>
        <v>27.675000000000001</v>
      </c>
      <c r="K21" s="14">
        <f>_xll.BDH("GILD US Equity","LEVEL_1_ASSETS_TO_TOTAL_ASSETS","FQ4 2020","FQ4 2020","Currency=USD","Period=FQ","BEST_FPERIOD_OVERRIDE=FQ","FILING_STATUS=MR","Sort=A","Dates=H","DateFormat=P","Fill=—","Direction=H","UseDPDF=Y")</f>
        <v>10.640700000000001</v>
      </c>
      <c r="L21" s="14">
        <f>_xll.BDH("GILD US Equity","LEVEL_1_ASSETS_TO_TOTAL_ASSETS","FQ1 2021","FQ1 2021","Currency=USD","Period=FQ","BEST_FPERIOD_OVERRIDE=FQ","FILING_STATUS=MR","Sort=A","Dates=H","DateFormat=P","Fill=—","Direction=H","UseDPDF=Y")</f>
        <v>7.6824000000000003</v>
      </c>
      <c r="M21" s="14">
        <f>_xll.BDH("GILD US Equity","LEVEL_1_ASSETS_TO_TOTAL_ASSETS","FQ2 2021","FQ2 2021","Currency=USD","Period=FQ","BEST_FPERIOD_OVERRIDE=FQ","FILING_STATUS=MR","Sort=A","Dates=H","DateFormat=P","Fill=—","Direction=H","UseDPDF=Y")</f>
        <v>8.6888000000000005</v>
      </c>
      <c r="N21" s="14">
        <f>_xll.BDH("GILD US Equity","LEVEL_1_ASSETS_TO_TOTAL_ASSETS","FQ3 2021","FQ3 2021","Currency=USD","Period=FQ","BEST_FPERIOD_OVERRIDE=FQ","FILING_STATUS=MR","Sort=A","Dates=H","DateFormat=P","Fill=—","Direction=H","UseDPDF=Y")</f>
        <v>7.6515000000000004</v>
      </c>
      <c r="O21" s="14">
        <f>_xll.BDH("GILD US Equity","LEVEL_1_ASSETS_TO_TOTAL_ASSETS","FQ4 2021","FQ4 2021","Currency=USD","Period=FQ","BEST_FPERIOD_OVERRIDE=FQ","FILING_STATUS=MR","Sort=A","Dates=H","DateFormat=P","Fill=—","Direction=H","UseDPDF=Y")</f>
        <v>9.0504999999999995</v>
      </c>
      <c r="P21" s="14">
        <f>_xll.BDH("GILD US Equity","LEVEL_1_ASSETS_TO_TOTAL_ASSETS","FQ1 2022","FQ1 2022","Currency=USD","Period=FQ","BEST_FPERIOD_OVERRIDE=FQ","FILING_STATUS=MR","Sort=A","Dates=H","DateFormat=P","Fill=—","Direction=H","UseDPDF=Y")</f>
        <v>7.6315999999999997</v>
      </c>
      <c r="Q21" s="14">
        <f>_xll.BDH("GILD US Equity","LEVEL_1_ASSETS_TO_TOTAL_ASSETS","FQ2 2022","FQ2 2022","Currency=USD","Period=FQ","BEST_FPERIOD_OVERRIDE=FQ","FILING_STATUS=MR","Sort=A","Dates=H","DateFormat=P","Fill=—","Direction=H","UseDPDF=Y")</f>
        <v>8.1723999999999997</v>
      </c>
      <c r="R21" s="14">
        <f>_xll.BDH("GILD US Equity","LEVEL_1_ASSETS_TO_TOTAL_ASSETS","FQ3 2022","FQ3 2022","Currency=USD","Period=FQ","BEST_FPERIOD_OVERRIDE=FQ","FILING_STATUS=MR","Sort=A","Dates=H","DateFormat=P","Fill=—","Direction=H","UseDPDF=Y")</f>
        <v>8.3795999999999999</v>
      </c>
      <c r="S21" s="14">
        <f>_xll.BDH("GILD US Equity","LEVEL_1_ASSETS_TO_TOTAL_ASSETS","FQ4 2022","FQ4 2022","Currency=USD","Period=FQ","BEST_FPERIOD_OVERRIDE=FQ","FILING_STATUS=MR","Sort=A","Dates=H","DateFormat=P","Fill=—","Direction=H","UseDPDF=Y")</f>
        <v>8.9565999999999999</v>
      </c>
      <c r="T21" s="14">
        <f>_xll.BDH("GILD US Equity","LEVEL_1_ASSETS_TO_TOTAL_ASSETS","FQ1 2023","FQ1 2023","Currency=USD","Period=FQ","BEST_FPERIOD_OVERRIDE=FQ","FILING_STATUS=MR","Sort=A","Dates=H","DateFormat=P","Fill=—","Direction=H","UseDPDF=Y")</f>
        <v>7.9109999999999996</v>
      </c>
      <c r="U21" s="14">
        <f>_xll.BDH("GILD US Equity","LEVEL_1_ASSETS_TO_TOTAL_ASSETS","FQ2 2023","FQ2 2023","Currency=USD","Period=FQ","BEST_FPERIOD_OVERRIDE=FQ","FILING_STATUS=MR","Sort=A","Dates=H","DateFormat=P","Fill=—","Direction=H","UseDPDF=Y")</f>
        <v>9.7934999999999999</v>
      </c>
      <c r="V21" s="14">
        <f>_xll.BDH("GILD US Equity","LEVEL_1_ASSETS_TO_TOTAL_ASSETS","FQ3 2023","FQ3 2023","Currency=USD","Period=FQ","BEST_FPERIOD_OVERRIDE=FQ","FILING_STATUS=MR","Sort=A","Dates=H","DateFormat=P","Fill=—","Direction=H","UseDPDF=Y")</f>
        <v>9.6532</v>
      </c>
      <c r="W21" s="14">
        <f>_xll.BDH("GILD US Equity","LEVEL_1_ASSETS_TO_TOTAL_ASSETS","FQ4 2023","FQ4 2023","Currency=USD","Period=FQ","BEST_FPERIOD_OVERRIDE=FQ","FILING_STATUS=MR","Sort=A","Dates=H","DateFormat=P","Fill=—","Direction=H","UseDPDF=Y")</f>
        <v>10.6769</v>
      </c>
      <c r="X21" s="14">
        <f>_xll.BDH("GILD US Equity","LEVEL_1_ASSETS_TO_TOTAL_ASSETS","FQ1 2024","FQ1 2024","Currency=USD","Period=FQ","BEST_FPERIOD_OVERRIDE=FQ","FILING_STATUS=MR","Sort=A","Dates=H","DateFormat=P","Fill=—","Direction=H","UseDPDF=Y")</f>
        <v>6.5301999999999998</v>
      </c>
      <c r="Y21" s="14">
        <f>_xll.BDH("GILD US Equity","LEVEL_1_ASSETS_TO_TOTAL_ASSETS","FQ2 2024","FQ2 2024","Currency=USD","Period=FQ","BEST_FPERIOD_OVERRIDE=FQ","FILING_STATUS=MR","Sort=A","Dates=H","DateFormat=P","Fill=—","Direction=H","UseDPDF=Y")</f>
        <v>6.1237000000000004</v>
      </c>
      <c r="Z21" s="14">
        <f>_xll.BDH("GILD US Equity","LEVEL_1_ASSETS_TO_TOTAL_ASSETS","FQ3 2024","FQ3 2024","Currency=USD","Period=FQ","BEST_FPERIOD_OVERRIDE=FQ","FILING_STATUS=MR","Sort=A","Dates=H","DateFormat=P","Fill=—","Direction=H","UseDPDF=Y")</f>
        <v>10.105499999999999</v>
      </c>
      <c r="AA21" s="14">
        <f>_xll.BDH("GILD US Equity","LEVEL_1_ASSETS_TO_TOTAL_ASSETS","FQ4 2024","FQ4 2024","Currency=USD","Period=FQ","BEST_FPERIOD_OVERRIDE=FQ","FILING_STATUS=MR","Sort=A","Dates=H","DateFormat=P","Fill=—","Direction=H","UseDPDF=Y")</f>
        <v>17.6371</v>
      </c>
    </row>
    <row r="22" spans="1:27" x14ac:dyDescent="0.25">
      <c r="A22" s="10" t="s">
        <v>1307</v>
      </c>
      <c r="B22" s="10" t="s">
        <v>1308</v>
      </c>
      <c r="C22" s="14">
        <f>_xll.BDH("GILD US Equity","LEVEL_2_ASSETS_TO_TOTAL_ASSETS","FQ4 2018","FQ4 2018","Currency=USD","Period=FQ","BEST_FPERIOD_OVERRIDE=FQ","FILING_STATUS=MR","Sort=A","Dates=H","DateFormat=P","Fill=—","Direction=H","UseDPDF=Y")</f>
        <v>31.838200000000001</v>
      </c>
      <c r="D22" s="14">
        <f>_xll.BDH("GILD US Equity","LEVEL_2_ASSETS_TO_TOTAL_ASSETS","FQ1 2019","FQ1 2019","Currency=USD","Period=FQ","BEST_FPERIOD_OVERRIDE=FQ","FILING_STATUS=MR","Sort=A","Dates=H","DateFormat=P","Fill=—","Direction=H","UseDPDF=Y")</f>
        <v>31.5547</v>
      </c>
      <c r="E22" s="14">
        <f>_xll.BDH("GILD US Equity","LEVEL_2_ASSETS_TO_TOTAL_ASSETS","FQ2 2019","FQ2 2019","Currency=USD","Period=FQ","BEST_FPERIOD_OVERRIDE=FQ","FILING_STATUS=MR","Sort=A","Dates=H","DateFormat=P","Fill=—","Direction=H","UseDPDF=Y")</f>
        <v>33.5501</v>
      </c>
      <c r="F22" s="14">
        <f>_xll.BDH("GILD US Equity","LEVEL_2_ASSETS_TO_TOTAL_ASSETS","FQ3 2019","FQ3 2019","Currency=USD","Period=FQ","BEST_FPERIOD_OVERRIDE=FQ","FILING_STATUS=MR","Sort=A","Dates=H","DateFormat=P","Fill=—","Direction=H","UseDPDF=Y")</f>
        <v>27.528500000000001</v>
      </c>
      <c r="G22" s="14">
        <f>_xll.BDH("GILD US Equity","LEVEL_2_ASSETS_TO_TOTAL_ASSETS","FQ4 2019","FQ4 2019","Currency=USD","Period=FQ","BEST_FPERIOD_OVERRIDE=FQ","FILING_STATUS=MR","Sort=A","Dates=H","DateFormat=P","Fill=—","Direction=H","UseDPDF=Y")</f>
        <v>22.886099999999999</v>
      </c>
      <c r="H22" s="14">
        <f>_xll.BDH("GILD US Equity","LEVEL_2_ASSETS_TO_TOTAL_ASSETS","FQ1 2020","FQ1 2020","Currency=USD","Period=FQ","BEST_FPERIOD_OVERRIDE=FQ","FILING_STATUS=MR","Sort=A","Dates=H","DateFormat=P","Fill=—","Direction=H","UseDPDF=Y")</f>
        <v>21.633400000000002</v>
      </c>
      <c r="I22" s="14">
        <f>_xll.BDH("GILD US Equity","LEVEL_2_ASSETS_TO_TOTAL_ASSETS","FQ2 2020","FQ2 2020","Currency=USD","Period=FQ","BEST_FPERIOD_OVERRIDE=FQ","FILING_STATUS=MR","Sort=A","Dates=H","DateFormat=P","Fill=—","Direction=H","UseDPDF=Y")</f>
        <v>22.2727</v>
      </c>
      <c r="J22" s="14">
        <f>_xll.BDH("GILD US Equity","LEVEL_2_ASSETS_TO_TOTAL_ASSETS","FQ3 2020","FQ3 2020","Currency=USD","Period=FQ","BEST_FPERIOD_OVERRIDE=FQ","FILING_STATUS=MR","Sort=A","Dates=H","DateFormat=P","Fill=—","Direction=H","UseDPDF=Y")</f>
        <v>18.3432</v>
      </c>
      <c r="K22" s="14">
        <f>_xll.BDH("GILD US Equity","LEVEL_2_ASSETS_TO_TOTAL_ASSETS","FQ4 2020","FQ4 2020","Currency=USD","Period=FQ","BEST_FPERIOD_OVERRIDE=FQ","FILING_STATUS=MR","Sort=A","Dates=H","DateFormat=P","Fill=—","Direction=H","UseDPDF=Y")</f>
        <v>2.5274999999999999</v>
      </c>
      <c r="L22" s="14">
        <f>_xll.BDH("GILD US Equity","LEVEL_2_ASSETS_TO_TOTAL_ASSETS","FQ1 2021","FQ1 2021","Currency=USD","Period=FQ","BEST_FPERIOD_OVERRIDE=FQ","FILING_STATUS=MR","Sort=A","Dates=H","DateFormat=P","Fill=—","Direction=H","UseDPDF=Y")</f>
        <v>3.0314999999999999</v>
      </c>
      <c r="M22" s="14">
        <f>_xll.BDH("GILD US Equity","LEVEL_2_ASSETS_TO_TOTAL_ASSETS","FQ2 2021","FQ2 2021","Currency=USD","Period=FQ","BEST_FPERIOD_OVERRIDE=FQ","FILING_STATUS=MR","Sort=A","Dates=H","DateFormat=P","Fill=—","Direction=H","UseDPDF=Y")</f>
        <v>3.1448999999999998</v>
      </c>
      <c r="N22" s="14">
        <f>_xll.BDH("GILD US Equity","LEVEL_2_ASSETS_TO_TOTAL_ASSETS","FQ3 2021","FQ3 2021","Currency=USD","Period=FQ","BEST_FPERIOD_OVERRIDE=FQ","FILING_STATUS=MR","Sort=A","Dates=H","DateFormat=P","Fill=—","Direction=H","UseDPDF=Y")</f>
        <v>3.2549000000000001</v>
      </c>
      <c r="O22" s="14">
        <f>_xll.BDH("GILD US Equity","LEVEL_2_ASSETS_TO_TOTAL_ASSETS","FQ4 2021","FQ4 2021","Currency=USD","Period=FQ","BEST_FPERIOD_OVERRIDE=FQ","FILING_STATUS=MR","Sort=A","Dates=H","DateFormat=P","Fill=—","Direction=H","UseDPDF=Y")</f>
        <v>3.1934</v>
      </c>
      <c r="P22" s="14">
        <f>_xll.BDH("GILD US Equity","LEVEL_2_ASSETS_TO_TOTAL_ASSETS","FQ1 2022","FQ1 2022","Currency=USD","Period=FQ","BEST_FPERIOD_OVERRIDE=FQ","FILING_STATUS=MR","Sort=A","Dates=H","DateFormat=P","Fill=—","Direction=H","UseDPDF=Y")</f>
        <v>3.3624000000000001</v>
      </c>
      <c r="Q22" s="14">
        <f>_xll.BDH("GILD US Equity","LEVEL_2_ASSETS_TO_TOTAL_ASSETS","FQ2 2022","FQ2 2022","Currency=USD","Period=FQ","BEST_FPERIOD_OVERRIDE=FQ","FILING_STATUS=MR","Sort=A","Dates=H","DateFormat=P","Fill=—","Direction=H","UseDPDF=Y")</f>
        <v>3.1796000000000002</v>
      </c>
      <c r="R22" s="14">
        <f>_xll.BDH("GILD US Equity","LEVEL_2_ASSETS_TO_TOTAL_ASSETS","FQ3 2022","FQ3 2022","Currency=USD","Period=FQ","BEST_FPERIOD_OVERRIDE=FQ","FILING_STATUS=MR","Sort=A","Dates=H","DateFormat=P","Fill=—","Direction=H","UseDPDF=Y")</f>
        <v>3.3298000000000001</v>
      </c>
      <c r="S22" s="14">
        <f>_xll.BDH("GILD US Equity","LEVEL_2_ASSETS_TO_TOTAL_ASSETS","FQ4 2022","FQ4 2022","Currency=USD","Period=FQ","BEST_FPERIOD_OVERRIDE=FQ","FILING_STATUS=MR","Sort=A","Dates=H","DateFormat=P","Fill=—","Direction=H","UseDPDF=Y")</f>
        <v>3.0758000000000001</v>
      </c>
      <c r="T22" s="14">
        <f>_xll.BDH("GILD US Equity","LEVEL_2_ASSETS_TO_TOTAL_ASSETS","FQ1 2023","FQ1 2023","Currency=USD","Period=FQ","BEST_FPERIOD_OVERRIDE=FQ","FILING_STATUS=MR","Sort=A","Dates=H","DateFormat=P","Fill=—","Direction=H","UseDPDF=Y")</f>
        <v>3.2549000000000001</v>
      </c>
      <c r="U22" s="14">
        <f>_xll.BDH("GILD US Equity","LEVEL_2_ASSETS_TO_TOTAL_ASSETS","FQ2 2023","FQ2 2023","Currency=USD","Period=FQ","BEST_FPERIOD_OVERRIDE=FQ","FILING_STATUS=MR","Sort=A","Dates=H","DateFormat=P","Fill=—","Direction=H","UseDPDF=Y")</f>
        <v>3.1907000000000001</v>
      </c>
      <c r="V22" s="14">
        <f>_xll.BDH("GILD US Equity","LEVEL_2_ASSETS_TO_TOTAL_ASSETS","FQ3 2023","FQ3 2023","Currency=USD","Period=FQ","BEST_FPERIOD_OVERRIDE=FQ","FILING_STATUS=MR","Sort=A","Dates=H","DateFormat=P","Fill=—","Direction=H","UseDPDF=Y")</f>
        <v>3.2402000000000002</v>
      </c>
      <c r="W22" s="14">
        <f>_xll.BDH("GILD US Equity","LEVEL_2_ASSETS_TO_TOTAL_ASSETS","FQ4 2023","FQ4 2023","Currency=USD","Period=FQ","BEST_FPERIOD_OVERRIDE=FQ","FILING_STATUS=MR","Sort=A","Dates=H","DateFormat=P","Fill=—","Direction=H","UseDPDF=Y")</f>
        <v>3.2305999999999999</v>
      </c>
      <c r="X22" s="14">
        <f>_xll.BDH("GILD US Equity","LEVEL_2_ASSETS_TO_TOTAL_ASSETS","FQ1 2024","FQ1 2024","Currency=USD","Period=FQ","BEST_FPERIOD_OVERRIDE=FQ","FILING_STATUS=MR","Sort=A","Dates=H","DateFormat=P","Fill=—","Direction=H","UseDPDF=Y")</f>
        <v>6.93E-2</v>
      </c>
      <c r="Y22" s="14">
        <f>_xll.BDH("GILD US Equity","LEVEL_2_ASSETS_TO_TOTAL_ASSETS","FQ2 2024","FQ2 2024","Currency=USD","Period=FQ","BEST_FPERIOD_OVERRIDE=FQ","FILING_STATUS=MR","Sort=A","Dates=H","DateFormat=P","Fill=—","Direction=H","UseDPDF=Y")</f>
        <v>0.112</v>
      </c>
      <c r="Z22" s="14">
        <f>_xll.BDH("GILD US Equity","LEVEL_2_ASSETS_TO_TOTAL_ASSETS","FQ3 2024","FQ3 2024","Currency=USD","Period=FQ","BEST_FPERIOD_OVERRIDE=FQ","FILING_STATUS=MR","Sort=A","Dates=H","DateFormat=P","Fill=—","Direction=H","UseDPDF=Y")</f>
        <v>1.2800000000000001E-2</v>
      </c>
      <c r="AA22" s="14">
        <f>_xll.BDH("GILD US Equity","LEVEL_2_ASSETS_TO_TOTAL_ASSETS","FQ4 2024","FQ4 2024","Currency=USD","Period=FQ","BEST_FPERIOD_OVERRIDE=FQ","FILING_STATUS=MR","Sort=A","Dates=H","DateFormat=P","Fill=—","Direction=H","UseDPDF=Y")</f>
        <v>0.217</v>
      </c>
    </row>
    <row r="23" spans="1:27" x14ac:dyDescent="0.25">
      <c r="A23" s="10" t="s">
        <v>1309</v>
      </c>
      <c r="B23" s="10" t="s">
        <v>1310</v>
      </c>
      <c r="C23" s="14">
        <f>_xll.BDH("GILD US Equity","LEVEL_3_ASSETS_TO_TOTAL_ASSETS","FQ4 2018","FQ4 2018","Currency=USD","Period=FQ","BEST_FPERIOD_OVERRIDE=FQ","FILING_STATUS=MR","Sort=A","Dates=H","DateFormat=P","Fill=—","Direction=H","UseDPDF=Y")</f>
        <v>0</v>
      </c>
      <c r="D23" s="14">
        <f>_xll.BDH("GILD US Equity","LEVEL_3_ASSETS_TO_TOTAL_ASSETS","FQ1 2019","FQ1 2019","Currency=USD","Period=FQ","BEST_FPERIOD_OVERRIDE=FQ","FILING_STATUS=MR","Sort=A","Dates=H","DateFormat=P","Fill=—","Direction=H","UseDPDF=Y")</f>
        <v>0</v>
      </c>
      <c r="E23" s="14">
        <f>_xll.BDH("GILD US Equity","LEVEL_3_ASSETS_TO_TOTAL_ASSETS","FQ2 2019","FQ2 2019","Currency=USD","Period=FQ","BEST_FPERIOD_OVERRIDE=FQ","FILING_STATUS=MR","Sort=A","Dates=H","DateFormat=P","Fill=—","Direction=H","UseDPDF=Y")</f>
        <v>0</v>
      </c>
      <c r="F23" s="14">
        <f>_xll.BDH("GILD US Equity","LEVEL_3_ASSETS_TO_TOTAL_ASSETS","FQ3 2019","FQ3 2019","Currency=USD","Period=FQ","BEST_FPERIOD_OVERRIDE=FQ","FILING_STATUS=MR","Sort=A","Dates=H","DateFormat=P","Fill=—","Direction=H","UseDPDF=Y")</f>
        <v>0</v>
      </c>
      <c r="G23" s="14">
        <f>_xll.BDH("GILD US Equity","LEVEL_3_ASSETS_TO_TOTAL_ASSETS","FQ4 2019","FQ4 2019","Currency=USD","Period=FQ","BEST_FPERIOD_OVERRIDE=FQ","FILING_STATUS=MR","Sort=A","Dates=H","DateFormat=P","Fill=—","Direction=H","UseDPDF=Y")</f>
        <v>0</v>
      </c>
      <c r="H23" s="14">
        <f>_xll.BDH("GILD US Equity","LEVEL_3_ASSETS_TO_TOTAL_ASSETS","FQ1 2020","FQ1 2020","Currency=USD","Period=FQ","BEST_FPERIOD_OVERRIDE=FQ","FILING_STATUS=MR","Sort=A","Dates=H","DateFormat=P","Fill=—","Direction=H","UseDPDF=Y")</f>
        <v>0</v>
      </c>
      <c r="I23" s="14">
        <f>_xll.BDH("GILD US Equity","LEVEL_3_ASSETS_TO_TOTAL_ASSETS","FQ2 2020","FQ2 2020","Currency=USD","Period=FQ","BEST_FPERIOD_OVERRIDE=FQ","FILING_STATUS=MR","Sort=A","Dates=H","DateFormat=P","Fill=—","Direction=H","UseDPDF=Y")</f>
        <v>0</v>
      </c>
      <c r="J23" s="14">
        <f>_xll.BDH("GILD US Equity","LEVEL_3_ASSETS_TO_TOTAL_ASSETS","FQ3 2020","FQ3 2020","Currency=USD","Period=FQ","BEST_FPERIOD_OVERRIDE=FQ","FILING_STATUS=MR","Sort=A","Dates=H","DateFormat=P","Fill=—","Direction=H","UseDPDF=Y")</f>
        <v>0</v>
      </c>
      <c r="K23" s="14">
        <f>_xll.BDH("GILD US Equity","LEVEL_3_ASSETS_TO_TOTAL_ASSETS","FQ4 2020","FQ4 2020","Currency=USD","Period=FQ","BEST_FPERIOD_OVERRIDE=FQ","FILING_STATUS=MR","Sort=A","Dates=H","DateFormat=P","Fill=—","Direction=H","UseDPDF=Y")</f>
        <v>0</v>
      </c>
      <c r="L23" s="14">
        <f>_xll.BDH("GILD US Equity","LEVEL_3_ASSETS_TO_TOTAL_ASSETS","FQ1 2021","FQ1 2021","Currency=USD","Period=FQ","BEST_FPERIOD_OVERRIDE=FQ","FILING_STATUS=MR","Sort=A","Dates=H","DateFormat=P","Fill=—","Direction=H","UseDPDF=Y")</f>
        <v>0</v>
      </c>
      <c r="M23" s="14">
        <f>_xll.BDH("GILD US Equity","LEVEL_3_ASSETS_TO_TOTAL_ASSETS","FQ2 2021","FQ2 2021","Currency=USD","Period=FQ","BEST_FPERIOD_OVERRIDE=FQ","FILING_STATUS=MR","Sort=A","Dates=H","DateFormat=P","Fill=—","Direction=H","UseDPDF=Y")</f>
        <v>0</v>
      </c>
      <c r="N23" s="14">
        <f>_xll.BDH("GILD US Equity","LEVEL_3_ASSETS_TO_TOTAL_ASSETS","FQ3 2021","FQ3 2021","Currency=USD","Period=FQ","BEST_FPERIOD_OVERRIDE=FQ","FILING_STATUS=MR","Sort=A","Dates=H","DateFormat=P","Fill=—","Direction=H","UseDPDF=Y")</f>
        <v>0</v>
      </c>
      <c r="O23" s="14">
        <f>_xll.BDH("GILD US Equity","LEVEL_3_ASSETS_TO_TOTAL_ASSETS","FQ4 2021","FQ4 2021","Currency=USD","Period=FQ","BEST_FPERIOD_OVERRIDE=FQ","FILING_STATUS=MR","Sort=A","Dates=H","DateFormat=P","Fill=—","Direction=H","UseDPDF=Y")</f>
        <v>0</v>
      </c>
      <c r="P23" s="14">
        <f>_xll.BDH("GILD US Equity","LEVEL_3_ASSETS_TO_TOTAL_ASSETS","FQ1 2022","FQ1 2022","Currency=USD","Period=FQ","BEST_FPERIOD_OVERRIDE=FQ","FILING_STATUS=MR","Sort=A","Dates=H","DateFormat=P","Fill=—","Direction=H","UseDPDF=Y")</f>
        <v>0</v>
      </c>
      <c r="Q23" s="14">
        <f>_xll.BDH("GILD US Equity","LEVEL_3_ASSETS_TO_TOTAL_ASSETS","FQ2 2022","FQ2 2022","Currency=USD","Period=FQ","BEST_FPERIOD_OVERRIDE=FQ","FILING_STATUS=MR","Sort=A","Dates=H","DateFormat=P","Fill=—","Direction=H","UseDPDF=Y")</f>
        <v>0</v>
      </c>
      <c r="R23" s="14">
        <f>_xll.BDH("GILD US Equity","LEVEL_3_ASSETS_TO_TOTAL_ASSETS","FQ3 2022","FQ3 2022","Currency=USD","Period=FQ","BEST_FPERIOD_OVERRIDE=FQ","FILING_STATUS=MR","Sort=A","Dates=H","DateFormat=P","Fill=—","Direction=H","UseDPDF=Y")</f>
        <v>0</v>
      </c>
      <c r="S23" s="14">
        <f>_xll.BDH("GILD US Equity","LEVEL_3_ASSETS_TO_TOTAL_ASSETS","FQ4 2022","FQ4 2022","Currency=USD","Period=FQ","BEST_FPERIOD_OVERRIDE=FQ","FILING_STATUS=MR","Sort=A","Dates=H","DateFormat=P","Fill=—","Direction=H","UseDPDF=Y")</f>
        <v>0</v>
      </c>
      <c r="T23" s="14">
        <f>_xll.BDH("GILD US Equity","LEVEL_3_ASSETS_TO_TOTAL_ASSETS","FQ1 2023","FQ1 2023","Currency=USD","Period=FQ","BEST_FPERIOD_OVERRIDE=FQ","FILING_STATUS=MR","Sort=A","Dates=H","DateFormat=P","Fill=—","Direction=H","UseDPDF=Y")</f>
        <v>0</v>
      </c>
      <c r="U23" s="14">
        <f>_xll.BDH("GILD US Equity","LEVEL_3_ASSETS_TO_TOTAL_ASSETS","FQ2 2023","FQ2 2023","Currency=USD","Period=FQ","BEST_FPERIOD_OVERRIDE=FQ","FILING_STATUS=MR","Sort=A","Dates=H","DateFormat=P","Fill=—","Direction=H","UseDPDF=Y")</f>
        <v>0</v>
      </c>
      <c r="V23" s="14">
        <f>_xll.BDH("GILD US Equity","LEVEL_3_ASSETS_TO_TOTAL_ASSETS","FQ3 2023","FQ3 2023","Currency=USD","Period=FQ","BEST_FPERIOD_OVERRIDE=FQ","FILING_STATUS=MR","Sort=A","Dates=H","DateFormat=P","Fill=—","Direction=H","UseDPDF=Y")</f>
        <v>0</v>
      </c>
      <c r="W23" s="14">
        <f>_xll.BDH("GILD US Equity","LEVEL_3_ASSETS_TO_TOTAL_ASSETS","FQ4 2023","FQ4 2023","Currency=USD","Period=FQ","BEST_FPERIOD_OVERRIDE=FQ","FILING_STATUS=MR","Sort=A","Dates=H","DateFormat=P","Fill=—","Direction=H","UseDPDF=Y")</f>
        <v>0</v>
      </c>
      <c r="X23" s="14">
        <f>_xll.BDH("GILD US Equity","LEVEL_3_ASSETS_TO_TOTAL_ASSETS","FQ1 2024","FQ1 2024","Currency=USD","Period=FQ","BEST_FPERIOD_OVERRIDE=FQ","FILING_STATUS=MR","Sort=A","Dates=H","DateFormat=P","Fill=—","Direction=H","UseDPDF=Y")</f>
        <v>0</v>
      </c>
      <c r="Y23" s="14">
        <f>_xll.BDH("GILD US Equity","LEVEL_3_ASSETS_TO_TOTAL_ASSETS","FQ2 2024","FQ2 2024","Currency=USD","Period=FQ","BEST_FPERIOD_OVERRIDE=FQ","FILING_STATUS=MR","Sort=A","Dates=H","DateFormat=P","Fill=—","Direction=H","UseDPDF=Y")</f>
        <v>0</v>
      </c>
      <c r="Z23" s="14">
        <f>_xll.BDH("GILD US Equity","LEVEL_3_ASSETS_TO_TOTAL_ASSETS","FQ3 2024","FQ3 2024","Currency=USD","Period=FQ","BEST_FPERIOD_OVERRIDE=FQ","FILING_STATUS=MR","Sort=A","Dates=H","DateFormat=P","Fill=—","Direction=H","UseDPDF=Y")</f>
        <v>0</v>
      </c>
      <c r="AA23" s="14">
        <f>_xll.BDH("GILD US Equity","LEVEL_3_ASSETS_TO_TOTAL_ASSETS","FQ4 2024","FQ4 2024","Currency=USD","Period=FQ","BEST_FPERIOD_OVERRIDE=FQ","FILING_STATUS=MR","Sort=A","Dates=H","DateFormat=P","Fill=—","Direction=H","UseDPDF=Y")</f>
        <v>0</v>
      </c>
    </row>
    <row r="24" spans="1:27" x14ac:dyDescent="0.25">
      <c r="A24" s="6" t="s">
        <v>1311</v>
      </c>
      <c r="B24" s="6" t="s">
        <v>1312</v>
      </c>
      <c r="C24" s="20">
        <f>_xll.BDH("GILD US Equity","TOT_FAIR_VAL_ASSET_TO_TOT_ASSETS","FQ4 2018","FQ4 2018","Currency=USD","Period=FQ","BEST_FPERIOD_OVERRIDE=FQ","FILING_STATUS=MR","Sort=A","Dates=H","DateFormat=P","Fill=—","Direction=H","UseDPDF=Y")</f>
        <v>47.981200000000001</v>
      </c>
      <c r="D24" s="20">
        <f>_xll.BDH("GILD US Equity","TOT_FAIR_VAL_ASSET_TO_TOT_ASSETS","FQ1 2019","FQ1 2019","Currency=USD","Period=FQ","BEST_FPERIOD_OVERRIDE=FQ","FILING_STATUS=MR","Sort=A","Dates=H","DateFormat=P","Fill=—","Direction=H","UseDPDF=Y")</f>
        <v>47.164900000000003</v>
      </c>
      <c r="E24" s="20">
        <f>_xll.BDH("GILD US Equity","TOT_FAIR_VAL_ASSET_TO_TOT_ASSETS","FQ2 2019","FQ2 2019","Currency=USD","Period=FQ","BEST_FPERIOD_OVERRIDE=FQ","FILING_STATUS=MR","Sort=A","Dates=H","DateFormat=P","Fill=—","Direction=H","UseDPDF=Y")</f>
        <v>46.603400000000001</v>
      </c>
      <c r="F24" s="20">
        <f>_xll.BDH("GILD US Equity","TOT_FAIR_VAL_ASSET_TO_TOT_ASSETS","FQ3 2019","FQ3 2019","Currency=USD","Period=FQ","BEST_FPERIOD_OVERRIDE=FQ","FILING_STATUS=MR","Sort=A","Dates=H","DateFormat=P","Fill=—","Direction=H","UseDPDF=Y")</f>
        <v>42.723100000000002</v>
      </c>
      <c r="G24" s="20">
        <f>_xll.BDH("GILD US Equity","TOT_FAIR_VAL_ASSET_TO_TOT_ASSETS","FQ4 2019","FQ4 2019","Currency=USD","Period=FQ","BEST_FPERIOD_OVERRIDE=FQ","FILING_STATUS=MR","Sort=A","Dates=H","DateFormat=P","Fill=—","Direction=H","UseDPDF=Y")</f>
        <v>44.746600000000001</v>
      </c>
      <c r="H24" s="20">
        <f>_xll.BDH("GILD US Equity","TOT_FAIR_VAL_ASSET_TO_TOT_ASSETS","FQ1 2020","FQ1 2020","Currency=USD","Period=FQ","BEST_FPERIOD_OVERRIDE=FQ","FILING_STATUS=MR","Sort=A","Dates=H","DateFormat=P","Fill=—","Direction=H","UseDPDF=Y")</f>
        <v>44.307899999999997</v>
      </c>
      <c r="I24" s="20">
        <f>_xll.BDH("GILD US Equity","TOT_FAIR_VAL_ASSET_TO_TOT_ASSETS","FQ2 2020","FQ2 2020","Currency=USD","Period=FQ","BEST_FPERIOD_OVERRIDE=FQ","FILING_STATUS=MR","Sort=A","Dates=H","DateFormat=P","Fill=—","Direction=H","UseDPDF=Y")</f>
        <v>41.742100000000001</v>
      </c>
      <c r="J24" s="20">
        <f>_xll.BDH("GILD US Equity","TOT_FAIR_VAL_ASSET_TO_TOT_ASSETS","FQ3 2020","FQ3 2020","Currency=USD","Period=FQ","BEST_FPERIOD_OVERRIDE=FQ","FILING_STATUS=MR","Sort=A","Dates=H","DateFormat=P","Fill=—","Direction=H","UseDPDF=Y")</f>
        <v>46.018300000000004</v>
      </c>
      <c r="K24" s="20">
        <f>_xll.BDH("GILD US Equity","TOT_FAIR_VAL_ASSET_TO_TOT_ASSETS","FQ4 2020","FQ4 2020","Currency=USD","Period=FQ","BEST_FPERIOD_OVERRIDE=FQ","FILING_STATUS=MR","Sort=A","Dates=H","DateFormat=P","Fill=—","Direction=H","UseDPDF=Y")</f>
        <v>13.168200000000001</v>
      </c>
      <c r="L24" s="20">
        <f>_xll.BDH("GILD US Equity","TOT_FAIR_VAL_ASSET_TO_TOT_ASSETS","FQ1 2021","FQ1 2021","Currency=USD","Period=FQ","BEST_FPERIOD_OVERRIDE=FQ","FILING_STATUS=MR","Sort=A","Dates=H","DateFormat=P","Fill=—","Direction=H","UseDPDF=Y")</f>
        <v>10.713900000000001</v>
      </c>
      <c r="M24" s="20">
        <f>_xll.BDH("GILD US Equity","TOT_FAIR_VAL_ASSET_TO_TOT_ASSETS","FQ2 2021","FQ2 2021","Currency=USD","Period=FQ","BEST_FPERIOD_OVERRIDE=FQ","FILING_STATUS=MR","Sort=A","Dates=H","DateFormat=P","Fill=—","Direction=H","UseDPDF=Y")</f>
        <v>11.8337</v>
      </c>
      <c r="N24" s="20">
        <f>_xll.BDH("GILD US Equity","TOT_FAIR_VAL_ASSET_TO_TOT_ASSETS","FQ3 2021","FQ3 2021","Currency=USD","Period=FQ","BEST_FPERIOD_OVERRIDE=FQ","FILING_STATUS=MR","Sort=A","Dates=H","DateFormat=P","Fill=—","Direction=H","UseDPDF=Y")</f>
        <v>10.9064</v>
      </c>
      <c r="O24" s="20">
        <f>_xll.BDH("GILD US Equity","TOT_FAIR_VAL_ASSET_TO_TOT_ASSETS","FQ4 2021","FQ4 2021","Currency=USD","Period=FQ","BEST_FPERIOD_OVERRIDE=FQ","FILING_STATUS=MR","Sort=A","Dates=H","DateFormat=P","Fill=—","Direction=H","UseDPDF=Y")</f>
        <v>12.2439</v>
      </c>
      <c r="P24" s="20">
        <f>_xll.BDH("GILD US Equity","TOT_FAIR_VAL_ASSET_TO_TOT_ASSETS","FQ1 2022","FQ1 2022","Currency=USD","Period=FQ","BEST_FPERIOD_OVERRIDE=FQ","FILING_STATUS=MR","Sort=A","Dates=H","DateFormat=P","Fill=—","Direction=H","UseDPDF=Y")</f>
        <v>10.994</v>
      </c>
      <c r="Q24" s="20">
        <f>_xll.BDH("GILD US Equity","TOT_FAIR_VAL_ASSET_TO_TOT_ASSETS","FQ2 2022","FQ2 2022","Currency=USD","Period=FQ","BEST_FPERIOD_OVERRIDE=FQ","FILING_STATUS=MR","Sort=A","Dates=H","DateFormat=P","Fill=—","Direction=H","UseDPDF=Y")</f>
        <v>11.352</v>
      </c>
      <c r="R24" s="20">
        <f>_xll.BDH("GILD US Equity","TOT_FAIR_VAL_ASSET_TO_TOT_ASSETS","FQ3 2022","FQ3 2022","Currency=USD","Period=FQ","BEST_FPERIOD_OVERRIDE=FQ","FILING_STATUS=MR","Sort=A","Dates=H","DateFormat=P","Fill=—","Direction=H","UseDPDF=Y")</f>
        <v>11.709300000000001</v>
      </c>
      <c r="S24" s="20">
        <f>_xll.BDH("GILD US Equity","TOT_FAIR_VAL_ASSET_TO_TOT_ASSETS","FQ4 2022","FQ4 2022","Currency=USD","Period=FQ","BEST_FPERIOD_OVERRIDE=FQ","FILING_STATUS=MR","Sort=A","Dates=H","DateFormat=P","Fill=—","Direction=H","UseDPDF=Y")</f>
        <v>12.032400000000001</v>
      </c>
      <c r="T24" s="20">
        <f>_xll.BDH("GILD US Equity","TOT_FAIR_VAL_ASSET_TO_TOT_ASSETS","FQ1 2023","FQ1 2023","Currency=USD","Period=FQ","BEST_FPERIOD_OVERRIDE=FQ","FILING_STATUS=MR","Sort=A","Dates=H","DateFormat=P","Fill=—","Direction=H","UseDPDF=Y")</f>
        <v>11.165900000000001</v>
      </c>
      <c r="U24" s="20">
        <f>_xll.BDH("GILD US Equity","TOT_FAIR_VAL_ASSET_TO_TOT_ASSETS","FQ2 2023","FQ2 2023","Currency=USD","Period=FQ","BEST_FPERIOD_OVERRIDE=FQ","FILING_STATUS=MR","Sort=A","Dates=H","DateFormat=P","Fill=—","Direction=H","UseDPDF=Y")</f>
        <v>12.984299999999999</v>
      </c>
      <c r="V24" s="20">
        <f>_xll.BDH("GILD US Equity","TOT_FAIR_VAL_ASSET_TO_TOT_ASSETS","FQ3 2023","FQ3 2023","Currency=USD","Period=FQ","BEST_FPERIOD_OVERRIDE=FQ","FILING_STATUS=MR","Sort=A","Dates=H","DateFormat=P","Fill=—","Direction=H","UseDPDF=Y")</f>
        <v>12.8934</v>
      </c>
      <c r="W24" s="20">
        <f>_xll.BDH("GILD US Equity","TOT_FAIR_VAL_ASSET_TO_TOT_ASSETS","FQ4 2023","FQ4 2023","Currency=USD","Period=FQ","BEST_FPERIOD_OVERRIDE=FQ","FILING_STATUS=MR","Sort=A","Dates=H","DateFormat=P","Fill=—","Direction=H","UseDPDF=Y")</f>
        <v>13.907400000000001</v>
      </c>
      <c r="X24" s="20">
        <f>_xll.BDH("GILD US Equity","TOT_FAIR_VAL_ASSET_TO_TOT_ASSETS","FQ1 2024","FQ1 2024","Currency=USD","Period=FQ","BEST_FPERIOD_OVERRIDE=FQ","FILING_STATUS=MR","Sort=A","Dates=H","DateFormat=P","Fill=—","Direction=H","UseDPDF=Y")</f>
        <v>6.5994999999999999</v>
      </c>
      <c r="Y24" s="20">
        <f>_xll.BDH("GILD US Equity","TOT_FAIR_VAL_ASSET_TO_TOT_ASSETS","FQ2 2024","FQ2 2024","Currency=USD","Period=FQ","BEST_FPERIOD_OVERRIDE=FQ","FILING_STATUS=MR","Sort=A","Dates=H","DateFormat=P","Fill=—","Direction=H","UseDPDF=Y")</f>
        <v>6.2356999999999996</v>
      </c>
      <c r="Z24" s="20">
        <f>_xll.BDH("GILD US Equity","TOT_FAIR_VAL_ASSET_TO_TOT_ASSETS","FQ3 2024","FQ3 2024","Currency=USD","Period=FQ","BEST_FPERIOD_OVERRIDE=FQ","FILING_STATUS=MR","Sort=A","Dates=H","DateFormat=P","Fill=—","Direction=H","UseDPDF=Y")</f>
        <v>10.1183</v>
      </c>
      <c r="AA24" s="20">
        <f>_xll.BDH("GILD US Equity","TOT_FAIR_VAL_ASSET_TO_TOT_ASSETS","FQ4 2024","FQ4 2024","Currency=USD","Period=FQ","BEST_FPERIOD_OVERRIDE=FQ","FILING_STATUS=MR","Sort=A","Dates=H","DateFormat=P","Fill=—","Direction=H","UseDPDF=Y")</f>
        <v>17.854099999999999</v>
      </c>
    </row>
    <row r="25" spans="1:27" x14ac:dyDescent="0.25">
      <c r="A25" s="7" t="s">
        <v>90</v>
      </c>
      <c r="B25" s="7"/>
      <c r="C25" s="7" t="s">
        <v>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"/>
  <sheetViews>
    <sheetView workbookViewId="0">
      <selection activeCell="G13" sqref="G13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91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97</v>
      </c>
      <c r="B6" s="10" t="s">
        <v>71</v>
      </c>
      <c r="C6" s="13">
        <f>_xll.BDH("GILD US Equity","SALES_REV_TURN","FQ4 2018","FQ4 2018","Currency=USD","Period=FQ","BEST_FPERIOD_OVERRIDE=FQ","FILING_STATUS=MR","SCALING_FORMAT=MLN","FA_ADJUSTED=GAAP","Sort=A","Dates=H","DateFormat=P","Fill=—","Direction=H","UseDPDF=Y")</f>
        <v>5795</v>
      </c>
      <c r="D6" s="13">
        <f>_xll.BDH("GILD US Equity","SALES_REV_TURN","FQ1 2019","FQ1 2019","Currency=USD","Period=FQ","BEST_FPERIOD_OVERRIDE=FQ","FILING_STATUS=MR","SCALING_FORMAT=MLN","FA_ADJUSTED=GAAP","Sort=A","Dates=H","DateFormat=P","Fill=—","Direction=H","UseDPDF=Y")</f>
        <v>5281</v>
      </c>
      <c r="E6" s="13">
        <f>_xll.BDH("GILD US Equity","SALES_REV_TURN","FQ2 2019","FQ2 2019","Currency=USD","Period=FQ","BEST_FPERIOD_OVERRIDE=FQ","FILING_STATUS=MR","SCALING_FORMAT=MLN","FA_ADJUSTED=GAAP","Sort=A","Dates=H","DateFormat=P","Fill=—","Direction=H","UseDPDF=Y")</f>
        <v>5685</v>
      </c>
      <c r="F6" s="13">
        <f>_xll.BDH("GILD US Equity","SALES_REV_TURN","FQ3 2019","FQ3 2019","Currency=USD","Period=FQ","BEST_FPERIOD_OVERRIDE=FQ","FILING_STATUS=MR","SCALING_FORMAT=MLN","FA_ADJUSTED=GAAP","Sort=A","Dates=H","DateFormat=P","Fill=—","Direction=H","UseDPDF=Y")</f>
        <v>5604</v>
      </c>
      <c r="G6" s="13">
        <f>_xll.BDH("GILD US Equity","SALES_REV_TURN","FQ4 2019","FQ4 2019","Currency=USD","Period=FQ","BEST_FPERIOD_OVERRIDE=FQ","FILING_STATUS=MR","SCALING_FORMAT=MLN","FA_ADJUSTED=GAAP","Sort=A","Dates=H","DateFormat=P","Fill=—","Direction=H","UseDPDF=Y")</f>
        <v>5879</v>
      </c>
      <c r="H6" s="13">
        <f>_xll.BDH("GILD US Equity","SALES_REV_TURN","FQ1 2020","FQ1 2020","Currency=USD","Period=FQ","BEST_FPERIOD_OVERRIDE=FQ","FILING_STATUS=MR","SCALING_FORMAT=MLN","FA_ADJUSTED=GAAP","Sort=A","Dates=H","DateFormat=P","Fill=—","Direction=H","UseDPDF=Y")</f>
        <v>5548</v>
      </c>
      <c r="I6" s="13">
        <f>_xll.BDH("GILD US Equity","SALES_REV_TURN","FQ2 2020","FQ2 2020","Currency=USD","Period=FQ","BEST_FPERIOD_OVERRIDE=FQ","FILING_STATUS=MR","SCALING_FORMAT=MLN","FA_ADJUSTED=GAAP","Sort=A","Dates=H","DateFormat=P","Fill=—","Direction=H","UseDPDF=Y")</f>
        <v>5143</v>
      </c>
      <c r="J6" s="13">
        <f>_xll.BDH("GILD US Equity","SALES_REV_TURN","FQ3 2020","FQ3 2020","Currency=USD","Period=FQ","BEST_FPERIOD_OVERRIDE=FQ","FILING_STATUS=MR","SCALING_FORMAT=MLN","FA_ADJUSTED=GAAP","Sort=A","Dates=H","DateFormat=P","Fill=—","Direction=H","UseDPDF=Y")</f>
        <v>6577</v>
      </c>
      <c r="K6" s="13">
        <f>_xll.BDH("GILD US Equity","SALES_REV_TURN","FQ4 2020","FQ4 2020","Currency=USD","Period=FQ","BEST_FPERIOD_OVERRIDE=FQ","FILING_STATUS=MR","SCALING_FORMAT=MLN","FA_ADJUSTED=GAAP","Sort=A","Dates=H","DateFormat=P","Fill=—","Direction=H","UseDPDF=Y")</f>
        <v>7421</v>
      </c>
      <c r="L6" s="13">
        <f>_xll.BDH("GILD US Equity","SALES_REV_TURN","FQ1 2021","FQ1 2021","Currency=USD","Period=FQ","BEST_FPERIOD_OVERRIDE=FQ","FILING_STATUS=MR","SCALING_FORMAT=MLN","FA_ADJUSTED=GAAP","Sort=A","Dates=H","DateFormat=P","Fill=—","Direction=H","UseDPDF=Y")</f>
        <v>6423</v>
      </c>
      <c r="M6" s="13">
        <f>_xll.BDH("GILD US Equity","SALES_REV_TURN","FQ2 2021","FQ2 2021","Currency=USD","Period=FQ","BEST_FPERIOD_OVERRIDE=FQ","FILING_STATUS=MR","SCALING_FORMAT=MLN","FA_ADJUSTED=GAAP","Sort=A","Dates=H","DateFormat=P","Fill=—","Direction=H","UseDPDF=Y")</f>
        <v>6217</v>
      </c>
      <c r="N6" s="13">
        <f>_xll.BDH("GILD US Equity","SALES_REV_TURN","FQ3 2021","FQ3 2021","Currency=USD","Period=FQ","BEST_FPERIOD_OVERRIDE=FQ","FILING_STATUS=MR","SCALING_FORMAT=MLN","FA_ADJUSTED=GAAP","Sort=A","Dates=H","DateFormat=P","Fill=—","Direction=H","UseDPDF=Y")</f>
        <v>7421</v>
      </c>
      <c r="O6" s="13">
        <f>_xll.BDH("GILD US Equity","SALES_REV_TURN","FQ4 2021","FQ4 2021","Currency=USD","Period=FQ","BEST_FPERIOD_OVERRIDE=FQ","FILING_STATUS=MR","SCALING_FORMAT=MLN","FA_ADJUSTED=GAAP","Sort=A","Dates=H","DateFormat=P","Fill=—","Direction=H","UseDPDF=Y")</f>
        <v>7244</v>
      </c>
      <c r="P6" s="13">
        <f>_xll.BDH("GILD US Equity","SALES_REV_TURN","FQ1 2022","FQ1 2022","Currency=USD","Period=FQ","BEST_FPERIOD_OVERRIDE=FQ","FILING_STATUS=MR","SCALING_FORMAT=MLN","FA_ADJUSTED=GAAP","Sort=A","Dates=H","DateFormat=P","Fill=—","Direction=H","UseDPDF=Y")</f>
        <v>6590</v>
      </c>
      <c r="Q6" s="13">
        <f>_xll.BDH("GILD US Equity","SALES_REV_TURN","FQ2 2022","FQ2 2022","Currency=USD","Period=FQ","BEST_FPERIOD_OVERRIDE=FQ","FILING_STATUS=MR","SCALING_FORMAT=MLN","FA_ADJUSTED=GAAP","Sort=A","Dates=H","DateFormat=P","Fill=—","Direction=H","UseDPDF=Y")</f>
        <v>6260</v>
      </c>
      <c r="R6" s="13">
        <f>_xll.BDH("GILD US Equity","SALES_REV_TURN","FQ3 2022","FQ3 2022","Currency=USD","Period=FQ","BEST_FPERIOD_OVERRIDE=FQ","FILING_STATUS=MR","SCALING_FORMAT=MLN","FA_ADJUSTED=GAAP","Sort=A","Dates=H","DateFormat=P","Fill=—","Direction=H","UseDPDF=Y")</f>
        <v>7042</v>
      </c>
      <c r="S6" s="13">
        <f>_xll.BDH("GILD US Equity","SALES_REV_TURN","FQ4 2022","FQ4 2022","Currency=USD","Period=FQ","BEST_FPERIOD_OVERRIDE=FQ","FILING_STATUS=MR","SCALING_FORMAT=MLN","FA_ADJUSTED=GAAP","Sort=A","Dates=H","DateFormat=P","Fill=—","Direction=H","UseDPDF=Y")</f>
        <v>7389</v>
      </c>
      <c r="T6" s="13">
        <f>_xll.BDH("GILD US Equity","SALES_REV_TURN","FQ1 2023","FQ1 2023","Currency=USD","Period=FQ","BEST_FPERIOD_OVERRIDE=FQ","FILING_STATUS=MR","SCALING_FORMAT=MLN","FA_ADJUSTED=GAAP","Sort=A","Dates=H","DateFormat=P","Fill=—","Direction=H","UseDPDF=Y")</f>
        <v>6352</v>
      </c>
      <c r="U6" s="13">
        <f>_xll.BDH("GILD US Equity","SALES_REV_TURN","FQ2 2023","FQ2 2023","Currency=USD","Period=FQ","BEST_FPERIOD_OVERRIDE=FQ","FILING_STATUS=MR","SCALING_FORMAT=MLN","FA_ADJUSTED=GAAP","Sort=A","Dates=H","DateFormat=P","Fill=—","Direction=H","UseDPDF=Y")</f>
        <v>6599</v>
      </c>
      <c r="V6" s="13">
        <f>_xll.BDH("GILD US Equity","SALES_REV_TURN","FQ3 2023","FQ3 2023","Currency=USD","Period=FQ","BEST_FPERIOD_OVERRIDE=FQ","FILING_STATUS=MR","SCALING_FORMAT=MLN","FA_ADJUSTED=GAAP","Sort=A","Dates=H","DateFormat=P","Fill=—","Direction=H","UseDPDF=Y")</f>
        <v>7051</v>
      </c>
      <c r="W6" s="13">
        <f>_xll.BDH("GILD US Equity","SALES_REV_TURN","FQ4 2023","FQ4 2023","Currency=USD","Period=FQ","BEST_FPERIOD_OVERRIDE=FQ","FILING_STATUS=MR","SCALING_FORMAT=MLN","FA_ADJUSTED=GAAP","Sort=A","Dates=H","DateFormat=P","Fill=—","Direction=H","UseDPDF=Y")</f>
        <v>7115</v>
      </c>
      <c r="X6" s="13">
        <f>_xll.BDH("GILD US Equity","SALES_REV_TURN","FQ1 2024","FQ1 2024","Currency=USD","Period=FQ","BEST_FPERIOD_OVERRIDE=FQ","FILING_STATUS=MR","SCALING_FORMAT=MLN","FA_ADJUSTED=GAAP","Sort=A","Dates=H","DateFormat=P","Fill=—","Direction=H","UseDPDF=Y")</f>
        <v>6686</v>
      </c>
      <c r="Y6" s="13">
        <f>_xll.BDH("GILD US Equity","SALES_REV_TURN","FQ2 2024","FQ2 2024","Currency=USD","Period=FQ","BEST_FPERIOD_OVERRIDE=FQ","FILING_STATUS=MR","SCALING_FORMAT=MLN","FA_ADJUSTED=GAAP","Sort=A","Dates=H","DateFormat=P","Fill=—","Direction=H","UseDPDF=Y")</f>
        <v>6953</v>
      </c>
      <c r="Z6" s="13">
        <f>_xll.BDH("GILD US Equity","SALES_REV_TURN","FQ3 2024","FQ3 2024","Currency=USD","Period=FQ","BEST_FPERIOD_OVERRIDE=FQ","FILING_STATUS=MR","SCALING_FORMAT=MLN","FA_ADJUSTED=GAAP","Sort=A","Dates=H","DateFormat=P","Fill=—","Direction=H","UseDPDF=Y")</f>
        <v>7545</v>
      </c>
      <c r="AA6" s="13">
        <f>_xll.BDH("GILD US Equity","SALES_REV_TURN","FQ4 2024","FQ4 2024","Currency=USD","Period=FQ","BEST_FPERIOD_OVERRIDE=FQ","FILING_STATUS=MR","SCALING_FORMAT=MLN","FA_ADJUSTED=GAAP","Sort=A","Dates=H","DateFormat=P","Fill=—","Direction=H","UseDPDF=Y")</f>
        <v>7569</v>
      </c>
    </row>
    <row r="7" spans="1:27" x14ac:dyDescent="0.25">
      <c r="A7" s="10" t="s">
        <v>98</v>
      </c>
      <c r="B7" s="10" t="s">
        <v>99</v>
      </c>
      <c r="C7" s="13">
        <f>_xll.BDH("GILD US Equity","IS_OPER_INC","FQ4 2018","FQ4 2018","Currency=USD","Period=FQ","BEST_FPERIOD_OVERRIDE=FQ","FILING_STATUS=MR","SCALING_FORMAT=MLN","FA_ADJUSTED=GAAP","Sort=A","Dates=H","DateFormat=P","Fill=—","Direction=H","UseDPDF=Y")</f>
        <v>1144</v>
      </c>
      <c r="D7" s="13">
        <f>_xll.BDH("GILD US Equity","IS_OPER_INC","FQ1 2019","FQ1 2019","Currency=USD","Period=FQ","BEST_FPERIOD_OVERRIDE=FQ","FILING_STATUS=MR","SCALING_FORMAT=MLN","FA_ADJUSTED=GAAP","Sort=A","Dates=H","DateFormat=P","Fill=—","Direction=H","UseDPDF=Y")</f>
        <v>2237</v>
      </c>
      <c r="E7" s="13">
        <f>_xll.BDH("GILD US Equity","IS_OPER_INC","FQ2 2019","FQ2 2019","Currency=USD","Period=FQ","BEST_FPERIOD_OVERRIDE=FQ","FILING_STATUS=MR","SCALING_FORMAT=MLN","FA_ADJUSTED=GAAP","Sort=A","Dates=H","DateFormat=P","Fill=—","Direction=H","UseDPDF=Y")</f>
        <v>2430</v>
      </c>
      <c r="F7" s="13">
        <f>_xll.BDH("GILD US Equity","IS_OPER_INC","FQ3 2019","FQ3 2019","Currency=USD","Period=FQ","BEST_FPERIOD_OVERRIDE=FQ","FILING_STATUS=MR","SCALING_FORMAT=MLN","FA_ADJUSTED=GAAP","Sort=A","Dates=H","DateFormat=P","Fill=—","Direction=H","UseDPDF=Y")</f>
        <v>-1473</v>
      </c>
      <c r="G7" s="13">
        <f>_xll.BDH("GILD US Equity","IS_OPER_INC","FQ4 2019","FQ4 2019","Currency=USD","Period=FQ","BEST_FPERIOD_OVERRIDE=FQ","FILING_STATUS=MR","SCALING_FORMAT=MLN","FA_ADJUSTED=GAAP","Sort=A","Dates=H","DateFormat=P","Fill=—","Direction=H","UseDPDF=Y")</f>
        <v>1093</v>
      </c>
      <c r="H7" s="13">
        <f>_xll.BDH("GILD US Equity","IS_OPER_INC","FQ1 2020","FQ1 2020","Currency=USD","Period=FQ","BEST_FPERIOD_OVERRIDE=FQ","FILING_STATUS=MR","SCALING_FORMAT=MLN","FA_ADJUSTED=GAAP","Sort=A","Dates=H","DateFormat=P","Fill=—","Direction=H","UseDPDF=Y")</f>
        <v>2402</v>
      </c>
      <c r="I7" s="13">
        <f>_xll.BDH("GILD US Equity","IS_OPER_INC","FQ2 2020","FQ2 2020","Currency=USD","Period=FQ","BEST_FPERIOD_OVERRIDE=FQ","FILING_STATUS=MR","SCALING_FORMAT=MLN","FA_ADJUSTED=GAAP","Sort=A","Dates=H","DateFormat=P","Fill=—","Direction=H","UseDPDF=Y")</f>
        <v>-2983</v>
      </c>
      <c r="J7" s="13">
        <f>_xll.BDH("GILD US Equity","IS_OPER_INC","FQ3 2020","FQ3 2020","Currency=USD","Period=FQ","BEST_FPERIOD_OVERRIDE=FQ","FILING_STATUS=MR","SCALING_FORMAT=MLN","FA_ADJUSTED=GAAP","Sort=A","Dates=H","DateFormat=P","Fill=—","Direction=H","UseDPDF=Y")</f>
        <v>2001</v>
      </c>
      <c r="K7" s="13">
        <f>_xll.BDH("GILD US Equity","IS_OPER_INC","FQ4 2020","FQ4 2020","Currency=USD","Period=FQ","BEST_FPERIOD_OVERRIDE=FQ","FILING_STATUS=MR","SCALING_FORMAT=MLN","FA_ADJUSTED=GAAP","Sort=A","Dates=H","DateFormat=P","Fill=—","Direction=H","UseDPDF=Y")</f>
        <v>2651</v>
      </c>
      <c r="L7" s="13">
        <f>_xll.BDH("GILD US Equity","IS_OPER_INC","FQ1 2021","FQ1 2021","Currency=USD","Period=FQ","BEST_FPERIOD_OVERRIDE=FQ","FILING_STATUS=MR","SCALING_FORMAT=MLN","FA_ADJUSTED=GAAP","Sort=A","Dates=H","DateFormat=P","Fill=—","Direction=H","UseDPDF=Y")</f>
        <v>2890</v>
      </c>
      <c r="M7" s="13">
        <f>_xll.BDH("GILD US Equity","IS_OPER_INC","FQ2 2021","FQ2 2021","Currency=USD","Period=FQ","BEST_FPERIOD_OVERRIDE=FQ","FILING_STATUS=MR","SCALING_FORMAT=MLN","FA_ADJUSTED=GAAP","Sort=A","Dates=H","DateFormat=P","Fill=—","Direction=H","UseDPDF=Y")</f>
        <v>2246</v>
      </c>
      <c r="N7" s="13">
        <f>_xll.BDH("GILD US Equity","IS_OPER_INC","FQ3 2021","FQ3 2021","Currency=USD","Period=FQ","BEST_FPERIOD_OVERRIDE=FQ","FILING_STATUS=MR","SCALING_FORMAT=MLN","FA_ADJUSTED=GAAP","Sort=A","Dates=H","DateFormat=P","Fill=—","Direction=H","UseDPDF=Y")</f>
        <v>3842</v>
      </c>
      <c r="O7" s="13">
        <f>_xll.BDH("GILD US Equity","IS_OPER_INC","FQ4 2021","FQ4 2021","Currency=USD","Period=FQ","BEST_FPERIOD_OVERRIDE=FQ","FILING_STATUS=MR","SCALING_FORMAT=MLN","FA_ADJUSTED=GAAP","Sort=A","Dates=H","DateFormat=P","Fill=—","Direction=H","UseDPDF=Y")</f>
        <v>940</v>
      </c>
      <c r="P7" s="13">
        <f>_xll.BDH("GILD US Equity","IS_OPER_INC","FQ1 2022","FQ1 2022","Currency=USD","Period=FQ","BEST_FPERIOD_OVERRIDE=FQ","FILING_STATUS=MR","SCALING_FORMAT=MLN","FA_ADJUSTED=GAAP","Sort=A","Dates=H","DateFormat=P","Fill=—","Direction=H","UseDPDF=Y")</f>
        <v>197</v>
      </c>
      <c r="Q7" s="13">
        <f>_xll.BDH("GILD US Equity","IS_OPER_INC","FQ2 2022","FQ2 2022","Currency=USD","Period=FQ","BEST_FPERIOD_OVERRIDE=FQ","FILING_STATUS=MR","SCALING_FORMAT=MLN","FA_ADJUSTED=GAAP","Sort=A","Dates=H","DateFormat=P","Fill=—","Direction=H","UseDPDF=Y")</f>
        <v>2029</v>
      </c>
      <c r="R7" s="13">
        <f>_xll.BDH("GILD US Equity","IS_OPER_INC","FQ3 2022","FQ3 2022","Currency=USD","Period=FQ","BEST_FPERIOD_OVERRIDE=FQ","FILING_STATUS=MR","SCALING_FORMAT=MLN","FA_ADJUSTED=GAAP","Sort=A","Dates=H","DateFormat=P","Fill=—","Direction=H","UseDPDF=Y")</f>
        <v>2837</v>
      </c>
      <c r="S7" s="13">
        <f>_xll.BDH("GILD US Equity","IS_OPER_INC","FQ4 2022","FQ4 2022","Currency=USD","Period=FQ","BEST_FPERIOD_OVERRIDE=FQ","FILING_STATUS=MR","SCALING_FORMAT=MLN","FA_ADJUSTED=GAAP","Sort=A","Dates=H","DateFormat=P","Fill=—","Direction=H","UseDPDF=Y")</f>
        <v>2267</v>
      </c>
      <c r="T7" s="13">
        <f>_xll.BDH("GILD US Equity","IS_OPER_INC","FQ1 2023","FQ1 2023","Currency=USD","Period=FQ","BEST_FPERIOD_OVERRIDE=FQ","FILING_STATUS=MR","SCALING_FORMAT=MLN","FA_ADJUSTED=GAAP","Sort=A","Dates=H","DateFormat=P","Fill=—","Direction=H","UseDPDF=Y")</f>
        <v>1705</v>
      </c>
      <c r="U7" s="13">
        <f>_xll.BDH("GILD US Equity","IS_OPER_INC","FQ2 2023","FQ2 2023","Currency=USD","Period=FQ","BEST_FPERIOD_OVERRIDE=FQ","FILING_STATUS=MR","SCALING_FORMAT=MLN","FA_ADJUSTED=GAAP","Sort=A","Dates=H","DateFormat=P","Fill=—","Direction=H","UseDPDF=Y")</f>
        <v>1665</v>
      </c>
      <c r="V7" s="13">
        <f>_xll.BDH("GILD US Equity","IS_OPER_INC","FQ3 2023","FQ3 2023","Currency=USD","Period=FQ","BEST_FPERIOD_OVERRIDE=FQ","FILING_STATUS=MR","SCALING_FORMAT=MLN","FA_ADJUSTED=GAAP","Sort=A","Dates=H","DateFormat=P","Fill=—","Direction=H","UseDPDF=Y")</f>
        <v>2623</v>
      </c>
      <c r="W7" s="13">
        <f>_xll.BDH("GILD US Equity","IS_OPER_INC","FQ4 2023","FQ4 2023","Currency=USD","Period=FQ","BEST_FPERIOD_OVERRIDE=FQ","FILING_STATUS=MR","SCALING_FORMAT=MLN","FA_ADJUSTED=GAAP","Sort=A","Dates=H","DateFormat=P","Fill=—","Direction=H","UseDPDF=Y")</f>
        <v>1612</v>
      </c>
      <c r="X7" s="13">
        <f>_xll.BDH("GILD US Equity","IS_OPER_INC","FQ1 2024","FQ1 2024","Currency=USD","Period=FQ","BEST_FPERIOD_OVERRIDE=FQ","FILING_STATUS=MR","SCALING_FORMAT=MLN","FA_ADJUSTED=GAAP","Sort=A","Dates=H","DateFormat=P","Fill=—","Direction=H","UseDPDF=Y")</f>
        <v>-4322</v>
      </c>
      <c r="Y7" s="13">
        <f>_xll.BDH("GILD US Equity","IS_OPER_INC","FQ2 2024","FQ2 2024","Currency=USD","Period=FQ","BEST_FPERIOD_OVERRIDE=FQ","FILING_STATUS=MR","SCALING_FORMAT=MLN","FA_ADJUSTED=GAAP","Sort=A","Dates=H","DateFormat=P","Fill=—","Direction=H","UseDPDF=Y")</f>
        <v>2644</v>
      </c>
      <c r="Z7" s="13">
        <f>_xll.BDH("GILD US Equity","IS_OPER_INC","FQ3 2024","FQ3 2024","Currency=USD","Period=FQ","BEST_FPERIOD_OVERRIDE=FQ","FILING_STATUS=MR","SCALING_FORMAT=MLN","FA_ADJUSTED=GAAP","Sort=A","Dates=H","DateFormat=P","Fill=—","Direction=H","UseDPDF=Y")</f>
        <v>888</v>
      </c>
      <c r="AA7" s="13">
        <f>_xll.BDH("GILD US Equity","IS_OPER_INC","FQ4 2024","FQ4 2024","Currency=USD","Period=FQ","BEST_FPERIOD_OVERRIDE=FQ","FILING_STATUS=MR","SCALING_FORMAT=MLN","FA_ADJUSTED=GAAP","Sort=A","Dates=H","DateFormat=P","Fill=—","Direction=H","UseDPDF=Y")</f>
        <v>2451</v>
      </c>
    </row>
    <row r="8" spans="1:27" x14ac:dyDescent="0.25">
      <c r="A8" s="10" t="s">
        <v>100</v>
      </c>
      <c r="B8" s="10" t="s">
        <v>80</v>
      </c>
      <c r="C8" s="13">
        <f>_xll.BDH("GILD US Equity","EARN_FOR_COMMON","FQ4 2018","FQ4 2018","Currency=USD","Period=FQ","BEST_FPERIOD_OVERRIDE=FQ","FILING_STATUS=MR","SCALING_FORMAT=MLN","FA_ADJUSTED=GAAP","Sort=A","Dates=H","DateFormat=P","Fill=—","Direction=H","UseDPDF=Y")</f>
        <v>3</v>
      </c>
      <c r="D8" s="13">
        <f>_xll.BDH("GILD US Equity","EARN_FOR_COMMON","FQ1 2019","FQ1 2019","Currency=USD","Period=FQ","BEST_FPERIOD_OVERRIDE=FQ","FILING_STATUS=MR","SCALING_FORMAT=MLN","FA_ADJUSTED=GAAP","Sort=A","Dates=H","DateFormat=P","Fill=—","Direction=H","UseDPDF=Y")</f>
        <v>1975</v>
      </c>
      <c r="E8" s="13">
        <f>_xll.BDH("GILD US Equity","EARN_FOR_COMMON","FQ2 2019","FQ2 2019","Currency=USD","Period=FQ","BEST_FPERIOD_OVERRIDE=FQ","FILING_STATUS=MR","SCALING_FORMAT=MLN","FA_ADJUSTED=GAAP","Sort=A","Dates=H","DateFormat=P","Fill=—","Direction=H","UseDPDF=Y")</f>
        <v>1880</v>
      </c>
      <c r="F8" s="13">
        <f>_xll.BDH("GILD US Equity","EARN_FOR_COMMON","FQ3 2019","FQ3 2019","Currency=USD","Period=FQ","BEST_FPERIOD_OVERRIDE=FQ","FILING_STATUS=MR","SCALING_FORMAT=MLN","FA_ADJUSTED=GAAP","Sort=A","Dates=H","DateFormat=P","Fill=—","Direction=H","UseDPDF=Y")</f>
        <v>-1165</v>
      </c>
      <c r="G8" s="13">
        <f>_xll.BDH("GILD US Equity","EARN_FOR_COMMON","FQ4 2019","FQ4 2019","Currency=USD","Period=FQ","BEST_FPERIOD_OVERRIDE=FQ","FILING_STATUS=MR","SCALING_FORMAT=MLN","FA_ADJUSTED=GAAP","Sort=A","Dates=H","DateFormat=P","Fill=—","Direction=H","UseDPDF=Y")</f>
        <v>2696</v>
      </c>
      <c r="H8" s="13">
        <f>_xll.BDH("GILD US Equity","EARN_FOR_COMMON","FQ1 2020","FQ1 2020","Currency=USD","Period=FQ","BEST_FPERIOD_OVERRIDE=FQ","FILING_STATUS=MR","SCALING_FORMAT=MLN","FA_ADJUSTED=GAAP","Sort=A","Dates=H","DateFormat=P","Fill=—","Direction=H","UseDPDF=Y")</f>
        <v>1551</v>
      </c>
      <c r="I8" s="13">
        <f>_xll.BDH("GILD US Equity","EARN_FOR_COMMON","FQ2 2020","FQ2 2020","Currency=USD","Period=FQ","BEST_FPERIOD_OVERRIDE=FQ","FILING_STATUS=MR","SCALING_FORMAT=MLN","FA_ADJUSTED=GAAP","Sort=A","Dates=H","DateFormat=P","Fill=—","Direction=H","UseDPDF=Y")</f>
        <v>-3339</v>
      </c>
      <c r="J8" s="13">
        <f>_xll.BDH("GILD US Equity","EARN_FOR_COMMON","FQ3 2020","FQ3 2020","Currency=USD","Period=FQ","BEST_FPERIOD_OVERRIDE=FQ","FILING_STATUS=MR","SCALING_FORMAT=MLN","FA_ADJUSTED=GAAP","Sort=A","Dates=H","DateFormat=P","Fill=—","Direction=H","UseDPDF=Y")</f>
        <v>360</v>
      </c>
      <c r="K8" s="13">
        <f>_xll.BDH("GILD US Equity","EARN_FOR_COMMON","FQ4 2020","FQ4 2020","Currency=USD","Period=FQ","BEST_FPERIOD_OVERRIDE=FQ","FILING_STATUS=MR","SCALING_FORMAT=MLN","FA_ADJUSTED=GAAP","Sort=A","Dates=H","DateFormat=P","Fill=—","Direction=H","UseDPDF=Y")</f>
        <v>1551</v>
      </c>
      <c r="L8" s="13">
        <f>_xll.BDH("GILD US Equity","EARN_FOR_COMMON","FQ1 2021","FQ1 2021","Currency=USD","Period=FQ","BEST_FPERIOD_OVERRIDE=FQ","FILING_STATUS=MR","SCALING_FORMAT=MLN","FA_ADJUSTED=GAAP","Sort=A","Dates=H","DateFormat=P","Fill=—","Direction=H","UseDPDF=Y")</f>
        <v>1729</v>
      </c>
      <c r="M8" s="13">
        <f>_xll.BDH("GILD US Equity","EARN_FOR_COMMON","FQ2 2021","FQ2 2021","Currency=USD","Period=FQ","BEST_FPERIOD_OVERRIDE=FQ","FILING_STATUS=MR","SCALING_FORMAT=MLN","FA_ADJUSTED=GAAP","Sort=A","Dates=H","DateFormat=P","Fill=—","Direction=H","UseDPDF=Y")</f>
        <v>1522</v>
      </c>
      <c r="N8" s="13">
        <f>_xll.BDH("GILD US Equity","EARN_FOR_COMMON","FQ3 2021","FQ3 2021","Currency=USD","Period=FQ","BEST_FPERIOD_OVERRIDE=FQ","FILING_STATUS=MR","SCALING_FORMAT=MLN","FA_ADJUSTED=GAAP","Sort=A","Dates=H","DateFormat=P","Fill=—","Direction=H","UseDPDF=Y")</f>
        <v>2592</v>
      </c>
      <c r="O8" s="13">
        <f>_xll.BDH("GILD US Equity","EARN_FOR_COMMON","FQ4 2021","FQ4 2021","Currency=USD","Period=FQ","BEST_FPERIOD_OVERRIDE=FQ","FILING_STATUS=MR","SCALING_FORMAT=MLN","FA_ADJUSTED=GAAP","Sort=A","Dates=H","DateFormat=P","Fill=—","Direction=H","UseDPDF=Y")</f>
        <v>382</v>
      </c>
      <c r="P8" s="13">
        <f>_xll.BDH("GILD US Equity","EARN_FOR_COMMON","FQ1 2022","FQ1 2022","Currency=USD","Period=FQ","BEST_FPERIOD_OVERRIDE=FQ","FILING_STATUS=MR","SCALING_FORMAT=MLN","FA_ADJUSTED=GAAP","Sort=A","Dates=H","DateFormat=P","Fill=—","Direction=H","UseDPDF=Y")</f>
        <v>19</v>
      </c>
      <c r="Q8" s="13">
        <f>_xll.BDH("GILD US Equity","EARN_FOR_COMMON","FQ2 2022","FQ2 2022","Currency=USD","Period=FQ","BEST_FPERIOD_OVERRIDE=FQ","FILING_STATUS=MR","SCALING_FORMAT=MLN","FA_ADJUSTED=GAAP","Sort=A","Dates=H","DateFormat=P","Fill=—","Direction=H","UseDPDF=Y")</f>
        <v>1144</v>
      </c>
      <c r="R8" s="13">
        <f>_xll.BDH("GILD US Equity","EARN_FOR_COMMON","FQ3 2022","FQ3 2022","Currency=USD","Period=FQ","BEST_FPERIOD_OVERRIDE=FQ","FILING_STATUS=MR","SCALING_FORMAT=MLN","FA_ADJUSTED=GAAP","Sort=A","Dates=H","DateFormat=P","Fill=—","Direction=H","UseDPDF=Y")</f>
        <v>1789</v>
      </c>
      <c r="S8" s="13">
        <f>_xll.BDH("GILD US Equity","EARN_FOR_COMMON","FQ4 2022","FQ4 2022","Currency=USD","Period=FQ","BEST_FPERIOD_OVERRIDE=FQ","FILING_STATUS=MR","SCALING_FORMAT=MLN","FA_ADJUSTED=GAAP","Sort=A","Dates=H","DateFormat=P","Fill=—","Direction=H","UseDPDF=Y")</f>
        <v>1640</v>
      </c>
      <c r="T8" s="13">
        <f>_xll.BDH("GILD US Equity","EARN_FOR_COMMON","FQ1 2023","FQ1 2023","Currency=USD","Period=FQ","BEST_FPERIOD_OVERRIDE=FQ","FILING_STATUS=MR","SCALING_FORMAT=MLN","FA_ADJUSTED=GAAP","Sort=A","Dates=H","DateFormat=P","Fill=—","Direction=H","UseDPDF=Y")</f>
        <v>1010</v>
      </c>
      <c r="U8" s="13">
        <f>_xll.BDH("GILD US Equity","EARN_FOR_COMMON","FQ2 2023","FQ2 2023","Currency=USD","Period=FQ","BEST_FPERIOD_OVERRIDE=FQ","FILING_STATUS=MR","SCALING_FORMAT=MLN","FA_ADJUSTED=GAAP","Sort=A","Dates=H","DateFormat=P","Fill=—","Direction=H","UseDPDF=Y")</f>
        <v>1045</v>
      </c>
      <c r="V8" s="13">
        <f>_xll.BDH("GILD US Equity","EARN_FOR_COMMON","FQ3 2023","FQ3 2023","Currency=USD","Period=FQ","BEST_FPERIOD_OVERRIDE=FQ","FILING_STATUS=MR","SCALING_FORMAT=MLN","FA_ADJUSTED=GAAP","Sort=A","Dates=H","DateFormat=P","Fill=—","Direction=H","UseDPDF=Y")</f>
        <v>2180</v>
      </c>
      <c r="W8" s="13">
        <f>_xll.BDH("GILD US Equity","EARN_FOR_COMMON","FQ4 2023","FQ4 2023","Currency=USD","Period=FQ","BEST_FPERIOD_OVERRIDE=FQ","FILING_STATUS=MR","SCALING_FORMAT=MLN","FA_ADJUSTED=GAAP","Sort=A","Dates=H","DateFormat=P","Fill=—","Direction=H","UseDPDF=Y")</f>
        <v>1429</v>
      </c>
      <c r="X8" s="13">
        <f>_xll.BDH("GILD US Equity","EARN_FOR_COMMON","FQ1 2024","FQ1 2024","Currency=USD","Period=FQ","BEST_FPERIOD_OVERRIDE=FQ","FILING_STATUS=MR","SCALING_FORMAT=MLN","FA_ADJUSTED=GAAP","Sort=A","Dates=H","DateFormat=P","Fill=—","Direction=H","UseDPDF=Y")</f>
        <v>-4170</v>
      </c>
      <c r="Y8" s="13">
        <f>_xll.BDH("GILD US Equity","EARN_FOR_COMMON","FQ2 2024","FQ2 2024","Currency=USD","Period=FQ","BEST_FPERIOD_OVERRIDE=FQ","FILING_STATUS=MR","SCALING_FORMAT=MLN","FA_ADJUSTED=GAAP","Sort=A","Dates=H","DateFormat=P","Fill=—","Direction=H","UseDPDF=Y")</f>
        <v>1614</v>
      </c>
      <c r="Z8" s="13">
        <f>_xll.BDH("GILD US Equity","EARN_FOR_COMMON","FQ3 2024","FQ3 2024","Currency=USD","Period=FQ","BEST_FPERIOD_OVERRIDE=FQ","FILING_STATUS=MR","SCALING_FORMAT=MLN","FA_ADJUSTED=GAAP","Sort=A","Dates=H","DateFormat=P","Fill=—","Direction=H","UseDPDF=Y")</f>
        <v>1253</v>
      </c>
      <c r="AA8" s="13">
        <f>_xll.BDH("GILD US Equity","EARN_FOR_COMMON","FQ4 2024","FQ4 2024","Currency=USD","Period=FQ","BEST_FPERIOD_OVERRIDE=FQ","FILING_STATUS=MR","SCALING_FORMAT=MLN","FA_ADJUSTED=GAAP","Sort=A","Dates=H","DateFormat=P","Fill=—","Direction=H","UseDPDF=Y")</f>
        <v>1783</v>
      </c>
    </row>
    <row r="9" spans="1:27" x14ac:dyDescent="0.25">
      <c r="A9" s="10" t="s">
        <v>101</v>
      </c>
      <c r="B9" s="10" t="s">
        <v>102</v>
      </c>
      <c r="C9" s="14">
        <f>_xll.BDH("GILD US Equity","IS_EPS","FQ4 2018","FQ4 2018","Currency=USD","Period=FQ","BEST_FPERIOD_OVERRIDE=FQ","FILING_STATUS=MR","FA_ADJUSTED=GAAP","Sort=A","Dates=H","DateFormat=P","Fill=—","Direction=H","UseDPDF=Y")</f>
        <v>0</v>
      </c>
      <c r="D9" s="14">
        <f>_xll.BDH("GILD US Equity","IS_EPS","FQ1 2019","FQ1 2019","Currency=USD","Period=FQ","BEST_FPERIOD_OVERRIDE=FQ","FILING_STATUS=MR","FA_ADJUSTED=GAAP","Sort=A","Dates=H","DateFormat=P","Fill=—","Direction=H","UseDPDF=Y")</f>
        <v>1.55</v>
      </c>
      <c r="E9" s="14">
        <f>_xll.BDH("GILD US Equity","IS_EPS","FQ2 2019","FQ2 2019","Currency=USD","Period=FQ","BEST_FPERIOD_OVERRIDE=FQ","FILING_STATUS=MR","FA_ADJUSTED=GAAP","Sort=A","Dates=H","DateFormat=P","Fill=—","Direction=H","UseDPDF=Y")</f>
        <v>1.48</v>
      </c>
      <c r="F9" s="14">
        <f>_xll.BDH("GILD US Equity","IS_EPS","FQ3 2019","FQ3 2019","Currency=USD","Period=FQ","BEST_FPERIOD_OVERRIDE=FQ","FILING_STATUS=MR","FA_ADJUSTED=GAAP","Sort=A","Dates=H","DateFormat=P","Fill=—","Direction=H","UseDPDF=Y")</f>
        <v>-0.92</v>
      </c>
      <c r="G9" s="14">
        <f>_xll.BDH("GILD US Equity","IS_EPS","FQ4 2019","FQ4 2019","Currency=USD","Period=FQ","BEST_FPERIOD_OVERRIDE=FQ","FILING_STATUS=MR","FA_ADJUSTED=GAAP","Sort=A","Dates=H","DateFormat=P","Fill=—","Direction=H","UseDPDF=Y")</f>
        <v>2.13</v>
      </c>
      <c r="H9" s="14">
        <f>_xll.BDH("GILD US Equity","IS_EPS","FQ1 2020","FQ1 2020","Currency=USD","Period=FQ","BEST_FPERIOD_OVERRIDE=FQ","FILING_STATUS=MR","FA_ADJUSTED=GAAP","Sort=A","Dates=H","DateFormat=P","Fill=—","Direction=H","UseDPDF=Y")</f>
        <v>1.23</v>
      </c>
      <c r="I9" s="14">
        <f>_xll.BDH("GILD US Equity","IS_EPS","FQ2 2020","FQ2 2020","Currency=USD","Period=FQ","BEST_FPERIOD_OVERRIDE=FQ","FILING_STATUS=MR","FA_ADJUSTED=GAAP","Sort=A","Dates=H","DateFormat=P","Fill=—","Direction=H","UseDPDF=Y")</f>
        <v>-2.66</v>
      </c>
      <c r="J9" s="14">
        <f>_xll.BDH("GILD US Equity","IS_EPS","FQ3 2020","FQ3 2020","Currency=USD","Period=FQ","BEST_FPERIOD_OVERRIDE=FQ","FILING_STATUS=MR","FA_ADJUSTED=GAAP","Sort=A","Dates=H","DateFormat=P","Fill=—","Direction=H","UseDPDF=Y")</f>
        <v>0.28999999999999998</v>
      </c>
      <c r="K9" s="14">
        <f>_xll.BDH("GILD US Equity","IS_EPS","FQ4 2020","FQ4 2020","Currency=USD","Period=FQ","BEST_FPERIOD_OVERRIDE=FQ","FILING_STATUS=MR","FA_ADJUSTED=GAAP","Sort=A","Dates=H","DateFormat=P","Fill=—","Direction=H","UseDPDF=Y")</f>
        <v>1.24</v>
      </c>
      <c r="L9" s="14">
        <f>_xll.BDH("GILD US Equity","IS_EPS","FQ1 2021","FQ1 2021","Currency=USD","Period=FQ","BEST_FPERIOD_OVERRIDE=FQ","FILING_STATUS=MR","FA_ADJUSTED=GAAP","Sort=A","Dates=H","DateFormat=P","Fill=—","Direction=H","UseDPDF=Y")</f>
        <v>1.38</v>
      </c>
      <c r="M9" s="14">
        <f>_xll.BDH("GILD US Equity","IS_EPS","FQ2 2021","FQ2 2021","Currency=USD","Period=FQ","BEST_FPERIOD_OVERRIDE=FQ","FILING_STATUS=MR","FA_ADJUSTED=GAAP","Sort=A","Dates=H","DateFormat=P","Fill=—","Direction=H","UseDPDF=Y")</f>
        <v>1.21</v>
      </c>
      <c r="N9" s="14">
        <f>_xll.BDH("GILD US Equity","IS_EPS","FQ3 2021","FQ3 2021","Currency=USD","Period=FQ","BEST_FPERIOD_OVERRIDE=FQ","FILING_STATUS=MR","FA_ADJUSTED=GAAP","Sort=A","Dates=H","DateFormat=P","Fill=—","Direction=H","UseDPDF=Y")</f>
        <v>2.06</v>
      </c>
      <c r="O9" s="14">
        <f>_xll.BDH("GILD US Equity","IS_EPS","FQ4 2021","FQ4 2021","Currency=USD","Period=FQ","BEST_FPERIOD_OVERRIDE=FQ","FILING_STATUS=MR","FA_ADJUSTED=GAAP","Sort=A","Dates=H","DateFormat=P","Fill=—","Direction=H","UseDPDF=Y")</f>
        <v>0.3</v>
      </c>
      <c r="P9" s="14">
        <f>_xll.BDH("GILD US Equity","IS_EPS","FQ1 2022","FQ1 2022","Currency=USD","Period=FQ","BEST_FPERIOD_OVERRIDE=FQ","FILING_STATUS=MR","FA_ADJUSTED=GAAP","Sort=A","Dates=H","DateFormat=P","Fill=—","Direction=H","UseDPDF=Y")</f>
        <v>0.02</v>
      </c>
      <c r="Q9" s="14">
        <f>_xll.BDH("GILD US Equity","IS_EPS","FQ2 2022","FQ2 2022","Currency=USD","Period=FQ","BEST_FPERIOD_OVERRIDE=FQ","FILING_STATUS=MR","FA_ADJUSTED=GAAP","Sort=A","Dates=H","DateFormat=P","Fill=—","Direction=H","UseDPDF=Y")</f>
        <v>0.91</v>
      </c>
      <c r="R9" s="14">
        <f>_xll.BDH("GILD US Equity","IS_EPS","FQ3 2022","FQ3 2022","Currency=USD","Period=FQ","BEST_FPERIOD_OVERRIDE=FQ","FILING_STATUS=MR","FA_ADJUSTED=GAAP","Sort=A","Dates=H","DateFormat=P","Fill=—","Direction=H","UseDPDF=Y")</f>
        <v>1.43</v>
      </c>
      <c r="S9" s="14">
        <f>_xll.BDH("GILD US Equity","IS_EPS","FQ4 2022","FQ4 2022","Currency=USD","Period=FQ","BEST_FPERIOD_OVERRIDE=FQ","FILING_STATUS=MR","FA_ADJUSTED=GAAP","Sort=A","Dates=H","DateFormat=P","Fill=—","Direction=H","UseDPDF=Y")</f>
        <v>1.31</v>
      </c>
      <c r="T9" s="14">
        <f>_xll.BDH("GILD US Equity","IS_EPS","FQ1 2023","FQ1 2023","Currency=USD","Period=FQ","BEST_FPERIOD_OVERRIDE=FQ","FILING_STATUS=MR","FA_ADJUSTED=GAAP","Sort=A","Dates=H","DateFormat=P","Fill=—","Direction=H","UseDPDF=Y")</f>
        <v>0.81</v>
      </c>
      <c r="U9" s="14">
        <f>_xll.BDH("GILD US Equity","IS_EPS","FQ2 2023","FQ2 2023","Currency=USD","Period=FQ","BEST_FPERIOD_OVERRIDE=FQ","FILING_STATUS=MR","FA_ADJUSTED=GAAP","Sort=A","Dates=H","DateFormat=P","Fill=—","Direction=H","UseDPDF=Y")</f>
        <v>0.84</v>
      </c>
      <c r="V9" s="14">
        <f>_xll.BDH("GILD US Equity","IS_EPS","FQ3 2023","FQ3 2023","Currency=USD","Period=FQ","BEST_FPERIOD_OVERRIDE=FQ","FILING_STATUS=MR","FA_ADJUSTED=GAAP","Sort=A","Dates=H","DateFormat=P","Fill=—","Direction=H","UseDPDF=Y")</f>
        <v>1.75</v>
      </c>
      <c r="W9" s="14">
        <f>_xll.BDH("GILD US Equity","IS_EPS","FQ4 2023","FQ4 2023","Currency=USD","Period=FQ","BEST_FPERIOD_OVERRIDE=FQ","FILING_STATUS=MR","FA_ADJUSTED=GAAP","Sort=A","Dates=H","DateFormat=P","Fill=—","Direction=H","UseDPDF=Y")</f>
        <v>1.1499999999999999</v>
      </c>
      <c r="X9" s="14">
        <f>_xll.BDH("GILD US Equity","IS_EPS","FQ1 2024","FQ1 2024","Currency=USD","Period=FQ","BEST_FPERIOD_OVERRIDE=FQ","FILING_STATUS=MR","FA_ADJUSTED=GAAP","Sort=A","Dates=H","DateFormat=P","Fill=—","Direction=H","UseDPDF=Y")</f>
        <v>-3.34</v>
      </c>
      <c r="Y9" s="14">
        <f>_xll.BDH("GILD US Equity","IS_EPS","FQ2 2024","FQ2 2024","Currency=USD","Period=FQ","BEST_FPERIOD_OVERRIDE=FQ","FILING_STATUS=MR","FA_ADJUSTED=GAAP","Sort=A","Dates=H","DateFormat=P","Fill=—","Direction=H","UseDPDF=Y")</f>
        <v>1.29</v>
      </c>
      <c r="Z9" s="14">
        <f>_xll.BDH("GILD US Equity","IS_EPS","FQ3 2024","FQ3 2024","Currency=USD","Period=FQ","BEST_FPERIOD_OVERRIDE=FQ","FILING_STATUS=MR","FA_ADJUSTED=GAAP","Sort=A","Dates=H","DateFormat=P","Fill=—","Direction=H","UseDPDF=Y")</f>
        <v>1</v>
      </c>
      <c r="AA9" s="14">
        <f>_xll.BDH("GILD US Equity","IS_EPS","FQ4 2024","FQ4 2024","Currency=USD","Period=FQ","BEST_FPERIOD_OVERRIDE=FQ","FILING_STATUS=MR","FA_ADJUSTED=GAAP","Sort=A","Dates=H","DateFormat=P","Fill=—","Direction=H","UseDPDF=Y")</f>
        <v>1.43</v>
      </c>
    </row>
    <row r="10" spans="1:27" x14ac:dyDescent="0.25">
      <c r="A10" s="10" t="s">
        <v>103</v>
      </c>
      <c r="B10" s="10" t="s">
        <v>104</v>
      </c>
      <c r="C10" s="14">
        <f>_xll.BDH("GILD US Equity","IS_DILUTED_EPS","FQ4 2018","FQ4 2018","Currency=USD","Period=FQ","BEST_FPERIOD_OVERRIDE=FQ","FILING_STATUS=MR","FA_ADJUSTED=GAAP","Sort=A","Dates=H","DateFormat=P","Fill=—","Direction=H","UseDPDF=Y")</f>
        <v>0</v>
      </c>
      <c r="D10" s="14">
        <f>_xll.BDH("GILD US Equity","IS_DILUTED_EPS","FQ1 2019","FQ1 2019","Currency=USD","Period=FQ","BEST_FPERIOD_OVERRIDE=FQ","FILING_STATUS=MR","FA_ADJUSTED=GAAP","Sort=A","Dates=H","DateFormat=P","Fill=—","Direction=H","UseDPDF=Y")</f>
        <v>1.54</v>
      </c>
      <c r="E10" s="14">
        <f>_xll.BDH("GILD US Equity","IS_DILUTED_EPS","FQ2 2019","FQ2 2019","Currency=USD","Period=FQ","BEST_FPERIOD_OVERRIDE=FQ","FILING_STATUS=MR","FA_ADJUSTED=GAAP","Sort=A","Dates=H","DateFormat=P","Fill=—","Direction=H","UseDPDF=Y")</f>
        <v>1.47</v>
      </c>
      <c r="F10" s="14">
        <f>_xll.BDH("GILD US Equity","IS_DILUTED_EPS","FQ3 2019","FQ3 2019","Currency=USD","Period=FQ","BEST_FPERIOD_OVERRIDE=FQ","FILING_STATUS=MR","FA_ADJUSTED=GAAP","Sort=A","Dates=H","DateFormat=P","Fill=—","Direction=H","UseDPDF=Y")</f>
        <v>-0.92</v>
      </c>
      <c r="G10" s="14">
        <f>_xll.BDH("GILD US Equity","IS_DILUTED_EPS","FQ4 2019","FQ4 2019","Currency=USD","Period=FQ","BEST_FPERIOD_OVERRIDE=FQ","FILING_STATUS=MR","FA_ADJUSTED=GAAP","Sort=A","Dates=H","DateFormat=P","Fill=—","Direction=H","UseDPDF=Y")</f>
        <v>2.12</v>
      </c>
      <c r="H10" s="14">
        <f>_xll.BDH("GILD US Equity","IS_DILUTED_EPS","FQ1 2020","FQ1 2020","Currency=USD","Period=FQ","BEST_FPERIOD_OVERRIDE=FQ","FILING_STATUS=MR","FA_ADJUSTED=GAAP","Sort=A","Dates=H","DateFormat=P","Fill=—","Direction=H","UseDPDF=Y")</f>
        <v>1.22</v>
      </c>
      <c r="I10" s="14">
        <f>_xll.BDH("GILD US Equity","IS_DILUTED_EPS","FQ2 2020","FQ2 2020","Currency=USD","Period=FQ","BEST_FPERIOD_OVERRIDE=FQ","FILING_STATUS=MR","FA_ADJUSTED=GAAP","Sort=A","Dates=H","DateFormat=P","Fill=—","Direction=H","UseDPDF=Y")</f>
        <v>-2.66</v>
      </c>
      <c r="J10" s="14">
        <f>_xll.BDH("GILD US Equity","IS_DILUTED_EPS","FQ3 2020","FQ3 2020","Currency=USD","Period=FQ","BEST_FPERIOD_OVERRIDE=FQ","FILING_STATUS=MR","FA_ADJUSTED=GAAP","Sort=A","Dates=H","DateFormat=P","Fill=—","Direction=H","UseDPDF=Y")</f>
        <v>0.28999999999999998</v>
      </c>
      <c r="K10" s="14">
        <f>_xll.BDH("GILD US Equity","IS_DILUTED_EPS","FQ4 2020","FQ4 2020","Currency=USD","Period=FQ","BEST_FPERIOD_OVERRIDE=FQ","FILING_STATUS=MR","FA_ADJUSTED=GAAP","Sort=A","Dates=H","DateFormat=P","Fill=—","Direction=H","UseDPDF=Y")</f>
        <v>1.23</v>
      </c>
      <c r="L10" s="14">
        <f>_xll.BDH("GILD US Equity","IS_DILUTED_EPS","FQ1 2021","FQ1 2021","Currency=USD","Period=FQ","BEST_FPERIOD_OVERRIDE=FQ","FILING_STATUS=MR","FA_ADJUSTED=GAAP","Sort=A","Dates=H","DateFormat=P","Fill=—","Direction=H","UseDPDF=Y")</f>
        <v>1.37</v>
      </c>
      <c r="M10" s="14">
        <f>_xll.BDH("GILD US Equity","IS_DILUTED_EPS","FQ2 2021","FQ2 2021","Currency=USD","Period=FQ","BEST_FPERIOD_OVERRIDE=FQ","FILING_STATUS=MR","FA_ADJUSTED=GAAP","Sort=A","Dates=H","DateFormat=P","Fill=—","Direction=H","UseDPDF=Y")</f>
        <v>1.21</v>
      </c>
      <c r="N10" s="14">
        <f>_xll.BDH("GILD US Equity","IS_DILUTED_EPS","FQ3 2021","FQ3 2021","Currency=USD","Period=FQ","BEST_FPERIOD_OVERRIDE=FQ","FILING_STATUS=MR","FA_ADJUSTED=GAAP","Sort=A","Dates=H","DateFormat=P","Fill=—","Direction=H","UseDPDF=Y")</f>
        <v>2.0499999999999998</v>
      </c>
      <c r="O10" s="14">
        <f>_xll.BDH("GILD US Equity","IS_DILUTED_EPS","FQ4 2021","FQ4 2021","Currency=USD","Period=FQ","BEST_FPERIOD_OVERRIDE=FQ","FILING_STATUS=MR","FA_ADJUSTED=GAAP","Sort=A","Dates=H","DateFormat=P","Fill=—","Direction=H","UseDPDF=Y")</f>
        <v>0.3</v>
      </c>
      <c r="P10" s="14">
        <f>_xll.BDH("GILD US Equity","IS_DILUTED_EPS","FQ1 2022","FQ1 2022","Currency=USD","Period=FQ","BEST_FPERIOD_OVERRIDE=FQ","FILING_STATUS=MR","FA_ADJUSTED=GAAP","Sort=A","Dates=H","DateFormat=P","Fill=—","Direction=H","UseDPDF=Y")</f>
        <v>0.02</v>
      </c>
      <c r="Q10" s="14">
        <f>_xll.BDH("GILD US Equity","IS_DILUTED_EPS","FQ2 2022","FQ2 2022","Currency=USD","Period=FQ","BEST_FPERIOD_OVERRIDE=FQ","FILING_STATUS=MR","FA_ADJUSTED=GAAP","Sort=A","Dates=H","DateFormat=P","Fill=—","Direction=H","UseDPDF=Y")</f>
        <v>0.91</v>
      </c>
      <c r="R10" s="14">
        <f>_xll.BDH("GILD US Equity","IS_DILUTED_EPS","FQ3 2022","FQ3 2022","Currency=USD","Period=FQ","BEST_FPERIOD_OVERRIDE=FQ","FILING_STATUS=MR","FA_ADJUSTED=GAAP","Sort=A","Dates=H","DateFormat=P","Fill=—","Direction=H","UseDPDF=Y")</f>
        <v>1.42</v>
      </c>
      <c r="S10" s="14">
        <f>_xll.BDH("GILD US Equity","IS_DILUTED_EPS","FQ4 2022","FQ4 2022","Currency=USD","Period=FQ","BEST_FPERIOD_OVERRIDE=FQ","FILING_STATUS=MR","FA_ADJUSTED=GAAP","Sort=A","Dates=H","DateFormat=P","Fill=—","Direction=H","UseDPDF=Y")</f>
        <v>1.3</v>
      </c>
      <c r="T10" s="14">
        <f>_xll.BDH("GILD US Equity","IS_DILUTED_EPS","FQ1 2023","FQ1 2023","Currency=USD","Period=FQ","BEST_FPERIOD_OVERRIDE=FQ","FILING_STATUS=MR","FA_ADJUSTED=GAAP","Sort=A","Dates=H","DateFormat=P","Fill=—","Direction=H","UseDPDF=Y")</f>
        <v>0.8</v>
      </c>
      <c r="U10" s="14">
        <f>_xll.BDH("GILD US Equity","IS_DILUTED_EPS","FQ2 2023","FQ2 2023","Currency=USD","Period=FQ","BEST_FPERIOD_OVERRIDE=FQ","FILING_STATUS=MR","FA_ADJUSTED=GAAP","Sort=A","Dates=H","DateFormat=P","Fill=—","Direction=H","UseDPDF=Y")</f>
        <v>0.83</v>
      </c>
      <c r="V10" s="14">
        <f>_xll.BDH("GILD US Equity","IS_DILUTED_EPS","FQ3 2023","FQ3 2023","Currency=USD","Period=FQ","BEST_FPERIOD_OVERRIDE=FQ","FILING_STATUS=MR","FA_ADJUSTED=GAAP","Sort=A","Dates=H","DateFormat=P","Fill=—","Direction=H","UseDPDF=Y")</f>
        <v>1.73</v>
      </c>
      <c r="W10" s="14">
        <f>_xll.BDH("GILD US Equity","IS_DILUTED_EPS","FQ4 2023","FQ4 2023","Currency=USD","Period=FQ","BEST_FPERIOD_OVERRIDE=FQ","FILING_STATUS=MR","FA_ADJUSTED=GAAP","Sort=A","Dates=H","DateFormat=P","Fill=—","Direction=H","UseDPDF=Y")</f>
        <v>1.1399999999999999</v>
      </c>
      <c r="X10" s="14">
        <f>_xll.BDH("GILD US Equity","IS_DILUTED_EPS","FQ1 2024","FQ1 2024","Currency=USD","Period=FQ","BEST_FPERIOD_OVERRIDE=FQ","FILING_STATUS=MR","FA_ADJUSTED=GAAP","Sort=A","Dates=H","DateFormat=P","Fill=—","Direction=H","UseDPDF=Y")</f>
        <v>-3.34</v>
      </c>
      <c r="Y10" s="14">
        <f>_xll.BDH("GILD US Equity","IS_DILUTED_EPS","FQ2 2024","FQ2 2024","Currency=USD","Period=FQ","BEST_FPERIOD_OVERRIDE=FQ","FILING_STATUS=MR","FA_ADJUSTED=GAAP","Sort=A","Dates=H","DateFormat=P","Fill=—","Direction=H","UseDPDF=Y")</f>
        <v>1.29</v>
      </c>
      <c r="Z10" s="14">
        <f>_xll.BDH("GILD US Equity","IS_DILUTED_EPS","FQ3 2024","FQ3 2024","Currency=USD","Period=FQ","BEST_FPERIOD_OVERRIDE=FQ","FILING_STATUS=MR","FA_ADJUSTED=GAAP","Sort=A","Dates=H","DateFormat=P","Fill=—","Direction=H","UseDPDF=Y")</f>
        <v>1</v>
      </c>
      <c r="AA10" s="14">
        <f>_xll.BDH("GILD US Equity","IS_DILUTED_EPS","FQ4 2024","FQ4 2024","Currency=USD","Period=FQ","BEST_FPERIOD_OVERRIDE=FQ","FILING_STATUS=MR","FA_ADJUSTED=GAAP","Sort=A","Dates=H","DateFormat=P","Fill=—","Direction=H","UseDPDF=Y")</f>
        <v>1.42</v>
      </c>
    </row>
    <row r="11" spans="1:27" x14ac:dyDescent="0.25">
      <c r="A11" s="10" t="s">
        <v>105</v>
      </c>
      <c r="B11" s="10" t="s">
        <v>106</v>
      </c>
      <c r="C11" s="13">
        <f>_xll.BDH("GILD US Equity","IS_AVG_NUM_SH_FOR_EPS","FQ4 2018","FQ4 2018","Currency=USD","Period=FQ","BEST_FPERIOD_OVERRIDE=FQ","FILING_STATUS=MR","Sort=A","Dates=H","DateFormat=P","Fill=—","Direction=H","UseDPDF=Y")</f>
        <v>1290</v>
      </c>
      <c r="D11" s="13">
        <f>_xll.BDH("GILD US Equity","IS_AVG_NUM_SH_FOR_EPS","FQ1 2019","FQ1 2019","Currency=USD","Period=FQ","BEST_FPERIOD_OVERRIDE=FQ","FILING_STATUS=MR","Sort=A","Dates=H","DateFormat=P","Fill=—","Direction=H","UseDPDF=Y")</f>
        <v>1276</v>
      </c>
      <c r="E11" s="13">
        <f>_xll.BDH("GILD US Equity","IS_AVG_NUM_SH_FOR_EPS","FQ2 2019","FQ2 2019","Currency=USD","Period=FQ","BEST_FPERIOD_OVERRIDE=FQ","FILING_STATUS=MR","Sort=A","Dates=H","DateFormat=P","Fill=—","Direction=H","UseDPDF=Y")</f>
        <v>1270</v>
      </c>
      <c r="F11" s="13">
        <f>_xll.BDH("GILD US Equity","IS_AVG_NUM_SH_FOR_EPS","FQ3 2019","FQ3 2019","Currency=USD","Period=FQ","BEST_FPERIOD_OVERRIDE=FQ","FILING_STATUS=MR","Sort=A","Dates=H","DateFormat=P","Fill=—","Direction=H","UseDPDF=Y")</f>
        <v>1267</v>
      </c>
      <c r="G11" s="13">
        <f>_xll.BDH("GILD US Equity","IS_AVG_NUM_SH_FOR_EPS","FQ4 2019","FQ4 2019","Currency=USD","Period=FQ","BEST_FPERIOD_OVERRIDE=FQ","FILING_STATUS=MR","Sort=A","Dates=H","DateFormat=P","Fill=—","Direction=H","UseDPDF=Y")</f>
        <v>1266</v>
      </c>
      <c r="H11" s="13">
        <f>_xll.BDH("GILD US Equity","IS_AVG_NUM_SH_FOR_EPS","FQ1 2020","FQ1 2020","Currency=USD","Period=FQ","BEST_FPERIOD_OVERRIDE=FQ","FILING_STATUS=MR","Sort=A","Dates=H","DateFormat=P","Fill=—","Direction=H","UseDPDF=Y")</f>
        <v>1262</v>
      </c>
      <c r="I11" s="13">
        <f>_xll.BDH("GILD US Equity","IS_AVG_NUM_SH_FOR_EPS","FQ2 2020","FQ2 2020","Currency=USD","Period=FQ","BEST_FPERIOD_OVERRIDE=FQ","FILING_STATUS=MR","Sort=A","Dates=H","DateFormat=P","Fill=—","Direction=H","UseDPDF=Y")</f>
        <v>1255</v>
      </c>
      <c r="J11" s="13">
        <f>_xll.BDH("GILD US Equity","IS_AVG_NUM_SH_FOR_EPS","FQ3 2020","FQ3 2020","Currency=USD","Period=FQ","BEST_FPERIOD_OVERRIDE=FQ","FILING_STATUS=MR","Sort=A","Dates=H","DateFormat=P","Fill=—","Direction=H","UseDPDF=Y")</f>
        <v>1255</v>
      </c>
      <c r="K11" s="13">
        <f>_xll.BDH("GILD US Equity","IS_AVG_NUM_SH_FOR_EPS","FQ4 2020","FQ4 2020","Currency=USD","Period=FQ","BEST_FPERIOD_OVERRIDE=FQ","FILING_STATUS=MR","Sort=A","Dates=H","DateFormat=P","Fill=—","Direction=H","UseDPDF=Y")</f>
        <v>1255</v>
      </c>
      <c r="L11" s="13">
        <f>_xll.BDH("GILD US Equity","IS_AVG_NUM_SH_FOR_EPS","FQ1 2021","FQ1 2021","Currency=USD","Period=FQ","BEST_FPERIOD_OVERRIDE=FQ","FILING_STATUS=MR","Sort=A","Dates=H","DateFormat=P","Fill=—","Direction=H","UseDPDF=Y")</f>
        <v>1256</v>
      </c>
      <c r="M11" s="13">
        <f>_xll.BDH("GILD US Equity","IS_AVG_NUM_SH_FOR_EPS","FQ2 2021","FQ2 2021","Currency=USD","Period=FQ","BEST_FPERIOD_OVERRIDE=FQ","FILING_STATUS=MR","Sort=A","Dates=H","DateFormat=P","Fill=—","Direction=H","UseDPDF=Y")</f>
        <v>1255</v>
      </c>
      <c r="N11" s="13">
        <f>_xll.BDH("GILD US Equity","IS_AVG_NUM_SH_FOR_EPS","FQ3 2021","FQ3 2021","Currency=USD","Period=FQ","BEST_FPERIOD_OVERRIDE=FQ","FILING_STATUS=MR","Sort=A","Dates=H","DateFormat=P","Fill=—","Direction=H","UseDPDF=Y")</f>
        <v>1256</v>
      </c>
      <c r="O11" s="13">
        <f>_xll.BDH("GILD US Equity","IS_AVG_NUM_SH_FOR_EPS","FQ4 2021","FQ4 2021","Currency=USD","Period=FQ","BEST_FPERIOD_OVERRIDE=FQ","FILING_STATUS=MR","Sort=A","Dates=H","DateFormat=P","Fill=—","Direction=H","UseDPDF=Y")</f>
        <v>1256</v>
      </c>
      <c r="P11" s="13">
        <f>_xll.BDH("GILD US Equity","IS_AVG_NUM_SH_FOR_EPS","FQ1 2022","FQ1 2022","Currency=USD","Period=FQ","BEST_FPERIOD_OVERRIDE=FQ","FILING_STATUS=MR","Sort=A","Dates=H","DateFormat=P","Fill=—","Direction=H","UseDPDF=Y")</f>
        <v>1255</v>
      </c>
      <c r="Q11" s="13">
        <f>_xll.BDH("GILD US Equity","IS_AVG_NUM_SH_FOR_EPS","FQ2 2022","FQ2 2022","Currency=USD","Period=FQ","BEST_FPERIOD_OVERRIDE=FQ","FILING_STATUS=MR","Sort=A","Dates=H","DateFormat=P","Fill=—","Direction=H","UseDPDF=Y")</f>
        <v>1256</v>
      </c>
      <c r="R11" s="13">
        <f>_xll.BDH("GILD US Equity","IS_AVG_NUM_SH_FOR_EPS","FQ3 2022","FQ3 2022","Currency=USD","Period=FQ","BEST_FPERIOD_OVERRIDE=FQ","FILING_STATUS=MR","Sort=A","Dates=H","DateFormat=P","Fill=—","Direction=H","UseDPDF=Y")</f>
        <v>1255</v>
      </c>
      <c r="S11" s="13">
        <f>_xll.BDH("GILD US Equity","IS_AVG_NUM_SH_FOR_EPS","FQ4 2022","FQ4 2022","Currency=USD","Period=FQ","BEST_FPERIOD_OVERRIDE=FQ","FILING_STATUS=MR","Sort=A","Dates=H","DateFormat=P","Fill=—","Direction=H","UseDPDF=Y")</f>
        <v>1252</v>
      </c>
      <c r="T11" s="13">
        <f>_xll.BDH("GILD US Equity","IS_AVG_NUM_SH_FOR_EPS","FQ1 2023","FQ1 2023","Currency=USD","Period=FQ","BEST_FPERIOD_OVERRIDE=FQ","FILING_STATUS=MR","Sort=A","Dates=H","DateFormat=P","Fill=—","Direction=H","UseDPDF=Y")</f>
        <v>1248</v>
      </c>
      <c r="U11" s="13">
        <f>_xll.BDH("GILD US Equity","IS_AVG_NUM_SH_FOR_EPS","FQ2 2023","FQ2 2023","Currency=USD","Period=FQ","BEST_FPERIOD_OVERRIDE=FQ","FILING_STATUS=MR","Sort=A","Dates=H","DateFormat=P","Fill=—","Direction=H","UseDPDF=Y")</f>
        <v>1249</v>
      </c>
      <c r="V11" s="13">
        <f>_xll.BDH("GILD US Equity","IS_AVG_NUM_SH_FOR_EPS","FQ3 2023","FQ3 2023","Currency=USD","Period=FQ","BEST_FPERIOD_OVERRIDE=FQ","FILING_STATUS=MR","Sort=A","Dates=H","DateFormat=P","Fill=—","Direction=H","UseDPDF=Y")</f>
        <v>1248</v>
      </c>
      <c r="W11" s="13">
        <f>_xll.BDH("GILD US Equity","IS_AVG_NUM_SH_FOR_EPS","FQ4 2023","FQ4 2023","Currency=USD","Period=FQ","BEST_FPERIOD_OVERRIDE=FQ","FILING_STATUS=MR","Sort=A","Dates=H","DateFormat=P","Fill=—","Direction=H","UseDPDF=Y")</f>
        <v>1248</v>
      </c>
      <c r="X11" s="13">
        <f>_xll.BDH("GILD US Equity","IS_AVG_NUM_SH_FOR_EPS","FQ1 2024","FQ1 2024","Currency=USD","Period=FQ","BEST_FPERIOD_OVERRIDE=FQ","FILING_STATUS=MR","Sort=A","Dates=H","DateFormat=P","Fill=—","Direction=H","UseDPDF=Y")</f>
        <v>1247</v>
      </c>
      <c r="Y11" s="13">
        <f>_xll.BDH("GILD US Equity","IS_AVG_NUM_SH_FOR_EPS","FQ2 2024","FQ2 2024","Currency=USD","Period=FQ","BEST_FPERIOD_OVERRIDE=FQ","FILING_STATUS=MR","Sort=A","Dates=H","DateFormat=P","Fill=—","Direction=H","UseDPDF=Y")</f>
        <v>1247</v>
      </c>
      <c r="Z11" s="13">
        <f>_xll.BDH("GILD US Equity","IS_AVG_NUM_SH_FOR_EPS","FQ3 2024","FQ3 2024","Currency=USD","Period=FQ","BEST_FPERIOD_OVERRIDE=FQ","FILING_STATUS=MR","Sort=A","Dates=H","DateFormat=P","Fill=—","Direction=H","UseDPDF=Y")</f>
        <v>1247</v>
      </c>
      <c r="AA11" s="13">
        <f>_xll.BDH("GILD US Equity","IS_AVG_NUM_SH_FOR_EPS","FQ4 2024","FQ4 2024","Currency=USD","Period=FQ","BEST_FPERIOD_OVERRIDE=FQ","FILING_STATUS=MR","Sort=A","Dates=H","DateFormat=P","Fill=—","Direction=H","UseDPDF=Y")</f>
        <v>1248</v>
      </c>
    </row>
    <row r="12" spans="1:27" x14ac:dyDescent="0.25">
      <c r="A12" s="10" t="s">
        <v>107</v>
      </c>
      <c r="B12" s="10" t="s">
        <v>108</v>
      </c>
      <c r="C12" s="13">
        <f>_xll.BDH("GILD US Equity","IS_SH_FOR_DILUTED_EPS","FQ4 2018","FQ4 2018","Currency=USD","Period=FQ","BEST_FPERIOD_OVERRIDE=FQ","FILING_STATUS=MR","Sort=A","Dates=H","DateFormat=P","Fill=—","Direction=H","UseDPDF=Y")</f>
        <v>1299</v>
      </c>
      <c r="D12" s="13">
        <f>_xll.BDH("GILD US Equity","IS_SH_FOR_DILUTED_EPS","FQ1 2019","FQ1 2019","Currency=USD","Period=FQ","BEST_FPERIOD_OVERRIDE=FQ","FILING_STATUS=MR","Sort=A","Dates=H","DateFormat=P","Fill=—","Direction=H","UseDPDF=Y")</f>
        <v>1283</v>
      </c>
      <c r="E12" s="13">
        <f>_xll.BDH("GILD US Equity","IS_SH_FOR_DILUTED_EPS","FQ2 2019","FQ2 2019","Currency=USD","Period=FQ","BEST_FPERIOD_OVERRIDE=FQ","FILING_STATUS=MR","Sort=A","Dates=H","DateFormat=P","Fill=—","Direction=H","UseDPDF=Y")</f>
        <v>1277</v>
      </c>
      <c r="F12" s="13">
        <f>_xll.BDH("GILD US Equity","IS_SH_FOR_DILUTED_EPS","FQ3 2019","FQ3 2019","Currency=USD","Period=FQ","BEST_FPERIOD_OVERRIDE=FQ","FILING_STATUS=MR","Sort=A","Dates=H","DateFormat=P","Fill=—","Direction=H","UseDPDF=Y")</f>
        <v>1267</v>
      </c>
      <c r="G12" s="13">
        <f>_xll.BDH("GILD US Equity","IS_SH_FOR_DILUTED_EPS","FQ4 2019","FQ4 2019","Currency=USD","Period=FQ","BEST_FPERIOD_OVERRIDE=FQ","FILING_STATUS=MR","Sort=A","Dates=H","DateFormat=P","Fill=—","Direction=H","UseDPDF=Y")</f>
        <v>1273</v>
      </c>
      <c r="H12" s="13">
        <f>_xll.BDH("GILD US Equity","IS_SH_FOR_DILUTED_EPS","FQ1 2020","FQ1 2020","Currency=USD","Period=FQ","BEST_FPERIOD_OVERRIDE=FQ","FILING_STATUS=MR","Sort=A","Dates=H","DateFormat=P","Fill=—","Direction=H","UseDPDF=Y")</f>
        <v>1270</v>
      </c>
      <c r="I12" s="13">
        <f>_xll.BDH("GILD US Equity","IS_SH_FOR_DILUTED_EPS","FQ2 2020","FQ2 2020","Currency=USD","Period=FQ","BEST_FPERIOD_OVERRIDE=FQ","FILING_STATUS=MR","Sort=A","Dates=H","DateFormat=P","Fill=—","Direction=H","UseDPDF=Y")</f>
        <v>1255</v>
      </c>
      <c r="J12" s="13">
        <f>_xll.BDH("GILD US Equity","IS_SH_FOR_DILUTED_EPS","FQ3 2020","FQ3 2020","Currency=USD","Period=FQ","BEST_FPERIOD_OVERRIDE=FQ","FILING_STATUS=MR","Sort=A","Dates=H","DateFormat=P","Fill=—","Direction=H","UseDPDF=Y")</f>
        <v>1261</v>
      </c>
      <c r="K12" s="13">
        <f>_xll.BDH("GILD US Equity","IS_SH_FOR_DILUTED_EPS","FQ4 2020","FQ4 2020","Currency=USD","Period=FQ","BEST_FPERIOD_OVERRIDE=FQ","FILING_STATUS=MR","Sort=A","Dates=H","DateFormat=P","Fill=—","Direction=H","UseDPDF=Y")</f>
        <v>1259</v>
      </c>
      <c r="L12" s="13">
        <f>_xll.BDH("GILD US Equity","IS_SH_FOR_DILUTED_EPS","FQ1 2021","FQ1 2021","Currency=USD","Period=FQ","BEST_FPERIOD_OVERRIDE=FQ","FILING_STATUS=MR","Sort=A","Dates=H","DateFormat=P","Fill=—","Direction=H","UseDPDF=Y")</f>
        <v>1262</v>
      </c>
      <c r="M12" s="13">
        <f>_xll.BDH("GILD US Equity","IS_SH_FOR_DILUTED_EPS","FQ2 2021","FQ2 2021","Currency=USD","Period=FQ","BEST_FPERIOD_OVERRIDE=FQ","FILING_STATUS=MR","Sort=A","Dates=H","DateFormat=P","Fill=—","Direction=H","UseDPDF=Y")</f>
        <v>1260</v>
      </c>
      <c r="N12" s="13">
        <f>_xll.BDH("GILD US Equity","IS_SH_FOR_DILUTED_EPS","FQ3 2021","FQ3 2021","Currency=USD","Period=FQ","BEST_FPERIOD_OVERRIDE=FQ","FILING_STATUS=MR","Sort=A","Dates=H","DateFormat=P","Fill=—","Direction=H","UseDPDF=Y")</f>
        <v>1262</v>
      </c>
      <c r="O12" s="13">
        <f>_xll.BDH("GILD US Equity","IS_SH_FOR_DILUTED_EPS","FQ4 2021","FQ4 2021","Currency=USD","Period=FQ","BEST_FPERIOD_OVERRIDE=FQ","FILING_STATUS=MR","Sort=A","Dates=H","DateFormat=P","Fill=—","Direction=H","UseDPDF=Y")</f>
        <v>1262</v>
      </c>
      <c r="P12" s="13">
        <f>_xll.BDH("GILD US Equity","IS_SH_FOR_DILUTED_EPS","FQ1 2022","FQ1 2022","Currency=USD","Period=FQ","BEST_FPERIOD_OVERRIDE=FQ","FILING_STATUS=MR","Sort=A","Dates=H","DateFormat=P","Fill=—","Direction=H","UseDPDF=Y")</f>
        <v>1262</v>
      </c>
      <c r="Q12" s="13">
        <f>_xll.BDH("GILD US Equity","IS_SH_FOR_DILUTED_EPS","FQ2 2022","FQ2 2022","Currency=USD","Period=FQ","BEST_FPERIOD_OVERRIDE=FQ","FILING_STATUS=MR","Sort=A","Dates=H","DateFormat=P","Fill=—","Direction=H","UseDPDF=Y")</f>
        <v>1260</v>
      </c>
      <c r="R12" s="13">
        <f>_xll.BDH("GILD US Equity","IS_SH_FOR_DILUTED_EPS","FQ3 2022","FQ3 2022","Currency=USD","Period=FQ","BEST_FPERIOD_OVERRIDE=FQ","FILING_STATUS=MR","Sort=A","Dates=H","DateFormat=P","Fill=—","Direction=H","UseDPDF=Y")</f>
        <v>1261</v>
      </c>
      <c r="S12" s="13">
        <f>_xll.BDH("GILD US Equity","IS_SH_FOR_DILUTED_EPS","FQ4 2022","FQ4 2022","Currency=USD","Period=FQ","BEST_FPERIOD_OVERRIDE=FQ","FILING_STATUS=MR","Sort=A","Dates=H","DateFormat=P","Fill=—","Direction=H","UseDPDF=Y")</f>
        <v>1264</v>
      </c>
      <c r="T12" s="13">
        <f>_xll.BDH("GILD US Equity","IS_SH_FOR_DILUTED_EPS","FQ1 2023","FQ1 2023","Currency=USD","Period=FQ","BEST_FPERIOD_OVERRIDE=FQ","FILING_STATUS=MR","Sort=A","Dates=H","DateFormat=P","Fill=—","Direction=H","UseDPDF=Y")</f>
        <v>1248</v>
      </c>
      <c r="U12" s="13">
        <f>_xll.BDH("GILD US Equity","IS_SH_FOR_DILUTED_EPS","FQ2 2023","FQ2 2023","Currency=USD","Period=FQ","BEST_FPERIOD_OVERRIDE=FQ","FILING_STATUS=MR","Sort=A","Dates=H","DateFormat=P","Fill=—","Direction=H","UseDPDF=Y")</f>
        <v>1258</v>
      </c>
      <c r="V12" s="13">
        <f>_xll.BDH("GILD US Equity","IS_SH_FOR_DILUTED_EPS","FQ3 2023","FQ3 2023","Currency=USD","Period=FQ","BEST_FPERIOD_OVERRIDE=FQ","FILING_STATUS=MR","Sort=A","Dates=H","DateFormat=P","Fill=—","Direction=H","UseDPDF=Y")</f>
        <v>1257</v>
      </c>
      <c r="W12" s="13">
        <f>_xll.BDH("GILD US Equity","IS_SH_FOR_DILUTED_EPS","FQ4 2023","FQ4 2023","Currency=USD","Period=FQ","BEST_FPERIOD_OVERRIDE=FQ","FILING_STATUS=MR","Sort=A","Dates=H","DateFormat=P","Fill=—","Direction=H","UseDPDF=Y")</f>
        <v>1256</v>
      </c>
      <c r="X12" s="13">
        <f>_xll.BDH("GILD US Equity","IS_SH_FOR_DILUTED_EPS","FQ1 2024","FQ1 2024","Currency=USD","Period=FQ","BEST_FPERIOD_OVERRIDE=FQ","FILING_STATUS=MR","Sort=A","Dates=H","DateFormat=P","Fill=—","Direction=H","UseDPDF=Y")</f>
        <v>1247</v>
      </c>
      <c r="Y12" s="13">
        <f>_xll.BDH("GILD US Equity","IS_SH_FOR_DILUTED_EPS","FQ2 2024","FQ2 2024","Currency=USD","Period=FQ","BEST_FPERIOD_OVERRIDE=FQ","FILING_STATUS=MR","Sort=A","Dates=H","DateFormat=P","Fill=—","Direction=H","UseDPDF=Y")</f>
        <v>1251</v>
      </c>
      <c r="Z12" s="13">
        <f>_xll.BDH("GILD US Equity","IS_SH_FOR_DILUTED_EPS","FQ3 2024","FQ3 2024","Currency=USD","Period=FQ","BEST_FPERIOD_OVERRIDE=FQ","FILING_STATUS=MR","Sort=A","Dates=H","DateFormat=P","Fill=—","Direction=H","UseDPDF=Y")</f>
        <v>1254</v>
      </c>
      <c r="AA12" s="13">
        <f>_xll.BDH("GILD US Equity","IS_SH_FOR_DILUTED_EPS","FQ4 2024","FQ4 2024","Currency=USD","Period=FQ","BEST_FPERIOD_OVERRIDE=FQ","FILING_STATUS=MR","Sort=A","Dates=H","DateFormat=P","Fill=—","Direction=H","UseDPDF=Y")</f>
        <v>1259</v>
      </c>
    </row>
    <row r="13" spans="1:27" x14ac:dyDescent="0.25">
      <c r="A13" s="1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5">
      <c r="A14" s="10" t="s">
        <v>109</v>
      </c>
      <c r="B14" s="10" t="s">
        <v>63</v>
      </c>
      <c r="C14" s="13">
        <f>_xll.BDH("GILD US Equity","CASH_AND_MARKETABLE_SECURITIES","FQ4 2018","FQ4 2018","Currency=USD","Period=FQ","BEST_FPERIOD_OVERRIDE=FQ","FILING_STATUS=MR","SCALING_FORMAT=MLN","Sort=A","Dates=H","DateFormat=P","Fill=—","Direction=H","UseDPDF=Y")</f>
        <v>31512</v>
      </c>
      <c r="D14" s="13">
        <f>_xll.BDH("GILD US Equity","CASH_AND_MARKETABLE_SECURITIES","FQ1 2019","FQ1 2019","Currency=USD","Period=FQ","BEST_FPERIOD_OVERRIDE=FQ","FILING_STATUS=MR","SCALING_FORMAT=MLN","Sort=A","Dates=H","DateFormat=P","Fill=—","Direction=H","UseDPDF=Y")</f>
        <v>30125</v>
      </c>
      <c r="E14" s="13">
        <f>_xll.BDH("GILD US Equity","CASH_AND_MARKETABLE_SECURITIES","FQ2 2019","FQ2 2019","Currency=USD","Period=FQ","BEST_FPERIOD_OVERRIDE=FQ","FILING_STATUS=MR","SCALING_FORMAT=MLN","Sort=A","Dates=H","DateFormat=P","Fill=—","Direction=H","UseDPDF=Y")</f>
        <v>30234</v>
      </c>
      <c r="F14" s="13">
        <f>_xll.BDH("GILD US Equity","CASH_AND_MARKETABLE_SECURITIES","FQ3 2019","FQ3 2019","Currency=USD","Period=FQ","BEST_FPERIOD_OVERRIDE=FQ","FILING_STATUS=MR","SCALING_FORMAT=MLN","Sort=A","Dates=H","DateFormat=P","Fill=—","Direction=H","UseDPDF=Y")</f>
        <v>25051</v>
      </c>
      <c r="G14" s="13">
        <f>_xll.BDH("GILD US Equity","CASH_AND_MARKETABLE_SECURITIES","FQ4 2019","FQ4 2019","Currency=USD","Period=FQ","BEST_FPERIOD_OVERRIDE=FQ","FILING_STATUS=MR","SCALING_FORMAT=MLN","Sort=A","Dates=H","DateFormat=P","Fill=—","Direction=H","UseDPDF=Y")</f>
        <v>25840</v>
      </c>
      <c r="H14" s="13">
        <f>_xll.BDH("GILD US Equity","CASH_AND_MARKETABLE_SECURITIES","FQ1 2020","FQ1 2020","Currency=USD","Period=FQ","BEST_FPERIOD_OVERRIDE=FQ","FILING_STATUS=MR","SCALING_FORMAT=MLN","Sort=A","Dates=H","DateFormat=P","Fill=—","Direction=H","UseDPDF=Y")</f>
        <v>24314</v>
      </c>
      <c r="I14" s="13">
        <f>_xll.BDH("GILD US Equity","CASH_AND_MARKETABLE_SECURITIES","FQ2 2020","FQ2 2020","Currency=USD","Period=FQ","BEST_FPERIOD_OVERRIDE=FQ","FILING_STATUS=MR","SCALING_FORMAT=MLN","Sort=A","Dates=H","DateFormat=P","Fill=—","Direction=H","UseDPDF=Y")</f>
        <v>21190</v>
      </c>
      <c r="J14" s="13">
        <f>_xll.BDH("GILD US Equity","CASH_AND_MARKETABLE_SECURITIES","FQ3 2020","FQ3 2020","Currency=USD","Period=FQ","BEST_FPERIOD_OVERRIDE=FQ","FILING_STATUS=MR","SCALING_FORMAT=MLN","Sort=A","Dates=H","DateFormat=P","Fill=—","Direction=H","UseDPDF=Y")</f>
        <v>26049</v>
      </c>
      <c r="K14" s="13">
        <f>_xll.BDH("GILD US Equity","CASH_AND_MARKETABLE_SECURITIES","FQ4 2020","FQ4 2020","Currency=USD","Period=FQ","BEST_FPERIOD_OVERRIDE=FQ","FILING_STATUS=MR","SCALING_FORMAT=MLN","Sort=A","Dates=H","DateFormat=P","Fill=—","Direction=H","UseDPDF=Y")</f>
        <v>7910</v>
      </c>
      <c r="L14" s="13">
        <f>_xll.BDH("GILD US Equity","CASH_AND_MARKETABLE_SECURITIES","FQ1 2021","FQ1 2021","Currency=USD","Period=FQ","BEST_FPERIOD_OVERRIDE=FQ","FILING_STATUS=MR","SCALING_FORMAT=MLN","Sort=A","Dates=H","DateFormat=P","Fill=—","Direction=H","UseDPDF=Y")</f>
        <v>6245</v>
      </c>
      <c r="M14" s="13">
        <f>_xll.BDH("GILD US Equity","CASH_AND_MARKETABLE_SECURITIES","FQ2 2021","FQ2 2021","Currency=USD","Period=FQ","BEST_FPERIOD_OVERRIDE=FQ","FILING_STATUS=MR","SCALING_FORMAT=MLN","Sort=A","Dates=H","DateFormat=P","Fill=—","Direction=H","UseDPDF=Y")</f>
        <v>7361</v>
      </c>
      <c r="N14" s="13">
        <f>_xll.BDH("GILD US Equity","CASH_AND_MARKETABLE_SECURITIES","FQ3 2021","FQ3 2021","Currency=USD","Period=FQ","BEST_FPERIOD_OVERRIDE=FQ","FILING_STATUS=MR","SCALING_FORMAT=MLN","Sort=A","Dates=H","DateFormat=P","Fill=—","Direction=H","UseDPDF=Y")</f>
        <v>6837</v>
      </c>
      <c r="O14" s="13">
        <f>_xll.BDH("GILD US Equity","CASH_AND_MARKETABLE_SECURITIES","FQ4 2021","FQ4 2021","Currency=USD","Period=FQ","BEST_FPERIOD_OVERRIDE=FQ","FILING_STATUS=MR","SCALING_FORMAT=MLN","Sort=A","Dates=H","DateFormat=P","Fill=—","Direction=H","UseDPDF=Y")</f>
        <v>7829</v>
      </c>
      <c r="P14" s="13">
        <f>_xll.BDH("GILD US Equity","CASH_AND_MARKETABLE_SECURITIES","FQ1 2022","FQ1 2022","Currency=USD","Period=FQ","BEST_FPERIOD_OVERRIDE=FQ","FILING_STATUS=MR","SCALING_FORMAT=MLN","Sort=A","Dates=H","DateFormat=P","Fill=—","Direction=H","UseDPDF=Y")</f>
        <v>6752</v>
      </c>
      <c r="Q14" s="13">
        <f>_xll.BDH("GILD US Equity","CASH_AND_MARKETABLE_SECURITIES","FQ2 2022","FQ2 2022","Currency=USD","Period=FQ","BEST_FPERIOD_OVERRIDE=FQ","FILING_STATUS=MR","SCALING_FORMAT=MLN","Sort=A","Dates=H","DateFormat=P","Fill=—","Direction=H","UseDPDF=Y")</f>
        <v>7000</v>
      </c>
      <c r="R14" s="13">
        <f>_xll.BDH("GILD US Equity","CASH_AND_MARKETABLE_SECURITIES","FQ3 2022","FQ3 2022","Currency=USD","Period=FQ","BEST_FPERIOD_OVERRIDE=FQ","FILING_STATUS=MR","SCALING_FORMAT=MLN","Sort=A","Dates=H","DateFormat=P","Fill=—","Direction=H","UseDPDF=Y")</f>
        <v>6942</v>
      </c>
      <c r="S14" s="13">
        <f>_xll.BDH("GILD US Equity","CASH_AND_MARKETABLE_SECURITIES","FQ4 2022","FQ4 2022","Currency=USD","Period=FQ","BEST_FPERIOD_OVERRIDE=FQ","FILING_STATUS=MR","SCALING_FORMAT=MLN","Sort=A","Dates=H","DateFormat=P","Fill=—","Direction=H","UseDPDF=Y")</f>
        <v>7630</v>
      </c>
      <c r="T14" s="13">
        <f>_xll.BDH("GILD US Equity","CASH_AND_MARKETABLE_SECURITIES","FQ1 2023","FQ1 2023","Currency=USD","Period=FQ","BEST_FPERIOD_OVERRIDE=FQ","FILING_STATUS=MR","SCALING_FORMAT=MLN","Sort=A","Dates=H","DateFormat=P","Fill=—","Direction=H","UseDPDF=Y")</f>
        <v>7199</v>
      </c>
      <c r="U14" s="13">
        <f>_xll.BDH("GILD US Equity","CASH_AND_MARKETABLE_SECURITIES","FQ2 2023","FQ2 2023","Currency=USD","Period=FQ","BEST_FPERIOD_OVERRIDE=FQ","FILING_STATUS=MR","SCALING_FORMAT=MLN","Sort=A","Dates=H","DateFormat=P","Fill=—","Direction=H","UseDPDF=Y")</f>
        <v>8001</v>
      </c>
      <c r="V14" s="13">
        <f>_xll.BDH("GILD US Equity","CASH_AND_MARKETABLE_SECURITIES","FQ3 2023","FQ3 2023","Currency=USD","Period=FQ","BEST_FPERIOD_OVERRIDE=FQ","FILING_STATUS=MR","SCALING_FORMAT=MLN","Sort=A","Dates=H","DateFormat=P","Fill=—","Direction=H","UseDPDF=Y")</f>
        <v>8020</v>
      </c>
      <c r="W14" s="13">
        <f>_xll.BDH("GILD US Equity","CASH_AND_MARKETABLE_SECURITIES","FQ4 2023","FQ4 2023","Currency=USD","Period=FQ","BEST_FPERIOD_OVERRIDE=FQ","FILING_STATUS=MR","SCALING_FORMAT=MLN","Sort=A","Dates=H","DateFormat=P","Fill=—","Direction=H","UseDPDF=Y")</f>
        <v>8427</v>
      </c>
      <c r="X14" s="13">
        <f>_xll.BDH("GILD US Equity","CASH_AND_MARKETABLE_SECURITIES","FQ1 2024","FQ1 2024","Currency=USD","Period=FQ","BEST_FPERIOD_OVERRIDE=FQ","FILING_STATUS=MR","SCALING_FORMAT=MLN","Sort=A","Dates=H","DateFormat=P","Fill=—","Direction=H","UseDPDF=Y")</f>
        <v>4718</v>
      </c>
      <c r="Y14" s="13">
        <f>_xll.BDH("GILD US Equity","CASH_AND_MARKETABLE_SECURITIES","FQ2 2024","FQ2 2024","Currency=USD","Period=FQ","BEST_FPERIOD_OVERRIDE=FQ","FILING_STATUS=MR","SCALING_FORMAT=MLN","Sort=A","Dates=H","DateFormat=P","Fill=—","Direction=H","UseDPDF=Y")</f>
        <v>2772</v>
      </c>
      <c r="Z14" s="13">
        <f>_xll.BDH("GILD US Equity","CASH_AND_MARKETABLE_SECURITIES","FQ3 2024","FQ3 2024","Currency=USD","Period=FQ","BEST_FPERIOD_OVERRIDE=FQ","FILING_STATUS=MR","SCALING_FORMAT=MLN","Sort=A","Dates=H","DateFormat=P","Fill=—","Direction=H","UseDPDF=Y")</f>
        <v>5037</v>
      </c>
      <c r="AA14" s="13">
        <f>_xll.BDH("GILD US Equity","CASH_AND_MARKETABLE_SECURITIES","FQ4 2024","FQ4 2024","Currency=USD","Period=FQ","BEST_FPERIOD_OVERRIDE=FQ","FILING_STATUS=MR","SCALING_FORMAT=MLN","Sort=A","Dates=H","DateFormat=P","Fill=—","Direction=H","UseDPDF=Y")</f>
        <v>9991</v>
      </c>
    </row>
    <row r="15" spans="1:27" x14ac:dyDescent="0.25">
      <c r="A15" s="10" t="s">
        <v>110</v>
      </c>
      <c r="B15" s="10" t="s">
        <v>111</v>
      </c>
      <c r="C15" s="13">
        <f>_xll.BDH("GILD US Equity","BS_CUR_ASSET_REPORT","FQ4 2018","FQ4 2018","Currency=USD","Period=FQ","BEST_FPERIOD_OVERRIDE=FQ","FILING_STATUS=MR","SCALING_FORMAT=MLN","Sort=A","Dates=H","DateFormat=P","Fill=—","Direction=H","UseDPDF=Y")</f>
        <v>35836</v>
      </c>
      <c r="D15" s="13">
        <f>_xll.BDH("GILD US Equity","BS_CUR_ASSET_REPORT","FQ1 2019","FQ1 2019","Currency=USD","Period=FQ","BEST_FPERIOD_OVERRIDE=FQ","FILING_STATUS=MR","SCALING_FORMAT=MLN","Sort=A","Dates=H","DateFormat=P","Fill=—","Direction=H","UseDPDF=Y")</f>
        <v>34024</v>
      </c>
      <c r="E15" s="13">
        <f>_xll.BDH("GILD US Equity","BS_CUR_ASSET_REPORT","FQ2 2019","FQ2 2019","Currency=USD","Period=FQ","BEST_FPERIOD_OVERRIDE=FQ","FILING_STATUS=MR","SCALING_FORMAT=MLN","Sort=A","Dates=H","DateFormat=P","Fill=—","Direction=H","UseDPDF=Y")</f>
        <v>33727</v>
      </c>
      <c r="F15" s="13">
        <f>_xll.BDH("GILD US Equity","BS_CUR_ASSET_REPORT","FQ3 2019","FQ3 2019","Currency=USD","Period=FQ","BEST_FPERIOD_OVERRIDE=FQ","FILING_STATUS=MR","SCALING_FORMAT=MLN","Sort=A","Dates=H","DateFormat=P","Fill=—","Direction=H","UseDPDF=Y")</f>
        <v>28361</v>
      </c>
      <c r="G15" s="13">
        <f>_xll.BDH("GILD US Equity","BS_CUR_ASSET_REPORT","FQ4 2019","FQ4 2019","Currency=USD","Period=FQ","BEST_FPERIOD_OVERRIDE=FQ","FILING_STATUS=MR","SCALING_FORMAT=MLN","Sort=A","Dates=H","DateFormat=P","Fill=—","Direction=H","UseDPDF=Y")</f>
        <v>30296</v>
      </c>
      <c r="H15" s="13">
        <f>_xll.BDH("GILD US Equity","BS_CUR_ASSET_REPORT","FQ1 2020","FQ1 2020","Currency=USD","Period=FQ","BEST_FPERIOD_OVERRIDE=FQ","FILING_STATUS=MR","SCALING_FORMAT=MLN","Sort=A","Dates=H","DateFormat=P","Fill=—","Direction=H","UseDPDF=Y")</f>
        <v>26950</v>
      </c>
      <c r="I15" s="13">
        <f>_xll.BDH("GILD US Equity","BS_CUR_ASSET_REPORT","FQ2 2020","FQ2 2020","Currency=USD","Period=FQ","BEST_FPERIOD_OVERRIDE=FQ","FILING_STATUS=MR","SCALING_FORMAT=MLN","Sort=A","Dates=H","DateFormat=P","Fill=—","Direction=H","UseDPDF=Y")</f>
        <v>24643</v>
      </c>
      <c r="J15" s="13">
        <f>_xll.BDH("GILD US Equity","BS_CUR_ASSET_REPORT","FQ3 2020","FQ3 2020","Currency=USD","Period=FQ","BEST_FPERIOD_OVERRIDE=FQ","FILING_STATUS=MR","SCALING_FORMAT=MLN","Sort=A","Dates=H","DateFormat=P","Fill=—","Direction=H","UseDPDF=Y")</f>
        <v>30926</v>
      </c>
      <c r="K15" s="13">
        <f>_xll.BDH("GILD US Equity","BS_CUR_ASSET_REPORT","FQ4 2020","FQ4 2020","Currency=USD","Period=FQ","BEST_FPERIOD_OVERRIDE=FQ","FILING_STATUS=MR","SCALING_FORMAT=MLN","Sort=A","Dates=H","DateFormat=P","Fill=—","Direction=H","UseDPDF=Y")</f>
        <v>15996</v>
      </c>
      <c r="L15" s="13">
        <f>_xll.BDH("GILD US Equity","BS_CUR_ASSET_REPORT","FQ1 2021","FQ1 2021","Currency=USD","Period=FQ","BEST_FPERIOD_OVERRIDE=FQ","FILING_STATUS=MR","SCALING_FORMAT=MLN","Sort=A","Dates=H","DateFormat=P","Fill=—","Direction=H","UseDPDF=Y")</f>
        <v>13278</v>
      </c>
      <c r="M15" s="13">
        <f>_xll.BDH("GILD US Equity","BS_CUR_ASSET_REPORT","FQ2 2021","FQ2 2021","Currency=USD","Period=FQ","BEST_FPERIOD_OVERRIDE=FQ","FILING_STATUS=MR","SCALING_FORMAT=MLN","Sort=A","Dates=H","DateFormat=P","Fill=—","Direction=H","UseDPDF=Y")</f>
        <v>13925</v>
      </c>
      <c r="N15" s="13">
        <f>_xll.BDH("GILD US Equity","BS_CUR_ASSET_REPORT","FQ3 2021","FQ3 2021","Currency=USD","Period=FQ","BEST_FPERIOD_OVERRIDE=FQ","FILING_STATUS=MR","SCALING_FORMAT=MLN","Sort=A","Dates=H","DateFormat=P","Fill=—","Direction=H","UseDPDF=Y")</f>
        <v>13991</v>
      </c>
      <c r="O15" s="13">
        <f>_xll.BDH("GILD US Equity","BS_CUR_ASSET_REPORT","FQ4 2021","FQ4 2021","Currency=USD","Period=FQ","BEST_FPERIOD_OVERRIDE=FQ","FILING_STATUS=MR","SCALING_FORMAT=MLN","Sort=A","Dates=H","DateFormat=P","Fill=—","Direction=H","UseDPDF=Y")</f>
        <v>14772</v>
      </c>
      <c r="P15" s="13">
        <f>_xll.BDH("GILD US Equity","BS_CUR_ASSET_REPORT","FQ1 2022","FQ1 2022","Currency=USD","Period=FQ","BEST_FPERIOD_OVERRIDE=FQ","FILING_STATUS=MR","SCALING_FORMAT=MLN","Sort=A","Dates=H","DateFormat=P","Fill=—","Direction=H","UseDPDF=Y")</f>
        <v>12629</v>
      </c>
      <c r="Q15" s="13">
        <f>_xll.BDH("GILD US Equity","BS_CUR_ASSET_REPORT","FQ2 2022","FQ2 2022","Currency=USD","Period=FQ","BEST_FPERIOD_OVERRIDE=FQ","FILING_STATUS=MR","SCALING_FORMAT=MLN","Sort=A","Dates=H","DateFormat=P","Fill=—","Direction=H","UseDPDF=Y")</f>
        <v>13175</v>
      </c>
      <c r="R15" s="13">
        <f>_xll.BDH("GILD US Equity","BS_CUR_ASSET_REPORT","FQ3 2022","FQ3 2022","Currency=USD","Period=FQ","BEST_FPERIOD_OVERRIDE=FQ","FILING_STATUS=MR","SCALING_FORMAT=MLN","Sort=A","Dates=H","DateFormat=P","Fill=—","Direction=H","UseDPDF=Y")</f>
        <v>13554</v>
      </c>
      <c r="S15" s="13">
        <f>_xll.BDH("GILD US Equity","BS_CUR_ASSET_REPORT","FQ4 2022","FQ4 2022","Currency=USD","Period=FQ","BEST_FPERIOD_OVERRIDE=FQ","FILING_STATUS=MR","SCALING_FORMAT=MLN","Sort=A","Dates=H","DateFormat=P","Fill=—","Direction=H","UseDPDF=Y")</f>
        <v>14443</v>
      </c>
      <c r="T15" s="13">
        <f>_xll.BDH("GILD US Equity","BS_CUR_ASSET_REPORT","FQ1 2023","FQ1 2023","Currency=USD","Period=FQ","BEST_FPERIOD_OVERRIDE=FQ","FILING_STATUS=MR","SCALING_FORMAT=MLN","Sort=A","Dates=H","DateFormat=P","Fill=—","Direction=H","UseDPDF=Y")</f>
        <v>13456</v>
      </c>
      <c r="U15" s="13">
        <f>_xll.BDH("GILD US Equity","BS_CUR_ASSET_REPORT","FQ2 2023","FQ2 2023","Currency=USD","Period=FQ","BEST_FPERIOD_OVERRIDE=FQ","FILING_STATUS=MR","SCALING_FORMAT=MLN","Sort=A","Dates=H","DateFormat=P","Fill=—","Direction=H","UseDPDF=Y")</f>
        <v>14287</v>
      </c>
      <c r="V15" s="13">
        <f>_xll.BDH("GILD US Equity","BS_CUR_ASSET_REPORT","FQ3 2023","FQ3 2023","Currency=USD","Period=FQ","BEST_FPERIOD_OVERRIDE=FQ","FILING_STATUS=MR","SCALING_FORMAT=MLN","Sort=A","Dates=H","DateFormat=P","Fill=—","Direction=H","UseDPDF=Y")</f>
        <v>15980</v>
      </c>
      <c r="W15" s="13">
        <f>_xll.BDH("GILD US Equity","BS_CUR_ASSET_REPORT","FQ4 2023","FQ4 2023","Currency=USD","Period=FQ","BEST_FPERIOD_OVERRIDE=FQ","FILING_STATUS=MR","SCALING_FORMAT=MLN","Sort=A","Dates=H","DateFormat=P","Fill=—","Direction=H","UseDPDF=Y")</f>
        <v>16085</v>
      </c>
      <c r="X15" s="13">
        <f>_xll.BDH("GILD US Equity","BS_CUR_ASSET_REPORT","FQ1 2024","FQ1 2024","Currency=USD","Period=FQ","BEST_FPERIOD_OVERRIDE=FQ","FILING_STATUS=MR","SCALING_FORMAT=MLN","Sort=A","Dates=H","DateFormat=P","Fill=—","Direction=H","UseDPDF=Y")</f>
        <v>14041</v>
      </c>
      <c r="Y15" s="13">
        <f>_xll.BDH("GILD US Equity","BS_CUR_ASSET_REPORT","FQ2 2024","FQ2 2024","Currency=USD","Period=FQ","BEST_FPERIOD_OVERRIDE=FQ","FILING_STATUS=MR","SCALING_FORMAT=MLN","Sort=A","Dates=H","DateFormat=P","Fill=—","Direction=H","UseDPDF=Y")</f>
        <v>12317</v>
      </c>
      <c r="Z15" s="13">
        <f>_xll.BDH("GILD US Equity","BS_CUR_ASSET_REPORT","FQ3 2024","FQ3 2024","Currency=USD","Period=FQ","BEST_FPERIOD_OVERRIDE=FQ","FILING_STATUS=MR","SCALING_FORMAT=MLN","Sort=A","Dates=H","DateFormat=P","Fill=—","Direction=H","UseDPDF=Y")</f>
        <v>14779</v>
      </c>
      <c r="AA15" s="13">
        <f>_xll.BDH("GILD US Equity","BS_CUR_ASSET_REPORT","FQ4 2024","FQ4 2024","Currency=USD","Period=FQ","BEST_FPERIOD_OVERRIDE=FQ","FILING_STATUS=MR","SCALING_FORMAT=MLN","Sort=A","Dates=H","DateFormat=P","Fill=—","Direction=H","UseDPDF=Y")</f>
        <v>19173</v>
      </c>
    </row>
    <row r="16" spans="1:27" x14ac:dyDescent="0.25">
      <c r="A16" s="10" t="s">
        <v>112</v>
      </c>
      <c r="B16" s="10" t="s">
        <v>113</v>
      </c>
      <c r="C16" s="13">
        <f>_xll.BDH("GILD US Equity","BS_TOT_ASSET","FQ4 2018","FQ4 2018","Currency=USD","Period=FQ","BEST_FPERIOD_OVERRIDE=FQ","FILING_STATUS=MR","SCALING_FORMAT=MLN","Sort=A","Dates=H","DateFormat=P","Fill=—","Direction=H","UseDPDF=Y")</f>
        <v>63675</v>
      </c>
      <c r="D16" s="13">
        <f>_xll.BDH("GILD US Equity","BS_TOT_ASSET","FQ1 2019","FQ1 2019","Currency=USD","Period=FQ","BEST_FPERIOD_OVERRIDE=FQ","FILING_STATUS=MR","SCALING_FORMAT=MLN","Sort=A","Dates=H","DateFormat=P","Fill=—","Direction=H","UseDPDF=Y")</f>
        <v>62837</v>
      </c>
      <c r="E16" s="13">
        <f>_xll.BDH("GILD US Equity","BS_TOT_ASSET","FQ2 2019","FQ2 2019","Currency=USD","Period=FQ","BEST_FPERIOD_OVERRIDE=FQ","FILING_STATUS=MR","SCALING_FORMAT=MLN","Sort=A","Dates=H","DateFormat=P","Fill=—","Direction=H","UseDPDF=Y")</f>
        <v>63210</v>
      </c>
      <c r="F16" s="13">
        <f>_xll.BDH("GILD US Equity","BS_TOT_ASSET","FQ3 2019","FQ3 2019","Currency=USD","Period=FQ","BEST_FPERIOD_OVERRIDE=FQ","FILING_STATUS=MR","SCALING_FORMAT=MLN","Sort=A","Dates=H","DateFormat=P","Fill=—","Direction=H","UseDPDF=Y")</f>
        <v>59146</v>
      </c>
      <c r="G16" s="13">
        <f>_xll.BDH("GILD US Equity","BS_TOT_ASSET","FQ4 2019","FQ4 2019","Currency=USD","Period=FQ","BEST_FPERIOD_OVERRIDE=FQ","FILING_STATUS=MR","SCALING_FORMAT=MLN","Sort=A","Dates=H","DateFormat=P","Fill=—","Direction=H","UseDPDF=Y")</f>
        <v>61627</v>
      </c>
      <c r="H16" s="13">
        <f>_xll.BDH("GILD US Equity","BS_TOT_ASSET","FQ1 2020","FQ1 2020","Currency=USD","Period=FQ","BEST_FPERIOD_OVERRIDE=FQ","FILING_STATUS=MR","SCALING_FORMAT=MLN","Sort=A","Dates=H","DateFormat=P","Fill=—","Direction=H","UseDPDF=Y")</f>
        <v>59741</v>
      </c>
      <c r="I16" s="13">
        <f>_xll.BDH("GILD US Equity","BS_TOT_ASSET","FQ2 2020","FQ2 2020","Currency=USD","Period=FQ","BEST_FPERIOD_OVERRIDE=FQ","FILING_STATUS=MR","SCALING_FORMAT=MLN","Sort=A","Dates=H","DateFormat=P","Fill=—","Direction=H","UseDPDF=Y")</f>
        <v>55934</v>
      </c>
      <c r="J16" s="13">
        <f>_xll.BDH("GILD US Equity","BS_TOT_ASSET","FQ3 2020","FQ3 2020","Currency=USD","Period=FQ","BEST_FPERIOD_OVERRIDE=FQ","FILING_STATUS=MR","SCALING_FORMAT=MLN","Sort=A","Dates=H","DateFormat=P","Fill=—","Direction=H","UseDPDF=Y")</f>
        <v>60878</v>
      </c>
      <c r="K16" s="13">
        <f>_xll.BDH("GILD US Equity","BS_TOT_ASSET","FQ4 2020","FQ4 2020","Currency=USD","Period=FQ","BEST_FPERIOD_OVERRIDE=FQ","FILING_STATUS=MR","SCALING_FORMAT=MLN","Sort=A","Dates=H","DateFormat=P","Fill=—","Direction=H","UseDPDF=Y")</f>
        <v>68407</v>
      </c>
      <c r="L16" s="13">
        <f>_xll.BDH("GILD US Equity","BS_TOT_ASSET","FQ1 2021","FQ1 2021","Currency=USD","Period=FQ","BEST_FPERIOD_OVERRIDE=FQ","FILING_STATUS=MR","SCALING_FORMAT=MLN","Sort=A","Dates=H","DateFormat=P","Fill=—","Direction=H","UseDPDF=Y")</f>
        <v>67492</v>
      </c>
      <c r="M16" s="13">
        <f>_xll.BDH("GILD US Equity","BS_TOT_ASSET","FQ2 2021","FQ2 2021","Currency=USD","Period=FQ","BEST_FPERIOD_OVERRIDE=FQ","FILING_STATUS=MR","SCALING_FORMAT=MLN","Sort=A","Dates=H","DateFormat=P","Fill=—","Direction=H","UseDPDF=Y")</f>
        <v>67984</v>
      </c>
      <c r="N16" s="13">
        <f>_xll.BDH("GILD US Equity","BS_TOT_ASSET","FQ3 2021","FQ3 2021","Currency=USD","Period=FQ","BEST_FPERIOD_OVERRIDE=FQ","FILING_STATUS=MR","SCALING_FORMAT=MLN","Sort=A","Dates=H","DateFormat=P","Fill=—","Direction=H","UseDPDF=Y")</f>
        <v>67098</v>
      </c>
      <c r="O16" s="13">
        <f>_xll.BDH("GILD US Equity","BS_TOT_ASSET","FQ4 2021","FQ4 2021","Currency=USD","Period=FQ","BEST_FPERIOD_OVERRIDE=FQ","FILING_STATUS=MR","SCALING_FORMAT=MLN","Sort=A","Dates=H","DateFormat=P","Fill=—","Direction=H","UseDPDF=Y")</f>
        <v>67952</v>
      </c>
      <c r="P16" s="13">
        <f>_xll.BDH("GILD US Equity","BS_TOT_ASSET","FQ1 2022","FQ1 2022","Currency=USD","Period=FQ","BEST_FPERIOD_OVERRIDE=FQ","FILING_STATUS=MR","SCALING_FORMAT=MLN","Sort=A","Dates=H","DateFormat=P","Fill=—","Direction=H","UseDPDF=Y")</f>
        <v>63080</v>
      </c>
      <c r="Q16" s="13">
        <f>_xll.BDH("GILD US Equity","BS_TOT_ASSET","FQ2 2022","FQ2 2022","Currency=USD","Period=FQ","BEST_FPERIOD_OVERRIDE=FQ","FILING_STATUS=MR","SCALING_FORMAT=MLN","Sort=A","Dates=H","DateFormat=P","Fill=—","Direction=H","UseDPDF=Y")</f>
        <v>62870</v>
      </c>
      <c r="R16" s="13">
        <f>_xll.BDH("GILD US Equity","BS_TOT_ASSET","FQ3 2022","FQ3 2022","Currency=USD","Period=FQ","BEST_FPERIOD_OVERRIDE=FQ","FILING_STATUS=MR","SCALING_FORMAT=MLN","Sort=A","Dates=H","DateFormat=P","Fill=—","Direction=H","UseDPDF=Y")</f>
        <v>62557</v>
      </c>
      <c r="S16" s="13">
        <f>_xll.BDH("GILD US Equity","BS_TOT_ASSET","FQ4 2022","FQ4 2022","Currency=USD","Period=FQ","BEST_FPERIOD_OVERRIDE=FQ","FILING_STATUS=MR","SCALING_FORMAT=MLN","Sort=A","Dates=H","DateFormat=P","Fill=—","Direction=H","UseDPDF=Y")</f>
        <v>63171</v>
      </c>
      <c r="T16" s="13">
        <f>_xll.BDH("GILD US Equity","BS_TOT_ASSET","FQ1 2023","FQ1 2023","Currency=USD","Period=FQ","BEST_FPERIOD_OVERRIDE=FQ","FILING_STATUS=MR","SCALING_FORMAT=MLN","Sort=A","Dates=H","DateFormat=P","Fill=—","Direction=H","UseDPDF=Y")</f>
        <v>61876</v>
      </c>
      <c r="U16" s="13">
        <f>_xll.BDH("GILD US Equity","BS_TOT_ASSET","FQ2 2023","FQ2 2023","Currency=USD","Period=FQ","BEST_FPERIOD_OVERRIDE=FQ","FILING_STATUS=MR","SCALING_FORMAT=MLN","Sort=A","Dates=H","DateFormat=P","Fill=—","Direction=H","UseDPDF=Y")</f>
        <v>62337</v>
      </c>
      <c r="V16" s="13">
        <f>_xll.BDH("GILD US Equity","BS_TOT_ASSET","FQ3 2023","FQ3 2023","Currency=USD","Period=FQ","BEST_FPERIOD_OVERRIDE=FQ","FILING_STATUS=MR","SCALING_FORMAT=MLN","Sort=A","Dates=H","DateFormat=P","Fill=—","Direction=H","UseDPDF=Y")</f>
        <v>62373</v>
      </c>
      <c r="W16" s="13">
        <f>_xll.BDH("GILD US Equity","BS_TOT_ASSET","FQ4 2023","FQ4 2023","Currency=USD","Period=FQ","BEST_FPERIOD_OVERRIDE=FQ","FILING_STATUS=MR","SCALING_FORMAT=MLN","Sort=A","Dates=H","DateFormat=P","Fill=—","Direction=H","UseDPDF=Y")</f>
        <v>62125</v>
      </c>
      <c r="X16" s="13">
        <f>_xll.BDH("GILD US Equity","BS_TOT_ASSET","FQ1 2024","FQ1 2024","Currency=USD","Period=FQ","BEST_FPERIOD_OVERRIDE=FQ","FILING_STATUS=MR","SCALING_FORMAT=MLN","Sort=A","Dates=H","DateFormat=P","Fill=—","Direction=H","UseDPDF=Y")</f>
        <v>56292</v>
      </c>
      <c r="Y16" s="13">
        <f>_xll.BDH("GILD US Equity","BS_TOT_ASSET","FQ2 2024","FQ2 2024","Currency=USD","Period=FQ","BEST_FPERIOD_OVERRIDE=FQ","FILING_STATUS=MR","SCALING_FORMAT=MLN","Sort=A","Dates=H","DateFormat=P","Fill=—","Direction=H","UseDPDF=Y")</f>
        <v>53579</v>
      </c>
      <c r="Z16" s="13">
        <f>_xll.BDH("GILD US Equity","BS_TOT_ASSET","FQ3 2024","FQ3 2024","Currency=USD","Period=FQ","BEST_FPERIOD_OVERRIDE=FQ","FILING_STATUS=MR","SCALING_FORMAT=MLN","Sort=A","Dates=H","DateFormat=P","Fill=—","Direction=H","UseDPDF=Y")</f>
        <v>54525</v>
      </c>
      <c r="AA16" s="13">
        <f>_xll.BDH("GILD US Equity","BS_TOT_ASSET","FQ4 2024","FQ4 2024","Currency=USD","Period=FQ","BEST_FPERIOD_OVERRIDE=FQ","FILING_STATUS=MR","SCALING_FORMAT=MLN","Sort=A","Dates=H","DateFormat=P","Fill=—","Direction=H","UseDPDF=Y")</f>
        <v>58995</v>
      </c>
    </row>
    <row r="17" spans="1:27" x14ac:dyDescent="0.25">
      <c r="A17" s="10" t="s">
        <v>114</v>
      </c>
      <c r="B17" s="10" t="s">
        <v>115</v>
      </c>
      <c r="C17" s="13">
        <f>_xll.BDH("GILD US Equity","BS_CUR_LIAB","FQ4 2018","FQ4 2018","Currency=USD","Period=FQ","BEST_FPERIOD_OVERRIDE=FQ","FILING_STATUS=MR","SCALING_FORMAT=MLN","Sort=A","Dates=H","DateFormat=P","Fill=—","Direction=H","UseDPDF=Y")</f>
        <v>10605</v>
      </c>
      <c r="D17" s="13">
        <f>_xll.BDH("GILD US Equity","BS_CUR_LIAB","FQ1 2019","FQ1 2019","Currency=USD","Period=FQ","BEST_FPERIOD_OVERRIDE=FQ","FILING_STATUS=MR","SCALING_FORMAT=MLN","Sort=A","Dates=H","DateFormat=P","Fill=—","Direction=H","UseDPDF=Y")</f>
        <v>9397</v>
      </c>
      <c r="E17" s="13">
        <f>_xll.BDH("GILD US Equity","BS_CUR_LIAB","FQ2 2019","FQ2 2019","Currency=USD","Period=FQ","BEST_FPERIOD_OVERRIDE=FQ","FILING_STATUS=MR","SCALING_FORMAT=MLN","Sort=A","Dates=H","DateFormat=P","Fill=—","Direction=H","UseDPDF=Y")</f>
        <v>8961</v>
      </c>
      <c r="F17" s="13">
        <f>_xll.BDH("GILD US Equity","BS_CUR_LIAB","FQ3 2019","FQ3 2019","Currency=USD","Period=FQ","BEST_FPERIOD_OVERRIDE=FQ","FILING_STATUS=MR","SCALING_FORMAT=MLN","Sort=A","Dates=H","DateFormat=P","Fill=—","Direction=H","UseDPDF=Y")</f>
        <v>9567</v>
      </c>
      <c r="G17" s="13">
        <f>_xll.BDH("GILD US Equity","BS_CUR_LIAB","FQ4 2019","FQ4 2019","Currency=USD","Period=FQ","BEST_FPERIOD_OVERRIDE=FQ","FILING_STATUS=MR","SCALING_FORMAT=MLN","Sort=A","Dates=H","DateFormat=P","Fill=—","Direction=H","UseDPDF=Y")</f>
        <v>9759</v>
      </c>
      <c r="H17" s="13">
        <f>_xll.BDH("GILD US Equity","BS_CUR_LIAB","FQ1 2020","FQ1 2020","Currency=USD","Period=FQ","BEST_FPERIOD_OVERRIDE=FQ","FILING_STATUS=MR","SCALING_FORMAT=MLN","Sort=A","Dates=H","DateFormat=P","Fill=—","Direction=H","UseDPDF=Y")</f>
        <v>8879</v>
      </c>
      <c r="I17" s="13">
        <f>_xll.BDH("GILD US Equity","BS_CUR_LIAB","FQ2 2020","FQ2 2020","Currency=USD","Period=FQ","BEST_FPERIOD_OVERRIDE=FQ","FILING_STATUS=MR","SCALING_FORMAT=MLN","Sort=A","Dates=H","DateFormat=P","Fill=—","Direction=H","UseDPDF=Y")</f>
        <v>10564</v>
      </c>
      <c r="J17" s="13">
        <f>_xll.BDH("GILD US Equity","BS_CUR_LIAB","FQ3 2020","FQ3 2020","Currency=USD","Period=FQ","BEST_FPERIOD_OVERRIDE=FQ","FILING_STATUS=MR","SCALING_FORMAT=MLN","Sort=A","Dates=H","DateFormat=P","Fill=—","Direction=H","UseDPDF=Y")</f>
        <v>9509</v>
      </c>
      <c r="K17" s="13">
        <f>_xll.BDH("GILD US Equity","BS_CUR_LIAB","FQ4 2020","FQ4 2020","Currency=USD","Period=FQ","BEST_FPERIOD_OVERRIDE=FQ","FILING_STATUS=MR","SCALING_FORMAT=MLN","Sort=A","Dates=H","DateFormat=P","Fill=—","Direction=H","UseDPDF=Y")</f>
        <v>11397</v>
      </c>
      <c r="L17" s="13">
        <f>_xll.BDH("GILD US Equity","BS_CUR_LIAB","FQ1 2021","FQ1 2021","Currency=USD","Period=FQ","BEST_FPERIOD_OVERRIDE=FQ","FILING_STATUS=MR","SCALING_FORMAT=MLN","Sort=A","Dates=H","DateFormat=P","Fill=—","Direction=H","UseDPDF=Y")</f>
        <v>9705</v>
      </c>
      <c r="M17" s="13">
        <f>_xll.BDH("GILD US Equity","BS_CUR_LIAB","FQ2 2021","FQ2 2021","Currency=USD","Period=FQ","BEST_FPERIOD_OVERRIDE=FQ","FILING_STATUS=MR","SCALING_FORMAT=MLN","Sort=A","Dates=H","DateFormat=P","Fill=—","Direction=H","UseDPDF=Y")</f>
        <v>10214</v>
      </c>
      <c r="N17" s="13">
        <f>_xll.BDH("GILD US Equity","BS_CUR_LIAB","FQ3 2021","FQ3 2021","Currency=USD","Period=FQ","BEST_FPERIOD_OVERRIDE=FQ","FILING_STATUS=MR","SCALING_FORMAT=MLN","Sort=A","Dates=H","DateFormat=P","Fill=—","Direction=H","UseDPDF=Y")</f>
        <v>10245</v>
      </c>
      <c r="O17" s="13">
        <f>_xll.BDH("GILD US Equity","BS_CUR_LIAB","FQ4 2021","FQ4 2021","Currency=USD","Period=FQ","BEST_FPERIOD_OVERRIDE=FQ","FILING_STATUS=MR","SCALING_FORMAT=MLN","Sort=A","Dates=H","DateFormat=P","Fill=—","Direction=H","UseDPDF=Y")</f>
        <v>11610</v>
      </c>
      <c r="P17" s="13">
        <f>_xll.BDH("GILD US Equity","BS_CUR_LIAB","FQ1 2022","FQ1 2022","Currency=USD","Period=FQ","BEST_FPERIOD_OVERRIDE=FQ","FILING_STATUS=MR","SCALING_FORMAT=MLN","Sort=A","Dates=H","DateFormat=P","Fill=—","Direction=H","UseDPDF=Y")</f>
        <v>8558</v>
      </c>
      <c r="Q17" s="13">
        <f>_xll.BDH("GILD US Equity","BS_CUR_LIAB","FQ2 2022","FQ2 2022","Currency=USD","Period=FQ","BEST_FPERIOD_OVERRIDE=FQ","FILING_STATUS=MR","SCALING_FORMAT=MLN","Sort=A","Dates=H","DateFormat=P","Fill=—","Direction=H","UseDPDF=Y")</f>
        <v>9220</v>
      </c>
      <c r="R17" s="13">
        <f>_xll.BDH("GILD US Equity","BS_CUR_LIAB","FQ3 2022","FQ3 2022","Currency=USD","Period=FQ","BEST_FPERIOD_OVERRIDE=FQ","FILING_STATUS=MR","SCALING_FORMAT=MLN","Sort=A","Dates=H","DateFormat=P","Fill=—","Direction=H","UseDPDF=Y")</f>
        <v>10423</v>
      </c>
      <c r="S17" s="13">
        <f>_xll.BDH("GILD US Equity","BS_CUR_LIAB","FQ4 2022","FQ4 2022","Currency=USD","Period=FQ","BEST_FPERIOD_OVERRIDE=FQ","FILING_STATUS=MR","SCALING_FORMAT=MLN","Sort=A","Dates=H","DateFormat=P","Fill=—","Direction=H","UseDPDF=Y")</f>
        <v>11237</v>
      </c>
      <c r="T17" s="13">
        <f>_xll.BDH("GILD US Equity","BS_CUR_LIAB","FQ1 2023","FQ1 2023","Currency=USD","Period=FQ","BEST_FPERIOD_OVERRIDE=FQ","FILING_STATUS=MR","SCALING_FORMAT=MLN","Sort=A","Dates=H","DateFormat=P","Fill=—","Direction=H","UseDPDF=Y")</f>
        <v>10528</v>
      </c>
      <c r="U17" s="13">
        <f>_xll.BDH("GILD US Equity","BS_CUR_LIAB","FQ2 2023","FQ2 2023","Currency=USD","Period=FQ","BEST_FPERIOD_OVERRIDE=FQ","FILING_STATUS=MR","SCALING_FORMAT=MLN","Sort=A","Dates=H","DateFormat=P","Fill=—","Direction=H","UseDPDF=Y")</f>
        <v>13964</v>
      </c>
      <c r="V17" s="13">
        <f>_xll.BDH("GILD US Equity","BS_CUR_LIAB","FQ3 2023","FQ3 2023","Currency=USD","Period=FQ","BEST_FPERIOD_OVERRIDE=FQ","FILING_STATUS=MR","SCALING_FORMAT=MLN","Sort=A","Dates=H","DateFormat=P","Fill=—","Direction=H","UseDPDF=Y")</f>
        <v>11945</v>
      </c>
      <c r="W17" s="13">
        <f>_xll.BDH("GILD US Equity","BS_CUR_LIAB","FQ4 2023","FQ4 2023","Currency=USD","Period=FQ","BEST_FPERIOD_OVERRIDE=FQ","FILING_STATUS=MR","SCALING_FORMAT=MLN","Sort=A","Dates=H","DateFormat=P","Fill=—","Direction=H","UseDPDF=Y")</f>
        <v>11280</v>
      </c>
      <c r="X17" s="13">
        <f>_xll.BDH("GILD US Equity","BS_CUR_LIAB","FQ1 2024","FQ1 2024","Currency=USD","Period=FQ","BEST_FPERIOD_OVERRIDE=FQ","FILING_STATUS=MR","SCALING_FORMAT=MLN","Sort=A","Dates=H","DateFormat=P","Fill=—","Direction=H","UseDPDF=Y")</f>
        <v>13015</v>
      </c>
      <c r="Y17" s="13">
        <f>_xll.BDH("GILD US Equity","BS_CUR_LIAB","FQ2 2024","FQ2 2024","Currency=USD","Period=FQ","BEST_FPERIOD_OVERRIDE=FQ","FILING_STATUS=MR","SCALING_FORMAT=MLN","Sort=A","Dates=H","DateFormat=P","Fill=—","Direction=H","UseDPDF=Y")</f>
        <v>10781</v>
      </c>
      <c r="Z17" s="13">
        <f>_xll.BDH("GILD US Equity","BS_CUR_LIAB","FQ3 2024","FQ3 2024","Currency=USD","Period=FQ","BEST_FPERIOD_OVERRIDE=FQ","FILING_STATUS=MR","SCALING_FORMAT=MLN","Sort=A","Dates=H","DateFormat=P","Fill=—","Direction=H","UseDPDF=Y")</f>
        <v>11725</v>
      </c>
      <c r="AA17" s="13">
        <f>_xll.BDH("GILD US Equity","BS_CUR_LIAB","FQ4 2024","FQ4 2024","Currency=USD","Period=FQ","BEST_FPERIOD_OVERRIDE=FQ","FILING_STATUS=MR","SCALING_FORMAT=MLN","Sort=A","Dates=H","DateFormat=P","Fill=—","Direction=H","UseDPDF=Y")</f>
        <v>12004</v>
      </c>
    </row>
    <row r="18" spans="1:27" x14ac:dyDescent="0.25">
      <c r="A18" s="10" t="s">
        <v>116</v>
      </c>
      <c r="B18" s="10" t="s">
        <v>117</v>
      </c>
      <c r="C18" s="13">
        <f>_xll.BDH("GILD US Equity","BS_TOT_LIAB2","FQ4 2018","FQ4 2018","Currency=USD","Period=FQ","BEST_FPERIOD_OVERRIDE=FQ","FILING_STATUS=MR","SCALING_FORMAT=MLN","Sort=A","Dates=H","DateFormat=P","Fill=—","Direction=H","UseDPDF=Y")</f>
        <v>42141</v>
      </c>
      <c r="D18" s="13">
        <f>_xll.BDH("GILD US Equity","BS_TOT_LIAB2","FQ1 2019","FQ1 2019","Currency=USD","Period=FQ","BEST_FPERIOD_OVERRIDE=FQ","FILING_STATUS=MR","SCALING_FORMAT=MLN","Sort=A","Dates=H","DateFormat=P","Fill=—","Direction=H","UseDPDF=Y")</f>
        <v>40746</v>
      </c>
      <c r="E18" s="13">
        <f>_xll.BDH("GILD US Equity","BS_TOT_LIAB2","FQ2 2019","FQ2 2019","Currency=USD","Period=FQ","BEST_FPERIOD_OVERRIDE=FQ","FILING_STATUS=MR","SCALING_FORMAT=MLN","Sort=A","Dates=H","DateFormat=P","Fill=—","Direction=H","UseDPDF=Y")</f>
        <v>40459</v>
      </c>
      <c r="F18" s="13">
        <f>_xll.BDH("GILD US Equity","BS_TOT_LIAB2","FQ3 2019","FQ3 2019","Currency=USD","Period=FQ","BEST_FPERIOD_OVERRIDE=FQ","FILING_STATUS=MR","SCALING_FORMAT=MLN","Sort=A","Dates=H","DateFormat=P","Fill=—","Direction=H","UseDPDF=Y")</f>
        <v>38410</v>
      </c>
      <c r="G18" s="13">
        <f>_xll.BDH("GILD US Equity","BS_TOT_LIAB2","FQ4 2019","FQ4 2019","Currency=USD","Period=FQ","BEST_FPERIOD_OVERRIDE=FQ","FILING_STATUS=MR","SCALING_FORMAT=MLN","Sort=A","Dates=H","DateFormat=P","Fill=—","Direction=H","UseDPDF=Y")</f>
        <v>38977</v>
      </c>
      <c r="H18" s="13">
        <f>_xll.BDH("GILD US Equity","BS_TOT_LIAB2","FQ1 2020","FQ1 2020","Currency=USD","Period=FQ","BEST_FPERIOD_OVERRIDE=FQ","FILING_STATUS=MR","SCALING_FORMAT=MLN","Sort=A","Dates=H","DateFormat=P","Fill=—","Direction=H","UseDPDF=Y")</f>
        <v>37562</v>
      </c>
      <c r="I18" s="13">
        <f>_xll.BDH("GILD US Equity","BS_TOT_LIAB2","FQ2 2020","FQ2 2020","Currency=USD","Period=FQ","BEST_FPERIOD_OVERRIDE=FQ","FILING_STATUS=MR","SCALING_FORMAT=MLN","Sort=A","Dates=H","DateFormat=P","Fill=—","Direction=H","UseDPDF=Y")</f>
        <v>37792</v>
      </c>
      <c r="J18" s="13">
        <f>_xll.BDH("GILD US Equity","BS_TOT_LIAB2","FQ3 2020","FQ3 2020","Currency=USD","Period=FQ","BEST_FPERIOD_OVERRIDE=FQ","FILING_STATUS=MR","SCALING_FORMAT=MLN","Sort=A","Dates=H","DateFormat=P","Fill=—","Direction=H","UseDPDF=Y")</f>
        <v>43407</v>
      </c>
      <c r="K18" s="13">
        <f>_xll.BDH("GILD US Equity","BS_TOT_LIAB2","FQ4 2020","FQ4 2020","Currency=USD","Period=FQ","BEST_FPERIOD_OVERRIDE=FQ","FILING_STATUS=MR","SCALING_FORMAT=MLN","Sort=A","Dates=H","DateFormat=P","Fill=—","Direction=H","UseDPDF=Y")</f>
        <v>50186</v>
      </c>
      <c r="L18" s="13">
        <f>_xll.BDH("GILD US Equity","BS_TOT_LIAB2","FQ1 2021","FQ1 2021","Currency=USD","Period=FQ","BEST_FPERIOD_OVERRIDE=FQ","FILING_STATUS=MR","SCALING_FORMAT=MLN","Sort=A","Dates=H","DateFormat=P","Fill=—","Direction=H","UseDPDF=Y")</f>
        <v>48528</v>
      </c>
      <c r="M18" s="13">
        <f>_xll.BDH("GILD US Equity","BS_TOT_LIAB2","FQ2 2021","FQ2 2021","Currency=USD","Period=FQ","BEST_FPERIOD_OVERRIDE=FQ","FILING_STATUS=MR","SCALING_FORMAT=MLN","Sort=A","Dates=H","DateFormat=P","Fill=—","Direction=H","UseDPDF=Y")</f>
        <v>48274</v>
      </c>
      <c r="N18" s="13">
        <f>_xll.BDH("GILD US Equity","BS_TOT_LIAB2","FQ3 2021","FQ3 2021","Currency=USD","Period=FQ","BEST_FPERIOD_OVERRIDE=FQ","FILING_STATUS=MR","SCALING_FORMAT=MLN","Sort=A","Dates=H","DateFormat=P","Fill=—","Direction=H","UseDPDF=Y")</f>
        <v>45627</v>
      </c>
      <c r="O18" s="13">
        <f>_xll.BDH("GILD US Equity","BS_TOT_LIAB2","FQ4 2021","FQ4 2021","Currency=USD","Period=FQ","BEST_FPERIOD_OVERRIDE=FQ","FILING_STATUS=MR","SCALING_FORMAT=MLN","Sort=A","Dates=H","DateFormat=P","Fill=—","Direction=H","UseDPDF=Y")</f>
        <v>46888</v>
      </c>
      <c r="P18" s="13">
        <f>_xll.BDH("GILD US Equity","BS_TOT_LIAB2","FQ1 2022","FQ1 2022","Currency=USD","Period=FQ","BEST_FPERIOD_OVERRIDE=FQ","FILING_STATUS=MR","SCALING_FORMAT=MLN","Sort=A","Dates=H","DateFormat=P","Fill=—","Direction=H","UseDPDF=Y")</f>
        <v>43165</v>
      </c>
      <c r="Q18" s="13">
        <f>_xll.BDH("GILD US Equity","BS_TOT_LIAB2","FQ2 2022","FQ2 2022","Currency=USD","Period=FQ","BEST_FPERIOD_OVERRIDE=FQ","FILING_STATUS=MR","SCALING_FORMAT=MLN","Sort=A","Dates=H","DateFormat=P","Fill=—","Direction=H","UseDPDF=Y")</f>
        <v>42655</v>
      </c>
      <c r="R18" s="13">
        <f>_xll.BDH("GILD US Equity","BS_TOT_LIAB2","FQ3 2022","FQ3 2022","Currency=USD","Period=FQ","BEST_FPERIOD_OVERRIDE=FQ","FILING_STATUS=MR","SCALING_FORMAT=MLN","Sort=A","Dates=H","DateFormat=P","Fill=—","Direction=H","UseDPDF=Y")</f>
        <v>41500</v>
      </c>
      <c r="S18" s="13">
        <f>_xll.BDH("GILD US Equity","BS_TOT_LIAB2","FQ4 2022","FQ4 2022","Currency=USD","Period=FQ","BEST_FPERIOD_OVERRIDE=FQ","FILING_STATUS=MR","SCALING_FORMAT=MLN","Sort=A","Dates=H","DateFormat=P","Fill=—","Direction=H","UseDPDF=Y")</f>
        <v>41962</v>
      </c>
      <c r="T18" s="13">
        <f>_xll.BDH("GILD US Equity","BS_TOT_LIAB2","FQ1 2023","FQ1 2023","Currency=USD","Period=FQ","BEST_FPERIOD_OVERRIDE=FQ","FILING_STATUS=MR","SCALING_FORMAT=MLN","Sort=A","Dates=H","DateFormat=P","Fill=—","Direction=H","UseDPDF=Y")</f>
        <v>40937</v>
      </c>
      <c r="U18" s="13">
        <f>_xll.BDH("GILD US Equity","BS_TOT_LIAB2","FQ2 2023","FQ2 2023","Currency=USD","Period=FQ","BEST_FPERIOD_OVERRIDE=FQ","FILING_STATUS=MR","SCALING_FORMAT=MLN","Sort=A","Dates=H","DateFormat=P","Fill=—","Direction=H","UseDPDF=Y")</f>
        <v>41243</v>
      </c>
      <c r="V18" s="13">
        <f>_xll.BDH("GILD US Equity","BS_TOT_LIAB2","FQ3 2023","FQ3 2023","Currency=USD","Period=FQ","BEST_FPERIOD_OVERRIDE=FQ","FILING_STATUS=MR","SCALING_FORMAT=MLN","Sort=A","Dates=H","DateFormat=P","Fill=—","Direction=H","UseDPDF=Y")</f>
        <v>40130</v>
      </c>
      <c r="W18" s="13">
        <f>_xll.BDH("GILD US Equity","BS_TOT_LIAB2","FQ4 2023","FQ4 2023","Currency=USD","Period=FQ","BEST_FPERIOD_OVERRIDE=FQ","FILING_STATUS=MR","SCALING_FORMAT=MLN","Sort=A","Dates=H","DateFormat=P","Fill=—","Direction=H","UseDPDF=Y")</f>
        <v>39376</v>
      </c>
      <c r="X18" s="13">
        <f>_xll.BDH("GILD US Equity","BS_TOT_LIAB2","FQ1 2024","FQ1 2024","Currency=USD","Period=FQ","BEST_FPERIOD_OVERRIDE=FQ","FILING_STATUS=MR","SCALING_FORMAT=MLN","Sort=A","Dates=H","DateFormat=P","Fill=—","Direction=H","UseDPDF=Y")</f>
        <v>38837</v>
      </c>
      <c r="Y18" s="13">
        <f>_xll.BDH("GILD US Equity","BS_TOT_LIAB2","FQ2 2024","FQ2 2024","Currency=USD","Period=FQ","BEST_FPERIOD_OVERRIDE=FQ","FILING_STATUS=MR","SCALING_FORMAT=MLN","Sort=A","Dates=H","DateFormat=P","Fill=—","Direction=H","UseDPDF=Y")</f>
        <v>35382</v>
      </c>
      <c r="Z18" s="13">
        <f>_xll.BDH("GILD US Equity","BS_TOT_LIAB2","FQ3 2024","FQ3 2024","Currency=USD","Period=FQ","BEST_FPERIOD_OVERRIDE=FQ","FILING_STATUS=MR","SCALING_FORMAT=MLN","Sort=A","Dates=H","DateFormat=P","Fill=—","Direction=H","UseDPDF=Y")</f>
        <v>36135</v>
      </c>
      <c r="AA18" s="13">
        <f>_xll.BDH("GILD US Equity","BS_TOT_LIAB2","FQ4 2024","FQ4 2024","Currency=USD","Period=FQ","BEST_FPERIOD_OVERRIDE=FQ","FILING_STATUS=MR","SCALING_FORMAT=MLN","Sort=A","Dates=H","DateFormat=P","Fill=—","Direction=H","UseDPDF=Y")</f>
        <v>39749</v>
      </c>
    </row>
    <row r="19" spans="1:27" x14ac:dyDescent="0.25">
      <c r="A19" s="10" t="s">
        <v>118</v>
      </c>
      <c r="B19" s="10" t="s">
        <v>119</v>
      </c>
      <c r="C19" s="13">
        <f>_xll.BDH("GILD US Equity","TOTAL_EQUITY","FQ4 2018","FQ4 2018","Currency=USD","Period=FQ","BEST_FPERIOD_OVERRIDE=FQ","FILING_STATUS=MR","SCALING_FORMAT=MLN","Sort=A","Dates=H","DateFormat=P","Fill=—","Direction=H","UseDPDF=Y")</f>
        <v>21534</v>
      </c>
      <c r="D19" s="13">
        <f>_xll.BDH("GILD US Equity","TOTAL_EQUITY","FQ1 2019","FQ1 2019","Currency=USD","Period=FQ","BEST_FPERIOD_OVERRIDE=FQ","FILING_STATUS=MR","SCALING_FORMAT=MLN","Sort=A","Dates=H","DateFormat=P","Fill=—","Direction=H","UseDPDF=Y")</f>
        <v>22091</v>
      </c>
      <c r="E19" s="13">
        <f>_xll.BDH("GILD US Equity","TOTAL_EQUITY","FQ2 2019","FQ2 2019","Currency=USD","Period=FQ","BEST_FPERIOD_OVERRIDE=FQ","FILING_STATUS=MR","SCALING_FORMAT=MLN","Sort=A","Dates=H","DateFormat=P","Fill=—","Direction=H","UseDPDF=Y")</f>
        <v>22751</v>
      </c>
      <c r="F19" s="13">
        <f>_xll.BDH("GILD US Equity","TOTAL_EQUITY","FQ3 2019","FQ3 2019","Currency=USD","Period=FQ","BEST_FPERIOD_OVERRIDE=FQ","FILING_STATUS=MR","SCALING_FORMAT=MLN","Sort=A","Dates=H","DateFormat=P","Fill=—","Direction=H","UseDPDF=Y")</f>
        <v>20736</v>
      </c>
      <c r="G19" s="13">
        <f>_xll.BDH("GILD US Equity","TOTAL_EQUITY","FQ4 2019","FQ4 2019","Currency=USD","Period=FQ","BEST_FPERIOD_OVERRIDE=FQ","FILING_STATUS=MR","SCALING_FORMAT=MLN","Sort=A","Dates=H","DateFormat=P","Fill=—","Direction=H","UseDPDF=Y")</f>
        <v>22650</v>
      </c>
      <c r="H19" s="13">
        <f>_xll.BDH("GILD US Equity","TOTAL_EQUITY","FQ1 2020","FQ1 2020","Currency=USD","Period=FQ","BEST_FPERIOD_OVERRIDE=FQ","FILING_STATUS=MR","SCALING_FORMAT=MLN","Sort=A","Dates=H","DateFormat=P","Fill=—","Direction=H","UseDPDF=Y")</f>
        <v>22179</v>
      </c>
      <c r="I19" s="13">
        <f>_xll.BDH("GILD US Equity","TOTAL_EQUITY","FQ2 2020","FQ2 2020","Currency=USD","Period=FQ","BEST_FPERIOD_OVERRIDE=FQ","FILING_STATUS=MR","SCALING_FORMAT=MLN","Sort=A","Dates=H","DateFormat=P","Fill=—","Direction=H","UseDPDF=Y")</f>
        <v>18142</v>
      </c>
      <c r="J19" s="13">
        <f>_xll.BDH("GILD US Equity","TOTAL_EQUITY","FQ3 2020","FQ3 2020","Currency=USD","Period=FQ","BEST_FPERIOD_OVERRIDE=FQ","FILING_STATUS=MR","SCALING_FORMAT=MLN","Sort=A","Dates=H","DateFormat=P","Fill=—","Direction=H","UseDPDF=Y")</f>
        <v>17471</v>
      </c>
      <c r="K19" s="13">
        <f>_xll.BDH("GILD US Equity","TOTAL_EQUITY","FQ4 2020","FQ4 2020","Currency=USD","Period=FQ","BEST_FPERIOD_OVERRIDE=FQ","FILING_STATUS=MR","SCALING_FORMAT=MLN","Sort=A","Dates=H","DateFormat=P","Fill=—","Direction=H","UseDPDF=Y")</f>
        <v>18221</v>
      </c>
      <c r="L19" s="13">
        <f>_xll.BDH("GILD US Equity","TOTAL_EQUITY","FQ1 2021","FQ1 2021","Currency=USD","Period=FQ","BEST_FPERIOD_OVERRIDE=FQ","FILING_STATUS=MR","SCALING_FORMAT=MLN","Sort=A","Dates=H","DateFormat=P","Fill=—","Direction=H","UseDPDF=Y")</f>
        <v>18964</v>
      </c>
      <c r="M19" s="13">
        <f>_xll.BDH("GILD US Equity","TOTAL_EQUITY","FQ2 2021","FQ2 2021","Currency=USD","Period=FQ","BEST_FPERIOD_OVERRIDE=FQ","FILING_STATUS=MR","SCALING_FORMAT=MLN","Sort=A","Dates=H","DateFormat=P","Fill=—","Direction=H","UseDPDF=Y")</f>
        <v>19710</v>
      </c>
      <c r="N19" s="13">
        <f>_xll.BDH("GILD US Equity","TOTAL_EQUITY","FQ3 2021","FQ3 2021","Currency=USD","Period=FQ","BEST_FPERIOD_OVERRIDE=FQ","FILING_STATUS=MR","SCALING_FORMAT=MLN","Sort=A","Dates=H","DateFormat=P","Fill=—","Direction=H","UseDPDF=Y")</f>
        <v>21471</v>
      </c>
      <c r="O19" s="13">
        <f>_xll.BDH("GILD US Equity","TOTAL_EQUITY","FQ4 2021","FQ4 2021","Currency=USD","Period=FQ","BEST_FPERIOD_OVERRIDE=FQ","FILING_STATUS=MR","SCALING_FORMAT=MLN","Sort=A","Dates=H","DateFormat=P","Fill=—","Direction=H","UseDPDF=Y")</f>
        <v>21064</v>
      </c>
      <c r="P19" s="13">
        <f>_xll.BDH("GILD US Equity","TOTAL_EQUITY","FQ1 2022","FQ1 2022","Currency=USD","Period=FQ","BEST_FPERIOD_OVERRIDE=FQ","FILING_STATUS=MR","SCALING_FORMAT=MLN","Sort=A","Dates=H","DateFormat=P","Fill=—","Direction=H","UseDPDF=Y")</f>
        <v>19915</v>
      </c>
      <c r="Q19" s="13">
        <f>_xll.BDH("GILD US Equity","TOTAL_EQUITY","FQ2 2022","FQ2 2022","Currency=USD","Period=FQ","BEST_FPERIOD_OVERRIDE=FQ","FILING_STATUS=MR","SCALING_FORMAT=MLN","Sort=A","Dates=H","DateFormat=P","Fill=—","Direction=H","UseDPDF=Y")</f>
        <v>20215</v>
      </c>
      <c r="R19" s="13">
        <f>_xll.BDH("GILD US Equity","TOTAL_EQUITY","FQ3 2022","FQ3 2022","Currency=USD","Period=FQ","BEST_FPERIOD_OVERRIDE=FQ","FILING_STATUS=MR","SCALING_FORMAT=MLN","Sort=A","Dates=H","DateFormat=P","Fill=—","Direction=H","UseDPDF=Y")</f>
        <v>21057</v>
      </c>
      <c r="S19" s="13">
        <f>_xll.BDH("GILD US Equity","TOTAL_EQUITY","FQ4 2022","FQ4 2022","Currency=USD","Period=FQ","BEST_FPERIOD_OVERRIDE=FQ","FILING_STATUS=MR","SCALING_FORMAT=MLN","Sort=A","Dates=H","DateFormat=P","Fill=—","Direction=H","UseDPDF=Y")</f>
        <v>21209</v>
      </c>
      <c r="T19" s="13">
        <f>_xll.BDH("GILD US Equity","TOTAL_EQUITY","FQ1 2023","FQ1 2023","Currency=USD","Period=FQ","BEST_FPERIOD_OVERRIDE=FQ","FILING_STATUS=MR","SCALING_FORMAT=MLN","Sort=A","Dates=H","DateFormat=P","Fill=—","Direction=H","UseDPDF=Y")</f>
        <v>20939</v>
      </c>
      <c r="U19" s="13">
        <f>_xll.BDH("GILD US Equity","TOTAL_EQUITY","FQ2 2023","FQ2 2023","Currency=USD","Period=FQ","BEST_FPERIOD_OVERRIDE=FQ","FILING_STATUS=MR","SCALING_FORMAT=MLN","Sort=A","Dates=H","DateFormat=P","Fill=—","Direction=H","UseDPDF=Y")</f>
        <v>21094</v>
      </c>
      <c r="V19" s="13">
        <f>_xll.BDH("GILD US Equity","TOTAL_EQUITY","FQ3 2023","FQ3 2023","Currency=USD","Period=FQ","BEST_FPERIOD_OVERRIDE=FQ","FILING_STATUS=MR","SCALING_FORMAT=MLN","Sort=A","Dates=H","DateFormat=P","Fill=—","Direction=H","UseDPDF=Y")</f>
        <v>22243</v>
      </c>
      <c r="W19" s="13">
        <f>_xll.BDH("GILD US Equity","TOTAL_EQUITY","FQ4 2023","FQ4 2023","Currency=USD","Period=FQ","BEST_FPERIOD_OVERRIDE=FQ","FILING_STATUS=MR","SCALING_FORMAT=MLN","Sort=A","Dates=H","DateFormat=P","Fill=—","Direction=H","UseDPDF=Y")</f>
        <v>22749</v>
      </c>
      <c r="X19" s="13">
        <f>_xll.BDH("GILD US Equity","TOTAL_EQUITY","FQ1 2024","FQ1 2024","Currency=USD","Period=FQ","BEST_FPERIOD_OVERRIDE=FQ","FILING_STATUS=MR","SCALING_FORMAT=MLN","Sort=A","Dates=H","DateFormat=P","Fill=—","Direction=H","UseDPDF=Y")</f>
        <v>17455</v>
      </c>
      <c r="Y19" s="13">
        <f>_xll.BDH("GILD US Equity","TOTAL_EQUITY","FQ2 2024","FQ2 2024","Currency=USD","Period=FQ","BEST_FPERIOD_OVERRIDE=FQ","FILING_STATUS=MR","SCALING_FORMAT=MLN","Sort=A","Dates=H","DateFormat=P","Fill=—","Direction=H","UseDPDF=Y")</f>
        <v>18197</v>
      </c>
      <c r="Z19" s="13">
        <f>_xll.BDH("GILD US Equity","TOTAL_EQUITY","FQ3 2024","FQ3 2024","Currency=USD","Period=FQ","BEST_FPERIOD_OVERRIDE=FQ","FILING_STATUS=MR","SCALING_FORMAT=MLN","Sort=A","Dates=H","DateFormat=P","Fill=—","Direction=H","UseDPDF=Y")</f>
        <v>18390</v>
      </c>
      <c r="AA19" s="13">
        <f>_xll.BDH("GILD US Equity","TOTAL_EQUITY","FQ4 2024","FQ4 2024","Currency=USD","Period=FQ","BEST_FPERIOD_OVERRIDE=FQ","FILING_STATUS=MR","SCALING_FORMAT=MLN","Sort=A","Dates=H","DateFormat=P","Fill=—","Direction=H","UseDPDF=Y")</f>
        <v>19246</v>
      </c>
    </row>
    <row r="20" spans="1:27" x14ac:dyDescent="0.25">
      <c r="A20" s="10" t="s">
        <v>120</v>
      </c>
      <c r="B20" s="10" t="s">
        <v>121</v>
      </c>
      <c r="C20" s="13">
        <f>_xll.BDH("GILD US Equity","BS_SH_OUT","FQ4 2018","FQ4 2018","Currency=USD","Period=FQ","BEST_FPERIOD_OVERRIDE=FQ","FILING_STATUS=MR","Sort=A","Dates=H","DateFormat=P","Fill=—","Direction=H","UseDPDF=Y")</f>
        <v>1282</v>
      </c>
      <c r="D20" s="13">
        <f>_xll.BDH("GILD US Equity","BS_SH_OUT","FQ1 2019","FQ1 2019","Currency=USD","Period=FQ","BEST_FPERIOD_OVERRIDE=FQ","FILING_STATUS=MR","Sort=A","Dates=H","DateFormat=P","Fill=—","Direction=H","UseDPDF=Y")</f>
        <v>1274</v>
      </c>
      <c r="E20" s="13">
        <f>_xll.BDH("GILD US Equity","BS_SH_OUT","FQ2 2019","FQ2 2019","Currency=USD","Period=FQ","BEST_FPERIOD_OVERRIDE=FQ","FILING_STATUS=MR","Sort=A","Dates=H","DateFormat=P","Fill=—","Direction=H","UseDPDF=Y")</f>
        <v>1267</v>
      </c>
      <c r="F20" s="13">
        <f>_xll.BDH("GILD US Equity","BS_SH_OUT","FQ3 2019","FQ3 2019","Currency=USD","Period=FQ","BEST_FPERIOD_OVERRIDE=FQ","FILING_STATUS=MR","Sort=A","Dates=H","DateFormat=P","Fill=—","Direction=H","UseDPDF=Y")</f>
        <v>1266</v>
      </c>
      <c r="G20" s="13">
        <f>_xll.BDH("GILD US Equity","BS_SH_OUT","FQ4 2019","FQ4 2019","Currency=USD","Period=FQ","BEST_FPERIOD_OVERRIDE=FQ","FILING_STATUS=MR","Sort=A","Dates=H","DateFormat=P","Fill=—","Direction=H","UseDPDF=Y")</f>
        <v>1266</v>
      </c>
      <c r="H20" s="13">
        <f>_xll.BDH("GILD US Equity","BS_SH_OUT","FQ1 2020","FQ1 2020","Currency=USD","Period=FQ","BEST_FPERIOD_OVERRIDE=FQ","FILING_STATUS=MR","Sort=A","Dates=H","DateFormat=P","Fill=—","Direction=H","UseDPDF=Y")</f>
        <v>1254</v>
      </c>
      <c r="I20" s="13">
        <f>_xll.BDH("GILD US Equity","BS_SH_OUT","FQ2 2020","FQ2 2020","Currency=USD","Period=FQ","BEST_FPERIOD_OVERRIDE=FQ","FILING_STATUS=MR","Sort=A","Dates=H","DateFormat=P","Fill=—","Direction=H","UseDPDF=Y")</f>
        <v>1254</v>
      </c>
      <c r="J20" s="13">
        <f>_xll.BDH("GILD US Equity","BS_SH_OUT","FQ3 2020","FQ3 2020","Currency=USD","Period=FQ","BEST_FPERIOD_OVERRIDE=FQ","FILING_STATUS=MR","Sort=A","Dates=H","DateFormat=P","Fill=—","Direction=H","UseDPDF=Y")</f>
        <v>1253</v>
      </c>
      <c r="K20" s="13">
        <f>_xll.BDH("GILD US Equity","BS_SH_OUT","FQ4 2020","FQ4 2020","Currency=USD","Period=FQ","BEST_FPERIOD_OVERRIDE=FQ","FILING_STATUS=MR","Sort=A","Dates=H","DateFormat=P","Fill=—","Direction=H","UseDPDF=Y")</f>
        <v>1254</v>
      </c>
      <c r="L20" s="13">
        <f>_xll.BDH("GILD US Equity","BS_SH_OUT","FQ1 2021","FQ1 2021","Currency=USD","Period=FQ","BEST_FPERIOD_OVERRIDE=FQ","FILING_STATUS=MR","Sort=A","Dates=H","DateFormat=P","Fill=—","Direction=H","UseDPDF=Y")</f>
        <v>1254</v>
      </c>
      <c r="M20" s="13">
        <f>_xll.BDH("GILD US Equity","BS_SH_OUT","FQ2 2021","FQ2 2021","Currency=USD","Period=FQ","BEST_FPERIOD_OVERRIDE=FQ","FILING_STATUS=MR","Sort=A","Dates=H","DateFormat=P","Fill=—","Direction=H","UseDPDF=Y")</f>
        <v>1254</v>
      </c>
      <c r="N20" s="13">
        <f>_xll.BDH("GILD US Equity","BS_SH_OUT","FQ3 2021","FQ3 2021","Currency=USD","Period=FQ","BEST_FPERIOD_OVERRIDE=FQ","FILING_STATUS=MR","Sort=A","Dates=H","DateFormat=P","Fill=—","Direction=H","UseDPDF=Y")</f>
        <v>1255</v>
      </c>
      <c r="O20" s="13">
        <f>_xll.BDH("GILD US Equity","BS_SH_OUT","FQ4 2021","FQ4 2021","Currency=USD","Period=FQ","BEST_FPERIOD_OVERRIDE=FQ","FILING_STATUS=MR","Sort=A","Dates=H","DateFormat=P","Fill=—","Direction=H","UseDPDF=Y")</f>
        <v>1254</v>
      </c>
      <c r="P20" s="13">
        <f>_xll.BDH("GILD US Equity","BS_SH_OUT","FQ1 2022","FQ1 2022","Currency=USD","Period=FQ","BEST_FPERIOD_OVERRIDE=FQ","FILING_STATUS=MR","Sort=A","Dates=H","DateFormat=P","Fill=—","Direction=H","UseDPDF=Y")</f>
        <v>1255</v>
      </c>
      <c r="Q20" s="13">
        <f>_xll.BDH("GILD US Equity","BS_SH_OUT","FQ2 2022","FQ2 2022","Currency=USD","Period=FQ","BEST_FPERIOD_OVERRIDE=FQ","FILING_STATUS=MR","Sort=A","Dates=H","DateFormat=P","Fill=—","Direction=H","UseDPDF=Y")</f>
        <v>1254</v>
      </c>
      <c r="R20" s="13">
        <f>_xll.BDH("GILD US Equity","BS_SH_OUT","FQ3 2022","FQ3 2022","Currency=USD","Period=FQ","BEST_FPERIOD_OVERRIDE=FQ","FILING_STATUS=MR","Sort=A","Dates=H","DateFormat=P","Fill=—","Direction=H","UseDPDF=Y")</f>
        <v>1254</v>
      </c>
      <c r="S20" s="13">
        <f>_xll.BDH("GILD US Equity","BS_SH_OUT","FQ4 2022","FQ4 2022","Currency=USD","Period=FQ","BEST_FPERIOD_OVERRIDE=FQ","FILING_STATUS=MR","Sort=A","Dates=H","DateFormat=P","Fill=—","Direction=H","UseDPDF=Y")</f>
        <v>1247</v>
      </c>
      <c r="T20" s="13">
        <f>_xll.BDH("GILD US Equity","BS_SH_OUT","FQ1 2023","FQ1 2023","Currency=USD","Period=FQ","BEST_FPERIOD_OVERRIDE=FQ","FILING_STATUS=MR","Sort=A","Dates=H","DateFormat=P","Fill=—","Direction=H","UseDPDF=Y")</f>
        <v>1248</v>
      </c>
      <c r="U20" s="13">
        <f>_xll.BDH("GILD US Equity","BS_SH_OUT","FQ2 2023","FQ2 2023","Currency=USD","Period=FQ","BEST_FPERIOD_OVERRIDE=FQ","FILING_STATUS=MR","Sort=A","Dates=H","DateFormat=P","Fill=—","Direction=H","UseDPDF=Y")</f>
        <v>1247</v>
      </c>
      <c r="V20" s="13">
        <f>_xll.BDH("GILD US Equity","BS_SH_OUT","FQ3 2023","FQ3 2023","Currency=USD","Period=FQ","BEST_FPERIOD_OVERRIDE=FQ","FILING_STATUS=MR","Sort=A","Dates=H","DateFormat=P","Fill=—","Direction=H","UseDPDF=Y")</f>
        <v>1247</v>
      </c>
      <c r="W20" s="13">
        <f>_xll.BDH("GILD US Equity","BS_SH_OUT","FQ4 2023","FQ4 2023","Currency=USD","Period=FQ","BEST_FPERIOD_OVERRIDE=FQ","FILING_STATUS=MR","Sort=A","Dates=H","DateFormat=P","Fill=—","Direction=H","UseDPDF=Y")</f>
        <v>1246</v>
      </c>
      <c r="X20" s="13">
        <f>_xll.BDH("GILD US Equity","BS_SH_OUT","FQ1 2024","FQ1 2024","Currency=USD","Period=FQ","BEST_FPERIOD_OVERRIDE=FQ","FILING_STATUS=MR","Sort=A","Dates=H","DateFormat=P","Fill=—","Direction=H","UseDPDF=Y")</f>
        <v>1246</v>
      </c>
      <c r="Y20" s="13">
        <f>_xll.BDH("GILD US Equity","BS_SH_OUT","FQ2 2024","FQ2 2024","Currency=USD","Period=FQ","BEST_FPERIOD_OVERRIDE=FQ","FILING_STATUS=MR","Sort=A","Dates=H","DateFormat=P","Fill=—","Direction=H","UseDPDF=Y")</f>
        <v>1246</v>
      </c>
      <c r="Z20" s="13">
        <f>_xll.BDH("GILD US Equity","BS_SH_OUT","FQ3 2024","FQ3 2024","Currency=USD","Period=FQ","BEST_FPERIOD_OVERRIDE=FQ","FILING_STATUS=MR","Sort=A","Dates=H","DateFormat=P","Fill=—","Direction=H","UseDPDF=Y")</f>
        <v>1246</v>
      </c>
      <c r="AA20" s="13">
        <f>_xll.BDH("GILD US Equity","BS_SH_OUT","FQ4 2024","FQ4 2024","Currency=USD","Period=FQ","BEST_FPERIOD_OVERRIDE=FQ","FILING_STATUS=MR","Sort=A","Dates=H","DateFormat=P","Fill=—","Direction=H","UseDPDF=Y")</f>
        <v>1246</v>
      </c>
    </row>
    <row r="21" spans="1:27" x14ac:dyDescent="0.25">
      <c r="A21" s="10" t="s">
        <v>122</v>
      </c>
      <c r="B21" s="10" t="s">
        <v>123</v>
      </c>
      <c r="C21" s="13">
        <f>_xll.BDH("GILD US Equity","ARD_SHARE_OUT_FROM_FRONT_COVER","FQ4 2018","FQ4 2018","Currency=USD","Period=FQ","BEST_FPERIOD_OVERRIDE=FQ","FILING_STATUS=MR","Sort=A","Dates=H","DateFormat=P","Fill=—","Direction=H","UseDPDF=Y")</f>
        <v>1275.5106000000001</v>
      </c>
      <c r="D21" s="13">
        <f>_xll.BDH("GILD US Equity","ARD_SHARE_OUT_FROM_FRONT_COVER","FQ1 2019","FQ1 2019","Currency=USD","Period=FQ","BEST_FPERIOD_OVERRIDE=FQ","FILING_STATUS=MR","Sort=A","Dates=H","DateFormat=P","Fill=—","Direction=H","UseDPDF=Y")</f>
        <v>1271.5546999999999</v>
      </c>
      <c r="E21" s="13">
        <f>_xll.BDH("GILD US Equity","ARD_SHARE_OUT_FROM_FRONT_COVER","FQ2 2019","FQ2 2019","Currency=USD","Period=FQ","BEST_FPERIOD_OVERRIDE=FQ","FILING_STATUS=MR","Sort=A","Dates=H","DateFormat=P","Fill=—","Direction=H","UseDPDF=Y")</f>
        <v>1266.4555</v>
      </c>
      <c r="F21" s="13">
        <f>_xll.BDH("GILD US Equity","ARD_SHARE_OUT_FROM_FRONT_COVER","FQ3 2019","FQ3 2019","Currency=USD","Period=FQ","BEST_FPERIOD_OVERRIDE=FQ","FILING_STATUS=MR","Sort=A","Dates=H","DateFormat=P","Fill=—","Direction=H","UseDPDF=Y")</f>
        <v>1265.1456000000001</v>
      </c>
      <c r="G21" s="13">
        <f>_xll.BDH("GILD US Equity","ARD_SHARE_OUT_FROM_FRONT_COVER","FQ4 2019","FQ4 2019","Currency=USD","Period=FQ","BEST_FPERIOD_OVERRIDE=FQ","FILING_STATUS=MR","Sort=A","Dates=H","DateFormat=P","Fill=—","Direction=H","UseDPDF=Y")</f>
        <v>1263.6367</v>
      </c>
      <c r="H21" s="13">
        <f>_xll.BDH("GILD US Equity","ARD_SHARE_OUT_FROM_FRONT_COVER","FQ1 2020","FQ1 2020","Currency=USD","Period=FQ","BEST_FPERIOD_OVERRIDE=FQ","FILING_STATUS=MR","Sort=A","Dates=H","DateFormat=P","Fill=—","Direction=H","UseDPDF=Y")</f>
        <v>1254.3733999999999</v>
      </c>
      <c r="I21" s="13">
        <f>_xll.BDH("GILD US Equity","ARD_SHARE_OUT_FROM_FRONT_COVER","FQ2 2020","FQ2 2020","Currency=USD","Period=FQ","BEST_FPERIOD_OVERRIDE=FQ","FILING_STATUS=MR","Sort=A","Dates=H","DateFormat=P","Fill=—","Direction=H","UseDPDF=Y")</f>
        <v>1253.7244000000001</v>
      </c>
      <c r="J21" s="13">
        <f>_xll.BDH("GILD US Equity","ARD_SHARE_OUT_FROM_FRONT_COVER","FQ3 2020","FQ3 2020","Currency=USD","Period=FQ","BEST_FPERIOD_OVERRIDE=FQ","FILING_STATUS=MR","Sort=A","Dates=H","DateFormat=P","Fill=—","Direction=H","UseDPDF=Y")</f>
        <v>1253.5281</v>
      </c>
      <c r="K21" s="13">
        <f>_xll.BDH("GILD US Equity","ARD_SHARE_OUT_FROM_FRONT_COVER","FQ4 2020","FQ4 2020","Currency=USD","Period=FQ","BEST_FPERIOD_OVERRIDE=FQ","FILING_STATUS=MR","Sort=A","Dates=H","DateFormat=P","Fill=—","Direction=H","UseDPDF=Y")</f>
        <v>1256.5932</v>
      </c>
      <c r="L21" s="13">
        <f>_xll.BDH("GILD US Equity","ARD_SHARE_OUT_FROM_FRONT_COVER","FQ1 2021","FQ1 2021","Currency=USD","Period=FQ","BEST_FPERIOD_OVERRIDE=FQ","FILING_STATUS=MR","Sort=A","Dates=H","DateFormat=P","Fill=—","Direction=H","UseDPDF=Y")</f>
        <v>1254.1782000000001</v>
      </c>
      <c r="M21" s="13">
        <f>_xll.BDH("GILD US Equity","ARD_SHARE_OUT_FROM_FRONT_COVER","FQ2 2021","FQ2 2021","Currency=USD","Period=FQ","BEST_FPERIOD_OVERRIDE=FQ","FILING_STATUS=MR","Sort=A","Dates=H","DateFormat=P","Fill=—","Direction=H","UseDPDF=Y")</f>
        <v>1253.8094000000001</v>
      </c>
      <c r="N21" s="13">
        <f>_xll.BDH("GILD US Equity","ARD_SHARE_OUT_FROM_FRONT_COVER","FQ3 2021","FQ3 2021","Currency=USD","Period=FQ","BEST_FPERIOD_OVERRIDE=FQ","FILING_STATUS=MR","Sort=A","Dates=H","DateFormat=P","Fill=—","Direction=H","UseDPDF=Y")</f>
        <v>1253.8094000000001</v>
      </c>
      <c r="O21" s="13">
        <f>_xll.BDH("GILD US Equity","ARD_SHARE_OUT_FROM_FRONT_COVER","FQ4 2021","FQ4 2021","Currency=USD","Period=FQ","BEST_FPERIOD_OVERRIDE=FQ","FILING_STATUS=MR","Sort=A","Dates=H","DateFormat=P","Fill=—","Direction=H","UseDPDF=Y")</f>
        <v>1253.8867</v>
      </c>
      <c r="P21" s="13">
        <f>_xll.BDH("GILD US Equity","ARD_SHARE_OUT_FROM_FRONT_COVER","FQ1 2022","FQ1 2022","Currency=USD","Period=FQ","BEST_FPERIOD_OVERRIDE=FQ","FILING_STATUS=MR","Sort=A","Dates=H","DateFormat=P","Fill=—","Direction=H","UseDPDF=Y")</f>
        <v>1254.3134</v>
      </c>
      <c r="Q21" s="13">
        <f>_xll.BDH("GILD US Equity","ARD_SHARE_OUT_FROM_FRONT_COVER","FQ2 2022","FQ2 2022","Currency=USD","Period=FQ","BEST_FPERIOD_OVERRIDE=FQ","FILING_STATUS=MR","Sort=A","Dates=H","DateFormat=P","Fill=—","Direction=H","UseDPDF=Y")</f>
        <v>1253.3674000000001</v>
      </c>
      <c r="R21" s="13">
        <f>_xll.BDH("GILD US Equity","ARD_SHARE_OUT_FROM_FRONT_COVER","FQ3 2022","FQ3 2022","Currency=USD","Period=FQ","BEST_FPERIOD_OVERRIDE=FQ","FILING_STATUS=MR","Sort=A","Dates=H","DateFormat=P","Fill=—","Direction=H","UseDPDF=Y")</f>
        <v>1254.2438</v>
      </c>
      <c r="S21" s="13">
        <f>_xll.BDH("GILD US Equity","ARD_SHARE_OUT_FROM_FRONT_COVER","FQ4 2022","FQ4 2022","Currency=USD","Period=FQ","BEST_FPERIOD_OVERRIDE=FQ","FILING_STATUS=MR","Sort=A","Dates=H","DateFormat=P","Fill=—","Direction=H","UseDPDF=Y")</f>
        <v>1247.1052</v>
      </c>
      <c r="T21" s="13">
        <f>_xll.BDH("GILD US Equity","ARD_SHARE_OUT_FROM_FRONT_COVER","FQ1 2023","FQ1 2023","Currency=USD","Period=FQ","BEST_FPERIOD_OVERRIDE=FQ","FILING_STATUS=MR","Sort=A","Dates=H","DateFormat=P","Fill=—","Direction=H","UseDPDF=Y")</f>
        <v>1247.3526999999999</v>
      </c>
      <c r="U21" s="13">
        <f>_xll.BDH("GILD US Equity","ARD_SHARE_OUT_FROM_FRONT_COVER","FQ2 2023","FQ2 2023","Currency=USD","Period=FQ","BEST_FPERIOD_OVERRIDE=FQ","FILING_STATUS=MR","Sort=A","Dates=H","DateFormat=P","Fill=—","Direction=H","UseDPDF=Y")</f>
        <v>1246.0144</v>
      </c>
      <c r="V21" s="13">
        <f>_xll.BDH("GILD US Equity","ARD_SHARE_OUT_FROM_FRONT_COVER","FQ3 2023","FQ3 2023","Currency=USD","Period=FQ","BEST_FPERIOD_OVERRIDE=FQ","FILING_STATUS=MR","Sort=A","Dates=H","DateFormat=P","Fill=—","Direction=H","UseDPDF=Y")</f>
        <v>1246.0418999999999</v>
      </c>
      <c r="W21" s="13">
        <f>_xll.BDH("GILD US Equity","ARD_SHARE_OUT_FROM_FRONT_COVER","FQ4 2023","FQ4 2023","Currency=USD","Period=FQ","BEST_FPERIOD_OVERRIDE=FQ","FILING_STATUS=MR","Sort=A","Dates=H","DateFormat=P","Fill=—","Direction=H","UseDPDF=Y")</f>
        <v>1245.7746</v>
      </c>
      <c r="X21" s="13">
        <f>_xll.BDH("GILD US Equity","ARD_SHARE_OUT_FROM_FRONT_COVER","FQ1 2024","FQ1 2024","Currency=USD","Period=FQ","BEST_FPERIOD_OVERRIDE=FQ","FILING_STATUS=MR","Sort=A","Dates=H","DateFormat=P","Fill=—","Direction=H","UseDPDF=Y")</f>
        <v>1245.8532</v>
      </c>
      <c r="Y21" s="13">
        <f>_xll.BDH("GILD US Equity","ARD_SHARE_OUT_FROM_FRONT_COVER","FQ2 2024","FQ2 2024","Currency=USD","Period=FQ","BEST_FPERIOD_OVERRIDE=FQ","FILING_STATUS=MR","Sort=A","Dates=H","DateFormat=P","Fill=—","Direction=H","UseDPDF=Y")</f>
        <v>1244.9920999999999</v>
      </c>
      <c r="Z21" s="13">
        <f>_xll.BDH("GILD US Equity","ARD_SHARE_OUT_FROM_FRONT_COVER","FQ3 2024","FQ3 2024","Currency=USD","Period=FQ","BEST_FPERIOD_OVERRIDE=FQ","FILING_STATUS=MR","Sort=A","Dates=H","DateFormat=P","Fill=—","Direction=H","UseDPDF=Y")</f>
        <v>1246.2659000000001</v>
      </c>
      <c r="AA21" s="13">
        <f>_xll.BDH("GILD US Equity","ARD_SHARE_OUT_FROM_FRONT_COVER","FQ4 2024","FQ4 2024","Currency=USD","Period=FQ","BEST_FPERIOD_OVERRIDE=FQ","FILING_STATUS=MR","Sort=A","Dates=H","DateFormat=P","Fill=—","Direction=H","UseDPDF=Y")</f>
        <v>1245.3461</v>
      </c>
    </row>
    <row r="22" spans="1:27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5">
      <c r="A23" s="10" t="s">
        <v>124</v>
      </c>
      <c r="B23" s="10" t="s">
        <v>85</v>
      </c>
      <c r="C23" s="13">
        <f>_xll.BDH("GILD US Equity","CF_CASH_FROM_OPER","FQ4 2018","FQ4 2018","Currency=USD","Period=FQ","BEST_FPERIOD_OVERRIDE=FQ","FILING_STATUS=MR","SCALING_FORMAT=MLN","Sort=A","Dates=H","DateFormat=P","Fill=—","Direction=H","UseDPDF=Y")</f>
        <v>2345</v>
      </c>
      <c r="D23" s="13">
        <f>_xll.BDH("GILD US Equity","CF_CASH_FROM_OPER","FQ1 2019","FQ1 2019","Currency=USD","Period=FQ","BEST_FPERIOD_OVERRIDE=FQ","FILING_STATUS=MR","SCALING_FORMAT=MLN","Sort=A","Dates=H","DateFormat=P","Fill=—","Direction=H","UseDPDF=Y")</f>
        <v>1444</v>
      </c>
      <c r="E23" s="13">
        <f>_xll.BDH("GILD US Equity","CF_CASH_FROM_OPER","FQ2 2019","FQ2 2019","Currency=USD","Period=FQ","BEST_FPERIOD_OVERRIDE=FQ","FILING_STATUS=MR","SCALING_FORMAT=MLN","Sort=A","Dates=H","DateFormat=P","Fill=—","Direction=H","UseDPDF=Y")</f>
        <v>2342</v>
      </c>
      <c r="F23" s="13">
        <f>_xll.BDH("GILD US Equity","CF_CASH_FROM_OPER","FQ3 2019","FQ3 2019","Currency=USD","Period=FQ","BEST_FPERIOD_OVERRIDE=FQ","FILING_STATUS=MR","SCALING_FORMAT=MLN","Sort=A","Dates=H","DateFormat=P","Fill=—","Direction=H","UseDPDF=Y")</f>
        <v>2899</v>
      </c>
      <c r="G23" s="13">
        <f>_xll.BDH("GILD US Equity","CF_CASH_FROM_OPER","FQ4 2019","FQ4 2019","Currency=USD","Period=FQ","BEST_FPERIOD_OVERRIDE=FQ","FILING_STATUS=MR","SCALING_FORMAT=MLN","Sort=A","Dates=H","DateFormat=P","Fill=—","Direction=H","UseDPDF=Y")</f>
        <v>2580</v>
      </c>
      <c r="H23" s="13">
        <f>_xll.BDH("GILD US Equity","CF_CASH_FROM_OPER","FQ1 2020","FQ1 2020","Currency=USD","Period=FQ","BEST_FPERIOD_OVERRIDE=FQ","FILING_STATUS=MR","SCALING_FORMAT=MLN","Sort=A","Dates=H","DateFormat=P","Fill=—","Direction=H","UseDPDF=Y")</f>
        <v>1436</v>
      </c>
      <c r="I23" s="13">
        <f>_xll.BDH("GILD US Equity","CF_CASH_FROM_OPER","FQ2 2020","FQ2 2020","Currency=USD","Period=FQ","BEST_FPERIOD_OVERRIDE=FQ","FILING_STATUS=MR","SCALING_FORMAT=MLN","Sort=A","Dates=H","DateFormat=P","Fill=—","Direction=H","UseDPDF=Y")</f>
        <v>2566</v>
      </c>
      <c r="J23" s="13">
        <f>_xll.BDH("GILD US Equity","CF_CASH_FROM_OPER","FQ3 2020","FQ3 2020","Currency=USD","Period=FQ","BEST_FPERIOD_OVERRIDE=FQ","FILING_STATUS=MR","SCALING_FORMAT=MLN","Sort=A","Dates=H","DateFormat=P","Fill=—","Direction=H","UseDPDF=Y")</f>
        <v>2250</v>
      </c>
      <c r="K23" s="13">
        <f>_xll.BDH("GILD US Equity","CF_CASH_FROM_OPER","FQ4 2020","FQ4 2020","Currency=USD","Period=FQ","BEST_FPERIOD_OVERRIDE=FQ","FILING_STATUS=MR","SCALING_FORMAT=MLN","Sort=A","Dates=H","DateFormat=P","Fill=—","Direction=H","UseDPDF=Y")</f>
        <v>1916</v>
      </c>
      <c r="L23" s="13">
        <f>_xll.BDH("GILD US Equity","CF_CASH_FROM_OPER","FQ1 2021","FQ1 2021","Currency=USD","Period=FQ","BEST_FPERIOD_OVERRIDE=FQ","FILING_STATUS=MR","SCALING_FORMAT=MLN","Sort=A","Dates=H","DateFormat=P","Fill=—","Direction=H","UseDPDF=Y")</f>
        <v>2610</v>
      </c>
      <c r="M23" s="13">
        <f>_xll.BDH("GILD US Equity","CF_CASH_FROM_OPER","FQ2 2021","FQ2 2021","Currency=USD","Period=FQ","BEST_FPERIOD_OVERRIDE=FQ","FILING_STATUS=MR","SCALING_FORMAT=MLN","Sort=A","Dates=H","DateFormat=P","Fill=—","Direction=H","UseDPDF=Y")</f>
        <v>2316</v>
      </c>
      <c r="N23" s="13">
        <f>_xll.BDH("GILD US Equity","CF_CASH_FROM_OPER","FQ3 2021","FQ3 2021","Currency=USD","Period=FQ","BEST_FPERIOD_OVERRIDE=FQ","FILING_STATUS=MR","SCALING_FORMAT=MLN","Sort=A","Dates=H","DateFormat=P","Fill=—","Direction=H","UseDPDF=Y")</f>
        <v>3253</v>
      </c>
      <c r="O23" s="13">
        <f>_xll.BDH("GILD US Equity","CF_CASH_FROM_OPER","FQ4 2021","FQ4 2021","Currency=USD","Period=FQ","BEST_FPERIOD_OVERRIDE=FQ","FILING_STATUS=MR","SCALING_FORMAT=MLN","Sort=A","Dates=H","DateFormat=P","Fill=—","Direction=H","UseDPDF=Y")</f>
        <v>3205</v>
      </c>
      <c r="P23" s="13">
        <f>_xll.BDH("GILD US Equity","CF_CASH_FROM_OPER","FQ1 2022","FQ1 2022","Currency=USD","Period=FQ","BEST_FPERIOD_OVERRIDE=FQ","FILING_STATUS=MR","SCALING_FORMAT=MLN","Sort=A","Dates=H","DateFormat=P","Fill=—","Direction=H","UseDPDF=Y")</f>
        <v>1840</v>
      </c>
      <c r="Q23" s="13">
        <f>_xll.BDH("GILD US Equity","CF_CASH_FROM_OPER","FQ2 2022","FQ2 2022","Currency=USD","Period=FQ","BEST_FPERIOD_OVERRIDE=FQ","FILING_STATUS=MR","SCALING_FORMAT=MLN","Sort=A","Dates=H","DateFormat=P","Fill=—","Direction=H","UseDPDF=Y")</f>
        <v>1802</v>
      </c>
      <c r="R23" s="13">
        <f>_xll.BDH("GILD US Equity","CF_CASH_FROM_OPER","FQ3 2022","FQ3 2022","Currency=USD","Period=FQ","BEST_FPERIOD_OVERRIDE=FQ","FILING_STATUS=MR","SCALING_FORMAT=MLN","Sort=A","Dates=H","DateFormat=P","Fill=—","Direction=H","UseDPDF=Y")</f>
        <v>2863</v>
      </c>
      <c r="S23" s="13">
        <f>_xll.BDH("GILD US Equity","CF_CASH_FROM_OPER","FQ4 2022","FQ4 2022","Currency=USD","Period=FQ","BEST_FPERIOD_OVERRIDE=FQ","FILING_STATUS=MR","SCALING_FORMAT=MLN","Sort=A","Dates=H","DateFormat=P","Fill=—","Direction=H","UseDPDF=Y")</f>
        <v>2567</v>
      </c>
      <c r="T23" s="13">
        <f>_xll.BDH("GILD US Equity","CF_CASH_FROM_OPER","FQ1 2023","FQ1 2023","Currency=USD","Period=FQ","BEST_FPERIOD_OVERRIDE=FQ","FILING_STATUS=MR","SCALING_FORMAT=MLN","Sort=A","Dates=H","DateFormat=P","Fill=—","Direction=H","UseDPDF=Y")</f>
        <v>1744</v>
      </c>
      <c r="U23" s="13">
        <f>_xll.BDH("GILD US Equity","CF_CASH_FROM_OPER","FQ2 2023","FQ2 2023","Currency=USD","Period=FQ","BEST_FPERIOD_OVERRIDE=FQ","FILING_STATUS=MR","SCALING_FORMAT=MLN","Sort=A","Dates=H","DateFormat=P","Fill=—","Direction=H","UseDPDF=Y")</f>
        <v>2338</v>
      </c>
      <c r="V23" s="13">
        <f>_xll.BDH("GILD US Equity","CF_CASH_FROM_OPER","FQ3 2023","FQ3 2023","Currency=USD","Period=FQ","BEST_FPERIOD_OVERRIDE=FQ","FILING_STATUS=MR","SCALING_FORMAT=MLN","Sort=A","Dates=H","DateFormat=P","Fill=—","Direction=H","UseDPDF=Y")</f>
        <v>1755</v>
      </c>
      <c r="W23" s="13">
        <f>_xll.BDH("GILD US Equity","CF_CASH_FROM_OPER","FQ4 2023","FQ4 2023","Currency=USD","Period=FQ","BEST_FPERIOD_OVERRIDE=FQ","FILING_STATUS=MR","SCALING_FORMAT=MLN","Sort=A","Dates=H","DateFormat=P","Fill=—","Direction=H","UseDPDF=Y")</f>
        <v>2169</v>
      </c>
      <c r="X23" s="13">
        <f>_xll.BDH("GILD US Equity","CF_CASH_FROM_OPER","FQ1 2024","FQ1 2024","Currency=USD","Period=FQ","BEST_FPERIOD_OVERRIDE=FQ","FILING_STATUS=MR","SCALING_FORMAT=MLN","Sort=A","Dates=H","DateFormat=P","Fill=—","Direction=H","UseDPDF=Y")</f>
        <v>2219</v>
      </c>
      <c r="Y23" s="13">
        <f>_xll.BDH("GILD US Equity","CF_CASH_FROM_OPER","FQ2 2024","FQ2 2024","Currency=USD","Period=FQ","BEST_FPERIOD_OVERRIDE=FQ","FILING_STATUS=MR","SCALING_FORMAT=MLN","Sort=A","Dates=H","DateFormat=P","Fill=—","Direction=H","UseDPDF=Y")</f>
        <v>1325</v>
      </c>
      <c r="Z23" s="13">
        <f>_xll.BDH("GILD US Equity","CF_CASH_FROM_OPER","FQ3 2024","FQ3 2024","Currency=USD","Period=FQ","BEST_FPERIOD_OVERRIDE=FQ","FILING_STATUS=MR","SCALING_FORMAT=MLN","Sort=A","Dates=H","DateFormat=P","Fill=—","Direction=H","UseDPDF=Y")</f>
        <v>4309</v>
      </c>
      <c r="AA23" s="13">
        <f>_xll.BDH("GILD US Equity","CF_CASH_FROM_OPER","FQ4 2024","FQ4 2024","Currency=USD","Period=FQ","BEST_FPERIOD_OVERRIDE=FQ","FILING_STATUS=MR","SCALING_FORMAT=MLN","Sort=A","Dates=H","DateFormat=P","Fill=—","Direction=H","UseDPDF=Y")</f>
        <v>2975</v>
      </c>
    </row>
    <row r="24" spans="1:27" x14ac:dyDescent="0.25">
      <c r="A24" s="10" t="s">
        <v>125</v>
      </c>
      <c r="B24" s="10" t="s">
        <v>126</v>
      </c>
      <c r="C24" s="13">
        <f>_xll.BDH("GILD US Equity","CF_CASH_FROM_INV_ACT","FQ4 2018","FQ4 2018","Currency=USD","Period=FQ","BEST_FPERIOD_OVERRIDE=FQ","FILING_STATUS=MR","SCALING_FORMAT=MLN","Sort=A","Dates=H","DateFormat=P","Fill=—","Direction=H","UseDPDF=Y")</f>
        <v>2735</v>
      </c>
      <c r="D24" s="13">
        <f>_xll.BDH("GILD US Equity","CF_CASH_FROM_INV_ACT","FQ1 2019","FQ1 2019","Currency=USD","Period=FQ","BEST_FPERIOD_OVERRIDE=FQ","FILING_STATUS=MR","SCALING_FORMAT=MLN","Sort=A","Dates=H","DateFormat=P","Fill=—","Direction=H","UseDPDF=Y")</f>
        <v>-111</v>
      </c>
      <c r="E24" s="13">
        <f>_xll.BDH("GILD US Equity","CF_CASH_FROM_INV_ACT","FQ2 2019","FQ2 2019","Currency=USD","Period=FQ","BEST_FPERIOD_OVERRIDE=FQ","FILING_STATUS=MR","SCALING_FORMAT=MLN","Sort=A","Dates=H","DateFormat=P","Fill=—","Direction=H","UseDPDF=Y")</f>
        <v>-6163</v>
      </c>
      <c r="F24" s="13">
        <f>_xll.BDH("GILD US Equity","CF_CASH_FROM_INV_ACT","FQ3 2019","FQ3 2019","Currency=USD","Period=FQ","BEST_FPERIOD_OVERRIDE=FQ","FILING_STATUS=MR","SCALING_FORMAT=MLN","Sort=A","Dates=H","DateFormat=P","Fill=—","Direction=H","UseDPDF=Y")</f>
        <v>-2095</v>
      </c>
      <c r="G24" s="13">
        <f>_xll.BDH("GILD US Equity","CF_CASH_FROM_INV_ACT","FQ4 2019","FQ4 2019","Currency=USD","Period=FQ","BEST_FPERIOD_OVERRIDE=FQ","FILING_STATUS=MR","SCALING_FORMAT=MLN","Sort=A","Dates=H","DateFormat=P","Fill=—","Direction=H","UseDPDF=Y")</f>
        <v>431</v>
      </c>
      <c r="H24" s="13">
        <f>_xll.BDH("GILD US Equity","CF_CASH_FROM_INV_ACT","FQ1 2020","FQ1 2020","Currency=USD","Period=FQ","BEST_FPERIOD_OVERRIDE=FQ","FILING_STATUS=MR","SCALING_FORMAT=MLN","Sort=A","Dates=H","DateFormat=P","Fill=—","Direction=H","UseDPDF=Y")</f>
        <v>-344</v>
      </c>
      <c r="I24" s="13">
        <f>_xll.BDH("GILD US Equity","CF_CASH_FROM_INV_ACT","FQ2 2020","FQ2 2020","Currency=USD","Period=FQ","BEST_FPERIOD_OVERRIDE=FQ","FILING_STATUS=MR","SCALING_FORMAT=MLN","Sort=A","Dates=H","DateFormat=P","Fill=—","Direction=H","UseDPDF=Y")</f>
        <v>-5023</v>
      </c>
      <c r="J24" s="13">
        <f>_xll.BDH("GILD US Equity","CF_CASH_FROM_INV_ACT","FQ3 2020","FQ3 2020","Currency=USD","Period=FQ","BEST_FPERIOD_OVERRIDE=FQ","FILING_STATUS=MR","SCALING_FORMAT=MLN","Sort=A","Dates=H","DateFormat=P","Fill=—","Direction=H","UseDPDF=Y")</f>
        <v>-271</v>
      </c>
      <c r="K24" s="13">
        <f>_xll.BDH("GILD US Equity","CF_CASH_FROM_INV_ACT","FQ4 2020","FQ4 2020","Currency=USD","Period=FQ","BEST_FPERIOD_OVERRIDE=FQ","FILING_STATUS=MR","SCALING_FORMAT=MLN","Sort=A","Dates=H","DateFormat=P","Fill=—","Direction=H","UseDPDF=Y")</f>
        <v>-8977</v>
      </c>
      <c r="L24" s="13">
        <f>_xll.BDH("GILD US Equity","CF_CASH_FROM_INV_ACT","FQ1 2021","FQ1 2021","Currency=USD","Period=FQ","BEST_FPERIOD_OVERRIDE=FQ","FILING_STATUS=MR","SCALING_FORMAT=MLN","Sort=A","Dates=H","DateFormat=P","Fill=—","Direction=H","UseDPDF=Y")</f>
        <v>-2042</v>
      </c>
      <c r="M24" s="13">
        <f>_xll.BDH("GILD US Equity","CF_CASH_FROM_INV_ACT","FQ2 2021","FQ2 2021","Currency=USD","Period=FQ","BEST_FPERIOD_OVERRIDE=FQ","FILING_STATUS=MR","SCALING_FORMAT=MLN","Sort=A","Dates=H","DateFormat=P","Fill=—","Direction=H","UseDPDF=Y")</f>
        <v>-577</v>
      </c>
      <c r="N24" s="13">
        <f>_xll.BDH("GILD US Equity","CF_CASH_FROM_INV_ACT","FQ3 2021","FQ3 2021","Currency=USD","Period=FQ","BEST_FPERIOD_OVERRIDE=FQ","FILING_STATUS=MR","SCALING_FORMAT=MLN","Sort=A","Dates=H","DateFormat=P","Fill=—","Direction=H","UseDPDF=Y")</f>
        <v>-234</v>
      </c>
      <c r="O24" s="13">
        <f>_xll.BDH("GILD US Equity","CF_CASH_FROM_INV_ACT","FQ4 2021","FQ4 2021","Currency=USD","Period=FQ","BEST_FPERIOD_OVERRIDE=FQ","FILING_STATUS=MR","SCALING_FORMAT=MLN","Sort=A","Dates=H","DateFormat=P","Fill=—","Direction=H","UseDPDF=Y")</f>
        <v>-278</v>
      </c>
      <c r="P24" s="13">
        <f>_xll.BDH("GILD US Equity","CF_CASH_FROM_INV_ACT","FQ1 2022","FQ1 2022","Currency=USD","Period=FQ","BEST_FPERIOD_OVERRIDE=FQ","FILING_STATUS=MR","SCALING_FORMAT=MLN","Sort=A","Dates=H","DateFormat=P","Fill=—","Direction=H","UseDPDF=Y")</f>
        <v>-1070</v>
      </c>
      <c r="Q24" s="13">
        <f>_xll.BDH("GILD US Equity","CF_CASH_FROM_INV_ACT","FQ2 2022","FQ2 2022","Currency=USD","Period=FQ","BEST_FPERIOD_OVERRIDE=FQ","FILING_STATUS=MR","SCALING_FORMAT=MLN","Sort=A","Dates=H","DateFormat=P","Fill=—","Direction=H","UseDPDF=Y")</f>
        <v>-308</v>
      </c>
      <c r="R24" s="13">
        <f>_xll.BDH("GILD US Equity","CF_CASH_FROM_INV_ACT","FQ3 2022","FQ3 2022","Currency=USD","Period=FQ","BEST_FPERIOD_OVERRIDE=FQ","FILING_STATUS=MR","SCALING_FORMAT=MLN","Sort=A","Dates=H","DateFormat=P","Fill=—","Direction=H","UseDPDF=Y")</f>
        <v>-713</v>
      </c>
      <c r="S24" s="13">
        <f>_xll.BDH("GILD US Equity","CF_CASH_FROM_INV_ACT","FQ4 2022","FQ4 2022","Currency=USD","Period=FQ","BEST_FPERIOD_OVERRIDE=FQ","FILING_STATUS=MR","SCALING_FORMAT=MLN","Sort=A","Dates=H","DateFormat=P","Fill=—","Direction=H","UseDPDF=Y")</f>
        <v>-375</v>
      </c>
      <c r="T24" s="13">
        <f>_xll.BDH("GILD US Equity","CF_CASH_FROM_INV_ACT","FQ1 2023","FQ1 2023","Currency=USD","Period=FQ","BEST_FPERIOD_OVERRIDE=FQ","FILING_STATUS=MR","SCALING_FORMAT=MLN","Sort=A","Dates=H","DateFormat=P","Fill=—","Direction=H","UseDPDF=Y")</f>
        <v>-826</v>
      </c>
      <c r="U24" s="13">
        <f>_xll.BDH("GILD US Equity","CF_CASH_FROM_INV_ACT","FQ2 2023","FQ2 2023","Currency=USD","Period=FQ","BEST_FPERIOD_OVERRIDE=FQ","FILING_STATUS=MR","SCALING_FORMAT=MLN","Sort=A","Dates=H","DateFormat=P","Fill=—","Direction=H","UseDPDF=Y")</f>
        <v>-483</v>
      </c>
      <c r="V24" s="13">
        <f>_xll.BDH("GILD US Equity","CF_CASH_FROM_INV_ACT","FQ3 2023","FQ3 2023","Currency=USD","Period=FQ","BEST_FPERIOD_OVERRIDE=FQ","FILING_STATUS=MR","SCALING_FORMAT=MLN","Sort=A","Dates=H","DateFormat=P","Fill=—","Direction=H","UseDPDF=Y")</f>
        <v>-229</v>
      </c>
      <c r="W24" s="13">
        <f>_xll.BDH("GILD US Equity","CF_CASH_FROM_INV_ACT","FQ4 2023","FQ4 2023","Currency=USD","Period=FQ","BEST_FPERIOD_OVERRIDE=FQ","FILING_STATUS=MR","SCALING_FORMAT=MLN","Sort=A","Dates=H","DateFormat=P","Fill=—","Direction=H","UseDPDF=Y")</f>
        <v>-727</v>
      </c>
      <c r="X24" s="13">
        <f>_xll.BDH("GILD US Equity","CF_CASH_FROM_INV_ACT","FQ1 2024","FQ1 2024","Currency=USD","Period=FQ","BEST_FPERIOD_OVERRIDE=FQ","FILING_STATUS=MR","SCALING_FORMAT=MLN","Sort=A","Dates=H","DateFormat=P","Fill=—","Direction=H","UseDPDF=Y")</f>
        <v>-2207</v>
      </c>
      <c r="Y24" s="13">
        <f>_xll.BDH("GILD US Equity","CF_CASH_FROM_INV_ACT","FQ2 2024","FQ2 2024","Currency=USD","Period=FQ","BEST_FPERIOD_OVERRIDE=FQ","FILING_STATUS=MR","SCALING_FORMAT=MLN","Sort=A","Dates=H","DateFormat=P","Fill=—","Direction=H","UseDPDF=Y")</f>
        <v>-307</v>
      </c>
      <c r="Z24" s="13">
        <f>_xll.BDH("GILD US Equity","CF_CASH_FROM_INV_ACT","FQ3 2024","FQ3 2024","Currency=USD","Period=FQ","BEST_FPERIOD_OVERRIDE=FQ","FILING_STATUS=MR","SCALING_FORMAT=MLN","Sort=A","Dates=H","DateFormat=P","Fill=—","Direction=H","UseDPDF=Y")</f>
        <v>-710</v>
      </c>
      <c r="AA24" s="13">
        <f>_xll.BDH("GILD US Equity","CF_CASH_FROM_INV_ACT","FQ4 2024","FQ4 2024","Currency=USD","Period=FQ","BEST_FPERIOD_OVERRIDE=FQ","FILING_STATUS=MR","SCALING_FORMAT=MLN","Sort=A","Dates=H","DateFormat=P","Fill=—","Direction=H","UseDPDF=Y")</f>
        <v>-225</v>
      </c>
    </row>
    <row r="25" spans="1:27" x14ac:dyDescent="0.25">
      <c r="A25" s="10" t="s">
        <v>127</v>
      </c>
      <c r="B25" s="10" t="s">
        <v>128</v>
      </c>
      <c r="C25" s="13">
        <f>_xll.BDH("GILD US Equity","CF_CASH_FROM_FNC_ACT","FQ4 2018","FQ4 2018","Currency=USD","Period=FQ","BEST_FPERIOD_OVERRIDE=FQ","FILING_STATUS=MR","SCALING_FORMAT=MLN","Sort=A","Dates=H","DateFormat=P","Fill=—","Direction=H","UseDPDF=Y")</f>
        <v>-1709</v>
      </c>
      <c r="D25" s="13">
        <f>_xll.BDH("GILD US Equity","CF_CASH_FROM_FNC_ACT","FQ1 2019","FQ1 2019","Currency=USD","Period=FQ","BEST_FPERIOD_OVERRIDE=FQ","FILING_STATUS=MR","SCALING_FORMAT=MLN","Sort=A","Dates=H","DateFormat=P","Fill=—","Direction=H","UseDPDF=Y")</f>
        <v>-2346</v>
      </c>
      <c r="E25" s="13">
        <f>_xll.BDH("GILD US Equity","CF_CASH_FROM_FNC_ACT","FQ2 2019","FQ2 2019","Currency=USD","Period=FQ","BEST_FPERIOD_OVERRIDE=FQ","FILING_STATUS=MR","SCALING_FORMAT=MLN","Sort=A","Dates=H","DateFormat=P","Fill=—","Direction=H","UseDPDF=Y")</f>
        <v>-1866</v>
      </c>
      <c r="F25" s="13">
        <f>_xll.BDH("GILD US Equity","CF_CASH_FROM_FNC_ACT","FQ3 2019","FQ3 2019","Currency=USD","Period=FQ","BEST_FPERIOD_OVERRIDE=FQ","FILING_STATUS=MR","SCALING_FORMAT=MLN","Sort=A","Dates=H","DateFormat=P","Fill=—","Direction=H","UseDPDF=Y")</f>
        <v>-2570</v>
      </c>
      <c r="G25" s="13">
        <f>_xll.BDH("GILD US Equity","CF_CASH_FROM_FNC_ACT","FQ4 2019","FQ4 2019","Currency=USD","Period=FQ","BEST_FPERIOD_OVERRIDE=FQ","FILING_STATUS=MR","SCALING_FORMAT=MLN","Sort=A","Dates=H","DateFormat=P","Fill=—","Direction=H","UseDPDF=Y")</f>
        <v>-854</v>
      </c>
      <c r="H25" s="13">
        <f>_xll.BDH("GILD US Equity","CF_CASH_FROM_FNC_ACT","FQ1 2020","FQ1 2020","Currency=USD","Period=FQ","BEST_FPERIOD_OVERRIDE=FQ","FILING_STATUS=MR","SCALING_FORMAT=MLN","Sort=A","Dates=H","DateFormat=P","Fill=—","Direction=H","UseDPDF=Y")</f>
        <v>-2672</v>
      </c>
      <c r="I25" s="13">
        <f>_xll.BDH("GILD US Equity","CF_CASH_FROM_FNC_ACT","FQ2 2020","FQ2 2020","Currency=USD","Period=FQ","BEST_FPERIOD_OVERRIDE=FQ","FILING_STATUS=MR","SCALING_FORMAT=MLN","Sort=A","Dates=H","DateFormat=P","Fill=—","Direction=H","UseDPDF=Y")</f>
        <v>-848</v>
      </c>
      <c r="J25" s="13">
        <f>_xll.BDH("GILD US Equity","CF_CASH_FROM_FNC_ACT","FQ3 2020","FQ3 2020","Currency=USD","Period=FQ","BEST_FPERIOD_OVERRIDE=FQ","FILING_STATUS=MR","SCALING_FORMAT=MLN","Sort=A","Dates=H","DateFormat=P","Fill=—","Direction=H","UseDPDF=Y")</f>
        <v>4161</v>
      </c>
      <c r="K25" s="13">
        <f>_xll.BDH("GILD US Equity","CF_CASH_FROM_FNC_ACT","FQ4 2020","FQ4 2020","Currency=USD","Period=FQ","BEST_FPERIOD_OVERRIDE=FQ","FILING_STATUS=MR","SCALING_FORMAT=MLN","Sort=A","Dates=H","DateFormat=P","Fill=—","Direction=H","UseDPDF=Y")</f>
        <v>172</v>
      </c>
      <c r="L25" s="13">
        <f>_xll.BDH("GILD US Equity","CF_CASH_FROM_FNC_ACT","FQ1 2021","FQ1 2021","Currency=USD","Period=FQ","BEST_FPERIOD_OVERRIDE=FQ","FILING_STATUS=MR","SCALING_FORMAT=MLN","Sort=A","Dates=H","DateFormat=P","Fill=—","Direction=H","UseDPDF=Y")</f>
        <v>-2500</v>
      </c>
      <c r="M25" s="13">
        <f>_xll.BDH("GILD US Equity","CF_CASH_FROM_FNC_ACT","FQ2 2021","FQ2 2021","Currency=USD","Period=FQ","BEST_FPERIOD_OVERRIDE=FQ","FILING_STATUS=MR","SCALING_FORMAT=MLN","Sort=A","Dates=H","DateFormat=P","Fill=—","Direction=H","UseDPDF=Y")</f>
        <v>-911</v>
      </c>
      <c r="N25" s="13">
        <f>_xll.BDH("GILD US Equity","CF_CASH_FROM_FNC_ACT","FQ3 2021","FQ3 2021","Currency=USD","Period=FQ","BEST_FPERIOD_OVERRIDE=FQ","FILING_STATUS=MR","SCALING_FORMAT=MLN","Sort=A","Dates=H","DateFormat=P","Fill=—","Direction=H","UseDPDF=Y")</f>
        <v>-3550</v>
      </c>
      <c r="O25" s="13">
        <f>_xll.BDH("GILD US Equity","CF_CASH_FROM_FNC_ACT","FQ4 2021","FQ4 2021","Currency=USD","Period=FQ","BEST_FPERIOD_OVERRIDE=FQ","FILING_STATUS=MR","SCALING_FORMAT=MLN","Sort=A","Dates=H","DateFormat=P","Fill=—","Direction=H","UseDPDF=Y")</f>
        <v>-1951</v>
      </c>
      <c r="P25" s="13">
        <f>_xll.BDH("GILD US Equity","CF_CASH_FROM_FNC_ACT","FQ1 2022","FQ1 2022","Currency=USD","Period=FQ","BEST_FPERIOD_OVERRIDE=FQ","FILING_STATUS=MR","SCALING_FORMAT=MLN","Sort=A","Dates=H","DateFormat=P","Fill=—","Direction=H","UseDPDF=Y")</f>
        <v>-1812</v>
      </c>
      <c r="Q25" s="13">
        <f>_xll.BDH("GILD US Equity","CF_CASH_FROM_FNC_ACT","FQ2 2022","FQ2 2022","Currency=USD","Period=FQ","BEST_FPERIOD_OVERRIDE=FQ","FILING_STATUS=MR","SCALING_FORMAT=MLN","Sort=A","Dates=H","DateFormat=P","Fill=—","Direction=H","UseDPDF=Y")</f>
        <v>-1051</v>
      </c>
      <c r="R25" s="13">
        <f>_xll.BDH("GILD US Equity","CF_CASH_FROM_FNC_ACT","FQ3 2022","FQ3 2022","Currency=USD","Period=FQ","BEST_FPERIOD_OVERRIDE=FQ","FILING_STATUS=MR","SCALING_FORMAT=MLN","Sort=A","Dates=H","DateFormat=P","Fill=—","Direction=H","UseDPDF=Y")</f>
        <v>-2190</v>
      </c>
      <c r="S25" s="13">
        <f>_xll.BDH("GILD US Equity","CF_CASH_FROM_FNC_ACT","FQ4 2022","FQ4 2022","Currency=USD","Period=FQ","BEST_FPERIOD_OVERRIDE=FQ","FILING_STATUS=MR","SCALING_FORMAT=MLN","Sort=A","Dates=H","DateFormat=P","Fill=—","Direction=H","UseDPDF=Y")</f>
        <v>-1479</v>
      </c>
      <c r="T25" s="13">
        <f>_xll.BDH("GILD US Equity","CF_CASH_FROM_FNC_ACT","FQ1 2023","FQ1 2023","Currency=USD","Period=FQ","BEST_FPERIOD_OVERRIDE=FQ","FILING_STATUS=MR","SCALING_FORMAT=MLN","Sort=A","Dates=H","DateFormat=P","Fill=—","Direction=H","UseDPDF=Y")</f>
        <v>-1394</v>
      </c>
      <c r="U25" s="13">
        <f>_xll.BDH("GILD US Equity","CF_CASH_FROM_FNC_ACT","FQ2 2023","FQ2 2023","Currency=USD","Period=FQ","BEST_FPERIOD_OVERRIDE=FQ","FILING_STATUS=MR","SCALING_FORMAT=MLN","Sort=A","Dates=H","DateFormat=P","Fill=—","Direction=H","UseDPDF=Y")</f>
        <v>-1087</v>
      </c>
      <c r="V25" s="13">
        <f>_xll.BDH("GILD US Equity","CF_CASH_FROM_FNC_ACT","FQ3 2023","FQ3 2023","Currency=USD","Period=FQ","BEST_FPERIOD_OVERRIDE=FQ","FILING_STATUS=MR","SCALING_FORMAT=MLN","Sort=A","Dates=H","DateFormat=P","Fill=—","Direction=H","UseDPDF=Y")</f>
        <v>-1525</v>
      </c>
      <c r="W25" s="13">
        <f>_xll.BDH("GILD US Equity","CF_CASH_FROM_FNC_ACT","FQ4 2023","FQ4 2023","Currency=USD","Period=FQ","BEST_FPERIOD_OVERRIDE=FQ","FILING_STATUS=MR","SCALING_FORMAT=MLN","Sort=A","Dates=H","DateFormat=P","Fill=—","Direction=H","UseDPDF=Y")</f>
        <v>-1062</v>
      </c>
      <c r="X25" s="13">
        <f>_xll.BDH("GILD US Equity","CF_CASH_FROM_FNC_ACT","FQ1 2024","FQ1 2024","Currency=USD","Period=FQ","BEST_FPERIOD_OVERRIDE=FQ","FILING_STATUS=MR","SCALING_FORMAT=MLN","Sort=A","Dates=H","DateFormat=P","Fill=—","Direction=H","UseDPDF=Y")</f>
        <v>-1379</v>
      </c>
      <c r="Y25" s="13">
        <f>_xll.BDH("GILD US Equity","CF_CASH_FROM_FNC_ACT","FQ2 2024","FQ2 2024","Currency=USD","Period=FQ","BEST_FPERIOD_OVERRIDE=FQ","FILING_STATUS=MR","SCALING_FORMAT=MLN","Sort=A","Dates=H","DateFormat=P","Fill=—","Direction=H","UseDPDF=Y")</f>
        <v>-2964</v>
      </c>
      <c r="Z25" s="13">
        <f>_xll.BDH("GILD US Equity","CF_CASH_FROM_FNC_ACT","FQ3 2024","FQ3 2024","Currency=USD","Period=FQ","BEST_FPERIOD_OVERRIDE=FQ","FILING_STATUS=MR","SCALING_FORMAT=MLN","Sort=A","Dates=H","DateFormat=P","Fill=—","Direction=H","UseDPDF=Y")</f>
        <v>-1335</v>
      </c>
      <c r="AA25" s="13">
        <f>_xll.BDH("GILD US Equity","CF_CASH_FROM_FNC_ACT","FQ4 2024","FQ4 2024","Currency=USD","Period=FQ","BEST_FPERIOD_OVERRIDE=FQ","FILING_STATUS=MR","SCALING_FORMAT=MLN","Sort=A","Dates=H","DateFormat=P","Fill=—","Direction=H","UseDPDF=Y")</f>
        <v>2205</v>
      </c>
    </row>
    <row r="26" spans="1:27" x14ac:dyDescent="0.25">
      <c r="A26" s="7" t="s">
        <v>90</v>
      </c>
      <c r="B26" s="7"/>
      <c r="C26" s="7" t="s">
        <v>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8"/>
  <sheetViews>
    <sheetView workbookViewId="0">
      <selection activeCell="M19" sqref="M19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743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1313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1314</v>
      </c>
      <c r="B7" s="10" t="s">
        <v>1315</v>
      </c>
      <c r="C7" s="13">
        <f>_xll.BDH("GILD US Equity","CF_NET_INC","FQ4 2018","FQ4 2018","Currency=USD","Period=FQ","BEST_FPERIOD_OVERRIDE=FQ","FILING_STATUS=MR","SCALING_FORMAT=MLN","Sort=A","Dates=H","DateFormat=P","Fill=—","Direction=H","UseDPDF=Y")</f>
        <v>3</v>
      </c>
      <c r="D7" s="13">
        <f>_xll.BDH("GILD US Equity","CF_NET_INC","FQ1 2019","FQ1 2019","Currency=USD","Period=FQ","BEST_FPERIOD_OVERRIDE=FQ","FILING_STATUS=MR","SCALING_FORMAT=MLN","Sort=A","Dates=H","DateFormat=P","Fill=—","Direction=H","UseDPDF=Y")</f>
        <v>1975</v>
      </c>
      <c r="E7" s="13">
        <f>_xll.BDH("GILD US Equity","CF_NET_INC","FQ2 2019","FQ2 2019","Currency=USD","Period=FQ","BEST_FPERIOD_OVERRIDE=FQ","FILING_STATUS=MR","SCALING_FORMAT=MLN","Sort=A","Dates=H","DateFormat=P","Fill=—","Direction=H","UseDPDF=Y")</f>
        <v>1880</v>
      </c>
      <c r="F7" s="13">
        <f>_xll.BDH("GILD US Equity","CF_NET_INC","FQ3 2019","FQ3 2019","Currency=USD","Period=FQ","BEST_FPERIOD_OVERRIDE=FQ","FILING_STATUS=MR","SCALING_FORMAT=MLN","Sort=A","Dates=H","DateFormat=P","Fill=—","Direction=H","UseDPDF=Y")</f>
        <v>-1165</v>
      </c>
      <c r="G7" s="13">
        <f>_xll.BDH("GILD US Equity","CF_NET_INC","FQ4 2019","FQ4 2019","Currency=USD","Period=FQ","BEST_FPERIOD_OVERRIDE=FQ","FILING_STATUS=MR","SCALING_FORMAT=MLN","Sort=A","Dates=H","DateFormat=P","Fill=—","Direction=H","UseDPDF=Y")</f>
        <v>2696</v>
      </c>
      <c r="H7" s="13">
        <f>_xll.BDH("GILD US Equity","CF_NET_INC","FQ1 2020","FQ1 2020","Currency=USD","Period=FQ","BEST_FPERIOD_OVERRIDE=FQ","FILING_STATUS=MR","SCALING_FORMAT=MLN","Sort=A","Dates=H","DateFormat=P","Fill=—","Direction=H","UseDPDF=Y")</f>
        <v>1551</v>
      </c>
      <c r="I7" s="13">
        <f>_xll.BDH("GILD US Equity","CF_NET_INC","FQ2 2020","FQ2 2020","Currency=USD","Period=FQ","BEST_FPERIOD_OVERRIDE=FQ","FILING_STATUS=MR","SCALING_FORMAT=MLN","Sort=A","Dates=H","DateFormat=P","Fill=—","Direction=H","UseDPDF=Y")</f>
        <v>-3339</v>
      </c>
      <c r="J7" s="13">
        <f>_xll.BDH("GILD US Equity","CF_NET_INC","FQ3 2020","FQ3 2020","Currency=USD","Period=FQ","BEST_FPERIOD_OVERRIDE=FQ","FILING_STATUS=MR","SCALING_FORMAT=MLN","Sort=A","Dates=H","DateFormat=P","Fill=—","Direction=H","UseDPDF=Y")</f>
        <v>360</v>
      </c>
      <c r="K7" s="13">
        <f>_xll.BDH("GILD US Equity","CF_NET_INC","FQ4 2020","FQ4 2020","Currency=USD","Period=FQ","BEST_FPERIOD_OVERRIDE=FQ","FILING_STATUS=MR","SCALING_FORMAT=MLN","Sort=A","Dates=H","DateFormat=P","Fill=—","Direction=H","UseDPDF=Y")</f>
        <v>1551</v>
      </c>
      <c r="L7" s="13">
        <f>_xll.BDH("GILD US Equity","CF_NET_INC","FQ1 2021","FQ1 2021","Currency=USD","Period=FQ","BEST_FPERIOD_OVERRIDE=FQ","FILING_STATUS=MR","SCALING_FORMAT=MLN","Sort=A","Dates=H","DateFormat=P","Fill=—","Direction=H","UseDPDF=Y")</f>
        <v>1729</v>
      </c>
      <c r="M7" s="13">
        <f>_xll.BDH("GILD US Equity","CF_NET_INC","FQ2 2021","FQ2 2021","Currency=USD","Period=FQ","BEST_FPERIOD_OVERRIDE=FQ","FILING_STATUS=MR","SCALING_FORMAT=MLN","Sort=A","Dates=H","DateFormat=P","Fill=—","Direction=H","UseDPDF=Y")</f>
        <v>1522</v>
      </c>
      <c r="N7" s="13">
        <f>_xll.BDH("GILD US Equity","CF_NET_INC","FQ3 2021","FQ3 2021","Currency=USD","Period=FQ","BEST_FPERIOD_OVERRIDE=FQ","FILING_STATUS=MR","SCALING_FORMAT=MLN","Sort=A","Dates=H","DateFormat=P","Fill=—","Direction=H","UseDPDF=Y")</f>
        <v>2592</v>
      </c>
      <c r="O7" s="13">
        <f>_xll.BDH("GILD US Equity","CF_NET_INC","FQ4 2021","FQ4 2021","Currency=USD","Period=FQ","BEST_FPERIOD_OVERRIDE=FQ","FILING_STATUS=MR","SCALING_FORMAT=MLN","Sort=A","Dates=H","DateFormat=P","Fill=—","Direction=H","UseDPDF=Y")</f>
        <v>382</v>
      </c>
      <c r="P7" s="13">
        <f>_xll.BDH("GILD US Equity","CF_NET_INC","FQ1 2022","FQ1 2022","Currency=USD","Period=FQ","BEST_FPERIOD_OVERRIDE=FQ","FILING_STATUS=MR","SCALING_FORMAT=MLN","Sort=A","Dates=H","DateFormat=P","Fill=—","Direction=H","UseDPDF=Y")</f>
        <v>19</v>
      </c>
      <c r="Q7" s="13">
        <f>_xll.BDH("GILD US Equity","CF_NET_INC","FQ2 2022","FQ2 2022","Currency=USD","Period=FQ","BEST_FPERIOD_OVERRIDE=FQ","FILING_STATUS=MR","SCALING_FORMAT=MLN","Sort=A","Dates=H","DateFormat=P","Fill=—","Direction=H","UseDPDF=Y")</f>
        <v>1144</v>
      </c>
      <c r="R7" s="13">
        <f>_xll.BDH("GILD US Equity","CF_NET_INC","FQ3 2022","FQ3 2022","Currency=USD","Period=FQ","BEST_FPERIOD_OVERRIDE=FQ","FILING_STATUS=MR","SCALING_FORMAT=MLN","Sort=A","Dates=H","DateFormat=P","Fill=—","Direction=H","UseDPDF=Y")</f>
        <v>1789</v>
      </c>
      <c r="S7" s="13">
        <f>_xll.BDH("GILD US Equity","CF_NET_INC","FQ4 2022","FQ4 2022","Currency=USD","Period=FQ","BEST_FPERIOD_OVERRIDE=FQ","FILING_STATUS=MR","SCALING_FORMAT=MLN","Sort=A","Dates=H","DateFormat=P","Fill=—","Direction=H","UseDPDF=Y")</f>
        <v>1640</v>
      </c>
      <c r="T7" s="13">
        <f>_xll.BDH("GILD US Equity","CF_NET_INC","FQ1 2023","FQ1 2023","Currency=USD","Period=FQ","BEST_FPERIOD_OVERRIDE=FQ","FILING_STATUS=MR","SCALING_FORMAT=MLN","Sort=A","Dates=H","DateFormat=P","Fill=—","Direction=H","UseDPDF=Y")</f>
        <v>1010</v>
      </c>
      <c r="U7" s="13">
        <f>_xll.BDH("GILD US Equity","CF_NET_INC","FQ2 2023","FQ2 2023","Currency=USD","Period=FQ","BEST_FPERIOD_OVERRIDE=FQ","FILING_STATUS=MR","SCALING_FORMAT=MLN","Sort=A","Dates=H","DateFormat=P","Fill=—","Direction=H","UseDPDF=Y")</f>
        <v>1045</v>
      </c>
      <c r="V7" s="13">
        <f>_xll.BDH("GILD US Equity","CF_NET_INC","FQ3 2023","FQ3 2023","Currency=USD","Period=FQ","BEST_FPERIOD_OVERRIDE=FQ","FILING_STATUS=MR","SCALING_FORMAT=MLN","Sort=A","Dates=H","DateFormat=P","Fill=—","Direction=H","UseDPDF=Y")</f>
        <v>2180</v>
      </c>
      <c r="W7" s="13">
        <f>_xll.BDH("GILD US Equity","CF_NET_INC","FQ4 2023","FQ4 2023","Currency=USD","Period=FQ","BEST_FPERIOD_OVERRIDE=FQ","FILING_STATUS=MR","SCALING_FORMAT=MLN","Sort=A","Dates=H","DateFormat=P","Fill=—","Direction=H","UseDPDF=Y")</f>
        <v>1429</v>
      </c>
      <c r="X7" s="13">
        <f>_xll.BDH("GILD US Equity","CF_NET_INC","FQ1 2024","FQ1 2024","Currency=USD","Period=FQ","BEST_FPERIOD_OVERRIDE=FQ","FILING_STATUS=MR","SCALING_FORMAT=MLN","Sort=A","Dates=H","DateFormat=P","Fill=—","Direction=H","UseDPDF=Y")</f>
        <v>-4170</v>
      </c>
      <c r="Y7" s="13">
        <f>_xll.BDH("GILD US Equity","CF_NET_INC","FQ2 2024","FQ2 2024","Currency=USD","Period=FQ","BEST_FPERIOD_OVERRIDE=FQ","FILING_STATUS=MR","SCALING_FORMAT=MLN","Sort=A","Dates=H","DateFormat=P","Fill=—","Direction=H","UseDPDF=Y")</f>
        <v>1614</v>
      </c>
      <c r="Z7" s="13">
        <f>_xll.BDH("GILD US Equity","CF_NET_INC","FQ3 2024","FQ3 2024","Currency=USD","Period=FQ","BEST_FPERIOD_OVERRIDE=FQ","FILING_STATUS=MR","SCALING_FORMAT=MLN","Sort=A","Dates=H","DateFormat=P","Fill=—","Direction=H","UseDPDF=Y")</f>
        <v>1253</v>
      </c>
      <c r="AA7" s="13">
        <f>_xll.BDH("GILD US Equity","CF_NET_INC","FQ4 2024","FQ4 2024","Currency=USD","Period=FQ","BEST_FPERIOD_OVERRIDE=FQ","FILING_STATUS=MR","SCALING_FORMAT=MLN","Sort=A","Dates=H","DateFormat=P","Fill=—","Direction=H","UseDPDF=Y")</f>
        <v>1783</v>
      </c>
    </row>
    <row r="8" spans="1:27" x14ac:dyDescent="0.25">
      <c r="A8" s="10" t="s">
        <v>654</v>
      </c>
      <c r="B8" s="10" t="s">
        <v>1316</v>
      </c>
      <c r="C8" s="13">
        <f>_xll.BDH("GILD US Equity","CF_DEPR_AMORT","FQ4 2018","FQ4 2018","Currency=USD","Period=FQ","BEST_FPERIOD_OVERRIDE=FQ","FILING_STATUS=MR","SCALING_FORMAT=MLN","Sort=A","Dates=H","DateFormat=P","Fill=—","Direction=H","UseDPDF=Y")</f>
        <v>358</v>
      </c>
      <c r="D8" s="13">
        <f>_xll.BDH("GILD US Equity","CF_DEPR_AMORT","FQ1 2019","FQ1 2019","Currency=USD","Period=FQ","BEST_FPERIOD_OVERRIDE=FQ","FILING_STATUS=MR","SCALING_FORMAT=MLN","Sort=A","Dates=H","DateFormat=P","Fill=—","Direction=H","UseDPDF=Y")</f>
        <v>359</v>
      </c>
      <c r="E8" s="13">
        <f>_xll.BDH("GILD US Equity","CF_DEPR_AMORT","FQ2 2019","FQ2 2019","Currency=USD","Period=FQ","BEST_FPERIOD_OVERRIDE=FQ","FILING_STATUS=MR","SCALING_FORMAT=MLN","Sort=A","Dates=H","DateFormat=P","Fill=—","Direction=H","UseDPDF=Y")</f>
        <v>348</v>
      </c>
      <c r="F8" s="13">
        <f>_xll.BDH("GILD US Equity","CF_DEPR_AMORT","FQ3 2019","FQ3 2019","Currency=USD","Period=FQ","BEST_FPERIOD_OVERRIDE=FQ","FILING_STATUS=MR","SCALING_FORMAT=MLN","Sort=A","Dates=H","DateFormat=P","Fill=—","Direction=H","UseDPDF=Y")</f>
        <v>347</v>
      </c>
      <c r="G8" s="13">
        <f>_xll.BDH("GILD US Equity","CF_DEPR_AMORT","FQ4 2019","FQ4 2019","Currency=USD","Period=FQ","BEST_FPERIOD_OVERRIDE=FQ","FILING_STATUS=MR","SCALING_FORMAT=MLN","Sort=A","Dates=H","DateFormat=P","Fill=—","Direction=H","UseDPDF=Y")</f>
        <v>350</v>
      </c>
      <c r="H8" s="13">
        <f>_xll.BDH("GILD US Equity","CF_DEPR_AMORT","FQ1 2020","FQ1 2020","Currency=USD","Period=FQ","BEST_FPERIOD_OVERRIDE=FQ","FILING_STATUS=MR","SCALING_FORMAT=MLN","Sort=A","Dates=H","DateFormat=P","Fill=—","Direction=H","UseDPDF=Y")</f>
        <v>349</v>
      </c>
      <c r="I8" s="13">
        <f>_xll.BDH("GILD US Equity","CF_DEPR_AMORT","FQ2 2020","FQ2 2020","Currency=USD","Period=FQ","BEST_FPERIOD_OVERRIDE=FQ","FILING_STATUS=MR","SCALING_FORMAT=MLN","Sort=A","Dates=H","DateFormat=P","Fill=—","Direction=H","UseDPDF=Y")</f>
        <v>349</v>
      </c>
      <c r="J8" s="13">
        <f>_xll.BDH("GILD US Equity","CF_DEPR_AMORT","FQ3 2020","FQ3 2020","Currency=USD","Period=FQ","BEST_FPERIOD_OVERRIDE=FQ","FILING_STATUS=MR","SCALING_FORMAT=MLN","Sort=A","Dates=H","DateFormat=P","Fill=—","Direction=H","UseDPDF=Y")</f>
        <v>355</v>
      </c>
      <c r="K8" s="13">
        <f>_xll.BDH("GILD US Equity","CF_DEPR_AMORT","FQ4 2020","FQ4 2020","Currency=USD","Period=FQ","BEST_FPERIOD_OVERRIDE=FQ","FILING_STATUS=MR","SCALING_FORMAT=MLN","Sort=A","Dates=H","DateFormat=P","Fill=—","Direction=H","UseDPDF=Y")</f>
        <v>427</v>
      </c>
      <c r="L8" s="13">
        <f>_xll.BDH("GILD US Equity","CF_DEPR_AMORT","FQ1 2021","FQ1 2021","Currency=USD","Period=FQ","BEST_FPERIOD_OVERRIDE=FQ","FILING_STATUS=MR","SCALING_FORMAT=MLN","Sort=A","Dates=H","DateFormat=P","Fill=—","Direction=H","UseDPDF=Y")</f>
        <v>473</v>
      </c>
      <c r="M8" s="13">
        <f>_xll.BDH("GILD US Equity","CF_DEPR_AMORT","FQ2 2021","FQ2 2021","Currency=USD","Period=FQ","BEST_FPERIOD_OVERRIDE=FQ","FILING_STATUS=MR","SCALING_FORMAT=MLN","Sort=A","Dates=H","DateFormat=P","Fill=—","Direction=H","UseDPDF=Y")</f>
        <v>519</v>
      </c>
      <c r="N8" s="13">
        <f>_xll.BDH("GILD US Equity","CF_DEPR_AMORT","FQ3 2021","FQ3 2021","Currency=USD","Period=FQ","BEST_FPERIOD_OVERRIDE=FQ","FILING_STATUS=MR","SCALING_FORMAT=MLN","Sort=A","Dates=H","DateFormat=P","Fill=—","Direction=H","UseDPDF=Y")</f>
        <v>523</v>
      </c>
      <c r="O8" s="13">
        <f>_xll.BDH("GILD US Equity","CF_DEPR_AMORT","FQ4 2021","FQ4 2021","Currency=USD","Period=FQ","BEST_FPERIOD_OVERRIDE=FQ","FILING_STATUS=MR","SCALING_FORMAT=MLN","Sort=A","Dates=H","DateFormat=P","Fill=—","Direction=H","UseDPDF=Y")</f>
        <v>535</v>
      </c>
      <c r="P8" s="13">
        <f>_xll.BDH("GILD US Equity","CF_DEPR_AMORT","FQ1 2022","FQ1 2022","Currency=USD","Period=FQ","BEST_FPERIOD_OVERRIDE=FQ","FILING_STATUS=MR","SCALING_FORMAT=MLN","Sort=A","Dates=H","DateFormat=P","Fill=—","Direction=H","UseDPDF=Y")</f>
        <v>525</v>
      </c>
      <c r="Q8" s="13">
        <f>_xll.BDH("GILD US Equity","CF_DEPR_AMORT","FQ2 2022","FQ2 2022","Currency=USD","Period=FQ","BEST_FPERIOD_OVERRIDE=FQ","FILING_STATUS=MR","SCALING_FORMAT=MLN","Sort=A","Dates=H","DateFormat=P","Fill=—","Direction=H","UseDPDF=Y")</f>
        <v>525</v>
      </c>
      <c r="R8" s="13">
        <f>_xll.BDH("GILD US Equity","CF_DEPR_AMORT","FQ3 2022","FQ3 2022","Currency=USD","Period=FQ","BEST_FPERIOD_OVERRIDE=FQ","FILING_STATUS=MR","SCALING_FORMAT=MLN","Sort=A","Dates=H","DateFormat=P","Fill=—","Direction=H","UseDPDF=Y")</f>
        <v>525</v>
      </c>
      <c r="S8" s="13">
        <f>_xll.BDH("GILD US Equity","CF_DEPR_AMORT","FQ4 2022","FQ4 2022","Currency=USD","Period=FQ","BEST_FPERIOD_OVERRIDE=FQ","FILING_STATUS=MR","SCALING_FORMAT=MLN","Sort=A","Dates=H","DateFormat=P","Fill=—","Direction=H","UseDPDF=Y")</f>
        <v>528</v>
      </c>
      <c r="T8" s="13">
        <f>_xll.BDH("GILD US Equity","CF_DEPR_AMORT","FQ1 2023","FQ1 2023","Currency=USD","Period=FQ","BEST_FPERIOD_OVERRIDE=FQ","FILING_STATUS=MR","SCALING_FORMAT=MLN","Sort=A","Dates=H","DateFormat=P","Fill=—","Direction=H","UseDPDF=Y")</f>
        <v>640</v>
      </c>
      <c r="U8" s="13">
        <f>_xll.BDH("GILD US Equity","CF_DEPR_AMORT","FQ2 2023","FQ2 2023","Currency=USD","Period=FQ","BEST_FPERIOD_OVERRIDE=FQ","FILING_STATUS=MR","SCALING_FORMAT=MLN","Sort=A","Dates=H","DateFormat=P","Fill=—","Direction=H","UseDPDF=Y")</f>
        <v>681</v>
      </c>
      <c r="V8" s="13">
        <f>_xll.BDH("GILD US Equity","CF_DEPR_AMORT","FQ3 2023","FQ3 2023","Currency=USD","Period=FQ","BEST_FPERIOD_OVERRIDE=FQ","FILING_STATUS=MR","SCALING_FORMAT=MLN","Sort=A","Dates=H","DateFormat=P","Fill=—","Direction=H","UseDPDF=Y")</f>
        <v>684</v>
      </c>
      <c r="W8" s="13">
        <f>_xll.BDH("GILD US Equity","CF_DEPR_AMORT","FQ4 2023","FQ4 2023","Currency=USD","Period=FQ","BEST_FPERIOD_OVERRIDE=FQ","FILING_STATUS=MR","SCALING_FORMAT=MLN","Sort=A","Dates=H","DateFormat=P","Fill=—","Direction=H","UseDPDF=Y")</f>
        <v>688</v>
      </c>
      <c r="X8" s="13">
        <f>_xll.BDH("GILD US Equity","CF_DEPR_AMORT","FQ1 2024","FQ1 2024","Currency=USD","Period=FQ","BEST_FPERIOD_OVERRIDE=FQ","FILING_STATUS=MR","SCALING_FORMAT=MLN","Sort=A","Dates=H","DateFormat=P","Fill=—","Direction=H","UseDPDF=Y")</f>
        <v>690</v>
      </c>
      <c r="Y8" s="13">
        <f>_xll.BDH("GILD US Equity","CF_DEPR_AMORT","FQ2 2024","FQ2 2024","Currency=USD","Period=FQ","BEST_FPERIOD_OVERRIDE=FQ","FILING_STATUS=MR","SCALING_FORMAT=MLN","Sort=A","Dates=H","DateFormat=P","Fill=—","Direction=H","UseDPDF=Y")</f>
        <v>694</v>
      </c>
      <c r="Z8" s="13">
        <f>_xll.BDH("GILD US Equity","CF_DEPR_AMORT","FQ3 2024","FQ3 2024","Currency=USD","Period=FQ","BEST_FPERIOD_OVERRIDE=FQ","FILING_STATUS=MR","SCALING_FORMAT=MLN","Sort=A","Dates=H","DateFormat=P","Fill=—","Direction=H","UseDPDF=Y")</f>
        <v>690</v>
      </c>
      <c r="AA8" s="13">
        <f>_xll.BDH("GILD US Equity","CF_DEPR_AMORT","FQ4 2024","FQ4 2024","Currency=USD","Period=FQ","BEST_FPERIOD_OVERRIDE=FQ","FILING_STATUS=MR","SCALING_FORMAT=MLN","Sort=A","Dates=H","DateFormat=P","Fill=—","Direction=H","UseDPDF=Y")</f>
        <v>693</v>
      </c>
    </row>
    <row r="9" spans="1:27" x14ac:dyDescent="0.25">
      <c r="A9" s="10" t="s">
        <v>1317</v>
      </c>
      <c r="B9" s="10" t="s">
        <v>1318</v>
      </c>
      <c r="C9" s="13">
        <f>_xll.BDH("GILD US Equity","NON_CASH_ITEMS_DETAILED","FQ4 2018","FQ4 2018","Currency=USD","Period=FQ","BEST_FPERIOD_OVERRIDE=FQ","FILING_STATUS=MR","SCALING_FORMAT=MLN","Sort=A","Dates=H","DateFormat=P","Fill=—","Direction=H","UseDPDF=Y")</f>
        <v>1756</v>
      </c>
      <c r="D9" s="13">
        <f>_xll.BDH("GILD US Equity","NON_CASH_ITEMS_DETAILED","FQ1 2019","FQ1 2019","Currency=USD","Period=FQ","BEST_FPERIOD_OVERRIDE=FQ","FILING_STATUS=MR","SCALING_FORMAT=MLN","Sort=A","Dates=H","DateFormat=P","Fill=—","Direction=H","UseDPDF=Y")</f>
        <v>3</v>
      </c>
      <c r="E9" s="13">
        <f>_xll.BDH("GILD US Equity","NON_CASH_ITEMS_DETAILED","FQ2 2019","FQ2 2019","Currency=USD","Period=FQ","BEST_FPERIOD_OVERRIDE=FQ","FILING_STATUS=MR","SCALING_FORMAT=MLN","Sort=A","Dates=H","DateFormat=P","Fill=—","Direction=H","UseDPDF=Y")</f>
        <v>315</v>
      </c>
      <c r="F9" s="13">
        <f>_xll.BDH("GILD US Equity","NON_CASH_ITEMS_DETAILED","FQ3 2019","FQ3 2019","Currency=USD","Period=FQ","BEST_FPERIOD_OVERRIDE=FQ","FILING_STATUS=MR","SCALING_FORMAT=MLN","Sort=A","Dates=H","DateFormat=P","Fill=—","Direction=H","UseDPDF=Y")</f>
        <v>3661</v>
      </c>
      <c r="G9" s="13">
        <f>_xll.BDH("GILD US Equity","NON_CASH_ITEMS_DETAILED","FQ4 2019","FQ4 2019","Currency=USD","Period=FQ","BEST_FPERIOD_OVERRIDE=FQ","FILING_STATUS=MR","SCALING_FORMAT=MLN","Sort=A","Dates=H","DateFormat=P","Fill=—","Direction=H","UseDPDF=Y")</f>
        <v>-654</v>
      </c>
      <c r="H9" s="13">
        <f>_xll.BDH("GILD US Equity","NON_CASH_ITEMS_DETAILED","FQ1 2020","FQ1 2020","Currency=USD","Period=FQ","BEST_FPERIOD_OVERRIDE=FQ","FILING_STATUS=MR","SCALING_FORMAT=MLN","Sort=A","Dates=H","DateFormat=P","Fill=—","Direction=H","UseDPDF=Y")</f>
        <v>637</v>
      </c>
      <c r="I9" s="13">
        <f>_xll.BDH("GILD US Equity","NON_CASH_ITEMS_DETAILED","FQ2 2020","FQ2 2020","Currency=USD","Period=FQ","BEST_FPERIOD_OVERRIDE=FQ","FILING_STATUS=MR","SCALING_FORMAT=MLN","Sort=A","Dates=H","DateFormat=P","Fill=—","Direction=H","UseDPDF=Y")</f>
        <v>4594</v>
      </c>
      <c r="J9" s="13">
        <f>_xll.BDH("GILD US Equity","NON_CASH_ITEMS_DETAILED","FQ3 2020","FQ3 2020","Currency=USD","Period=FQ","BEST_FPERIOD_OVERRIDE=FQ","FILING_STATUS=MR","SCALING_FORMAT=MLN","Sort=A","Dates=H","DateFormat=P","Fill=—","Direction=H","UseDPDF=Y")</f>
        <v>2260</v>
      </c>
      <c r="K9" s="13">
        <f>_xll.BDH("GILD US Equity","NON_CASH_ITEMS_DETAILED","FQ4 2020","FQ4 2020","Currency=USD","Period=FQ","BEST_FPERIOD_OVERRIDE=FQ","FILING_STATUS=MR","SCALING_FORMAT=MLN","Sort=A","Dates=H","DateFormat=P","Fill=—","Direction=H","UseDPDF=Y")</f>
        <v>712</v>
      </c>
      <c r="L9" s="13">
        <f>_xll.BDH("GILD US Equity","NON_CASH_ITEMS_DETAILED","FQ1 2021","FQ1 2021","Currency=USD","Period=FQ","BEST_FPERIOD_OVERRIDE=FQ","FILING_STATUS=MR","SCALING_FORMAT=MLN","Sort=A","Dates=H","DateFormat=P","Fill=—","Direction=H","UseDPDF=Y")</f>
        <v>817</v>
      </c>
      <c r="M9" s="13">
        <f>_xll.BDH("GILD US Equity","NON_CASH_ITEMS_DETAILED","FQ2 2021","FQ2 2021","Currency=USD","Period=FQ","BEST_FPERIOD_OVERRIDE=FQ","FILING_STATUS=MR","SCALING_FORMAT=MLN","Sort=A","Dates=H","DateFormat=P","Fill=—","Direction=H","UseDPDF=Y")</f>
        <v>738</v>
      </c>
      <c r="N9" s="13">
        <f>_xll.BDH("GILD US Equity","NON_CASH_ITEMS_DETAILED","FQ3 2021","FQ3 2021","Currency=USD","Period=FQ","BEST_FPERIOD_OVERRIDE=FQ","FILING_STATUS=MR","SCALING_FORMAT=MLN","Sort=A","Dates=H","DateFormat=P","Fill=—","Direction=H","UseDPDF=Y")</f>
        <v>591</v>
      </c>
      <c r="O9" s="13">
        <f>_xll.BDH("GILD US Equity","NON_CASH_ITEMS_DETAILED","FQ4 2021","FQ4 2021","Currency=USD","Period=FQ","BEST_FPERIOD_OVERRIDE=FQ","FILING_STATUS=MR","SCALING_FORMAT=MLN","Sort=A","Dates=H","DateFormat=P","Fill=—","Direction=H","UseDPDF=Y")</f>
        <v>474</v>
      </c>
      <c r="P9" s="13">
        <f>_xll.BDH("GILD US Equity","NON_CASH_ITEMS_DETAILED","FQ1 2022","FQ1 2022","Currency=USD","Period=FQ","BEST_FPERIOD_OVERRIDE=FQ","FILING_STATUS=MR","SCALING_FORMAT=MLN","Sort=A","Dates=H","DateFormat=P","Fill=—","Direction=H","UseDPDF=Y")</f>
        <v>2458</v>
      </c>
      <c r="Q9" s="13">
        <f>_xll.BDH("GILD US Equity","NON_CASH_ITEMS_DETAILED","FQ2 2022","FQ2 2022","Currency=USD","Period=FQ","BEST_FPERIOD_OVERRIDE=FQ","FILING_STATUS=MR","SCALING_FORMAT=MLN","Sort=A","Dates=H","DateFormat=P","Fill=—","Direction=H","UseDPDF=Y")</f>
        <v>734</v>
      </c>
      <c r="R9" s="13">
        <f>_xll.BDH("GILD US Equity","NON_CASH_ITEMS_DETAILED","FQ3 2022","FQ3 2022","Currency=USD","Period=FQ","BEST_FPERIOD_OVERRIDE=FQ","FILING_STATUS=MR","SCALING_FORMAT=MLN","Sort=A","Dates=H","DateFormat=P","Fill=—","Direction=H","UseDPDF=Y")</f>
        <v>440</v>
      </c>
      <c r="S9" s="13">
        <f>_xll.BDH("GILD US Equity","NON_CASH_ITEMS_DETAILED","FQ4 2022","FQ4 2022","Currency=USD","Period=FQ","BEST_FPERIOD_OVERRIDE=FQ","FILING_STATUS=MR","SCALING_FORMAT=MLN","Sort=A","Dates=H","DateFormat=P","Fill=—","Direction=H","UseDPDF=Y")</f>
        <v>508</v>
      </c>
      <c r="T9" s="13">
        <f>_xll.BDH("GILD US Equity","NON_CASH_ITEMS_DETAILED","FQ1 2023","FQ1 2023","Currency=USD","Period=FQ","BEST_FPERIOD_OVERRIDE=FQ","FILING_STATUS=MR","SCALING_FORMAT=MLN","Sort=A","Dates=H","DateFormat=P","Fill=—","Direction=H","UseDPDF=Y")</f>
        <v>636</v>
      </c>
      <c r="U9" s="13">
        <f>_xll.BDH("GILD US Equity","NON_CASH_ITEMS_DETAILED","FQ2 2023","FQ2 2023","Currency=USD","Period=FQ","BEST_FPERIOD_OVERRIDE=FQ","FILING_STATUS=MR","SCALING_FORMAT=MLN","Sort=A","Dates=H","DateFormat=P","Fill=—","Direction=H","UseDPDF=Y")</f>
        <v>281</v>
      </c>
      <c r="V9" s="13">
        <f>_xll.BDH("GILD US Equity","NON_CASH_ITEMS_DETAILED","FQ3 2023","FQ3 2023","Currency=USD","Period=FQ","BEST_FPERIOD_OVERRIDE=FQ","FILING_STATUS=MR","SCALING_FORMAT=MLN","Sort=A","Dates=H","DateFormat=P","Fill=—","Direction=H","UseDPDF=Y")</f>
        <v>440</v>
      </c>
      <c r="W9" s="13">
        <f>_xll.BDH("GILD US Equity","NON_CASH_ITEMS_DETAILED","FQ4 2023","FQ4 2023","Currency=USD","Period=FQ","BEST_FPERIOD_OVERRIDE=FQ","FILING_STATUS=MR","SCALING_FORMAT=MLN","Sort=A","Dates=H","DateFormat=P","Fill=—","Direction=H","UseDPDF=Y")</f>
        <v>-1173</v>
      </c>
      <c r="X9" s="13">
        <f>_xll.BDH("GILD US Equity","NON_CASH_ITEMS_DETAILED","FQ1 2024","FQ1 2024","Currency=USD","Period=FQ","BEST_FPERIOD_OVERRIDE=FQ","FILING_STATUS=MR","SCALING_FORMAT=MLN","Sort=A","Dates=H","DateFormat=P","Fill=—","Direction=H","UseDPDF=Y")</f>
        <v>6158</v>
      </c>
      <c r="Y9" s="13">
        <f>_xll.BDH("GILD US Equity","NON_CASH_ITEMS_DETAILED","FQ2 2024","FQ2 2024","Currency=USD","Period=FQ","BEST_FPERIOD_OVERRIDE=FQ","FILING_STATUS=MR","SCALING_FORMAT=MLN","Sort=A","Dates=H","DateFormat=P","Fill=—","Direction=H","UseDPDF=Y")</f>
        <v>563</v>
      </c>
      <c r="Z9" s="13">
        <f>_xll.BDH("GILD US Equity","NON_CASH_ITEMS_DETAILED","FQ3 2024","FQ3 2024","Currency=USD","Period=FQ","BEST_FPERIOD_OVERRIDE=FQ","FILING_STATUS=MR","SCALING_FORMAT=MLN","Sort=A","Dates=H","DateFormat=P","Fill=—","Direction=H","UseDPDF=Y")</f>
        <v>1724</v>
      </c>
      <c r="AA9" s="13">
        <f>_xll.BDH("GILD US Equity","NON_CASH_ITEMS_DETAILED","FQ4 2024","FQ4 2024","Currency=USD","Period=FQ","BEST_FPERIOD_OVERRIDE=FQ","FILING_STATUS=MR","SCALING_FORMAT=MLN","Sort=A","Dates=H","DateFormat=P","Fill=—","Direction=H","UseDPDF=Y")</f>
        <v>-716</v>
      </c>
    </row>
    <row r="10" spans="1:27" x14ac:dyDescent="0.25">
      <c r="A10" s="10" t="s">
        <v>1319</v>
      </c>
      <c r="B10" s="10" t="s">
        <v>1320</v>
      </c>
      <c r="C10" s="13">
        <f>_xll.BDH("GILD US Equity","CF_STOCK_BASED_COMPENSATION","FQ4 2018","FQ4 2018","Currency=USD","Period=FQ","BEST_FPERIOD_OVERRIDE=FQ","FILING_STATUS=MR","SCALING_FORMAT=MLN","Sort=A","Dates=H","DateFormat=P","Fill=—","Direction=H","UseDPDF=Y")</f>
        <v>175</v>
      </c>
      <c r="D10" s="13">
        <f>_xll.BDH("GILD US Equity","CF_STOCK_BASED_COMPENSATION","FQ1 2019","FQ1 2019","Currency=USD","Period=FQ","BEST_FPERIOD_OVERRIDE=FQ","FILING_STATUS=MR","SCALING_FORMAT=MLN","Sort=A","Dates=H","DateFormat=P","Fill=—","Direction=H","UseDPDF=Y")</f>
        <v>143</v>
      </c>
      <c r="E10" s="13">
        <f>_xll.BDH("GILD US Equity","CF_STOCK_BASED_COMPENSATION","FQ2 2019","FQ2 2019","Currency=USD","Period=FQ","BEST_FPERIOD_OVERRIDE=FQ","FILING_STATUS=MR","SCALING_FORMAT=MLN","Sort=A","Dates=H","DateFormat=P","Fill=—","Direction=H","UseDPDF=Y")</f>
        <v>174</v>
      </c>
      <c r="F10" s="13">
        <f>_xll.BDH("GILD US Equity","CF_STOCK_BASED_COMPENSATION","FQ3 2019","FQ3 2019","Currency=USD","Period=FQ","BEST_FPERIOD_OVERRIDE=FQ","FILING_STATUS=MR","SCALING_FORMAT=MLN","Sort=A","Dates=H","DateFormat=P","Fill=—","Direction=H","UseDPDF=Y")</f>
        <v>162</v>
      </c>
      <c r="G10" s="13">
        <f>_xll.BDH("GILD US Equity","CF_STOCK_BASED_COMPENSATION","FQ4 2019","FQ4 2019","Currency=USD","Period=FQ","BEST_FPERIOD_OVERRIDE=FQ","FILING_STATUS=MR","SCALING_FORMAT=MLN","Sort=A","Dates=H","DateFormat=P","Fill=—","Direction=H","UseDPDF=Y")</f>
        <v>157</v>
      </c>
      <c r="H10" s="13">
        <f>_xll.BDH("GILD US Equity","CF_STOCK_BASED_COMPENSATION","FQ1 2020","FQ1 2020","Currency=USD","Period=FQ","BEST_FPERIOD_OVERRIDE=FQ","FILING_STATUS=MR","SCALING_FORMAT=MLN","Sort=A","Dates=H","DateFormat=P","Fill=—","Direction=H","UseDPDF=Y")</f>
        <v>141</v>
      </c>
      <c r="I10" s="13">
        <f>_xll.BDH("GILD US Equity","CF_STOCK_BASED_COMPENSATION","FQ2 2020","FQ2 2020","Currency=USD","Period=FQ","BEST_FPERIOD_OVERRIDE=FQ","FILING_STATUS=MR","SCALING_FORMAT=MLN","Sort=A","Dates=H","DateFormat=P","Fill=—","Direction=H","UseDPDF=Y")</f>
        <v>168</v>
      </c>
      <c r="J10" s="13">
        <f>_xll.BDH("GILD US Equity","CF_STOCK_BASED_COMPENSATION","FQ3 2020","FQ3 2020","Currency=USD","Period=FQ","BEST_FPERIOD_OVERRIDE=FQ","FILING_STATUS=MR","SCALING_FORMAT=MLN","Sort=A","Dates=H","DateFormat=P","Fill=—","Direction=H","UseDPDF=Y")</f>
        <v>173</v>
      </c>
      <c r="K10" s="13">
        <f>_xll.BDH("GILD US Equity","CF_STOCK_BASED_COMPENSATION","FQ4 2020","FQ4 2020","Currency=USD","Period=FQ","BEST_FPERIOD_OVERRIDE=FQ","FILING_STATUS=MR","SCALING_FORMAT=MLN","Sort=A","Dates=H","DateFormat=P","Fill=—","Direction=H","UseDPDF=Y")</f>
        <v>161</v>
      </c>
      <c r="L10" s="13">
        <f>_xll.BDH("GILD US Equity","CF_STOCK_BASED_COMPENSATION","FQ1 2021","FQ1 2021","Currency=USD","Period=FQ","BEST_FPERIOD_OVERRIDE=FQ","FILING_STATUS=MR","SCALING_FORMAT=MLN","Sort=A","Dates=H","DateFormat=P","Fill=—","Direction=H","UseDPDF=Y")</f>
        <v>139</v>
      </c>
      <c r="M10" s="13">
        <f>_xll.BDH("GILD US Equity","CF_STOCK_BASED_COMPENSATION","FQ2 2021","FQ2 2021","Currency=USD","Period=FQ","BEST_FPERIOD_OVERRIDE=FQ","FILING_STATUS=MR","SCALING_FORMAT=MLN","Sort=A","Dates=H","DateFormat=P","Fill=—","Direction=H","UseDPDF=Y")</f>
        <v>166</v>
      </c>
      <c r="N10" s="13">
        <f>_xll.BDH("GILD US Equity","CF_STOCK_BASED_COMPENSATION","FQ3 2021","FQ3 2021","Currency=USD","Period=FQ","BEST_FPERIOD_OVERRIDE=FQ","FILING_STATUS=MR","SCALING_FORMAT=MLN","Sort=A","Dates=H","DateFormat=P","Fill=—","Direction=H","UseDPDF=Y")</f>
        <v>171</v>
      </c>
      <c r="O10" s="13">
        <f>_xll.BDH("GILD US Equity","CF_STOCK_BASED_COMPENSATION","FQ4 2021","FQ4 2021","Currency=USD","Period=FQ","BEST_FPERIOD_OVERRIDE=FQ","FILING_STATUS=MR","SCALING_FORMAT=MLN","Sort=A","Dates=H","DateFormat=P","Fill=—","Direction=H","UseDPDF=Y")</f>
        <v>159</v>
      </c>
      <c r="P10" s="13">
        <f>_xll.BDH("GILD US Equity","CF_STOCK_BASED_COMPENSATION","FQ1 2022","FQ1 2022","Currency=USD","Period=FQ","BEST_FPERIOD_OVERRIDE=FQ","FILING_STATUS=MR","SCALING_FORMAT=MLN","Sort=A","Dates=H","DateFormat=P","Fill=—","Direction=H","UseDPDF=Y")</f>
        <v>130</v>
      </c>
      <c r="Q10" s="13">
        <f>_xll.BDH("GILD US Equity","CF_STOCK_BASED_COMPENSATION","FQ2 2022","FQ2 2022","Currency=USD","Period=FQ","BEST_FPERIOD_OVERRIDE=FQ","FILING_STATUS=MR","SCALING_FORMAT=MLN","Sort=A","Dates=H","DateFormat=P","Fill=—","Direction=H","UseDPDF=Y")</f>
        <v>165</v>
      </c>
      <c r="R10" s="13">
        <f>_xll.BDH("GILD US Equity","CF_STOCK_BASED_COMPENSATION","FQ3 2022","FQ3 2022","Currency=USD","Period=FQ","BEST_FPERIOD_OVERRIDE=FQ","FILING_STATUS=MR","SCALING_FORMAT=MLN","Sort=A","Dates=H","DateFormat=P","Fill=—","Direction=H","UseDPDF=Y")</f>
        <v>168</v>
      </c>
      <c r="S10" s="13">
        <f>_xll.BDH("GILD US Equity","CF_STOCK_BASED_COMPENSATION","FQ4 2022","FQ4 2022","Currency=USD","Period=FQ","BEST_FPERIOD_OVERRIDE=FQ","FILING_STATUS=MR","SCALING_FORMAT=MLN","Sort=A","Dates=H","DateFormat=P","Fill=—","Direction=H","UseDPDF=Y")</f>
        <v>174</v>
      </c>
      <c r="T10" s="13">
        <f>_xll.BDH("GILD US Equity","CF_STOCK_BASED_COMPENSATION","FQ1 2023","FQ1 2023","Currency=USD","Period=FQ","BEST_FPERIOD_OVERRIDE=FQ","FILING_STATUS=MR","SCALING_FORMAT=MLN","Sort=A","Dates=H","DateFormat=P","Fill=—","Direction=H","UseDPDF=Y")</f>
        <v>165</v>
      </c>
      <c r="U10" s="13">
        <f>_xll.BDH("GILD US Equity","CF_STOCK_BASED_COMPENSATION","FQ2 2023","FQ2 2023","Currency=USD","Period=FQ","BEST_FPERIOD_OVERRIDE=FQ","FILING_STATUS=MR","SCALING_FORMAT=MLN","Sort=A","Dates=H","DateFormat=P","Fill=—","Direction=H","UseDPDF=Y")</f>
        <v>198</v>
      </c>
      <c r="V10" s="13">
        <f>_xll.BDH("GILD US Equity","CF_STOCK_BASED_COMPENSATION","FQ3 2023","FQ3 2023","Currency=USD","Period=FQ","BEST_FPERIOD_OVERRIDE=FQ","FILING_STATUS=MR","SCALING_FORMAT=MLN","Sort=A","Dates=H","DateFormat=P","Fill=—","Direction=H","UseDPDF=Y")</f>
        <v>202</v>
      </c>
      <c r="W10" s="13">
        <f>_xll.BDH("GILD US Equity","CF_STOCK_BASED_COMPENSATION","FQ4 2023","FQ4 2023","Currency=USD","Period=FQ","BEST_FPERIOD_OVERRIDE=FQ","FILING_STATUS=MR","SCALING_FORMAT=MLN","Sort=A","Dates=H","DateFormat=P","Fill=—","Direction=H","UseDPDF=Y")</f>
        <v>201</v>
      </c>
      <c r="X10" s="13">
        <f>_xll.BDH("GILD US Equity","CF_STOCK_BASED_COMPENSATION","FQ1 2024","FQ1 2024","Currency=USD","Period=FQ","BEST_FPERIOD_OVERRIDE=FQ","FILING_STATUS=MR","SCALING_FORMAT=MLN","Sort=A","Dates=H","DateFormat=P","Fill=—","Direction=H","UseDPDF=Y")</f>
        <v>187</v>
      </c>
      <c r="Y10" s="13">
        <f>_xll.BDH("GILD US Equity","CF_STOCK_BASED_COMPENSATION","FQ2 2024","FQ2 2024","Currency=USD","Period=FQ","BEST_FPERIOD_OVERRIDE=FQ","FILING_STATUS=MR","SCALING_FORMAT=MLN","Sort=A","Dates=H","DateFormat=P","Fill=—","Direction=H","UseDPDF=Y")</f>
        <v>210</v>
      </c>
      <c r="Z10" s="13">
        <f>_xll.BDH("GILD US Equity","CF_STOCK_BASED_COMPENSATION","FQ3 2024","FQ3 2024","Currency=USD","Period=FQ","BEST_FPERIOD_OVERRIDE=FQ","FILING_STATUS=MR","SCALING_FORMAT=MLN","Sort=A","Dates=H","DateFormat=P","Fill=—","Direction=H","UseDPDF=Y")</f>
        <v>216</v>
      </c>
      <c r="AA10" s="13">
        <f>_xll.BDH("GILD US Equity","CF_STOCK_BASED_COMPENSATION","FQ4 2024","FQ4 2024","Currency=USD","Period=FQ","BEST_FPERIOD_OVERRIDE=FQ","FILING_STATUS=MR","SCALING_FORMAT=MLN","Sort=A","Dates=H","DateFormat=P","Fill=—","Direction=H","UseDPDF=Y")</f>
        <v>222</v>
      </c>
    </row>
    <row r="11" spans="1:27" x14ac:dyDescent="0.25">
      <c r="A11" s="10" t="s">
        <v>1321</v>
      </c>
      <c r="B11" s="10" t="s">
        <v>1322</v>
      </c>
      <c r="C11" s="13">
        <f>_xll.BDH("GILD US Equity","CF_DEF_INC_TAX","FQ4 2018","FQ4 2018","Currency=USD","Period=FQ","BEST_FPERIOD_OVERRIDE=FQ","FILING_STATUS=MR","SCALING_FORMAT=MLN","Sort=A","Dates=H","DateFormat=P","Fill=—","Direction=H","UseDPDF=Y")</f>
        <v>279</v>
      </c>
      <c r="D11" s="13">
        <f>_xll.BDH("GILD US Equity","CF_DEF_INC_TAX","FQ1 2019","FQ1 2019","Currency=USD","Period=FQ","BEST_FPERIOD_OVERRIDE=FQ","FILING_STATUS=MR","SCALING_FORMAT=MLN","Sort=A","Dates=H","DateFormat=P","Fill=—","Direction=H","UseDPDF=Y")</f>
        <v>24</v>
      </c>
      <c r="E11" s="13">
        <f>_xll.BDH("GILD US Equity","CF_DEF_INC_TAX","FQ2 2019","FQ2 2019","Currency=USD","Period=FQ","BEST_FPERIOD_OVERRIDE=FQ","FILING_STATUS=MR","SCALING_FORMAT=MLN","Sort=A","Dates=H","DateFormat=P","Fill=—","Direction=H","UseDPDF=Y")</f>
        <v>4</v>
      </c>
      <c r="F11" s="13">
        <f>_xll.BDH("GILD US Equity","CF_DEF_INC_TAX","FQ3 2019","FQ3 2019","Currency=USD","Period=FQ","BEST_FPERIOD_OVERRIDE=FQ","FILING_STATUS=MR","SCALING_FORMAT=MLN","Sort=A","Dates=H","DateFormat=P","Fill=—","Direction=H","UseDPDF=Y")</f>
        <v>-824</v>
      </c>
      <c r="G11" s="13">
        <f>_xll.BDH("GILD US Equity","CF_DEF_INC_TAX","FQ4 2019","FQ4 2019","Currency=USD","Period=FQ","BEST_FPERIOD_OVERRIDE=FQ","FILING_STATUS=MR","SCALING_FORMAT=MLN","Sort=A","Dates=H","DateFormat=P","Fill=—","Direction=H","UseDPDF=Y")</f>
        <v>-1302</v>
      </c>
      <c r="H11" s="13">
        <f>_xll.BDH("GILD US Equity","CF_DEF_INC_TAX","FQ1 2020","FQ1 2020","Currency=USD","Period=FQ","BEST_FPERIOD_OVERRIDE=FQ","FILING_STATUS=MR","SCALING_FORMAT=MLN","Sort=A","Dates=H","DateFormat=P","Fill=—","Direction=H","UseDPDF=Y")</f>
        <v>56</v>
      </c>
      <c r="I11" s="13">
        <f>_xll.BDH("GILD US Equity","CF_DEF_INC_TAX","FQ2 2020","FQ2 2020","Currency=USD","Period=FQ","BEST_FPERIOD_OVERRIDE=FQ","FILING_STATUS=MR","SCALING_FORMAT=MLN","Sort=A","Dates=H","DateFormat=P","Fill=—","Direction=H","UseDPDF=Y")</f>
        <v>53</v>
      </c>
      <c r="J11" s="13">
        <f>_xll.BDH("GILD US Equity","CF_DEF_INC_TAX","FQ3 2020","FQ3 2020","Currency=USD","Period=FQ","BEST_FPERIOD_OVERRIDE=FQ","FILING_STATUS=MR","SCALING_FORMAT=MLN","Sort=A","Dates=H","DateFormat=P","Fill=—","Direction=H","UseDPDF=Y")</f>
        <v>-121</v>
      </c>
      <c r="K11" s="13">
        <f>_xll.BDH("GILD US Equity","CF_DEF_INC_TAX","FQ4 2020","FQ4 2020","Currency=USD","Period=FQ","BEST_FPERIOD_OVERRIDE=FQ","FILING_STATUS=MR","SCALING_FORMAT=MLN","Sort=A","Dates=H","DateFormat=P","Fill=—","Direction=H","UseDPDF=Y")</f>
        <v>-202</v>
      </c>
      <c r="L11" s="13">
        <f>_xll.BDH("GILD US Equity","CF_DEF_INC_TAX","FQ1 2021","FQ1 2021","Currency=USD","Period=FQ","BEST_FPERIOD_OVERRIDE=FQ","FILING_STATUS=MR","SCALING_FORMAT=MLN","Sort=A","Dates=H","DateFormat=P","Fill=—","Direction=H","UseDPDF=Y")</f>
        <v>71</v>
      </c>
      <c r="M11" s="13">
        <f>_xll.BDH("GILD US Equity","CF_DEF_INC_TAX","FQ2 2021","FQ2 2021","Currency=USD","Period=FQ","BEST_FPERIOD_OVERRIDE=FQ","FILING_STATUS=MR","SCALING_FORMAT=MLN","Sort=A","Dates=H","DateFormat=P","Fill=—","Direction=H","UseDPDF=Y")</f>
        <v>-68</v>
      </c>
      <c r="N11" s="13">
        <f>_xll.BDH("GILD US Equity","CF_DEF_INC_TAX","FQ3 2021","FQ3 2021","Currency=USD","Period=FQ","BEST_FPERIOD_OVERRIDE=FQ","FILING_STATUS=MR","SCALING_FORMAT=MLN","Sort=A","Dates=H","DateFormat=P","Fill=—","Direction=H","UseDPDF=Y")</f>
        <v>240</v>
      </c>
      <c r="O11" s="13">
        <f>_xll.BDH("GILD US Equity","CF_DEF_INC_TAX","FQ4 2021","FQ4 2021","Currency=USD","Period=FQ","BEST_FPERIOD_OVERRIDE=FQ","FILING_STATUS=MR","SCALING_FORMAT=MLN","Sort=A","Dates=H","DateFormat=P","Fill=—","Direction=H","UseDPDF=Y")</f>
        <v>-359</v>
      </c>
      <c r="P11" s="13">
        <f>_xll.BDH("GILD US Equity","CF_DEF_INC_TAX","FQ1 2022","FQ1 2022","Currency=USD","Period=FQ","BEST_FPERIOD_OVERRIDE=FQ","FILING_STATUS=MR","SCALING_FORMAT=MLN","Sort=A","Dates=H","DateFormat=P","Fill=—","Direction=H","UseDPDF=Y")</f>
        <v>-651</v>
      </c>
      <c r="Q11" s="13">
        <f>_xll.BDH("GILD US Equity","CF_DEF_INC_TAX","FQ2 2022","FQ2 2022","Currency=USD","Period=FQ","BEST_FPERIOD_OVERRIDE=FQ","FILING_STATUS=MR","SCALING_FORMAT=MLN","Sort=A","Dates=H","DateFormat=P","Fill=—","Direction=H","UseDPDF=Y")</f>
        <v>-293</v>
      </c>
      <c r="R11" s="13">
        <f>_xll.BDH("GILD US Equity","CF_DEF_INC_TAX","FQ3 2022","FQ3 2022","Currency=USD","Period=FQ","BEST_FPERIOD_OVERRIDE=FQ","FILING_STATUS=MR","SCALING_FORMAT=MLN","Sort=A","Dates=H","DateFormat=P","Fill=—","Direction=H","UseDPDF=Y")</f>
        <v>-270</v>
      </c>
      <c r="S11" s="13">
        <f>_xll.BDH("GILD US Equity","CF_DEF_INC_TAX","FQ4 2022","FQ4 2022","Currency=USD","Period=FQ","BEST_FPERIOD_OVERRIDE=FQ","FILING_STATUS=MR","SCALING_FORMAT=MLN","Sort=A","Dates=H","DateFormat=P","Fill=—","Direction=H","UseDPDF=Y")</f>
        <v>-338</v>
      </c>
      <c r="T11" s="13">
        <f>_xll.BDH("GILD US Equity","CF_DEF_INC_TAX","FQ1 2023","FQ1 2023","Currency=USD","Period=FQ","BEST_FPERIOD_OVERRIDE=FQ","FILING_STATUS=MR","SCALING_FORMAT=MLN","Sort=A","Dates=H","DateFormat=P","Fill=—","Direction=H","UseDPDF=Y")</f>
        <v>-303</v>
      </c>
      <c r="U11" s="13">
        <f>_xll.BDH("GILD US Equity","CF_DEF_INC_TAX","FQ2 2023","FQ2 2023","Currency=USD","Period=FQ","BEST_FPERIOD_OVERRIDE=FQ","FILING_STATUS=MR","SCALING_FORMAT=MLN","Sort=A","Dates=H","DateFormat=P","Fill=—","Direction=H","UseDPDF=Y")</f>
        <v>-221</v>
      </c>
      <c r="V11" s="13">
        <f>_xll.BDH("GILD US Equity","CF_DEF_INC_TAX","FQ3 2023","FQ3 2023","Currency=USD","Period=FQ","BEST_FPERIOD_OVERRIDE=FQ","FILING_STATUS=MR","SCALING_FORMAT=MLN","Sort=A","Dates=H","DateFormat=P","Fill=—","Direction=H","UseDPDF=Y")</f>
        <v>-68</v>
      </c>
      <c r="W11" s="13">
        <f>_xll.BDH("GILD US Equity","CF_DEF_INC_TAX","FQ4 2023","FQ4 2023","Currency=USD","Period=FQ","BEST_FPERIOD_OVERRIDE=FQ","FILING_STATUS=MR","SCALING_FORMAT=MLN","Sort=A","Dates=H","DateFormat=P","Fill=—","Direction=H","UseDPDF=Y")</f>
        <v>-370</v>
      </c>
      <c r="X11" s="13">
        <f>_xll.BDH("GILD US Equity","CF_DEF_INC_TAX","FQ1 2024","FQ1 2024","Currency=USD","Period=FQ","BEST_FPERIOD_OVERRIDE=FQ","FILING_STATUS=MR","SCALING_FORMAT=MLN","Sort=A","Dates=H","DateFormat=P","Fill=—","Direction=H","UseDPDF=Y")</f>
        <v>-723</v>
      </c>
      <c r="Y11" s="13">
        <f>_xll.BDH("GILD US Equity","CF_DEF_INC_TAX","FQ2 2024","FQ2 2024","Currency=USD","Period=FQ","BEST_FPERIOD_OVERRIDE=FQ","FILING_STATUS=MR","SCALING_FORMAT=MLN","Sort=A","Dates=H","DateFormat=P","Fill=—","Direction=H","UseDPDF=Y")</f>
        <v>-166</v>
      </c>
      <c r="Z11" s="13">
        <f>_xll.BDH("GILD US Equity","CF_DEF_INC_TAX","FQ3 2024","FQ3 2024","Currency=USD","Period=FQ","BEST_FPERIOD_OVERRIDE=FQ","FILING_STATUS=MR","SCALING_FORMAT=MLN","Sort=A","Dates=H","DateFormat=P","Fill=—","Direction=H","UseDPDF=Y")</f>
        <v>-576</v>
      </c>
      <c r="AA11" s="13">
        <f>_xll.BDH("GILD US Equity","CF_DEF_INC_TAX","FQ4 2024","FQ4 2024","Currency=USD","Period=FQ","BEST_FPERIOD_OVERRIDE=FQ","FILING_STATUS=MR","SCALING_FORMAT=MLN","Sort=A","Dates=H","DateFormat=P","Fill=—","Direction=H","UseDPDF=Y")</f>
        <v>-379</v>
      </c>
    </row>
    <row r="12" spans="1:27" x14ac:dyDescent="0.25">
      <c r="A12" s="10" t="s">
        <v>1323</v>
      </c>
      <c r="B12" s="10" t="s">
        <v>1324</v>
      </c>
      <c r="C12" s="13">
        <f>_xll.BDH("GILD US Equity","OTHER_NON_CASH_ADJ_LESS_DETAILED","FQ4 2018","FQ4 2018","Currency=USD","Period=FQ","BEST_FPERIOD_OVERRIDE=FQ","FILING_STATUS=MR","SCALING_FORMAT=MLN","Sort=A","Dates=H","DateFormat=P","Fill=—","Direction=H","UseDPDF=Y")</f>
        <v>1302</v>
      </c>
      <c r="D12" s="13">
        <f>_xll.BDH("GILD US Equity","OTHER_NON_CASH_ADJ_LESS_DETAILED","FQ1 2019","FQ1 2019","Currency=USD","Period=FQ","BEST_FPERIOD_OVERRIDE=FQ","FILING_STATUS=MR","SCALING_FORMAT=MLN","Sort=A","Dates=H","DateFormat=P","Fill=—","Direction=H","UseDPDF=Y")</f>
        <v>-164</v>
      </c>
      <c r="E12" s="13">
        <f>_xll.BDH("GILD US Equity","OTHER_NON_CASH_ADJ_LESS_DETAILED","FQ2 2019","FQ2 2019","Currency=USD","Period=FQ","BEST_FPERIOD_OVERRIDE=FQ","FILING_STATUS=MR","SCALING_FORMAT=MLN","Sort=A","Dates=H","DateFormat=P","Fill=—","Direction=H","UseDPDF=Y")</f>
        <v>137</v>
      </c>
      <c r="F12" s="13">
        <f>_xll.BDH("GILD US Equity","OTHER_NON_CASH_ADJ_LESS_DETAILED","FQ3 2019","FQ3 2019","Currency=USD","Period=FQ","BEST_FPERIOD_OVERRIDE=FQ","FILING_STATUS=MR","SCALING_FORMAT=MLN","Sort=A","Dates=H","DateFormat=P","Fill=—","Direction=H","UseDPDF=Y")</f>
        <v>4323</v>
      </c>
      <c r="G12" s="13">
        <f>_xll.BDH("GILD US Equity","OTHER_NON_CASH_ADJ_LESS_DETAILED","FQ4 2019","FQ4 2019","Currency=USD","Period=FQ","BEST_FPERIOD_OVERRIDE=FQ","FILING_STATUS=MR","SCALING_FORMAT=MLN","Sort=A","Dates=H","DateFormat=P","Fill=—","Direction=H","UseDPDF=Y")</f>
        <v>491</v>
      </c>
      <c r="H12" s="13">
        <f>_xll.BDH("GILD US Equity","OTHER_NON_CASH_ADJ_LESS_DETAILED","FQ1 2020","FQ1 2020","Currency=USD","Period=FQ","BEST_FPERIOD_OVERRIDE=FQ","FILING_STATUS=MR","SCALING_FORMAT=MLN","Sort=A","Dates=H","DateFormat=P","Fill=—","Direction=H","UseDPDF=Y")</f>
        <v>440</v>
      </c>
      <c r="I12" s="13">
        <f>_xll.BDH("GILD US Equity","OTHER_NON_CASH_ADJ_LESS_DETAILED","FQ2 2020","FQ2 2020","Currency=USD","Period=FQ","BEST_FPERIOD_OVERRIDE=FQ","FILING_STATUS=MR","SCALING_FORMAT=MLN","Sort=A","Dates=H","DateFormat=P","Fill=—","Direction=H","UseDPDF=Y")</f>
        <v>4373</v>
      </c>
      <c r="J12" s="13">
        <f>_xll.BDH("GILD US Equity","OTHER_NON_CASH_ADJ_LESS_DETAILED","FQ3 2020","FQ3 2020","Currency=USD","Period=FQ","BEST_FPERIOD_OVERRIDE=FQ","FILING_STATUS=MR","SCALING_FORMAT=MLN","Sort=A","Dates=H","DateFormat=P","Fill=—","Direction=H","UseDPDF=Y")</f>
        <v>2208</v>
      </c>
      <c r="K12" s="13">
        <f>_xll.BDH("GILD US Equity","OTHER_NON_CASH_ADJ_LESS_DETAILED","FQ4 2020","FQ4 2020","Currency=USD","Period=FQ","BEST_FPERIOD_OVERRIDE=FQ","FILING_STATUS=MR","SCALING_FORMAT=MLN","Sort=A","Dates=H","DateFormat=P","Fill=—","Direction=H","UseDPDF=Y")</f>
        <v>753</v>
      </c>
      <c r="L12" s="13">
        <f>_xll.BDH("GILD US Equity","OTHER_NON_CASH_ADJ_LESS_DETAILED","FQ1 2021","FQ1 2021","Currency=USD","Period=FQ","BEST_FPERIOD_OVERRIDE=FQ","FILING_STATUS=MR","SCALING_FORMAT=MLN","Sort=A","Dates=H","DateFormat=P","Fill=—","Direction=H","UseDPDF=Y")</f>
        <v>607</v>
      </c>
      <c r="M12" s="13">
        <f>_xll.BDH("GILD US Equity","OTHER_NON_CASH_ADJ_LESS_DETAILED","FQ2 2021","FQ2 2021","Currency=USD","Period=FQ","BEST_FPERIOD_OVERRIDE=FQ","FILING_STATUS=MR","SCALING_FORMAT=MLN","Sort=A","Dates=H","DateFormat=P","Fill=—","Direction=H","UseDPDF=Y")</f>
        <v>640</v>
      </c>
      <c r="N12" s="13">
        <f>_xll.BDH("GILD US Equity","OTHER_NON_CASH_ADJ_LESS_DETAILED","FQ3 2021","FQ3 2021","Currency=USD","Period=FQ","BEST_FPERIOD_OVERRIDE=FQ","FILING_STATUS=MR","SCALING_FORMAT=MLN","Sort=A","Dates=H","DateFormat=P","Fill=—","Direction=H","UseDPDF=Y")</f>
        <v>180</v>
      </c>
      <c r="O12" s="13">
        <f>_xll.BDH("GILD US Equity","OTHER_NON_CASH_ADJ_LESS_DETAILED","FQ4 2021","FQ4 2021","Currency=USD","Period=FQ","BEST_FPERIOD_OVERRIDE=FQ","FILING_STATUS=MR","SCALING_FORMAT=MLN","Sort=A","Dates=H","DateFormat=P","Fill=—","Direction=H","UseDPDF=Y")</f>
        <v>674</v>
      </c>
      <c r="P12" s="13">
        <f>_xll.BDH("GILD US Equity","OTHER_NON_CASH_ADJ_LESS_DETAILED","FQ1 2022","FQ1 2022","Currency=USD","Period=FQ","BEST_FPERIOD_OVERRIDE=FQ","FILING_STATUS=MR","SCALING_FORMAT=MLN","Sort=A","Dates=H","DateFormat=P","Fill=—","Direction=H","UseDPDF=Y")</f>
        <v>2979</v>
      </c>
      <c r="Q12" s="13">
        <f>_xll.BDH("GILD US Equity","OTHER_NON_CASH_ADJ_LESS_DETAILED","FQ2 2022","FQ2 2022","Currency=USD","Period=FQ","BEST_FPERIOD_OVERRIDE=FQ","FILING_STATUS=MR","SCALING_FORMAT=MLN","Sort=A","Dates=H","DateFormat=P","Fill=—","Direction=H","UseDPDF=Y")</f>
        <v>862</v>
      </c>
      <c r="R12" s="13">
        <f>_xll.BDH("GILD US Equity","OTHER_NON_CASH_ADJ_LESS_DETAILED","FQ3 2022","FQ3 2022","Currency=USD","Period=FQ","BEST_FPERIOD_OVERRIDE=FQ","FILING_STATUS=MR","SCALING_FORMAT=MLN","Sort=A","Dates=H","DateFormat=P","Fill=—","Direction=H","UseDPDF=Y")</f>
        <v>542</v>
      </c>
      <c r="S12" s="13">
        <f>_xll.BDH("GILD US Equity","OTHER_NON_CASH_ADJ_LESS_DETAILED","FQ4 2022","FQ4 2022","Currency=USD","Period=FQ","BEST_FPERIOD_OVERRIDE=FQ","FILING_STATUS=MR","SCALING_FORMAT=MLN","Sort=A","Dates=H","DateFormat=P","Fill=—","Direction=H","UseDPDF=Y")</f>
        <v>672</v>
      </c>
      <c r="T12" s="13">
        <f>_xll.BDH("GILD US Equity","OTHER_NON_CASH_ADJ_LESS_DETAILED","FQ1 2023","FQ1 2023","Currency=USD","Period=FQ","BEST_FPERIOD_OVERRIDE=FQ","FILING_STATUS=MR","SCALING_FORMAT=MLN","Sort=A","Dates=H","DateFormat=P","Fill=—","Direction=H","UseDPDF=Y")</f>
        <v>774</v>
      </c>
      <c r="U12" s="13">
        <f>_xll.BDH("GILD US Equity","OTHER_NON_CASH_ADJ_LESS_DETAILED","FQ2 2023","FQ2 2023","Currency=USD","Period=FQ","BEST_FPERIOD_OVERRIDE=FQ","FILING_STATUS=MR","SCALING_FORMAT=MLN","Sort=A","Dates=H","DateFormat=P","Fill=—","Direction=H","UseDPDF=Y")</f>
        <v>304</v>
      </c>
      <c r="V12" s="13">
        <f>_xll.BDH("GILD US Equity","OTHER_NON_CASH_ADJ_LESS_DETAILED","FQ3 2023","FQ3 2023","Currency=USD","Period=FQ","BEST_FPERIOD_OVERRIDE=FQ","FILING_STATUS=MR","SCALING_FORMAT=MLN","Sort=A","Dates=H","DateFormat=P","Fill=—","Direction=H","UseDPDF=Y")</f>
        <v>306</v>
      </c>
      <c r="W12" s="13">
        <f>_xll.BDH("GILD US Equity","OTHER_NON_CASH_ADJ_LESS_DETAILED","FQ4 2023","FQ4 2023","Currency=USD","Period=FQ","BEST_FPERIOD_OVERRIDE=FQ","FILING_STATUS=MR","SCALING_FORMAT=MLN","Sort=A","Dates=H","DateFormat=P","Fill=—","Direction=H","UseDPDF=Y")</f>
        <v>-1004</v>
      </c>
      <c r="X12" s="13">
        <f>_xll.BDH("GILD US Equity","OTHER_NON_CASH_ADJ_LESS_DETAILED","FQ1 2024","FQ1 2024","Currency=USD","Period=FQ","BEST_FPERIOD_OVERRIDE=FQ","FILING_STATUS=MR","SCALING_FORMAT=MLN","Sort=A","Dates=H","DateFormat=P","Fill=—","Direction=H","UseDPDF=Y")</f>
        <v>6694</v>
      </c>
      <c r="Y12" s="13">
        <f>_xll.BDH("GILD US Equity","OTHER_NON_CASH_ADJ_LESS_DETAILED","FQ2 2024","FQ2 2024","Currency=USD","Period=FQ","BEST_FPERIOD_OVERRIDE=FQ","FILING_STATUS=MR","SCALING_FORMAT=MLN","Sort=A","Dates=H","DateFormat=P","Fill=—","Direction=H","UseDPDF=Y")</f>
        <v>519</v>
      </c>
      <c r="Z12" s="13">
        <f>_xll.BDH("GILD US Equity","OTHER_NON_CASH_ADJ_LESS_DETAILED","FQ3 2024","FQ3 2024","Currency=USD","Period=FQ","BEST_FPERIOD_OVERRIDE=FQ","FILING_STATUS=MR","SCALING_FORMAT=MLN","Sort=A","Dates=H","DateFormat=P","Fill=—","Direction=H","UseDPDF=Y")</f>
        <v>2084</v>
      </c>
      <c r="AA12" s="13">
        <f>_xll.BDH("GILD US Equity","OTHER_NON_CASH_ADJ_LESS_DETAILED","FQ4 2024","FQ4 2024","Currency=USD","Period=FQ","BEST_FPERIOD_OVERRIDE=FQ","FILING_STATUS=MR","SCALING_FORMAT=MLN","Sort=A","Dates=H","DateFormat=P","Fill=—","Direction=H","UseDPDF=Y")</f>
        <v>-559</v>
      </c>
    </row>
    <row r="13" spans="1:27" x14ac:dyDescent="0.25">
      <c r="A13" s="10" t="s">
        <v>1325</v>
      </c>
      <c r="B13" s="10" t="s">
        <v>1326</v>
      </c>
      <c r="C13" s="13">
        <f>_xll.BDH("GILD US Equity","CF_CHNG_NON_CASH_WORK_CAP","FQ4 2018","FQ4 2018","Currency=USD","Period=FQ","BEST_FPERIOD_OVERRIDE=FQ","FILING_STATUS=MR","SCALING_FORMAT=MLN","Sort=A","Dates=H","DateFormat=P","Fill=—","Direction=H","UseDPDF=Y")</f>
        <v>228</v>
      </c>
      <c r="D13" s="13">
        <f>_xll.BDH("GILD US Equity","CF_CHNG_NON_CASH_WORK_CAP","FQ1 2019","FQ1 2019","Currency=USD","Period=FQ","BEST_FPERIOD_OVERRIDE=FQ","FILING_STATUS=MR","SCALING_FORMAT=MLN","Sort=A","Dates=H","DateFormat=P","Fill=—","Direction=H","UseDPDF=Y")</f>
        <v>-893</v>
      </c>
      <c r="E13" s="13">
        <f>_xll.BDH("GILD US Equity","CF_CHNG_NON_CASH_WORK_CAP","FQ2 2019","FQ2 2019","Currency=USD","Period=FQ","BEST_FPERIOD_OVERRIDE=FQ","FILING_STATUS=MR","SCALING_FORMAT=MLN","Sort=A","Dates=H","DateFormat=P","Fill=—","Direction=H","UseDPDF=Y")</f>
        <v>-201</v>
      </c>
      <c r="F13" s="13">
        <f>_xll.BDH("GILD US Equity","CF_CHNG_NON_CASH_WORK_CAP","FQ3 2019","FQ3 2019","Currency=USD","Period=FQ","BEST_FPERIOD_OVERRIDE=FQ","FILING_STATUS=MR","SCALING_FORMAT=MLN","Sort=A","Dates=H","DateFormat=P","Fill=—","Direction=H","UseDPDF=Y")</f>
        <v>56</v>
      </c>
      <c r="G13" s="13">
        <f>_xll.BDH("GILD US Equity","CF_CHNG_NON_CASH_WORK_CAP","FQ4 2019","FQ4 2019","Currency=USD","Period=FQ","BEST_FPERIOD_OVERRIDE=FQ","FILING_STATUS=MR","SCALING_FORMAT=MLN","Sort=A","Dates=H","DateFormat=P","Fill=—","Direction=H","UseDPDF=Y")</f>
        <v>188</v>
      </c>
      <c r="H13" s="13">
        <f>_xll.BDH("GILD US Equity","CF_CHNG_NON_CASH_WORK_CAP","FQ1 2020","FQ1 2020","Currency=USD","Period=FQ","BEST_FPERIOD_OVERRIDE=FQ","FILING_STATUS=MR","SCALING_FORMAT=MLN","Sort=A","Dates=H","DateFormat=P","Fill=—","Direction=H","UseDPDF=Y")</f>
        <v>-1101</v>
      </c>
      <c r="I13" s="13">
        <f>_xll.BDH("GILD US Equity","CF_CHNG_NON_CASH_WORK_CAP","FQ2 2020","FQ2 2020","Currency=USD","Period=FQ","BEST_FPERIOD_OVERRIDE=FQ","FILING_STATUS=MR","SCALING_FORMAT=MLN","Sort=A","Dates=H","DateFormat=P","Fill=—","Direction=H","UseDPDF=Y")</f>
        <v>962</v>
      </c>
      <c r="J13" s="13">
        <f>_xll.BDH("GILD US Equity","CF_CHNG_NON_CASH_WORK_CAP","FQ3 2020","FQ3 2020","Currency=USD","Period=FQ","BEST_FPERIOD_OVERRIDE=FQ","FILING_STATUS=MR","SCALING_FORMAT=MLN","Sort=A","Dates=H","DateFormat=P","Fill=—","Direction=H","UseDPDF=Y")</f>
        <v>-725</v>
      </c>
      <c r="K13" s="13">
        <f>_xll.BDH("GILD US Equity","CF_CHNG_NON_CASH_WORK_CAP","FQ4 2020","FQ4 2020","Currency=USD","Period=FQ","BEST_FPERIOD_OVERRIDE=FQ","FILING_STATUS=MR","SCALING_FORMAT=MLN","Sort=A","Dates=H","DateFormat=P","Fill=—","Direction=H","UseDPDF=Y")</f>
        <v>-774</v>
      </c>
      <c r="L13" s="13">
        <f>_xll.BDH("GILD US Equity","CF_CHNG_NON_CASH_WORK_CAP","FQ1 2021","FQ1 2021","Currency=USD","Period=FQ","BEST_FPERIOD_OVERRIDE=FQ","FILING_STATUS=MR","SCALING_FORMAT=MLN","Sort=A","Dates=H","DateFormat=P","Fill=—","Direction=H","UseDPDF=Y")</f>
        <v>-409</v>
      </c>
      <c r="M13" s="13">
        <f>_xll.BDH("GILD US Equity","CF_CHNG_NON_CASH_WORK_CAP","FQ2 2021","FQ2 2021","Currency=USD","Period=FQ","BEST_FPERIOD_OVERRIDE=FQ","FILING_STATUS=MR","SCALING_FORMAT=MLN","Sort=A","Dates=H","DateFormat=P","Fill=—","Direction=H","UseDPDF=Y")</f>
        <v>-463</v>
      </c>
      <c r="N13" s="13">
        <f>_xll.BDH("GILD US Equity","CF_CHNG_NON_CASH_WORK_CAP","FQ3 2021","FQ3 2021","Currency=USD","Period=FQ","BEST_FPERIOD_OVERRIDE=FQ","FILING_STATUS=MR","SCALING_FORMAT=MLN","Sort=A","Dates=H","DateFormat=P","Fill=—","Direction=H","UseDPDF=Y")</f>
        <v>-453</v>
      </c>
      <c r="O13" s="13">
        <f>_xll.BDH("GILD US Equity","CF_CHNG_NON_CASH_WORK_CAP","FQ4 2021","FQ4 2021","Currency=USD","Period=FQ","BEST_FPERIOD_OVERRIDE=FQ","FILING_STATUS=MR","SCALING_FORMAT=MLN","Sort=A","Dates=H","DateFormat=P","Fill=—","Direction=H","UseDPDF=Y")</f>
        <v>1814</v>
      </c>
      <c r="P13" s="13">
        <f>_xll.BDH("GILD US Equity","CF_CHNG_NON_CASH_WORK_CAP","FQ1 2022","FQ1 2022","Currency=USD","Period=FQ","BEST_FPERIOD_OVERRIDE=FQ","FILING_STATUS=MR","SCALING_FORMAT=MLN","Sort=A","Dates=H","DateFormat=P","Fill=—","Direction=H","UseDPDF=Y")</f>
        <v>-1162</v>
      </c>
      <c r="Q13" s="13">
        <f>_xll.BDH("GILD US Equity","CF_CHNG_NON_CASH_WORK_CAP","FQ2 2022","FQ2 2022","Currency=USD","Period=FQ","BEST_FPERIOD_OVERRIDE=FQ","FILING_STATUS=MR","SCALING_FORMAT=MLN","Sort=A","Dates=H","DateFormat=P","Fill=—","Direction=H","UseDPDF=Y")</f>
        <v>-601</v>
      </c>
      <c r="R13" s="13">
        <f>_xll.BDH("GILD US Equity","CF_CHNG_NON_CASH_WORK_CAP","FQ3 2022","FQ3 2022","Currency=USD","Period=FQ","BEST_FPERIOD_OVERRIDE=FQ","FILING_STATUS=MR","SCALING_FORMAT=MLN","Sort=A","Dates=H","DateFormat=P","Fill=—","Direction=H","UseDPDF=Y")</f>
        <v>109</v>
      </c>
      <c r="S13" s="13">
        <f>_xll.BDH("GILD US Equity","CF_CHNG_NON_CASH_WORK_CAP","FQ4 2022","FQ4 2022","Currency=USD","Period=FQ","BEST_FPERIOD_OVERRIDE=FQ","FILING_STATUS=MR","SCALING_FORMAT=MLN","Sort=A","Dates=H","DateFormat=P","Fill=—","Direction=H","UseDPDF=Y")</f>
        <v>-109</v>
      </c>
      <c r="T13" s="13">
        <f>_xll.BDH("GILD US Equity","CF_CHNG_NON_CASH_WORK_CAP","FQ1 2023","FQ1 2023","Currency=USD","Period=FQ","BEST_FPERIOD_OVERRIDE=FQ","FILING_STATUS=MR","SCALING_FORMAT=MLN","Sort=A","Dates=H","DateFormat=P","Fill=—","Direction=H","UseDPDF=Y")</f>
        <v>-542</v>
      </c>
      <c r="U13" s="13">
        <f>_xll.BDH("GILD US Equity","CF_CHNG_NON_CASH_WORK_CAP","FQ2 2023","FQ2 2023","Currency=USD","Period=FQ","BEST_FPERIOD_OVERRIDE=FQ","FILING_STATUS=MR","SCALING_FORMAT=MLN","Sort=A","Dates=H","DateFormat=P","Fill=—","Direction=H","UseDPDF=Y")</f>
        <v>331</v>
      </c>
      <c r="V13" s="13">
        <f>_xll.BDH("GILD US Equity","CF_CHNG_NON_CASH_WORK_CAP","FQ3 2023","FQ3 2023","Currency=USD","Period=FQ","BEST_FPERIOD_OVERRIDE=FQ","FILING_STATUS=MR","SCALING_FORMAT=MLN","Sort=A","Dates=H","DateFormat=P","Fill=—","Direction=H","UseDPDF=Y")</f>
        <v>-1549</v>
      </c>
      <c r="W13" s="13">
        <f>_xll.BDH("GILD US Equity","CF_CHNG_NON_CASH_WORK_CAP","FQ4 2023","FQ4 2023","Currency=USD","Period=FQ","BEST_FPERIOD_OVERRIDE=FQ","FILING_STATUS=MR","SCALING_FORMAT=MLN","Sort=A","Dates=H","DateFormat=P","Fill=—","Direction=H","UseDPDF=Y")</f>
        <v>1225</v>
      </c>
      <c r="X13" s="13">
        <f>_xll.BDH("GILD US Equity","CF_CHNG_NON_CASH_WORK_CAP","FQ1 2024","FQ1 2024","Currency=USD","Period=FQ","BEST_FPERIOD_OVERRIDE=FQ","FILING_STATUS=MR","SCALING_FORMAT=MLN","Sort=A","Dates=H","DateFormat=P","Fill=—","Direction=H","UseDPDF=Y")</f>
        <v>-459</v>
      </c>
      <c r="Y13" s="13">
        <f>_xll.BDH("GILD US Equity","CF_CHNG_NON_CASH_WORK_CAP","FQ2 2024","FQ2 2024","Currency=USD","Period=FQ","BEST_FPERIOD_OVERRIDE=FQ","FILING_STATUS=MR","SCALING_FORMAT=MLN","Sort=A","Dates=H","DateFormat=P","Fill=—","Direction=H","UseDPDF=Y")</f>
        <v>-1546</v>
      </c>
      <c r="Z13" s="13">
        <f>_xll.BDH("GILD US Equity","CF_CHNG_NON_CASH_WORK_CAP","FQ3 2024","FQ3 2024","Currency=USD","Period=FQ","BEST_FPERIOD_OVERRIDE=FQ","FILING_STATUS=MR","SCALING_FORMAT=MLN","Sort=A","Dates=H","DateFormat=P","Fill=—","Direction=H","UseDPDF=Y")</f>
        <v>642</v>
      </c>
      <c r="AA13" s="13">
        <f>_xll.BDH("GILD US Equity","CF_CHNG_NON_CASH_WORK_CAP","FQ4 2024","FQ4 2024","Currency=USD","Period=FQ","BEST_FPERIOD_OVERRIDE=FQ","FILING_STATUS=MR","SCALING_FORMAT=MLN","Sort=A","Dates=H","DateFormat=P","Fill=—","Direction=H","UseDPDF=Y")</f>
        <v>1215</v>
      </c>
    </row>
    <row r="14" spans="1:27" x14ac:dyDescent="0.25">
      <c r="A14" s="10" t="s">
        <v>1327</v>
      </c>
      <c r="B14" s="10" t="s">
        <v>1328</v>
      </c>
      <c r="C14" s="13">
        <f>_xll.BDH("GILD US Equity","CF_ACCT_RCV_UNBILLED_REV","FQ4 2018","FQ4 2018","Currency=USD","Period=FQ","BEST_FPERIOD_OVERRIDE=FQ","FILING_STATUS=MR","SCALING_FORMAT=MLN","Sort=A","Dates=H","DateFormat=P","Fill=—","Direction=H","UseDPDF=Y")</f>
        <v>113</v>
      </c>
      <c r="D14" s="13">
        <f>_xll.BDH("GILD US Equity","CF_ACCT_RCV_UNBILLED_REV","FQ1 2019","FQ1 2019","Currency=USD","Period=FQ","BEST_FPERIOD_OVERRIDE=FQ","FILING_STATUS=MR","SCALING_FORMAT=MLN","Sort=A","Dates=H","DateFormat=P","Fill=—","Direction=H","UseDPDF=Y")</f>
        <v>32</v>
      </c>
      <c r="E14" s="13">
        <f>_xll.BDH("GILD US Equity","CF_ACCT_RCV_UNBILLED_REV","FQ2 2019","FQ2 2019","Currency=USD","Period=FQ","BEST_FPERIOD_OVERRIDE=FQ","FILING_STATUS=MR","SCALING_FORMAT=MLN","Sort=A","Dates=H","DateFormat=P","Fill=—","Direction=H","UseDPDF=Y")</f>
        <v>-100</v>
      </c>
      <c r="F14" s="13">
        <f>_xll.BDH("GILD US Equity","CF_ACCT_RCV_UNBILLED_REV","FQ3 2019","FQ3 2019","Currency=USD","Period=FQ","BEST_FPERIOD_OVERRIDE=FQ","FILING_STATUS=MR","SCALING_FORMAT=MLN","Sort=A","Dates=H","DateFormat=P","Fill=—","Direction=H","UseDPDF=Y")</f>
        <v>101</v>
      </c>
      <c r="G14" s="13">
        <f>_xll.BDH("GILD US Equity","CF_ACCT_RCV_UNBILLED_REV","FQ4 2019","FQ4 2019","Currency=USD","Period=FQ","BEST_FPERIOD_OVERRIDE=FQ","FILING_STATUS=MR","SCALING_FORMAT=MLN","Sort=A","Dates=H","DateFormat=P","Fill=—","Direction=H","UseDPDF=Y")</f>
        <v>-251</v>
      </c>
      <c r="H14" s="13">
        <f>_xll.BDH("GILD US Equity","CF_ACCT_RCV_UNBILLED_REV","FQ1 2020","FQ1 2020","Currency=USD","Period=FQ","BEST_FPERIOD_OVERRIDE=FQ","FILING_STATUS=MR","SCALING_FORMAT=MLN","Sort=A","Dates=H","DateFormat=P","Fill=—","Direction=H","UseDPDF=Y")</f>
        <v>-376</v>
      </c>
      <c r="I14" s="13">
        <f>_xll.BDH("GILD US Equity","CF_ACCT_RCV_UNBILLED_REV","FQ2 2020","FQ2 2020","Currency=USD","Period=FQ","BEST_FPERIOD_OVERRIDE=FQ","FILING_STATUS=MR","SCALING_FORMAT=MLN","Sort=A","Dates=H","DateFormat=P","Fill=—","Direction=H","UseDPDF=Y")</f>
        <v>744</v>
      </c>
      <c r="J14" s="13">
        <f>_xll.BDH("GILD US Equity","CF_ACCT_RCV_UNBILLED_REV","FQ3 2020","FQ3 2020","Currency=USD","Period=FQ","BEST_FPERIOD_OVERRIDE=FQ","FILING_STATUS=MR","SCALING_FORMAT=MLN","Sort=A","Dates=H","DateFormat=P","Fill=—","Direction=H","UseDPDF=Y")</f>
        <v>-702</v>
      </c>
      <c r="K14" s="13">
        <f>_xll.BDH("GILD US Equity","CF_ACCT_RCV_UNBILLED_REV","FQ4 2020","FQ4 2020","Currency=USD","Period=FQ","BEST_FPERIOD_OVERRIDE=FQ","FILING_STATUS=MR","SCALING_FORMAT=MLN","Sort=A","Dates=H","DateFormat=P","Fill=—","Direction=H","UseDPDF=Y")</f>
        <v>-837</v>
      </c>
      <c r="L14" s="13">
        <f>_xll.BDH("GILD US Equity","CF_ACCT_RCV_UNBILLED_REV","FQ1 2021","FQ1 2021","Currency=USD","Period=FQ","BEST_FPERIOD_OVERRIDE=FQ","FILING_STATUS=MR","SCALING_FORMAT=MLN","Sort=A","Dates=H","DateFormat=P","Fill=—","Direction=H","UseDPDF=Y")</f>
        <v>975</v>
      </c>
      <c r="M14" s="13">
        <f>_xll.BDH("GILD US Equity","CF_ACCT_RCV_UNBILLED_REV","FQ2 2021","FQ2 2021","Currency=USD","Period=FQ","BEST_FPERIOD_OVERRIDE=FQ","FILING_STATUS=MR","SCALING_FORMAT=MLN","Sort=A","Dates=H","DateFormat=P","Fill=—","Direction=H","UseDPDF=Y")</f>
        <v>-281</v>
      </c>
      <c r="N14" s="13">
        <f>_xll.BDH("GILD US Equity","CF_ACCT_RCV_UNBILLED_REV","FQ3 2021","FQ3 2021","Currency=USD","Period=FQ","BEST_FPERIOD_OVERRIDE=FQ","FILING_STATUS=MR","SCALING_FORMAT=MLN","Sort=A","Dates=H","DateFormat=P","Fill=—","Direction=H","UseDPDF=Y")</f>
        <v>-422</v>
      </c>
      <c r="O14" s="13">
        <f>_xll.BDH("GILD US Equity","CF_ACCT_RCV_UNBILLED_REV","FQ4 2021","FQ4 2021","Currency=USD","Period=FQ","BEST_FPERIOD_OVERRIDE=FQ","FILING_STATUS=MR","SCALING_FORMAT=MLN","Sort=A","Dates=H","DateFormat=P","Fill=—","Direction=H","UseDPDF=Y")</f>
        <v>41</v>
      </c>
      <c r="P14" s="13">
        <f>_xll.BDH("GILD US Equity","CF_ACCT_RCV_UNBILLED_REV","FQ1 2022","FQ1 2022","Currency=USD","Period=FQ","BEST_FPERIOD_OVERRIDE=FQ","FILING_STATUS=MR","SCALING_FORMAT=MLN","Sort=A","Dates=H","DateFormat=P","Fill=—","Direction=H","UseDPDF=Y")</f>
        <v>699</v>
      </c>
      <c r="Q14" s="13">
        <f>_xll.BDH("GILD US Equity","CF_ACCT_RCV_UNBILLED_REV","FQ2 2022","FQ2 2022","Currency=USD","Period=FQ","BEST_FPERIOD_OVERRIDE=FQ","FILING_STATUS=MR","SCALING_FORMAT=MLN","Sort=A","Dates=H","DateFormat=P","Fill=—","Direction=H","UseDPDF=Y")</f>
        <v>-452</v>
      </c>
      <c r="R14" s="13">
        <f>_xll.BDH("GILD US Equity","CF_ACCT_RCV_UNBILLED_REV","FQ3 2022","FQ3 2022","Currency=USD","Period=FQ","BEST_FPERIOD_OVERRIDE=FQ","FILING_STATUS=MR","SCALING_FORMAT=MLN","Sort=A","Dates=H","DateFormat=P","Fill=—","Direction=H","UseDPDF=Y")</f>
        <v>-122</v>
      </c>
      <c r="S14" s="13">
        <f>_xll.BDH("GILD US Equity","CF_ACCT_RCV_UNBILLED_REV","FQ4 2022","FQ4 2022","Currency=USD","Period=FQ","BEST_FPERIOD_OVERRIDE=FQ","FILING_STATUS=MR","SCALING_FORMAT=MLN","Sort=A","Dates=H","DateFormat=P","Fill=—","Direction=H","UseDPDF=Y")</f>
        <v>-531</v>
      </c>
      <c r="T14" s="13">
        <f>_xll.BDH("GILD US Equity","CF_ACCT_RCV_UNBILLED_REV","FQ1 2023","FQ1 2023","Currency=USD","Period=FQ","BEST_FPERIOD_OVERRIDE=FQ","FILING_STATUS=MR","SCALING_FORMAT=MLN","Sort=A","Dates=H","DateFormat=P","Fill=—","Direction=H","UseDPDF=Y")</f>
        <v>635</v>
      </c>
      <c r="U14" s="13">
        <f>_xll.BDH("GILD US Equity","CF_ACCT_RCV_UNBILLED_REV","FQ2 2023","FQ2 2023","Currency=USD","Period=FQ","BEST_FPERIOD_OVERRIDE=FQ","FILING_STATUS=MR","SCALING_FORMAT=MLN","Sort=A","Dates=H","DateFormat=P","Fill=—","Direction=H","UseDPDF=Y")</f>
        <v>-86</v>
      </c>
      <c r="V14" s="13">
        <f>_xll.BDH("GILD US Equity","CF_ACCT_RCV_UNBILLED_REV","FQ3 2023","FQ3 2023","Currency=USD","Period=FQ","BEST_FPERIOD_OVERRIDE=FQ","FILING_STATUS=MR","SCALING_FORMAT=MLN","Sort=A","Dates=H","DateFormat=P","Fill=—","Direction=H","UseDPDF=Y")</f>
        <v>-612</v>
      </c>
      <c r="W14" s="13">
        <f>_xll.BDH("GILD US Equity","CF_ACCT_RCV_UNBILLED_REV","FQ4 2023","FQ4 2023","Currency=USD","Period=FQ","BEST_FPERIOD_OVERRIDE=FQ","FILING_STATUS=MR","SCALING_FORMAT=MLN","Sort=A","Dates=H","DateFormat=P","Fill=—","Direction=H","UseDPDF=Y")</f>
        <v>220</v>
      </c>
      <c r="X14" s="13">
        <f>_xll.BDH("GILD US Equity","CF_ACCT_RCV_UNBILLED_REV","FQ1 2024","FQ1 2024","Currency=USD","Period=FQ","BEST_FPERIOD_OVERRIDE=FQ","FILING_STATUS=MR","SCALING_FORMAT=MLN","Sort=A","Dates=H","DateFormat=P","Fill=—","Direction=H","UseDPDF=Y")</f>
        <v>-66</v>
      </c>
      <c r="Y14" s="13">
        <f>_xll.BDH("GILD US Equity","CF_ACCT_RCV_UNBILLED_REV","FQ2 2024","FQ2 2024","Currency=USD","Period=FQ","BEST_FPERIOD_OVERRIDE=FQ","FILING_STATUS=MR","SCALING_FORMAT=MLN","Sort=A","Dates=H","DateFormat=P","Fill=—","Direction=H","UseDPDF=Y")</f>
        <v>-29</v>
      </c>
      <c r="Z14" s="13">
        <f>_xll.BDH("GILD US Equity","CF_ACCT_RCV_UNBILLED_REV","FQ3 2024","FQ3 2024","Currency=USD","Period=FQ","BEST_FPERIOD_OVERRIDE=FQ","FILING_STATUS=MR","SCALING_FORMAT=MLN","Sort=A","Dates=H","DateFormat=P","Fill=—","Direction=H","UseDPDF=Y")</f>
        <v>162</v>
      </c>
      <c r="AA14" s="13">
        <f>_xll.BDH("GILD US Equity","CF_ACCT_RCV_UNBILLED_REV","FQ4 2024","FQ4 2024","Currency=USD","Period=FQ","BEST_FPERIOD_OVERRIDE=FQ","FILING_STATUS=MR","SCALING_FORMAT=MLN","Sort=A","Dates=H","DateFormat=P","Fill=—","Direction=H","UseDPDF=Y")</f>
        <v>72</v>
      </c>
    </row>
    <row r="15" spans="1:27" x14ac:dyDescent="0.25">
      <c r="A15" s="10" t="s">
        <v>1329</v>
      </c>
      <c r="B15" s="10" t="s">
        <v>1330</v>
      </c>
      <c r="C15" s="13">
        <f>_xll.BDH("GILD US Equity","CF_CHANGE_IN_INVENTORIES","FQ4 2018","FQ4 2018","Currency=USD","Period=FQ","BEST_FPERIOD_OVERRIDE=FQ","FILING_STATUS=MR","SCALING_FORMAT=MLN","Sort=A","Dates=H","DateFormat=P","Fill=—","Direction=H","UseDPDF=Y")</f>
        <v>-119</v>
      </c>
      <c r="D15" s="13">
        <f>_xll.BDH("GILD US Equity","CF_CHANGE_IN_INVENTORIES","FQ1 2019","FQ1 2019","Currency=USD","Period=FQ","BEST_FPERIOD_OVERRIDE=FQ","FILING_STATUS=MR","SCALING_FORMAT=MLN","Sort=A","Dates=H","DateFormat=P","Fill=—","Direction=H","UseDPDF=Y")</f>
        <v>-15</v>
      </c>
      <c r="E15" s="13">
        <f>_xll.BDH("GILD US Equity","CF_CHANGE_IN_INVENTORIES","FQ2 2019","FQ2 2019","Currency=USD","Period=FQ","BEST_FPERIOD_OVERRIDE=FQ","FILING_STATUS=MR","SCALING_FORMAT=MLN","Sort=A","Dates=H","DateFormat=P","Fill=—","Direction=H","UseDPDF=Y")</f>
        <v>3</v>
      </c>
      <c r="F15" s="13">
        <f>_xll.BDH("GILD US Equity","CF_CHANGE_IN_INVENTORIES","FQ3 2019","FQ3 2019","Currency=USD","Period=FQ","BEST_FPERIOD_OVERRIDE=FQ","FILING_STATUS=MR","SCALING_FORMAT=MLN","Sort=A","Dates=H","DateFormat=P","Fill=—","Direction=H","UseDPDF=Y")</f>
        <v>-23</v>
      </c>
      <c r="G15" s="13">
        <f>_xll.BDH("GILD US Equity","CF_CHANGE_IN_INVENTORIES","FQ4 2019","FQ4 2019","Currency=USD","Period=FQ","BEST_FPERIOD_OVERRIDE=FQ","FILING_STATUS=MR","SCALING_FORMAT=MLN","Sort=A","Dates=H","DateFormat=P","Fill=—","Direction=H","UseDPDF=Y")</f>
        <v>-60</v>
      </c>
      <c r="H15" s="13">
        <f>_xll.BDH("GILD US Equity","CF_CHANGE_IN_INVENTORIES","FQ1 2020","FQ1 2020","Currency=USD","Period=FQ","BEST_FPERIOD_OVERRIDE=FQ","FILING_STATUS=MR","SCALING_FORMAT=MLN","Sort=A","Dates=H","DateFormat=P","Fill=—","Direction=H","UseDPDF=Y")</f>
        <v>15</v>
      </c>
      <c r="I15" s="13">
        <f>_xll.BDH("GILD US Equity","CF_CHANGE_IN_INVENTORIES","FQ2 2020","FQ2 2020","Currency=USD","Period=FQ","BEST_FPERIOD_OVERRIDE=FQ","FILING_STATUS=MR","SCALING_FORMAT=MLN","Sort=A","Dates=H","DateFormat=P","Fill=—","Direction=H","UseDPDF=Y")</f>
        <v>-37</v>
      </c>
      <c r="J15" s="13">
        <f>_xll.BDH("GILD US Equity","CF_CHANGE_IN_INVENTORIES","FQ3 2020","FQ3 2020","Currency=USD","Period=FQ","BEST_FPERIOD_OVERRIDE=FQ","FILING_STATUS=MR","SCALING_FORMAT=MLN","Sort=A","Dates=H","DateFormat=P","Fill=—","Direction=H","UseDPDF=Y")</f>
        <v>-26</v>
      </c>
      <c r="K15" s="13">
        <f>_xll.BDH("GILD US Equity","CF_CHANGE_IN_INVENTORIES","FQ4 2020","FQ4 2020","Currency=USD","Period=FQ","BEST_FPERIOD_OVERRIDE=FQ","FILING_STATUS=MR","SCALING_FORMAT=MLN","Sort=A","Dates=H","DateFormat=P","Fill=—","Direction=H","UseDPDF=Y")</f>
        <v>-147</v>
      </c>
      <c r="L15" s="13">
        <f>_xll.BDH("GILD US Equity","CF_CHANGE_IN_INVENTORIES","FQ1 2021","FQ1 2021","Currency=USD","Period=FQ","BEST_FPERIOD_OVERRIDE=FQ","FILING_STATUS=MR","SCALING_FORMAT=MLN","Sort=A","Dates=H","DateFormat=P","Fill=—","Direction=H","UseDPDF=Y")</f>
        <v>-69</v>
      </c>
      <c r="M15" s="13">
        <f>_xll.BDH("GILD US Equity","CF_CHANGE_IN_INVENTORIES","FQ2 2021","FQ2 2021","Currency=USD","Period=FQ","BEST_FPERIOD_OVERRIDE=FQ","FILING_STATUS=MR","SCALING_FORMAT=MLN","Sort=A","Dates=H","DateFormat=P","Fill=—","Direction=H","UseDPDF=Y")</f>
        <v>-25</v>
      </c>
      <c r="N15" s="13">
        <f>_xll.BDH("GILD US Equity","CF_CHANGE_IN_INVENTORIES","FQ3 2021","FQ3 2021","Currency=USD","Period=FQ","BEST_FPERIOD_OVERRIDE=FQ","FILING_STATUS=MR","SCALING_FORMAT=MLN","Sort=A","Dates=H","DateFormat=P","Fill=—","Direction=H","UseDPDF=Y")</f>
        <v>70</v>
      </c>
      <c r="O15" s="13">
        <f>_xll.BDH("GILD US Equity","CF_CHANGE_IN_INVENTORIES","FQ4 2021","FQ4 2021","Currency=USD","Period=FQ","BEST_FPERIOD_OVERRIDE=FQ","FILING_STATUS=MR","SCALING_FORMAT=MLN","Sort=A","Dates=H","DateFormat=P","Fill=—","Direction=H","UseDPDF=Y")</f>
        <v>35</v>
      </c>
      <c r="P15" s="13">
        <f>_xll.BDH("GILD US Equity","CF_CHANGE_IN_INVENTORIES","FQ1 2022","FQ1 2022","Currency=USD","Period=FQ","BEST_FPERIOD_OVERRIDE=FQ","FILING_STATUS=MR","SCALING_FORMAT=MLN","Sort=A","Dates=H","DateFormat=P","Fill=—","Direction=H","UseDPDF=Y")</f>
        <v>53</v>
      </c>
      <c r="Q15" s="13">
        <f>_xll.BDH("GILD US Equity","CF_CHANGE_IN_INVENTORIES","FQ2 2022","FQ2 2022","Currency=USD","Period=FQ","BEST_FPERIOD_OVERRIDE=FQ","FILING_STATUS=MR","SCALING_FORMAT=MLN","Sort=A","Dates=H","DateFormat=P","Fill=—","Direction=H","UseDPDF=Y")</f>
        <v>8</v>
      </c>
      <c r="R15" s="13">
        <f>_xll.BDH("GILD US Equity","CF_CHANGE_IN_INVENTORIES","FQ3 2022","FQ3 2022","Currency=USD","Period=FQ","BEST_FPERIOD_OVERRIDE=FQ","FILING_STATUS=MR","SCALING_FORMAT=MLN","Sort=A","Dates=H","DateFormat=P","Fill=—","Direction=H","UseDPDF=Y")</f>
        <v>-95</v>
      </c>
      <c r="S15" s="13">
        <f>_xll.BDH("GILD US Equity","CF_CHANGE_IN_INVENTORIES","FQ4 2022","FQ4 2022","Currency=USD","Period=FQ","BEST_FPERIOD_OVERRIDE=FQ","FILING_STATUS=MR","SCALING_FORMAT=MLN","Sort=A","Dates=H","DateFormat=P","Fill=—","Direction=H","UseDPDF=Y")</f>
        <v>-276</v>
      </c>
      <c r="T15" s="13">
        <f>_xll.BDH("GILD US Equity","CF_CHANGE_IN_INVENTORIES","FQ1 2023","FQ1 2023","Currency=USD","Period=FQ","BEST_FPERIOD_OVERRIDE=FQ","FILING_STATUS=MR","SCALING_FORMAT=MLN","Sort=A","Dates=H","DateFormat=P","Fill=—","Direction=H","UseDPDF=Y")</f>
        <v>-227</v>
      </c>
      <c r="U15" s="13">
        <f>_xll.BDH("GILD US Equity","CF_CHANGE_IN_INVENTORIES","FQ2 2023","FQ2 2023","Currency=USD","Period=FQ","BEST_FPERIOD_OVERRIDE=FQ","FILING_STATUS=MR","SCALING_FORMAT=MLN","Sort=A","Dates=H","DateFormat=P","Fill=—","Direction=H","UseDPDF=Y")</f>
        <v>-226</v>
      </c>
      <c r="V15" s="13">
        <f>_xll.BDH("GILD US Equity","CF_CHANGE_IN_INVENTORIES","FQ3 2023","FQ3 2023","Currency=USD","Period=FQ","BEST_FPERIOD_OVERRIDE=FQ","FILING_STATUS=MR","SCALING_FORMAT=MLN","Sort=A","Dates=H","DateFormat=P","Fill=—","Direction=H","UseDPDF=Y")</f>
        <v>-82</v>
      </c>
      <c r="W15" s="13">
        <f>_xll.BDH("GILD US Equity","CF_CHANGE_IN_INVENTORIES","FQ4 2023","FQ4 2023","Currency=USD","Period=FQ","BEST_FPERIOD_OVERRIDE=FQ","FILING_STATUS=MR","SCALING_FORMAT=MLN","Sort=A","Dates=H","DateFormat=P","Fill=—","Direction=H","UseDPDF=Y")</f>
        <v>-307</v>
      </c>
      <c r="X15" s="13">
        <f>_xll.BDH("GILD US Equity","CF_CHANGE_IN_INVENTORIES","FQ1 2024","FQ1 2024","Currency=USD","Period=FQ","BEST_FPERIOD_OVERRIDE=FQ","FILING_STATUS=MR","SCALING_FORMAT=MLN","Sort=A","Dates=H","DateFormat=P","Fill=—","Direction=H","UseDPDF=Y")</f>
        <v>-45</v>
      </c>
      <c r="Y15" s="13">
        <f>_xll.BDH("GILD US Equity","CF_CHANGE_IN_INVENTORIES","FQ2 2024","FQ2 2024","Currency=USD","Period=FQ","BEST_FPERIOD_OVERRIDE=FQ","FILING_STATUS=MR","SCALING_FORMAT=MLN","Sort=A","Dates=H","DateFormat=P","Fill=—","Direction=H","UseDPDF=Y")</f>
        <v>-70</v>
      </c>
      <c r="Z15" s="13">
        <f>_xll.BDH("GILD US Equity","CF_CHANGE_IN_INVENTORIES","FQ3 2024","FQ3 2024","Currency=USD","Period=FQ","BEST_FPERIOD_OVERRIDE=FQ","FILING_STATUS=MR","SCALING_FORMAT=MLN","Sort=A","Dates=H","DateFormat=P","Fill=—","Direction=H","UseDPDF=Y")</f>
        <v>-85</v>
      </c>
      <c r="AA15" s="13">
        <f>_xll.BDH("GILD US Equity","CF_CHANGE_IN_INVENTORIES","FQ4 2024","FQ4 2024","Currency=USD","Period=FQ","BEST_FPERIOD_OVERRIDE=FQ","FILING_STATUS=MR","SCALING_FORMAT=MLN","Sort=A","Dates=H","DateFormat=P","Fill=—","Direction=H","UseDPDF=Y")</f>
        <v>-226</v>
      </c>
    </row>
    <row r="16" spans="1:27" x14ac:dyDescent="0.25">
      <c r="A16" s="10" t="s">
        <v>1331</v>
      </c>
      <c r="B16" s="10" t="s">
        <v>1332</v>
      </c>
      <c r="C16" s="13">
        <f>_xll.BDH("GILD US Equity","CF_CHANGE_IN_ACCOUNTS_PAYABLE","FQ4 2018","FQ4 2018","Currency=USD","Period=FQ","BEST_FPERIOD_OVERRIDE=FQ","FILING_STATUS=MR","SCALING_FORMAT=MLN","Sort=A","Dates=H","DateFormat=P","Fill=—","Direction=H","UseDPDF=Y")</f>
        <v>178</v>
      </c>
      <c r="D16" s="13">
        <f>_xll.BDH("GILD US Equity","CF_CHANGE_IN_ACCOUNTS_PAYABLE","FQ1 2019","FQ1 2019","Currency=USD","Period=FQ","BEST_FPERIOD_OVERRIDE=FQ","FILING_STATUS=MR","SCALING_FORMAT=MLN","Sort=A","Dates=H","DateFormat=P","Fill=—","Direction=H","UseDPDF=Y")</f>
        <v>-201</v>
      </c>
      <c r="E16" s="13">
        <f>_xll.BDH("GILD US Equity","CF_CHANGE_IN_ACCOUNTS_PAYABLE","FQ2 2019","FQ2 2019","Currency=USD","Period=FQ","BEST_FPERIOD_OVERRIDE=FQ","FILING_STATUS=MR","SCALING_FORMAT=MLN","Sort=A","Dates=H","DateFormat=P","Fill=—","Direction=H","UseDPDF=Y")</f>
        <v>35</v>
      </c>
      <c r="F16" s="13">
        <f>_xll.BDH("GILD US Equity","CF_CHANGE_IN_ACCOUNTS_PAYABLE","FQ3 2019","FQ3 2019","Currency=USD","Period=FQ","BEST_FPERIOD_OVERRIDE=FQ","FILING_STATUS=MR","SCALING_FORMAT=MLN","Sort=A","Dates=H","DateFormat=P","Fill=—","Direction=H","UseDPDF=Y")</f>
        <v>24</v>
      </c>
      <c r="G16" s="13">
        <f>_xll.BDH("GILD US Equity","CF_CHANGE_IN_ACCOUNTS_PAYABLE","FQ4 2019","FQ4 2019","Currency=USD","Period=FQ","BEST_FPERIOD_OVERRIDE=FQ","FILING_STATUS=MR","SCALING_FORMAT=MLN","Sort=A","Dates=H","DateFormat=P","Fill=—","Direction=H","UseDPDF=Y")</f>
        <v>81</v>
      </c>
      <c r="H16" s="13">
        <f>_xll.BDH("GILD US Equity","CF_CHANGE_IN_ACCOUNTS_PAYABLE","FQ1 2020","FQ1 2020","Currency=USD","Period=FQ","BEST_FPERIOD_OVERRIDE=FQ","FILING_STATUS=MR","SCALING_FORMAT=MLN","Sort=A","Dates=H","DateFormat=P","Fill=—","Direction=H","UseDPDF=Y")</f>
        <v>-109</v>
      </c>
      <c r="I16" s="13">
        <f>_xll.BDH("GILD US Equity","CF_CHANGE_IN_ACCOUNTS_PAYABLE","FQ2 2020","FQ2 2020","Currency=USD","Period=FQ","BEST_FPERIOD_OVERRIDE=FQ","FILING_STATUS=MR","SCALING_FORMAT=MLN","Sort=A","Dates=H","DateFormat=P","Fill=—","Direction=H","UseDPDF=Y")</f>
        <v>-4</v>
      </c>
      <c r="J16" s="13">
        <f>_xll.BDH("GILD US Equity","CF_CHANGE_IN_ACCOUNTS_PAYABLE","FQ3 2020","FQ3 2020","Currency=USD","Period=FQ","BEST_FPERIOD_OVERRIDE=FQ","FILING_STATUS=MR","SCALING_FORMAT=MLN","Sort=A","Dates=H","DateFormat=P","Fill=—","Direction=H","UseDPDF=Y")</f>
        <v>-21</v>
      </c>
      <c r="K16" s="13">
        <f>_xll.BDH("GILD US Equity","CF_CHANGE_IN_ACCOUNTS_PAYABLE","FQ4 2020","FQ4 2020","Currency=USD","Period=FQ","BEST_FPERIOD_OVERRIDE=FQ","FILING_STATUS=MR","SCALING_FORMAT=MLN","Sort=A","Dates=H","DateFormat=P","Fill=—","Direction=H","UseDPDF=Y")</f>
        <v>214</v>
      </c>
      <c r="L16" s="13">
        <f>_xll.BDH("GILD US Equity","CF_CHANGE_IN_ACCOUNTS_PAYABLE","FQ1 2021","FQ1 2021","Currency=USD","Period=FQ","BEST_FPERIOD_OVERRIDE=FQ","FILING_STATUS=MR","SCALING_FORMAT=MLN","Sort=A","Dates=H","DateFormat=P","Fill=—","Direction=H","UseDPDF=Y")</f>
        <v>-253</v>
      </c>
      <c r="M16" s="13">
        <f>_xll.BDH("GILD US Equity","CF_CHANGE_IN_ACCOUNTS_PAYABLE","FQ2 2021","FQ2 2021","Currency=USD","Period=FQ","BEST_FPERIOD_OVERRIDE=FQ","FILING_STATUS=MR","SCALING_FORMAT=MLN","Sort=A","Dates=H","DateFormat=P","Fill=—","Direction=H","UseDPDF=Y")</f>
        <v>31</v>
      </c>
      <c r="N16" s="13">
        <f>_xll.BDH("GILD US Equity","CF_CHANGE_IN_ACCOUNTS_PAYABLE","FQ3 2021","FQ3 2021","Currency=USD","Period=FQ","BEST_FPERIOD_OVERRIDE=FQ","FILING_STATUS=MR","SCALING_FORMAT=MLN","Sort=A","Dates=H","DateFormat=P","Fill=—","Direction=H","UseDPDF=Y")</f>
        <v>-20</v>
      </c>
      <c r="O16" s="13">
        <f>_xll.BDH("GILD US Equity","CF_CHANGE_IN_ACCOUNTS_PAYABLE","FQ4 2021","FQ4 2021","Currency=USD","Period=FQ","BEST_FPERIOD_OVERRIDE=FQ","FILING_STATUS=MR","SCALING_FORMAT=MLN","Sort=A","Dates=H","DateFormat=P","Fill=—","Direction=H","UseDPDF=Y")</f>
        <v>124</v>
      </c>
      <c r="P16" s="13">
        <f>_xll.BDH("GILD US Equity","CF_CHANGE_IN_ACCOUNTS_PAYABLE","FQ1 2022","FQ1 2022","Currency=USD","Period=FQ","BEST_FPERIOD_OVERRIDE=FQ","FILING_STATUS=MR","SCALING_FORMAT=MLN","Sort=A","Dates=H","DateFormat=P","Fill=—","Direction=H","UseDPDF=Y")</f>
        <v>-91</v>
      </c>
      <c r="Q16" s="13">
        <f>_xll.BDH("GILD US Equity","CF_CHANGE_IN_ACCOUNTS_PAYABLE","FQ2 2022","FQ2 2022","Currency=USD","Period=FQ","BEST_FPERIOD_OVERRIDE=FQ","FILING_STATUS=MR","SCALING_FORMAT=MLN","Sort=A","Dates=H","DateFormat=P","Fill=—","Direction=H","UseDPDF=Y")</f>
        <v>-13</v>
      </c>
      <c r="R16" s="13">
        <f>_xll.BDH("GILD US Equity","CF_CHANGE_IN_ACCOUNTS_PAYABLE","FQ3 2022","FQ3 2022","Currency=USD","Period=FQ","BEST_FPERIOD_OVERRIDE=FQ","FILING_STATUS=MR","SCALING_FORMAT=MLN","Sort=A","Dates=H","DateFormat=P","Fill=—","Direction=H","UseDPDF=Y")</f>
        <v>66</v>
      </c>
      <c r="S16" s="13">
        <f>_xll.BDH("GILD US Equity","CF_CHANGE_IN_ACCOUNTS_PAYABLE","FQ4 2022","FQ4 2022","Currency=USD","Period=FQ","BEST_FPERIOD_OVERRIDE=FQ","FILING_STATUS=MR","SCALING_FORMAT=MLN","Sort=A","Dates=H","DateFormat=P","Fill=—","Direction=H","UseDPDF=Y")</f>
        <v>264</v>
      </c>
      <c r="T16" s="13">
        <f>_xll.BDH("GILD US Equity","CF_CHANGE_IN_ACCOUNTS_PAYABLE","FQ1 2023","FQ1 2023","Currency=USD","Period=FQ","BEST_FPERIOD_OVERRIDE=FQ","FILING_STATUS=MR","SCALING_FORMAT=MLN","Sort=A","Dates=H","DateFormat=P","Fill=—","Direction=H","UseDPDF=Y")</f>
        <v>-272</v>
      </c>
      <c r="U16" s="13">
        <f>_xll.BDH("GILD US Equity","CF_CHANGE_IN_ACCOUNTS_PAYABLE","FQ2 2023","FQ2 2023","Currency=USD","Period=FQ","BEST_FPERIOD_OVERRIDE=FQ","FILING_STATUS=MR","SCALING_FORMAT=MLN","Sort=A","Dates=H","DateFormat=P","Fill=—","Direction=H","UseDPDF=Y")</f>
        <v>-3</v>
      </c>
      <c r="V16" s="13">
        <f>_xll.BDH("GILD US Equity","CF_CHANGE_IN_ACCOUNTS_PAYABLE","FQ3 2023","FQ3 2023","Currency=USD","Period=FQ","BEST_FPERIOD_OVERRIDE=FQ","FILING_STATUS=MR","SCALING_FORMAT=MLN","Sort=A","Dates=H","DateFormat=P","Fill=—","Direction=H","UseDPDF=Y")</f>
        <v>-29</v>
      </c>
      <c r="W16" s="13">
        <f>_xll.BDH("GILD US Equity","CF_CHANGE_IN_ACCOUNTS_PAYABLE","FQ4 2023","FQ4 2023","Currency=USD","Period=FQ","BEST_FPERIOD_OVERRIDE=FQ","FILING_STATUS=MR","SCALING_FORMAT=MLN","Sort=A","Dates=H","DateFormat=P","Fill=—","Direction=H","UseDPDF=Y")</f>
        <v>-43</v>
      </c>
      <c r="X16" s="13">
        <f>_xll.BDH("GILD US Equity","CF_CHANGE_IN_ACCOUNTS_PAYABLE","FQ1 2024","FQ1 2024","Currency=USD","Period=FQ","BEST_FPERIOD_OVERRIDE=FQ","FILING_STATUS=MR","SCALING_FORMAT=MLN","Sort=A","Dates=H","DateFormat=P","Fill=—","Direction=H","UseDPDF=Y")</f>
        <v>72</v>
      </c>
      <c r="Y16" s="13">
        <f>_xll.BDH("GILD US Equity","CF_CHANGE_IN_ACCOUNTS_PAYABLE","FQ2 2024","FQ2 2024","Currency=USD","Period=FQ","BEST_FPERIOD_OVERRIDE=FQ","FILING_STATUS=MR","SCALING_FORMAT=MLN","Sort=A","Dates=H","DateFormat=P","Fill=—","Direction=H","UseDPDF=Y")</f>
        <v>-83</v>
      </c>
      <c r="Z16" s="13">
        <f>_xll.BDH("GILD US Equity","CF_CHANGE_IN_ACCOUNTS_PAYABLE","FQ3 2024","FQ3 2024","Currency=USD","Period=FQ","BEST_FPERIOD_OVERRIDE=FQ","FILING_STATUS=MR","SCALING_FORMAT=MLN","Sort=A","Dates=H","DateFormat=P","Fill=—","Direction=H","UseDPDF=Y")</f>
        <v>359</v>
      </c>
      <c r="AA16" s="13">
        <f>_xll.BDH("GILD US Equity","CF_CHANGE_IN_ACCOUNTS_PAYABLE","FQ4 2024","FQ4 2024","Currency=USD","Period=FQ","BEST_FPERIOD_OVERRIDE=FQ","FILING_STATUS=MR","SCALING_FORMAT=MLN","Sort=A","Dates=H","DateFormat=P","Fill=—","Direction=H","UseDPDF=Y")</f>
        <v>-58</v>
      </c>
    </row>
    <row r="17" spans="1:27" x14ac:dyDescent="0.25">
      <c r="A17" s="10" t="s">
        <v>1333</v>
      </c>
      <c r="B17" s="10" t="s">
        <v>1334</v>
      </c>
      <c r="C17" s="13">
        <f>_xll.BDH("GILD US Equity","INC_DEC_IN_OT_OP_AST_LIAB_DETAIL","FQ4 2018","FQ4 2018","Currency=USD","Period=FQ","BEST_FPERIOD_OVERRIDE=FQ","FILING_STATUS=MR","SCALING_FORMAT=MLN","Sort=A","Dates=H","DateFormat=P","Fill=—","Direction=H","UseDPDF=Y")</f>
        <v>56</v>
      </c>
      <c r="D17" s="13">
        <f>_xll.BDH("GILD US Equity","INC_DEC_IN_OT_OP_AST_LIAB_DETAIL","FQ1 2019","FQ1 2019","Currency=USD","Period=FQ","BEST_FPERIOD_OVERRIDE=FQ","FILING_STATUS=MR","SCALING_FORMAT=MLN","Sort=A","Dates=H","DateFormat=P","Fill=—","Direction=H","UseDPDF=Y")</f>
        <v>-709</v>
      </c>
      <c r="E17" s="13">
        <f>_xll.BDH("GILD US Equity","INC_DEC_IN_OT_OP_AST_LIAB_DETAIL","FQ2 2019","FQ2 2019","Currency=USD","Period=FQ","BEST_FPERIOD_OVERRIDE=FQ","FILING_STATUS=MR","SCALING_FORMAT=MLN","Sort=A","Dates=H","DateFormat=P","Fill=—","Direction=H","UseDPDF=Y")</f>
        <v>-139</v>
      </c>
      <c r="F17" s="13">
        <f>_xll.BDH("GILD US Equity","INC_DEC_IN_OT_OP_AST_LIAB_DETAIL","FQ3 2019","FQ3 2019","Currency=USD","Period=FQ","BEST_FPERIOD_OVERRIDE=FQ","FILING_STATUS=MR","SCALING_FORMAT=MLN","Sort=A","Dates=H","DateFormat=P","Fill=—","Direction=H","UseDPDF=Y")</f>
        <v>-46</v>
      </c>
      <c r="G17" s="13">
        <f>_xll.BDH("GILD US Equity","INC_DEC_IN_OT_OP_AST_LIAB_DETAIL","FQ4 2019","FQ4 2019","Currency=USD","Period=FQ","BEST_FPERIOD_OVERRIDE=FQ","FILING_STATUS=MR","SCALING_FORMAT=MLN","Sort=A","Dates=H","DateFormat=P","Fill=—","Direction=H","UseDPDF=Y")</f>
        <v>418</v>
      </c>
      <c r="H17" s="13">
        <f>_xll.BDH("GILD US Equity","INC_DEC_IN_OT_OP_AST_LIAB_DETAIL","FQ1 2020","FQ1 2020","Currency=USD","Period=FQ","BEST_FPERIOD_OVERRIDE=FQ","FILING_STATUS=MR","SCALING_FORMAT=MLN","Sort=A","Dates=H","DateFormat=P","Fill=—","Direction=H","UseDPDF=Y")</f>
        <v>-631</v>
      </c>
      <c r="I17" s="13">
        <f>_xll.BDH("GILD US Equity","INC_DEC_IN_OT_OP_AST_LIAB_DETAIL","FQ2 2020","FQ2 2020","Currency=USD","Period=FQ","BEST_FPERIOD_OVERRIDE=FQ","FILING_STATUS=MR","SCALING_FORMAT=MLN","Sort=A","Dates=H","DateFormat=P","Fill=—","Direction=H","UseDPDF=Y")</f>
        <v>259</v>
      </c>
      <c r="J17" s="13">
        <f>_xll.BDH("GILD US Equity","INC_DEC_IN_OT_OP_AST_LIAB_DETAIL","FQ3 2020","FQ3 2020","Currency=USD","Period=FQ","BEST_FPERIOD_OVERRIDE=FQ","FILING_STATUS=MR","SCALING_FORMAT=MLN","Sort=A","Dates=H","DateFormat=P","Fill=—","Direction=H","UseDPDF=Y")</f>
        <v>24</v>
      </c>
      <c r="K17" s="13">
        <f>_xll.BDH("GILD US Equity","INC_DEC_IN_OT_OP_AST_LIAB_DETAIL","FQ4 2020","FQ4 2020","Currency=USD","Period=FQ","BEST_FPERIOD_OVERRIDE=FQ","FILING_STATUS=MR","SCALING_FORMAT=MLN","Sort=A","Dates=H","DateFormat=P","Fill=—","Direction=H","UseDPDF=Y")</f>
        <v>-4</v>
      </c>
      <c r="L17" s="13">
        <f>_xll.BDH("GILD US Equity","INC_DEC_IN_OT_OP_AST_LIAB_DETAIL","FQ1 2021","FQ1 2021","Currency=USD","Period=FQ","BEST_FPERIOD_OVERRIDE=FQ","FILING_STATUS=MR","SCALING_FORMAT=MLN","Sort=A","Dates=H","DateFormat=P","Fill=—","Direction=H","UseDPDF=Y")</f>
        <v>-1062</v>
      </c>
      <c r="M17" s="13">
        <f>_xll.BDH("GILD US Equity","INC_DEC_IN_OT_OP_AST_LIAB_DETAIL","FQ2 2021","FQ2 2021","Currency=USD","Period=FQ","BEST_FPERIOD_OVERRIDE=FQ","FILING_STATUS=MR","SCALING_FORMAT=MLN","Sort=A","Dates=H","DateFormat=P","Fill=—","Direction=H","UseDPDF=Y")</f>
        <v>-188</v>
      </c>
      <c r="N17" s="13">
        <f>_xll.BDH("GILD US Equity","INC_DEC_IN_OT_OP_AST_LIAB_DETAIL","FQ3 2021","FQ3 2021","Currency=USD","Period=FQ","BEST_FPERIOD_OVERRIDE=FQ","FILING_STATUS=MR","SCALING_FORMAT=MLN","Sort=A","Dates=H","DateFormat=P","Fill=—","Direction=H","UseDPDF=Y")</f>
        <v>-81</v>
      </c>
      <c r="O17" s="13">
        <f>_xll.BDH("GILD US Equity","INC_DEC_IN_OT_OP_AST_LIAB_DETAIL","FQ4 2021","FQ4 2021","Currency=USD","Period=FQ","BEST_FPERIOD_OVERRIDE=FQ","FILING_STATUS=MR","SCALING_FORMAT=MLN","Sort=A","Dates=H","DateFormat=P","Fill=—","Direction=H","UseDPDF=Y")</f>
        <v>1614</v>
      </c>
      <c r="P17" s="13">
        <f>_xll.BDH("GILD US Equity","INC_DEC_IN_OT_OP_AST_LIAB_DETAIL","FQ1 2022","FQ1 2022","Currency=USD","Period=FQ","BEST_FPERIOD_OVERRIDE=FQ","FILING_STATUS=MR","SCALING_FORMAT=MLN","Sort=A","Dates=H","DateFormat=P","Fill=—","Direction=H","UseDPDF=Y")</f>
        <v>-1823</v>
      </c>
      <c r="Q17" s="13">
        <f>_xll.BDH("GILD US Equity","INC_DEC_IN_OT_OP_AST_LIAB_DETAIL","FQ2 2022","FQ2 2022","Currency=USD","Period=FQ","BEST_FPERIOD_OVERRIDE=FQ","FILING_STATUS=MR","SCALING_FORMAT=MLN","Sort=A","Dates=H","DateFormat=P","Fill=—","Direction=H","UseDPDF=Y")</f>
        <v>-144</v>
      </c>
      <c r="R17" s="13">
        <f>_xll.BDH("GILD US Equity","INC_DEC_IN_OT_OP_AST_LIAB_DETAIL","FQ3 2022","FQ3 2022","Currency=USD","Period=FQ","BEST_FPERIOD_OVERRIDE=FQ","FILING_STATUS=MR","SCALING_FORMAT=MLN","Sort=A","Dates=H","DateFormat=P","Fill=—","Direction=H","UseDPDF=Y")</f>
        <v>260</v>
      </c>
      <c r="S17" s="13">
        <f>_xll.BDH("GILD US Equity","INC_DEC_IN_OT_OP_AST_LIAB_DETAIL","FQ4 2022","FQ4 2022","Currency=USD","Period=FQ","BEST_FPERIOD_OVERRIDE=FQ","FILING_STATUS=MR","SCALING_FORMAT=MLN","Sort=A","Dates=H","DateFormat=P","Fill=—","Direction=H","UseDPDF=Y")</f>
        <v>434</v>
      </c>
      <c r="T17" s="13">
        <f>_xll.BDH("GILD US Equity","INC_DEC_IN_OT_OP_AST_LIAB_DETAIL","FQ1 2023","FQ1 2023","Currency=USD","Period=FQ","BEST_FPERIOD_OVERRIDE=FQ","FILING_STATUS=MR","SCALING_FORMAT=MLN","Sort=A","Dates=H","DateFormat=P","Fill=—","Direction=H","UseDPDF=Y")</f>
        <v>-678</v>
      </c>
      <c r="U17" s="13">
        <f>_xll.BDH("GILD US Equity","INC_DEC_IN_OT_OP_AST_LIAB_DETAIL","FQ2 2023","FQ2 2023","Currency=USD","Period=FQ","BEST_FPERIOD_OVERRIDE=FQ","FILING_STATUS=MR","SCALING_FORMAT=MLN","Sort=A","Dates=H","DateFormat=P","Fill=—","Direction=H","UseDPDF=Y")</f>
        <v>646</v>
      </c>
      <c r="V17" s="13">
        <f>_xll.BDH("GILD US Equity","INC_DEC_IN_OT_OP_AST_LIAB_DETAIL","FQ3 2023","FQ3 2023","Currency=USD","Period=FQ","BEST_FPERIOD_OVERRIDE=FQ","FILING_STATUS=MR","SCALING_FORMAT=MLN","Sort=A","Dates=H","DateFormat=P","Fill=—","Direction=H","UseDPDF=Y")</f>
        <v>-826</v>
      </c>
      <c r="W17" s="13">
        <f>_xll.BDH("GILD US Equity","INC_DEC_IN_OT_OP_AST_LIAB_DETAIL","FQ4 2023","FQ4 2023","Currency=USD","Period=FQ","BEST_FPERIOD_OVERRIDE=FQ","FILING_STATUS=MR","SCALING_FORMAT=MLN","Sort=A","Dates=H","DateFormat=P","Fill=—","Direction=H","UseDPDF=Y")</f>
        <v>1355</v>
      </c>
      <c r="X17" s="13">
        <f>_xll.BDH("GILD US Equity","INC_DEC_IN_OT_OP_AST_LIAB_DETAIL","FQ1 2024","FQ1 2024","Currency=USD","Period=FQ","BEST_FPERIOD_OVERRIDE=FQ","FILING_STATUS=MR","SCALING_FORMAT=MLN","Sort=A","Dates=H","DateFormat=P","Fill=—","Direction=H","UseDPDF=Y")</f>
        <v>-420</v>
      </c>
      <c r="Y17" s="13">
        <f>_xll.BDH("GILD US Equity","INC_DEC_IN_OT_OP_AST_LIAB_DETAIL","FQ2 2024","FQ2 2024","Currency=USD","Period=FQ","BEST_FPERIOD_OVERRIDE=FQ","FILING_STATUS=MR","SCALING_FORMAT=MLN","Sort=A","Dates=H","DateFormat=P","Fill=—","Direction=H","UseDPDF=Y")</f>
        <v>-1364</v>
      </c>
      <c r="Z17" s="13">
        <f>_xll.BDH("GILD US Equity","INC_DEC_IN_OT_OP_AST_LIAB_DETAIL","FQ3 2024","FQ3 2024","Currency=USD","Period=FQ","BEST_FPERIOD_OVERRIDE=FQ","FILING_STATUS=MR","SCALING_FORMAT=MLN","Sort=A","Dates=H","DateFormat=P","Fill=—","Direction=H","UseDPDF=Y")</f>
        <v>206</v>
      </c>
      <c r="AA17" s="13">
        <f>_xll.BDH("GILD US Equity","INC_DEC_IN_OT_OP_AST_LIAB_DETAIL","FQ4 2024","FQ4 2024","Currency=USD","Period=FQ","BEST_FPERIOD_OVERRIDE=FQ","FILING_STATUS=MR","SCALING_FORMAT=MLN","Sort=A","Dates=H","DateFormat=P","Fill=—","Direction=H","UseDPDF=Y")</f>
        <v>1427</v>
      </c>
    </row>
    <row r="18" spans="1:27" x14ac:dyDescent="0.25">
      <c r="A18" s="10" t="s">
        <v>1335</v>
      </c>
      <c r="B18" s="10" t="s">
        <v>1336</v>
      </c>
      <c r="C18" s="13">
        <f>_xll.BDH("GILD US Equity","CF_NET_CASH_DISCONT_OPS_OPER","FQ4 2018","FQ4 2018","Currency=USD","Period=FQ","BEST_FPERIOD_OVERRIDE=FQ","FILING_STATUS=MR","SCALING_FORMAT=MLN","Sort=A","Dates=H","DateFormat=P","Fill=—","Direction=H","UseDPDF=Y")</f>
        <v>0</v>
      </c>
      <c r="D18" s="13">
        <f>_xll.BDH("GILD US Equity","CF_NET_CASH_DISCONT_OPS_OPER","FQ1 2019","FQ1 2019","Currency=USD","Period=FQ","BEST_FPERIOD_OVERRIDE=FQ","FILING_STATUS=MR","SCALING_FORMAT=MLN","Sort=A","Dates=H","DateFormat=P","Fill=—","Direction=H","UseDPDF=Y")</f>
        <v>0</v>
      </c>
      <c r="E18" s="13">
        <f>_xll.BDH("GILD US Equity","CF_NET_CASH_DISCONT_OPS_OPER","FQ2 2019","FQ2 2019","Currency=USD","Period=FQ","BEST_FPERIOD_OVERRIDE=FQ","FILING_STATUS=MR","SCALING_FORMAT=MLN","Sort=A","Dates=H","DateFormat=P","Fill=—","Direction=H","UseDPDF=Y")</f>
        <v>0</v>
      </c>
      <c r="F18" s="13">
        <f>_xll.BDH("GILD US Equity","CF_NET_CASH_DISCONT_OPS_OPER","FQ3 2019","FQ3 2019","Currency=USD","Period=FQ","BEST_FPERIOD_OVERRIDE=FQ","FILING_STATUS=MR","SCALING_FORMAT=MLN","Sort=A","Dates=H","DateFormat=P","Fill=—","Direction=H","UseDPDF=Y")</f>
        <v>0</v>
      </c>
      <c r="G18" s="13">
        <f>_xll.BDH("GILD US Equity","CF_NET_CASH_DISCONT_OPS_OPER","FQ4 2019","FQ4 2019","Currency=USD","Period=FQ","BEST_FPERIOD_OVERRIDE=FQ","FILING_STATUS=MR","SCALING_FORMAT=MLN","Sort=A","Dates=H","DateFormat=P","Fill=—","Direction=H","UseDPDF=Y")</f>
        <v>0</v>
      </c>
      <c r="H18" s="13">
        <f>_xll.BDH("GILD US Equity","CF_NET_CASH_DISCONT_OPS_OPER","FQ1 2020","FQ1 2020","Currency=USD","Period=FQ","BEST_FPERIOD_OVERRIDE=FQ","FILING_STATUS=MR","SCALING_FORMAT=MLN","Sort=A","Dates=H","DateFormat=P","Fill=—","Direction=H","UseDPDF=Y")</f>
        <v>0</v>
      </c>
      <c r="I18" s="13">
        <f>_xll.BDH("GILD US Equity","CF_NET_CASH_DISCONT_OPS_OPER","FQ2 2020","FQ2 2020","Currency=USD","Period=FQ","BEST_FPERIOD_OVERRIDE=FQ","FILING_STATUS=MR","SCALING_FORMAT=MLN","Sort=A","Dates=H","DateFormat=P","Fill=—","Direction=H","UseDPDF=Y")</f>
        <v>0</v>
      </c>
      <c r="J18" s="13">
        <f>_xll.BDH("GILD US Equity","CF_NET_CASH_DISCONT_OPS_OPER","FQ3 2020","FQ3 2020","Currency=USD","Period=FQ","BEST_FPERIOD_OVERRIDE=FQ","FILING_STATUS=MR","SCALING_FORMAT=MLN","Sort=A","Dates=H","DateFormat=P","Fill=—","Direction=H","UseDPDF=Y")</f>
        <v>0</v>
      </c>
      <c r="K18" s="13">
        <f>_xll.BDH("GILD US Equity","CF_NET_CASH_DISCONT_OPS_OPER","FQ4 2020","FQ4 2020","Currency=USD","Period=FQ","BEST_FPERIOD_OVERRIDE=FQ","FILING_STATUS=MR","SCALING_FORMAT=MLN","Sort=A","Dates=H","DateFormat=P","Fill=—","Direction=H","UseDPDF=Y")</f>
        <v>0</v>
      </c>
      <c r="L18" s="13">
        <f>_xll.BDH("GILD US Equity","CF_NET_CASH_DISCONT_OPS_OPER","FQ1 2021","FQ1 2021","Currency=USD","Period=FQ","BEST_FPERIOD_OVERRIDE=FQ","FILING_STATUS=MR","SCALING_FORMAT=MLN","Sort=A","Dates=H","DateFormat=P","Fill=—","Direction=H","UseDPDF=Y")</f>
        <v>0</v>
      </c>
      <c r="M18" s="13">
        <f>_xll.BDH("GILD US Equity","CF_NET_CASH_DISCONT_OPS_OPER","FQ2 2021","FQ2 2021","Currency=USD","Period=FQ","BEST_FPERIOD_OVERRIDE=FQ","FILING_STATUS=MR","SCALING_FORMAT=MLN","Sort=A","Dates=H","DateFormat=P","Fill=—","Direction=H","UseDPDF=Y")</f>
        <v>0</v>
      </c>
      <c r="N18" s="13">
        <f>_xll.BDH("GILD US Equity","CF_NET_CASH_DISCONT_OPS_OPER","FQ3 2021","FQ3 2021","Currency=USD","Period=FQ","BEST_FPERIOD_OVERRIDE=FQ","FILING_STATUS=MR","SCALING_FORMAT=MLN","Sort=A","Dates=H","DateFormat=P","Fill=—","Direction=H","UseDPDF=Y")</f>
        <v>0</v>
      </c>
      <c r="O18" s="13">
        <f>_xll.BDH("GILD US Equity","CF_NET_CASH_DISCONT_OPS_OPER","FQ4 2021","FQ4 2021","Currency=USD","Period=FQ","BEST_FPERIOD_OVERRIDE=FQ","FILING_STATUS=MR","SCALING_FORMAT=MLN","Sort=A","Dates=H","DateFormat=P","Fill=—","Direction=H","UseDPDF=Y")</f>
        <v>0</v>
      </c>
      <c r="P18" s="13">
        <f>_xll.BDH("GILD US Equity","CF_NET_CASH_DISCONT_OPS_OPER","FQ1 2022","FQ1 2022","Currency=USD","Period=FQ","BEST_FPERIOD_OVERRIDE=FQ","FILING_STATUS=MR","SCALING_FORMAT=MLN","Sort=A","Dates=H","DateFormat=P","Fill=—","Direction=H","UseDPDF=Y")</f>
        <v>0</v>
      </c>
      <c r="Q18" s="13">
        <f>_xll.BDH("GILD US Equity","CF_NET_CASH_DISCONT_OPS_OPER","FQ2 2022","FQ2 2022","Currency=USD","Period=FQ","BEST_FPERIOD_OVERRIDE=FQ","FILING_STATUS=MR","SCALING_FORMAT=MLN","Sort=A","Dates=H","DateFormat=P","Fill=—","Direction=H","UseDPDF=Y")</f>
        <v>0</v>
      </c>
      <c r="R18" s="13">
        <f>_xll.BDH("GILD US Equity","CF_NET_CASH_DISCONT_OPS_OPER","FQ3 2022","FQ3 2022","Currency=USD","Period=FQ","BEST_FPERIOD_OVERRIDE=FQ","FILING_STATUS=MR","SCALING_FORMAT=MLN","Sort=A","Dates=H","DateFormat=P","Fill=—","Direction=H","UseDPDF=Y")</f>
        <v>0</v>
      </c>
      <c r="S18" s="13">
        <f>_xll.BDH("GILD US Equity","CF_NET_CASH_DISCONT_OPS_OPER","FQ4 2022","FQ4 2022","Currency=USD","Period=FQ","BEST_FPERIOD_OVERRIDE=FQ","FILING_STATUS=MR","SCALING_FORMAT=MLN","Sort=A","Dates=H","DateFormat=P","Fill=—","Direction=H","UseDPDF=Y")</f>
        <v>0</v>
      </c>
      <c r="T18" s="13">
        <f>_xll.BDH("GILD US Equity","CF_NET_CASH_DISCONT_OPS_OPER","FQ1 2023","FQ1 2023","Currency=USD","Period=FQ","BEST_FPERIOD_OVERRIDE=FQ","FILING_STATUS=MR","SCALING_FORMAT=MLN","Sort=A","Dates=H","DateFormat=P","Fill=—","Direction=H","UseDPDF=Y")</f>
        <v>0</v>
      </c>
      <c r="U18" s="13">
        <f>_xll.BDH("GILD US Equity","CF_NET_CASH_DISCONT_OPS_OPER","FQ2 2023","FQ2 2023","Currency=USD","Period=FQ","BEST_FPERIOD_OVERRIDE=FQ","FILING_STATUS=MR","SCALING_FORMAT=MLN","Sort=A","Dates=H","DateFormat=P","Fill=—","Direction=H","UseDPDF=Y")</f>
        <v>0</v>
      </c>
      <c r="V18" s="13">
        <f>_xll.BDH("GILD US Equity","CF_NET_CASH_DISCONT_OPS_OPER","FQ3 2023","FQ3 2023","Currency=USD","Period=FQ","BEST_FPERIOD_OVERRIDE=FQ","FILING_STATUS=MR","SCALING_FORMAT=MLN","Sort=A","Dates=H","DateFormat=P","Fill=—","Direction=H","UseDPDF=Y")</f>
        <v>0</v>
      </c>
      <c r="W18" s="13">
        <f>_xll.BDH("GILD US Equity","CF_NET_CASH_DISCONT_OPS_OPER","FQ4 2023","FQ4 2023","Currency=USD","Period=FQ","BEST_FPERIOD_OVERRIDE=FQ","FILING_STATUS=MR","SCALING_FORMAT=MLN","Sort=A","Dates=H","DateFormat=P","Fill=—","Direction=H","UseDPDF=Y")</f>
        <v>0</v>
      </c>
      <c r="X18" s="13">
        <f>_xll.BDH("GILD US Equity","CF_NET_CASH_DISCONT_OPS_OPER","FQ1 2024","FQ1 2024","Currency=USD","Period=FQ","BEST_FPERIOD_OVERRIDE=FQ","FILING_STATUS=MR","SCALING_FORMAT=MLN","Sort=A","Dates=H","DateFormat=P","Fill=—","Direction=H","UseDPDF=Y")</f>
        <v>0</v>
      </c>
      <c r="Y18" s="13">
        <f>_xll.BDH("GILD US Equity","CF_NET_CASH_DISCONT_OPS_OPER","FQ2 2024","FQ2 2024","Currency=USD","Period=FQ","BEST_FPERIOD_OVERRIDE=FQ","FILING_STATUS=MR","SCALING_FORMAT=MLN","Sort=A","Dates=H","DateFormat=P","Fill=—","Direction=H","UseDPDF=Y")</f>
        <v>0</v>
      </c>
      <c r="Z18" s="13">
        <f>_xll.BDH("GILD US Equity","CF_NET_CASH_DISCONT_OPS_OPER","FQ3 2024","FQ3 2024","Currency=USD","Period=FQ","BEST_FPERIOD_OVERRIDE=FQ","FILING_STATUS=MR","SCALING_FORMAT=MLN","Sort=A","Dates=H","DateFormat=P","Fill=—","Direction=H","UseDPDF=Y")</f>
        <v>0</v>
      </c>
      <c r="AA18" s="13">
        <f>_xll.BDH("GILD US Equity","CF_NET_CASH_DISCONT_OPS_OPER","FQ4 2024","FQ4 2024","Currency=USD","Period=FQ","BEST_FPERIOD_OVERRIDE=FQ","FILING_STATUS=MR","SCALING_FORMAT=MLN","Sort=A","Dates=H","DateFormat=P","Fill=—","Direction=H","UseDPDF=Y")</f>
        <v>0</v>
      </c>
    </row>
    <row r="19" spans="1:27" x14ac:dyDescent="0.25">
      <c r="A19" s="6" t="s">
        <v>1313</v>
      </c>
      <c r="B19" s="6" t="s">
        <v>85</v>
      </c>
      <c r="C19" s="19">
        <f>_xll.BDH("GILD US Equity","CF_CASH_FROM_OPER","FQ4 2018","FQ4 2018","Currency=USD","Period=FQ","BEST_FPERIOD_OVERRIDE=FQ","FILING_STATUS=MR","SCALING_FORMAT=MLN","Sort=A","Dates=H","DateFormat=P","Fill=—","Direction=H","UseDPDF=Y")</f>
        <v>2345</v>
      </c>
      <c r="D19" s="19">
        <f>_xll.BDH("GILD US Equity","CF_CASH_FROM_OPER","FQ1 2019","FQ1 2019","Currency=USD","Period=FQ","BEST_FPERIOD_OVERRIDE=FQ","FILING_STATUS=MR","SCALING_FORMAT=MLN","Sort=A","Dates=H","DateFormat=P","Fill=—","Direction=H","UseDPDF=Y")</f>
        <v>1444</v>
      </c>
      <c r="E19" s="19">
        <f>_xll.BDH("GILD US Equity","CF_CASH_FROM_OPER","FQ2 2019","FQ2 2019","Currency=USD","Period=FQ","BEST_FPERIOD_OVERRIDE=FQ","FILING_STATUS=MR","SCALING_FORMAT=MLN","Sort=A","Dates=H","DateFormat=P","Fill=—","Direction=H","UseDPDF=Y")</f>
        <v>2342</v>
      </c>
      <c r="F19" s="19">
        <f>_xll.BDH("GILD US Equity","CF_CASH_FROM_OPER","FQ3 2019","FQ3 2019","Currency=USD","Period=FQ","BEST_FPERIOD_OVERRIDE=FQ","FILING_STATUS=MR","SCALING_FORMAT=MLN","Sort=A","Dates=H","DateFormat=P","Fill=—","Direction=H","UseDPDF=Y")</f>
        <v>2899</v>
      </c>
      <c r="G19" s="19">
        <f>_xll.BDH("GILD US Equity","CF_CASH_FROM_OPER","FQ4 2019","FQ4 2019","Currency=USD","Period=FQ","BEST_FPERIOD_OVERRIDE=FQ","FILING_STATUS=MR","SCALING_FORMAT=MLN","Sort=A","Dates=H","DateFormat=P","Fill=—","Direction=H","UseDPDF=Y")</f>
        <v>2580</v>
      </c>
      <c r="H19" s="19">
        <f>_xll.BDH("GILD US Equity","CF_CASH_FROM_OPER","FQ1 2020","FQ1 2020","Currency=USD","Period=FQ","BEST_FPERIOD_OVERRIDE=FQ","FILING_STATUS=MR","SCALING_FORMAT=MLN","Sort=A","Dates=H","DateFormat=P","Fill=—","Direction=H","UseDPDF=Y")</f>
        <v>1436</v>
      </c>
      <c r="I19" s="19">
        <f>_xll.BDH("GILD US Equity","CF_CASH_FROM_OPER","FQ2 2020","FQ2 2020","Currency=USD","Period=FQ","BEST_FPERIOD_OVERRIDE=FQ","FILING_STATUS=MR","SCALING_FORMAT=MLN","Sort=A","Dates=H","DateFormat=P","Fill=—","Direction=H","UseDPDF=Y")</f>
        <v>2566</v>
      </c>
      <c r="J19" s="19">
        <f>_xll.BDH("GILD US Equity","CF_CASH_FROM_OPER","FQ3 2020","FQ3 2020","Currency=USD","Period=FQ","BEST_FPERIOD_OVERRIDE=FQ","FILING_STATUS=MR","SCALING_FORMAT=MLN","Sort=A","Dates=H","DateFormat=P","Fill=—","Direction=H","UseDPDF=Y")</f>
        <v>2250</v>
      </c>
      <c r="K19" s="19">
        <f>_xll.BDH("GILD US Equity","CF_CASH_FROM_OPER","FQ4 2020","FQ4 2020","Currency=USD","Period=FQ","BEST_FPERIOD_OVERRIDE=FQ","FILING_STATUS=MR","SCALING_FORMAT=MLN","Sort=A","Dates=H","DateFormat=P","Fill=—","Direction=H","UseDPDF=Y")</f>
        <v>1916</v>
      </c>
      <c r="L19" s="19">
        <f>_xll.BDH("GILD US Equity","CF_CASH_FROM_OPER","FQ1 2021","FQ1 2021","Currency=USD","Period=FQ","BEST_FPERIOD_OVERRIDE=FQ","FILING_STATUS=MR","SCALING_FORMAT=MLN","Sort=A","Dates=H","DateFormat=P","Fill=—","Direction=H","UseDPDF=Y")</f>
        <v>2610</v>
      </c>
      <c r="M19" s="19">
        <f>_xll.BDH("GILD US Equity","CF_CASH_FROM_OPER","FQ2 2021","FQ2 2021","Currency=USD","Period=FQ","BEST_FPERIOD_OVERRIDE=FQ","FILING_STATUS=MR","SCALING_FORMAT=MLN","Sort=A","Dates=H","DateFormat=P","Fill=—","Direction=H","UseDPDF=Y")</f>
        <v>2316</v>
      </c>
      <c r="N19" s="19">
        <f>_xll.BDH("GILD US Equity","CF_CASH_FROM_OPER","FQ3 2021","FQ3 2021","Currency=USD","Period=FQ","BEST_FPERIOD_OVERRIDE=FQ","FILING_STATUS=MR","SCALING_FORMAT=MLN","Sort=A","Dates=H","DateFormat=P","Fill=—","Direction=H","UseDPDF=Y")</f>
        <v>3253</v>
      </c>
      <c r="O19" s="19">
        <f>_xll.BDH("GILD US Equity","CF_CASH_FROM_OPER","FQ4 2021","FQ4 2021","Currency=USD","Period=FQ","BEST_FPERIOD_OVERRIDE=FQ","FILING_STATUS=MR","SCALING_FORMAT=MLN","Sort=A","Dates=H","DateFormat=P","Fill=—","Direction=H","UseDPDF=Y")</f>
        <v>3205</v>
      </c>
      <c r="P19" s="19">
        <f>_xll.BDH("GILD US Equity","CF_CASH_FROM_OPER","FQ1 2022","FQ1 2022","Currency=USD","Period=FQ","BEST_FPERIOD_OVERRIDE=FQ","FILING_STATUS=MR","SCALING_FORMAT=MLN","Sort=A","Dates=H","DateFormat=P","Fill=—","Direction=H","UseDPDF=Y")</f>
        <v>1840</v>
      </c>
      <c r="Q19" s="19">
        <f>_xll.BDH("GILD US Equity","CF_CASH_FROM_OPER","FQ2 2022","FQ2 2022","Currency=USD","Period=FQ","BEST_FPERIOD_OVERRIDE=FQ","FILING_STATUS=MR","SCALING_FORMAT=MLN","Sort=A","Dates=H","DateFormat=P","Fill=—","Direction=H","UseDPDF=Y")</f>
        <v>1802</v>
      </c>
      <c r="R19" s="19">
        <f>_xll.BDH("GILD US Equity","CF_CASH_FROM_OPER","FQ3 2022","FQ3 2022","Currency=USD","Period=FQ","BEST_FPERIOD_OVERRIDE=FQ","FILING_STATUS=MR","SCALING_FORMAT=MLN","Sort=A","Dates=H","DateFormat=P","Fill=—","Direction=H","UseDPDF=Y")</f>
        <v>2863</v>
      </c>
      <c r="S19" s="19">
        <f>_xll.BDH("GILD US Equity","CF_CASH_FROM_OPER","FQ4 2022","FQ4 2022","Currency=USD","Period=FQ","BEST_FPERIOD_OVERRIDE=FQ","FILING_STATUS=MR","SCALING_FORMAT=MLN","Sort=A","Dates=H","DateFormat=P","Fill=—","Direction=H","UseDPDF=Y")</f>
        <v>2567</v>
      </c>
      <c r="T19" s="19">
        <f>_xll.BDH("GILD US Equity","CF_CASH_FROM_OPER","FQ1 2023","FQ1 2023","Currency=USD","Period=FQ","BEST_FPERIOD_OVERRIDE=FQ","FILING_STATUS=MR","SCALING_FORMAT=MLN","Sort=A","Dates=H","DateFormat=P","Fill=—","Direction=H","UseDPDF=Y")</f>
        <v>1744</v>
      </c>
      <c r="U19" s="19">
        <f>_xll.BDH("GILD US Equity","CF_CASH_FROM_OPER","FQ2 2023","FQ2 2023","Currency=USD","Period=FQ","BEST_FPERIOD_OVERRIDE=FQ","FILING_STATUS=MR","SCALING_FORMAT=MLN","Sort=A","Dates=H","DateFormat=P","Fill=—","Direction=H","UseDPDF=Y")</f>
        <v>2338</v>
      </c>
      <c r="V19" s="19">
        <f>_xll.BDH("GILD US Equity","CF_CASH_FROM_OPER","FQ3 2023","FQ3 2023","Currency=USD","Period=FQ","BEST_FPERIOD_OVERRIDE=FQ","FILING_STATUS=MR","SCALING_FORMAT=MLN","Sort=A","Dates=H","DateFormat=P","Fill=—","Direction=H","UseDPDF=Y")</f>
        <v>1755</v>
      </c>
      <c r="W19" s="19">
        <f>_xll.BDH("GILD US Equity","CF_CASH_FROM_OPER","FQ4 2023","FQ4 2023","Currency=USD","Period=FQ","BEST_FPERIOD_OVERRIDE=FQ","FILING_STATUS=MR","SCALING_FORMAT=MLN","Sort=A","Dates=H","DateFormat=P","Fill=—","Direction=H","UseDPDF=Y")</f>
        <v>2169</v>
      </c>
      <c r="X19" s="19">
        <f>_xll.BDH("GILD US Equity","CF_CASH_FROM_OPER","FQ1 2024","FQ1 2024","Currency=USD","Period=FQ","BEST_FPERIOD_OVERRIDE=FQ","FILING_STATUS=MR","SCALING_FORMAT=MLN","Sort=A","Dates=H","DateFormat=P","Fill=—","Direction=H","UseDPDF=Y")</f>
        <v>2219</v>
      </c>
      <c r="Y19" s="19">
        <f>_xll.BDH("GILD US Equity","CF_CASH_FROM_OPER","FQ2 2024","FQ2 2024","Currency=USD","Period=FQ","BEST_FPERIOD_OVERRIDE=FQ","FILING_STATUS=MR","SCALING_FORMAT=MLN","Sort=A","Dates=H","DateFormat=P","Fill=—","Direction=H","UseDPDF=Y")</f>
        <v>1325</v>
      </c>
      <c r="Z19" s="19">
        <f>_xll.BDH("GILD US Equity","CF_CASH_FROM_OPER","FQ3 2024","FQ3 2024","Currency=USD","Period=FQ","BEST_FPERIOD_OVERRIDE=FQ","FILING_STATUS=MR","SCALING_FORMAT=MLN","Sort=A","Dates=H","DateFormat=P","Fill=—","Direction=H","UseDPDF=Y")</f>
        <v>4309</v>
      </c>
      <c r="AA19" s="19">
        <f>_xll.BDH("GILD US Equity","CF_CASH_FROM_OPER","FQ4 2024","FQ4 2024","Currency=USD","Period=FQ","BEST_FPERIOD_OVERRIDE=FQ","FILING_STATUS=MR","SCALING_FORMAT=MLN","Sort=A","Dates=H","DateFormat=P","Fill=—","Direction=H","UseDPDF=Y")</f>
        <v>2975</v>
      </c>
    </row>
    <row r="20" spans="1:27" x14ac:dyDescent="0.25">
      <c r="A20" s="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6" t="s">
        <v>1337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x14ac:dyDescent="0.25">
      <c r="A22" s="10" t="s">
        <v>1338</v>
      </c>
      <c r="B22" s="10" t="s">
        <v>1339</v>
      </c>
      <c r="C22" s="13">
        <f>_xll.BDH("GILD US Equity","FIXED_INTANG_ASST_CHANGE","FQ4 2018","FQ4 2018","Currency=USD","Period=FQ","BEST_FPERIOD_OVERRIDE=FQ","FILING_STATUS=MR","SCALING_FORMAT=MLN","Sort=A","Dates=H","DateFormat=P","Fill=—","Direction=H","UseDPDF=Y")</f>
        <v>-248</v>
      </c>
      <c r="D22" s="13">
        <f>_xll.BDH("GILD US Equity","FIXED_INTANG_ASST_CHANGE","FQ1 2019","FQ1 2019","Currency=USD","Period=FQ","BEST_FPERIOD_OVERRIDE=FQ","FILING_STATUS=MR","SCALING_FORMAT=MLN","Sort=A","Dates=H","DateFormat=P","Fill=—","Direction=H","UseDPDF=Y")</f>
        <v>-237</v>
      </c>
      <c r="E22" s="13">
        <f>_xll.BDH("GILD US Equity","FIXED_INTANG_ASST_CHANGE","FQ2 2019","FQ2 2019","Currency=USD","Period=FQ","BEST_FPERIOD_OVERRIDE=FQ","FILING_STATUS=MR","SCALING_FORMAT=MLN","Sort=A","Dates=H","DateFormat=P","Fill=—","Direction=H","UseDPDF=Y")</f>
        <v>-185</v>
      </c>
      <c r="F22" s="13">
        <f>_xll.BDH("GILD US Equity","FIXED_INTANG_ASST_CHANGE","FQ3 2019","FQ3 2019","Currency=USD","Period=FQ","BEST_FPERIOD_OVERRIDE=FQ","FILING_STATUS=MR","SCALING_FORMAT=MLN","Sort=A","Dates=H","DateFormat=P","Fill=—","Direction=H","UseDPDF=Y")</f>
        <v>-200</v>
      </c>
      <c r="G22" s="13">
        <f>_xll.BDH("GILD US Equity","FIXED_INTANG_ASST_CHANGE","FQ4 2019","FQ4 2019","Currency=USD","Period=FQ","BEST_FPERIOD_OVERRIDE=FQ","FILING_STATUS=MR","SCALING_FORMAT=MLN","Sort=A","Dates=H","DateFormat=P","Fill=—","Direction=H","UseDPDF=Y")</f>
        <v>-203</v>
      </c>
      <c r="H22" s="13">
        <f>_xll.BDH("GILD US Equity","FIXED_INTANG_ASST_CHANGE","FQ1 2020","FQ1 2020","Currency=USD","Period=FQ","BEST_FPERIOD_OVERRIDE=FQ","FILING_STATUS=MR","SCALING_FORMAT=MLN","Sort=A","Dates=H","DateFormat=P","Fill=—","Direction=H","UseDPDF=Y")</f>
        <v>-171</v>
      </c>
      <c r="I22" s="13">
        <f>_xll.BDH("GILD US Equity","FIXED_INTANG_ASST_CHANGE","FQ2 2020","FQ2 2020","Currency=USD","Period=FQ","BEST_FPERIOD_OVERRIDE=FQ","FILING_STATUS=MR","SCALING_FORMAT=MLN","Sort=A","Dates=H","DateFormat=P","Fill=—","Direction=H","UseDPDF=Y")</f>
        <v>-143</v>
      </c>
      <c r="J22" s="13">
        <f>_xll.BDH("GILD US Equity","FIXED_INTANG_ASST_CHANGE","FQ3 2020","FQ3 2020","Currency=USD","Period=FQ","BEST_FPERIOD_OVERRIDE=FQ","FILING_STATUS=MR","SCALING_FORMAT=MLN","Sort=A","Dates=H","DateFormat=P","Fill=—","Direction=H","UseDPDF=Y")</f>
        <v>-155</v>
      </c>
      <c r="K22" s="13">
        <f>_xll.BDH("GILD US Equity","FIXED_INTANG_ASST_CHANGE","FQ4 2020","FQ4 2020","Currency=USD","Period=FQ","BEST_FPERIOD_OVERRIDE=FQ","FILING_STATUS=MR","SCALING_FORMAT=MLN","Sort=A","Dates=H","DateFormat=P","Fill=—","Direction=H","UseDPDF=Y")</f>
        <v>-181</v>
      </c>
      <c r="L22" s="13">
        <f>_xll.BDH("GILD US Equity","FIXED_INTANG_ASST_CHANGE","FQ1 2021","FQ1 2021","Currency=USD","Period=FQ","BEST_FPERIOD_OVERRIDE=FQ","FILING_STATUS=MR","SCALING_FORMAT=MLN","Sort=A","Dates=H","DateFormat=P","Fill=—","Direction=H","UseDPDF=Y")</f>
        <v>-165</v>
      </c>
      <c r="M22" s="13">
        <f>_xll.BDH("GILD US Equity","FIXED_INTANG_ASST_CHANGE","FQ2 2021","FQ2 2021","Currency=USD","Period=FQ","BEST_FPERIOD_OVERRIDE=FQ","FILING_STATUS=MR","SCALING_FORMAT=MLN","Sort=A","Dates=H","DateFormat=P","Fill=—","Direction=H","UseDPDF=Y")</f>
        <v>-119</v>
      </c>
      <c r="N22" s="13">
        <f>_xll.BDH("GILD US Equity","FIXED_INTANG_ASST_CHANGE","FQ3 2021","FQ3 2021","Currency=USD","Period=FQ","BEST_FPERIOD_OVERRIDE=FQ","FILING_STATUS=MR","SCALING_FORMAT=MLN","Sort=A","Dates=H","DateFormat=P","Fill=—","Direction=H","UseDPDF=Y")</f>
        <v>-139</v>
      </c>
      <c r="O22" s="13">
        <f>_xll.BDH("GILD US Equity","FIXED_INTANG_ASST_CHANGE","FQ4 2021","FQ4 2021","Currency=USD","Period=FQ","BEST_FPERIOD_OVERRIDE=FQ","FILING_STATUS=MR","SCALING_FORMAT=MLN","Sort=A","Dates=H","DateFormat=P","Fill=—","Direction=H","UseDPDF=Y")</f>
        <v>-156</v>
      </c>
      <c r="P22" s="13">
        <f>_xll.BDH("GILD US Equity","FIXED_INTANG_ASST_CHANGE","FQ1 2022","FQ1 2022","Currency=USD","Period=FQ","BEST_FPERIOD_OVERRIDE=FQ","FILING_STATUS=MR","SCALING_FORMAT=MLN","Sort=A","Dates=H","DateFormat=P","Fill=—","Direction=H","UseDPDF=Y")</f>
        <v>-247</v>
      </c>
      <c r="Q22" s="13">
        <f>_xll.BDH("GILD US Equity","FIXED_INTANG_ASST_CHANGE","FQ2 2022","FQ2 2022","Currency=USD","Period=FQ","BEST_FPERIOD_OVERRIDE=FQ","FILING_STATUS=MR","SCALING_FORMAT=MLN","Sort=A","Dates=H","DateFormat=P","Fill=—","Direction=H","UseDPDF=Y")</f>
        <v>-143</v>
      </c>
      <c r="R22" s="13">
        <f>_xll.BDH("GILD US Equity","FIXED_INTANG_ASST_CHANGE","FQ3 2022","FQ3 2022","Currency=USD","Period=FQ","BEST_FPERIOD_OVERRIDE=FQ","FILING_STATUS=MR","SCALING_FORMAT=MLN","Sort=A","Dates=H","DateFormat=P","Fill=—","Direction=H","UseDPDF=Y")</f>
        <v>-157</v>
      </c>
      <c r="S22" s="13">
        <f>_xll.BDH("GILD US Equity","FIXED_INTANG_ASST_CHANGE","FQ4 2022","FQ4 2022","Currency=USD","Period=FQ","BEST_FPERIOD_OVERRIDE=FQ","FILING_STATUS=MR","SCALING_FORMAT=MLN","Sort=A","Dates=H","DateFormat=P","Fill=—","Direction=H","UseDPDF=Y")</f>
        <v>-181</v>
      </c>
      <c r="T22" s="13">
        <f>_xll.BDH("GILD US Equity","FIXED_INTANG_ASST_CHANGE","FQ1 2023","FQ1 2023","Currency=USD","Period=FQ","BEST_FPERIOD_OVERRIDE=FQ","FILING_STATUS=MR","SCALING_FORMAT=MLN","Sort=A","Dates=H","DateFormat=P","Fill=—","Direction=H","UseDPDF=Y")</f>
        <v>-109</v>
      </c>
      <c r="U22" s="13">
        <f>_xll.BDH("GILD US Equity","FIXED_INTANG_ASST_CHANGE","FQ2 2023","FQ2 2023","Currency=USD","Period=FQ","BEST_FPERIOD_OVERRIDE=FQ","FILING_STATUS=MR","SCALING_FORMAT=MLN","Sort=A","Dates=H","DateFormat=P","Fill=—","Direction=H","UseDPDF=Y")</f>
        <v>-139</v>
      </c>
      <c r="V22" s="13">
        <f>_xll.BDH("GILD US Equity","FIXED_INTANG_ASST_CHANGE","FQ3 2023","FQ3 2023","Currency=USD","Period=FQ","BEST_FPERIOD_OVERRIDE=FQ","FILING_STATUS=MR","SCALING_FORMAT=MLN","Sort=A","Dates=H","DateFormat=P","Fill=—","Direction=H","UseDPDF=Y")</f>
        <v>-122</v>
      </c>
      <c r="W22" s="13">
        <f>_xll.BDH("GILD US Equity","FIXED_INTANG_ASST_CHANGE","FQ4 2023","FQ4 2023","Currency=USD","Period=FQ","BEST_FPERIOD_OVERRIDE=FQ","FILING_STATUS=MR","SCALING_FORMAT=MLN","Sort=A","Dates=H","DateFormat=P","Fill=—","Direction=H","UseDPDF=Y")</f>
        <v>-215</v>
      </c>
      <c r="X22" s="13">
        <f>_xll.BDH("GILD US Equity","FIXED_INTANG_ASST_CHANGE","FQ1 2024","FQ1 2024","Currency=USD","Period=FQ","BEST_FPERIOD_OVERRIDE=FQ","FILING_STATUS=MR","SCALING_FORMAT=MLN","Sort=A","Dates=H","DateFormat=P","Fill=—","Direction=H","UseDPDF=Y")</f>
        <v>-105</v>
      </c>
      <c r="Y22" s="13">
        <f>_xll.BDH("GILD US Equity","FIXED_INTANG_ASST_CHANGE","FQ2 2024","FQ2 2024","Currency=USD","Period=FQ","BEST_FPERIOD_OVERRIDE=FQ","FILING_STATUS=MR","SCALING_FORMAT=MLN","Sort=A","Dates=H","DateFormat=P","Fill=—","Direction=H","UseDPDF=Y")</f>
        <v>-130</v>
      </c>
      <c r="Z22" s="13">
        <f>_xll.BDH("GILD US Equity","FIXED_INTANG_ASST_CHANGE","FQ3 2024","FQ3 2024","Currency=USD","Period=FQ","BEST_FPERIOD_OVERRIDE=FQ","FILING_STATUS=MR","SCALING_FORMAT=MLN","Sort=A","Dates=H","DateFormat=P","Fill=—","Direction=H","UseDPDF=Y")</f>
        <v>-141</v>
      </c>
      <c r="AA22" s="13">
        <f>_xll.BDH("GILD US Equity","FIXED_INTANG_ASST_CHANGE","FQ4 2024","FQ4 2024","Currency=USD","Period=FQ","BEST_FPERIOD_OVERRIDE=FQ","FILING_STATUS=MR","SCALING_FORMAT=MLN","Sort=A","Dates=H","DateFormat=P","Fill=—","Direction=H","UseDPDF=Y")</f>
        <v>-147</v>
      </c>
    </row>
    <row r="23" spans="1:27" x14ac:dyDescent="0.25">
      <c r="A23" s="10" t="s">
        <v>1340</v>
      </c>
      <c r="B23" s="10" t="s">
        <v>1341</v>
      </c>
      <c r="C23" s="13">
        <f>_xll.BDH("GILD US Equity","DISPOSAL_OF_FIXED_INTANG","FQ4 2018","FQ4 2018","Currency=USD","Period=FQ","BEST_FPERIOD_OVERRIDE=FQ","FILING_STATUS=MR","SCALING_FORMAT=MLN","Sort=A","Dates=H","DateFormat=P","Fill=—","Direction=H","UseDPDF=Y")</f>
        <v>0</v>
      </c>
      <c r="D23" s="13">
        <f>_xll.BDH("GILD US Equity","DISPOSAL_OF_FIXED_INTANG","FQ1 2019","FQ1 2019","Currency=USD","Period=FQ","BEST_FPERIOD_OVERRIDE=FQ","FILING_STATUS=MR","SCALING_FORMAT=MLN","Sort=A","Dates=H","DateFormat=P","Fill=—","Direction=H","UseDPDF=Y")</f>
        <v>0</v>
      </c>
      <c r="E23" s="13">
        <f>_xll.BDH("GILD US Equity","DISPOSAL_OF_FIXED_INTANG","FQ2 2019","FQ2 2019","Currency=USD","Period=FQ","BEST_FPERIOD_OVERRIDE=FQ","FILING_STATUS=MR","SCALING_FORMAT=MLN","Sort=A","Dates=H","DateFormat=P","Fill=—","Direction=H","UseDPDF=Y")</f>
        <v>0</v>
      </c>
      <c r="F23" s="13">
        <f>_xll.BDH("GILD US Equity","DISPOSAL_OF_FIXED_INTANG","FQ3 2019","FQ3 2019","Currency=USD","Period=FQ","BEST_FPERIOD_OVERRIDE=FQ","FILING_STATUS=MR","SCALING_FORMAT=MLN","Sort=A","Dates=H","DateFormat=P","Fill=—","Direction=H","UseDPDF=Y")</f>
        <v>0</v>
      </c>
      <c r="G23" s="13">
        <f>_xll.BDH("GILD US Equity","DISPOSAL_OF_FIXED_INTANG","FQ4 2019","FQ4 2019","Currency=USD","Period=FQ","BEST_FPERIOD_OVERRIDE=FQ","FILING_STATUS=MR","SCALING_FORMAT=MLN","Sort=A","Dates=H","DateFormat=P","Fill=—","Direction=H","UseDPDF=Y")</f>
        <v>0</v>
      </c>
      <c r="H23" s="13">
        <f>_xll.BDH("GILD US Equity","DISPOSAL_OF_FIXED_INTANG","FQ1 2020","FQ1 2020","Currency=USD","Period=FQ","BEST_FPERIOD_OVERRIDE=FQ","FILING_STATUS=MR","SCALING_FORMAT=MLN","Sort=A","Dates=H","DateFormat=P","Fill=—","Direction=H","UseDPDF=Y")</f>
        <v>0</v>
      </c>
      <c r="I23" s="13">
        <f>_xll.BDH("GILD US Equity","DISPOSAL_OF_FIXED_INTANG","FQ2 2020","FQ2 2020","Currency=USD","Period=FQ","BEST_FPERIOD_OVERRIDE=FQ","FILING_STATUS=MR","SCALING_FORMAT=MLN","Sort=A","Dates=H","DateFormat=P","Fill=—","Direction=H","UseDPDF=Y")</f>
        <v>0</v>
      </c>
      <c r="J23" s="13">
        <f>_xll.BDH("GILD US Equity","DISPOSAL_OF_FIXED_INTANG","FQ3 2020","FQ3 2020","Currency=USD","Period=FQ","BEST_FPERIOD_OVERRIDE=FQ","FILING_STATUS=MR","SCALING_FORMAT=MLN","Sort=A","Dates=H","DateFormat=P","Fill=—","Direction=H","UseDPDF=Y")</f>
        <v>0</v>
      </c>
      <c r="K23" s="13">
        <f>_xll.BDH("GILD US Equity","DISPOSAL_OF_FIXED_INTANG","FQ4 2020","FQ4 2020","Currency=USD","Period=FQ","BEST_FPERIOD_OVERRIDE=FQ","FILING_STATUS=MR","SCALING_FORMAT=MLN","Sort=A","Dates=H","DateFormat=P","Fill=—","Direction=H","UseDPDF=Y")</f>
        <v>0</v>
      </c>
      <c r="L23" s="13">
        <f>_xll.BDH("GILD US Equity","DISPOSAL_OF_FIXED_INTANG","FQ1 2021","FQ1 2021","Currency=USD","Period=FQ","BEST_FPERIOD_OVERRIDE=FQ","FILING_STATUS=MR","SCALING_FORMAT=MLN","Sort=A","Dates=H","DateFormat=P","Fill=—","Direction=H","UseDPDF=Y")</f>
        <v>0</v>
      </c>
      <c r="M23" s="13">
        <f>_xll.BDH("GILD US Equity","DISPOSAL_OF_FIXED_INTANG","FQ2 2021","FQ2 2021","Currency=USD","Period=FQ","BEST_FPERIOD_OVERRIDE=FQ","FILING_STATUS=MR","SCALING_FORMAT=MLN","Sort=A","Dates=H","DateFormat=P","Fill=—","Direction=H","UseDPDF=Y")</f>
        <v>0</v>
      </c>
      <c r="N23" s="13">
        <f>_xll.BDH("GILD US Equity","DISPOSAL_OF_FIXED_INTANG","FQ3 2021","FQ3 2021","Currency=USD","Period=FQ","BEST_FPERIOD_OVERRIDE=FQ","FILING_STATUS=MR","SCALING_FORMAT=MLN","Sort=A","Dates=H","DateFormat=P","Fill=—","Direction=H","UseDPDF=Y")</f>
        <v>0</v>
      </c>
      <c r="O23" s="13">
        <f>_xll.BDH("GILD US Equity","DISPOSAL_OF_FIXED_INTANG","FQ4 2021","FQ4 2021","Currency=USD","Period=FQ","BEST_FPERIOD_OVERRIDE=FQ","FILING_STATUS=MR","SCALING_FORMAT=MLN","Sort=A","Dates=H","DateFormat=P","Fill=—","Direction=H","UseDPDF=Y")</f>
        <v>0</v>
      </c>
      <c r="P23" s="13">
        <f>_xll.BDH("GILD US Equity","DISPOSAL_OF_FIXED_INTANG","FQ1 2022","FQ1 2022","Currency=USD","Period=FQ","BEST_FPERIOD_OVERRIDE=FQ","FILING_STATUS=MR","SCALING_FORMAT=MLN","Sort=A","Dates=H","DateFormat=P","Fill=—","Direction=H","UseDPDF=Y")</f>
        <v>0</v>
      </c>
      <c r="Q23" s="13">
        <f>_xll.BDH("GILD US Equity","DISPOSAL_OF_FIXED_INTANG","FQ2 2022","FQ2 2022","Currency=USD","Period=FQ","BEST_FPERIOD_OVERRIDE=FQ","FILING_STATUS=MR","SCALING_FORMAT=MLN","Sort=A","Dates=H","DateFormat=P","Fill=—","Direction=H","UseDPDF=Y")</f>
        <v>0</v>
      </c>
      <c r="R23" s="13">
        <f>_xll.BDH("GILD US Equity","DISPOSAL_OF_FIXED_INTANG","FQ3 2022","FQ3 2022","Currency=USD","Period=FQ","BEST_FPERIOD_OVERRIDE=FQ","FILING_STATUS=MR","SCALING_FORMAT=MLN","Sort=A","Dates=H","DateFormat=P","Fill=—","Direction=H","UseDPDF=Y")</f>
        <v>0</v>
      </c>
      <c r="S23" s="13">
        <f>_xll.BDH("GILD US Equity","DISPOSAL_OF_FIXED_INTANG","FQ4 2022","FQ4 2022","Currency=USD","Period=FQ","BEST_FPERIOD_OVERRIDE=FQ","FILING_STATUS=MR","SCALING_FORMAT=MLN","Sort=A","Dates=H","DateFormat=P","Fill=—","Direction=H","UseDPDF=Y")</f>
        <v>0</v>
      </c>
      <c r="T23" s="13">
        <f>_xll.BDH("GILD US Equity","DISPOSAL_OF_FIXED_INTANG","FQ1 2023","FQ1 2023","Currency=USD","Period=FQ","BEST_FPERIOD_OVERRIDE=FQ","FILING_STATUS=MR","SCALING_FORMAT=MLN","Sort=A","Dates=H","DateFormat=P","Fill=—","Direction=H","UseDPDF=Y")</f>
        <v>0</v>
      </c>
      <c r="U23" s="13">
        <f>_xll.BDH("GILD US Equity","DISPOSAL_OF_FIXED_INTANG","FQ2 2023","FQ2 2023","Currency=USD","Period=FQ","BEST_FPERIOD_OVERRIDE=FQ","FILING_STATUS=MR","SCALING_FORMAT=MLN","Sort=A","Dates=H","DateFormat=P","Fill=—","Direction=H","UseDPDF=Y")</f>
        <v>0</v>
      </c>
      <c r="V23" s="13">
        <f>_xll.BDH("GILD US Equity","DISPOSAL_OF_FIXED_INTANG","FQ3 2023","FQ3 2023","Currency=USD","Period=FQ","BEST_FPERIOD_OVERRIDE=FQ","FILING_STATUS=MR","SCALING_FORMAT=MLN","Sort=A","Dates=H","DateFormat=P","Fill=—","Direction=H","UseDPDF=Y")</f>
        <v>0</v>
      </c>
      <c r="W23" s="13">
        <f>_xll.BDH("GILD US Equity","DISPOSAL_OF_FIXED_INTANG","FQ4 2023","FQ4 2023","Currency=USD","Period=FQ","BEST_FPERIOD_OVERRIDE=FQ","FILING_STATUS=MR","SCALING_FORMAT=MLN","Sort=A","Dates=H","DateFormat=P","Fill=—","Direction=H","UseDPDF=Y")</f>
        <v>0</v>
      </c>
      <c r="X23" s="13">
        <f>_xll.BDH("GILD US Equity","DISPOSAL_OF_FIXED_INTANG","FQ1 2024","FQ1 2024","Currency=USD","Period=FQ","BEST_FPERIOD_OVERRIDE=FQ","FILING_STATUS=MR","SCALING_FORMAT=MLN","Sort=A","Dates=H","DateFormat=P","Fill=—","Direction=H","UseDPDF=Y")</f>
        <v>0</v>
      </c>
      <c r="Y23" s="13">
        <f>_xll.BDH("GILD US Equity","DISPOSAL_OF_FIXED_INTANG","FQ2 2024","FQ2 2024","Currency=USD","Period=FQ","BEST_FPERIOD_OVERRIDE=FQ","FILING_STATUS=MR","SCALING_FORMAT=MLN","Sort=A","Dates=H","DateFormat=P","Fill=—","Direction=H","UseDPDF=Y")</f>
        <v>0</v>
      </c>
      <c r="Z23" s="13">
        <f>_xll.BDH("GILD US Equity","DISPOSAL_OF_FIXED_INTANG","FQ3 2024","FQ3 2024","Currency=USD","Period=FQ","BEST_FPERIOD_OVERRIDE=FQ","FILING_STATUS=MR","SCALING_FORMAT=MLN","Sort=A","Dates=H","DateFormat=P","Fill=—","Direction=H","UseDPDF=Y")</f>
        <v>0</v>
      </c>
      <c r="AA23" s="13">
        <f>_xll.BDH("GILD US Equity","DISPOSAL_OF_FIXED_INTANG","FQ4 2024","FQ4 2024","Currency=USD","Period=FQ","BEST_FPERIOD_OVERRIDE=FQ","FILING_STATUS=MR","SCALING_FORMAT=MLN","Sort=A","Dates=H","DateFormat=P","Fill=—","Direction=H","UseDPDF=Y")</f>
        <v>0</v>
      </c>
    </row>
    <row r="24" spans="1:27" x14ac:dyDescent="0.25">
      <c r="A24" s="11" t="s">
        <v>1342</v>
      </c>
      <c r="B24" s="11" t="s">
        <v>1343</v>
      </c>
      <c r="C24" s="25">
        <f>_xll.BDH("GILD US Equity","CF_DISPOSAL_OF_FIXED_PROD_ASSETS","FQ4 2018","FQ4 2018","Currency=USD","Period=FQ","BEST_FPERIOD_OVERRIDE=FQ","FILING_STATUS=MR","SCALING_FORMAT=MLN","Sort=A","Dates=H","DateFormat=P","Fill=—","Direction=H","UseDPDF=Y")</f>
        <v>0</v>
      </c>
      <c r="D24" s="25">
        <f>_xll.BDH("GILD US Equity","CF_DISPOSAL_OF_FIXED_PROD_ASSETS","FQ1 2019","FQ1 2019","Currency=USD","Period=FQ","BEST_FPERIOD_OVERRIDE=FQ","FILING_STATUS=MR","SCALING_FORMAT=MLN","Sort=A","Dates=H","DateFormat=P","Fill=—","Direction=H","UseDPDF=Y")</f>
        <v>0</v>
      </c>
      <c r="E24" s="25">
        <f>_xll.BDH("GILD US Equity","CF_DISPOSAL_OF_FIXED_PROD_ASSETS","FQ2 2019","FQ2 2019","Currency=USD","Period=FQ","BEST_FPERIOD_OVERRIDE=FQ","FILING_STATUS=MR","SCALING_FORMAT=MLN","Sort=A","Dates=H","DateFormat=P","Fill=—","Direction=H","UseDPDF=Y")</f>
        <v>0</v>
      </c>
      <c r="F24" s="25">
        <f>_xll.BDH("GILD US Equity","CF_DISPOSAL_OF_FIXED_PROD_ASSETS","FQ3 2019","FQ3 2019","Currency=USD","Period=FQ","BEST_FPERIOD_OVERRIDE=FQ","FILING_STATUS=MR","SCALING_FORMAT=MLN","Sort=A","Dates=H","DateFormat=P","Fill=—","Direction=H","UseDPDF=Y")</f>
        <v>0</v>
      </c>
      <c r="G24" s="25">
        <f>_xll.BDH("GILD US Equity","CF_DISPOSAL_OF_FIXED_PROD_ASSETS","FQ4 2019","FQ4 2019","Currency=USD","Period=FQ","BEST_FPERIOD_OVERRIDE=FQ","FILING_STATUS=MR","SCALING_FORMAT=MLN","Sort=A","Dates=H","DateFormat=P","Fill=—","Direction=H","UseDPDF=Y")</f>
        <v>0</v>
      </c>
      <c r="H24" s="25">
        <f>_xll.BDH("GILD US Equity","CF_DISPOSAL_OF_FIXED_PROD_ASSETS","FQ1 2020","FQ1 2020","Currency=USD","Period=FQ","BEST_FPERIOD_OVERRIDE=FQ","FILING_STATUS=MR","SCALING_FORMAT=MLN","Sort=A","Dates=H","DateFormat=P","Fill=—","Direction=H","UseDPDF=Y")</f>
        <v>0</v>
      </c>
      <c r="I24" s="25">
        <f>_xll.BDH("GILD US Equity","CF_DISPOSAL_OF_FIXED_PROD_ASSETS","FQ2 2020","FQ2 2020","Currency=USD","Period=FQ","BEST_FPERIOD_OVERRIDE=FQ","FILING_STATUS=MR","SCALING_FORMAT=MLN","Sort=A","Dates=H","DateFormat=P","Fill=—","Direction=H","UseDPDF=Y")</f>
        <v>0</v>
      </c>
      <c r="J24" s="25">
        <f>_xll.BDH("GILD US Equity","CF_DISPOSAL_OF_FIXED_PROD_ASSETS","FQ3 2020","FQ3 2020","Currency=USD","Period=FQ","BEST_FPERIOD_OVERRIDE=FQ","FILING_STATUS=MR","SCALING_FORMAT=MLN","Sort=A","Dates=H","DateFormat=P","Fill=—","Direction=H","UseDPDF=Y")</f>
        <v>0</v>
      </c>
      <c r="K24" s="25">
        <f>_xll.BDH("GILD US Equity","CF_DISPOSAL_OF_FIXED_PROD_ASSETS","FQ4 2020","FQ4 2020","Currency=USD","Period=FQ","BEST_FPERIOD_OVERRIDE=FQ","FILING_STATUS=MR","SCALING_FORMAT=MLN","Sort=A","Dates=H","DateFormat=P","Fill=—","Direction=H","UseDPDF=Y")</f>
        <v>0</v>
      </c>
      <c r="L24" s="25">
        <f>_xll.BDH("GILD US Equity","CF_DISPOSAL_OF_FIXED_PROD_ASSETS","FQ1 2021","FQ1 2021","Currency=USD","Period=FQ","BEST_FPERIOD_OVERRIDE=FQ","FILING_STATUS=MR","SCALING_FORMAT=MLN","Sort=A","Dates=H","DateFormat=P","Fill=—","Direction=H","UseDPDF=Y")</f>
        <v>0</v>
      </c>
      <c r="M24" s="25">
        <f>_xll.BDH("GILD US Equity","CF_DISPOSAL_OF_FIXED_PROD_ASSETS","FQ2 2021","FQ2 2021","Currency=USD","Period=FQ","BEST_FPERIOD_OVERRIDE=FQ","FILING_STATUS=MR","SCALING_FORMAT=MLN","Sort=A","Dates=H","DateFormat=P","Fill=—","Direction=H","UseDPDF=Y")</f>
        <v>0</v>
      </c>
      <c r="N24" s="25">
        <f>_xll.BDH("GILD US Equity","CF_DISPOSAL_OF_FIXED_PROD_ASSETS","FQ3 2021","FQ3 2021","Currency=USD","Period=FQ","BEST_FPERIOD_OVERRIDE=FQ","FILING_STATUS=MR","SCALING_FORMAT=MLN","Sort=A","Dates=H","DateFormat=P","Fill=—","Direction=H","UseDPDF=Y")</f>
        <v>0</v>
      </c>
      <c r="O24" s="25">
        <f>_xll.BDH("GILD US Equity","CF_DISPOSAL_OF_FIXED_PROD_ASSETS","FQ4 2021","FQ4 2021","Currency=USD","Period=FQ","BEST_FPERIOD_OVERRIDE=FQ","FILING_STATUS=MR","SCALING_FORMAT=MLN","Sort=A","Dates=H","DateFormat=P","Fill=—","Direction=H","UseDPDF=Y")</f>
        <v>0</v>
      </c>
      <c r="P24" s="25">
        <f>_xll.BDH("GILD US Equity","CF_DISPOSAL_OF_FIXED_PROD_ASSETS","FQ1 2022","FQ1 2022","Currency=USD","Period=FQ","BEST_FPERIOD_OVERRIDE=FQ","FILING_STATUS=MR","SCALING_FORMAT=MLN","Sort=A","Dates=H","DateFormat=P","Fill=—","Direction=H","UseDPDF=Y")</f>
        <v>0</v>
      </c>
      <c r="Q24" s="25">
        <f>_xll.BDH("GILD US Equity","CF_DISPOSAL_OF_FIXED_PROD_ASSETS","FQ2 2022","FQ2 2022","Currency=USD","Period=FQ","BEST_FPERIOD_OVERRIDE=FQ","FILING_STATUS=MR","SCALING_FORMAT=MLN","Sort=A","Dates=H","DateFormat=P","Fill=—","Direction=H","UseDPDF=Y")</f>
        <v>0</v>
      </c>
      <c r="R24" s="25">
        <f>_xll.BDH("GILD US Equity","CF_DISPOSAL_OF_FIXED_PROD_ASSETS","FQ3 2022","FQ3 2022","Currency=USD","Period=FQ","BEST_FPERIOD_OVERRIDE=FQ","FILING_STATUS=MR","SCALING_FORMAT=MLN","Sort=A","Dates=H","DateFormat=P","Fill=—","Direction=H","UseDPDF=Y")</f>
        <v>0</v>
      </c>
      <c r="S24" s="25">
        <f>_xll.BDH("GILD US Equity","CF_DISPOSAL_OF_FIXED_PROD_ASSETS","FQ4 2022","FQ4 2022","Currency=USD","Period=FQ","BEST_FPERIOD_OVERRIDE=FQ","FILING_STATUS=MR","SCALING_FORMAT=MLN","Sort=A","Dates=H","DateFormat=P","Fill=—","Direction=H","UseDPDF=Y")</f>
        <v>0</v>
      </c>
      <c r="T24" s="25">
        <f>_xll.BDH("GILD US Equity","CF_DISPOSAL_OF_FIXED_PROD_ASSETS","FQ1 2023","FQ1 2023","Currency=USD","Period=FQ","BEST_FPERIOD_OVERRIDE=FQ","FILING_STATUS=MR","SCALING_FORMAT=MLN","Sort=A","Dates=H","DateFormat=P","Fill=—","Direction=H","UseDPDF=Y")</f>
        <v>0</v>
      </c>
      <c r="U24" s="25">
        <f>_xll.BDH("GILD US Equity","CF_DISPOSAL_OF_FIXED_PROD_ASSETS","FQ2 2023","FQ2 2023","Currency=USD","Period=FQ","BEST_FPERIOD_OVERRIDE=FQ","FILING_STATUS=MR","SCALING_FORMAT=MLN","Sort=A","Dates=H","DateFormat=P","Fill=—","Direction=H","UseDPDF=Y")</f>
        <v>0</v>
      </c>
      <c r="V24" s="25">
        <f>_xll.BDH("GILD US Equity","CF_DISPOSAL_OF_FIXED_PROD_ASSETS","FQ3 2023","FQ3 2023","Currency=USD","Period=FQ","BEST_FPERIOD_OVERRIDE=FQ","FILING_STATUS=MR","SCALING_FORMAT=MLN","Sort=A","Dates=H","DateFormat=P","Fill=—","Direction=H","UseDPDF=Y")</f>
        <v>0</v>
      </c>
      <c r="W24" s="25">
        <f>_xll.BDH("GILD US Equity","CF_DISPOSAL_OF_FIXED_PROD_ASSETS","FQ4 2023","FQ4 2023","Currency=USD","Period=FQ","BEST_FPERIOD_OVERRIDE=FQ","FILING_STATUS=MR","SCALING_FORMAT=MLN","Sort=A","Dates=H","DateFormat=P","Fill=—","Direction=H","UseDPDF=Y")</f>
        <v>0</v>
      </c>
      <c r="X24" s="25">
        <f>_xll.BDH("GILD US Equity","CF_DISPOSAL_OF_FIXED_PROD_ASSETS","FQ1 2024","FQ1 2024","Currency=USD","Period=FQ","BEST_FPERIOD_OVERRIDE=FQ","FILING_STATUS=MR","SCALING_FORMAT=MLN","Sort=A","Dates=H","DateFormat=P","Fill=—","Direction=H","UseDPDF=Y")</f>
        <v>0</v>
      </c>
      <c r="Y24" s="25">
        <f>_xll.BDH("GILD US Equity","CF_DISPOSAL_OF_FIXED_PROD_ASSETS","FQ2 2024","FQ2 2024","Currency=USD","Period=FQ","BEST_FPERIOD_OVERRIDE=FQ","FILING_STATUS=MR","SCALING_FORMAT=MLN","Sort=A","Dates=H","DateFormat=P","Fill=—","Direction=H","UseDPDF=Y")</f>
        <v>0</v>
      </c>
      <c r="Z24" s="25">
        <f>_xll.BDH("GILD US Equity","CF_DISPOSAL_OF_FIXED_PROD_ASSETS","FQ3 2024","FQ3 2024","Currency=USD","Period=FQ","BEST_FPERIOD_OVERRIDE=FQ","FILING_STATUS=MR","SCALING_FORMAT=MLN","Sort=A","Dates=H","DateFormat=P","Fill=—","Direction=H","UseDPDF=Y")</f>
        <v>0</v>
      </c>
      <c r="AA24" s="25">
        <f>_xll.BDH("GILD US Equity","CF_DISPOSAL_OF_FIXED_PROD_ASSETS","FQ4 2024","FQ4 2024","Currency=USD","Period=FQ","BEST_FPERIOD_OVERRIDE=FQ","FILING_STATUS=MR","SCALING_FORMAT=MLN","Sort=A","Dates=H","DateFormat=P","Fill=—","Direction=H","UseDPDF=Y")</f>
        <v>0</v>
      </c>
    </row>
    <row r="25" spans="1:27" x14ac:dyDescent="0.25">
      <c r="A25" s="11" t="s">
        <v>1344</v>
      </c>
      <c r="B25" s="11" t="s">
        <v>1345</v>
      </c>
      <c r="C25" s="25">
        <f>_xll.BDH("GILD US Equity","CF_DISPOSAL_OF_INTANGIBLE_ASSETS","FQ4 2018","FQ4 2018","Currency=USD","Period=FQ","BEST_FPERIOD_OVERRIDE=FQ","FILING_STATUS=MR","SCALING_FORMAT=MLN","Sort=A","Dates=H","DateFormat=P","Fill=—","Direction=H","UseDPDF=Y")</f>
        <v>0</v>
      </c>
      <c r="D25" s="25">
        <f>_xll.BDH("GILD US Equity","CF_DISPOSAL_OF_INTANGIBLE_ASSETS","FQ1 2019","FQ1 2019","Currency=USD","Period=FQ","BEST_FPERIOD_OVERRIDE=FQ","FILING_STATUS=MR","SCALING_FORMAT=MLN","Sort=A","Dates=H","DateFormat=P","Fill=—","Direction=H","UseDPDF=Y")</f>
        <v>0</v>
      </c>
      <c r="E25" s="25">
        <f>_xll.BDH("GILD US Equity","CF_DISPOSAL_OF_INTANGIBLE_ASSETS","FQ2 2019","FQ2 2019","Currency=USD","Period=FQ","BEST_FPERIOD_OVERRIDE=FQ","FILING_STATUS=MR","SCALING_FORMAT=MLN","Sort=A","Dates=H","DateFormat=P","Fill=—","Direction=H","UseDPDF=Y")</f>
        <v>0</v>
      </c>
      <c r="F25" s="25">
        <f>_xll.BDH("GILD US Equity","CF_DISPOSAL_OF_INTANGIBLE_ASSETS","FQ3 2019","FQ3 2019","Currency=USD","Period=FQ","BEST_FPERIOD_OVERRIDE=FQ","FILING_STATUS=MR","SCALING_FORMAT=MLN","Sort=A","Dates=H","DateFormat=P","Fill=—","Direction=H","UseDPDF=Y")</f>
        <v>0</v>
      </c>
      <c r="G25" s="25">
        <f>_xll.BDH("GILD US Equity","CF_DISPOSAL_OF_INTANGIBLE_ASSETS","FQ4 2019","FQ4 2019","Currency=USD","Period=FQ","BEST_FPERIOD_OVERRIDE=FQ","FILING_STATUS=MR","SCALING_FORMAT=MLN","Sort=A","Dates=H","DateFormat=P","Fill=—","Direction=H","UseDPDF=Y")</f>
        <v>0</v>
      </c>
      <c r="H25" s="25">
        <f>_xll.BDH("GILD US Equity","CF_DISPOSAL_OF_INTANGIBLE_ASSETS","FQ1 2020","FQ1 2020","Currency=USD","Period=FQ","BEST_FPERIOD_OVERRIDE=FQ","FILING_STATUS=MR","SCALING_FORMAT=MLN","Sort=A","Dates=H","DateFormat=P","Fill=—","Direction=H","UseDPDF=Y")</f>
        <v>0</v>
      </c>
      <c r="I25" s="25">
        <f>_xll.BDH("GILD US Equity","CF_DISPOSAL_OF_INTANGIBLE_ASSETS","FQ2 2020","FQ2 2020","Currency=USD","Period=FQ","BEST_FPERIOD_OVERRIDE=FQ","FILING_STATUS=MR","SCALING_FORMAT=MLN","Sort=A","Dates=H","DateFormat=P","Fill=—","Direction=H","UseDPDF=Y")</f>
        <v>0</v>
      </c>
      <c r="J25" s="25">
        <f>_xll.BDH("GILD US Equity","CF_DISPOSAL_OF_INTANGIBLE_ASSETS","FQ3 2020","FQ3 2020","Currency=USD","Period=FQ","BEST_FPERIOD_OVERRIDE=FQ","FILING_STATUS=MR","SCALING_FORMAT=MLN","Sort=A","Dates=H","DateFormat=P","Fill=—","Direction=H","UseDPDF=Y")</f>
        <v>0</v>
      </c>
      <c r="K25" s="25">
        <f>_xll.BDH("GILD US Equity","CF_DISPOSAL_OF_INTANGIBLE_ASSETS","FQ4 2020","FQ4 2020","Currency=USD","Period=FQ","BEST_FPERIOD_OVERRIDE=FQ","FILING_STATUS=MR","SCALING_FORMAT=MLN","Sort=A","Dates=H","DateFormat=P","Fill=—","Direction=H","UseDPDF=Y")</f>
        <v>0</v>
      </c>
      <c r="L25" s="25">
        <f>_xll.BDH("GILD US Equity","CF_DISPOSAL_OF_INTANGIBLE_ASSETS","FQ1 2021","FQ1 2021","Currency=USD","Period=FQ","BEST_FPERIOD_OVERRIDE=FQ","FILING_STATUS=MR","SCALING_FORMAT=MLN","Sort=A","Dates=H","DateFormat=P","Fill=—","Direction=H","UseDPDF=Y")</f>
        <v>0</v>
      </c>
      <c r="M25" s="25">
        <f>_xll.BDH("GILD US Equity","CF_DISPOSAL_OF_INTANGIBLE_ASSETS","FQ2 2021","FQ2 2021","Currency=USD","Period=FQ","BEST_FPERIOD_OVERRIDE=FQ","FILING_STATUS=MR","SCALING_FORMAT=MLN","Sort=A","Dates=H","DateFormat=P","Fill=—","Direction=H","UseDPDF=Y")</f>
        <v>0</v>
      </c>
      <c r="N25" s="25">
        <f>_xll.BDH("GILD US Equity","CF_DISPOSAL_OF_INTANGIBLE_ASSETS","FQ3 2021","FQ3 2021","Currency=USD","Period=FQ","BEST_FPERIOD_OVERRIDE=FQ","FILING_STATUS=MR","SCALING_FORMAT=MLN","Sort=A","Dates=H","DateFormat=P","Fill=—","Direction=H","UseDPDF=Y")</f>
        <v>0</v>
      </c>
      <c r="O25" s="25">
        <f>_xll.BDH("GILD US Equity","CF_DISPOSAL_OF_INTANGIBLE_ASSETS","FQ4 2021","FQ4 2021","Currency=USD","Period=FQ","BEST_FPERIOD_OVERRIDE=FQ","FILING_STATUS=MR","SCALING_FORMAT=MLN","Sort=A","Dates=H","DateFormat=P","Fill=—","Direction=H","UseDPDF=Y")</f>
        <v>0</v>
      </c>
      <c r="P25" s="25">
        <f>_xll.BDH("GILD US Equity","CF_DISPOSAL_OF_INTANGIBLE_ASSETS","FQ1 2022","FQ1 2022","Currency=USD","Period=FQ","BEST_FPERIOD_OVERRIDE=FQ","FILING_STATUS=MR","SCALING_FORMAT=MLN","Sort=A","Dates=H","DateFormat=P","Fill=—","Direction=H","UseDPDF=Y")</f>
        <v>0</v>
      </c>
      <c r="Q25" s="25">
        <f>_xll.BDH("GILD US Equity","CF_DISPOSAL_OF_INTANGIBLE_ASSETS","FQ2 2022","FQ2 2022","Currency=USD","Period=FQ","BEST_FPERIOD_OVERRIDE=FQ","FILING_STATUS=MR","SCALING_FORMAT=MLN","Sort=A","Dates=H","DateFormat=P","Fill=—","Direction=H","UseDPDF=Y")</f>
        <v>0</v>
      </c>
      <c r="R25" s="25">
        <f>_xll.BDH("GILD US Equity","CF_DISPOSAL_OF_INTANGIBLE_ASSETS","FQ3 2022","FQ3 2022","Currency=USD","Period=FQ","BEST_FPERIOD_OVERRIDE=FQ","FILING_STATUS=MR","SCALING_FORMAT=MLN","Sort=A","Dates=H","DateFormat=P","Fill=—","Direction=H","UseDPDF=Y")</f>
        <v>0</v>
      </c>
      <c r="S25" s="25">
        <f>_xll.BDH("GILD US Equity","CF_DISPOSAL_OF_INTANGIBLE_ASSETS","FQ4 2022","FQ4 2022","Currency=USD","Period=FQ","BEST_FPERIOD_OVERRIDE=FQ","FILING_STATUS=MR","SCALING_FORMAT=MLN","Sort=A","Dates=H","DateFormat=P","Fill=—","Direction=H","UseDPDF=Y")</f>
        <v>0</v>
      </c>
      <c r="T25" s="25">
        <f>_xll.BDH("GILD US Equity","CF_DISPOSAL_OF_INTANGIBLE_ASSETS","FQ1 2023","FQ1 2023","Currency=USD","Period=FQ","BEST_FPERIOD_OVERRIDE=FQ","FILING_STATUS=MR","SCALING_FORMAT=MLN","Sort=A","Dates=H","DateFormat=P","Fill=—","Direction=H","UseDPDF=Y")</f>
        <v>0</v>
      </c>
      <c r="U25" s="25">
        <f>_xll.BDH("GILD US Equity","CF_DISPOSAL_OF_INTANGIBLE_ASSETS","FQ2 2023","FQ2 2023","Currency=USD","Period=FQ","BEST_FPERIOD_OVERRIDE=FQ","FILING_STATUS=MR","SCALING_FORMAT=MLN","Sort=A","Dates=H","DateFormat=P","Fill=—","Direction=H","UseDPDF=Y")</f>
        <v>0</v>
      </c>
      <c r="V25" s="25">
        <f>_xll.BDH("GILD US Equity","CF_DISPOSAL_OF_INTANGIBLE_ASSETS","FQ3 2023","FQ3 2023","Currency=USD","Period=FQ","BEST_FPERIOD_OVERRIDE=FQ","FILING_STATUS=MR","SCALING_FORMAT=MLN","Sort=A","Dates=H","DateFormat=P","Fill=—","Direction=H","UseDPDF=Y")</f>
        <v>0</v>
      </c>
      <c r="W25" s="25">
        <f>_xll.BDH("GILD US Equity","CF_DISPOSAL_OF_INTANGIBLE_ASSETS","FQ4 2023","FQ4 2023","Currency=USD","Period=FQ","BEST_FPERIOD_OVERRIDE=FQ","FILING_STATUS=MR","SCALING_FORMAT=MLN","Sort=A","Dates=H","DateFormat=P","Fill=—","Direction=H","UseDPDF=Y")</f>
        <v>0</v>
      </c>
      <c r="X25" s="25">
        <f>_xll.BDH("GILD US Equity","CF_DISPOSAL_OF_INTANGIBLE_ASSETS","FQ1 2024","FQ1 2024","Currency=USD","Period=FQ","BEST_FPERIOD_OVERRIDE=FQ","FILING_STATUS=MR","SCALING_FORMAT=MLN","Sort=A","Dates=H","DateFormat=P","Fill=—","Direction=H","UseDPDF=Y")</f>
        <v>0</v>
      </c>
      <c r="Y25" s="25">
        <f>_xll.BDH("GILD US Equity","CF_DISPOSAL_OF_INTANGIBLE_ASSETS","FQ2 2024","FQ2 2024","Currency=USD","Period=FQ","BEST_FPERIOD_OVERRIDE=FQ","FILING_STATUS=MR","SCALING_FORMAT=MLN","Sort=A","Dates=H","DateFormat=P","Fill=—","Direction=H","UseDPDF=Y")</f>
        <v>0</v>
      </c>
      <c r="Z25" s="25">
        <f>_xll.BDH("GILD US Equity","CF_DISPOSAL_OF_INTANGIBLE_ASSETS","FQ3 2024","FQ3 2024","Currency=USD","Period=FQ","BEST_FPERIOD_OVERRIDE=FQ","FILING_STATUS=MR","SCALING_FORMAT=MLN","Sort=A","Dates=H","DateFormat=P","Fill=—","Direction=H","UseDPDF=Y")</f>
        <v>0</v>
      </c>
      <c r="AA25" s="25">
        <f>_xll.BDH("GILD US Equity","CF_DISPOSAL_OF_INTANGIBLE_ASSETS","FQ4 2024","FQ4 2024","Currency=USD","Period=FQ","BEST_FPERIOD_OVERRIDE=FQ","FILING_STATUS=MR","SCALING_FORMAT=MLN","Sort=A","Dates=H","DateFormat=P","Fill=—","Direction=H","UseDPDF=Y")</f>
        <v>0</v>
      </c>
    </row>
    <row r="26" spans="1:27" x14ac:dyDescent="0.25">
      <c r="A26" s="10" t="s">
        <v>1346</v>
      </c>
      <c r="B26" s="10" t="s">
        <v>1347</v>
      </c>
      <c r="C26" s="13">
        <f>_xll.BDH("GILD US Equity","ACQUIS_OF_FIXED_INTANG","FQ4 2018","FQ4 2018","Currency=USD","Period=FQ","BEST_FPERIOD_OVERRIDE=FQ","FILING_STATUS=MR","SCALING_FORMAT=MLN","Sort=A","Dates=H","DateFormat=P","Fill=—","Direction=H","UseDPDF=Y")</f>
        <v>-248</v>
      </c>
      <c r="D26" s="13">
        <f>_xll.BDH("GILD US Equity","ACQUIS_OF_FIXED_INTANG","FQ1 2019","FQ1 2019","Currency=USD","Period=FQ","BEST_FPERIOD_OVERRIDE=FQ","FILING_STATUS=MR","SCALING_FORMAT=MLN","Sort=A","Dates=H","DateFormat=P","Fill=—","Direction=H","UseDPDF=Y")</f>
        <v>-237</v>
      </c>
      <c r="E26" s="13">
        <f>_xll.BDH("GILD US Equity","ACQUIS_OF_FIXED_INTANG","FQ2 2019","FQ2 2019","Currency=USD","Period=FQ","BEST_FPERIOD_OVERRIDE=FQ","FILING_STATUS=MR","SCALING_FORMAT=MLN","Sort=A","Dates=H","DateFormat=P","Fill=—","Direction=H","UseDPDF=Y")</f>
        <v>-185</v>
      </c>
      <c r="F26" s="13">
        <f>_xll.BDH("GILD US Equity","ACQUIS_OF_FIXED_INTANG","FQ3 2019","FQ3 2019","Currency=USD","Period=FQ","BEST_FPERIOD_OVERRIDE=FQ","FILING_STATUS=MR","SCALING_FORMAT=MLN","Sort=A","Dates=H","DateFormat=P","Fill=—","Direction=H","UseDPDF=Y")</f>
        <v>-200</v>
      </c>
      <c r="G26" s="13">
        <f>_xll.BDH("GILD US Equity","ACQUIS_OF_FIXED_INTANG","FQ4 2019","FQ4 2019","Currency=USD","Period=FQ","BEST_FPERIOD_OVERRIDE=FQ","FILING_STATUS=MR","SCALING_FORMAT=MLN","Sort=A","Dates=H","DateFormat=P","Fill=—","Direction=H","UseDPDF=Y")</f>
        <v>-203</v>
      </c>
      <c r="H26" s="13">
        <f>_xll.BDH("GILD US Equity","ACQUIS_OF_FIXED_INTANG","FQ1 2020","FQ1 2020","Currency=USD","Period=FQ","BEST_FPERIOD_OVERRIDE=FQ","FILING_STATUS=MR","SCALING_FORMAT=MLN","Sort=A","Dates=H","DateFormat=P","Fill=—","Direction=H","UseDPDF=Y")</f>
        <v>-171</v>
      </c>
      <c r="I26" s="13">
        <f>_xll.BDH("GILD US Equity","ACQUIS_OF_FIXED_INTANG","FQ2 2020","FQ2 2020","Currency=USD","Period=FQ","BEST_FPERIOD_OVERRIDE=FQ","FILING_STATUS=MR","SCALING_FORMAT=MLN","Sort=A","Dates=H","DateFormat=P","Fill=—","Direction=H","UseDPDF=Y")</f>
        <v>-143</v>
      </c>
      <c r="J26" s="13">
        <f>_xll.BDH("GILD US Equity","ACQUIS_OF_FIXED_INTANG","FQ3 2020","FQ3 2020","Currency=USD","Period=FQ","BEST_FPERIOD_OVERRIDE=FQ","FILING_STATUS=MR","SCALING_FORMAT=MLN","Sort=A","Dates=H","DateFormat=P","Fill=—","Direction=H","UseDPDF=Y")</f>
        <v>-155</v>
      </c>
      <c r="K26" s="13">
        <f>_xll.BDH("GILD US Equity","ACQUIS_OF_FIXED_INTANG","FQ4 2020","FQ4 2020","Currency=USD","Period=FQ","BEST_FPERIOD_OVERRIDE=FQ","FILING_STATUS=MR","SCALING_FORMAT=MLN","Sort=A","Dates=H","DateFormat=P","Fill=—","Direction=H","UseDPDF=Y")</f>
        <v>-181</v>
      </c>
      <c r="L26" s="13">
        <f>_xll.BDH("GILD US Equity","ACQUIS_OF_FIXED_INTANG","FQ1 2021","FQ1 2021","Currency=USD","Period=FQ","BEST_FPERIOD_OVERRIDE=FQ","FILING_STATUS=MR","SCALING_FORMAT=MLN","Sort=A","Dates=H","DateFormat=P","Fill=—","Direction=H","UseDPDF=Y")</f>
        <v>-165</v>
      </c>
      <c r="M26" s="13">
        <f>_xll.BDH("GILD US Equity","ACQUIS_OF_FIXED_INTANG","FQ2 2021","FQ2 2021","Currency=USD","Period=FQ","BEST_FPERIOD_OVERRIDE=FQ","FILING_STATUS=MR","SCALING_FORMAT=MLN","Sort=A","Dates=H","DateFormat=P","Fill=—","Direction=H","UseDPDF=Y")</f>
        <v>-119</v>
      </c>
      <c r="N26" s="13">
        <f>_xll.BDH("GILD US Equity","ACQUIS_OF_FIXED_INTANG","FQ3 2021","FQ3 2021","Currency=USD","Period=FQ","BEST_FPERIOD_OVERRIDE=FQ","FILING_STATUS=MR","SCALING_FORMAT=MLN","Sort=A","Dates=H","DateFormat=P","Fill=—","Direction=H","UseDPDF=Y")</f>
        <v>-139</v>
      </c>
      <c r="O26" s="13">
        <f>_xll.BDH("GILD US Equity","ACQUIS_OF_FIXED_INTANG","FQ4 2021","FQ4 2021","Currency=USD","Period=FQ","BEST_FPERIOD_OVERRIDE=FQ","FILING_STATUS=MR","SCALING_FORMAT=MLN","Sort=A","Dates=H","DateFormat=P","Fill=—","Direction=H","UseDPDF=Y")</f>
        <v>-156</v>
      </c>
      <c r="P26" s="13">
        <f>_xll.BDH("GILD US Equity","ACQUIS_OF_FIXED_INTANG","FQ1 2022","FQ1 2022","Currency=USD","Period=FQ","BEST_FPERIOD_OVERRIDE=FQ","FILING_STATUS=MR","SCALING_FORMAT=MLN","Sort=A","Dates=H","DateFormat=P","Fill=—","Direction=H","UseDPDF=Y")</f>
        <v>-247</v>
      </c>
      <c r="Q26" s="13">
        <f>_xll.BDH("GILD US Equity","ACQUIS_OF_FIXED_INTANG","FQ2 2022","FQ2 2022","Currency=USD","Period=FQ","BEST_FPERIOD_OVERRIDE=FQ","FILING_STATUS=MR","SCALING_FORMAT=MLN","Sort=A","Dates=H","DateFormat=P","Fill=—","Direction=H","UseDPDF=Y")</f>
        <v>-143</v>
      </c>
      <c r="R26" s="13">
        <f>_xll.BDH("GILD US Equity","ACQUIS_OF_FIXED_INTANG","FQ3 2022","FQ3 2022","Currency=USD","Period=FQ","BEST_FPERIOD_OVERRIDE=FQ","FILING_STATUS=MR","SCALING_FORMAT=MLN","Sort=A","Dates=H","DateFormat=P","Fill=—","Direction=H","UseDPDF=Y")</f>
        <v>-157</v>
      </c>
      <c r="S26" s="13">
        <f>_xll.BDH("GILD US Equity","ACQUIS_OF_FIXED_INTANG","FQ4 2022","FQ4 2022","Currency=USD","Period=FQ","BEST_FPERIOD_OVERRIDE=FQ","FILING_STATUS=MR","SCALING_FORMAT=MLN","Sort=A","Dates=H","DateFormat=P","Fill=—","Direction=H","UseDPDF=Y")</f>
        <v>-181</v>
      </c>
      <c r="T26" s="13">
        <f>_xll.BDH("GILD US Equity","ACQUIS_OF_FIXED_INTANG","FQ1 2023","FQ1 2023","Currency=USD","Period=FQ","BEST_FPERIOD_OVERRIDE=FQ","FILING_STATUS=MR","SCALING_FORMAT=MLN","Sort=A","Dates=H","DateFormat=P","Fill=—","Direction=H","UseDPDF=Y")</f>
        <v>-109</v>
      </c>
      <c r="U26" s="13">
        <f>_xll.BDH("GILD US Equity","ACQUIS_OF_FIXED_INTANG","FQ2 2023","FQ2 2023","Currency=USD","Period=FQ","BEST_FPERIOD_OVERRIDE=FQ","FILING_STATUS=MR","SCALING_FORMAT=MLN","Sort=A","Dates=H","DateFormat=P","Fill=—","Direction=H","UseDPDF=Y")</f>
        <v>-139</v>
      </c>
      <c r="V26" s="13">
        <f>_xll.BDH("GILD US Equity","ACQUIS_OF_FIXED_INTANG","FQ3 2023","FQ3 2023","Currency=USD","Period=FQ","BEST_FPERIOD_OVERRIDE=FQ","FILING_STATUS=MR","SCALING_FORMAT=MLN","Sort=A","Dates=H","DateFormat=P","Fill=—","Direction=H","UseDPDF=Y")</f>
        <v>-122</v>
      </c>
      <c r="W26" s="13">
        <f>_xll.BDH("GILD US Equity","ACQUIS_OF_FIXED_INTANG","FQ4 2023","FQ4 2023","Currency=USD","Period=FQ","BEST_FPERIOD_OVERRIDE=FQ","FILING_STATUS=MR","SCALING_FORMAT=MLN","Sort=A","Dates=H","DateFormat=P","Fill=—","Direction=H","UseDPDF=Y")</f>
        <v>-215</v>
      </c>
      <c r="X26" s="13">
        <f>_xll.BDH("GILD US Equity","ACQUIS_OF_FIXED_INTANG","FQ1 2024","FQ1 2024","Currency=USD","Period=FQ","BEST_FPERIOD_OVERRIDE=FQ","FILING_STATUS=MR","SCALING_FORMAT=MLN","Sort=A","Dates=H","DateFormat=P","Fill=—","Direction=H","UseDPDF=Y")</f>
        <v>-105</v>
      </c>
      <c r="Y26" s="13">
        <f>_xll.BDH("GILD US Equity","ACQUIS_OF_FIXED_INTANG","FQ2 2024","FQ2 2024","Currency=USD","Period=FQ","BEST_FPERIOD_OVERRIDE=FQ","FILING_STATUS=MR","SCALING_FORMAT=MLN","Sort=A","Dates=H","DateFormat=P","Fill=—","Direction=H","UseDPDF=Y")</f>
        <v>-130</v>
      </c>
      <c r="Z26" s="13">
        <f>_xll.BDH("GILD US Equity","ACQUIS_OF_FIXED_INTANG","FQ3 2024","FQ3 2024","Currency=USD","Period=FQ","BEST_FPERIOD_OVERRIDE=FQ","FILING_STATUS=MR","SCALING_FORMAT=MLN","Sort=A","Dates=H","DateFormat=P","Fill=—","Direction=H","UseDPDF=Y")</f>
        <v>-141</v>
      </c>
      <c r="AA26" s="13">
        <f>_xll.BDH("GILD US Equity","ACQUIS_OF_FIXED_INTANG","FQ4 2024","FQ4 2024","Currency=USD","Period=FQ","BEST_FPERIOD_OVERRIDE=FQ","FILING_STATUS=MR","SCALING_FORMAT=MLN","Sort=A","Dates=H","DateFormat=P","Fill=—","Direction=H","UseDPDF=Y")</f>
        <v>-147</v>
      </c>
    </row>
    <row r="27" spans="1:27" x14ac:dyDescent="0.25">
      <c r="A27" s="11" t="s">
        <v>1348</v>
      </c>
      <c r="B27" s="11" t="s">
        <v>1349</v>
      </c>
      <c r="C27" s="25">
        <f>_xll.BDH("GILD US Equity","CF_PURCHASE_OF_FIXED_PROD_ASSETS","FQ4 2018","FQ4 2018","Currency=USD","Period=FQ","BEST_FPERIOD_OVERRIDE=FQ","FILING_STATUS=MR","SCALING_FORMAT=MLN","Sort=A","Dates=H","DateFormat=P","Fill=—","Direction=H","UseDPDF=Y")</f>
        <v>-248</v>
      </c>
      <c r="D27" s="25">
        <f>_xll.BDH("GILD US Equity","CF_PURCHASE_OF_FIXED_PROD_ASSETS","FQ1 2019","FQ1 2019","Currency=USD","Period=FQ","BEST_FPERIOD_OVERRIDE=FQ","FILING_STATUS=MR","SCALING_FORMAT=MLN","Sort=A","Dates=H","DateFormat=P","Fill=—","Direction=H","UseDPDF=Y")</f>
        <v>-237</v>
      </c>
      <c r="E27" s="25">
        <f>_xll.BDH("GILD US Equity","CF_PURCHASE_OF_FIXED_PROD_ASSETS","FQ2 2019","FQ2 2019","Currency=USD","Period=FQ","BEST_FPERIOD_OVERRIDE=FQ","FILING_STATUS=MR","SCALING_FORMAT=MLN","Sort=A","Dates=H","DateFormat=P","Fill=—","Direction=H","UseDPDF=Y")</f>
        <v>-185</v>
      </c>
      <c r="F27" s="25">
        <f>_xll.BDH("GILD US Equity","CF_PURCHASE_OF_FIXED_PROD_ASSETS","FQ3 2019","FQ3 2019","Currency=USD","Period=FQ","BEST_FPERIOD_OVERRIDE=FQ","FILING_STATUS=MR","SCALING_FORMAT=MLN","Sort=A","Dates=H","DateFormat=P","Fill=—","Direction=H","UseDPDF=Y")</f>
        <v>-200</v>
      </c>
      <c r="G27" s="25">
        <f>_xll.BDH("GILD US Equity","CF_PURCHASE_OF_FIXED_PROD_ASSETS","FQ4 2019","FQ4 2019","Currency=USD","Period=FQ","BEST_FPERIOD_OVERRIDE=FQ","FILING_STATUS=MR","SCALING_FORMAT=MLN","Sort=A","Dates=H","DateFormat=P","Fill=—","Direction=H","UseDPDF=Y")</f>
        <v>-203</v>
      </c>
      <c r="H27" s="25">
        <f>_xll.BDH("GILD US Equity","CF_PURCHASE_OF_FIXED_PROD_ASSETS","FQ1 2020","FQ1 2020","Currency=USD","Period=FQ","BEST_FPERIOD_OVERRIDE=FQ","FILING_STATUS=MR","SCALING_FORMAT=MLN","Sort=A","Dates=H","DateFormat=P","Fill=—","Direction=H","UseDPDF=Y")</f>
        <v>-171</v>
      </c>
      <c r="I27" s="25">
        <f>_xll.BDH("GILD US Equity","CF_PURCHASE_OF_FIXED_PROD_ASSETS","FQ2 2020","FQ2 2020","Currency=USD","Period=FQ","BEST_FPERIOD_OVERRIDE=FQ","FILING_STATUS=MR","SCALING_FORMAT=MLN","Sort=A","Dates=H","DateFormat=P","Fill=—","Direction=H","UseDPDF=Y")</f>
        <v>-143</v>
      </c>
      <c r="J27" s="25">
        <f>_xll.BDH("GILD US Equity","CF_PURCHASE_OF_FIXED_PROD_ASSETS","FQ3 2020","FQ3 2020","Currency=USD","Period=FQ","BEST_FPERIOD_OVERRIDE=FQ","FILING_STATUS=MR","SCALING_FORMAT=MLN","Sort=A","Dates=H","DateFormat=P","Fill=—","Direction=H","UseDPDF=Y")</f>
        <v>-155</v>
      </c>
      <c r="K27" s="25">
        <f>_xll.BDH("GILD US Equity","CF_PURCHASE_OF_FIXED_PROD_ASSETS","FQ4 2020","FQ4 2020","Currency=USD","Period=FQ","BEST_FPERIOD_OVERRIDE=FQ","FILING_STATUS=MR","SCALING_FORMAT=MLN","Sort=A","Dates=H","DateFormat=P","Fill=—","Direction=H","UseDPDF=Y")</f>
        <v>-181</v>
      </c>
      <c r="L27" s="25">
        <f>_xll.BDH("GILD US Equity","CF_PURCHASE_OF_FIXED_PROD_ASSETS","FQ1 2021","FQ1 2021","Currency=USD","Period=FQ","BEST_FPERIOD_OVERRIDE=FQ","FILING_STATUS=MR","SCALING_FORMAT=MLN","Sort=A","Dates=H","DateFormat=P","Fill=—","Direction=H","UseDPDF=Y")</f>
        <v>-165</v>
      </c>
      <c r="M27" s="25">
        <f>_xll.BDH("GILD US Equity","CF_PURCHASE_OF_FIXED_PROD_ASSETS","FQ2 2021","FQ2 2021","Currency=USD","Period=FQ","BEST_FPERIOD_OVERRIDE=FQ","FILING_STATUS=MR","SCALING_FORMAT=MLN","Sort=A","Dates=H","DateFormat=P","Fill=—","Direction=H","UseDPDF=Y")</f>
        <v>-119</v>
      </c>
      <c r="N27" s="25">
        <f>_xll.BDH("GILD US Equity","CF_PURCHASE_OF_FIXED_PROD_ASSETS","FQ3 2021","FQ3 2021","Currency=USD","Period=FQ","BEST_FPERIOD_OVERRIDE=FQ","FILING_STATUS=MR","SCALING_FORMAT=MLN","Sort=A","Dates=H","DateFormat=P","Fill=—","Direction=H","UseDPDF=Y")</f>
        <v>-139</v>
      </c>
      <c r="O27" s="25">
        <f>_xll.BDH("GILD US Equity","CF_PURCHASE_OF_FIXED_PROD_ASSETS","FQ4 2021","FQ4 2021","Currency=USD","Period=FQ","BEST_FPERIOD_OVERRIDE=FQ","FILING_STATUS=MR","SCALING_FORMAT=MLN","Sort=A","Dates=H","DateFormat=P","Fill=—","Direction=H","UseDPDF=Y")</f>
        <v>-156</v>
      </c>
      <c r="P27" s="25">
        <f>_xll.BDH("GILD US Equity","CF_PURCHASE_OF_FIXED_PROD_ASSETS","FQ1 2022","FQ1 2022","Currency=USD","Period=FQ","BEST_FPERIOD_OVERRIDE=FQ","FILING_STATUS=MR","SCALING_FORMAT=MLN","Sort=A","Dates=H","DateFormat=P","Fill=—","Direction=H","UseDPDF=Y")</f>
        <v>-247</v>
      </c>
      <c r="Q27" s="25">
        <f>_xll.BDH("GILD US Equity","CF_PURCHASE_OF_FIXED_PROD_ASSETS","FQ2 2022","FQ2 2022","Currency=USD","Period=FQ","BEST_FPERIOD_OVERRIDE=FQ","FILING_STATUS=MR","SCALING_FORMAT=MLN","Sort=A","Dates=H","DateFormat=P","Fill=—","Direction=H","UseDPDF=Y")</f>
        <v>-143</v>
      </c>
      <c r="R27" s="25">
        <f>_xll.BDH("GILD US Equity","CF_PURCHASE_OF_FIXED_PROD_ASSETS","FQ3 2022","FQ3 2022","Currency=USD","Period=FQ","BEST_FPERIOD_OVERRIDE=FQ","FILING_STATUS=MR","SCALING_FORMAT=MLN","Sort=A","Dates=H","DateFormat=P","Fill=—","Direction=H","UseDPDF=Y")</f>
        <v>-157</v>
      </c>
      <c r="S27" s="25">
        <f>_xll.BDH("GILD US Equity","CF_PURCHASE_OF_FIXED_PROD_ASSETS","FQ4 2022","FQ4 2022","Currency=USD","Period=FQ","BEST_FPERIOD_OVERRIDE=FQ","FILING_STATUS=MR","SCALING_FORMAT=MLN","Sort=A","Dates=H","DateFormat=P","Fill=—","Direction=H","UseDPDF=Y")</f>
        <v>-181</v>
      </c>
      <c r="T27" s="25">
        <f>_xll.BDH("GILD US Equity","CF_PURCHASE_OF_FIXED_PROD_ASSETS","FQ1 2023","FQ1 2023","Currency=USD","Period=FQ","BEST_FPERIOD_OVERRIDE=FQ","FILING_STATUS=MR","SCALING_FORMAT=MLN","Sort=A","Dates=H","DateFormat=P","Fill=—","Direction=H","UseDPDF=Y")</f>
        <v>-109</v>
      </c>
      <c r="U27" s="25">
        <f>_xll.BDH("GILD US Equity","CF_PURCHASE_OF_FIXED_PROD_ASSETS","FQ2 2023","FQ2 2023","Currency=USD","Period=FQ","BEST_FPERIOD_OVERRIDE=FQ","FILING_STATUS=MR","SCALING_FORMAT=MLN","Sort=A","Dates=H","DateFormat=P","Fill=—","Direction=H","UseDPDF=Y")</f>
        <v>-139</v>
      </c>
      <c r="V27" s="25">
        <f>_xll.BDH("GILD US Equity","CF_PURCHASE_OF_FIXED_PROD_ASSETS","FQ3 2023","FQ3 2023","Currency=USD","Period=FQ","BEST_FPERIOD_OVERRIDE=FQ","FILING_STATUS=MR","SCALING_FORMAT=MLN","Sort=A","Dates=H","DateFormat=P","Fill=—","Direction=H","UseDPDF=Y")</f>
        <v>-122</v>
      </c>
      <c r="W27" s="25">
        <f>_xll.BDH("GILD US Equity","CF_PURCHASE_OF_FIXED_PROD_ASSETS","FQ4 2023","FQ4 2023","Currency=USD","Period=FQ","BEST_FPERIOD_OVERRIDE=FQ","FILING_STATUS=MR","SCALING_FORMAT=MLN","Sort=A","Dates=H","DateFormat=P","Fill=—","Direction=H","UseDPDF=Y")</f>
        <v>-215</v>
      </c>
      <c r="X27" s="25">
        <f>_xll.BDH("GILD US Equity","CF_PURCHASE_OF_FIXED_PROD_ASSETS","FQ1 2024","FQ1 2024","Currency=USD","Period=FQ","BEST_FPERIOD_OVERRIDE=FQ","FILING_STATUS=MR","SCALING_FORMAT=MLN","Sort=A","Dates=H","DateFormat=P","Fill=—","Direction=H","UseDPDF=Y")</f>
        <v>-105</v>
      </c>
      <c r="Y27" s="25">
        <f>_xll.BDH("GILD US Equity","CF_PURCHASE_OF_FIXED_PROD_ASSETS","FQ2 2024","FQ2 2024","Currency=USD","Period=FQ","BEST_FPERIOD_OVERRIDE=FQ","FILING_STATUS=MR","SCALING_FORMAT=MLN","Sort=A","Dates=H","DateFormat=P","Fill=—","Direction=H","UseDPDF=Y")</f>
        <v>-130</v>
      </c>
      <c r="Z27" s="25">
        <f>_xll.BDH("GILD US Equity","CF_PURCHASE_OF_FIXED_PROD_ASSETS","FQ3 2024","FQ3 2024","Currency=USD","Period=FQ","BEST_FPERIOD_OVERRIDE=FQ","FILING_STATUS=MR","SCALING_FORMAT=MLN","Sort=A","Dates=H","DateFormat=P","Fill=—","Direction=H","UseDPDF=Y")</f>
        <v>-141</v>
      </c>
      <c r="AA27" s="25">
        <f>_xll.BDH("GILD US Equity","CF_PURCHASE_OF_FIXED_PROD_ASSETS","FQ4 2024","FQ4 2024","Currency=USD","Period=FQ","BEST_FPERIOD_OVERRIDE=FQ","FILING_STATUS=MR","SCALING_FORMAT=MLN","Sort=A","Dates=H","DateFormat=P","Fill=—","Direction=H","UseDPDF=Y")</f>
        <v>-147</v>
      </c>
    </row>
    <row r="28" spans="1:27" x14ac:dyDescent="0.25">
      <c r="A28" s="11" t="s">
        <v>1350</v>
      </c>
      <c r="B28" s="11" t="s">
        <v>1351</v>
      </c>
      <c r="C28" s="25">
        <f>_xll.BDH("GILD US Equity","CF_ACQUISITION_OF_INTANG_ASSETS","FQ4 2018","FQ4 2018","Currency=USD","Period=FQ","BEST_FPERIOD_OVERRIDE=FQ","FILING_STATUS=MR","SCALING_FORMAT=MLN","Sort=A","Dates=H","DateFormat=P","Fill=—","Direction=H","UseDPDF=Y")</f>
        <v>0</v>
      </c>
      <c r="D28" s="25">
        <f>_xll.BDH("GILD US Equity","CF_ACQUISITION_OF_INTANG_ASSETS","FQ1 2019","FQ1 2019","Currency=USD","Period=FQ","BEST_FPERIOD_OVERRIDE=FQ","FILING_STATUS=MR","SCALING_FORMAT=MLN","Sort=A","Dates=H","DateFormat=P","Fill=—","Direction=H","UseDPDF=Y")</f>
        <v>0</v>
      </c>
      <c r="E28" s="25">
        <f>_xll.BDH("GILD US Equity","CF_ACQUISITION_OF_INTANG_ASSETS","FQ2 2019","FQ2 2019","Currency=USD","Period=FQ","BEST_FPERIOD_OVERRIDE=FQ","FILING_STATUS=MR","SCALING_FORMAT=MLN","Sort=A","Dates=H","DateFormat=P","Fill=—","Direction=H","UseDPDF=Y")</f>
        <v>0</v>
      </c>
      <c r="F28" s="25">
        <f>_xll.BDH("GILD US Equity","CF_ACQUISITION_OF_INTANG_ASSETS","FQ3 2019","FQ3 2019","Currency=USD","Period=FQ","BEST_FPERIOD_OVERRIDE=FQ","FILING_STATUS=MR","SCALING_FORMAT=MLN","Sort=A","Dates=H","DateFormat=P","Fill=—","Direction=H","UseDPDF=Y")</f>
        <v>0</v>
      </c>
      <c r="G28" s="25">
        <f>_xll.BDH("GILD US Equity","CF_ACQUISITION_OF_INTANG_ASSETS","FQ4 2019","FQ4 2019","Currency=USD","Period=FQ","BEST_FPERIOD_OVERRIDE=FQ","FILING_STATUS=MR","SCALING_FORMAT=MLN","Sort=A","Dates=H","DateFormat=P","Fill=—","Direction=H","UseDPDF=Y")</f>
        <v>0</v>
      </c>
      <c r="H28" s="25">
        <f>_xll.BDH("GILD US Equity","CF_ACQUISITION_OF_INTANG_ASSETS","FQ1 2020","FQ1 2020","Currency=USD","Period=FQ","BEST_FPERIOD_OVERRIDE=FQ","FILING_STATUS=MR","SCALING_FORMAT=MLN","Sort=A","Dates=H","DateFormat=P","Fill=—","Direction=H","UseDPDF=Y")</f>
        <v>0</v>
      </c>
      <c r="I28" s="25">
        <f>_xll.BDH("GILD US Equity","CF_ACQUISITION_OF_INTANG_ASSETS","FQ2 2020","FQ2 2020","Currency=USD","Period=FQ","BEST_FPERIOD_OVERRIDE=FQ","FILING_STATUS=MR","SCALING_FORMAT=MLN","Sort=A","Dates=H","DateFormat=P","Fill=—","Direction=H","UseDPDF=Y")</f>
        <v>0</v>
      </c>
      <c r="J28" s="25">
        <f>_xll.BDH("GILD US Equity","CF_ACQUISITION_OF_INTANG_ASSETS","FQ3 2020","FQ3 2020","Currency=USD","Period=FQ","BEST_FPERIOD_OVERRIDE=FQ","FILING_STATUS=MR","SCALING_FORMAT=MLN","Sort=A","Dates=H","DateFormat=P","Fill=—","Direction=H","UseDPDF=Y")</f>
        <v>0</v>
      </c>
      <c r="K28" s="25">
        <f>_xll.BDH("GILD US Equity","CF_ACQUISITION_OF_INTANG_ASSETS","FQ4 2020","FQ4 2020","Currency=USD","Period=FQ","BEST_FPERIOD_OVERRIDE=FQ","FILING_STATUS=MR","SCALING_FORMAT=MLN","Sort=A","Dates=H","DateFormat=P","Fill=—","Direction=H","UseDPDF=Y")</f>
        <v>0</v>
      </c>
      <c r="L28" s="25">
        <f>_xll.BDH("GILD US Equity","CF_ACQUISITION_OF_INTANG_ASSETS","FQ1 2021","FQ1 2021","Currency=USD","Period=FQ","BEST_FPERIOD_OVERRIDE=FQ","FILING_STATUS=MR","SCALING_FORMAT=MLN","Sort=A","Dates=H","DateFormat=P","Fill=—","Direction=H","UseDPDF=Y")</f>
        <v>0</v>
      </c>
      <c r="M28" s="25">
        <f>_xll.BDH("GILD US Equity","CF_ACQUISITION_OF_INTANG_ASSETS","FQ2 2021","FQ2 2021","Currency=USD","Period=FQ","BEST_FPERIOD_OVERRIDE=FQ","FILING_STATUS=MR","SCALING_FORMAT=MLN","Sort=A","Dates=H","DateFormat=P","Fill=—","Direction=H","UseDPDF=Y")</f>
        <v>0</v>
      </c>
      <c r="N28" s="25">
        <f>_xll.BDH("GILD US Equity","CF_ACQUISITION_OF_INTANG_ASSETS","FQ3 2021","FQ3 2021","Currency=USD","Period=FQ","BEST_FPERIOD_OVERRIDE=FQ","FILING_STATUS=MR","SCALING_FORMAT=MLN","Sort=A","Dates=H","DateFormat=P","Fill=—","Direction=H","UseDPDF=Y")</f>
        <v>0</v>
      </c>
      <c r="O28" s="25">
        <f>_xll.BDH("GILD US Equity","CF_ACQUISITION_OF_INTANG_ASSETS","FQ4 2021","FQ4 2021","Currency=USD","Period=FQ","BEST_FPERIOD_OVERRIDE=FQ","FILING_STATUS=MR","SCALING_FORMAT=MLN","Sort=A","Dates=H","DateFormat=P","Fill=—","Direction=H","UseDPDF=Y")</f>
        <v>0</v>
      </c>
      <c r="P28" s="25">
        <f>_xll.BDH("GILD US Equity","CF_ACQUISITION_OF_INTANG_ASSETS","FQ1 2022","FQ1 2022","Currency=USD","Period=FQ","BEST_FPERIOD_OVERRIDE=FQ","FILING_STATUS=MR","SCALING_FORMAT=MLN","Sort=A","Dates=H","DateFormat=P","Fill=—","Direction=H","UseDPDF=Y")</f>
        <v>0</v>
      </c>
      <c r="Q28" s="25">
        <f>_xll.BDH("GILD US Equity","CF_ACQUISITION_OF_INTANG_ASSETS","FQ2 2022","FQ2 2022","Currency=USD","Period=FQ","BEST_FPERIOD_OVERRIDE=FQ","FILING_STATUS=MR","SCALING_FORMAT=MLN","Sort=A","Dates=H","DateFormat=P","Fill=—","Direction=H","UseDPDF=Y")</f>
        <v>0</v>
      </c>
      <c r="R28" s="25">
        <f>_xll.BDH("GILD US Equity","CF_ACQUISITION_OF_INTANG_ASSETS","FQ3 2022","FQ3 2022","Currency=USD","Period=FQ","BEST_FPERIOD_OVERRIDE=FQ","FILING_STATUS=MR","SCALING_FORMAT=MLN","Sort=A","Dates=H","DateFormat=P","Fill=—","Direction=H","UseDPDF=Y")</f>
        <v>0</v>
      </c>
      <c r="S28" s="25">
        <f>_xll.BDH("GILD US Equity","CF_ACQUISITION_OF_INTANG_ASSETS","FQ4 2022","FQ4 2022","Currency=USD","Period=FQ","BEST_FPERIOD_OVERRIDE=FQ","FILING_STATUS=MR","SCALING_FORMAT=MLN","Sort=A","Dates=H","DateFormat=P","Fill=—","Direction=H","UseDPDF=Y")</f>
        <v>0</v>
      </c>
      <c r="T28" s="25">
        <f>_xll.BDH("GILD US Equity","CF_ACQUISITION_OF_INTANG_ASSETS","FQ1 2023","FQ1 2023","Currency=USD","Period=FQ","BEST_FPERIOD_OVERRIDE=FQ","FILING_STATUS=MR","SCALING_FORMAT=MLN","Sort=A","Dates=H","DateFormat=P","Fill=—","Direction=H","UseDPDF=Y")</f>
        <v>0</v>
      </c>
      <c r="U28" s="25">
        <f>_xll.BDH("GILD US Equity","CF_ACQUISITION_OF_INTANG_ASSETS","FQ2 2023","FQ2 2023","Currency=USD","Period=FQ","BEST_FPERIOD_OVERRIDE=FQ","FILING_STATUS=MR","SCALING_FORMAT=MLN","Sort=A","Dates=H","DateFormat=P","Fill=—","Direction=H","UseDPDF=Y")</f>
        <v>0</v>
      </c>
      <c r="V28" s="25">
        <f>_xll.BDH("GILD US Equity","CF_ACQUISITION_OF_INTANG_ASSETS","FQ3 2023","FQ3 2023","Currency=USD","Period=FQ","BEST_FPERIOD_OVERRIDE=FQ","FILING_STATUS=MR","SCALING_FORMAT=MLN","Sort=A","Dates=H","DateFormat=P","Fill=—","Direction=H","UseDPDF=Y")</f>
        <v>0</v>
      </c>
      <c r="W28" s="25">
        <f>_xll.BDH("GILD US Equity","CF_ACQUISITION_OF_INTANG_ASSETS","FQ4 2023","FQ4 2023","Currency=USD","Period=FQ","BEST_FPERIOD_OVERRIDE=FQ","FILING_STATUS=MR","SCALING_FORMAT=MLN","Sort=A","Dates=H","DateFormat=P","Fill=—","Direction=H","UseDPDF=Y")</f>
        <v>0</v>
      </c>
      <c r="X28" s="25">
        <f>_xll.BDH("GILD US Equity","CF_ACQUISITION_OF_INTANG_ASSETS","FQ1 2024","FQ1 2024","Currency=USD","Period=FQ","BEST_FPERIOD_OVERRIDE=FQ","FILING_STATUS=MR","SCALING_FORMAT=MLN","Sort=A","Dates=H","DateFormat=P","Fill=—","Direction=H","UseDPDF=Y")</f>
        <v>0</v>
      </c>
      <c r="Y28" s="25">
        <f>_xll.BDH("GILD US Equity","CF_ACQUISITION_OF_INTANG_ASSETS","FQ2 2024","FQ2 2024","Currency=USD","Period=FQ","BEST_FPERIOD_OVERRIDE=FQ","FILING_STATUS=MR","SCALING_FORMAT=MLN","Sort=A","Dates=H","DateFormat=P","Fill=—","Direction=H","UseDPDF=Y")</f>
        <v>0</v>
      </c>
      <c r="Z28" s="25">
        <f>_xll.BDH("GILD US Equity","CF_ACQUISITION_OF_INTANG_ASSETS","FQ3 2024","FQ3 2024","Currency=USD","Period=FQ","BEST_FPERIOD_OVERRIDE=FQ","FILING_STATUS=MR","SCALING_FORMAT=MLN","Sort=A","Dates=H","DateFormat=P","Fill=—","Direction=H","UseDPDF=Y")</f>
        <v>0</v>
      </c>
      <c r="AA28" s="25">
        <f>_xll.BDH("GILD US Equity","CF_ACQUISITION_OF_INTANG_ASSETS","FQ4 2024","FQ4 2024","Currency=USD","Period=FQ","BEST_FPERIOD_OVERRIDE=FQ","FILING_STATUS=MR","SCALING_FORMAT=MLN","Sort=A","Dates=H","DateFormat=P","Fill=—","Direction=H","UseDPDF=Y")</f>
        <v>0</v>
      </c>
    </row>
    <row r="29" spans="1:27" x14ac:dyDescent="0.25">
      <c r="A29" s="10" t="s">
        <v>1352</v>
      </c>
      <c r="B29" s="10" t="s">
        <v>1353</v>
      </c>
      <c r="C29" s="13">
        <f>_xll.BDH("GILD US Equity","NET_CHG_IN_LT_INVEST_DETAILED","FQ4 2018","FQ4 2018","Currency=USD","Period=FQ","BEST_FPERIOD_OVERRIDE=FQ","FILING_STATUS=MR","SCALING_FORMAT=MLN","Sort=A","Dates=H","DateFormat=P","Fill=—","Direction=H","UseDPDF=Y")</f>
        <v>-4447</v>
      </c>
      <c r="D29" s="13">
        <f>_xll.BDH("GILD US Equity","NET_CHG_IN_LT_INVEST_DETAILED","FQ1 2019","FQ1 2019","Currency=USD","Period=FQ","BEST_FPERIOD_OVERRIDE=FQ","FILING_STATUS=MR","SCALING_FORMAT=MLN","Sort=A","Dates=H","DateFormat=P","Fill=—","Direction=H","UseDPDF=Y")</f>
        <v>-6722</v>
      </c>
      <c r="E29" s="13">
        <f>_xll.BDH("GILD US Equity","NET_CHG_IN_LT_INVEST_DETAILED","FQ2 2019","FQ2 2019","Currency=USD","Period=FQ","BEST_FPERIOD_OVERRIDE=FQ","FILING_STATUS=MR","SCALING_FORMAT=MLN","Sort=A","Dates=H","DateFormat=P","Fill=—","Direction=H","UseDPDF=Y")</f>
        <v>-10300</v>
      </c>
      <c r="F29" s="13">
        <f>_xll.BDH("GILD US Equity","NET_CHG_IN_LT_INVEST_DETAILED","FQ3 2019","FQ3 2019","Currency=USD","Period=FQ","BEST_FPERIOD_OVERRIDE=FQ","FILING_STATUS=MR","SCALING_FORMAT=MLN","Sort=A","Dates=H","DateFormat=P","Fill=—","Direction=H","UseDPDF=Y")</f>
        <v>-7035</v>
      </c>
      <c r="G29" s="13">
        <f>_xll.BDH("GILD US Equity","NET_CHG_IN_LT_INVEST_DETAILED","FQ4 2019","FQ4 2019","Currency=USD","Period=FQ","BEST_FPERIOD_OVERRIDE=FQ","FILING_STATUS=MR","SCALING_FORMAT=MLN","Sort=A","Dates=H","DateFormat=P","Fill=—","Direction=H","UseDPDF=Y")</f>
        <v>-6398</v>
      </c>
      <c r="H29" s="13">
        <f>_xll.BDH("GILD US Equity","NET_CHG_IN_LT_INVEST_DETAILED","FQ1 2020","FQ1 2020","Currency=USD","Period=FQ","BEST_FPERIOD_OVERRIDE=FQ","FILING_STATUS=MR","SCALING_FORMAT=MLN","Sort=A","Dates=H","DateFormat=P","Fill=—","Direction=H","UseDPDF=Y")</f>
        <v>-13158</v>
      </c>
      <c r="I29" s="13">
        <f>_xll.BDH("GILD US Equity","NET_CHG_IN_LT_INVEST_DETAILED","FQ2 2020","FQ2 2020","Currency=USD","Period=FQ","BEST_FPERIOD_OVERRIDE=FQ","FILING_STATUS=MR","SCALING_FORMAT=MLN","Sort=A","Dates=H","DateFormat=P","Fill=—","Direction=H","UseDPDF=Y")</f>
        <v>-3595</v>
      </c>
      <c r="J29" s="13">
        <f>_xll.BDH("GILD US Equity","NET_CHG_IN_LT_INVEST_DETAILED","FQ3 2020","FQ3 2020","Currency=USD","Period=FQ","BEST_FPERIOD_OVERRIDE=FQ","FILING_STATUS=MR","SCALING_FORMAT=MLN","Sort=A","Dates=H","DateFormat=P","Fill=—","Direction=H","UseDPDF=Y")</f>
        <v>-3056</v>
      </c>
      <c r="K29" s="13">
        <f>_xll.BDH("GILD US Equity","NET_CHG_IN_LT_INVEST_DETAILED","FQ4 2020","FQ4 2020","Currency=USD","Period=FQ","BEST_FPERIOD_OVERRIDE=FQ","FILING_STATUS=MR","SCALING_FORMAT=MLN","Sort=A","Dates=H","DateFormat=P","Fill=—","Direction=H","UseDPDF=Y")</f>
        <v>-506</v>
      </c>
      <c r="L29" s="13">
        <f>_xll.BDH("GILD US Equity","NET_CHG_IN_LT_INVEST_DETAILED","FQ1 2021","FQ1 2021","Currency=USD","Period=FQ","BEST_FPERIOD_OVERRIDE=FQ","FILING_STATUS=MR","SCALING_FORMAT=MLN","Sort=A","Dates=H","DateFormat=P","Fill=—","Direction=H","UseDPDF=Y")</f>
        <v>-931</v>
      </c>
      <c r="M29" s="13">
        <f>_xll.BDH("GILD US Equity","NET_CHG_IN_LT_INVEST_DETAILED","FQ2 2021","FQ2 2021","Currency=USD","Period=FQ","BEST_FPERIOD_OVERRIDE=FQ","FILING_STATUS=MR","SCALING_FORMAT=MLN","Sort=A","Dates=H","DateFormat=P","Fill=—","Direction=H","UseDPDF=Y")</f>
        <v>-1147</v>
      </c>
      <c r="N29" s="13">
        <f>_xll.BDH("GILD US Equity","NET_CHG_IN_LT_INVEST_DETAILED","FQ3 2021","FQ3 2021","Currency=USD","Period=FQ","BEST_FPERIOD_OVERRIDE=FQ","FILING_STATUS=MR","SCALING_FORMAT=MLN","Sort=A","Dates=H","DateFormat=P","Fill=—","Direction=H","UseDPDF=Y")</f>
        <v>-813</v>
      </c>
      <c r="O29" s="13">
        <f>_xll.BDH("GILD US Equity","NET_CHG_IN_LT_INVEST_DETAILED","FQ4 2021","FQ4 2021","Currency=USD","Period=FQ","BEST_FPERIOD_OVERRIDE=FQ","FILING_STATUS=MR","SCALING_FORMAT=MLN","Sort=A","Dates=H","DateFormat=P","Fill=—","Direction=H","UseDPDF=Y")</f>
        <v>-626</v>
      </c>
      <c r="P29" s="13">
        <f>_xll.BDH("GILD US Equity","NET_CHG_IN_LT_INVEST_DETAILED","FQ1 2022","FQ1 2022","Currency=USD","Period=FQ","BEST_FPERIOD_OVERRIDE=FQ","FILING_STATUS=MR","SCALING_FORMAT=MLN","Sort=A","Dates=H","DateFormat=P","Fill=—","Direction=H","UseDPDF=Y")</f>
        <v>-613</v>
      </c>
      <c r="Q29" s="13">
        <f>_xll.BDH("GILD US Equity","NET_CHG_IN_LT_INVEST_DETAILED","FQ2 2022","FQ2 2022","Currency=USD","Period=FQ","BEST_FPERIOD_OVERRIDE=FQ","FILING_STATUS=MR","SCALING_FORMAT=MLN","Sort=A","Dates=H","DateFormat=P","Fill=—","Direction=H","UseDPDF=Y")</f>
        <v>-477</v>
      </c>
      <c r="R29" s="13">
        <f>_xll.BDH("GILD US Equity","NET_CHG_IN_LT_INVEST_DETAILED","FQ3 2022","FQ3 2022","Currency=USD","Period=FQ","BEST_FPERIOD_OVERRIDE=FQ","FILING_STATUS=MR","SCALING_FORMAT=MLN","Sort=A","Dates=H","DateFormat=P","Fill=—","Direction=H","UseDPDF=Y")</f>
        <v>-308</v>
      </c>
      <c r="S29" s="13">
        <f>_xll.BDH("GILD US Equity","NET_CHG_IN_LT_INVEST_DETAILED","FQ4 2022","FQ4 2022","Currency=USD","Period=FQ","BEST_FPERIOD_OVERRIDE=FQ","FILING_STATUS=MR","SCALING_FORMAT=MLN","Sort=A","Dates=H","DateFormat=P","Fill=—","Direction=H","UseDPDF=Y")</f>
        <v>-372</v>
      </c>
      <c r="T29" s="13">
        <f>_xll.BDH("GILD US Equity","NET_CHG_IN_LT_INVEST_DETAILED","FQ1 2023","FQ1 2023","Currency=USD","Period=FQ","BEST_FPERIOD_OVERRIDE=FQ","FILING_STATUS=MR","SCALING_FORMAT=MLN","Sort=A","Dates=H","DateFormat=P","Fill=—","Direction=H","UseDPDF=Y")</f>
        <v>-527</v>
      </c>
      <c r="U29" s="13">
        <f>_xll.BDH("GILD US Equity","NET_CHG_IN_LT_INVEST_DETAILED","FQ2 2023","FQ2 2023","Currency=USD","Period=FQ","BEST_FPERIOD_OVERRIDE=FQ","FILING_STATUS=MR","SCALING_FORMAT=MLN","Sort=A","Dates=H","DateFormat=P","Fill=—","Direction=H","UseDPDF=Y")</f>
        <v>-578</v>
      </c>
      <c r="V29" s="13">
        <f>_xll.BDH("GILD US Equity","NET_CHG_IN_LT_INVEST_DETAILED","FQ3 2023","FQ3 2023","Currency=USD","Period=FQ","BEST_FPERIOD_OVERRIDE=FQ","FILING_STATUS=MR","SCALING_FORMAT=MLN","Sort=A","Dates=H","DateFormat=P","Fill=—","Direction=H","UseDPDF=Y")</f>
        <v>-369</v>
      </c>
      <c r="W29" s="13">
        <f>_xll.BDH("GILD US Equity","NET_CHG_IN_LT_INVEST_DETAILED","FQ4 2023","FQ4 2023","Currency=USD","Period=FQ","BEST_FPERIOD_OVERRIDE=FQ","FILING_STATUS=MR","SCALING_FORMAT=MLN","Sort=A","Dates=H","DateFormat=P","Fill=—","Direction=H","UseDPDF=Y")</f>
        <v>-456</v>
      </c>
      <c r="X29" s="13">
        <f>_xll.BDH("GILD US Equity","NET_CHG_IN_LT_INVEST_DETAILED","FQ1 2024","FQ1 2024","Currency=USD","Period=FQ","BEST_FPERIOD_OVERRIDE=FQ","FILING_STATUS=MR","SCALING_FORMAT=MLN","Sort=A","Dates=H","DateFormat=P","Fill=—","Direction=H","UseDPDF=Y")</f>
        <v>-244</v>
      </c>
      <c r="Y29" s="13">
        <f>_xll.BDH("GILD US Equity","NET_CHG_IN_LT_INVEST_DETAILED","FQ2 2024","FQ2 2024","Currency=USD","Period=FQ","BEST_FPERIOD_OVERRIDE=FQ","FILING_STATUS=MR","SCALING_FORMAT=MLN","Sort=A","Dates=H","DateFormat=P","Fill=—","Direction=H","UseDPDF=Y")</f>
        <v>0</v>
      </c>
      <c r="Z29" s="13">
        <f>_xll.BDH("GILD US Equity","NET_CHG_IN_LT_INVEST_DETAILED","FQ3 2024","FQ3 2024","Currency=USD","Period=FQ","BEST_FPERIOD_OVERRIDE=FQ","FILING_STATUS=MR","SCALING_FORMAT=MLN","Sort=A","Dates=H","DateFormat=P","Fill=—","Direction=H","UseDPDF=Y")</f>
        <v>0</v>
      </c>
      <c r="AA29" s="13">
        <f>_xll.BDH("GILD US Equity","NET_CHG_IN_LT_INVEST_DETAILED","FQ4 2024","FQ4 2024","Currency=USD","Period=FQ","BEST_FPERIOD_OVERRIDE=FQ","FILING_STATUS=MR","SCALING_FORMAT=MLN","Sort=A","Dates=H","DateFormat=P","Fill=—","Direction=H","UseDPDF=Y")</f>
        <v>0</v>
      </c>
    </row>
    <row r="30" spans="1:27" x14ac:dyDescent="0.25">
      <c r="A30" s="10" t="s">
        <v>1354</v>
      </c>
      <c r="B30" s="10" t="s">
        <v>1355</v>
      </c>
      <c r="C30" s="13">
        <f>_xll.BDH("GILD US Equity","CF_DECR_INVEST","FQ4 2018","FQ4 2018","Currency=USD","Period=FQ","BEST_FPERIOD_OVERRIDE=FQ","FILING_STATUS=MR","SCALING_FORMAT=MLN","Sort=A","Dates=H","DateFormat=P","Fill=—","Direction=H","UseDPDF=Y")</f>
        <v>0</v>
      </c>
      <c r="D30" s="13">
        <f>_xll.BDH("GILD US Equity","CF_DECR_INVEST","FQ1 2019","FQ1 2019","Currency=USD","Period=FQ","BEST_FPERIOD_OVERRIDE=FQ","FILING_STATUS=MR","SCALING_FORMAT=MLN","Sort=A","Dates=H","DateFormat=P","Fill=—","Direction=H","UseDPDF=Y")</f>
        <v>0</v>
      </c>
      <c r="E30" s="13">
        <f>_xll.BDH("GILD US Equity","CF_DECR_INVEST","FQ2 2019","FQ2 2019","Currency=USD","Period=FQ","BEST_FPERIOD_OVERRIDE=FQ","FILING_STATUS=MR","SCALING_FORMAT=MLN","Sort=A","Dates=H","DateFormat=P","Fill=—","Direction=H","UseDPDF=Y")</f>
        <v>0</v>
      </c>
      <c r="F30" s="13">
        <f>_xll.BDH("GILD US Equity","CF_DECR_INVEST","FQ3 2019","FQ3 2019","Currency=USD","Period=FQ","BEST_FPERIOD_OVERRIDE=FQ","FILING_STATUS=MR","SCALING_FORMAT=MLN","Sort=A","Dates=H","DateFormat=P","Fill=—","Direction=H","UseDPDF=Y")</f>
        <v>0</v>
      </c>
      <c r="G30" s="13">
        <f>_xll.BDH("GILD US Equity","CF_DECR_INVEST","FQ4 2019","FQ4 2019","Currency=USD","Period=FQ","BEST_FPERIOD_OVERRIDE=FQ","FILING_STATUS=MR","SCALING_FORMAT=MLN","Sort=A","Dates=H","DateFormat=P","Fill=—","Direction=H","UseDPDF=Y")</f>
        <v>0</v>
      </c>
      <c r="H30" s="13">
        <f>_xll.BDH("GILD US Equity","CF_DECR_INVEST","FQ1 2020","FQ1 2020","Currency=USD","Period=FQ","BEST_FPERIOD_OVERRIDE=FQ","FILING_STATUS=MR","SCALING_FORMAT=MLN","Sort=A","Dates=H","DateFormat=P","Fill=—","Direction=H","UseDPDF=Y")</f>
        <v>0</v>
      </c>
      <c r="I30" s="13">
        <f>_xll.BDH("GILD US Equity","CF_DECR_INVEST","FQ2 2020","FQ2 2020","Currency=USD","Period=FQ","BEST_FPERIOD_OVERRIDE=FQ","FILING_STATUS=MR","SCALING_FORMAT=MLN","Sort=A","Dates=H","DateFormat=P","Fill=—","Direction=H","UseDPDF=Y")</f>
        <v>0</v>
      </c>
      <c r="J30" s="13">
        <f>_xll.BDH("GILD US Equity","CF_DECR_INVEST","FQ3 2020","FQ3 2020","Currency=USD","Period=FQ","BEST_FPERIOD_OVERRIDE=FQ","FILING_STATUS=MR","SCALING_FORMAT=MLN","Sort=A","Dates=H","DateFormat=P","Fill=—","Direction=H","UseDPDF=Y")</f>
        <v>0</v>
      </c>
      <c r="K30" s="13">
        <f>_xll.BDH("GILD US Equity","CF_DECR_INVEST","FQ4 2020","FQ4 2020","Currency=USD","Period=FQ","BEST_FPERIOD_OVERRIDE=FQ","FILING_STATUS=MR","SCALING_FORMAT=MLN","Sort=A","Dates=H","DateFormat=P","Fill=—","Direction=H","UseDPDF=Y")</f>
        <v>0</v>
      </c>
      <c r="L30" s="13" t="str">
        <f>_xll.BDH("GILD US Equity","CF_DECR_INVEST","FQ1 2021","FQ1 2021","Currency=USD","Period=FQ","BEST_FPERIOD_OVERRIDE=FQ","FILING_STATUS=MR","SCALING_FORMAT=MLN","Sort=A","Dates=H","DateFormat=P","Fill=—","Direction=H","UseDPDF=Y")</f>
        <v>—</v>
      </c>
      <c r="M30" s="13" t="str">
        <f>_xll.BDH("GILD US Equity","CF_DECR_INVEST","FQ2 2021","FQ2 2021","Currency=USD","Period=FQ","BEST_FPERIOD_OVERRIDE=FQ","FILING_STATUS=MR","SCALING_FORMAT=MLN","Sort=A","Dates=H","DateFormat=P","Fill=—","Direction=H","UseDPDF=Y")</f>
        <v>—</v>
      </c>
      <c r="N30" s="13" t="str">
        <f>_xll.BDH("GILD US Equity","CF_DECR_INVEST","FQ3 2021","FQ3 2021","Currency=USD","Period=FQ","BEST_FPERIOD_OVERRIDE=FQ","FILING_STATUS=MR","SCALING_FORMAT=MLN","Sort=A","Dates=H","DateFormat=P","Fill=—","Direction=H","UseDPDF=Y")</f>
        <v>—</v>
      </c>
      <c r="O30" s="13">
        <f>_xll.BDH("GILD US Equity","CF_DECR_INVEST","FQ4 2021","FQ4 2021","Currency=USD","Period=FQ","BEST_FPERIOD_OVERRIDE=FQ","FILING_STATUS=MR","SCALING_FORMAT=MLN","Sort=A","Dates=H","DateFormat=P","Fill=—","Direction=H","UseDPDF=Y")</f>
        <v>0</v>
      </c>
      <c r="P30" s="13">
        <f>_xll.BDH("GILD US Equity","CF_DECR_INVEST","FQ1 2022","FQ1 2022","Currency=USD","Period=FQ","BEST_FPERIOD_OVERRIDE=FQ","FILING_STATUS=MR","SCALING_FORMAT=MLN","Sort=A","Dates=H","DateFormat=P","Fill=—","Direction=H","UseDPDF=Y")</f>
        <v>0</v>
      </c>
      <c r="Q30" s="13">
        <f>_xll.BDH("GILD US Equity","CF_DECR_INVEST","FQ2 2022","FQ2 2022","Currency=USD","Period=FQ","BEST_FPERIOD_OVERRIDE=FQ","FILING_STATUS=MR","SCALING_FORMAT=MLN","Sort=A","Dates=H","DateFormat=P","Fill=—","Direction=H","UseDPDF=Y")</f>
        <v>0</v>
      </c>
      <c r="R30" s="13">
        <f>_xll.BDH("GILD US Equity","CF_DECR_INVEST","FQ3 2022","FQ3 2022","Currency=USD","Period=FQ","BEST_FPERIOD_OVERRIDE=FQ","FILING_STATUS=MR","SCALING_FORMAT=MLN","Sort=A","Dates=H","DateFormat=P","Fill=—","Direction=H","UseDPDF=Y")</f>
        <v>0</v>
      </c>
      <c r="S30" s="13">
        <f>_xll.BDH("GILD US Equity","CF_DECR_INVEST","FQ4 2022","FQ4 2022","Currency=USD","Period=FQ","BEST_FPERIOD_OVERRIDE=FQ","FILING_STATUS=MR","SCALING_FORMAT=MLN","Sort=A","Dates=H","DateFormat=P","Fill=—","Direction=H","UseDPDF=Y")</f>
        <v>0</v>
      </c>
      <c r="T30" s="13">
        <f>_xll.BDH("GILD US Equity","CF_DECR_INVEST","FQ1 2023","FQ1 2023","Currency=USD","Period=FQ","BEST_FPERIOD_OVERRIDE=FQ","FILING_STATUS=MR","SCALING_FORMAT=MLN","Sort=A","Dates=H","DateFormat=P","Fill=—","Direction=H","UseDPDF=Y")</f>
        <v>0</v>
      </c>
      <c r="U30" s="13" t="str">
        <f>_xll.BDH("GILD US Equity","CF_DECR_INVEST","FQ2 2023","FQ2 2023","Currency=USD","Period=FQ","BEST_FPERIOD_OVERRIDE=FQ","FILING_STATUS=MR","SCALING_FORMAT=MLN","Sort=A","Dates=H","DateFormat=P","Fill=—","Direction=H","UseDPDF=Y")</f>
        <v>—</v>
      </c>
      <c r="V30" s="13">
        <f>_xll.BDH("GILD US Equity","CF_DECR_INVEST","FQ3 2023","FQ3 2023","Currency=USD","Period=FQ","BEST_FPERIOD_OVERRIDE=FQ","FILING_STATUS=MR","SCALING_FORMAT=MLN","Sort=A","Dates=H","DateFormat=P","Fill=—","Direction=H","UseDPDF=Y")</f>
        <v>0</v>
      </c>
      <c r="W30" s="13">
        <f>_xll.BDH("GILD US Equity","CF_DECR_INVEST","FQ4 2023","FQ4 2023","Currency=USD","Period=FQ","BEST_FPERIOD_OVERRIDE=FQ","FILING_STATUS=MR","SCALING_FORMAT=MLN","Sort=A","Dates=H","DateFormat=P","Fill=—","Direction=H","UseDPDF=Y")</f>
        <v>0</v>
      </c>
      <c r="X30" s="13">
        <f>_xll.BDH("GILD US Equity","CF_DECR_INVEST","FQ1 2024","FQ1 2024","Currency=USD","Period=FQ","BEST_FPERIOD_OVERRIDE=FQ","FILING_STATUS=MR","SCALING_FORMAT=MLN","Sort=A","Dates=H","DateFormat=P","Fill=—","Direction=H","UseDPDF=Y")</f>
        <v>0</v>
      </c>
      <c r="Y30" s="13">
        <f>_xll.BDH("GILD US Equity","CF_DECR_INVEST","FQ2 2024","FQ2 2024","Currency=USD","Period=FQ","BEST_FPERIOD_OVERRIDE=FQ","FILING_STATUS=MR","SCALING_FORMAT=MLN","Sort=A","Dates=H","DateFormat=P","Fill=—","Direction=H","UseDPDF=Y")</f>
        <v>0</v>
      </c>
      <c r="Z30" s="13">
        <f>_xll.BDH("GILD US Equity","CF_DECR_INVEST","FQ3 2024","FQ3 2024","Currency=USD","Period=FQ","BEST_FPERIOD_OVERRIDE=FQ","FILING_STATUS=MR","SCALING_FORMAT=MLN","Sort=A","Dates=H","DateFormat=P","Fill=—","Direction=H","UseDPDF=Y")</f>
        <v>0</v>
      </c>
      <c r="AA30" s="13">
        <f>_xll.BDH("GILD US Equity","CF_DECR_INVEST","FQ4 2024","FQ4 2024","Currency=USD","Period=FQ","BEST_FPERIOD_OVERRIDE=FQ","FILING_STATUS=MR","SCALING_FORMAT=MLN","Sort=A","Dates=H","DateFormat=P","Fill=—","Direction=H","UseDPDF=Y")</f>
        <v>0</v>
      </c>
    </row>
    <row r="31" spans="1:27" x14ac:dyDescent="0.25">
      <c r="A31" s="10" t="s">
        <v>1356</v>
      </c>
      <c r="B31" s="10" t="s">
        <v>1357</v>
      </c>
      <c r="C31" s="13">
        <f>_xll.BDH("GILD US Equity","CF_INCR_INVEST","FQ4 2018","FQ4 2018","Currency=USD","Period=FQ","BEST_FPERIOD_OVERRIDE=FQ","FILING_STATUS=MR","SCALING_FORMAT=MLN","Sort=A","Dates=H","DateFormat=P","Fill=—","Direction=H","UseDPDF=Y")</f>
        <v>-4447</v>
      </c>
      <c r="D31" s="13">
        <f>_xll.BDH("GILD US Equity","CF_INCR_INVEST","FQ1 2019","FQ1 2019","Currency=USD","Period=FQ","BEST_FPERIOD_OVERRIDE=FQ","FILING_STATUS=MR","SCALING_FORMAT=MLN","Sort=A","Dates=H","DateFormat=P","Fill=—","Direction=H","UseDPDF=Y")</f>
        <v>-6722</v>
      </c>
      <c r="E31" s="13">
        <f>_xll.BDH("GILD US Equity","CF_INCR_INVEST","FQ2 2019","FQ2 2019","Currency=USD","Period=FQ","BEST_FPERIOD_OVERRIDE=FQ","FILING_STATUS=MR","SCALING_FORMAT=MLN","Sort=A","Dates=H","DateFormat=P","Fill=—","Direction=H","UseDPDF=Y")</f>
        <v>-10300</v>
      </c>
      <c r="F31" s="13">
        <f>_xll.BDH("GILD US Equity","CF_INCR_INVEST","FQ3 2019","FQ3 2019","Currency=USD","Period=FQ","BEST_FPERIOD_OVERRIDE=FQ","FILING_STATUS=MR","SCALING_FORMAT=MLN","Sort=A","Dates=H","DateFormat=P","Fill=—","Direction=H","UseDPDF=Y")</f>
        <v>-7035</v>
      </c>
      <c r="G31" s="13">
        <f>_xll.BDH("GILD US Equity","CF_INCR_INVEST","FQ4 2019","FQ4 2019","Currency=USD","Period=FQ","BEST_FPERIOD_OVERRIDE=FQ","FILING_STATUS=MR","SCALING_FORMAT=MLN","Sort=A","Dates=H","DateFormat=P","Fill=—","Direction=H","UseDPDF=Y")</f>
        <v>-6398</v>
      </c>
      <c r="H31" s="13">
        <f>_xll.BDH("GILD US Equity","CF_INCR_INVEST","FQ1 2020","FQ1 2020","Currency=USD","Period=FQ","BEST_FPERIOD_OVERRIDE=FQ","FILING_STATUS=MR","SCALING_FORMAT=MLN","Sort=A","Dates=H","DateFormat=P","Fill=—","Direction=H","UseDPDF=Y")</f>
        <v>-13158</v>
      </c>
      <c r="I31" s="13">
        <f>_xll.BDH("GILD US Equity","CF_INCR_INVEST","FQ2 2020","FQ2 2020","Currency=USD","Period=FQ","BEST_FPERIOD_OVERRIDE=FQ","FILING_STATUS=MR","SCALING_FORMAT=MLN","Sort=A","Dates=H","DateFormat=P","Fill=—","Direction=H","UseDPDF=Y")</f>
        <v>-3595</v>
      </c>
      <c r="J31" s="13">
        <f>_xll.BDH("GILD US Equity","CF_INCR_INVEST","FQ3 2020","FQ3 2020","Currency=USD","Period=FQ","BEST_FPERIOD_OVERRIDE=FQ","FILING_STATUS=MR","SCALING_FORMAT=MLN","Sort=A","Dates=H","DateFormat=P","Fill=—","Direction=H","UseDPDF=Y")</f>
        <v>-3056</v>
      </c>
      <c r="K31" s="13">
        <f>_xll.BDH("GILD US Equity","CF_INCR_INVEST","FQ4 2020","FQ4 2020","Currency=USD","Period=FQ","BEST_FPERIOD_OVERRIDE=FQ","FILING_STATUS=MR","SCALING_FORMAT=MLN","Sort=A","Dates=H","DateFormat=P","Fill=—","Direction=H","UseDPDF=Y")</f>
        <v>-506</v>
      </c>
      <c r="L31" s="13">
        <f>_xll.BDH("GILD US Equity","CF_INCR_INVEST","FQ1 2021","FQ1 2021","Currency=USD","Period=FQ","BEST_FPERIOD_OVERRIDE=FQ","FILING_STATUS=MR","SCALING_FORMAT=MLN","Sort=A","Dates=H","DateFormat=P","Fill=—","Direction=H","UseDPDF=Y")</f>
        <v>-931</v>
      </c>
      <c r="M31" s="13">
        <f>_xll.BDH("GILD US Equity","CF_INCR_INVEST","FQ2 2021","FQ2 2021","Currency=USD","Period=FQ","BEST_FPERIOD_OVERRIDE=FQ","FILING_STATUS=MR","SCALING_FORMAT=MLN","Sort=A","Dates=H","DateFormat=P","Fill=—","Direction=H","UseDPDF=Y")</f>
        <v>-1147</v>
      </c>
      <c r="N31" s="13">
        <f>_xll.BDH("GILD US Equity","CF_INCR_INVEST","FQ3 2021","FQ3 2021","Currency=USD","Period=FQ","BEST_FPERIOD_OVERRIDE=FQ","FILING_STATUS=MR","SCALING_FORMAT=MLN","Sort=A","Dates=H","DateFormat=P","Fill=—","Direction=H","UseDPDF=Y")</f>
        <v>-813</v>
      </c>
      <c r="O31" s="13">
        <f>_xll.BDH("GILD US Equity","CF_INCR_INVEST","FQ4 2021","FQ4 2021","Currency=USD","Period=FQ","BEST_FPERIOD_OVERRIDE=FQ","FILING_STATUS=MR","SCALING_FORMAT=MLN","Sort=A","Dates=H","DateFormat=P","Fill=—","Direction=H","UseDPDF=Y")</f>
        <v>-626</v>
      </c>
      <c r="P31" s="13">
        <f>_xll.BDH("GILD US Equity","CF_INCR_INVEST","FQ1 2022","FQ1 2022","Currency=USD","Period=FQ","BEST_FPERIOD_OVERRIDE=FQ","FILING_STATUS=MR","SCALING_FORMAT=MLN","Sort=A","Dates=H","DateFormat=P","Fill=—","Direction=H","UseDPDF=Y")</f>
        <v>-613</v>
      </c>
      <c r="Q31" s="13">
        <f>_xll.BDH("GILD US Equity","CF_INCR_INVEST","FQ2 2022","FQ2 2022","Currency=USD","Period=FQ","BEST_FPERIOD_OVERRIDE=FQ","FILING_STATUS=MR","SCALING_FORMAT=MLN","Sort=A","Dates=H","DateFormat=P","Fill=—","Direction=H","UseDPDF=Y")</f>
        <v>-477</v>
      </c>
      <c r="R31" s="13">
        <f>_xll.BDH("GILD US Equity","CF_INCR_INVEST","FQ3 2022","FQ3 2022","Currency=USD","Period=FQ","BEST_FPERIOD_OVERRIDE=FQ","FILING_STATUS=MR","SCALING_FORMAT=MLN","Sort=A","Dates=H","DateFormat=P","Fill=—","Direction=H","UseDPDF=Y")</f>
        <v>-308</v>
      </c>
      <c r="S31" s="13">
        <f>_xll.BDH("GILD US Equity","CF_INCR_INVEST","FQ4 2022","FQ4 2022","Currency=USD","Period=FQ","BEST_FPERIOD_OVERRIDE=FQ","FILING_STATUS=MR","SCALING_FORMAT=MLN","Sort=A","Dates=H","DateFormat=P","Fill=—","Direction=H","UseDPDF=Y")</f>
        <v>-372</v>
      </c>
      <c r="T31" s="13">
        <f>_xll.BDH("GILD US Equity","CF_INCR_INVEST","FQ1 2023","FQ1 2023","Currency=USD","Period=FQ","BEST_FPERIOD_OVERRIDE=FQ","FILING_STATUS=MR","SCALING_FORMAT=MLN","Sort=A","Dates=H","DateFormat=P","Fill=—","Direction=H","UseDPDF=Y")</f>
        <v>-527</v>
      </c>
      <c r="U31" s="13">
        <f>_xll.BDH("GILD US Equity","CF_INCR_INVEST","FQ2 2023","FQ2 2023","Currency=USD","Period=FQ","BEST_FPERIOD_OVERRIDE=FQ","FILING_STATUS=MR","SCALING_FORMAT=MLN","Sort=A","Dates=H","DateFormat=P","Fill=—","Direction=H","UseDPDF=Y")</f>
        <v>-578</v>
      </c>
      <c r="V31" s="13">
        <f>_xll.BDH("GILD US Equity","CF_INCR_INVEST","FQ3 2023","FQ3 2023","Currency=USD","Period=FQ","BEST_FPERIOD_OVERRIDE=FQ","FILING_STATUS=MR","SCALING_FORMAT=MLN","Sort=A","Dates=H","DateFormat=P","Fill=—","Direction=H","UseDPDF=Y")</f>
        <v>-369</v>
      </c>
      <c r="W31" s="13">
        <f>_xll.BDH("GILD US Equity","CF_INCR_INVEST","FQ4 2023","FQ4 2023","Currency=USD","Period=FQ","BEST_FPERIOD_OVERRIDE=FQ","FILING_STATUS=MR","SCALING_FORMAT=MLN","Sort=A","Dates=H","DateFormat=P","Fill=—","Direction=H","UseDPDF=Y")</f>
        <v>-456</v>
      </c>
      <c r="X31" s="13">
        <f>_xll.BDH("GILD US Equity","CF_INCR_INVEST","FQ1 2024","FQ1 2024","Currency=USD","Period=FQ","BEST_FPERIOD_OVERRIDE=FQ","FILING_STATUS=MR","SCALING_FORMAT=MLN","Sort=A","Dates=H","DateFormat=P","Fill=—","Direction=H","UseDPDF=Y")</f>
        <v>-244</v>
      </c>
      <c r="Y31" s="13">
        <f>_xll.BDH("GILD US Equity","CF_INCR_INVEST","FQ2 2024","FQ2 2024","Currency=USD","Period=FQ","BEST_FPERIOD_OVERRIDE=FQ","FILING_STATUS=MR","SCALING_FORMAT=MLN","Sort=A","Dates=H","DateFormat=P","Fill=—","Direction=H","UseDPDF=Y")</f>
        <v>0</v>
      </c>
      <c r="Z31" s="13">
        <f>_xll.BDH("GILD US Equity","CF_INCR_INVEST","FQ3 2024","FQ3 2024","Currency=USD","Period=FQ","BEST_FPERIOD_OVERRIDE=FQ","FILING_STATUS=MR","SCALING_FORMAT=MLN","Sort=A","Dates=H","DateFormat=P","Fill=—","Direction=H","UseDPDF=Y")</f>
        <v>0</v>
      </c>
      <c r="AA31" s="13">
        <f>_xll.BDH("GILD US Equity","CF_INCR_INVEST","FQ4 2024","FQ4 2024","Currency=USD","Period=FQ","BEST_FPERIOD_OVERRIDE=FQ","FILING_STATUS=MR","SCALING_FORMAT=MLN","Sort=A","Dates=H","DateFormat=P","Fill=—","Direction=H","UseDPDF=Y")</f>
        <v>0</v>
      </c>
    </row>
    <row r="32" spans="1:27" x14ac:dyDescent="0.25">
      <c r="A32" s="10" t="s">
        <v>1358</v>
      </c>
      <c r="B32" s="10" t="s">
        <v>1359</v>
      </c>
      <c r="C32" s="13">
        <f>_xll.BDH("GILD US Equity","CF_NT_CSH_RCVD_PD_FOR_ACQUIS_DIV","FQ4 2018","FQ4 2018","Currency=USD","Period=FQ","BEST_FPERIOD_OVERRIDE=FQ","FILING_STATUS=MR","SCALING_FORMAT=MLN","Sort=A","Dates=H","DateFormat=P","Fill=—","Direction=H","UseDPDF=Y")</f>
        <v>0</v>
      </c>
      <c r="D32" s="13">
        <f>_xll.BDH("GILD US Equity","CF_NT_CSH_RCVD_PD_FOR_ACQUIS_DIV","FQ1 2019","FQ1 2019","Currency=USD","Period=FQ","BEST_FPERIOD_OVERRIDE=FQ","FILING_STATUS=MR","SCALING_FORMAT=MLN","Sort=A","Dates=H","DateFormat=P","Fill=—","Direction=H","UseDPDF=Y")</f>
        <v>0</v>
      </c>
      <c r="E32" s="13">
        <f>_xll.BDH("GILD US Equity","CF_NT_CSH_RCVD_PD_FOR_ACQUIS_DIV","FQ2 2019","FQ2 2019","Currency=USD","Period=FQ","BEST_FPERIOD_OVERRIDE=FQ","FILING_STATUS=MR","SCALING_FORMAT=MLN","Sort=A","Dates=H","DateFormat=P","Fill=—","Direction=H","UseDPDF=Y")</f>
        <v>-239</v>
      </c>
      <c r="F32" s="13">
        <f>_xll.BDH("GILD US Equity","CF_NT_CSH_RCVD_PD_FOR_ACQUIS_DIV","FQ3 2019","FQ3 2019","Currency=USD","Period=FQ","BEST_FPERIOD_OVERRIDE=FQ","FILING_STATUS=MR","SCALING_FORMAT=MLN","Sort=A","Dates=H","DateFormat=P","Fill=—","Direction=H","UseDPDF=Y")</f>
        <v>-4251</v>
      </c>
      <c r="G32" s="13">
        <f>_xll.BDH("GILD US Equity","CF_NT_CSH_RCVD_PD_FOR_ACQUIS_DIV","FQ4 2019","FQ4 2019","Currency=USD","Period=FQ","BEST_FPERIOD_OVERRIDE=FQ","FILING_STATUS=MR","SCALING_FORMAT=MLN","Sort=A","Dates=H","DateFormat=P","Fill=—","Direction=H","UseDPDF=Y")</f>
        <v>0</v>
      </c>
      <c r="H32" s="13">
        <f>_xll.BDH("GILD US Equity","CF_NT_CSH_RCVD_PD_FOR_ACQUIS_DIV","FQ1 2020","FQ1 2020","Currency=USD","Period=FQ","BEST_FPERIOD_OVERRIDE=FQ","FILING_STATUS=MR","SCALING_FORMAT=MLN","Sort=A","Dates=H","DateFormat=P","Fill=—","Direction=H","UseDPDF=Y")</f>
        <v>-63</v>
      </c>
      <c r="I32" s="13">
        <f>_xll.BDH("GILD US Equity","CF_NT_CSH_RCVD_PD_FOR_ACQUIS_DIV","FQ2 2020","FQ2 2020","Currency=USD","Period=FQ","BEST_FPERIOD_OVERRIDE=FQ","FILING_STATUS=MR","SCALING_FORMAT=MLN","Sort=A","Dates=H","DateFormat=P","Fill=—","Direction=H","UseDPDF=Y")</f>
        <v>-4741</v>
      </c>
      <c r="J32" s="13">
        <f>_xll.BDH("GILD US Equity","CF_NT_CSH_RCVD_PD_FOR_ACQUIS_DIV","FQ3 2020","FQ3 2020","Currency=USD","Period=FQ","BEST_FPERIOD_OVERRIDE=FQ","FILING_STATUS=MR","SCALING_FORMAT=MLN","Sort=A","Dates=H","DateFormat=P","Fill=—","Direction=H","UseDPDF=Y")</f>
        <v>-1000</v>
      </c>
      <c r="K32" s="13">
        <f>_xll.BDH("GILD US Equity","CF_NT_CSH_RCVD_PD_FOR_ACQUIS_DIV","FQ4 2020","FQ4 2020","Currency=USD","Period=FQ","BEST_FPERIOD_OVERRIDE=FQ","FILING_STATUS=MR","SCALING_FORMAT=MLN","Sort=A","Dates=H","DateFormat=P","Fill=—","Direction=H","UseDPDF=Y")</f>
        <v>-20116</v>
      </c>
      <c r="L32" s="13">
        <f>_xll.BDH("GILD US Equity","CF_NT_CSH_RCVD_PD_FOR_ACQUIS_DIV","FQ1 2021","FQ1 2021","Currency=USD","Period=FQ","BEST_FPERIOD_OVERRIDE=FQ","FILING_STATUS=MR","SCALING_FORMAT=MLN","Sort=A","Dates=H","DateFormat=P","Fill=—","Direction=H","UseDPDF=Y")</f>
        <v>-1255</v>
      </c>
      <c r="M32" s="13">
        <f>_xll.BDH("GILD US Equity","CF_NT_CSH_RCVD_PD_FOR_ACQUIS_DIV","FQ2 2021","FQ2 2021","Currency=USD","Period=FQ","BEST_FPERIOD_OVERRIDE=FQ","FILING_STATUS=MR","SCALING_FORMAT=MLN","Sort=A","Dates=H","DateFormat=P","Fill=—","Direction=H","UseDPDF=Y")</f>
        <v>-92</v>
      </c>
      <c r="N32" s="13">
        <f>_xll.BDH("GILD US Equity","CF_NT_CSH_RCVD_PD_FOR_ACQUIS_DIV","FQ3 2021","FQ3 2021","Currency=USD","Period=FQ","BEST_FPERIOD_OVERRIDE=FQ","FILING_STATUS=MR","SCALING_FORMAT=MLN","Sort=A","Dates=H","DateFormat=P","Fill=—","Direction=H","UseDPDF=Y")</f>
        <v>-193</v>
      </c>
      <c r="O32" s="13">
        <f>_xll.BDH("GILD US Equity","CF_NT_CSH_RCVD_PD_FOR_ACQUIS_DIV","FQ4 2021","FQ4 2021","Currency=USD","Period=FQ","BEST_FPERIOD_OVERRIDE=FQ","FILING_STATUS=MR","SCALING_FORMAT=MLN","Sort=A","Dates=H","DateFormat=P","Fill=—","Direction=H","UseDPDF=Y")</f>
        <v>-44</v>
      </c>
      <c r="P32" s="13">
        <f>_xll.BDH("GILD US Equity","CF_NT_CSH_RCVD_PD_FOR_ACQUIS_DIV","FQ1 2022","FQ1 2022","Currency=USD","Period=FQ","BEST_FPERIOD_OVERRIDE=FQ","FILING_STATUS=MR","SCALING_FORMAT=MLN","Sort=A","Dates=H","DateFormat=P","Fill=—","Direction=H","UseDPDF=Y")</f>
        <v>-30</v>
      </c>
      <c r="Q32" s="13">
        <f>_xll.BDH("GILD US Equity","CF_NT_CSH_RCVD_PD_FOR_ACQUIS_DIV","FQ2 2022","FQ2 2022","Currency=USD","Period=FQ","BEST_FPERIOD_OVERRIDE=FQ","FILING_STATUS=MR","SCALING_FORMAT=MLN","Sort=A","Dates=H","DateFormat=P","Fill=—","Direction=H","UseDPDF=Y")</f>
        <v>-1101</v>
      </c>
      <c r="R32" s="13">
        <f>_xll.BDH("GILD US Equity","CF_NT_CSH_RCVD_PD_FOR_ACQUIS_DIV","FQ3 2022","FQ3 2022","Currency=USD","Period=FQ","BEST_FPERIOD_OVERRIDE=FQ","FILING_STATUS=MR","SCALING_FORMAT=MLN","Sort=A","Dates=H","DateFormat=P","Fill=—","Direction=H","UseDPDF=Y")</f>
        <v>-448</v>
      </c>
      <c r="S32" s="13">
        <f>_xll.BDH("GILD US Equity","CF_NT_CSH_RCVD_PD_FOR_ACQUIS_DIV","FQ4 2022","FQ4 2022","Currency=USD","Period=FQ","BEST_FPERIOD_OVERRIDE=FQ","FILING_STATUS=MR","SCALING_FORMAT=MLN","Sort=A","Dates=H","DateFormat=P","Fill=—","Direction=H","UseDPDF=Y")</f>
        <v>-218</v>
      </c>
      <c r="T32" s="13">
        <f>_xll.BDH("GILD US Equity","CF_NT_CSH_RCVD_PD_FOR_ACQUIS_DIV","FQ1 2023","FQ1 2023","Currency=USD","Period=FQ","BEST_FPERIOD_OVERRIDE=FQ","FILING_STATUS=MR","SCALING_FORMAT=MLN","Sort=A","Dates=H","DateFormat=P","Fill=—","Direction=H","UseDPDF=Y")</f>
        <v>-551</v>
      </c>
      <c r="U32" s="13">
        <f>_xll.BDH("GILD US Equity","CF_NT_CSH_RCVD_PD_FOR_ACQUIS_DIV","FQ2 2023","FQ2 2023","Currency=USD","Period=FQ","BEST_FPERIOD_OVERRIDE=FQ","FILING_STATUS=MR","SCALING_FORMAT=MLN","Sort=A","Dates=H","DateFormat=P","Fill=—","Direction=H","UseDPDF=Y")</f>
        <v>-243</v>
      </c>
      <c r="V32" s="13">
        <f>_xll.BDH("GILD US Equity","CF_NT_CSH_RCVD_PD_FOR_ACQUIS_DIV","FQ3 2023","FQ3 2023","Currency=USD","Period=FQ","BEST_FPERIOD_OVERRIDE=FQ","FILING_STATUS=MR","SCALING_FORMAT=MLN","Sort=A","Dates=H","DateFormat=P","Fill=—","Direction=H","UseDPDF=Y")</f>
        <v>-79</v>
      </c>
      <c r="W32" s="13">
        <f>_xll.BDH("GILD US Equity","CF_NT_CSH_RCVD_PD_FOR_ACQUIS_DIV","FQ4 2023","FQ4 2023","Currency=USD","Period=FQ","BEST_FPERIOD_OVERRIDE=FQ","FILING_STATUS=MR","SCALING_FORMAT=MLN","Sort=A","Dates=H","DateFormat=P","Fill=—","Direction=H","UseDPDF=Y")</f>
        <v>-279</v>
      </c>
      <c r="X32" s="13">
        <f>_xll.BDH("GILD US Equity","CF_NT_CSH_RCVD_PD_FOR_ACQUIS_DIV","FQ1 2024","FQ1 2024","Currency=USD","Period=FQ","BEST_FPERIOD_OVERRIDE=FQ","FILING_STATUS=MR","SCALING_FORMAT=MLN","Sort=A","Dates=H","DateFormat=P","Fill=—","Direction=H","UseDPDF=Y")</f>
        <v>-4043</v>
      </c>
      <c r="Y32" s="13">
        <f>_xll.BDH("GILD US Equity","CF_NT_CSH_RCVD_PD_FOR_ACQUIS_DIV","FQ2 2024","FQ2 2024","Currency=USD","Period=FQ","BEST_FPERIOD_OVERRIDE=FQ","FILING_STATUS=MR","SCALING_FORMAT=MLN","Sort=A","Dates=H","DateFormat=P","Fill=—","Direction=H","UseDPDF=Y")</f>
        <v>-152</v>
      </c>
      <c r="Z32" s="13">
        <f>_xll.BDH("GILD US Equity","CF_NT_CSH_RCVD_PD_FOR_ACQUIS_DIV","FQ3 2024","FQ3 2024","Currency=USD","Period=FQ","BEST_FPERIOD_OVERRIDE=FQ","FILING_STATUS=MR","SCALING_FORMAT=MLN","Sort=A","Dates=H","DateFormat=P","Fill=—","Direction=H","UseDPDF=Y")</f>
        <v>-570</v>
      </c>
      <c r="AA32" s="13">
        <f>_xll.BDH("GILD US Equity","CF_NT_CSH_RCVD_PD_FOR_ACQUIS_DIV","FQ4 2024","FQ4 2024","Currency=USD","Period=FQ","BEST_FPERIOD_OVERRIDE=FQ","FILING_STATUS=MR","SCALING_FORMAT=MLN","Sort=A","Dates=H","DateFormat=P","Fill=—","Direction=H","UseDPDF=Y")</f>
        <v>-75</v>
      </c>
    </row>
    <row r="33" spans="1:27" x14ac:dyDescent="0.25">
      <c r="A33" s="10" t="s">
        <v>1360</v>
      </c>
      <c r="B33" s="10" t="s">
        <v>1361</v>
      </c>
      <c r="C33" s="13">
        <f>_xll.BDH("GILD US Equity","CF_CASH_FOR_DIVESTITURES","FQ4 2018","FQ4 2018","Currency=USD","Period=FQ","BEST_FPERIOD_OVERRIDE=FQ","FILING_STATUS=MR","SCALING_FORMAT=MLN","Sort=A","Dates=H","DateFormat=P","Fill=—","Direction=H","UseDPDF=Y")</f>
        <v>0</v>
      </c>
      <c r="D33" s="13">
        <f>_xll.BDH("GILD US Equity","CF_CASH_FOR_DIVESTITURES","FQ1 2019","FQ1 2019","Currency=USD","Period=FQ","BEST_FPERIOD_OVERRIDE=FQ","FILING_STATUS=MR","SCALING_FORMAT=MLN","Sort=A","Dates=H","DateFormat=P","Fill=—","Direction=H","UseDPDF=Y")</f>
        <v>0</v>
      </c>
      <c r="E33" s="13">
        <f>_xll.BDH("GILD US Equity","CF_CASH_FOR_DIVESTITURES","FQ2 2019","FQ2 2019","Currency=USD","Period=FQ","BEST_FPERIOD_OVERRIDE=FQ","FILING_STATUS=MR","SCALING_FORMAT=MLN","Sort=A","Dates=H","DateFormat=P","Fill=—","Direction=H","UseDPDF=Y")</f>
        <v>0</v>
      </c>
      <c r="F33" s="13">
        <f>_xll.BDH("GILD US Equity","CF_CASH_FOR_DIVESTITURES","FQ3 2019","FQ3 2019","Currency=USD","Period=FQ","BEST_FPERIOD_OVERRIDE=FQ","FILING_STATUS=MR","SCALING_FORMAT=MLN","Sort=A","Dates=H","DateFormat=P","Fill=—","Direction=H","UseDPDF=Y")</f>
        <v>0</v>
      </c>
      <c r="G33" s="13">
        <f>_xll.BDH("GILD US Equity","CF_CASH_FOR_DIVESTITURES","FQ4 2019","FQ4 2019","Currency=USD","Period=FQ","BEST_FPERIOD_OVERRIDE=FQ","FILING_STATUS=MR","SCALING_FORMAT=MLN","Sort=A","Dates=H","DateFormat=P","Fill=—","Direction=H","UseDPDF=Y")</f>
        <v>0</v>
      </c>
      <c r="H33" s="13">
        <f>_xll.BDH("GILD US Equity","CF_CASH_FOR_DIVESTITURES","FQ1 2020","FQ1 2020","Currency=USD","Period=FQ","BEST_FPERIOD_OVERRIDE=FQ","FILING_STATUS=MR","SCALING_FORMAT=MLN","Sort=A","Dates=H","DateFormat=P","Fill=—","Direction=H","UseDPDF=Y")</f>
        <v>0</v>
      </c>
      <c r="I33" s="13">
        <f>_xll.BDH("GILD US Equity","CF_CASH_FOR_DIVESTITURES","FQ2 2020","FQ2 2020","Currency=USD","Period=FQ","BEST_FPERIOD_OVERRIDE=FQ","FILING_STATUS=MR","SCALING_FORMAT=MLN","Sort=A","Dates=H","DateFormat=P","Fill=—","Direction=H","UseDPDF=Y")</f>
        <v>0</v>
      </c>
      <c r="J33" s="13">
        <f>_xll.BDH("GILD US Equity","CF_CASH_FOR_DIVESTITURES","FQ3 2020","FQ3 2020","Currency=USD","Period=FQ","BEST_FPERIOD_OVERRIDE=FQ","FILING_STATUS=MR","SCALING_FORMAT=MLN","Sort=A","Dates=H","DateFormat=P","Fill=—","Direction=H","UseDPDF=Y")</f>
        <v>0</v>
      </c>
      <c r="K33" s="13">
        <f>_xll.BDH("GILD US Equity","CF_CASH_FOR_DIVESTITURES","FQ4 2020","FQ4 2020","Currency=USD","Period=FQ","BEST_FPERIOD_OVERRIDE=FQ","FILING_STATUS=MR","SCALING_FORMAT=MLN","Sort=A","Dates=H","DateFormat=P","Fill=—","Direction=H","UseDPDF=Y")</f>
        <v>0</v>
      </c>
      <c r="L33" s="13">
        <f>_xll.BDH("GILD US Equity","CF_CASH_FOR_DIVESTITURES","FQ1 2021","FQ1 2021","Currency=USD","Period=FQ","BEST_FPERIOD_OVERRIDE=FQ","FILING_STATUS=MR","SCALING_FORMAT=MLN","Sort=A","Dates=H","DateFormat=P","Fill=—","Direction=H","UseDPDF=Y")</f>
        <v>0</v>
      </c>
      <c r="M33" s="13">
        <f>_xll.BDH("GILD US Equity","CF_CASH_FOR_DIVESTITURES","FQ2 2021","FQ2 2021","Currency=USD","Period=FQ","BEST_FPERIOD_OVERRIDE=FQ","FILING_STATUS=MR","SCALING_FORMAT=MLN","Sort=A","Dates=H","DateFormat=P","Fill=—","Direction=H","UseDPDF=Y")</f>
        <v>0</v>
      </c>
      <c r="N33" s="13">
        <f>_xll.BDH("GILD US Equity","CF_CASH_FOR_DIVESTITURES","FQ3 2021","FQ3 2021","Currency=USD","Period=FQ","BEST_FPERIOD_OVERRIDE=FQ","FILING_STATUS=MR","SCALING_FORMAT=MLN","Sort=A","Dates=H","DateFormat=P","Fill=—","Direction=H","UseDPDF=Y")</f>
        <v>0</v>
      </c>
      <c r="O33" s="13">
        <f>_xll.BDH("GILD US Equity","CF_CASH_FOR_DIVESTITURES","FQ4 2021","FQ4 2021","Currency=USD","Period=FQ","BEST_FPERIOD_OVERRIDE=FQ","FILING_STATUS=MR","SCALING_FORMAT=MLN","Sort=A","Dates=H","DateFormat=P","Fill=—","Direction=H","UseDPDF=Y")</f>
        <v>0</v>
      </c>
      <c r="P33" s="13">
        <f>_xll.BDH("GILD US Equity","CF_CASH_FOR_DIVESTITURES","FQ1 2022","FQ1 2022","Currency=USD","Period=FQ","BEST_FPERIOD_OVERRIDE=FQ","FILING_STATUS=MR","SCALING_FORMAT=MLN","Sort=A","Dates=H","DateFormat=P","Fill=—","Direction=H","UseDPDF=Y")</f>
        <v>0</v>
      </c>
      <c r="Q33" s="13">
        <f>_xll.BDH("GILD US Equity","CF_CASH_FOR_DIVESTITURES","FQ2 2022","FQ2 2022","Currency=USD","Period=FQ","BEST_FPERIOD_OVERRIDE=FQ","FILING_STATUS=MR","SCALING_FORMAT=MLN","Sort=A","Dates=H","DateFormat=P","Fill=—","Direction=H","UseDPDF=Y")</f>
        <v>0</v>
      </c>
      <c r="R33" s="13">
        <f>_xll.BDH("GILD US Equity","CF_CASH_FOR_DIVESTITURES","FQ3 2022","FQ3 2022","Currency=USD","Period=FQ","BEST_FPERIOD_OVERRIDE=FQ","FILING_STATUS=MR","SCALING_FORMAT=MLN","Sort=A","Dates=H","DateFormat=P","Fill=—","Direction=H","UseDPDF=Y")</f>
        <v>0</v>
      </c>
      <c r="S33" s="13">
        <f>_xll.BDH("GILD US Equity","CF_CASH_FOR_DIVESTITURES","FQ4 2022","FQ4 2022","Currency=USD","Period=FQ","BEST_FPERIOD_OVERRIDE=FQ","FILING_STATUS=MR","SCALING_FORMAT=MLN","Sort=A","Dates=H","DateFormat=P","Fill=—","Direction=H","UseDPDF=Y")</f>
        <v>0</v>
      </c>
      <c r="T33" s="13">
        <f>_xll.BDH("GILD US Equity","CF_CASH_FOR_DIVESTITURES","FQ1 2023","FQ1 2023","Currency=USD","Period=FQ","BEST_FPERIOD_OVERRIDE=FQ","FILING_STATUS=MR","SCALING_FORMAT=MLN","Sort=A","Dates=H","DateFormat=P","Fill=—","Direction=H","UseDPDF=Y")</f>
        <v>0</v>
      </c>
      <c r="U33" s="13">
        <f>_xll.BDH("GILD US Equity","CF_CASH_FOR_DIVESTITURES","FQ2 2023","FQ2 2023","Currency=USD","Period=FQ","BEST_FPERIOD_OVERRIDE=FQ","FILING_STATUS=MR","SCALING_FORMAT=MLN","Sort=A","Dates=H","DateFormat=P","Fill=—","Direction=H","UseDPDF=Y")</f>
        <v>0</v>
      </c>
      <c r="V33" s="13">
        <f>_xll.BDH("GILD US Equity","CF_CASH_FOR_DIVESTITURES","FQ3 2023","FQ3 2023","Currency=USD","Period=FQ","BEST_FPERIOD_OVERRIDE=FQ","FILING_STATUS=MR","SCALING_FORMAT=MLN","Sort=A","Dates=H","DateFormat=P","Fill=—","Direction=H","UseDPDF=Y")</f>
        <v>0</v>
      </c>
      <c r="W33" s="13">
        <f>_xll.BDH("GILD US Equity","CF_CASH_FOR_DIVESTITURES","FQ4 2023","FQ4 2023","Currency=USD","Period=FQ","BEST_FPERIOD_OVERRIDE=FQ","FILING_STATUS=MR","SCALING_FORMAT=MLN","Sort=A","Dates=H","DateFormat=P","Fill=—","Direction=H","UseDPDF=Y")</f>
        <v>0</v>
      </c>
      <c r="X33" s="13">
        <f>_xll.BDH("GILD US Equity","CF_CASH_FOR_DIVESTITURES","FQ1 2024","FQ1 2024","Currency=USD","Period=FQ","BEST_FPERIOD_OVERRIDE=FQ","FILING_STATUS=MR","SCALING_FORMAT=MLN","Sort=A","Dates=H","DateFormat=P","Fill=—","Direction=H","UseDPDF=Y")</f>
        <v>0</v>
      </c>
      <c r="Y33" s="13">
        <f>_xll.BDH("GILD US Equity","CF_CASH_FOR_DIVESTITURES","FQ2 2024","FQ2 2024","Currency=USD","Period=FQ","BEST_FPERIOD_OVERRIDE=FQ","FILING_STATUS=MR","SCALING_FORMAT=MLN","Sort=A","Dates=H","DateFormat=P","Fill=—","Direction=H","UseDPDF=Y")</f>
        <v>0</v>
      </c>
      <c r="Z33" s="13">
        <f>_xll.BDH("GILD US Equity","CF_CASH_FOR_DIVESTITURES","FQ3 2024","FQ3 2024","Currency=USD","Period=FQ","BEST_FPERIOD_OVERRIDE=FQ","FILING_STATUS=MR","SCALING_FORMAT=MLN","Sort=A","Dates=H","DateFormat=P","Fill=—","Direction=H","UseDPDF=Y")</f>
        <v>0</v>
      </c>
      <c r="AA33" s="13">
        <f>_xll.BDH("GILD US Equity","CF_CASH_FOR_DIVESTITURES","FQ4 2024","FQ4 2024","Currency=USD","Period=FQ","BEST_FPERIOD_OVERRIDE=FQ","FILING_STATUS=MR","SCALING_FORMAT=MLN","Sort=A","Dates=H","DateFormat=P","Fill=—","Direction=H","UseDPDF=Y")</f>
        <v>0</v>
      </c>
    </row>
    <row r="34" spans="1:27" x14ac:dyDescent="0.25">
      <c r="A34" s="10" t="s">
        <v>1362</v>
      </c>
      <c r="B34" s="10" t="s">
        <v>1363</v>
      </c>
      <c r="C34" s="13">
        <f>_xll.BDH("GILD US Equity","CF_CASH_FOR_ACQUIS_SUBSIDIARIES","FQ4 2018","FQ4 2018","Currency=USD","Period=FQ","BEST_FPERIOD_OVERRIDE=FQ","FILING_STATUS=MR","SCALING_FORMAT=MLN","Sort=A","Dates=H","DateFormat=P","Fill=—","Direction=H","UseDPDF=Y")</f>
        <v>0</v>
      </c>
      <c r="D34" s="13">
        <f>_xll.BDH("GILD US Equity","CF_CASH_FOR_ACQUIS_SUBSIDIARIES","FQ1 2019","FQ1 2019","Currency=USD","Period=FQ","BEST_FPERIOD_OVERRIDE=FQ","FILING_STATUS=MR","SCALING_FORMAT=MLN","Sort=A","Dates=H","DateFormat=P","Fill=—","Direction=H","UseDPDF=Y")</f>
        <v>0</v>
      </c>
      <c r="E34" s="13">
        <f>_xll.BDH("GILD US Equity","CF_CASH_FOR_ACQUIS_SUBSIDIARIES","FQ2 2019","FQ2 2019","Currency=USD","Period=FQ","BEST_FPERIOD_OVERRIDE=FQ","FILING_STATUS=MR","SCALING_FORMAT=MLN","Sort=A","Dates=H","DateFormat=P","Fill=—","Direction=H","UseDPDF=Y")</f>
        <v>-239</v>
      </c>
      <c r="F34" s="13">
        <f>_xll.BDH("GILD US Equity","CF_CASH_FOR_ACQUIS_SUBSIDIARIES","FQ3 2019","FQ3 2019","Currency=USD","Period=FQ","BEST_FPERIOD_OVERRIDE=FQ","FILING_STATUS=MR","SCALING_FORMAT=MLN","Sort=A","Dates=H","DateFormat=P","Fill=—","Direction=H","UseDPDF=Y")</f>
        <v>-4251</v>
      </c>
      <c r="G34" s="13">
        <f>_xll.BDH("GILD US Equity","CF_CASH_FOR_ACQUIS_SUBSIDIARIES","FQ4 2019","FQ4 2019","Currency=USD","Period=FQ","BEST_FPERIOD_OVERRIDE=FQ","FILING_STATUS=MR","SCALING_FORMAT=MLN","Sort=A","Dates=H","DateFormat=P","Fill=—","Direction=H","UseDPDF=Y")</f>
        <v>0</v>
      </c>
      <c r="H34" s="13">
        <f>_xll.BDH("GILD US Equity","CF_CASH_FOR_ACQUIS_SUBSIDIARIES","FQ1 2020","FQ1 2020","Currency=USD","Period=FQ","BEST_FPERIOD_OVERRIDE=FQ","FILING_STATUS=MR","SCALING_FORMAT=MLN","Sort=A","Dates=H","DateFormat=P","Fill=—","Direction=H","UseDPDF=Y")</f>
        <v>-63</v>
      </c>
      <c r="I34" s="13">
        <f>_xll.BDH("GILD US Equity","CF_CASH_FOR_ACQUIS_SUBSIDIARIES","FQ2 2020","FQ2 2020","Currency=USD","Period=FQ","BEST_FPERIOD_OVERRIDE=FQ","FILING_STATUS=MR","SCALING_FORMAT=MLN","Sort=A","Dates=H","DateFormat=P","Fill=—","Direction=H","UseDPDF=Y")</f>
        <v>-4741</v>
      </c>
      <c r="J34" s="13">
        <f>_xll.BDH("GILD US Equity","CF_CASH_FOR_ACQUIS_SUBSIDIARIES","FQ3 2020","FQ3 2020","Currency=USD","Period=FQ","BEST_FPERIOD_OVERRIDE=FQ","FILING_STATUS=MR","SCALING_FORMAT=MLN","Sort=A","Dates=H","DateFormat=P","Fill=—","Direction=H","UseDPDF=Y")</f>
        <v>-1000</v>
      </c>
      <c r="K34" s="13">
        <f>_xll.BDH("GILD US Equity","CF_CASH_FOR_ACQUIS_SUBSIDIARIES","FQ4 2020","FQ4 2020","Currency=USD","Period=FQ","BEST_FPERIOD_OVERRIDE=FQ","FILING_STATUS=MR","SCALING_FORMAT=MLN","Sort=A","Dates=H","DateFormat=P","Fill=—","Direction=H","UseDPDF=Y")</f>
        <v>-20116</v>
      </c>
      <c r="L34" s="13">
        <f>_xll.BDH("GILD US Equity","CF_CASH_FOR_ACQUIS_SUBSIDIARIES","FQ1 2021","FQ1 2021","Currency=USD","Period=FQ","BEST_FPERIOD_OVERRIDE=FQ","FILING_STATUS=MR","SCALING_FORMAT=MLN","Sort=A","Dates=H","DateFormat=P","Fill=—","Direction=H","UseDPDF=Y")</f>
        <v>-1255</v>
      </c>
      <c r="M34" s="13">
        <f>_xll.BDH("GILD US Equity","CF_CASH_FOR_ACQUIS_SUBSIDIARIES","FQ2 2021","FQ2 2021","Currency=USD","Period=FQ","BEST_FPERIOD_OVERRIDE=FQ","FILING_STATUS=MR","SCALING_FORMAT=MLN","Sort=A","Dates=H","DateFormat=P","Fill=—","Direction=H","UseDPDF=Y")</f>
        <v>-92</v>
      </c>
      <c r="N34" s="13">
        <f>_xll.BDH("GILD US Equity","CF_CASH_FOR_ACQUIS_SUBSIDIARIES","FQ3 2021","FQ3 2021","Currency=USD","Period=FQ","BEST_FPERIOD_OVERRIDE=FQ","FILING_STATUS=MR","SCALING_FORMAT=MLN","Sort=A","Dates=H","DateFormat=P","Fill=—","Direction=H","UseDPDF=Y")</f>
        <v>-193</v>
      </c>
      <c r="O34" s="13">
        <f>_xll.BDH("GILD US Equity","CF_CASH_FOR_ACQUIS_SUBSIDIARIES","FQ4 2021","FQ4 2021","Currency=USD","Period=FQ","BEST_FPERIOD_OVERRIDE=FQ","FILING_STATUS=MR","SCALING_FORMAT=MLN","Sort=A","Dates=H","DateFormat=P","Fill=—","Direction=H","UseDPDF=Y")</f>
        <v>-44</v>
      </c>
      <c r="P34" s="13">
        <f>_xll.BDH("GILD US Equity","CF_CASH_FOR_ACQUIS_SUBSIDIARIES","FQ1 2022","FQ1 2022","Currency=USD","Period=FQ","BEST_FPERIOD_OVERRIDE=FQ","FILING_STATUS=MR","SCALING_FORMAT=MLN","Sort=A","Dates=H","DateFormat=P","Fill=—","Direction=H","UseDPDF=Y")</f>
        <v>-30</v>
      </c>
      <c r="Q34" s="13">
        <f>_xll.BDH("GILD US Equity","CF_CASH_FOR_ACQUIS_SUBSIDIARIES","FQ2 2022","FQ2 2022","Currency=USD","Period=FQ","BEST_FPERIOD_OVERRIDE=FQ","FILING_STATUS=MR","SCALING_FORMAT=MLN","Sort=A","Dates=H","DateFormat=P","Fill=—","Direction=H","UseDPDF=Y")</f>
        <v>-1101</v>
      </c>
      <c r="R34" s="13">
        <f>_xll.BDH("GILD US Equity","CF_CASH_FOR_ACQUIS_SUBSIDIARIES","FQ3 2022","FQ3 2022","Currency=USD","Period=FQ","BEST_FPERIOD_OVERRIDE=FQ","FILING_STATUS=MR","SCALING_FORMAT=MLN","Sort=A","Dates=H","DateFormat=P","Fill=—","Direction=H","UseDPDF=Y")</f>
        <v>-448</v>
      </c>
      <c r="S34" s="13">
        <f>_xll.BDH("GILD US Equity","CF_CASH_FOR_ACQUIS_SUBSIDIARIES","FQ4 2022","FQ4 2022","Currency=USD","Period=FQ","BEST_FPERIOD_OVERRIDE=FQ","FILING_STATUS=MR","SCALING_FORMAT=MLN","Sort=A","Dates=H","DateFormat=P","Fill=—","Direction=H","UseDPDF=Y")</f>
        <v>-218</v>
      </c>
      <c r="T34" s="13">
        <f>_xll.BDH("GILD US Equity","CF_CASH_FOR_ACQUIS_SUBSIDIARIES","FQ1 2023","FQ1 2023","Currency=USD","Period=FQ","BEST_FPERIOD_OVERRIDE=FQ","FILING_STATUS=MR","SCALING_FORMAT=MLN","Sort=A","Dates=H","DateFormat=P","Fill=—","Direction=H","UseDPDF=Y")</f>
        <v>-551</v>
      </c>
      <c r="U34" s="13">
        <f>_xll.BDH("GILD US Equity","CF_CASH_FOR_ACQUIS_SUBSIDIARIES","FQ2 2023","FQ2 2023","Currency=USD","Period=FQ","BEST_FPERIOD_OVERRIDE=FQ","FILING_STATUS=MR","SCALING_FORMAT=MLN","Sort=A","Dates=H","DateFormat=P","Fill=—","Direction=H","UseDPDF=Y")</f>
        <v>-243</v>
      </c>
      <c r="V34" s="13">
        <f>_xll.BDH("GILD US Equity","CF_CASH_FOR_ACQUIS_SUBSIDIARIES","FQ3 2023","FQ3 2023","Currency=USD","Period=FQ","BEST_FPERIOD_OVERRIDE=FQ","FILING_STATUS=MR","SCALING_FORMAT=MLN","Sort=A","Dates=H","DateFormat=P","Fill=—","Direction=H","UseDPDF=Y")</f>
        <v>-79</v>
      </c>
      <c r="W34" s="13">
        <f>_xll.BDH("GILD US Equity","CF_CASH_FOR_ACQUIS_SUBSIDIARIES","FQ4 2023","FQ4 2023","Currency=USD","Period=FQ","BEST_FPERIOD_OVERRIDE=FQ","FILING_STATUS=MR","SCALING_FORMAT=MLN","Sort=A","Dates=H","DateFormat=P","Fill=—","Direction=H","UseDPDF=Y")</f>
        <v>-279</v>
      </c>
      <c r="X34" s="13">
        <f>_xll.BDH("GILD US Equity","CF_CASH_FOR_ACQUIS_SUBSIDIARIES","FQ1 2024","FQ1 2024","Currency=USD","Period=FQ","BEST_FPERIOD_OVERRIDE=FQ","FILING_STATUS=MR","SCALING_FORMAT=MLN","Sort=A","Dates=H","DateFormat=P","Fill=—","Direction=H","UseDPDF=Y")</f>
        <v>-4043</v>
      </c>
      <c r="Y34" s="13">
        <f>_xll.BDH("GILD US Equity","CF_CASH_FOR_ACQUIS_SUBSIDIARIES","FQ2 2024","FQ2 2024","Currency=USD","Period=FQ","BEST_FPERIOD_OVERRIDE=FQ","FILING_STATUS=MR","SCALING_FORMAT=MLN","Sort=A","Dates=H","DateFormat=P","Fill=—","Direction=H","UseDPDF=Y")</f>
        <v>-152</v>
      </c>
      <c r="Z34" s="13">
        <f>_xll.BDH("GILD US Equity","CF_CASH_FOR_ACQUIS_SUBSIDIARIES","FQ3 2024","FQ3 2024","Currency=USD","Period=FQ","BEST_FPERIOD_OVERRIDE=FQ","FILING_STATUS=MR","SCALING_FORMAT=MLN","Sort=A","Dates=H","DateFormat=P","Fill=—","Direction=H","UseDPDF=Y")</f>
        <v>-570</v>
      </c>
      <c r="AA34" s="13">
        <f>_xll.BDH("GILD US Equity","CF_CASH_FOR_ACQUIS_SUBSIDIARIES","FQ4 2024","FQ4 2024","Currency=USD","Period=FQ","BEST_FPERIOD_OVERRIDE=FQ","FILING_STATUS=MR","SCALING_FORMAT=MLN","Sort=A","Dates=H","DateFormat=P","Fill=—","Direction=H","UseDPDF=Y")</f>
        <v>-75</v>
      </c>
    </row>
    <row r="35" spans="1:27" x14ac:dyDescent="0.25">
      <c r="A35" s="10" t="s">
        <v>1364</v>
      </c>
      <c r="B35" s="10" t="s">
        <v>1365</v>
      </c>
      <c r="C35" s="13">
        <f>_xll.BDH("GILD US Equity","CF_CASH_FOR_JOINT_VENTURES_ASSOC","FQ4 2018","FQ4 2018","Currency=USD","Period=FQ","BEST_FPERIOD_OVERRIDE=FQ","FILING_STATUS=MR","SCALING_FORMAT=MLN","Sort=A","Dates=H","DateFormat=P","Fill=—","Direction=H","UseDPDF=Y")</f>
        <v>0</v>
      </c>
      <c r="D35" s="13">
        <f>_xll.BDH("GILD US Equity","CF_CASH_FOR_JOINT_VENTURES_ASSOC","FQ1 2019","FQ1 2019","Currency=USD","Period=FQ","BEST_FPERIOD_OVERRIDE=FQ","FILING_STATUS=MR","SCALING_FORMAT=MLN","Sort=A","Dates=H","DateFormat=P","Fill=—","Direction=H","UseDPDF=Y")</f>
        <v>0</v>
      </c>
      <c r="E35" s="13">
        <f>_xll.BDH("GILD US Equity","CF_CASH_FOR_JOINT_VENTURES_ASSOC","FQ2 2019","FQ2 2019","Currency=USD","Period=FQ","BEST_FPERIOD_OVERRIDE=FQ","FILING_STATUS=MR","SCALING_FORMAT=MLN","Sort=A","Dates=H","DateFormat=P","Fill=—","Direction=H","UseDPDF=Y")</f>
        <v>0</v>
      </c>
      <c r="F35" s="13">
        <f>_xll.BDH("GILD US Equity","CF_CASH_FOR_JOINT_VENTURES_ASSOC","FQ3 2019","FQ3 2019","Currency=USD","Period=FQ","BEST_FPERIOD_OVERRIDE=FQ","FILING_STATUS=MR","SCALING_FORMAT=MLN","Sort=A","Dates=H","DateFormat=P","Fill=—","Direction=H","UseDPDF=Y")</f>
        <v>0</v>
      </c>
      <c r="G35" s="13">
        <f>_xll.BDH("GILD US Equity","CF_CASH_FOR_JOINT_VENTURES_ASSOC","FQ4 2019","FQ4 2019","Currency=USD","Period=FQ","BEST_FPERIOD_OVERRIDE=FQ","FILING_STATUS=MR","SCALING_FORMAT=MLN","Sort=A","Dates=H","DateFormat=P","Fill=—","Direction=H","UseDPDF=Y")</f>
        <v>0</v>
      </c>
      <c r="H35" s="13">
        <f>_xll.BDH("GILD US Equity","CF_CASH_FOR_JOINT_VENTURES_ASSOC","FQ1 2020","FQ1 2020","Currency=USD","Period=FQ","BEST_FPERIOD_OVERRIDE=FQ","FILING_STATUS=MR","SCALING_FORMAT=MLN","Sort=A","Dates=H","DateFormat=P","Fill=—","Direction=H","UseDPDF=Y")</f>
        <v>0</v>
      </c>
      <c r="I35" s="13">
        <f>_xll.BDH("GILD US Equity","CF_CASH_FOR_JOINT_VENTURES_ASSOC","FQ2 2020","FQ2 2020","Currency=USD","Period=FQ","BEST_FPERIOD_OVERRIDE=FQ","FILING_STATUS=MR","SCALING_FORMAT=MLN","Sort=A","Dates=H","DateFormat=P","Fill=—","Direction=H","UseDPDF=Y")</f>
        <v>0</v>
      </c>
      <c r="J35" s="13">
        <f>_xll.BDH("GILD US Equity","CF_CASH_FOR_JOINT_VENTURES_ASSOC","FQ3 2020","FQ3 2020","Currency=USD","Period=FQ","BEST_FPERIOD_OVERRIDE=FQ","FILING_STATUS=MR","SCALING_FORMAT=MLN","Sort=A","Dates=H","DateFormat=P","Fill=—","Direction=H","UseDPDF=Y")</f>
        <v>0</v>
      </c>
      <c r="K35" s="13">
        <f>_xll.BDH("GILD US Equity","CF_CASH_FOR_JOINT_VENTURES_ASSOC","FQ4 2020","FQ4 2020","Currency=USD","Period=FQ","BEST_FPERIOD_OVERRIDE=FQ","FILING_STATUS=MR","SCALING_FORMAT=MLN","Sort=A","Dates=H","DateFormat=P","Fill=—","Direction=H","UseDPDF=Y")</f>
        <v>0</v>
      </c>
      <c r="L35" s="13">
        <f>_xll.BDH("GILD US Equity","CF_CASH_FOR_JOINT_VENTURES_ASSOC","FQ1 2021","FQ1 2021","Currency=USD","Period=FQ","BEST_FPERIOD_OVERRIDE=FQ","FILING_STATUS=MR","SCALING_FORMAT=MLN","Sort=A","Dates=H","DateFormat=P","Fill=—","Direction=H","UseDPDF=Y")</f>
        <v>0</v>
      </c>
      <c r="M35" s="13">
        <f>_xll.BDH("GILD US Equity","CF_CASH_FOR_JOINT_VENTURES_ASSOC","FQ2 2021","FQ2 2021","Currency=USD","Period=FQ","BEST_FPERIOD_OVERRIDE=FQ","FILING_STATUS=MR","SCALING_FORMAT=MLN","Sort=A","Dates=H","DateFormat=P","Fill=—","Direction=H","UseDPDF=Y")</f>
        <v>0</v>
      </c>
      <c r="N35" s="13">
        <f>_xll.BDH("GILD US Equity","CF_CASH_FOR_JOINT_VENTURES_ASSOC","FQ3 2021","FQ3 2021","Currency=USD","Period=FQ","BEST_FPERIOD_OVERRIDE=FQ","FILING_STATUS=MR","SCALING_FORMAT=MLN","Sort=A","Dates=H","DateFormat=P","Fill=—","Direction=H","UseDPDF=Y")</f>
        <v>0</v>
      </c>
      <c r="O35" s="13">
        <f>_xll.BDH("GILD US Equity","CF_CASH_FOR_JOINT_VENTURES_ASSOC","FQ4 2021","FQ4 2021","Currency=USD","Period=FQ","BEST_FPERIOD_OVERRIDE=FQ","FILING_STATUS=MR","SCALING_FORMAT=MLN","Sort=A","Dates=H","DateFormat=P","Fill=—","Direction=H","UseDPDF=Y")</f>
        <v>0</v>
      </c>
      <c r="P35" s="13">
        <f>_xll.BDH("GILD US Equity","CF_CASH_FOR_JOINT_VENTURES_ASSOC","FQ1 2022","FQ1 2022","Currency=USD","Period=FQ","BEST_FPERIOD_OVERRIDE=FQ","FILING_STATUS=MR","SCALING_FORMAT=MLN","Sort=A","Dates=H","DateFormat=P","Fill=—","Direction=H","UseDPDF=Y")</f>
        <v>0</v>
      </c>
      <c r="Q35" s="13">
        <f>_xll.BDH("GILD US Equity","CF_CASH_FOR_JOINT_VENTURES_ASSOC","FQ2 2022","FQ2 2022","Currency=USD","Period=FQ","BEST_FPERIOD_OVERRIDE=FQ","FILING_STATUS=MR","SCALING_FORMAT=MLN","Sort=A","Dates=H","DateFormat=P","Fill=—","Direction=H","UseDPDF=Y")</f>
        <v>0</v>
      </c>
      <c r="R35" s="13">
        <f>_xll.BDH("GILD US Equity","CF_CASH_FOR_JOINT_VENTURES_ASSOC","FQ3 2022","FQ3 2022","Currency=USD","Period=FQ","BEST_FPERIOD_OVERRIDE=FQ","FILING_STATUS=MR","SCALING_FORMAT=MLN","Sort=A","Dates=H","DateFormat=P","Fill=—","Direction=H","UseDPDF=Y")</f>
        <v>0</v>
      </c>
      <c r="S35" s="13">
        <f>_xll.BDH("GILD US Equity","CF_CASH_FOR_JOINT_VENTURES_ASSOC","FQ4 2022","FQ4 2022","Currency=USD","Period=FQ","BEST_FPERIOD_OVERRIDE=FQ","FILING_STATUS=MR","SCALING_FORMAT=MLN","Sort=A","Dates=H","DateFormat=P","Fill=—","Direction=H","UseDPDF=Y")</f>
        <v>0</v>
      </c>
      <c r="T35" s="13">
        <f>_xll.BDH("GILD US Equity","CF_CASH_FOR_JOINT_VENTURES_ASSOC","FQ1 2023","FQ1 2023","Currency=USD","Period=FQ","BEST_FPERIOD_OVERRIDE=FQ","FILING_STATUS=MR","SCALING_FORMAT=MLN","Sort=A","Dates=H","DateFormat=P","Fill=—","Direction=H","UseDPDF=Y")</f>
        <v>0</v>
      </c>
      <c r="U35" s="13">
        <f>_xll.BDH("GILD US Equity","CF_CASH_FOR_JOINT_VENTURES_ASSOC","FQ2 2023","FQ2 2023","Currency=USD","Period=FQ","BEST_FPERIOD_OVERRIDE=FQ","FILING_STATUS=MR","SCALING_FORMAT=MLN","Sort=A","Dates=H","DateFormat=P","Fill=—","Direction=H","UseDPDF=Y")</f>
        <v>0</v>
      </c>
      <c r="V35" s="13">
        <f>_xll.BDH("GILD US Equity","CF_CASH_FOR_JOINT_VENTURES_ASSOC","FQ3 2023","FQ3 2023","Currency=USD","Period=FQ","BEST_FPERIOD_OVERRIDE=FQ","FILING_STATUS=MR","SCALING_FORMAT=MLN","Sort=A","Dates=H","DateFormat=P","Fill=—","Direction=H","UseDPDF=Y")</f>
        <v>0</v>
      </c>
      <c r="W35" s="13">
        <f>_xll.BDH("GILD US Equity","CF_CASH_FOR_JOINT_VENTURES_ASSOC","FQ4 2023","FQ4 2023","Currency=USD","Period=FQ","BEST_FPERIOD_OVERRIDE=FQ","FILING_STATUS=MR","SCALING_FORMAT=MLN","Sort=A","Dates=H","DateFormat=P","Fill=—","Direction=H","UseDPDF=Y")</f>
        <v>0</v>
      </c>
      <c r="X35" s="13">
        <f>_xll.BDH("GILD US Equity","CF_CASH_FOR_JOINT_VENTURES_ASSOC","FQ1 2024","FQ1 2024","Currency=USD","Period=FQ","BEST_FPERIOD_OVERRIDE=FQ","FILING_STATUS=MR","SCALING_FORMAT=MLN","Sort=A","Dates=H","DateFormat=P","Fill=—","Direction=H","UseDPDF=Y")</f>
        <v>0</v>
      </c>
      <c r="Y35" s="13">
        <f>_xll.BDH("GILD US Equity","CF_CASH_FOR_JOINT_VENTURES_ASSOC","FQ2 2024","FQ2 2024","Currency=USD","Period=FQ","BEST_FPERIOD_OVERRIDE=FQ","FILING_STATUS=MR","SCALING_FORMAT=MLN","Sort=A","Dates=H","DateFormat=P","Fill=—","Direction=H","UseDPDF=Y")</f>
        <v>0</v>
      </c>
      <c r="Z35" s="13">
        <f>_xll.BDH("GILD US Equity","CF_CASH_FOR_JOINT_VENTURES_ASSOC","FQ3 2024","FQ3 2024","Currency=USD","Period=FQ","BEST_FPERIOD_OVERRIDE=FQ","FILING_STATUS=MR","SCALING_FORMAT=MLN","Sort=A","Dates=H","DateFormat=P","Fill=—","Direction=H","UseDPDF=Y")</f>
        <v>0</v>
      </c>
      <c r="AA35" s="13">
        <f>_xll.BDH("GILD US Equity","CF_CASH_FOR_JOINT_VENTURES_ASSOC","FQ4 2024","FQ4 2024","Currency=USD","Period=FQ","BEST_FPERIOD_OVERRIDE=FQ","FILING_STATUS=MR","SCALING_FORMAT=MLN","Sort=A","Dates=H","DateFormat=P","Fill=—","Direction=H","UseDPDF=Y")</f>
        <v>0</v>
      </c>
    </row>
    <row r="36" spans="1:27" x14ac:dyDescent="0.25">
      <c r="A36" s="10" t="s">
        <v>1366</v>
      </c>
      <c r="B36" s="10" t="s">
        <v>1367</v>
      </c>
      <c r="C36" s="13">
        <f>_xll.BDH("GILD US Equity","OTHER_INVESTING_ACT_DETAILED","FQ4 2018","FQ4 2018","Currency=USD","Period=FQ","BEST_FPERIOD_OVERRIDE=FQ","FILING_STATUS=MR","SCALING_FORMAT=MLN","Sort=A","Dates=H","DateFormat=P","Fill=—","Direction=H","UseDPDF=Y")</f>
        <v>7430</v>
      </c>
      <c r="D36" s="13">
        <f>_xll.BDH("GILD US Equity","OTHER_INVESTING_ACT_DETAILED","FQ1 2019","FQ1 2019","Currency=USD","Period=FQ","BEST_FPERIOD_OVERRIDE=FQ","FILING_STATUS=MR","SCALING_FORMAT=MLN","Sort=A","Dates=H","DateFormat=P","Fill=—","Direction=H","UseDPDF=Y")</f>
        <v>6848</v>
      </c>
      <c r="E36" s="13">
        <f>_xll.BDH("GILD US Equity","OTHER_INVESTING_ACT_DETAILED","FQ2 2019","FQ2 2019","Currency=USD","Period=FQ","BEST_FPERIOD_OVERRIDE=FQ","FILING_STATUS=MR","SCALING_FORMAT=MLN","Sort=A","Dates=H","DateFormat=P","Fill=—","Direction=H","UseDPDF=Y")</f>
        <v>4561</v>
      </c>
      <c r="F36" s="13">
        <f>_xll.BDH("GILD US Equity","OTHER_INVESTING_ACT_DETAILED","FQ3 2019","FQ3 2019","Currency=USD","Period=FQ","BEST_FPERIOD_OVERRIDE=FQ","FILING_STATUS=MR","SCALING_FORMAT=MLN","Sort=A","Dates=H","DateFormat=P","Fill=—","Direction=H","UseDPDF=Y")</f>
        <v>9391</v>
      </c>
      <c r="G36" s="13">
        <f>_xll.BDH("GILD US Equity","OTHER_INVESTING_ACT_DETAILED","FQ4 2019","FQ4 2019","Currency=USD","Period=FQ","BEST_FPERIOD_OVERRIDE=FQ","FILING_STATUS=MR","SCALING_FORMAT=MLN","Sort=A","Dates=H","DateFormat=P","Fill=—","Direction=H","UseDPDF=Y")</f>
        <v>7032</v>
      </c>
      <c r="H36" s="13">
        <f>_xll.BDH("GILD US Equity","OTHER_INVESTING_ACT_DETAILED","FQ1 2020","FQ1 2020","Currency=USD","Period=FQ","BEST_FPERIOD_OVERRIDE=FQ","FILING_STATUS=MR","SCALING_FORMAT=MLN","Sort=A","Dates=H","DateFormat=P","Fill=—","Direction=H","UseDPDF=Y")</f>
        <v>13048</v>
      </c>
      <c r="I36" s="13">
        <f>_xll.BDH("GILD US Equity","OTHER_INVESTING_ACT_DETAILED","FQ2 2020","FQ2 2020","Currency=USD","Period=FQ","BEST_FPERIOD_OVERRIDE=FQ","FILING_STATUS=MR","SCALING_FORMAT=MLN","Sort=A","Dates=H","DateFormat=P","Fill=—","Direction=H","UseDPDF=Y")</f>
        <v>3456</v>
      </c>
      <c r="J36" s="13">
        <f>_xll.BDH("GILD US Equity","OTHER_INVESTING_ACT_DETAILED","FQ3 2020","FQ3 2020","Currency=USD","Period=FQ","BEST_FPERIOD_OVERRIDE=FQ","FILING_STATUS=MR","SCALING_FORMAT=MLN","Sort=A","Dates=H","DateFormat=P","Fill=—","Direction=H","UseDPDF=Y")</f>
        <v>3940</v>
      </c>
      <c r="K36" s="13">
        <f>_xll.BDH("GILD US Equity","OTHER_INVESTING_ACT_DETAILED","FQ4 2020","FQ4 2020","Currency=USD","Period=FQ","BEST_FPERIOD_OVERRIDE=FQ","FILING_STATUS=MR","SCALING_FORMAT=MLN","Sort=A","Dates=H","DateFormat=P","Fill=—","Direction=H","UseDPDF=Y")</f>
        <v>11826</v>
      </c>
      <c r="L36" s="13">
        <f>_xll.BDH("GILD US Equity","OTHER_INVESTING_ACT_DETAILED","FQ1 2021","FQ1 2021","Currency=USD","Period=FQ","BEST_FPERIOD_OVERRIDE=FQ","FILING_STATUS=MR","SCALING_FORMAT=MLN","Sort=A","Dates=H","DateFormat=P","Fill=—","Direction=H","UseDPDF=Y")</f>
        <v>309</v>
      </c>
      <c r="M36" s="13">
        <f>_xll.BDH("GILD US Equity","OTHER_INVESTING_ACT_DETAILED","FQ2 2021","FQ2 2021","Currency=USD","Period=FQ","BEST_FPERIOD_OVERRIDE=FQ","FILING_STATUS=MR","SCALING_FORMAT=MLN","Sort=A","Dates=H","DateFormat=P","Fill=—","Direction=H","UseDPDF=Y")</f>
        <v>781</v>
      </c>
      <c r="N36" s="13">
        <f>_xll.BDH("GILD US Equity","OTHER_INVESTING_ACT_DETAILED","FQ3 2021","FQ3 2021","Currency=USD","Period=FQ","BEST_FPERIOD_OVERRIDE=FQ","FILING_STATUS=MR","SCALING_FORMAT=MLN","Sort=A","Dates=H","DateFormat=P","Fill=—","Direction=H","UseDPDF=Y")</f>
        <v>911</v>
      </c>
      <c r="O36" s="13">
        <f>_xll.BDH("GILD US Equity","OTHER_INVESTING_ACT_DETAILED","FQ4 2021","FQ4 2021","Currency=USD","Period=FQ","BEST_FPERIOD_OVERRIDE=FQ","FILING_STATUS=MR","SCALING_FORMAT=MLN","Sort=A","Dates=H","DateFormat=P","Fill=—","Direction=H","UseDPDF=Y")</f>
        <v>548</v>
      </c>
      <c r="P36" s="13">
        <f>_xll.BDH("GILD US Equity","OTHER_INVESTING_ACT_DETAILED","FQ1 2022","FQ1 2022","Currency=USD","Period=FQ","BEST_FPERIOD_OVERRIDE=FQ","FILING_STATUS=MR","SCALING_FORMAT=MLN","Sort=A","Dates=H","DateFormat=P","Fill=—","Direction=H","UseDPDF=Y")</f>
        <v>-180</v>
      </c>
      <c r="Q36" s="13">
        <f>_xll.BDH("GILD US Equity","OTHER_INVESTING_ACT_DETAILED","FQ2 2022","FQ2 2022","Currency=USD","Period=FQ","BEST_FPERIOD_OVERRIDE=FQ","FILING_STATUS=MR","SCALING_FORMAT=MLN","Sort=A","Dates=H","DateFormat=P","Fill=—","Direction=H","UseDPDF=Y")</f>
        <v>1413</v>
      </c>
      <c r="R36" s="13">
        <f>_xll.BDH("GILD US Equity","OTHER_INVESTING_ACT_DETAILED","FQ3 2022","FQ3 2022","Currency=USD","Period=FQ","BEST_FPERIOD_OVERRIDE=FQ","FILING_STATUS=MR","SCALING_FORMAT=MLN","Sort=A","Dates=H","DateFormat=P","Fill=—","Direction=H","UseDPDF=Y")</f>
        <v>200</v>
      </c>
      <c r="S36" s="13">
        <f>_xll.BDH("GILD US Equity","OTHER_INVESTING_ACT_DETAILED","FQ4 2022","FQ4 2022","Currency=USD","Period=FQ","BEST_FPERIOD_OVERRIDE=FQ","FILING_STATUS=MR","SCALING_FORMAT=MLN","Sort=A","Dates=H","DateFormat=P","Fill=—","Direction=H","UseDPDF=Y")</f>
        <v>396</v>
      </c>
      <c r="T36" s="13">
        <f>_xll.BDH("GILD US Equity","OTHER_INVESTING_ACT_DETAILED","FQ1 2023","FQ1 2023","Currency=USD","Period=FQ","BEST_FPERIOD_OVERRIDE=FQ","FILING_STATUS=MR","SCALING_FORMAT=MLN","Sort=A","Dates=H","DateFormat=P","Fill=—","Direction=H","UseDPDF=Y")</f>
        <v>361</v>
      </c>
      <c r="U36" s="13">
        <f>_xll.BDH("GILD US Equity","OTHER_INVESTING_ACT_DETAILED","FQ2 2023","FQ2 2023","Currency=USD","Period=FQ","BEST_FPERIOD_OVERRIDE=FQ","FILING_STATUS=MR","SCALING_FORMAT=MLN","Sort=A","Dates=H","DateFormat=P","Fill=—","Direction=H","UseDPDF=Y")</f>
        <v>477</v>
      </c>
      <c r="V36" s="13">
        <f>_xll.BDH("GILD US Equity","OTHER_INVESTING_ACT_DETAILED","FQ3 2023","FQ3 2023","Currency=USD","Period=FQ","BEST_FPERIOD_OVERRIDE=FQ","FILING_STATUS=MR","SCALING_FORMAT=MLN","Sort=A","Dates=H","DateFormat=P","Fill=—","Direction=H","UseDPDF=Y")</f>
        <v>341</v>
      </c>
      <c r="W36" s="13">
        <f>_xll.BDH("GILD US Equity","OTHER_INVESTING_ACT_DETAILED","FQ4 2023","FQ4 2023","Currency=USD","Period=FQ","BEST_FPERIOD_OVERRIDE=FQ","FILING_STATUS=MR","SCALING_FORMAT=MLN","Sort=A","Dates=H","DateFormat=P","Fill=—","Direction=H","UseDPDF=Y")</f>
        <v>223</v>
      </c>
      <c r="X36" s="13">
        <f>_xll.BDH("GILD US Equity","OTHER_INVESTING_ACT_DETAILED","FQ1 2024","FQ1 2024","Currency=USD","Period=FQ","BEST_FPERIOD_OVERRIDE=FQ","FILING_STATUS=MR","SCALING_FORMAT=MLN","Sort=A","Dates=H","DateFormat=P","Fill=—","Direction=H","UseDPDF=Y")</f>
        <v>2185</v>
      </c>
      <c r="Y36" s="13">
        <f>_xll.BDH("GILD US Equity","OTHER_INVESTING_ACT_DETAILED","FQ2 2024","FQ2 2024","Currency=USD","Period=FQ","BEST_FPERIOD_OVERRIDE=FQ","FILING_STATUS=MR","SCALING_FORMAT=MLN","Sort=A","Dates=H","DateFormat=P","Fill=—","Direction=H","UseDPDF=Y")</f>
        <v>-25</v>
      </c>
      <c r="Z36" s="13">
        <f>_xll.BDH("GILD US Equity","OTHER_INVESTING_ACT_DETAILED","FQ3 2024","FQ3 2024","Currency=USD","Period=FQ","BEST_FPERIOD_OVERRIDE=FQ","FILING_STATUS=MR","SCALING_FORMAT=MLN","Sort=A","Dates=H","DateFormat=P","Fill=—","Direction=H","UseDPDF=Y")</f>
        <v>1</v>
      </c>
      <c r="AA36" s="13">
        <f>_xll.BDH("GILD US Equity","OTHER_INVESTING_ACT_DETAILED","FQ4 2024","FQ4 2024","Currency=USD","Period=FQ","BEST_FPERIOD_OVERRIDE=FQ","FILING_STATUS=MR","SCALING_FORMAT=MLN","Sort=A","Dates=H","DateFormat=P","Fill=—","Direction=H","UseDPDF=Y")</f>
        <v>-3</v>
      </c>
    </row>
    <row r="37" spans="1:27" x14ac:dyDescent="0.25">
      <c r="A37" s="10" t="s">
        <v>1335</v>
      </c>
      <c r="B37" s="10" t="s">
        <v>1368</v>
      </c>
      <c r="C37" s="13">
        <f>_xll.BDH("GILD US Equity","CF_NET_CASH_DISCONTINUED_OPS_INV","FQ4 2018","FQ4 2018","Currency=USD","Period=FQ","BEST_FPERIOD_OVERRIDE=FQ","FILING_STATUS=MR","SCALING_FORMAT=MLN","Sort=A","Dates=H","DateFormat=P","Fill=—","Direction=H","UseDPDF=Y")</f>
        <v>0</v>
      </c>
      <c r="D37" s="13">
        <f>_xll.BDH("GILD US Equity","CF_NET_CASH_DISCONTINUED_OPS_INV","FQ1 2019","FQ1 2019","Currency=USD","Period=FQ","BEST_FPERIOD_OVERRIDE=FQ","FILING_STATUS=MR","SCALING_FORMAT=MLN","Sort=A","Dates=H","DateFormat=P","Fill=—","Direction=H","UseDPDF=Y")</f>
        <v>0</v>
      </c>
      <c r="E37" s="13">
        <f>_xll.BDH("GILD US Equity","CF_NET_CASH_DISCONTINUED_OPS_INV","FQ2 2019","FQ2 2019","Currency=USD","Period=FQ","BEST_FPERIOD_OVERRIDE=FQ","FILING_STATUS=MR","SCALING_FORMAT=MLN","Sort=A","Dates=H","DateFormat=P","Fill=—","Direction=H","UseDPDF=Y")</f>
        <v>0</v>
      </c>
      <c r="F37" s="13">
        <f>_xll.BDH("GILD US Equity","CF_NET_CASH_DISCONTINUED_OPS_INV","FQ3 2019","FQ3 2019","Currency=USD","Period=FQ","BEST_FPERIOD_OVERRIDE=FQ","FILING_STATUS=MR","SCALING_FORMAT=MLN","Sort=A","Dates=H","DateFormat=P","Fill=—","Direction=H","UseDPDF=Y")</f>
        <v>0</v>
      </c>
      <c r="G37" s="13">
        <f>_xll.BDH("GILD US Equity","CF_NET_CASH_DISCONTINUED_OPS_INV","FQ4 2019","FQ4 2019","Currency=USD","Period=FQ","BEST_FPERIOD_OVERRIDE=FQ","FILING_STATUS=MR","SCALING_FORMAT=MLN","Sort=A","Dates=H","DateFormat=P","Fill=—","Direction=H","UseDPDF=Y")</f>
        <v>0</v>
      </c>
      <c r="H37" s="13">
        <f>_xll.BDH("GILD US Equity","CF_NET_CASH_DISCONTINUED_OPS_INV","FQ1 2020","FQ1 2020","Currency=USD","Period=FQ","BEST_FPERIOD_OVERRIDE=FQ","FILING_STATUS=MR","SCALING_FORMAT=MLN","Sort=A","Dates=H","DateFormat=P","Fill=—","Direction=H","UseDPDF=Y")</f>
        <v>0</v>
      </c>
      <c r="I37" s="13">
        <f>_xll.BDH("GILD US Equity","CF_NET_CASH_DISCONTINUED_OPS_INV","FQ2 2020","FQ2 2020","Currency=USD","Period=FQ","BEST_FPERIOD_OVERRIDE=FQ","FILING_STATUS=MR","SCALING_FORMAT=MLN","Sort=A","Dates=H","DateFormat=P","Fill=—","Direction=H","UseDPDF=Y")</f>
        <v>0</v>
      </c>
      <c r="J37" s="13">
        <f>_xll.BDH("GILD US Equity","CF_NET_CASH_DISCONTINUED_OPS_INV","FQ3 2020","FQ3 2020","Currency=USD","Period=FQ","BEST_FPERIOD_OVERRIDE=FQ","FILING_STATUS=MR","SCALING_FORMAT=MLN","Sort=A","Dates=H","DateFormat=P","Fill=—","Direction=H","UseDPDF=Y")</f>
        <v>0</v>
      </c>
      <c r="K37" s="13">
        <f>_xll.BDH("GILD US Equity","CF_NET_CASH_DISCONTINUED_OPS_INV","FQ4 2020","FQ4 2020","Currency=USD","Period=FQ","BEST_FPERIOD_OVERRIDE=FQ","FILING_STATUS=MR","SCALING_FORMAT=MLN","Sort=A","Dates=H","DateFormat=P","Fill=—","Direction=H","UseDPDF=Y")</f>
        <v>0</v>
      </c>
      <c r="L37" s="13">
        <f>_xll.BDH("GILD US Equity","CF_NET_CASH_DISCONTINUED_OPS_INV","FQ1 2021","FQ1 2021","Currency=USD","Period=FQ","BEST_FPERIOD_OVERRIDE=FQ","FILING_STATUS=MR","SCALING_FORMAT=MLN","Sort=A","Dates=H","DateFormat=P","Fill=—","Direction=H","UseDPDF=Y")</f>
        <v>0</v>
      </c>
      <c r="M37" s="13">
        <f>_xll.BDH("GILD US Equity","CF_NET_CASH_DISCONTINUED_OPS_INV","FQ2 2021","FQ2 2021","Currency=USD","Period=FQ","BEST_FPERIOD_OVERRIDE=FQ","FILING_STATUS=MR","SCALING_FORMAT=MLN","Sort=A","Dates=H","DateFormat=P","Fill=—","Direction=H","UseDPDF=Y")</f>
        <v>0</v>
      </c>
      <c r="N37" s="13">
        <f>_xll.BDH("GILD US Equity","CF_NET_CASH_DISCONTINUED_OPS_INV","FQ3 2021","FQ3 2021","Currency=USD","Period=FQ","BEST_FPERIOD_OVERRIDE=FQ","FILING_STATUS=MR","SCALING_FORMAT=MLN","Sort=A","Dates=H","DateFormat=P","Fill=—","Direction=H","UseDPDF=Y")</f>
        <v>0</v>
      </c>
      <c r="O37" s="13">
        <f>_xll.BDH("GILD US Equity","CF_NET_CASH_DISCONTINUED_OPS_INV","FQ4 2021","FQ4 2021","Currency=USD","Period=FQ","BEST_FPERIOD_OVERRIDE=FQ","FILING_STATUS=MR","SCALING_FORMAT=MLN","Sort=A","Dates=H","DateFormat=P","Fill=—","Direction=H","UseDPDF=Y")</f>
        <v>0</v>
      </c>
      <c r="P37" s="13">
        <f>_xll.BDH("GILD US Equity","CF_NET_CASH_DISCONTINUED_OPS_INV","FQ1 2022","FQ1 2022","Currency=USD","Period=FQ","BEST_FPERIOD_OVERRIDE=FQ","FILING_STATUS=MR","SCALING_FORMAT=MLN","Sort=A","Dates=H","DateFormat=P","Fill=—","Direction=H","UseDPDF=Y")</f>
        <v>0</v>
      </c>
      <c r="Q37" s="13">
        <f>_xll.BDH("GILD US Equity","CF_NET_CASH_DISCONTINUED_OPS_INV","FQ2 2022","FQ2 2022","Currency=USD","Period=FQ","BEST_FPERIOD_OVERRIDE=FQ","FILING_STATUS=MR","SCALING_FORMAT=MLN","Sort=A","Dates=H","DateFormat=P","Fill=—","Direction=H","UseDPDF=Y")</f>
        <v>0</v>
      </c>
      <c r="R37" s="13">
        <f>_xll.BDH("GILD US Equity","CF_NET_CASH_DISCONTINUED_OPS_INV","FQ3 2022","FQ3 2022","Currency=USD","Period=FQ","BEST_FPERIOD_OVERRIDE=FQ","FILING_STATUS=MR","SCALING_FORMAT=MLN","Sort=A","Dates=H","DateFormat=P","Fill=—","Direction=H","UseDPDF=Y")</f>
        <v>0</v>
      </c>
      <c r="S37" s="13">
        <f>_xll.BDH("GILD US Equity","CF_NET_CASH_DISCONTINUED_OPS_INV","FQ4 2022","FQ4 2022","Currency=USD","Period=FQ","BEST_FPERIOD_OVERRIDE=FQ","FILING_STATUS=MR","SCALING_FORMAT=MLN","Sort=A","Dates=H","DateFormat=P","Fill=—","Direction=H","UseDPDF=Y")</f>
        <v>0</v>
      </c>
      <c r="T37" s="13">
        <f>_xll.BDH("GILD US Equity","CF_NET_CASH_DISCONTINUED_OPS_INV","FQ1 2023","FQ1 2023","Currency=USD","Period=FQ","BEST_FPERIOD_OVERRIDE=FQ","FILING_STATUS=MR","SCALING_FORMAT=MLN","Sort=A","Dates=H","DateFormat=P","Fill=—","Direction=H","UseDPDF=Y")</f>
        <v>0</v>
      </c>
      <c r="U37" s="13">
        <f>_xll.BDH("GILD US Equity","CF_NET_CASH_DISCONTINUED_OPS_INV","FQ2 2023","FQ2 2023","Currency=USD","Period=FQ","BEST_FPERIOD_OVERRIDE=FQ","FILING_STATUS=MR","SCALING_FORMAT=MLN","Sort=A","Dates=H","DateFormat=P","Fill=—","Direction=H","UseDPDF=Y")</f>
        <v>0</v>
      </c>
      <c r="V37" s="13">
        <f>_xll.BDH("GILD US Equity","CF_NET_CASH_DISCONTINUED_OPS_INV","FQ3 2023","FQ3 2023","Currency=USD","Period=FQ","BEST_FPERIOD_OVERRIDE=FQ","FILING_STATUS=MR","SCALING_FORMAT=MLN","Sort=A","Dates=H","DateFormat=P","Fill=—","Direction=H","UseDPDF=Y")</f>
        <v>0</v>
      </c>
      <c r="W37" s="13">
        <f>_xll.BDH("GILD US Equity","CF_NET_CASH_DISCONTINUED_OPS_INV","FQ4 2023","FQ4 2023","Currency=USD","Period=FQ","BEST_FPERIOD_OVERRIDE=FQ","FILING_STATUS=MR","SCALING_FORMAT=MLN","Sort=A","Dates=H","DateFormat=P","Fill=—","Direction=H","UseDPDF=Y")</f>
        <v>0</v>
      </c>
      <c r="X37" s="13">
        <f>_xll.BDH("GILD US Equity","CF_NET_CASH_DISCONTINUED_OPS_INV","FQ1 2024","FQ1 2024","Currency=USD","Period=FQ","BEST_FPERIOD_OVERRIDE=FQ","FILING_STATUS=MR","SCALING_FORMAT=MLN","Sort=A","Dates=H","DateFormat=P","Fill=—","Direction=H","UseDPDF=Y")</f>
        <v>0</v>
      </c>
      <c r="Y37" s="13">
        <f>_xll.BDH("GILD US Equity","CF_NET_CASH_DISCONTINUED_OPS_INV","FQ2 2024","FQ2 2024","Currency=USD","Period=FQ","BEST_FPERIOD_OVERRIDE=FQ","FILING_STATUS=MR","SCALING_FORMAT=MLN","Sort=A","Dates=H","DateFormat=P","Fill=—","Direction=H","UseDPDF=Y")</f>
        <v>0</v>
      </c>
      <c r="Z37" s="13">
        <f>_xll.BDH("GILD US Equity","CF_NET_CASH_DISCONTINUED_OPS_INV","FQ3 2024","FQ3 2024","Currency=USD","Period=FQ","BEST_FPERIOD_OVERRIDE=FQ","FILING_STATUS=MR","SCALING_FORMAT=MLN","Sort=A","Dates=H","DateFormat=P","Fill=—","Direction=H","UseDPDF=Y")</f>
        <v>0</v>
      </c>
      <c r="AA37" s="13">
        <f>_xll.BDH("GILD US Equity","CF_NET_CASH_DISCONTINUED_OPS_INV","FQ4 2024","FQ4 2024","Currency=USD","Period=FQ","BEST_FPERIOD_OVERRIDE=FQ","FILING_STATUS=MR","SCALING_FORMAT=MLN","Sort=A","Dates=H","DateFormat=P","Fill=—","Direction=H","UseDPDF=Y")</f>
        <v>0</v>
      </c>
    </row>
    <row r="38" spans="1:27" x14ac:dyDescent="0.25">
      <c r="A38" s="6" t="s">
        <v>1337</v>
      </c>
      <c r="B38" s="6" t="s">
        <v>126</v>
      </c>
      <c r="C38" s="19">
        <f>_xll.BDH("GILD US Equity","CF_CASH_FROM_INV_ACT","FQ4 2018","FQ4 2018","Currency=USD","Period=FQ","BEST_FPERIOD_OVERRIDE=FQ","FILING_STATUS=MR","SCALING_FORMAT=MLN","Sort=A","Dates=H","DateFormat=P","Fill=—","Direction=H","UseDPDF=Y")</f>
        <v>2735</v>
      </c>
      <c r="D38" s="19">
        <f>_xll.BDH("GILD US Equity","CF_CASH_FROM_INV_ACT","FQ1 2019","FQ1 2019","Currency=USD","Period=FQ","BEST_FPERIOD_OVERRIDE=FQ","FILING_STATUS=MR","SCALING_FORMAT=MLN","Sort=A","Dates=H","DateFormat=P","Fill=—","Direction=H","UseDPDF=Y")</f>
        <v>-111</v>
      </c>
      <c r="E38" s="19">
        <f>_xll.BDH("GILD US Equity","CF_CASH_FROM_INV_ACT","FQ2 2019","FQ2 2019","Currency=USD","Period=FQ","BEST_FPERIOD_OVERRIDE=FQ","FILING_STATUS=MR","SCALING_FORMAT=MLN","Sort=A","Dates=H","DateFormat=P","Fill=—","Direction=H","UseDPDF=Y")</f>
        <v>-6163</v>
      </c>
      <c r="F38" s="19">
        <f>_xll.BDH("GILD US Equity","CF_CASH_FROM_INV_ACT","FQ3 2019","FQ3 2019","Currency=USD","Period=FQ","BEST_FPERIOD_OVERRIDE=FQ","FILING_STATUS=MR","SCALING_FORMAT=MLN","Sort=A","Dates=H","DateFormat=P","Fill=—","Direction=H","UseDPDF=Y")</f>
        <v>-2095</v>
      </c>
      <c r="G38" s="19">
        <f>_xll.BDH("GILD US Equity","CF_CASH_FROM_INV_ACT","FQ4 2019","FQ4 2019","Currency=USD","Period=FQ","BEST_FPERIOD_OVERRIDE=FQ","FILING_STATUS=MR","SCALING_FORMAT=MLN","Sort=A","Dates=H","DateFormat=P","Fill=—","Direction=H","UseDPDF=Y")</f>
        <v>431</v>
      </c>
      <c r="H38" s="19">
        <f>_xll.BDH("GILD US Equity","CF_CASH_FROM_INV_ACT","FQ1 2020","FQ1 2020","Currency=USD","Period=FQ","BEST_FPERIOD_OVERRIDE=FQ","FILING_STATUS=MR","SCALING_FORMAT=MLN","Sort=A","Dates=H","DateFormat=P","Fill=—","Direction=H","UseDPDF=Y")</f>
        <v>-344</v>
      </c>
      <c r="I38" s="19">
        <f>_xll.BDH("GILD US Equity","CF_CASH_FROM_INV_ACT","FQ2 2020","FQ2 2020","Currency=USD","Period=FQ","BEST_FPERIOD_OVERRIDE=FQ","FILING_STATUS=MR","SCALING_FORMAT=MLN","Sort=A","Dates=H","DateFormat=P","Fill=—","Direction=H","UseDPDF=Y")</f>
        <v>-5023</v>
      </c>
      <c r="J38" s="19">
        <f>_xll.BDH("GILD US Equity","CF_CASH_FROM_INV_ACT","FQ3 2020","FQ3 2020","Currency=USD","Period=FQ","BEST_FPERIOD_OVERRIDE=FQ","FILING_STATUS=MR","SCALING_FORMAT=MLN","Sort=A","Dates=H","DateFormat=P","Fill=—","Direction=H","UseDPDF=Y")</f>
        <v>-271</v>
      </c>
      <c r="K38" s="19">
        <f>_xll.BDH("GILD US Equity","CF_CASH_FROM_INV_ACT","FQ4 2020","FQ4 2020","Currency=USD","Period=FQ","BEST_FPERIOD_OVERRIDE=FQ","FILING_STATUS=MR","SCALING_FORMAT=MLN","Sort=A","Dates=H","DateFormat=P","Fill=—","Direction=H","UseDPDF=Y")</f>
        <v>-8977</v>
      </c>
      <c r="L38" s="19">
        <f>_xll.BDH("GILD US Equity","CF_CASH_FROM_INV_ACT","FQ1 2021","FQ1 2021","Currency=USD","Period=FQ","BEST_FPERIOD_OVERRIDE=FQ","FILING_STATUS=MR","SCALING_FORMAT=MLN","Sort=A","Dates=H","DateFormat=P","Fill=—","Direction=H","UseDPDF=Y")</f>
        <v>-2042</v>
      </c>
      <c r="M38" s="19">
        <f>_xll.BDH("GILD US Equity","CF_CASH_FROM_INV_ACT","FQ2 2021","FQ2 2021","Currency=USD","Period=FQ","BEST_FPERIOD_OVERRIDE=FQ","FILING_STATUS=MR","SCALING_FORMAT=MLN","Sort=A","Dates=H","DateFormat=P","Fill=—","Direction=H","UseDPDF=Y")</f>
        <v>-577</v>
      </c>
      <c r="N38" s="19">
        <f>_xll.BDH("GILD US Equity","CF_CASH_FROM_INV_ACT","FQ3 2021","FQ3 2021","Currency=USD","Period=FQ","BEST_FPERIOD_OVERRIDE=FQ","FILING_STATUS=MR","SCALING_FORMAT=MLN","Sort=A","Dates=H","DateFormat=P","Fill=—","Direction=H","UseDPDF=Y")</f>
        <v>-234</v>
      </c>
      <c r="O38" s="19">
        <f>_xll.BDH("GILD US Equity","CF_CASH_FROM_INV_ACT","FQ4 2021","FQ4 2021","Currency=USD","Period=FQ","BEST_FPERIOD_OVERRIDE=FQ","FILING_STATUS=MR","SCALING_FORMAT=MLN","Sort=A","Dates=H","DateFormat=P","Fill=—","Direction=H","UseDPDF=Y")</f>
        <v>-278</v>
      </c>
      <c r="P38" s="19">
        <f>_xll.BDH("GILD US Equity","CF_CASH_FROM_INV_ACT","FQ1 2022","FQ1 2022","Currency=USD","Period=FQ","BEST_FPERIOD_OVERRIDE=FQ","FILING_STATUS=MR","SCALING_FORMAT=MLN","Sort=A","Dates=H","DateFormat=P","Fill=—","Direction=H","UseDPDF=Y")</f>
        <v>-1070</v>
      </c>
      <c r="Q38" s="19">
        <f>_xll.BDH("GILD US Equity","CF_CASH_FROM_INV_ACT","FQ2 2022","FQ2 2022","Currency=USD","Period=FQ","BEST_FPERIOD_OVERRIDE=FQ","FILING_STATUS=MR","SCALING_FORMAT=MLN","Sort=A","Dates=H","DateFormat=P","Fill=—","Direction=H","UseDPDF=Y")</f>
        <v>-308</v>
      </c>
      <c r="R38" s="19">
        <f>_xll.BDH("GILD US Equity","CF_CASH_FROM_INV_ACT","FQ3 2022","FQ3 2022","Currency=USD","Period=FQ","BEST_FPERIOD_OVERRIDE=FQ","FILING_STATUS=MR","SCALING_FORMAT=MLN","Sort=A","Dates=H","DateFormat=P","Fill=—","Direction=H","UseDPDF=Y")</f>
        <v>-713</v>
      </c>
      <c r="S38" s="19">
        <f>_xll.BDH("GILD US Equity","CF_CASH_FROM_INV_ACT","FQ4 2022","FQ4 2022","Currency=USD","Period=FQ","BEST_FPERIOD_OVERRIDE=FQ","FILING_STATUS=MR","SCALING_FORMAT=MLN","Sort=A","Dates=H","DateFormat=P","Fill=—","Direction=H","UseDPDF=Y")</f>
        <v>-375</v>
      </c>
      <c r="T38" s="19">
        <f>_xll.BDH("GILD US Equity","CF_CASH_FROM_INV_ACT","FQ1 2023","FQ1 2023","Currency=USD","Period=FQ","BEST_FPERIOD_OVERRIDE=FQ","FILING_STATUS=MR","SCALING_FORMAT=MLN","Sort=A","Dates=H","DateFormat=P","Fill=—","Direction=H","UseDPDF=Y")</f>
        <v>-826</v>
      </c>
      <c r="U38" s="19">
        <f>_xll.BDH("GILD US Equity","CF_CASH_FROM_INV_ACT","FQ2 2023","FQ2 2023","Currency=USD","Period=FQ","BEST_FPERIOD_OVERRIDE=FQ","FILING_STATUS=MR","SCALING_FORMAT=MLN","Sort=A","Dates=H","DateFormat=P","Fill=—","Direction=H","UseDPDF=Y")</f>
        <v>-483</v>
      </c>
      <c r="V38" s="19">
        <f>_xll.BDH("GILD US Equity","CF_CASH_FROM_INV_ACT","FQ3 2023","FQ3 2023","Currency=USD","Period=FQ","BEST_FPERIOD_OVERRIDE=FQ","FILING_STATUS=MR","SCALING_FORMAT=MLN","Sort=A","Dates=H","DateFormat=P","Fill=—","Direction=H","UseDPDF=Y")</f>
        <v>-229</v>
      </c>
      <c r="W38" s="19">
        <f>_xll.BDH("GILD US Equity","CF_CASH_FROM_INV_ACT","FQ4 2023","FQ4 2023","Currency=USD","Period=FQ","BEST_FPERIOD_OVERRIDE=FQ","FILING_STATUS=MR","SCALING_FORMAT=MLN","Sort=A","Dates=H","DateFormat=P","Fill=—","Direction=H","UseDPDF=Y")</f>
        <v>-727</v>
      </c>
      <c r="X38" s="19">
        <f>_xll.BDH("GILD US Equity","CF_CASH_FROM_INV_ACT","FQ1 2024","FQ1 2024","Currency=USD","Period=FQ","BEST_FPERIOD_OVERRIDE=FQ","FILING_STATUS=MR","SCALING_FORMAT=MLN","Sort=A","Dates=H","DateFormat=P","Fill=—","Direction=H","UseDPDF=Y")</f>
        <v>-2207</v>
      </c>
      <c r="Y38" s="19">
        <f>_xll.BDH("GILD US Equity","CF_CASH_FROM_INV_ACT","FQ2 2024","FQ2 2024","Currency=USD","Period=FQ","BEST_FPERIOD_OVERRIDE=FQ","FILING_STATUS=MR","SCALING_FORMAT=MLN","Sort=A","Dates=H","DateFormat=P","Fill=—","Direction=H","UseDPDF=Y")</f>
        <v>-307</v>
      </c>
      <c r="Z38" s="19">
        <f>_xll.BDH("GILD US Equity","CF_CASH_FROM_INV_ACT","FQ3 2024","FQ3 2024","Currency=USD","Period=FQ","BEST_FPERIOD_OVERRIDE=FQ","FILING_STATUS=MR","SCALING_FORMAT=MLN","Sort=A","Dates=H","DateFormat=P","Fill=—","Direction=H","UseDPDF=Y")</f>
        <v>-710</v>
      </c>
      <c r="AA38" s="19">
        <f>_xll.BDH("GILD US Equity","CF_CASH_FROM_INV_ACT","FQ4 2024","FQ4 2024","Currency=USD","Period=FQ","BEST_FPERIOD_OVERRIDE=FQ","FILING_STATUS=MR","SCALING_FORMAT=MLN","Sort=A","Dates=H","DateFormat=P","Fill=—","Direction=H","UseDPDF=Y")</f>
        <v>-225</v>
      </c>
    </row>
    <row r="39" spans="1:27" x14ac:dyDescent="0.25">
      <c r="A39" s="6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x14ac:dyDescent="0.25">
      <c r="A40" s="6" t="s">
        <v>1369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x14ac:dyDescent="0.25">
      <c r="A41" s="10" t="s">
        <v>1370</v>
      </c>
      <c r="B41" s="10" t="s">
        <v>1371</v>
      </c>
      <c r="C41" s="13">
        <f>_xll.BDH("GILD US Equity","CF_DVD_PAID","FQ4 2018","FQ4 2018","Currency=USD","Period=FQ","BEST_FPERIOD_OVERRIDE=FQ","FILING_STATUS=MR","SCALING_FORMAT=MLN","Sort=A","Dates=H","DateFormat=P","Fill=—","Direction=H","UseDPDF=Y")</f>
        <v>-736</v>
      </c>
      <c r="D41" s="13">
        <f>_xll.BDH("GILD US Equity","CF_DVD_PAID","FQ1 2019","FQ1 2019","Currency=USD","Period=FQ","BEST_FPERIOD_OVERRIDE=FQ","FILING_STATUS=MR","SCALING_FORMAT=MLN","Sort=A","Dates=H","DateFormat=P","Fill=—","Direction=H","UseDPDF=Y")</f>
        <v>-817</v>
      </c>
      <c r="E41" s="13">
        <f>_xll.BDH("GILD US Equity","CF_DVD_PAID","FQ2 2019","FQ2 2019","Currency=USD","Period=FQ","BEST_FPERIOD_OVERRIDE=FQ","FILING_STATUS=MR","SCALING_FORMAT=MLN","Sort=A","Dates=H","DateFormat=P","Fill=—","Direction=H","UseDPDF=Y")</f>
        <v>-800</v>
      </c>
      <c r="F41" s="13">
        <f>_xll.BDH("GILD US Equity","CF_DVD_PAID","FQ3 2019","FQ3 2019","Currency=USD","Period=FQ","BEST_FPERIOD_OVERRIDE=FQ","FILING_STATUS=MR","SCALING_FORMAT=MLN","Sort=A","Dates=H","DateFormat=P","Fill=—","Direction=H","UseDPDF=Y")</f>
        <v>-804</v>
      </c>
      <c r="G41" s="13">
        <f>_xll.BDH("GILD US Equity","CF_DVD_PAID","FQ4 2019","FQ4 2019","Currency=USD","Period=FQ","BEST_FPERIOD_OVERRIDE=FQ","FILING_STATUS=MR","SCALING_FORMAT=MLN","Sort=A","Dates=H","DateFormat=P","Fill=—","Direction=H","UseDPDF=Y")</f>
        <v>-801</v>
      </c>
      <c r="H41" s="13">
        <f>_xll.BDH("GILD US Equity","CF_DVD_PAID","FQ1 2020","FQ1 2020","Currency=USD","Period=FQ","BEST_FPERIOD_OVERRIDE=FQ","FILING_STATUS=MR","SCALING_FORMAT=MLN","Sort=A","Dates=H","DateFormat=P","Fill=—","Direction=H","UseDPDF=Y")</f>
        <v>-874</v>
      </c>
      <c r="I41" s="13">
        <f>_xll.BDH("GILD US Equity","CF_DVD_PAID","FQ2 2020","FQ2 2020","Currency=USD","Period=FQ","BEST_FPERIOD_OVERRIDE=FQ","FILING_STATUS=MR","SCALING_FORMAT=MLN","Sort=A","Dates=H","DateFormat=P","Fill=—","Direction=H","UseDPDF=Y")</f>
        <v>-856</v>
      </c>
      <c r="J41" s="13">
        <f>_xll.BDH("GILD US Equity","CF_DVD_PAID","FQ3 2020","FQ3 2020","Currency=USD","Period=FQ","BEST_FPERIOD_OVERRIDE=FQ","FILING_STATUS=MR","SCALING_FORMAT=MLN","Sort=A","Dates=H","DateFormat=P","Fill=—","Direction=H","UseDPDF=Y")</f>
        <v>-861</v>
      </c>
      <c r="K41" s="13">
        <f>_xll.BDH("GILD US Equity","CF_DVD_PAID","FQ4 2020","FQ4 2020","Currency=USD","Period=FQ","BEST_FPERIOD_OVERRIDE=FQ","FILING_STATUS=MR","SCALING_FORMAT=MLN","Sort=A","Dates=H","DateFormat=P","Fill=—","Direction=H","UseDPDF=Y")</f>
        <v>-858</v>
      </c>
      <c r="L41" s="13">
        <f>_xll.BDH("GILD US Equity","CF_DVD_PAID","FQ1 2021","FQ1 2021","Currency=USD","Period=FQ","BEST_FPERIOD_OVERRIDE=FQ","FILING_STATUS=MR","SCALING_FORMAT=MLN","Sort=A","Dates=H","DateFormat=P","Fill=—","Direction=H","UseDPDF=Y")</f>
        <v>-917</v>
      </c>
      <c r="M41" s="13">
        <f>_xll.BDH("GILD US Equity","CF_DVD_PAID","FQ2 2021","FQ2 2021","Currency=USD","Period=FQ","BEST_FPERIOD_OVERRIDE=FQ","FILING_STATUS=MR","SCALING_FORMAT=MLN","Sort=A","Dates=H","DateFormat=P","Fill=—","Direction=H","UseDPDF=Y")</f>
        <v>-894</v>
      </c>
      <c r="N41" s="13">
        <f>_xll.BDH("GILD US Equity","CF_DVD_PAID","FQ3 2021","FQ3 2021","Currency=USD","Period=FQ","BEST_FPERIOD_OVERRIDE=FQ","FILING_STATUS=MR","SCALING_FORMAT=MLN","Sort=A","Dates=H","DateFormat=P","Fill=—","Direction=H","UseDPDF=Y")</f>
        <v>-900</v>
      </c>
      <c r="O41" s="13">
        <f>_xll.BDH("GILD US Equity","CF_DVD_PAID","FQ4 2021","FQ4 2021","Currency=USD","Period=FQ","BEST_FPERIOD_OVERRIDE=FQ","FILING_STATUS=MR","SCALING_FORMAT=MLN","Sort=A","Dates=H","DateFormat=P","Fill=—","Direction=H","UseDPDF=Y")</f>
        <v>-894</v>
      </c>
      <c r="P41" s="13">
        <f>_xll.BDH("GILD US Equity","CF_DVD_PAID","FQ1 2022","FQ1 2022","Currency=USD","Period=FQ","BEST_FPERIOD_OVERRIDE=FQ","FILING_STATUS=MR","SCALING_FORMAT=MLN","Sort=A","Dates=H","DateFormat=P","Fill=—","Direction=H","UseDPDF=Y")</f>
        <v>-945</v>
      </c>
      <c r="Q41" s="13">
        <f>_xll.BDH("GILD US Equity","CF_DVD_PAID","FQ2 2022","FQ2 2022","Currency=USD","Period=FQ","BEST_FPERIOD_OVERRIDE=FQ","FILING_STATUS=MR","SCALING_FORMAT=MLN","Sort=A","Dates=H","DateFormat=P","Fill=—","Direction=H","UseDPDF=Y")</f>
        <v>-920</v>
      </c>
      <c r="R41" s="13">
        <f>_xll.BDH("GILD US Equity","CF_DVD_PAID","FQ3 2022","FQ3 2022","Currency=USD","Period=FQ","BEST_FPERIOD_OVERRIDE=FQ","FILING_STATUS=MR","SCALING_FORMAT=MLN","Sort=A","Dates=H","DateFormat=P","Fill=—","Direction=H","UseDPDF=Y")</f>
        <v>-929</v>
      </c>
      <c r="S41" s="13">
        <f>_xll.BDH("GILD US Equity","CF_DVD_PAID","FQ4 2022","FQ4 2022","Currency=USD","Period=FQ","BEST_FPERIOD_OVERRIDE=FQ","FILING_STATUS=MR","SCALING_FORMAT=MLN","Sort=A","Dates=H","DateFormat=P","Fill=—","Direction=H","UseDPDF=Y")</f>
        <v>-915</v>
      </c>
      <c r="T41" s="13">
        <f>_xll.BDH("GILD US Equity","CF_DVD_PAID","FQ1 2023","FQ1 2023","Currency=USD","Period=FQ","BEST_FPERIOD_OVERRIDE=FQ","FILING_STATUS=MR","SCALING_FORMAT=MLN","Sort=A","Dates=H","DateFormat=P","Fill=—","Direction=H","UseDPDF=Y")</f>
        <v>-969</v>
      </c>
      <c r="U41" s="13">
        <f>_xll.BDH("GILD US Equity","CF_DVD_PAID","FQ2 2023","FQ2 2023","Currency=USD","Period=FQ","BEST_FPERIOD_OVERRIDE=FQ","FILING_STATUS=MR","SCALING_FORMAT=MLN","Sort=A","Dates=H","DateFormat=P","Fill=—","Direction=H","UseDPDF=Y")</f>
        <v>-944</v>
      </c>
      <c r="V41" s="13">
        <f>_xll.BDH("GILD US Equity","CF_DVD_PAID","FQ3 2023","FQ3 2023","Currency=USD","Period=FQ","BEST_FPERIOD_OVERRIDE=FQ","FILING_STATUS=MR","SCALING_FORMAT=MLN","Sort=A","Dates=H","DateFormat=P","Fill=—","Direction=H","UseDPDF=Y")</f>
        <v>-953</v>
      </c>
      <c r="W41" s="13">
        <f>_xll.BDH("GILD US Equity","CF_DVD_PAID","FQ4 2023","FQ4 2023","Currency=USD","Period=FQ","BEST_FPERIOD_OVERRIDE=FQ","FILING_STATUS=MR","SCALING_FORMAT=MLN","Sort=A","Dates=H","DateFormat=P","Fill=—","Direction=H","UseDPDF=Y")</f>
        <v>-943</v>
      </c>
      <c r="X41" s="13">
        <f>_xll.BDH("GILD US Equity","CF_DVD_PAID","FQ1 2024","FQ1 2024","Currency=USD","Period=FQ","BEST_FPERIOD_OVERRIDE=FQ","FILING_STATUS=MR","SCALING_FORMAT=MLN","Sort=A","Dates=H","DateFormat=P","Fill=—","Direction=H","UseDPDF=Y")</f>
        <v>-990</v>
      </c>
      <c r="Y41" s="13">
        <f>_xll.BDH("GILD US Equity","CF_DVD_PAID","FQ2 2024","FQ2 2024","Currency=USD","Period=FQ","BEST_FPERIOD_OVERRIDE=FQ","FILING_STATUS=MR","SCALING_FORMAT=MLN","Sort=A","Dates=H","DateFormat=P","Fill=—","Direction=H","UseDPDF=Y")</f>
        <v>-972</v>
      </c>
      <c r="Z41" s="13">
        <f>_xll.BDH("GILD US Equity","CF_DVD_PAID","FQ3 2024","FQ3 2024","Currency=USD","Period=FQ","BEST_FPERIOD_OVERRIDE=FQ","FILING_STATUS=MR","SCALING_FORMAT=MLN","Sort=A","Dates=H","DateFormat=P","Fill=—","Direction=H","UseDPDF=Y")</f>
        <v>-983</v>
      </c>
      <c r="AA41" s="13">
        <f>_xll.BDH("GILD US Equity","CF_DVD_PAID","FQ4 2024","FQ4 2024","Currency=USD","Period=FQ","BEST_FPERIOD_OVERRIDE=FQ","FILING_STATUS=MR","SCALING_FORMAT=MLN","Sort=A","Dates=H","DateFormat=P","Fill=—","Direction=H","UseDPDF=Y")</f>
        <v>-973</v>
      </c>
    </row>
    <row r="42" spans="1:27" x14ac:dyDescent="0.25">
      <c r="A42" s="10" t="s">
        <v>1372</v>
      </c>
      <c r="B42" s="10" t="s">
        <v>1373</v>
      </c>
      <c r="C42" s="13">
        <f>_xll.BDH("GILD US Equity","PROC_FR_REPAYMNTS_BOR_DETAILED","FQ4 2018","FQ4 2018","Currency=USD","Period=FQ","BEST_FPERIOD_OVERRIDE=FQ","FILING_STATUS=MR","SCALING_FORMAT=MLN","Sort=A","Dates=H","DateFormat=P","Fill=—","Direction=H","UseDPDF=Y")</f>
        <v>0</v>
      </c>
      <c r="D42" s="13">
        <f>_xll.BDH("GILD US Equity","PROC_FR_REPAYMNTS_BOR_DETAILED","FQ1 2019","FQ1 2019","Currency=USD","Period=FQ","BEST_FPERIOD_OVERRIDE=FQ","FILING_STATUS=MR","SCALING_FORMAT=MLN","Sort=A","Dates=H","DateFormat=P","Fill=—","Direction=H","UseDPDF=Y")</f>
        <v>-750</v>
      </c>
      <c r="E42" s="13">
        <f>_xll.BDH("GILD US Equity","PROC_FR_REPAYMNTS_BOR_DETAILED","FQ2 2019","FQ2 2019","Currency=USD","Period=FQ","BEST_FPERIOD_OVERRIDE=FQ","FILING_STATUS=MR","SCALING_FORMAT=MLN","Sort=A","Dates=H","DateFormat=P","Fill=—","Direction=H","UseDPDF=Y")</f>
        <v>-500</v>
      </c>
      <c r="F42" s="13">
        <f>_xll.BDH("GILD US Equity","PROC_FR_REPAYMNTS_BOR_DETAILED","FQ3 2019","FQ3 2019","Currency=USD","Period=FQ","BEST_FPERIOD_OVERRIDE=FQ","FILING_STATUS=MR","SCALING_FORMAT=MLN","Sort=A","Dates=H","DateFormat=P","Fill=—","Direction=H","UseDPDF=Y")</f>
        <v>-1500</v>
      </c>
      <c r="G42" s="13">
        <f>_xll.BDH("GILD US Equity","PROC_FR_REPAYMNTS_BOR_DETAILED","FQ4 2019","FQ4 2019","Currency=USD","Period=FQ","BEST_FPERIOD_OVERRIDE=FQ","FILING_STATUS=MR","SCALING_FORMAT=MLN","Sort=A","Dates=H","DateFormat=P","Fill=—","Direction=H","UseDPDF=Y")</f>
        <v>0</v>
      </c>
      <c r="H42" s="13">
        <f>_xll.BDH("GILD US Equity","PROC_FR_REPAYMNTS_BOR_DETAILED","FQ1 2020","FQ1 2020","Currency=USD","Period=FQ","BEST_FPERIOD_OVERRIDE=FQ","FILING_STATUS=MR","SCALING_FORMAT=MLN","Sort=A","Dates=H","DateFormat=P","Fill=—","Direction=H","UseDPDF=Y")</f>
        <v>-500</v>
      </c>
      <c r="I42" s="13">
        <f>_xll.BDH("GILD US Equity","PROC_FR_REPAYMNTS_BOR_DETAILED","FQ2 2020","FQ2 2020","Currency=USD","Period=FQ","BEST_FPERIOD_OVERRIDE=FQ","FILING_STATUS=MR","SCALING_FORMAT=MLN","Sort=A","Dates=H","DateFormat=P","Fill=—","Direction=H","UseDPDF=Y")</f>
        <v>0</v>
      </c>
      <c r="J42" s="13">
        <f>_xll.BDH("GILD US Equity","PROC_FR_REPAYMNTS_BOR_DETAILED","FQ3 2020","FQ3 2020","Currency=USD","Period=FQ","BEST_FPERIOD_OVERRIDE=FQ","FILING_STATUS=MR","SCALING_FORMAT=MLN","Sort=A","Dates=H","DateFormat=P","Fill=—","Direction=H","UseDPDF=Y")</f>
        <v>5189</v>
      </c>
      <c r="K42" s="13">
        <f>_xll.BDH("GILD US Equity","PROC_FR_REPAYMNTS_BOR_DETAILED","FQ4 2020","FQ4 2020","Currency=USD","Period=FQ","BEST_FPERIOD_OVERRIDE=FQ","FILING_STATUS=MR","SCALING_FORMAT=MLN","Sort=A","Dates=H","DateFormat=P","Fill=—","Direction=H","UseDPDF=Y")</f>
        <v>995</v>
      </c>
      <c r="L42" s="13">
        <f>_xll.BDH("GILD US Equity","PROC_FR_REPAYMNTS_BOR_DETAILED","FQ1 2021","FQ1 2021","Currency=USD","Period=FQ","BEST_FPERIOD_OVERRIDE=FQ","FILING_STATUS=MR","SCALING_FORMAT=MLN","Sort=A","Dates=H","DateFormat=P","Fill=—","Direction=H","UseDPDF=Y")</f>
        <v>-1250</v>
      </c>
      <c r="M42" s="13">
        <f>_xll.BDH("GILD US Equity","PROC_FR_REPAYMNTS_BOR_DETAILED","FQ2 2021","FQ2 2021","Currency=USD","Period=FQ","BEST_FPERIOD_OVERRIDE=FQ","FILING_STATUS=MR","SCALING_FORMAT=MLN","Sort=A","Dates=H","DateFormat=P","Fill=—","Direction=H","UseDPDF=Y")</f>
        <v>0</v>
      </c>
      <c r="N42" s="13">
        <f>_xll.BDH("GILD US Equity","PROC_FR_REPAYMNTS_BOR_DETAILED","FQ3 2021","FQ3 2021","Currency=USD","Period=FQ","BEST_FPERIOD_OVERRIDE=FQ","FILING_STATUS=MR","SCALING_FORMAT=MLN","Sort=A","Dates=H","DateFormat=P","Fill=—","Direction=H","UseDPDF=Y")</f>
        <v>-2500</v>
      </c>
      <c r="O42" s="13">
        <f>_xll.BDH("GILD US Equity","PROC_FR_REPAYMNTS_BOR_DETAILED","FQ4 2021","FQ4 2021","Currency=USD","Period=FQ","BEST_FPERIOD_OVERRIDE=FQ","FILING_STATUS=MR","SCALING_FORMAT=MLN","Sort=A","Dates=H","DateFormat=P","Fill=—","Direction=H","UseDPDF=Y")</f>
        <v>-1000</v>
      </c>
      <c r="P42" s="13">
        <f>_xll.BDH("GILD US Equity","PROC_FR_REPAYMNTS_BOR_DETAILED","FQ1 2022","FQ1 2022","Currency=USD","Period=FQ","BEST_FPERIOD_OVERRIDE=FQ","FILING_STATUS=MR","SCALING_FORMAT=MLN","Sort=A","Dates=H","DateFormat=P","Fill=—","Direction=H","UseDPDF=Y")</f>
        <v>-500</v>
      </c>
      <c r="Q42" s="13">
        <f>_xll.BDH("GILD US Equity","PROC_FR_REPAYMNTS_BOR_DETAILED","FQ2 2022","FQ2 2022","Currency=USD","Period=FQ","BEST_FPERIOD_OVERRIDE=FQ","FILING_STATUS=MR","SCALING_FORMAT=MLN","Sort=A","Dates=H","DateFormat=P","Fill=—","Direction=H","UseDPDF=Y")</f>
        <v>0</v>
      </c>
      <c r="R42" s="13">
        <f>_xll.BDH("GILD US Equity","PROC_FR_REPAYMNTS_BOR_DETAILED","FQ3 2022","FQ3 2022","Currency=USD","Period=FQ","BEST_FPERIOD_OVERRIDE=FQ","FILING_STATUS=MR","SCALING_FORMAT=MLN","Sort=A","Dates=H","DateFormat=P","Fill=—","Direction=H","UseDPDF=Y")</f>
        <v>-1000</v>
      </c>
      <c r="S42" s="13">
        <f>_xll.BDH("GILD US Equity","PROC_FR_REPAYMNTS_BOR_DETAILED","FQ4 2022","FQ4 2022","Currency=USD","Period=FQ","BEST_FPERIOD_OVERRIDE=FQ","FILING_STATUS=MR","SCALING_FORMAT=MLN","Sort=A","Dates=H","DateFormat=P","Fill=—","Direction=H","UseDPDF=Y")</f>
        <v>0</v>
      </c>
      <c r="T42" s="13">
        <f>_xll.BDH("GILD US Equity","PROC_FR_REPAYMNTS_BOR_DETAILED","FQ1 2023","FQ1 2023","Currency=USD","Period=FQ","BEST_FPERIOD_OVERRIDE=FQ","FILING_STATUS=MR","SCALING_FORMAT=MLN","Sort=A","Dates=H","DateFormat=P","Fill=—","Direction=H","UseDPDF=Y")</f>
        <v>0</v>
      </c>
      <c r="U42" s="13">
        <f>_xll.BDH("GILD US Equity","PROC_FR_REPAYMNTS_BOR_DETAILED","FQ2 2023","FQ2 2023","Currency=USD","Period=FQ","BEST_FPERIOD_OVERRIDE=FQ","FILING_STATUS=MR","SCALING_FORMAT=MLN","Sort=A","Dates=H","DateFormat=P","Fill=—","Direction=H","UseDPDF=Y")</f>
        <v>0</v>
      </c>
      <c r="V42" s="13">
        <f>_xll.BDH("GILD US Equity","PROC_FR_REPAYMNTS_BOR_DETAILED","FQ3 2023","FQ3 2023","Currency=USD","Period=FQ","BEST_FPERIOD_OVERRIDE=FQ","FILING_STATUS=MR","SCALING_FORMAT=MLN","Sort=A","Dates=H","DateFormat=P","Fill=—","Direction=H","UseDPDF=Y")</f>
        <v>-271</v>
      </c>
      <c r="W42" s="13">
        <f>_xll.BDH("GILD US Equity","PROC_FR_REPAYMNTS_BOR_DETAILED","FQ4 2023","FQ4 2023","Currency=USD","Period=FQ","BEST_FPERIOD_OVERRIDE=FQ","FILING_STATUS=MR","SCALING_FORMAT=MLN","Sort=A","Dates=H","DateFormat=P","Fill=—","Direction=H","UseDPDF=Y")</f>
        <v>1</v>
      </c>
      <c r="X42" s="13">
        <f>_xll.BDH("GILD US Equity","PROC_FR_REPAYMNTS_BOR_DETAILED","FQ1 2024","FQ1 2024","Currency=USD","Period=FQ","BEST_FPERIOD_OVERRIDE=FQ","FILING_STATUS=MR","SCALING_FORMAT=MLN","Sort=A","Dates=H","DateFormat=P","Fill=—","Direction=H","UseDPDF=Y")</f>
        <v>0</v>
      </c>
      <c r="Y42" s="13">
        <f>_xll.BDH("GILD US Equity","PROC_FR_REPAYMNTS_BOR_DETAILED","FQ2 2024","FQ2 2024","Currency=USD","Period=FQ","BEST_FPERIOD_OVERRIDE=FQ","FILING_STATUS=MR","SCALING_FORMAT=MLN","Sort=A","Dates=H","DateFormat=P","Fill=—","Direction=H","UseDPDF=Y")</f>
        <v>-1851</v>
      </c>
      <c r="Z42" s="13">
        <f>_xll.BDH("GILD US Equity","PROC_FR_REPAYMNTS_BOR_DETAILED","FQ3 2024","FQ3 2024","Currency=USD","Period=FQ","BEST_FPERIOD_OVERRIDE=FQ","FILING_STATUS=MR","SCALING_FORMAT=MLN","Sort=A","Dates=H","DateFormat=P","Fill=—","Direction=H","UseDPDF=Y")</f>
        <v>-112</v>
      </c>
      <c r="AA42" s="13">
        <f>_xll.BDH("GILD US Equity","PROC_FR_REPAYMNTS_BOR_DETAILED","FQ4 2024","FQ4 2024","Currency=USD","Period=FQ","BEST_FPERIOD_OVERRIDE=FQ","FILING_STATUS=MR","SCALING_FORMAT=MLN","Sort=A","Dates=H","DateFormat=P","Fill=—","Direction=H","UseDPDF=Y")</f>
        <v>3457</v>
      </c>
    </row>
    <row r="43" spans="1:27" x14ac:dyDescent="0.25">
      <c r="A43" s="10" t="s">
        <v>1374</v>
      </c>
      <c r="B43" s="10" t="s">
        <v>1375</v>
      </c>
      <c r="C43" s="13" t="str">
        <f>_xll.BDH("GILD US Equity","CF_NET_CHG_ST_DEBT_CPTL_LEAS","FQ4 2018","FQ4 2018","Currency=USD","Period=FQ","BEST_FPERIOD_OVERRIDE=FQ","FILING_STATUS=MR","SCALING_FORMAT=MLN","Sort=A","Dates=H","DateFormat=P","Fill=—","Direction=H","UseDPDF=Y")</f>
        <v>—</v>
      </c>
      <c r="D43" s="13" t="str">
        <f>_xll.BDH("GILD US Equity","CF_NET_CHG_ST_DEBT_CPTL_LEAS","FQ1 2019","FQ1 2019","Currency=USD","Period=FQ","BEST_FPERIOD_OVERRIDE=FQ","FILING_STATUS=MR","SCALING_FORMAT=MLN","Sort=A","Dates=H","DateFormat=P","Fill=—","Direction=H","UseDPDF=Y")</f>
        <v>—</v>
      </c>
      <c r="E43" s="13" t="str">
        <f>_xll.BDH("GILD US Equity","CF_NET_CHG_ST_DEBT_CPTL_LEAS","FQ2 2019","FQ2 2019","Currency=USD","Period=FQ","BEST_FPERIOD_OVERRIDE=FQ","FILING_STATUS=MR","SCALING_FORMAT=MLN","Sort=A","Dates=H","DateFormat=P","Fill=—","Direction=H","UseDPDF=Y")</f>
        <v>—</v>
      </c>
      <c r="F43" s="13" t="str">
        <f>_xll.BDH("GILD US Equity","CF_NET_CHG_ST_DEBT_CPTL_LEAS","FQ3 2019","FQ3 2019","Currency=USD","Period=FQ","BEST_FPERIOD_OVERRIDE=FQ","FILING_STATUS=MR","SCALING_FORMAT=MLN","Sort=A","Dates=H","DateFormat=P","Fill=—","Direction=H","UseDPDF=Y")</f>
        <v>—</v>
      </c>
      <c r="G43" s="13" t="str">
        <f>_xll.BDH("GILD US Equity","CF_NET_CHG_ST_DEBT_CPTL_LEAS","FQ4 2019","FQ4 2019","Currency=USD","Period=FQ","BEST_FPERIOD_OVERRIDE=FQ","FILING_STATUS=MR","SCALING_FORMAT=MLN","Sort=A","Dates=H","DateFormat=P","Fill=—","Direction=H","UseDPDF=Y")</f>
        <v>—</v>
      </c>
      <c r="H43" s="13" t="str">
        <f>_xll.BDH("GILD US Equity","CF_NET_CHG_ST_DEBT_CPTL_LEAS","FQ1 2020","FQ1 2020","Currency=USD","Period=FQ","BEST_FPERIOD_OVERRIDE=FQ","FILING_STATUS=MR","SCALING_FORMAT=MLN","Sort=A","Dates=H","DateFormat=P","Fill=—","Direction=H","UseDPDF=Y")</f>
        <v>—</v>
      </c>
      <c r="I43" s="13" t="str">
        <f>_xll.BDH("GILD US Equity","CF_NET_CHG_ST_DEBT_CPTL_LEAS","FQ2 2020","FQ2 2020","Currency=USD","Period=FQ","BEST_FPERIOD_OVERRIDE=FQ","FILING_STATUS=MR","SCALING_FORMAT=MLN","Sort=A","Dates=H","DateFormat=P","Fill=—","Direction=H","UseDPDF=Y")</f>
        <v>—</v>
      </c>
      <c r="J43" s="13" t="str">
        <f>_xll.BDH("GILD US Equity","CF_NET_CHG_ST_DEBT_CPTL_LEAS","FQ3 2020","FQ3 2020","Currency=USD","Period=FQ","BEST_FPERIOD_OVERRIDE=FQ","FILING_STATUS=MR","SCALING_FORMAT=MLN","Sort=A","Dates=H","DateFormat=P","Fill=—","Direction=H","UseDPDF=Y")</f>
        <v>—</v>
      </c>
      <c r="K43" s="13" t="str">
        <f>_xll.BDH("GILD US Equity","CF_NET_CHG_ST_DEBT_CPTL_LEAS","FQ4 2020","FQ4 2020","Currency=USD","Period=FQ","BEST_FPERIOD_OVERRIDE=FQ","FILING_STATUS=MR","SCALING_FORMAT=MLN","Sort=A","Dates=H","DateFormat=P","Fill=—","Direction=H","UseDPDF=Y")</f>
        <v>—</v>
      </c>
      <c r="L43" s="13" t="str">
        <f>_xll.BDH("GILD US Equity","CF_NET_CHG_ST_DEBT_CPTL_LEAS","FQ1 2021","FQ1 2021","Currency=USD","Period=FQ","BEST_FPERIOD_OVERRIDE=FQ","FILING_STATUS=MR","SCALING_FORMAT=MLN","Sort=A","Dates=H","DateFormat=P","Fill=—","Direction=H","UseDPDF=Y")</f>
        <v>—</v>
      </c>
      <c r="M43" s="13" t="str">
        <f>_xll.BDH("GILD US Equity","CF_NET_CHG_ST_DEBT_CPTL_LEAS","FQ2 2021","FQ2 2021","Currency=USD","Period=FQ","BEST_FPERIOD_OVERRIDE=FQ","FILING_STATUS=MR","SCALING_FORMAT=MLN","Sort=A","Dates=H","DateFormat=P","Fill=—","Direction=H","UseDPDF=Y")</f>
        <v>—</v>
      </c>
      <c r="N43" s="13" t="str">
        <f>_xll.BDH("GILD US Equity","CF_NET_CHG_ST_DEBT_CPTL_LEAS","FQ3 2021","FQ3 2021","Currency=USD","Period=FQ","BEST_FPERIOD_OVERRIDE=FQ","FILING_STATUS=MR","SCALING_FORMAT=MLN","Sort=A","Dates=H","DateFormat=P","Fill=—","Direction=H","UseDPDF=Y")</f>
        <v>—</v>
      </c>
      <c r="O43" s="13" t="str">
        <f>_xll.BDH("GILD US Equity","CF_NET_CHG_ST_DEBT_CPTL_LEAS","FQ4 2021","FQ4 2021","Currency=USD","Period=FQ","BEST_FPERIOD_OVERRIDE=FQ","FILING_STATUS=MR","SCALING_FORMAT=MLN","Sort=A","Dates=H","DateFormat=P","Fill=—","Direction=H","UseDPDF=Y")</f>
        <v>—</v>
      </c>
      <c r="P43" s="13" t="str">
        <f>_xll.BDH("GILD US Equity","CF_NET_CHG_ST_DEBT_CPTL_LEAS","FQ1 2022","FQ1 2022","Currency=USD","Period=FQ","BEST_FPERIOD_OVERRIDE=FQ","FILING_STATUS=MR","SCALING_FORMAT=MLN","Sort=A","Dates=H","DateFormat=P","Fill=—","Direction=H","UseDPDF=Y")</f>
        <v>—</v>
      </c>
      <c r="Q43" s="13">
        <f>_xll.BDH("GILD US Equity","CF_NET_CHG_ST_DEBT_CPTL_LEAS","FQ2 2022","FQ2 2022","Currency=USD","Period=FQ","BEST_FPERIOD_OVERRIDE=FQ","FILING_STATUS=MR","SCALING_FORMAT=MLN","Sort=A","Dates=H","DateFormat=P","Fill=—","Direction=H","UseDPDF=Y")</f>
        <v>0</v>
      </c>
      <c r="R43" s="13" t="str">
        <f>_xll.BDH("GILD US Equity","CF_NET_CHG_ST_DEBT_CPTL_LEAS","FQ3 2022","FQ3 2022","Currency=USD","Period=FQ","BEST_FPERIOD_OVERRIDE=FQ","FILING_STATUS=MR","SCALING_FORMAT=MLN","Sort=A","Dates=H","DateFormat=P","Fill=—","Direction=H","UseDPDF=Y")</f>
        <v>—</v>
      </c>
      <c r="S43" s="13" t="str">
        <f>_xll.BDH("GILD US Equity","CF_NET_CHG_ST_DEBT_CPTL_LEAS","FQ4 2022","FQ4 2022","Currency=USD","Period=FQ","BEST_FPERIOD_OVERRIDE=FQ","FILING_STATUS=MR","SCALING_FORMAT=MLN","Sort=A","Dates=H","DateFormat=P","Fill=—","Direction=H","UseDPDF=Y")</f>
        <v>—</v>
      </c>
      <c r="T43" s="13" t="str">
        <f>_xll.BDH("GILD US Equity","CF_NET_CHG_ST_DEBT_CPTL_LEAS","FQ1 2023","FQ1 2023","Currency=USD","Period=FQ","BEST_FPERIOD_OVERRIDE=FQ","FILING_STATUS=MR","SCALING_FORMAT=MLN","Sort=A","Dates=H","DateFormat=P","Fill=—","Direction=H","UseDPDF=Y")</f>
        <v>—</v>
      </c>
      <c r="U43" s="13" t="str">
        <f>_xll.BDH("GILD US Equity","CF_NET_CHG_ST_DEBT_CPTL_LEAS","FQ2 2023","FQ2 2023","Currency=USD","Period=FQ","BEST_FPERIOD_OVERRIDE=FQ","FILING_STATUS=MR","SCALING_FORMAT=MLN","Sort=A","Dates=H","DateFormat=P","Fill=—","Direction=H","UseDPDF=Y")</f>
        <v>—</v>
      </c>
      <c r="V43" s="13" t="str">
        <f>_xll.BDH("GILD US Equity","CF_NET_CHG_ST_DEBT_CPTL_LEAS","FQ3 2023","FQ3 2023","Currency=USD","Period=FQ","BEST_FPERIOD_OVERRIDE=FQ","FILING_STATUS=MR","SCALING_FORMAT=MLN","Sort=A","Dates=H","DateFormat=P","Fill=—","Direction=H","UseDPDF=Y")</f>
        <v>—</v>
      </c>
      <c r="W43" s="13" t="str">
        <f>_xll.BDH("GILD US Equity","CF_NET_CHG_ST_DEBT_CPTL_LEAS","FQ4 2023","FQ4 2023","Currency=USD","Period=FQ","BEST_FPERIOD_OVERRIDE=FQ","FILING_STATUS=MR","SCALING_FORMAT=MLN","Sort=A","Dates=H","DateFormat=P","Fill=—","Direction=H","UseDPDF=Y")</f>
        <v>—</v>
      </c>
      <c r="X43" s="13">
        <f>_xll.BDH("GILD US Equity","CF_NET_CHG_ST_DEBT_CPTL_LEAS","FQ1 2024","FQ1 2024","Currency=USD","Period=FQ","BEST_FPERIOD_OVERRIDE=FQ","FILING_STATUS=MR","SCALING_FORMAT=MLN","Sort=A","Dates=H","DateFormat=P","Fill=—","Direction=H","UseDPDF=Y")</f>
        <v>0</v>
      </c>
      <c r="Y43" s="13" t="str">
        <f>_xll.BDH("GILD US Equity","CF_NET_CHG_ST_DEBT_CPTL_LEAS","FQ2 2024","FQ2 2024","Currency=USD","Period=FQ","BEST_FPERIOD_OVERRIDE=FQ","FILING_STATUS=MR","SCALING_FORMAT=MLN","Sort=A","Dates=H","DateFormat=P","Fill=—","Direction=H","UseDPDF=Y")</f>
        <v>—</v>
      </c>
      <c r="Z43" s="13" t="str">
        <f>_xll.BDH("GILD US Equity","CF_NET_CHG_ST_DEBT_CPTL_LEAS","FQ3 2024","FQ3 2024","Currency=USD","Period=FQ","BEST_FPERIOD_OVERRIDE=FQ","FILING_STATUS=MR","SCALING_FORMAT=MLN","Sort=A","Dates=H","DateFormat=P","Fill=—","Direction=H","UseDPDF=Y")</f>
        <v>—</v>
      </c>
      <c r="AA43" s="13" t="str">
        <f>_xll.BDH("GILD US Equity","CF_NET_CHG_ST_DEBT_CPTL_LEAS","FQ4 2024","FQ4 2024","Currency=USD","Period=FQ","BEST_FPERIOD_OVERRIDE=FQ","FILING_STATUS=MR","SCALING_FORMAT=MLN","Sort=A","Dates=H","DateFormat=P","Fill=—","Direction=H","UseDPDF=Y")</f>
        <v>—</v>
      </c>
    </row>
    <row r="44" spans="1:27" x14ac:dyDescent="0.25">
      <c r="A44" s="10" t="s">
        <v>1376</v>
      </c>
      <c r="B44" s="10" t="s">
        <v>1377</v>
      </c>
      <c r="C44" s="13" t="str">
        <f>_xll.BDH("GILD US Equity","CF_LT_DEBT_CAP_LEAS_PROCEEDS","FQ4 2018","FQ4 2018","Currency=USD","Period=FQ","BEST_FPERIOD_OVERRIDE=FQ","FILING_STATUS=MR","SCALING_FORMAT=MLN","Sort=A","Dates=H","DateFormat=P","Fill=—","Direction=H","UseDPDF=Y")</f>
        <v>—</v>
      </c>
      <c r="D44" s="13" t="str">
        <f>_xll.BDH("GILD US Equity","CF_LT_DEBT_CAP_LEAS_PROCEEDS","FQ1 2019","FQ1 2019","Currency=USD","Period=FQ","BEST_FPERIOD_OVERRIDE=FQ","FILING_STATUS=MR","SCALING_FORMAT=MLN","Sort=A","Dates=H","DateFormat=P","Fill=—","Direction=H","UseDPDF=Y")</f>
        <v>—</v>
      </c>
      <c r="E44" s="13" t="str">
        <f>_xll.BDH("GILD US Equity","CF_LT_DEBT_CAP_LEAS_PROCEEDS","FQ2 2019","FQ2 2019","Currency=USD","Period=FQ","BEST_FPERIOD_OVERRIDE=FQ","FILING_STATUS=MR","SCALING_FORMAT=MLN","Sort=A","Dates=H","DateFormat=P","Fill=—","Direction=H","UseDPDF=Y")</f>
        <v>—</v>
      </c>
      <c r="F44" s="13" t="str">
        <f>_xll.BDH("GILD US Equity","CF_LT_DEBT_CAP_LEAS_PROCEEDS","FQ3 2019","FQ3 2019","Currency=USD","Period=FQ","BEST_FPERIOD_OVERRIDE=FQ","FILING_STATUS=MR","SCALING_FORMAT=MLN","Sort=A","Dates=H","DateFormat=P","Fill=—","Direction=H","UseDPDF=Y")</f>
        <v>—</v>
      </c>
      <c r="G44" s="13" t="str">
        <f>_xll.BDH("GILD US Equity","CF_LT_DEBT_CAP_LEAS_PROCEEDS","FQ4 2019","FQ4 2019","Currency=USD","Period=FQ","BEST_FPERIOD_OVERRIDE=FQ","FILING_STATUS=MR","SCALING_FORMAT=MLN","Sort=A","Dates=H","DateFormat=P","Fill=—","Direction=H","UseDPDF=Y")</f>
        <v>—</v>
      </c>
      <c r="H44" s="13" t="str">
        <f>_xll.BDH("GILD US Equity","CF_LT_DEBT_CAP_LEAS_PROCEEDS","FQ1 2020","FQ1 2020","Currency=USD","Period=FQ","BEST_FPERIOD_OVERRIDE=FQ","FILING_STATUS=MR","SCALING_FORMAT=MLN","Sort=A","Dates=H","DateFormat=P","Fill=—","Direction=H","UseDPDF=Y")</f>
        <v>—</v>
      </c>
      <c r="I44" s="13" t="str">
        <f>_xll.BDH("GILD US Equity","CF_LT_DEBT_CAP_LEAS_PROCEEDS","FQ2 2020","FQ2 2020","Currency=USD","Period=FQ","BEST_FPERIOD_OVERRIDE=FQ","FILING_STATUS=MR","SCALING_FORMAT=MLN","Sort=A","Dates=H","DateFormat=P","Fill=—","Direction=H","UseDPDF=Y")</f>
        <v>—</v>
      </c>
      <c r="J44" s="13" t="str">
        <f>_xll.BDH("GILD US Equity","CF_LT_DEBT_CAP_LEAS_PROCEEDS","FQ3 2020","FQ3 2020","Currency=USD","Period=FQ","BEST_FPERIOD_OVERRIDE=FQ","FILING_STATUS=MR","SCALING_FORMAT=MLN","Sort=A","Dates=H","DateFormat=P","Fill=—","Direction=H","UseDPDF=Y")</f>
        <v>—</v>
      </c>
      <c r="K44" s="13" t="str">
        <f>_xll.BDH("GILD US Equity","CF_LT_DEBT_CAP_LEAS_PROCEEDS","FQ4 2020","FQ4 2020","Currency=USD","Period=FQ","BEST_FPERIOD_OVERRIDE=FQ","FILING_STATUS=MR","SCALING_FORMAT=MLN","Sort=A","Dates=H","DateFormat=P","Fill=—","Direction=H","UseDPDF=Y")</f>
        <v>—</v>
      </c>
      <c r="L44" s="13" t="str">
        <f>_xll.BDH("GILD US Equity","CF_LT_DEBT_CAP_LEAS_PROCEEDS","FQ1 2021","FQ1 2021","Currency=USD","Period=FQ","BEST_FPERIOD_OVERRIDE=FQ","FILING_STATUS=MR","SCALING_FORMAT=MLN","Sort=A","Dates=H","DateFormat=P","Fill=—","Direction=H","UseDPDF=Y")</f>
        <v>—</v>
      </c>
      <c r="M44" s="13" t="str">
        <f>_xll.BDH("GILD US Equity","CF_LT_DEBT_CAP_LEAS_PROCEEDS","FQ2 2021","FQ2 2021","Currency=USD","Period=FQ","BEST_FPERIOD_OVERRIDE=FQ","FILING_STATUS=MR","SCALING_FORMAT=MLN","Sort=A","Dates=H","DateFormat=P","Fill=—","Direction=H","UseDPDF=Y")</f>
        <v>—</v>
      </c>
      <c r="N44" s="13" t="str">
        <f>_xll.BDH("GILD US Equity","CF_LT_DEBT_CAP_LEAS_PROCEEDS","FQ3 2021","FQ3 2021","Currency=USD","Period=FQ","BEST_FPERIOD_OVERRIDE=FQ","FILING_STATUS=MR","SCALING_FORMAT=MLN","Sort=A","Dates=H","DateFormat=P","Fill=—","Direction=H","UseDPDF=Y")</f>
        <v>—</v>
      </c>
      <c r="O44" s="13" t="str">
        <f>_xll.BDH("GILD US Equity","CF_LT_DEBT_CAP_LEAS_PROCEEDS","FQ4 2021","FQ4 2021","Currency=USD","Period=FQ","BEST_FPERIOD_OVERRIDE=FQ","FILING_STATUS=MR","SCALING_FORMAT=MLN","Sort=A","Dates=H","DateFormat=P","Fill=—","Direction=H","UseDPDF=Y")</f>
        <v>—</v>
      </c>
      <c r="P44" s="13" t="str">
        <f>_xll.BDH("GILD US Equity","CF_LT_DEBT_CAP_LEAS_PROCEEDS","FQ1 2022","FQ1 2022","Currency=USD","Period=FQ","BEST_FPERIOD_OVERRIDE=FQ","FILING_STATUS=MR","SCALING_FORMAT=MLN","Sort=A","Dates=H","DateFormat=P","Fill=—","Direction=H","UseDPDF=Y")</f>
        <v>—</v>
      </c>
      <c r="Q44" s="13">
        <f>_xll.BDH("GILD US Equity","CF_LT_DEBT_CAP_LEAS_PROCEEDS","FQ2 2022","FQ2 2022","Currency=USD","Period=FQ","BEST_FPERIOD_OVERRIDE=FQ","FILING_STATUS=MR","SCALING_FORMAT=MLN","Sort=A","Dates=H","DateFormat=P","Fill=—","Direction=H","UseDPDF=Y")</f>
        <v>0</v>
      </c>
      <c r="R44" s="13" t="str">
        <f>_xll.BDH("GILD US Equity","CF_LT_DEBT_CAP_LEAS_PROCEEDS","FQ3 2022","FQ3 2022","Currency=USD","Period=FQ","BEST_FPERIOD_OVERRIDE=FQ","FILING_STATUS=MR","SCALING_FORMAT=MLN","Sort=A","Dates=H","DateFormat=P","Fill=—","Direction=H","UseDPDF=Y")</f>
        <v>—</v>
      </c>
      <c r="S44" s="13" t="str">
        <f>_xll.BDH("GILD US Equity","CF_LT_DEBT_CAP_LEAS_PROCEEDS","FQ4 2022","FQ4 2022","Currency=USD","Period=FQ","BEST_FPERIOD_OVERRIDE=FQ","FILING_STATUS=MR","SCALING_FORMAT=MLN","Sort=A","Dates=H","DateFormat=P","Fill=—","Direction=H","UseDPDF=Y")</f>
        <v>—</v>
      </c>
      <c r="T44" s="13" t="str">
        <f>_xll.BDH("GILD US Equity","CF_LT_DEBT_CAP_LEAS_PROCEEDS","FQ1 2023","FQ1 2023","Currency=USD","Period=FQ","BEST_FPERIOD_OVERRIDE=FQ","FILING_STATUS=MR","SCALING_FORMAT=MLN","Sort=A","Dates=H","DateFormat=P","Fill=—","Direction=H","UseDPDF=Y")</f>
        <v>—</v>
      </c>
      <c r="U44" s="13" t="str">
        <f>_xll.BDH("GILD US Equity","CF_LT_DEBT_CAP_LEAS_PROCEEDS","FQ2 2023","FQ2 2023","Currency=USD","Period=FQ","BEST_FPERIOD_OVERRIDE=FQ","FILING_STATUS=MR","SCALING_FORMAT=MLN","Sort=A","Dates=H","DateFormat=P","Fill=—","Direction=H","UseDPDF=Y")</f>
        <v>—</v>
      </c>
      <c r="V44" s="13" t="str">
        <f>_xll.BDH("GILD US Equity","CF_LT_DEBT_CAP_LEAS_PROCEEDS","FQ3 2023","FQ3 2023","Currency=USD","Period=FQ","BEST_FPERIOD_OVERRIDE=FQ","FILING_STATUS=MR","SCALING_FORMAT=MLN","Sort=A","Dates=H","DateFormat=P","Fill=—","Direction=H","UseDPDF=Y")</f>
        <v>—</v>
      </c>
      <c r="W44" s="13" t="str">
        <f>_xll.BDH("GILD US Equity","CF_LT_DEBT_CAP_LEAS_PROCEEDS","FQ4 2023","FQ4 2023","Currency=USD","Period=FQ","BEST_FPERIOD_OVERRIDE=FQ","FILING_STATUS=MR","SCALING_FORMAT=MLN","Sort=A","Dates=H","DateFormat=P","Fill=—","Direction=H","UseDPDF=Y")</f>
        <v>—</v>
      </c>
      <c r="X44" s="13">
        <f>_xll.BDH("GILD US Equity","CF_LT_DEBT_CAP_LEAS_PROCEEDS","FQ1 2024","FQ1 2024","Currency=USD","Period=FQ","BEST_FPERIOD_OVERRIDE=FQ","FILING_STATUS=MR","SCALING_FORMAT=MLN","Sort=A","Dates=H","DateFormat=P","Fill=—","Direction=H","UseDPDF=Y")</f>
        <v>0</v>
      </c>
      <c r="Y44" s="13" t="str">
        <f>_xll.BDH("GILD US Equity","CF_LT_DEBT_CAP_LEAS_PROCEEDS","FQ2 2024","FQ2 2024","Currency=USD","Period=FQ","BEST_FPERIOD_OVERRIDE=FQ","FILING_STATUS=MR","SCALING_FORMAT=MLN","Sort=A","Dates=H","DateFormat=P","Fill=—","Direction=H","UseDPDF=Y")</f>
        <v>—</v>
      </c>
      <c r="Z44" s="13" t="str">
        <f>_xll.BDH("GILD US Equity","CF_LT_DEBT_CAP_LEAS_PROCEEDS","FQ3 2024","FQ3 2024","Currency=USD","Period=FQ","BEST_FPERIOD_OVERRIDE=FQ","FILING_STATUS=MR","SCALING_FORMAT=MLN","Sort=A","Dates=H","DateFormat=P","Fill=—","Direction=H","UseDPDF=Y")</f>
        <v>—</v>
      </c>
      <c r="AA44" s="13" t="str">
        <f>_xll.BDH("GILD US Equity","CF_LT_DEBT_CAP_LEAS_PROCEEDS","FQ4 2024","FQ4 2024","Currency=USD","Period=FQ","BEST_FPERIOD_OVERRIDE=FQ","FILING_STATUS=MR","SCALING_FORMAT=MLN","Sort=A","Dates=H","DateFormat=P","Fill=—","Direction=H","UseDPDF=Y")</f>
        <v>—</v>
      </c>
    </row>
    <row r="45" spans="1:27" x14ac:dyDescent="0.25">
      <c r="A45" s="10" t="s">
        <v>1378</v>
      </c>
      <c r="B45" s="10" t="s">
        <v>1379</v>
      </c>
      <c r="C45" s="13" t="str">
        <f>_xll.BDH("GILD US Equity","CF_LT_DEBT_CAP_LEAS_PAYMENT","FQ4 2018","FQ4 2018","Currency=USD","Period=FQ","BEST_FPERIOD_OVERRIDE=FQ","FILING_STATUS=MR","SCALING_FORMAT=MLN","Sort=A","Dates=H","DateFormat=P","Fill=—","Direction=H","UseDPDF=Y")</f>
        <v>—</v>
      </c>
      <c r="D45" s="13" t="str">
        <f>_xll.BDH("GILD US Equity","CF_LT_DEBT_CAP_LEAS_PAYMENT","FQ1 2019","FQ1 2019","Currency=USD","Period=FQ","BEST_FPERIOD_OVERRIDE=FQ","FILING_STATUS=MR","SCALING_FORMAT=MLN","Sort=A","Dates=H","DateFormat=P","Fill=—","Direction=H","UseDPDF=Y")</f>
        <v>—</v>
      </c>
      <c r="E45" s="13" t="str">
        <f>_xll.BDH("GILD US Equity","CF_LT_DEBT_CAP_LEAS_PAYMENT","FQ2 2019","FQ2 2019","Currency=USD","Period=FQ","BEST_FPERIOD_OVERRIDE=FQ","FILING_STATUS=MR","SCALING_FORMAT=MLN","Sort=A","Dates=H","DateFormat=P","Fill=—","Direction=H","UseDPDF=Y")</f>
        <v>—</v>
      </c>
      <c r="F45" s="13" t="str">
        <f>_xll.BDH("GILD US Equity","CF_LT_DEBT_CAP_LEAS_PAYMENT","FQ3 2019","FQ3 2019","Currency=USD","Period=FQ","BEST_FPERIOD_OVERRIDE=FQ","FILING_STATUS=MR","SCALING_FORMAT=MLN","Sort=A","Dates=H","DateFormat=P","Fill=—","Direction=H","UseDPDF=Y")</f>
        <v>—</v>
      </c>
      <c r="G45" s="13" t="str">
        <f>_xll.BDH("GILD US Equity","CF_LT_DEBT_CAP_LEAS_PAYMENT","FQ4 2019","FQ4 2019","Currency=USD","Period=FQ","BEST_FPERIOD_OVERRIDE=FQ","FILING_STATUS=MR","SCALING_FORMAT=MLN","Sort=A","Dates=H","DateFormat=P","Fill=—","Direction=H","UseDPDF=Y")</f>
        <v>—</v>
      </c>
      <c r="H45" s="13" t="str">
        <f>_xll.BDH("GILD US Equity","CF_LT_DEBT_CAP_LEAS_PAYMENT","FQ1 2020","FQ1 2020","Currency=USD","Period=FQ","BEST_FPERIOD_OVERRIDE=FQ","FILING_STATUS=MR","SCALING_FORMAT=MLN","Sort=A","Dates=H","DateFormat=P","Fill=—","Direction=H","UseDPDF=Y")</f>
        <v>—</v>
      </c>
      <c r="I45" s="13" t="str">
        <f>_xll.BDH("GILD US Equity","CF_LT_DEBT_CAP_LEAS_PAYMENT","FQ2 2020","FQ2 2020","Currency=USD","Period=FQ","BEST_FPERIOD_OVERRIDE=FQ","FILING_STATUS=MR","SCALING_FORMAT=MLN","Sort=A","Dates=H","DateFormat=P","Fill=—","Direction=H","UseDPDF=Y")</f>
        <v>—</v>
      </c>
      <c r="J45" s="13" t="str">
        <f>_xll.BDH("GILD US Equity","CF_LT_DEBT_CAP_LEAS_PAYMENT","FQ3 2020","FQ3 2020","Currency=USD","Period=FQ","BEST_FPERIOD_OVERRIDE=FQ","FILING_STATUS=MR","SCALING_FORMAT=MLN","Sort=A","Dates=H","DateFormat=P","Fill=—","Direction=H","UseDPDF=Y")</f>
        <v>—</v>
      </c>
      <c r="K45" s="13" t="str">
        <f>_xll.BDH("GILD US Equity","CF_LT_DEBT_CAP_LEAS_PAYMENT","FQ4 2020","FQ4 2020","Currency=USD","Period=FQ","BEST_FPERIOD_OVERRIDE=FQ","FILING_STATUS=MR","SCALING_FORMAT=MLN","Sort=A","Dates=H","DateFormat=P","Fill=—","Direction=H","UseDPDF=Y")</f>
        <v>—</v>
      </c>
      <c r="L45" s="13" t="str">
        <f>_xll.BDH("GILD US Equity","CF_LT_DEBT_CAP_LEAS_PAYMENT","FQ1 2021","FQ1 2021","Currency=USD","Period=FQ","BEST_FPERIOD_OVERRIDE=FQ","FILING_STATUS=MR","SCALING_FORMAT=MLN","Sort=A","Dates=H","DateFormat=P","Fill=—","Direction=H","UseDPDF=Y")</f>
        <v>—</v>
      </c>
      <c r="M45" s="13" t="str">
        <f>_xll.BDH("GILD US Equity","CF_LT_DEBT_CAP_LEAS_PAYMENT","FQ2 2021","FQ2 2021","Currency=USD","Period=FQ","BEST_FPERIOD_OVERRIDE=FQ","FILING_STATUS=MR","SCALING_FORMAT=MLN","Sort=A","Dates=H","DateFormat=P","Fill=—","Direction=H","UseDPDF=Y")</f>
        <v>—</v>
      </c>
      <c r="N45" s="13" t="str">
        <f>_xll.BDH("GILD US Equity","CF_LT_DEBT_CAP_LEAS_PAYMENT","FQ3 2021","FQ3 2021","Currency=USD","Period=FQ","BEST_FPERIOD_OVERRIDE=FQ","FILING_STATUS=MR","SCALING_FORMAT=MLN","Sort=A","Dates=H","DateFormat=P","Fill=—","Direction=H","UseDPDF=Y")</f>
        <v>—</v>
      </c>
      <c r="O45" s="13" t="str">
        <f>_xll.BDH("GILD US Equity","CF_LT_DEBT_CAP_LEAS_PAYMENT","FQ4 2021","FQ4 2021","Currency=USD","Period=FQ","BEST_FPERIOD_OVERRIDE=FQ","FILING_STATUS=MR","SCALING_FORMAT=MLN","Sort=A","Dates=H","DateFormat=P","Fill=—","Direction=H","UseDPDF=Y")</f>
        <v>—</v>
      </c>
      <c r="P45" s="13" t="str">
        <f>_xll.BDH("GILD US Equity","CF_LT_DEBT_CAP_LEAS_PAYMENT","FQ1 2022","FQ1 2022","Currency=USD","Period=FQ","BEST_FPERIOD_OVERRIDE=FQ","FILING_STATUS=MR","SCALING_FORMAT=MLN","Sort=A","Dates=H","DateFormat=P","Fill=—","Direction=H","UseDPDF=Y")</f>
        <v>—</v>
      </c>
      <c r="Q45" s="13">
        <f>_xll.BDH("GILD US Equity","CF_LT_DEBT_CAP_LEAS_PAYMENT","FQ2 2022","FQ2 2022","Currency=USD","Period=FQ","BEST_FPERIOD_OVERRIDE=FQ","FILING_STATUS=MR","SCALING_FORMAT=MLN","Sort=A","Dates=H","DateFormat=P","Fill=—","Direction=H","UseDPDF=Y")</f>
        <v>0</v>
      </c>
      <c r="R45" s="13" t="str">
        <f>_xll.BDH("GILD US Equity","CF_LT_DEBT_CAP_LEAS_PAYMENT","FQ3 2022","FQ3 2022","Currency=USD","Period=FQ","BEST_FPERIOD_OVERRIDE=FQ","FILING_STATUS=MR","SCALING_FORMAT=MLN","Sort=A","Dates=H","DateFormat=P","Fill=—","Direction=H","UseDPDF=Y")</f>
        <v>—</v>
      </c>
      <c r="S45" s="13" t="str">
        <f>_xll.BDH("GILD US Equity","CF_LT_DEBT_CAP_LEAS_PAYMENT","FQ4 2022","FQ4 2022","Currency=USD","Period=FQ","BEST_FPERIOD_OVERRIDE=FQ","FILING_STATUS=MR","SCALING_FORMAT=MLN","Sort=A","Dates=H","DateFormat=P","Fill=—","Direction=H","UseDPDF=Y")</f>
        <v>—</v>
      </c>
      <c r="T45" s="13" t="str">
        <f>_xll.BDH("GILD US Equity","CF_LT_DEBT_CAP_LEAS_PAYMENT","FQ1 2023","FQ1 2023","Currency=USD","Period=FQ","BEST_FPERIOD_OVERRIDE=FQ","FILING_STATUS=MR","SCALING_FORMAT=MLN","Sort=A","Dates=H","DateFormat=P","Fill=—","Direction=H","UseDPDF=Y")</f>
        <v>—</v>
      </c>
      <c r="U45" s="13" t="str">
        <f>_xll.BDH("GILD US Equity","CF_LT_DEBT_CAP_LEAS_PAYMENT","FQ2 2023","FQ2 2023","Currency=USD","Period=FQ","BEST_FPERIOD_OVERRIDE=FQ","FILING_STATUS=MR","SCALING_FORMAT=MLN","Sort=A","Dates=H","DateFormat=P","Fill=—","Direction=H","UseDPDF=Y")</f>
        <v>—</v>
      </c>
      <c r="V45" s="13" t="str">
        <f>_xll.BDH("GILD US Equity","CF_LT_DEBT_CAP_LEAS_PAYMENT","FQ3 2023","FQ3 2023","Currency=USD","Period=FQ","BEST_FPERIOD_OVERRIDE=FQ","FILING_STATUS=MR","SCALING_FORMAT=MLN","Sort=A","Dates=H","DateFormat=P","Fill=—","Direction=H","UseDPDF=Y")</f>
        <v>—</v>
      </c>
      <c r="W45" s="13" t="str">
        <f>_xll.BDH("GILD US Equity","CF_LT_DEBT_CAP_LEAS_PAYMENT","FQ4 2023","FQ4 2023","Currency=USD","Period=FQ","BEST_FPERIOD_OVERRIDE=FQ","FILING_STATUS=MR","SCALING_FORMAT=MLN","Sort=A","Dates=H","DateFormat=P","Fill=—","Direction=H","UseDPDF=Y")</f>
        <v>—</v>
      </c>
      <c r="X45" s="13">
        <f>_xll.BDH("GILD US Equity","CF_LT_DEBT_CAP_LEAS_PAYMENT","FQ1 2024","FQ1 2024","Currency=USD","Period=FQ","BEST_FPERIOD_OVERRIDE=FQ","FILING_STATUS=MR","SCALING_FORMAT=MLN","Sort=A","Dates=H","DateFormat=P","Fill=—","Direction=H","UseDPDF=Y")</f>
        <v>0</v>
      </c>
      <c r="Y45" s="13" t="str">
        <f>_xll.BDH("GILD US Equity","CF_LT_DEBT_CAP_LEAS_PAYMENT","FQ2 2024","FQ2 2024","Currency=USD","Period=FQ","BEST_FPERIOD_OVERRIDE=FQ","FILING_STATUS=MR","SCALING_FORMAT=MLN","Sort=A","Dates=H","DateFormat=P","Fill=—","Direction=H","UseDPDF=Y")</f>
        <v>—</v>
      </c>
      <c r="Z45" s="13" t="str">
        <f>_xll.BDH("GILD US Equity","CF_LT_DEBT_CAP_LEAS_PAYMENT","FQ3 2024","FQ3 2024","Currency=USD","Period=FQ","BEST_FPERIOD_OVERRIDE=FQ","FILING_STATUS=MR","SCALING_FORMAT=MLN","Sort=A","Dates=H","DateFormat=P","Fill=—","Direction=H","UseDPDF=Y")</f>
        <v>—</v>
      </c>
      <c r="AA45" s="13" t="str">
        <f>_xll.BDH("GILD US Equity","CF_LT_DEBT_CAP_LEAS_PAYMENT","FQ4 2024","FQ4 2024","Currency=USD","Period=FQ","BEST_FPERIOD_OVERRIDE=FQ","FILING_STATUS=MR","SCALING_FORMAT=MLN","Sort=A","Dates=H","DateFormat=P","Fill=—","Direction=H","UseDPDF=Y")</f>
        <v>—</v>
      </c>
    </row>
    <row r="46" spans="1:27" x14ac:dyDescent="0.25">
      <c r="A46" s="10" t="s">
        <v>1380</v>
      </c>
      <c r="B46" s="10" t="s">
        <v>1381</v>
      </c>
      <c r="C46" s="13">
        <f>_xll.BDH("GILD US Equity","PROC_FR_REPURCH_EQTY_DETAILED","FQ4 2018","FQ4 2018","Currency=USD","Period=FQ","BEST_FPERIOD_OVERRIDE=FQ","FILING_STATUS=MR","SCALING_FORMAT=MLN","Sort=A","Dates=H","DateFormat=P","Fill=—","Direction=H","UseDPDF=Y")</f>
        <v>-912</v>
      </c>
      <c r="D46" s="13">
        <f>_xll.BDH("GILD US Equity","PROC_FR_REPURCH_EQTY_DETAILED","FQ1 2019","FQ1 2019","Currency=USD","Period=FQ","BEST_FPERIOD_OVERRIDE=FQ","FILING_STATUS=MR","SCALING_FORMAT=MLN","Sort=A","Dates=H","DateFormat=P","Fill=—","Direction=H","UseDPDF=Y")</f>
        <v>-731</v>
      </c>
      <c r="E46" s="13">
        <f>_xll.BDH("GILD US Equity","PROC_FR_REPURCH_EQTY_DETAILED","FQ2 2019","FQ2 2019","Currency=USD","Period=FQ","BEST_FPERIOD_OVERRIDE=FQ","FILING_STATUS=MR","SCALING_FORMAT=MLN","Sort=A","Dates=H","DateFormat=P","Fill=—","Direction=H","UseDPDF=Y")</f>
        <v>-550</v>
      </c>
      <c r="F46" s="13">
        <f>_xll.BDH("GILD US Equity","PROC_FR_REPURCH_EQTY_DETAILED","FQ3 2019","FQ3 2019","Currency=USD","Period=FQ","BEST_FPERIOD_OVERRIDE=FQ","FILING_STATUS=MR","SCALING_FORMAT=MLN","Sort=A","Dates=H","DateFormat=P","Fill=—","Direction=H","UseDPDF=Y")</f>
        <v>-181</v>
      </c>
      <c r="G46" s="13">
        <f>_xll.BDH("GILD US Equity","PROC_FR_REPURCH_EQTY_DETAILED","FQ4 2019","FQ4 2019","Currency=USD","Period=FQ","BEST_FPERIOD_OVERRIDE=FQ","FILING_STATUS=MR","SCALING_FORMAT=MLN","Sort=A","Dates=H","DateFormat=P","Fill=—","Direction=H","UseDPDF=Y")</f>
        <v>-78</v>
      </c>
      <c r="H46" s="13">
        <f>_xll.BDH("GILD US Equity","PROC_FR_REPURCH_EQTY_DETAILED","FQ1 2020","FQ1 2020","Currency=USD","Period=FQ","BEST_FPERIOD_OVERRIDE=FQ","FILING_STATUS=MR","SCALING_FORMAT=MLN","Sort=A","Dates=H","DateFormat=P","Fill=—","Direction=H","UseDPDF=Y")</f>
        <v>-1151</v>
      </c>
      <c r="I46" s="13">
        <f>_xll.BDH("GILD US Equity","PROC_FR_REPURCH_EQTY_DETAILED","FQ2 2020","FQ2 2020","Currency=USD","Period=FQ","BEST_FPERIOD_OVERRIDE=FQ","FILING_STATUS=MR","SCALING_FORMAT=MLN","Sort=A","Dates=H","DateFormat=P","Fill=—","Direction=H","UseDPDF=Y")</f>
        <v>-19</v>
      </c>
      <c r="J46" s="13">
        <f>_xll.BDH("GILD US Equity","PROC_FR_REPURCH_EQTY_DETAILED","FQ3 2020","FQ3 2020","Currency=USD","Period=FQ","BEST_FPERIOD_OVERRIDE=FQ","FILING_STATUS=MR","SCALING_FORMAT=MLN","Sort=A","Dates=H","DateFormat=P","Fill=—","Direction=H","UseDPDF=Y")</f>
        <v>-165</v>
      </c>
      <c r="K46" s="13">
        <f>_xll.BDH("GILD US Equity","PROC_FR_REPURCH_EQTY_DETAILED","FQ4 2020","FQ4 2020","Currency=USD","Period=FQ","BEST_FPERIOD_OVERRIDE=FQ","FILING_STATUS=MR","SCALING_FORMAT=MLN","Sort=A","Dates=H","DateFormat=P","Fill=—","Direction=H","UseDPDF=Y")</f>
        <v>8</v>
      </c>
      <c r="L46" s="13">
        <f>_xll.BDH("GILD US Equity","PROC_FR_REPURCH_EQTY_DETAILED","FQ1 2021","FQ1 2021","Currency=USD","Period=FQ","BEST_FPERIOD_OVERRIDE=FQ","FILING_STATUS=MR","SCALING_FORMAT=MLN","Sort=A","Dates=H","DateFormat=P","Fill=—","Direction=H","UseDPDF=Y")</f>
        <v>-221</v>
      </c>
      <c r="M46" s="13">
        <f>_xll.BDH("GILD US Equity","PROC_FR_REPURCH_EQTY_DETAILED","FQ2 2021","FQ2 2021","Currency=USD","Period=FQ","BEST_FPERIOD_OVERRIDE=FQ","FILING_STATUS=MR","SCALING_FORMAT=MLN","Sort=A","Dates=H","DateFormat=P","Fill=—","Direction=H","UseDPDF=Y")</f>
        <v>-31</v>
      </c>
      <c r="N46" s="13">
        <f>_xll.BDH("GILD US Equity","PROC_FR_REPURCH_EQTY_DETAILED","FQ3 2021","FQ3 2021","Currency=USD","Period=FQ","BEST_FPERIOD_OVERRIDE=FQ","FILING_STATUS=MR","SCALING_FORMAT=MLN","Sort=A","Dates=H","DateFormat=P","Fill=—","Direction=H","UseDPDF=Y")</f>
        <v>-88</v>
      </c>
      <c r="O46" s="13">
        <f>_xll.BDH("GILD US Equity","PROC_FR_REPURCH_EQTY_DETAILED","FQ4 2021","FQ4 2021","Currency=USD","Period=FQ","BEST_FPERIOD_OVERRIDE=FQ","FILING_STATUS=MR","SCALING_FORMAT=MLN","Sort=A","Dates=H","DateFormat=P","Fill=—","Direction=H","UseDPDF=Y")</f>
        <v>-37</v>
      </c>
      <c r="P46" s="13">
        <f>_xll.BDH("GILD US Equity","PROC_FR_REPURCH_EQTY_DETAILED","FQ1 2022","FQ1 2022","Currency=USD","Period=FQ","BEST_FPERIOD_OVERRIDE=FQ","FILING_STATUS=MR","SCALING_FORMAT=MLN","Sort=A","Dates=H","DateFormat=P","Fill=—","Direction=H","UseDPDF=Y")</f>
        <v>-258</v>
      </c>
      <c r="Q46" s="13">
        <f>_xll.BDH("GILD US Equity","PROC_FR_REPURCH_EQTY_DETAILED","FQ2 2022","FQ2 2022","Currency=USD","Period=FQ","BEST_FPERIOD_OVERRIDE=FQ","FILING_STATUS=MR","SCALING_FORMAT=MLN","Sort=A","Dates=H","DateFormat=P","Fill=—","Direction=H","UseDPDF=Y")</f>
        <v>-69</v>
      </c>
      <c r="R46" s="13">
        <f>_xll.BDH("GILD US Equity","PROC_FR_REPURCH_EQTY_DETAILED","FQ3 2022","FQ3 2022","Currency=USD","Period=FQ","BEST_FPERIOD_OVERRIDE=FQ","FILING_STATUS=MR","SCALING_FORMAT=MLN","Sort=A","Dates=H","DateFormat=P","Fill=—","Direction=H","UseDPDF=Y")</f>
        <v>-144</v>
      </c>
      <c r="S46" s="13">
        <f>_xll.BDH("GILD US Equity","PROC_FR_REPURCH_EQTY_DETAILED","FQ4 2022","FQ4 2022","Currency=USD","Period=FQ","BEST_FPERIOD_OVERRIDE=FQ","FILING_STATUS=MR","SCALING_FORMAT=MLN","Sort=A","Dates=H","DateFormat=P","Fill=—","Direction=H","UseDPDF=Y")</f>
        <v>-616</v>
      </c>
      <c r="T46" s="13">
        <f>_xll.BDH("GILD US Equity","PROC_FR_REPURCH_EQTY_DETAILED","FQ1 2023","FQ1 2023","Currency=USD","Period=FQ","BEST_FPERIOD_OVERRIDE=FQ","FILING_STATUS=MR","SCALING_FORMAT=MLN","Sort=A","Dates=H","DateFormat=P","Fill=—","Direction=H","UseDPDF=Y")</f>
        <v>-303</v>
      </c>
      <c r="U46" s="13">
        <f>_xll.BDH("GILD US Equity","PROC_FR_REPURCH_EQTY_DETAILED","FQ2 2023","FQ2 2023","Currency=USD","Period=FQ","BEST_FPERIOD_OVERRIDE=FQ","FILING_STATUS=MR","SCALING_FORMAT=MLN","Sort=A","Dates=H","DateFormat=P","Fill=—","Direction=H","UseDPDF=Y")</f>
        <v>-124</v>
      </c>
      <c r="V46" s="13">
        <f>_xll.BDH("GILD US Equity","PROC_FR_REPURCH_EQTY_DETAILED","FQ3 2023","FQ3 2023","Currency=USD","Period=FQ","BEST_FPERIOD_OVERRIDE=FQ","FILING_STATUS=MR","SCALING_FORMAT=MLN","Sort=A","Dates=H","DateFormat=P","Fill=—","Direction=H","UseDPDF=Y")</f>
        <v>-217</v>
      </c>
      <c r="W46" s="13">
        <f>_xll.BDH("GILD US Equity","PROC_FR_REPURCH_EQTY_DETAILED","FQ4 2023","FQ4 2023","Currency=USD","Period=FQ","BEST_FPERIOD_OVERRIDE=FQ","FILING_STATUS=MR","SCALING_FORMAT=MLN","Sort=A","Dates=H","DateFormat=P","Fill=—","Direction=H","UseDPDF=Y")</f>
        <v>-123</v>
      </c>
      <c r="X46" s="13">
        <f>_xll.BDH("GILD US Equity","PROC_FR_REPURCH_EQTY_DETAILED","FQ1 2024","FQ1 2024","Currency=USD","Period=FQ","BEST_FPERIOD_OVERRIDE=FQ","FILING_STATUS=MR","SCALING_FORMAT=MLN","Sort=A","Dates=H","DateFormat=P","Fill=—","Direction=H","UseDPDF=Y")</f>
        <v>-254</v>
      </c>
      <c r="Y46" s="13">
        <f>_xll.BDH("GILD US Equity","PROC_FR_REPURCH_EQTY_DETAILED","FQ2 2024","FQ2 2024","Currency=USD","Period=FQ","BEST_FPERIOD_OVERRIDE=FQ","FILING_STATUS=MR","SCALING_FORMAT=MLN","Sort=A","Dates=H","DateFormat=P","Fill=—","Direction=H","UseDPDF=Y")</f>
        <v>-95</v>
      </c>
      <c r="Z46" s="13">
        <f>_xll.BDH("GILD US Equity","PROC_FR_REPURCH_EQTY_DETAILED","FQ3 2024","FQ3 2024","Currency=USD","Period=FQ","BEST_FPERIOD_OVERRIDE=FQ","FILING_STATUS=MR","SCALING_FORMAT=MLN","Sort=A","Dates=H","DateFormat=P","Fill=—","Direction=H","UseDPDF=Y")</f>
        <v>-202</v>
      </c>
      <c r="AA46" s="13">
        <f>_xll.BDH("GILD US Equity","PROC_FR_REPURCH_EQTY_DETAILED","FQ4 2024","FQ4 2024","Currency=USD","Period=FQ","BEST_FPERIOD_OVERRIDE=FQ","FILING_STATUS=MR","SCALING_FORMAT=MLN","Sort=A","Dates=H","DateFormat=P","Fill=—","Direction=H","UseDPDF=Y")</f>
        <v>-177</v>
      </c>
    </row>
    <row r="47" spans="1:27" x14ac:dyDescent="0.25">
      <c r="A47" s="10" t="s">
        <v>1382</v>
      </c>
      <c r="B47" s="10" t="s">
        <v>1383</v>
      </c>
      <c r="C47" s="13">
        <f>_xll.BDH("GILD US Equity","CF_INCR_CAP_STOCK","FQ4 2018","FQ4 2018","Currency=USD","Period=FQ","BEST_FPERIOD_OVERRIDE=FQ","FILING_STATUS=MR","SCALING_FORMAT=MLN","Sort=A","Dates=H","DateFormat=P","Fill=—","Direction=H","UseDPDF=Y")</f>
        <v>50</v>
      </c>
      <c r="D47" s="13">
        <f>_xll.BDH("GILD US Equity","CF_INCR_CAP_STOCK","FQ1 2019","FQ1 2019","Currency=USD","Period=FQ","BEST_FPERIOD_OVERRIDE=FQ","FILING_STATUS=MR","SCALING_FORMAT=MLN","Sort=A","Dates=H","DateFormat=P","Fill=—","Direction=H","UseDPDF=Y")</f>
        <v>103</v>
      </c>
      <c r="E47" s="13">
        <f>_xll.BDH("GILD US Equity","CF_INCR_CAP_STOCK","FQ2 2019","FQ2 2019","Currency=USD","Period=FQ","BEST_FPERIOD_OVERRIDE=FQ","FILING_STATUS=MR","SCALING_FORMAT=MLN","Sort=A","Dates=H","DateFormat=P","Fill=—","Direction=H","UseDPDF=Y")</f>
        <v>38</v>
      </c>
      <c r="F47" s="13">
        <f>_xll.BDH("GILD US Equity","CF_INCR_CAP_STOCK","FQ3 2019","FQ3 2019","Currency=USD","Period=FQ","BEST_FPERIOD_OVERRIDE=FQ","FILING_STATUS=MR","SCALING_FORMAT=MLN","Sort=A","Dates=H","DateFormat=P","Fill=—","Direction=H","UseDPDF=Y")</f>
        <v>41</v>
      </c>
      <c r="G47" s="13">
        <f>_xll.BDH("GILD US Equity","CF_INCR_CAP_STOCK","FQ4 2019","FQ4 2019","Currency=USD","Period=FQ","BEST_FPERIOD_OVERRIDE=FQ","FILING_STATUS=MR","SCALING_FORMAT=MLN","Sort=A","Dates=H","DateFormat=P","Fill=—","Direction=H","UseDPDF=Y")</f>
        <v>27</v>
      </c>
      <c r="H47" s="13">
        <f>_xll.BDH("GILD US Equity","CF_INCR_CAP_STOCK","FQ1 2020","FQ1 2020","Currency=USD","Period=FQ","BEST_FPERIOD_OVERRIDE=FQ","FILING_STATUS=MR","SCALING_FORMAT=MLN","Sort=A","Dates=H","DateFormat=P","Fill=—","Direction=H","UseDPDF=Y")</f>
        <v>177</v>
      </c>
      <c r="I47" s="13">
        <f>_xll.BDH("GILD US Equity","CF_INCR_CAP_STOCK","FQ2 2020","FQ2 2020","Currency=USD","Period=FQ","BEST_FPERIOD_OVERRIDE=FQ","FILING_STATUS=MR","SCALING_FORMAT=MLN","Sort=A","Dates=H","DateFormat=P","Fill=—","Direction=H","UseDPDF=Y")</f>
        <v>35</v>
      </c>
      <c r="J47" s="13">
        <f>_xll.BDH("GILD US Equity","CF_INCR_CAP_STOCK","FQ3 2020","FQ3 2020","Currency=USD","Period=FQ","BEST_FPERIOD_OVERRIDE=FQ","FILING_STATUS=MR","SCALING_FORMAT=MLN","Sort=A","Dates=H","DateFormat=P","Fill=—","Direction=H","UseDPDF=Y")</f>
        <v>36</v>
      </c>
      <c r="K47" s="13">
        <f>_xll.BDH("GILD US Equity","CF_INCR_CAP_STOCK","FQ4 2020","FQ4 2020","Currency=USD","Period=FQ","BEST_FPERIOD_OVERRIDE=FQ","FILING_STATUS=MR","SCALING_FORMAT=MLN","Sort=A","Dates=H","DateFormat=P","Fill=—","Direction=H","UseDPDF=Y")</f>
        <v>8</v>
      </c>
      <c r="L47" s="13">
        <f>_xll.BDH("GILD US Equity","CF_INCR_CAP_STOCK","FQ1 2021","FQ1 2021","Currency=USD","Period=FQ","BEST_FPERIOD_OVERRIDE=FQ","FILING_STATUS=MR","SCALING_FORMAT=MLN","Sort=A","Dates=H","DateFormat=P","Fill=—","Direction=H","UseDPDF=Y")</f>
        <v>88</v>
      </c>
      <c r="M47" s="13">
        <f>_xll.BDH("GILD US Equity","CF_INCR_CAP_STOCK","FQ2 2021","FQ2 2021","Currency=USD","Period=FQ","BEST_FPERIOD_OVERRIDE=FQ","FILING_STATUS=MR","SCALING_FORMAT=MLN","Sort=A","Dates=H","DateFormat=P","Fill=—","Direction=H","UseDPDF=Y")</f>
        <v>12</v>
      </c>
      <c r="N47" s="13">
        <f>_xll.BDH("GILD US Equity","CF_INCR_CAP_STOCK","FQ3 2021","FQ3 2021","Currency=USD","Period=FQ","BEST_FPERIOD_OVERRIDE=FQ","FILING_STATUS=MR","SCALING_FORMAT=MLN","Sort=A","Dates=H","DateFormat=P","Fill=—","Direction=H","UseDPDF=Y")</f>
        <v>57</v>
      </c>
      <c r="O47" s="13">
        <f>_xll.BDH("GILD US Equity","CF_INCR_CAP_STOCK","FQ4 2021","FQ4 2021","Currency=USD","Period=FQ","BEST_FPERIOD_OVERRIDE=FQ","FILING_STATUS=MR","SCALING_FORMAT=MLN","Sort=A","Dates=H","DateFormat=P","Fill=—","Direction=H","UseDPDF=Y")</f>
        <v>12</v>
      </c>
      <c r="P47" s="13">
        <f>_xll.BDH("GILD US Equity","CF_INCR_CAP_STOCK","FQ1 2022","FQ1 2022","Currency=USD","Period=FQ","BEST_FPERIOD_OVERRIDE=FQ","FILING_STATUS=MR","SCALING_FORMAT=MLN","Sort=A","Dates=H","DateFormat=P","Fill=—","Direction=H","UseDPDF=Y")</f>
        <v>94</v>
      </c>
      <c r="Q47" s="13">
        <f>_xll.BDH("GILD US Equity","CF_INCR_CAP_STOCK","FQ2 2022","FQ2 2022","Currency=USD","Period=FQ","BEST_FPERIOD_OVERRIDE=FQ","FILING_STATUS=MR","SCALING_FORMAT=MLN","Sort=A","Dates=H","DateFormat=P","Fill=—","Direction=H","UseDPDF=Y")</f>
        <v>3</v>
      </c>
      <c r="R47" s="13">
        <f>_xll.BDH("GILD US Equity","CF_INCR_CAP_STOCK","FQ3 2022","FQ3 2022","Currency=USD","Period=FQ","BEST_FPERIOD_OVERRIDE=FQ","FILING_STATUS=MR","SCALING_FORMAT=MLN","Sort=A","Dates=H","DateFormat=P","Fill=—","Direction=H","UseDPDF=Y")</f>
        <v>36</v>
      </c>
      <c r="S47" s="13">
        <f>_xll.BDH("GILD US Equity","CF_INCR_CAP_STOCK","FQ4 2022","FQ4 2022","Currency=USD","Period=FQ","BEST_FPERIOD_OVERRIDE=FQ","FILING_STATUS=MR","SCALING_FORMAT=MLN","Sort=A","Dates=H","DateFormat=P","Fill=—","Direction=H","UseDPDF=Y")</f>
        <v>176</v>
      </c>
      <c r="T47" s="13">
        <f>_xll.BDH("GILD US Equity","CF_INCR_CAP_STOCK","FQ1 2023","FQ1 2023","Currency=USD","Period=FQ","BEST_FPERIOD_OVERRIDE=FQ","FILING_STATUS=MR","SCALING_FORMAT=MLN","Sort=A","Dates=H","DateFormat=P","Fill=—","Direction=H","UseDPDF=Y")</f>
        <v>97</v>
      </c>
      <c r="U47" s="13">
        <f>_xll.BDH("GILD US Equity","CF_INCR_CAP_STOCK","FQ2 2023","FQ2 2023","Currency=USD","Period=FQ","BEST_FPERIOD_OVERRIDE=FQ","FILING_STATUS=MR","SCALING_FORMAT=MLN","Sort=A","Dates=H","DateFormat=P","Fill=—","Direction=H","UseDPDF=Y")</f>
        <v>26</v>
      </c>
      <c r="V47" s="13">
        <f>_xll.BDH("GILD US Equity","CF_INCR_CAP_STOCK","FQ3 2023","FQ3 2023","Currency=USD","Period=FQ","BEST_FPERIOD_OVERRIDE=FQ","FILING_STATUS=MR","SCALING_FORMAT=MLN","Sort=A","Dates=H","DateFormat=P","Fill=—","Direction=H","UseDPDF=Y")</f>
        <v>83</v>
      </c>
      <c r="W47" s="13">
        <f>_xll.BDH("GILD US Equity","CF_INCR_CAP_STOCK","FQ4 2023","FQ4 2023","Currency=USD","Period=FQ","BEST_FPERIOD_OVERRIDE=FQ","FILING_STATUS=MR","SCALING_FORMAT=MLN","Sort=A","Dates=H","DateFormat=P","Fill=—","Direction=H","UseDPDF=Y")</f>
        <v>27</v>
      </c>
      <c r="X47" s="13">
        <f>_xll.BDH("GILD US Equity","CF_INCR_CAP_STOCK","FQ1 2024","FQ1 2024","Currency=USD","Period=FQ","BEST_FPERIOD_OVERRIDE=FQ","FILING_STATUS=MR","SCALING_FORMAT=MLN","Sort=A","Dates=H","DateFormat=P","Fill=—","Direction=H","UseDPDF=Y")</f>
        <v>146</v>
      </c>
      <c r="Y47" s="13">
        <f>_xll.BDH("GILD US Equity","CF_INCR_CAP_STOCK","FQ2 2024","FQ2 2024","Currency=USD","Period=FQ","BEST_FPERIOD_OVERRIDE=FQ","FILING_STATUS=MR","SCALING_FORMAT=MLN","Sort=A","Dates=H","DateFormat=P","Fill=—","Direction=H","UseDPDF=Y")</f>
        <v>5</v>
      </c>
      <c r="Z47" s="13">
        <f>_xll.BDH("GILD US Equity","CF_INCR_CAP_STOCK","FQ3 2024","FQ3 2024","Currency=USD","Period=FQ","BEST_FPERIOD_OVERRIDE=FQ","FILING_STATUS=MR","SCALING_FORMAT=MLN","Sort=A","Dates=H","DateFormat=P","Fill=—","Direction=H","UseDPDF=Y")</f>
        <v>98</v>
      </c>
      <c r="AA47" s="13">
        <f>_xll.BDH("GILD US Equity","CF_INCR_CAP_STOCK","FQ4 2024","FQ4 2024","Currency=USD","Period=FQ","BEST_FPERIOD_OVERRIDE=FQ","FILING_STATUS=MR","SCALING_FORMAT=MLN","Sort=A","Dates=H","DateFormat=P","Fill=—","Direction=H","UseDPDF=Y")</f>
        <v>173</v>
      </c>
    </row>
    <row r="48" spans="1:27" x14ac:dyDescent="0.25">
      <c r="A48" s="10" t="s">
        <v>1384</v>
      </c>
      <c r="B48" s="10" t="s">
        <v>1385</v>
      </c>
      <c r="C48" s="13">
        <f>_xll.BDH("GILD US Equity","CF_DECR_CAP_STOCK","FQ4 2018","FQ4 2018","Currency=USD","Period=FQ","BEST_FPERIOD_OVERRIDE=FQ","FILING_STATUS=MR","SCALING_FORMAT=MLN","Sort=A","Dates=H","DateFormat=P","Fill=—","Direction=H","UseDPDF=Y")</f>
        <v>-962</v>
      </c>
      <c r="D48" s="13">
        <f>_xll.BDH("GILD US Equity","CF_DECR_CAP_STOCK","FQ1 2019","FQ1 2019","Currency=USD","Period=FQ","BEST_FPERIOD_OVERRIDE=FQ","FILING_STATUS=MR","SCALING_FORMAT=MLN","Sort=A","Dates=H","DateFormat=P","Fill=—","Direction=H","UseDPDF=Y")</f>
        <v>-834</v>
      </c>
      <c r="E48" s="13">
        <f>_xll.BDH("GILD US Equity","CF_DECR_CAP_STOCK","FQ2 2019","FQ2 2019","Currency=USD","Period=FQ","BEST_FPERIOD_OVERRIDE=FQ","FILING_STATUS=MR","SCALING_FORMAT=MLN","Sort=A","Dates=H","DateFormat=P","Fill=—","Direction=H","UseDPDF=Y")</f>
        <v>-588</v>
      </c>
      <c r="F48" s="13">
        <f>_xll.BDH("GILD US Equity","CF_DECR_CAP_STOCK","FQ3 2019","FQ3 2019","Currency=USD","Period=FQ","BEST_FPERIOD_OVERRIDE=FQ","FILING_STATUS=MR","SCALING_FORMAT=MLN","Sort=A","Dates=H","DateFormat=P","Fill=—","Direction=H","UseDPDF=Y")</f>
        <v>-222</v>
      </c>
      <c r="G48" s="13">
        <f>_xll.BDH("GILD US Equity","CF_DECR_CAP_STOCK","FQ4 2019","FQ4 2019","Currency=USD","Period=FQ","BEST_FPERIOD_OVERRIDE=FQ","FILING_STATUS=MR","SCALING_FORMAT=MLN","Sort=A","Dates=H","DateFormat=P","Fill=—","Direction=H","UseDPDF=Y")</f>
        <v>-105</v>
      </c>
      <c r="H48" s="13">
        <f>_xll.BDH("GILD US Equity","CF_DECR_CAP_STOCK","FQ1 2020","FQ1 2020","Currency=USD","Period=FQ","BEST_FPERIOD_OVERRIDE=FQ","FILING_STATUS=MR","SCALING_FORMAT=MLN","Sort=A","Dates=H","DateFormat=P","Fill=—","Direction=H","UseDPDF=Y")</f>
        <v>-1328</v>
      </c>
      <c r="I48" s="13">
        <f>_xll.BDH("GILD US Equity","CF_DECR_CAP_STOCK","FQ2 2020","FQ2 2020","Currency=USD","Period=FQ","BEST_FPERIOD_OVERRIDE=FQ","FILING_STATUS=MR","SCALING_FORMAT=MLN","Sort=A","Dates=H","DateFormat=P","Fill=—","Direction=H","UseDPDF=Y")</f>
        <v>-54</v>
      </c>
      <c r="J48" s="13">
        <f>_xll.BDH("GILD US Equity","CF_DECR_CAP_STOCK","FQ3 2020","FQ3 2020","Currency=USD","Period=FQ","BEST_FPERIOD_OVERRIDE=FQ","FILING_STATUS=MR","SCALING_FORMAT=MLN","Sort=A","Dates=H","DateFormat=P","Fill=—","Direction=H","UseDPDF=Y")</f>
        <v>-201</v>
      </c>
      <c r="K48" s="13">
        <f>_xll.BDH("GILD US Equity","CF_DECR_CAP_STOCK","FQ4 2020","FQ4 2020","Currency=USD","Period=FQ","BEST_FPERIOD_OVERRIDE=FQ","FILING_STATUS=MR","SCALING_FORMAT=MLN","Sort=A","Dates=H","DateFormat=P","Fill=—","Direction=H","UseDPDF=Y")</f>
        <v>0</v>
      </c>
      <c r="L48" s="13">
        <f>_xll.BDH("GILD US Equity","CF_DECR_CAP_STOCK","FQ1 2021","FQ1 2021","Currency=USD","Period=FQ","BEST_FPERIOD_OVERRIDE=FQ","FILING_STATUS=MR","SCALING_FORMAT=MLN","Sort=A","Dates=H","DateFormat=P","Fill=—","Direction=H","UseDPDF=Y")</f>
        <v>-309</v>
      </c>
      <c r="M48" s="13">
        <f>_xll.BDH("GILD US Equity","CF_DECR_CAP_STOCK","FQ2 2021","FQ2 2021","Currency=USD","Period=FQ","BEST_FPERIOD_OVERRIDE=FQ","FILING_STATUS=MR","SCALING_FORMAT=MLN","Sort=A","Dates=H","DateFormat=P","Fill=—","Direction=H","UseDPDF=Y")</f>
        <v>-43</v>
      </c>
      <c r="N48" s="13">
        <f>_xll.BDH("GILD US Equity","CF_DECR_CAP_STOCK","FQ3 2021","FQ3 2021","Currency=USD","Period=FQ","BEST_FPERIOD_OVERRIDE=FQ","FILING_STATUS=MR","SCALING_FORMAT=MLN","Sort=A","Dates=H","DateFormat=P","Fill=—","Direction=H","UseDPDF=Y")</f>
        <v>-145</v>
      </c>
      <c r="O48" s="13">
        <f>_xll.BDH("GILD US Equity","CF_DECR_CAP_STOCK","FQ4 2021","FQ4 2021","Currency=USD","Period=FQ","BEST_FPERIOD_OVERRIDE=FQ","FILING_STATUS=MR","SCALING_FORMAT=MLN","Sort=A","Dates=H","DateFormat=P","Fill=—","Direction=H","UseDPDF=Y")</f>
        <v>-49</v>
      </c>
      <c r="P48" s="13">
        <f>_xll.BDH("GILD US Equity","CF_DECR_CAP_STOCK","FQ1 2022","FQ1 2022","Currency=USD","Period=FQ","BEST_FPERIOD_OVERRIDE=FQ","FILING_STATUS=MR","SCALING_FORMAT=MLN","Sort=A","Dates=H","DateFormat=P","Fill=—","Direction=H","UseDPDF=Y")</f>
        <v>-352</v>
      </c>
      <c r="Q48" s="13">
        <f>_xll.BDH("GILD US Equity","CF_DECR_CAP_STOCK","FQ2 2022","FQ2 2022","Currency=USD","Period=FQ","BEST_FPERIOD_OVERRIDE=FQ","FILING_STATUS=MR","SCALING_FORMAT=MLN","Sort=A","Dates=H","DateFormat=P","Fill=—","Direction=H","UseDPDF=Y")</f>
        <v>-72</v>
      </c>
      <c r="R48" s="13">
        <f>_xll.BDH("GILD US Equity","CF_DECR_CAP_STOCK","FQ3 2022","FQ3 2022","Currency=USD","Period=FQ","BEST_FPERIOD_OVERRIDE=FQ","FILING_STATUS=MR","SCALING_FORMAT=MLN","Sort=A","Dates=H","DateFormat=P","Fill=—","Direction=H","UseDPDF=Y")</f>
        <v>-180</v>
      </c>
      <c r="S48" s="13">
        <f>_xll.BDH("GILD US Equity","CF_DECR_CAP_STOCK","FQ4 2022","FQ4 2022","Currency=USD","Period=FQ","BEST_FPERIOD_OVERRIDE=FQ","FILING_STATUS=MR","SCALING_FORMAT=MLN","Sort=A","Dates=H","DateFormat=P","Fill=—","Direction=H","UseDPDF=Y")</f>
        <v>-792</v>
      </c>
      <c r="T48" s="13">
        <f>_xll.BDH("GILD US Equity","CF_DECR_CAP_STOCK","FQ1 2023","FQ1 2023","Currency=USD","Period=FQ","BEST_FPERIOD_OVERRIDE=FQ","FILING_STATUS=MR","SCALING_FORMAT=MLN","Sort=A","Dates=H","DateFormat=P","Fill=—","Direction=H","UseDPDF=Y")</f>
        <v>-400</v>
      </c>
      <c r="U48" s="13">
        <f>_xll.BDH("GILD US Equity","CF_DECR_CAP_STOCK","FQ2 2023","FQ2 2023","Currency=USD","Period=FQ","BEST_FPERIOD_OVERRIDE=FQ","FILING_STATUS=MR","SCALING_FORMAT=MLN","Sort=A","Dates=H","DateFormat=P","Fill=—","Direction=H","UseDPDF=Y")</f>
        <v>-150</v>
      </c>
      <c r="V48" s="13">
        <f>_xll.BDH("GILD US Equity","CF_DECR_CAP_STOCK","FQ3 2023","FQ3 2023","Currency=USD","Period=FQ","BEST_FPERIOD_OVERRIDE=FQ","FILING_STATUS=MR","SCALING_FORMAT=MLN","Sort=A","Dates=H","DateFormat=P","Fill=—","Direction=H","UseDPDF=Y")</f>
        <v>-300</v>
      </c>
      <c r="W48" s="13">
        <f>_xll.BDH("GILD US Equity","CF_DECR_CAP_STOCK","FQ4 2023","FQ4 2023","Currency=USD","Period=FQ","BEST_FPERIOD_OVERRIDE=FQ","FILING_STATUS=MR","SCALING_FORMAT=MLN","Sort=A","Dates=H","DateFormat=P","Fill=—","Direction=H","UseDPDF=Y")</f>
        <v>-150</v>
      </c>
      <c r="X48" s="13">
        <f>_xll.BDH("GILD US Equity","CF_DECR_CAP_STOCK","FQ1 2024","FQ1 2024","Currency=USD","Period=FQ","BEST_FPERIOD_OVERRIDE=FQ","FILING_STATUS=MR","SCALING_FORMAT=MLN","Sort=A","Dates=H","DateFormat=P","Fill=—","Direction=H","UseDPDF=Y")</f>
        <v>-400</v>
      </c>
      <c r="Y48" s="13">
        <f>_xll.BDH("GILD US Equity","CF_DECR_CAP_STOCK","FQ2 2024","FQ2 2024","Currency=USD","Period=FQ","BEST_FPERIOD_OVERRIDE=FQ","FILING_STATUS=MR","SCALING_FORMAT=MLN","Sort=A","Dates=H","DateFormat=P","Fill=—","Direction=H","UseDPDF=Y")</f>
        <v>-100</v>
      </c>
      <c r="Z48" s="13">
        <f>_xll.BDH("GILD US Equity","CF_DECR_CAP_STOCK","FQ3 2024","FQ3 2024","Currency=USD","Period=FQ","BEST_FPERIOD_OVERRIDE=FQ","FILING_STATUS=MR","SCALING_FORMAT=MLN","Sort=A","Dates=H","DateFormat=P","Fill=—","Direction=H","UseDPDF=Y")</f>
        <v>-300</v>
      </c>
      <c r="AA48" s="13">
        <f>_xll.BDH("GILD US Equity","CF_DECR_CAP_STOCK","FQ4 2024","FQ4 2024","Currency=USD","Period=FQ","BEST_FPERIOD_OVERRIDE=FQ","FILING_STATUS=MR","SCALING_FORMAT=MLN","Sort=A","Dates=H","DateFormat=P","Fill=—","Direction=H","UseDPDF=Y")</f>
        <v>-350</v>
      </c>
    </row>
    <row r="49" spans="1:27" x14ac:dyDescent="0.25">
      <c r="A49" s="10" t="s">
        <v>1386</v>
      </c>
      <c r="B49" s="10" t="s">
        <v>1387</v>
      </c>
      <c r="C49" s="13">
        <f>_xll.BDH("GILD US Equity","OTHER_FIN_AND_DEC_CAP","FQ4 2018","FQ4 2018","Currency=USD","Period=FQ","BEST_FPERIOD_OVERRIDE=FQ","FILING_STATUS=MR","SCALING_FORMAT=MLN","Sort=A","Dates=H","DateFormat=P","Fill=—","Direction=H","UseDPDF=Y")</f>
        <v>-22</v>
      </c>
      <c r="D49" s="13">
        <f>_xll.BDH("GILD US Equity","OTHER_FIN_AND_DEC_CAP","FQ1 2019","FQ1 2019","Currency=USD","Period=FQ","BEST_FPERIOD_OVERRIDE=FQ","FILING_STATUS=MR","SCALING_FORMAT=MLN","Sort=A","Dates=H","DateFormat=P","Fill=—","Direction=H","UseDPDF=Y")</f>
        <v>-68</v>
      </c>
      <c r="E49" s="13">
        <f>_xll.BDH("GILD US Equity","OTHER_FIN_AND_DEC_CAP","FQ2 2019","FQ2 2019","Currency=USD","Period=FQ","BEST_FPERIOD_OVERRIDE=FQ","FILING_STATUS=MR","SCALING_FORMAT=MLN","Sort=A","Dates=H","DateFormat=P","Fill=—","Direction=H","UseDPDF=Y")</f>
        <v>-7</v>
      </c>
      <c r="F49" s="13">
        <f>_xll.BDH("GILD US Equity","OTHER_FIN_AND_DEC_CAP","FQ3 2019","FQ3 2019","Currency=USD","Period=FQ","BEST_FPERIOD_OVERRIDE=FQ","FILING_STATUS=MR","SCALING_FORMAT=MLN","Sort=A","Dates=H","DateFormat=P","Fill=—","Direction=H","UseDPDF=Y")</f>
        <v>-30</v>
      </c>
      <c r="G49" s="13">
        <f>_xll.BDH("GILD US Equity","OTHER_FIN_AND_DEC_CAP","FQ4 2019","FQ4 2019","Currency=USD","Period=FQ","BEST_FPERIOD_OVERRIDE=FQ","FILING_STATUS=MR","SCALING_FORMAT=MLN","Sort=A","Dates=H","DateFormat=P","Fill=—","Direction=H","UseDPDF=Y")</f>
        <v>-17</v>
      </c>
      <c r="H49" s="13">
        <f>_xll.BDH("GILD US Equity","OTHER_FIN_AND_DEC_CAP","FQ1 2020","FQ1 2020","Currency=USD","Period=FQ","BEST_FPERIOD_OVERRIDE=FQ","FILING_STATUS=MR","SCALING_FORMAT=MLN","Sort=A","Dates=H","DateFormat=P","Fill=—","Direction=H","UseDPDF=Y")</f>
        <v>-86</v>
      </c>
      <c r="I49" s="13">
        <f>_xll.BDH("GILD US Equity","OTHER_FIN_AND_DEC_CAP","FQ2 2020","FQ2 2020","Currency=USD","Period=FQ","BEST_FPERIOD_OVERRIDE=FQ","FILING_STATUS=MR","SCALING_FORMAT=MLN","Sort=A","Dates=H","DateFormat=P","Fill=—","Direction=H","UseDPDF=Y")</f>
        <v>1</v>
      </c>
      <c r="J49" s="13">
        <f>_xll.BDH("GILD US Equity","OTHER_FIN_AND_DEC_CAP","FQ3 2020","FQ3 2020","Currency=USD","Period=FQ","BEST_FPERIOD_OVERRIDE=FQ","FILING_STATUS=MR","SCALING_FORMAT=MLN","Sort=A","Dates=H","DateFormat=P","Fill=—","Direction=H","UseDPDF=Y")</f>
        <v>-39</v>
      </c>
      <c r="K49" s="13">
        <f>_xll.BDH("GILD US Equity","OTHER_FIN_AND_DEC_CAP","FQ4 2020","FQ4 2020","Currency=USD","Period=FQ","BEST_FPERIOD_OVERRIDE=FQ","FILING_STATUS=MR","SCALING_FORMAT=MLN","Sort=A","Dates=H","DateFormat=P","Fill=—","Direction=H","UseDPDF=Y")</f>
        <v>-14</v>
      </c>
      <c r="L49" s="13">
        <f>_xll.BDH("GILD US Equity","OTHER_FIN_AND_DEC_CAP","FQ1 2021","FQ1 2021","Currency=USD","Period=FQ","BEST_FPERIOD_OVERRIDE=FQ","FILING_STATUS=MR","SCALING_FORMAT=MLN","Sort=A","Dates=H","DateFormat=P","Fill=—","Direction=H","UseDPDF=Y")</f>
        <v>-89</v>
      </c>
      <c r="M49" s="13">
        <f>_xll.BDH("GILD US Equity","OTHER_FIN_AND_DEC_CAP","FQ2 2021","FQ2 2021","Currency=USD","Period=FQ","BEST_FPERIOD_OVERRIDE=FQ","FILING_STATUS=MR","SCALING_FORMAT=MLN","Sort=A","Dates=H","DateFormat=P","Fill=—","Direction=H","UseDPDF=Y")</f>
        <v>-6</v>
      </c>
      <c r="N49" s="13">
        <f>_xll.BDH("GILD US Equity","OTHER_FIN_AND_DEC_CAP","FQ3 2021","FQ3 2021","Currency=USD","Period=FQ","BEST_FPERIOD_OVERRIDE=FQ","FILING_STATUS=MR","SCALING_FORMAT=MLN","Sort=A","Dates=H","DateFormat=P","Fill=—","Direction=H","UseDPDF=Y")</f>
        <v>-39</v>
      </c>
      <c r="O49" s="13">
        <f>_xll.BDH("GILD US Equity","OTHER_FIN_AND_DEC_CAP","FQ4 2021","FQ4 2021","Currency=USD","Period=FQ","BEST_FPERIOD_OVERRIDE=FQ","FILING_STATUS=MR","SCALING_FORMAT=MLN","Sort=A","Dates=H","DateFormat=P","Fill=—","Direction=H","UseDPDF=Y")</f>
        <v>-11</v>
      </c>
      <c r="P49" s="13">
        <f>_xll.BDH("GILD US Equity","OTHER_FIN_AND_DEC_CAP","FQ1 2022","FQ1 2022","Currency=USD","Period=FQ","BEST_FPERIOD_OVERRIDE=FQ","FILING_STATUS=MR","SCALING_FORMAT=MLN","Sort=A","Dates=H","DateFormat=P","Fill=—","Direction=H","UseDPDF=Y")</f>
        <v>-91</v>
      </c>
      <c r="Q49" s="13">
        <f>_xll.BDH("GILD US Equity","OTHER_FIN_AND_DEC_CAP","FQ2 2022","FQ2 2022","Currency=USD","Period=FQ","BEST_FPERIOD_OVERRIDE=FQ","FILING_STATUS=MR","SCALING_FORMAT=MLN","Sort=A","Dates=H","DateFormat=P","Fill=—","Direction=H","UseDPDF=Y")</f>
        <v>-14</v>
      </c>
      <c r="R49" s="13">
        <f>_xll.BDH("GILD US Equity","OTHER_FIN_AND_DEC_CAP","FQ3 2022","FQ3 2022","Currency=USD","Period=FQ","BEST_FPERIOD_OVERRIDE=FQ","FILING_STATUS=MR","SCALING_FORMAT=MLN","Sort=A","Dates=H","DateFormat=P","Fill=—","Direction=H","UseDPDF=Y")</f>
        <v>-45</v>
      </c>
      <c r="S49" s="13">
        <f>_xll.BDH("GILD US Equity","OTHER_FIN_AND_DEC_CAP","FQ4 2022","FQ4 2022","Currency=USD","Period=FQ","BEST_FPERIOD_OVERRIDE=FQ","FILING_STATUS=MR","SCALING_FORMAT=MLN","Sort=A","Dates=H","DateFormat=P","Fill=—","Direction=H","UseDPDF=Y")</f>
        <v>-23</v>
      </c>
      <c r="T49" s="13">
        <f>_xll.BDH("GILD US Equity","OTHER_FIN_AND_DEC_CAP","FQ1 2023","FQ1 2023","Currency=USD","Period=FQ","BEST_FPERIOD_OVERRIDE=FQ","FILING_STATUS=MR","SCALING_FORMAT=MLN","Sort=A","Dates=H","DateFormat=P","Fill=—","Direction=H","UseDPDF=Y")</f>
        <v>-134</v>
      </c>
      <c r="U49" s="13">
        <f>_xll.BDH("GILD US Equity","OTHER_FIN_AND_DEC_CAP","FQ2 2023","FQ2 2023","Currency=USD","Period=FQ","BEST_FPERIOD_OVERRIDE=FQ","FILING_STATUS=MR","SCALING_FORMAT=MLN","Sort=A","Dates=H","DateFormat=P","Fill=—","Direction=H","UseDPDF=Y")</f>
        <v>-33</v>
      </c>
      <c r="V49" s="13">
        <f>_xll.BDH("GILD US Equity","OTHER_FIN_AND_DEC_CAP","FQ3 2023","FQ3 2023","Currency=USD","Period=FQ","BEST_FPERIOD_OVERRIDE=FQ","FILING_STATUS=MR","SCALING_FORMAT=MLN","Sort=A","Dates=H","DateFormat=P","Fill=—","Direction=H","UseDPDF=Y")</f>
        <v>-78</v>
      </c>
      <c r="W49" s="13">
        <f>_xll.BDH("GILD US Equity","OTHER_FIN_AND_DEC_CAP","FQ4 2023","FQ4 2023","Currency=USD","Period=FQ","BEST_FPERIOD_OVERRIDE=FQ","FILING_STATUS=MR","SCALING_FORMAT=MLN","Sort=A","Dates=H","DateFormat=P","Fill=—","Direction=H","UseDPDF=Y")</f>
        <v>-34</v>
      </c>
      <c r="X49" s="13">
        <f>_xll.BDH("GILD US Equity","OTHER_FIN_AND_DEC_CAP","FQ1 2024","FQ1 2024","Currency=USD","Period=FQ","BEST_FPERIOD_OVERRIDE=FQ","FILING_STATUS=MR","SCALING_FORMAT=MLN","Sort=A","Dates=H","DateFormat=P","Fill=—","Direction=H","UseDPDF=Y")</f>
        <v>-117</v>
      </c>
      <c r="Y49" s="13">
        <f>_xll.BDH("GILD US Equity","OTHER_FIN_AND_DEC_CAP","FQ2 2024","FQ2 2024","Currency=USD","Period=FQ","BEST_FPERIOD_OVERRIDE=FQ","FILING_STATUS=MR","SCALING_FORMAT=MLN","Sort=A","Dates=H","DateFormat=P","Fill=—","Direction=H","UseDPDF=Y")</f>
        <v>-35</v>
      </c>
      <c r="Z49" s="13">
        <f>_xll.BDH("GILD US Equity","OTHER_FIN_AND_DEC_CAP","FQ3 2024","FQ3 2024","Currency=USD","Period=FQ","BEST_FPERIOD_OVERRIDE=FQ","FILING_STATUS=MR","SCALING_FORMAT=MLN","Sort=A","Dates=H","DateFormat=P","Fill=—","Direction=H","UseDPDF=Y")</f>
        <v>-82</v>
      </c>
      <c r="AA49" s="13">
        <f>_xll.BDH("GILD US Equity","OTHER_FIN_AND_DEC_CAP","FQ4 2024","FQ4 2024","Currency=USD","Period=FQ","BEST_FPERIOD_OVERRIDE=FQ","FILING_STATUS=MR","SCALING_FORMAT=MLN","Sort=A","Dates=H","DateFormat=P","Fill=—","Direction=H","UseDPDF=Y")</f>
        <v>-47</v>
      </c>
    </row>
    <row r="50" spans="1:27" x14ac:dyDescent="0.25">
      <c r="A50" s="10" t="s">
        <v>1335</v>
      </c>
      <c r="B50" s="10" t="s">
        <v>1388</v>
      </c>
      <c r="C50" s="13">
        <f>_xll.BDH("GILD US Equity","CF_NET_CASH_DISCONTINUED_OPS_FIN","FQ4 2018","FQ4 2018","Currency=USD","Period=FQ","BEST_FPERIOD_OVERRIDE=FQ","FILING_STATUS=MR","SCALING_FORMAT=MLN","Sort=A","Dates=H","DateFormat=P","Fill=—","Direction=H","UseDPDF=Y")</f>
        <v>0</v>
      </c>
      <c r="D50" s="13">
        <f>_xll.BDH("GILD US Equity","CF_NET_CASH_DISCONTINUED_OPS_FIN","FQ1 2019","FQ1 2019","Currency=USD","Period=FQ","BEST_FPERIOD_OVERRIDE=FQ","FILING_STATUS=MR","SCALING_FORMAT=MLN","Sort=A","Dates=H","DateFormat=P","Fill=—","Direction=H","UseDPDF=Y")</f>
        <v>0</v>
      </c>
      <c r="E50" s="13">
        <f>_xll.BDH("GILD US Equity","CF_NET_CASH_DISCONTINUED_OPS_FIN","FQ2 2019","FQ2 2019","Currency=USD","Period=FQ","BEST_FPERIOD_OVERRIDE=FQ","FILING_STATUS=MR","SCALING_FORMAT=MLN","Sort=A","Dates=H","DateFormat=P","Fill=—","Direction=H","UseDPDF=Y")</f>
        <v>0</v>
      </c>
      <c r="F50" s="13">
        <f>_xll.BDH("GILD US Equity","CF_NET_CASH_DISCONTINUED_OPS_FIN","FQ3 2019","FQ3 2019","Currency=USD","Period=FQ","BEST_FPERIOD_OVERRIDE=FQ","FILING_STATUS=MR","SCALING_FORMAT=MLN","Sort=A","Dates=H","DateFormat=P","Fill=—","Direction=H","UseDPDF=Y")</f>
        <v>0</v>
      </c>
      <c r="G50" s="13">
        <f>_xll.BDH("GILD US Equity","CF_NET_CASH_DISCONTINUED_OPS_FIN","FQ4 2019","FQ4 2019","Currency=USD","Period=FQ","BEST_FPERIOD_OVERRIDE=FQ","FILING_STATUS=MR","SCALING_FORMAT=MLN","Sort=A","Dates=H","DateFormat=P","Fill=—","Direction=H","UseDPDF=Y")</f>
        <v>0</v>
      </c>
      <c r="H50" s="13">
        <f>_xll.BDH("GILD US Equity","CF_NET_CASH_DISCONTINUED_OPS_FIN","FQ1 2020","FQ1 2020","Currency=USD","Period=FQ","BEST_FPERIOD_OVERRIDE=FQ","FILING_STATUS=MR","SCALING_FORMAT=MLN","Sort=A","Dates=H","DateFormat=P","Fill=—","Direction=H","UseDPDF=Y")</f>
        <v>0</v>
      </c>
      <c r="I50" s="13">
        <f>_xll.BDH("GILD US Equity","CF_NET_CASH_DISCONTINUED_OPS_FIN","FQ2 2020","FQ2 2020","Currency=USD","Period=FQ","BEST_FPERIOD_OVERRIDE=FQ","FILING_STATUS=MR","SCALING_FORMAT=MLN","Sort=A","Dates=H","DateFormat=P","Fill=—","Direction=H","UseDPDF=Y")</f>
        <v>0</v>
      </c>
      <c r="J50" s="13">
        <f>_xll.BDH("GILD US Equity","CF_NET_CASH_DISCONTINUED_OPS_FIN","FQ3 2020","FQ3 2020","Currency=USD","Period=FQ","BEST_FPERIOD_OVERRIDE=FQ","FILING_STATUS=MR","SCALING_FORMAT=MLN","Sort=A","Dates=H","DateFormat=P","Fill=—","Direction=H","UseDPDF=Y")</f>
        <v>0</v>
      </c>
      <c r="K50" s="13">
        <f>_xll.BDH("GILD US Equity","CF_NET_CASH_DISCONTINUED_OPS_FIN","FQ4 2020","FQ4 2020","Currency=USD","Period=FQ","BEST_FPERIOD_OVERRIDE=FQ","FILING_STATUS=MR","SCALING_FORMAT=MLN","Sort=A","Dates=H","DateFormat=P","Fill=—","Direction=H","UseDPDF=Y")</f>
        <v>0</v>
      </c>
      <c r="L50" s="13">
        <f>_xll.BDH("GILD US Equity","CF_NET_CASH_DISCONTINUED_OPS_FIN","FQ1 2021","FQ1 2021","Currency=USD","Period=FQ","BEST_FPERIOD_OVERRIDE=FQ","FILING_STATUS=MR","SCALING_FORMAT=MLN","Sort=A","Dates=H","DateFormat=P","Fill=—","Direction=H","UseDPDF=Y")</f>
        <v>0</v>
      </c>
      <c r="M50" s="13">
        <f>_xll.BDH("GILD US Equity","CF_NET_CASH_DISCONTINUED_OPS_FIN","FQ2 2021","FQ2 2021","Currency=USD","Period=FQ","BEST_FPERIOD_OVERRIDE=FQ","FILING_STATUS=MR","SCALING_FORMAT=MLN","Sort=A","Dates=H","DateFormat=P","Fill=—","Direction=H","UseDPDF=Y")</f>
        <v>0</v>
      </c>
      <c r="N50" s="13">
        <f>_xll.BDH("GILD US Equity","CF_NET_CASH_DISCONTINUED_OPS_FIN","FQ3 2021","FQ3 2021","Currency=USD","Period=FQ","BEST_FPERIOD_OVERRIDE=FQ","FILING_STATUS=MR","SCALING_FORMAT=MLN","Sort=A","Dates=H","DateFormat=P","Fill=—","Direction=H","UseDPDF=Y")</f>
        <v>0</v>
      </c>
      <c r="O50" s="13">
        <f>_xll.BDH("GILD US Equity","CF_NET_CASH_DISCONTINUED_OPS_FIN","FQ4 2021","FQ4 2021","Currency=USD","Period=FQ","BEST_FPERIOD_OVERRIDE=FQ","FILING_STATUS=MR","SCALING_FORMAT=MLN","Sort=A","Dates=H","DateFormat=P","Fill=—","Direction=H","UseDPDF=Y")</f>
        <v>0</v>
      </c>
      <c r="P50" s="13">
        <f>_xll.BDH("GILD US Equity","CF_NET_CASH_DISCONTINUED_OPS_FIN","FQ1 2022","FQ1 2022","Currency=USD","Period=FQ","BEST_FPERIOD_OVERRIDE=FQ","FILING_STATUS=MR","SCALING_FORMAT=MLN","Sort=A","Dates=H","DateFormat=P","Fill=—","Direction=H","UseDPDF=Y")</f>
        <v>0</v>
      </c>
      <c r="Q50" s="13">
        <f>_xll.BDH("GILD US Equity","CF_NET_CASH_DISCONTINUED_OPS_FIN","FQ2 2022","FQ2 2022","Currency=USD","Period=FQ","BEST_FPERIOD_OVERRIDE=FQ","FILING_STATUS=MR","SCALING_FORMAT=MLN","Sort=A","Dates=H","DateFormat=P","Fill=—","Direction=H","UseDPDF=Y")</f>
        <v>0</v>
      </c>
      <c r="R50" s="13">
        <f>_xll.BDH("GILD US Equity","CF_NET_CASH_DISCONTINUED_OPS_FIN","FQ3 2022","FQ3 2022","Currency=USD","Period=FQ","BEST_FPERIOD_OVERRIDE=FQ","FILING_STATUS=MR","SCALING_FORMAT=MLN","Sort=A","Dates=H","DateFormat=P","Fill=—","Direction=H","UseDPDF=Y")</f>
        <v>0</v>
      </c>
      <c r="S50" s="13">
        <f>_xll.BDH("GILD US Equity","CF_NET_CASH_DISCONTINUED_OPS_FIN","FQ4 2022","FQ4 2022","Currency=USD","Period=FQ","BEST_FPERIOD_OVERRIDE=FQ","FILING_STATUS=MR","SCALING_FORMAT=MLN","Sort=A","Dates=H","DateFormat=P","Fill=—","Direction=H","UseDPDF=Y")</f>
        <v>0</v>
      </c>
      <c r="T50" s="13">
        <f>_xll.BDH("GILD US Equity","CF_NET_CASH_DISCONTINUED_OPS_FIN","FQ1 2023","FQ1 2023","Currency=USD","Period=FQ","BEST_FPERIOD_OVERRIDE=FQ","FILING_STATUS=MR","SCALING_FORMAT=MLN","Sort=A","Dates=H","DateFormat=P","Fill=—","Direction=H","UseDPDF=Y")</f>
        <v>0</v>
      </c>
      <c r="U50" s="13">
        <f>_xll.BDH("GILD US Equity","CF_NET_CASH_DISCONTINUED_OPS_FIN","FQ2 2023","FQ2 2023","Currency=USD","Period=FQ","BEST_FPERIOD_OVERRIDE=FQ","FILING_STATUS=MR","SCALING_FORMAT=MLN","Sort=A","Dates=H","DateFormat=P","Fill=—","Direction=H","UseDPDF=Y")</f>
        <v>0</v>
      </c>
      <c r="V50" s="13">
        <f>_xll.BDH("GILD US Equity","CF_NET_CASH_DISCONTINUED_OPS_FIN","FQ3 2023","FQ3 2023","Currency=USD","Period=FQ","BEST_FPERIOD_OVERRIDE=FQ","FILING_STATUS=MR","SCALING_FORMAT=MLN","Sort=A","Dates=H","DateFormat=P","Fill=—","Direction=H","UseDPDF=Y")</f>
        <v>0</v>
      </c>
      <c r="W50" s="13">
        <f>_xll.BDH("GILD US Equity","CF_NET_CASH_DISCONTINUED_OPS_FIN","FQ4 2023","FQ4 2023","Currency=USD","Period=FQ","BEST_FPERIOD_OVERRIDE=FQ","FILING_STATUS=MR","SCALING_FORMAT=MLN","Sort=A","Dates=H","DateFormat=P","Fill=—","Direction=H","UseDPDF=Y")</f>
        <v>0</v>
      </c>
      <c r="X50" s="13">
        <f>_xll.BDH("GILD US Equity","CF_NET_CASH_DISCONTINUED_OPS_FIN","FQ1 2024","FQ1 2024","Currency=USD","Period=FQ","BEST_FPERIOD_OVERRIDE=FQ","FILING_STATUS=MR","SCALING_FORMAT=MLN","Sort=A","Dates=H","DateFormat=P","Fill=—","Direction=H","UseDPDF=Y")</f>
        <v>0</v>
      </c>
      <c r="Y50" s="13">
        <f>_xll.BDH("GILD US Equity","CF_NET_CASH_DISCONTINUED_OPS_FIN","FQ2 2024","FQ2 2024","Currency=USD","Period=FQ","BEST_FPERIOD_OVERRIDE=FQ","FILING_STATUS=MR","SCALING_FORMAT=MLN","Sort=A","Dates=H","DateFormat=P","Fill=—","Direction=H","UseDPDF=Y")</f>
        <v>0</v>
      </c>
      <c r="Z50" s="13">
        <f>_xll.BDH("GILD US Equity","CF_NET_CASH_DISCONTINUED_OPS_FIN","FQ3 2024","FQ3 2024","Currency=USD","Period=FQ","BEST_FPERIOD_OVERRIDE=FQ","FILING_STATUS=MR","SCALING_FORMAT=MLN","Sort=A","Dates=H","DateFormat=P","Fill=—","Direction=H","UseDPDF=Y")</f>
        <v>0</v>
      </c>
      <c r="AA50" s="13">
        <f>_xll.BDH("GILD US Equity","CF_NET_CASH_DISCONTINUED_OPS_FIN","FQ4 2024","FQ4 2024","Currency=USD","Period=FQ","BEST_FPERIOD_OVERRIDE=FQ","FILING_STATUS=MR","SCALING_FORMAT=MLN","Sort=A","Dates=H","DateFormat=P","Fill=—","Direction=H","UseDPDF=Y")</f>
        <v>0</v>
      </c>
    </row>
    <row r="51" spans="1:27" x14ac:dyDescent="0.25">
      <c r="A51" s="6" t="s">
        <v>1369</v>
      </c>
      <c r="B51" s="6" t="s">
        <v>1389</v>
      </c>
      <c r="C51" s="19">
        <f>_xll.BDH("GILD US Equity","CFF_ACTIVITIES_DETAILED","FQ4 2018","FQ4 2018","Currency=USD","Period=FQ","BEST_FPERIOD_OVERRIDE=FQ","FILING_STATUS=MR","SCALING_FORMAT=MLN","Sort=A","Dates=H","DateFormat=P","Fill=—","Direction=H","UseDPDF=Y")</f>
        <v>-1670</v>
      </c>
      <c r="D51" s="19">
        <f>_xll.BDH("GILD US Equity","CFF_ACTIVITIES_DETAILED","FQ1 2019","FQ1 2019","Currency=USD","Period=FQ","BEST_FPERIOD_OVERRIDE=FQ","FILING_STATUS=MR","SCALING_FORMAT=MLN","Sort=A","Dates=H","DateFormat=P","Fill=—","Direction=H","UseDPDF=Y")</f>
        <v>-2366</v>
      </c>
      <c r="E51" s="19">
        <f>_xll.BDH("GILD US Equity","CFF_ACTIVITIES_DETAILED","FQ2 2019","FQ2 2019","Currency=USD","Period=FQ","BEST_FPERIOD_OVERRIDE=FQ","FILING_STATUS=MR","SCALING_FORMAT=MLN","Sort=A","Dates=H","DateFormat=P","Fill=—","Direction=H","UseDPDF=Y")</f>
        <v>-1857</v>
      </c>
      <c r="F51" s="19">
        <f>_xll.BDH("GILD US Equity","CFF_ACTIVITIES_DETAILED","FQ3 2019","FQ3 2019","Currency=USD","Period=FQ","BEST_FPERIOD_OVERRIDE=FQ","FILING_STATUS=MR","SCALING_FORMAT=MLN","Sort=A","Dates=H","DateFormat=P","Fill=—","Direction=H","UseDPDF=Y")</f>
        <v>-2515</v>
      </c>
      <c r="G51" s="19">
        <f>_xll.BDH("GILD US Equity","CFF_ACTIVITIES_DETAILED","FQ4 2019","FQ4 2019","Currency=USD","Period=FQ","BEST_FPERIOD_OVERRIDE=FQ","FILING_STATUS=MR","SCALING_FORMAT=MLN","Sort=A","Dates=H","DateFormat=P","Fill=—","Direction=H","UseDPDF=Y")</f>
        <v>-896</v>
      </c>
      <c r="H51" s="19">
        <f>_xll.BDH("GILD US Equity","CFF_ACTIVITIES_DETAILED","FQ1 2020","FQ1 2020","Currency=USD","Period=FQ","BEST_FPERIOD_OVERRIDE=FQ","FILING_STATUS=MR","SCALING_FORMAT=MLN","Sort=A","Dates=H","DateFormat=P","Fill=—","Direction=H","UseDPDF=Y")</f>
        <v>-2611</v>
      </c>
      <c r="I51" s="19">
        <f>_xll.BDH("GILD US Equity","CFF_ACTIVITIES_DETAILED","FQ2 2020","FQ2 2020","Currency=USD","Period=FQ","BEST_FPERIOD_OVERRIDE=FQ","FILING_STATUS=MR","SCALING_FORMAT=MLN","Sort=A","Dates=H","DateFormat=P","Fill=—","Direction=H","UseDPDF=Y")</f>
        <v>-874</v>
      </c>
      <c r="J51" s="19">
        <f>_xll.BDH("GILD US Equity","CFF_ACTIVITIES_DETAILED","FQ3 2020","FQ3 2020","Currency=USD","Period=FQ","BEST_FPERIOD_OVERRIDE=FQ","FILING_STATUS=MR","SCALING_FORMAT=MLN","Sort=A","Dates=H","DateFormat=P","Fill=—","Direction=H","UseDPDF=Y")</f>
        <v>4124</v>
      </c>
      <c r="K51" s="19">
        <f>_xll.BDH("GILD US Equity","CFF_ACTIVITIES_DETAILED","FQ4 2020","FQ4 2020","Currency=USD","Period=FQ","BEST_FPERIOD_OVERRIDE=FQ","FILING_STATUS=MR","SCALING_FORMAT=MLN","Sort=A","Dates=H","DateFormat=P","Fill=—","Direction=H","UseDPDF=Y")</f>
        <v>131</v>
      </c>
      <c r="L51" s="19">
        <f>_xll.BDH("GILD US Equity","CFF_ACTIVITIES_DETAILED","FQ1 2021","FQ1 2021","Currency=USD","Period=FQ","BEST_FPERIOD_OVERRIDE=FQ","FILING_STATUS=MR","SCALING_FORMAT=MLN","Sort=A","Dates=H","DateFormat=P","Fill=—","Direction=H","UseDPDF=Y")</f>
        <v>-2477</v>
      </c>
      <c r="M51" s="19">
        <f>_xll.BDH("GILD US Equity","CFF_ACTIVITIES_DETAILED","FQ2 2021","FQ2 2021","Currency=USD","Period=FQ","BEST_FPERIOD_OVERRIDE=FQ","FILING_STATUS=MR","SCALING_FORMAT=MLN","Sort=A","Dates=H","DateFormat=P","Fill=—","Direction=H","UseDPDF=Y")</f>
        <v>-931</v>
      </c>
      <c r="N51" s="19">
        <f>_xll.BDH("GILD US Equity","CFF_ACTIVITIES_DETAILED","FQ3 2021","FQ3 2021","Currency=USD","Period=FQ","BEST_FPERIOD_OVERRIDE=FQ","FILING_STATUS=MR","SCALING_FORMAT=MLN","Sort=A","Dates=H","DateFormat=P","Fill=—","Direction=H","UseDPDF=Y")</f>
        <v>-3527</v>
      </c>
      <c r="O51" s="19">
        <f>_xll.BDH("GILD US Equity","CFF_ACTIVITIES_DETAILED","FQ4 2021","FQ4 2021","Currency=USD","Period=FQ","BEST_FPERIOD_OVERRIDE=FQ","FILING_STATUS=MR","SCALING_FORMAT=MLN","Sort=A","Dates=H","DateFormat=P","Fill=—","Direction=H","UseDPDF=Y")</f>
        <v>-1942</v>
      </c>
      <c r="P51" s="19">
        <f>_xll.BDH("GILD US Equity","CFF_ACTIVITIES_DETAILED","FQ1 2022","FQ1 2022","Currency=USD","Period=FQ","BEST_FPERIOD_OVERRIDE=FQ","FILING_STATUS=MR","SCALING_FORMAT=MLN","Sort=A","Dates=H","DateFormat=P","Fill=—","Direction=H","UseDPDF=Y")</f>
        <v>-1794</v>
      </c>
      <c r="Q51" s="19">
        <f>_xll.BDH("GILD US Equity","CFF_ACTIVITIES_DETAILED","FQ2 2022","FQ2 2022","Currency=USD","Period=FQ","BEST_FPERIOD_OVERRIDE=FQ","FILING_STATUS=MR","SCALING_FORMAT=MLN","Sort=A","Dates=H","DateFormat=P","Fill=—","Direction=H","UseDPDF=Y")</f>
        <v>-1003</v>
      </c>
      <c r="R51" s="19">
        <f>_xll.BDH("GILD US Equity","CFF_ACTIVITIES_DETAILED","FQ3 2022","FQ3 2022","Currency=USD","Period=FQ","BEST_FPERIOD_OVERRIDE=FQ","FILING_STATUS=MR","SCALING_FORMAT=MLN","Sort=A","Dates=H","DateFormat=P","Fill=—","Direction=H","UseDPDF=Y")</f>
        <v>-2118</v>
      </c>
      <c r="S51" s="19">
        <f>_xll.BDH("GILD US Equity","CFF_ACTIVITIES_DETAILED","FQ4 2022","FQ4 2022","Currency=USD","Period=FQ","BEST_FPERIOD_OVERRIDE=FQ","FILING_STATUS=MR","SCALING_FORMAT=MLN","Sort=A","Dates=H","DateFormat=P","Fill=—","Direction=H","UseDPDF=Y")</f>
        <v>-1554</v>
      </c>
      <c r="T51" s="19">
        <f>_xll.BDH("GILD US Equity","CFF_ACTIVITIES_DETAILED","FQ1 2023","FQ1 2023","Currency=USD","Period=FQ","BEST_FPERIOD_OVERRIDE=FQ","FILING_STATUS=MR","SCALING_FORMAT=MLN","Sort=A","Dates=H","DateFormat=P","Fill=—","Direction=H","UseDPDF=Y")</f>
        <v>-1406</v>
      </c>
      <c r="U51" s="19">
        <f>_xll.BDH("GILD US Equity","CFF_ACTIVITIES_DETAILED","FQ2 2023","FQ2 2023","Currency=USD","Period=FQ","BEST_FPERIOD_OVERRIDE=FQ","FILING_STATUS=MR","SCALING_FORMAT=MLN","Sort=A","Dates=H","DateFormat=P","Fill=—","Direction=H","UseDPDF=Y")</f>
        <v>-1101</v>
      </c>
      <c r="V51" s="19">
        <f>_xll.BDH("GILD US Equity","CFF_ACTIVITIES_DETAILED","FQ3 2023","FQ3 2023","Currency=USD","Period=FQ","BEST_FPERIOD_OVERRIDE=FQ","FILING_STATUS=MR","SCALING_FORMAT=MLN","Sort=A","Dates=H","DateFormat=P","Fill=—","Direction=H","UseDPDF=Y")</f>
        <v>-1519</v>
      </c>
      <c r="W51" s="19">
        <f>_xll.BDH("GILD US Equity","CFF_ACTIVITIES_DETAILED","FQ4 2023","FQ4 2023","Currency=USD","Period=FQ","BEST_FPERIOD_OVERRIDE=FQ","FILING_STATUS=MR","SCALING_FORMAT=MLN","Sort=A","Dates=H","DateFormat=P","Fill=—","Direction=H","UseDPDF=Y")</f>
        <v>-1099</v>
      </c>
      <c r="X51" s="19">
        <f>_xll.BDH("GILD US Equity","CFF_ACTIVITIES_DETAILED","FQ1 2024","FQ1 2024","Currency=USD","Period=FQ","BEST_FPERIOD_OVERRIDE=FQ","FILING_STATUS=MR","SCALING_FORMAT=MLN","Sort=A","Dates=H","DateFormat=P","Fill=—","Direction=H","UseDPDF=Y")</f>
        <v>-1361</v>
      </c>
      <c r="Y51" s="19">
        <f>_xll.BDH("GILD US Equity","CFF_ACTIVITIES_DETAILED","FQ2 2024","FQ2 2024","Currency=USD","Period=FQ","BEST_FPERIOD_OVERRIDE=FQ","FILING_STATUS=MR","SCALING_FORMAT=MLN","Sort=A","Dates=H","DateFormat=P","Fill=—","Direction=H","UseDPDF=Y")</f>
        <v>-2953</v>
      </c>
      <c r="Z51" s="19">
        <f>_xll.BDH("GILD US Equity","CFF_ACTIVITIES_DETAILED","FQ3 2024","FQ3 2024","Currency=USD","Period=FQ","BEST_FPERIOD_OVERRIDE=FQ","FILING_STATUS=MR","SCALING_FORMAT=MLN","Sort=A","Dates=H","DateFormat=P","Fill=—","Direction=H","UseDPDF=Y")</f>
        <v>-1379</v>
      </c>
      <c r="AA51" s="19">
        <f>_xll.BDH("GILD US Equity","CFF_ACTIVITIES_DETAILED","FQ4 2024","FQ4 2024","Currency=USD","Period=FQ","BEST_FPERIOD_OVERRIDE=FQ","FILING_STATUS=MR","SCALING_FORMAT=MLN","Sort=A","Dates=H","DateFormat=P","Fill=—","Direction=H","UseDPDF=Y")</f>
        <v>2260</v>
      </c>
    </row>
    <row r="52" spans="1:27" x14ac:dyDescent="0.25">
      <c r="A52" s="6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x14ac:dyDescent="0.25">
      <c r="A53" s="10" t="s">
        <v>1390</v>
      </c>
      <c r="B53" s="10" t="s">
        <v>1391</v>
      </c>
      <c r="C53" s="13">
        <f>_xll.BDH("GILD US Equity","CF_EFFECT_FOREIGN_EXCHANGES","FQ4 2018","FQ4 2018","Currency=USD","Period=FQ","BEST_FPERIOD_OVERRIDE=FQ","FILING_STATUS=MR","SCALING_FORMAT=MLN","Sort=A","Dates=H","DateFormat=P","Fill=—","Direction=H","UseDPDF=Y")</f>
        <v>-39</v>
      </c>
      <c r="D53" s="13">
        <f>_xll.BDH("GILD US Equity","CF_EFFECT_FOREIGN_EXCHANGES","FQ1 2019","FQ1 2019","Currency=USD","Period=FQ","BEST_FPERIOD_OVERRIDE=FQ","FILING_STATUS=MR","SCALING_FORMAT=MLN","Sort=A","Dates=H","DateFormat=P","Fill=—","Direction=H","UseDPDF=Y")</f>
        <v>20</v>
      </c>
      <c r="E53" s="13">
        <f>_xll.BDH("GILD US Equity","CF_EFFECT_FOREIGN_EXCHANGES","FQ2 2019","FQ2 2019","Currency=USD","Period=FQ","BEST_FPERIOD_OVERRIDE=FQ","FILING_STATUS=MR","SCALING_FORMAT=MLN","Sort=A","Dates=H","DateFormat=P","Fill=—","Direction=H","UseDPDF=Y")</f>
        <v>-9</v>
      </c>
      <c r="F53" s="13">
        <f>_xll.BDH("GILD US Equity","CF_EFFECT_FOREIGN_EXCHANGES","FQ3 2019","FQ3 2019","Currency=USD","Period=FQ","BEST_FPERIOD_OVERRIDE=FQ","FILING_STATUS=MR","SCALING_FORMAT=MLN","Sort=A","Dates=H","DateFormat=P","Fill=—","Direction=H","UseDPDF=Y")</f>
        <v>-55</v>
      </c>
      <c r="G53" s="13">
        <f>_xll.BDH("GILD US Equity","CF_EFFECT_FOREIGN_EXCHANGES","FQ4 2019","FQ4 2019","Currency=USD","Period=FQ","BEST_FPERIOD_OVERRIDE=FQ","FILING_STATUS=MR","SCALING_FORMAT=MLN","Sort=A","Dates=H","DateFormat=P","Fill=—","Direction=H","UseDPDF=Y")</f>
        <v>42</v>
      </c>
      <c r="H53" s="13">
        <f>_xll.BDH("GILD US Equity","CF_EFFECT_FOREIGN_EXCHANGES","FQ1 2020","FQ1 2020","Currency=USD","Period=FQ","BEST_FPERIOD_OVERRIDE=FQ","FILING_STATUS=MR","SCALING_FORMAT=MLN","Sort=A","Dates=H","DateFormat=P","Fill=—","Direction=H","UseDPDF=Y")</f>
        <v>-61</v>
      </c>
      <c r="I53" s="13">
        <f>_xll.BDH("GILD US Equity","CF_EFFECT_FOREIGN_EXCHANGES","FQ2 2020","FQ2 2020","Currency=USD","Period=FQ","BEST_FPERIOD_OVERRIDE=FQ","FILING_STATUS=MR","SCALING_FORMAT=MLN","Sort=A","Dates=H","DateFormat=P","Fill=—","Direction=H","UseDPDF=Y")</f>
        <v>26</v>
      </c>
      <c r="J53" s="13">
        <f>_xll.BDH("GILD US Equity","CF_EFFECT_FOREIGN_EXCHANGES","FQ3 2020","FQ3 2020","Currency=USD","Period=FQ","BEST_FPERIOD_OVERRIDE=FQ","FILING_STATUS=MR","SCALING_FORMAT=MLN","Sort=A","Dates=H","DateFormat=P","Fill=—","Direction=H","UseDPDF=Y")</f>
        <v>37</v>
      </c>
      <c r="K53" s="13">
        <f>_xll.BDH("GILD US Equity","CF_EFFECT_FOREIGN_EXCHANGES","FQ4 2020","FQ4 2020","Currency=USD","Period=FQ","BEST_FPERIOD_OVERRIDE=FQ","FILING_STATUS=MR","SCALING_FORMAT=MLN","Sort=A","Dates=H","DateFormat=P","Fill=—","Direction=H","UseDPDF=Y")</f>
        <v>41</v>
      </c>
      <c r="L53" s="13">
        <f>_xll.BDH("GILD US Equity","CF_EFFECT_FOREIGN_EXCHANGES","FQ1 2021","FQ1 2021","Currency=USD","Period=FQ","BEST_FPERIOD_OVERRIDE=FQ","FILING_STATUS=MR","SCALING_FORMAT=MLN","Sort=A","Dates=H","DateFormat=P","Fill=—","Direction=H","UseDPDF=Y")</f>
        <v>-23</v>
      </c>
      <c r="M53" s="13">
        <f>_xll.BDH("GILD US Equity","CF_EFFECT_FOREIGN_EXCHANGES","FQ2 2021","FQ2 2021","Currency=USD","Period=FQ","BEST_FPERIOD_OVERRIDE=FQ","FILING_STATUS=MR","SCALING_FORMAT=MLN","Sort=A","Dates=H","DateFormat=P","Fill=—","Direction=H","UseDPDF=Y")</f>
        <v>20</v>
      </c>
      <c r="N53" s="13">
        <f>_xll.BDH("GILD US Equity","CF_EFFECT_FOREIGN_EXCHANGES","FQ3 2021","FQ3 2021","Currency=USD","Period=FQ","BEST_FPERIOD_OVERRIDE=FQ","FILING_STATUS=MR","SCALING_FORMAT=MLN","Sort=A","Dates=H","DateFormat=P","Fill=—","Direction=H","UseDPDF=Y")</f>
        <v>-23</v>
      </c>
      <c r="O53" s="13">
        <f>_xll.BDH("GILD US Equity","CF_EFFECT_FOREIGN_EXCHANGES","FQ4 2021","FQ4 2021","Currency=USD","Period=FQ","BEST_FPERIOD_OVERRIDE=FQ","FILING_STATUS=MR","SCALING_FORMAT=MLN","Sort=A","Dates=H","DateFormat=P","Fill=—","Direction=H","UseDPDF=Y")</f>
        <v>-9</v>
      </c>
      <c r="P53" s="13">
        <f>_xll.BDH("GILD US Equity","CF_EFFECT_FOREIGN_EXCHANGES","FQ1 2022","FQ1 2022","Currency=USD","Period=FQ","BEST_FPERIOD_OVERRIDE=FQ","FILING_STATUS=MR","SCALING_FORMAT=MLN","Sort=A","Dates=H","DateFormat=P","Fill=—","Direction=H","UseDPDF=Y")</f>
        <v>-18</v>
      </c>
      <c r="Q53" s="13">
        <f>_xll.BDH("GILD US Equity","CF_EFFECT_FOREIGN_EXCHANGES","FQ2 2022","FQ2 2022","Currency=USD","Period=FQ","BEST_FPERIOD_OVERRIDE=FQ","FILING_STATUS=MR","SCALING_FORMAT=MLN","Sort=A","Dates=H","DateFormat=P","Fill=—","Direction=H","UseDPDF=Y")</f>
        <v>-48</v>
      </c>
      <c r="R53" s="13">
        <f>_xll.BDH("GILD US Equity","CF_EFFECT_FOREIGN_EXCHANGES","FQ3 2022","FQ3 2022","Currency=USD","Period=FQ","BEST_FPERIOD_OVERRIDE=FQ","FILING_STATUS=MR","SCALING_FORMAT=MLN","Sort=A","Dates=H","DateFormat=P","Fill=—","Direction=H","UseDPDF=Y")</f>
        <v>-72</v>
      </c>
      <c r="S53" s="13">
        <f>_xll.BDH("GILD US Equity","CF_EFFECT_FOREIGN_EXCHANGES","FQ4 2022","FQ4 2022","Currency=USD","Period=FQ","BEST_FPERIOD_OVERRIDE=FQ","FILING_STATUS=MR","SCALING_FORMAT=MLN","Sort=A","Dates=H","DateFormat=P","Fill=—","Direction=H","UseDPDF=Y")</f>
        <v>75</v>
      </c>
      <c r="T53" s="13">
        <f>_xll.BDH("GILD US Equity","CF_EFFECT_FOREIGN_EXCHANGES","FQ1 2023","FQ1 2023","Currency=USD","Period=FQ","BEST_FPERIOD_OVERRIDE=FQ","FILING_STATUS=MR","SCALING_FORMAT=MLN","Sort=A","Dates=H","DateFormat=P","Fill=—","Direction=H","UseDPDF=Y")</f>
        <v>12</v>
      </c>
      <c r="U53" s="13">
        <f>_xll.BDH("GILD US Equity","CF_EFFECT_FOREIGN_EXCHANGES","FQ2 2023","FQ2 2023","Currency=USD","Period=FQ","BEST_FPERIOD_OVERRIDE=FQ","FILING_STATUS=MR","SCALING_FORMAT=MLN","Sort=A","Dates=H","DateFormat=P","Fill=—","Direction=H","UseDPDF=Y")</f>
        <v>14</v>
      </c>
      <c r="V53" s="13">
        <f>_xll.BDH("GILD US Equity","CF_EFFECT_FOREIGN_EXCHANGES","FQ3 2023","FQ3 2023","Currency=USD","Period=FQ","BEST_FPERIOD_OVERRIDE=FQ","FILING_STATUS=MR","SCALING_FORMAT=MLN","Sort=A","Dates=H","DateFormat=P","Fill=—","Direction=H","UseDPDF=Y")</f>
        <v>-6</v>
      </c>
      <c r="W53" s="13">
        <f>_xll.BDH("GILD US Equity","CF_EFFECT_FOREIGN_EXCHANGES","FQ4 2023","FQ4 2023","Currency=USD","Period=FQ","BEST_FPERIOD_OVERRIDE=FQ","FILING_STATUS=MR","SCALING_FORMAT=MLN","Sort=A","Dates=H","DateFormat=P","Fill=—","Direction=H","UseDPDF=Y")</f>
        <v>37</v>
      </c>
      <c r="X53" s="13">
        <f>_xll.BDH("GILD US Equity","CF_EFFECT_FOREIGN_EXCHANGES","FQ1 2024","FQ1 2024","Currency=USD","Period=FQ","BEST_FPERIOD_OVERRIDE=FQ","FILING_STATUS=MR","SCALING_FORMAT=MLN","Sort=A","Dates=H","DateFormat=P","Fill=—","Direction=H","UseDPDF=Y")</f>
        <v>-18</v>
      </c>
      <c r="Y53" s="13">
        <f>_xll.BDH("GILD US Equity","CF_EFFECT_FOREIGN_EXCHANGES","FQ2 2024","FQ2 2024","Currency=USD","Period=FQ","BEST_FPERIOD_OVERRIDE=FQ","FILING_STATUS=MR","SCALING_FORMAT=MLN","Sort=A","Dates=H","DateFormat=P","Fill=—","Direction=H","UseDPDF=Y")</f>
        <v>-11</v>
      </c>
      <c r="Z53" s="13">
        <f>_xll.BDH("GILD US Equity","CF_EFFECT_FOREIGN_EXCHANGES","FQ3 2024","FQ3 2024","Currency=USD","Period=FQ","BEST_FPERIOD_OVERRIDE=FQ","FILING_STATUS=MR","SCALING_FORMAT=MLN","Sort=A","Dates=H","DateFormat=P","Fill=—","Direction=H","UseDPDF=Y")</f>
        <v>44</v>
      </c>
      <c r="AA53" s="13">
        <f>_xll.BDH("GILD US Equity","CF_EFFECT_FOREIGN_EXCHANGES","FQ4 2024","FQ4 2024","Currency=USD","Period=FQ","BEST_FPERIOD_OVERRIDE=FQ","FILING_STATUS=MR","SCALING_FORMAT=MLN","Sort=A","Dates=H","DateFormat=P","Fill=—","Direction=H","UseDPDF=Y")</f>
        <v>-55</v>
      </c>
    </row>
    <row r="54" spans="1:27" x14ac:dyDescent="0.25">
      <c r="A54" s="6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x14ac:dyDescent="0.25">
      <c r="A55" s="6" t="s">
        <v>1392</v>
      </c>
      <c r="B55" s="6" t="s">
        <v>1393</v>
      </c>
      <c r="C55" s="19">
        <f>_xll.BDH("GILD US Equity","CF_NET_CHNG_CASH","FQ4 2018","FQ4 2018","Currency=USD","Period=FQ","BEST_FPERIOD_OVERRIDE=FQ","FILING_STATUS=MR","SCALING_FORMAT=MLN","Sort=A","Dates=H","DateFormat=P","Fill=—","Direction=H","UseDPDF=Y")</f>
        <v>3371</v>
      </c>
      <c r="D55" s="19">
        <f>_xll.BDH("GILD US Equity","CF_NET_CHNG_CASH","FQ1 2019","FQ1 2019","Currency=USD","Period=FQ","BEST_FPERIOD_OVERRIDE=FQ","FILING_STATUS=MR","SCALING_FORMAT=MLN","Sort=A","Dates=H","DateFormat=P","Fill=—","Direction=H","UseDPDF=Y")</f>
        <v>-1013</v>
      </c>
      <c r="E55" s="19">
        <f>_xll.BDH("GILD US Equity","CF_NET_CHNG_CASH","FQ2 2019","FQ2 2019","Currency=USD","Period=FQ","BEST_FPERIOD_OVERRIDE=FQ","FILING_STATUS=MR","SCALING_FORMAT=MLN","Sort=A","Dates=H","DateFormat=P","Fill=—","Direction=H","UseDPDF=Y")</f>
        <v>-5687</v>
      </c>
      <c r="F55" s="19">
        <f>_xll.BDH("GILD US Equity","CF_NET_CHNG_CASH","FQ3 2019","FQ3 2019","Currency=USD","Period=FQ","BEST_FPERIOD_OVERRIDE=FQ","FILING_STATUS=MR","SCALING_FORMAT=MLN","Sort=A","Dates=H","DateFormat=P","Fill=—","Direction=H","UseDPDF=Y")</f>
        <v>-1766</v>
      </c>
      <c r="G55" s="19">
        <f>_xll.BDH("GILD US Equity","CF_NET_CHNG_CASH","FQ4 2019","FQ4 2019","Currency=USD","Period=FQ","BEST_FPERIOD_OVERRIDE=FQ","FILING_STATUS=MR","SCALING_FORMAT=MLN","Sort=A","Dates=H","DateFormat=P","Fill=—","Direction=H","UseDPDF=Y")</f>
        <v>2157</v>
      </c>
      <c r="H55" s="19">
        <f>_xll.BDH("GILD US Equity","CF_NET_CHNG_CASH","FQ1 2020","FQ1 2020","Currency=USD","Period=FQ","BEST_FPERIOD_OVERRIDE=FQ","FILING_STATUS=MR","SCALING_FORMAT=MLN","Sort=A","Dates=H","DateFormat=P","Fill=—","Direction=H","UseDPDF=Y")</f>
        <v>-1580</v>
      </c>
      <c r="I55" s="19">
        <f>_xll.BDH("GILD US Equity","CF_NET_CHNG_CASH","FQ2 2020","FQ2 2020","Currency=USD","Period=FQ","BEST_FPERIOD_OVERRIDE=FQ","FILING_STATUS=MR","SCALING_FORMAT=MLN","Sort=A","Dates=H","DateFormat=P","Fill=—","Direction=H","UseDPDF=Y")</f>
        <v>-3305</v>
      </c>
      <c r="J55" s="19">
        <f>_xll.BDH("GILD US Equity","CF_NET_CHNG_CASH","FQ3 2020","FQ3 2020","Currency=USD","Period=FQ","BEST_FPERIOD_OVERRIDE=FQ","FILING_STATUS=MR","SCALING_FORMAT=MLN","Sort=A","Dates=H","DateFormat=P","Fill=—","Direction=H","UseDPDF=Y")</f>
        <v>6140</v>
      </c>
      <c r="K55" s="19">
        <f>_xll.BDH("GILD US Equity","CF_NET_CHNG_CASH","FQ4 2020","FQ4 2020","Currency=USD","Period=FQ","BEST_FPERIOD_OVERRIDE=FQ","FILING_STATUS=MR","SCALING_FORMAT=MLN","Sort=A","Dates=H","DateFormat=P","Fill=—","Direction=H","UseDPDF=Y")</f>
        <v>-6889</v>
      </c>
      <c r="L55" s="19">
        <f>_xll.BDH("GILD US Equity","CF_NET_CHNG_CASH","FQ1 2021","FQ1 2021","Currency=USD","Period=FQ","BEST_FPERIOD_OVERRIDE=FQ","FILING_STATUS=MR","SCALING_FORMAT=MLN","Sort=A","Dates=H","DateFormat=P","Fill=—","Direction=H","UseDPDF=Y")</f>
        <v>-1932</v>
      </c>
      <c r="M55" s="19">
        <f>_xll.BDH("GILD US Equity","CF_NET_CHNG_CASH","FQ2 2021","FQ2 2021","Currency=USD","Period=FQ","BEST_FPERIOD_OVERRIDE=FQ","FILING_STATUS=MR","SCALING_FORMAT=MLN","Sort=A","Dates=H","DateFormat=P","Fill=—","Direction=H","UseDPDF=Y")</f>
        <v>828</v>
      </c>
      <c r="N55" s="19">
        <f>_xll.BDH("GILD US Equity","CF_NET_CHNG_CASH","FQ3 2021","FQ3 2021","Currency=USD","Period=FQ","BEST_FPERIOD_OVERRIDE=FQ","FILING_STATUS=MR","SCALING_FORMAT=MLN","Sort=A","Dates=H","DateFormat=P","Fill=—","Direction=H","UseDPDF=Y")</f>
        <v>-531</v>
      </c>
      <c r="O55" s="19">
        <f>_xll.BDH("GILD US Equity","CF_NET_CHNG_CASH","FQ4 2021","FQ4 2021","Currency=USD","Period=FQ","BEST_FPERIOD_OVERRIDE=FQ","FILING_STATUS=MR","SCALING_FORMAT=MLN","Sort=A","Dates=H","DateFormat=P","Fill=—","Direction=H","UseDPDF=Y")</f>
        <v>976</v>
      </c>
      <c r="P55" s="19">
        <f>_xll.BDH("GILD US Equity","CF_NET_CHNG_CASH","FQ1 2022","FQ1 2022","Currency=USD","Period=FQ","BEST_FPERIOD_OVERRIDE=FQ","FILING_STATUS=MR","SCALING_FORMAT=MLN","Sort=A","Dates=H","DateFormat=P","Fill=—","Direction=H","UseDPDF=Y")</f>
        <v>-1042</v>
      </c>
      <c r="Q55" s="19">
        <f>_xll.BDH("GILD US Equity","CF_NET_CHNG_CASH","FQ2 2022","FQ2 2022","Currency=USD","Period=FQ","BEST_FPERIOD_OVERRIDE=FQ","FILING_STATUS=MR","SCALING_FORMAT=MLN","Sort=A","Dates=H","DateFormat=P","Fill=—","Direction=H","UseDPDF=Y")</f>
        <v>443</v>
      </c>
      <c r="R55" s="19">
        <f>_xll.BDH("GILD US Equity","CF_NET_CHNG_CASH","FQ3 2022","FQ3 2022","Currency=USD","Period=FQ","BEST_FPERIOD_OVERRIDE=FQ","FILING_STATUS=MR","SCALING_FORMAT=MLN","Sort=A","Dates=H","DateFormat=P","Fill=—","Direction=H","UseDPDF=Y")</f>
        <v>-40</v>
      </c>
      <c r="S55" s="19">
        <f>_xll.BDH("GILD US Equity","CF_NET_CHNG_CASH","FQ4 2022","FQ4 2022","Currency=USD","Period=FQ","BEST_FPERIOD_OVERRIDE=FQ","FILING_STATUS=MR","SCALING_FORMAT=MLN","Sort=A","Dates=H","DateFormat=P","Fill=—","Direction=H","UseDPDF=Y")</f>
        <v>713</v>
      </c>
      <c r="T55" s="19">
        <f>_xll.BDH("GILD US Equity","CF_NET_CHNG_CASH","FQ1 2023","FQ1 2023","Currency=USD","Period=FQ","BEST_FPERIOD_OVERRIDE=FQ","FILING_STATUS=MR","SCALING_FORMAT=MLN","Sort=A","Dates=H","DateFormat=P","Fill=—","Direction=H","UseDPDF=Y")</f>
        <v>-476</v>
      </c>
      <c r="U55" s="19">
        <f>_xll.BDH("GILD US Equity","CF_NET_CHNG_CASH","FQ2 2023","FQ2 2023","Currency=USD","Period=FQ","BEST_FPERIOD_OVERRIDE=FQ","FILING_STATUS=MR","SCALING_FORMAT=MLN","Sort=A","Dates=H","DateFormat=P","Fill=—","Direction=H","UseDPDF=Y")</f>
        <v>768</v>
      </c>
      <c r="V55" s="19">
        <f>_xll.BDH("GILD US Equity","CF_NET_CHNG_CASH","FQ3 2023","FQ3 2023","Currency=USD","Period=FQ","BEST_FPERIOD_OVERRIDE=FQ","FILING_STATUS=MR","SCALING_FORMAT=MLN","Sort=A","Dates=H","DateFormat=P","Fill=—","Direction=H","UseDPDF=Y")</f>
        <v>1</v>
      </c>
      <c r="W55" s="19">
        <f>_xll.BDH("GILD US Equity","CF_NET_CHNG_CASH","FQ4 2023","FQ4 2023","Currency=USD","Period=FQ","BEST_FPERIOD_OVERRIDE=FQ","FILING_STATUS=MR","SCALING_FORMAT=MLN","Sort=A","Dates=H","DateFormat=P","Fill=—","Direction=H","UseDPDF=Y")</f>
        <v>380</v>
      </c>
      <c r="X55" s="19">
        <f>_xll.BDH("GILD US Equity","CF_NET_CHNG_CASH","FQ1 2024","FQ1 2024","Currency=USD","Period=FQ","BEST_FPERIOD_OVERRIDE=FQ","FILING_STATUS=MR","SCALING_FORMAT=MLN","Sort=A","Dates=H","DateFormat=P","Fill=—","Direction=H","UseDPDF=Y")</f>
        <v>-1367</v>
      </c>
      <c r="Y55" s="19">
        <f>_xll.BDH("GILD US Equity","CF_NET_CHNG_CASH","FQ2 2024","FQ2 2024","Currency=USD","Period=FQ","BEST_FPERIOD_OVERRIDE=FQ","FILING_STATUS=MR","SCALING_FORMAT=MLN","Sort=A","Dates=H","DateFormat=P","Fill=—","Direction=H","UseDPDF=Y")</f>
        <v>-1946</v>
      </c>
      <c r="Z55" s="19">
        <f>_xll.BDH("GILD US Equity","CF_NET_CHNG_CASH","FQ3 2024","FQ3 2024","Currency=USD","Period=FQ","BEST_FPERIOD_OVERRIDE=FQ","FILING_STATUS=MR","SCALING_FORMAT=MLN","Sort=A","Dates=H","DateFormat=P","Fill=—","Direction=H","UseDPDF=Y")</f>
        <v>2264</v>
      </c>
      <c r="AA55" s="19">
        <f>_xll.BDH("GILD US Equity","CF_NET_CHNG_CASH","FQ4 2024","FQ4 2024","Currency=USD","Period=FQ","BEST_FPERIOD_OVERRIDE=FQ","FILING_STATUS=MR","SCALING_FORMAT=MLN","Sort=A","Dates=H","DateFormat=P","Fill=—","Direction=H","UseDPDF=Y")</f>
        <v>4955</v>
      </c>
    </row>
    <row r="56" spans="1:27" x14ac:dyDescent="0.25">
      <c r="A56" s="6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x14ac:dyDescent="0.25">
      <c r="A57" s="6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x14ac:dyDescent="0.25">
      <c r="A58" s="6" t="s">
        <v>4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x14ac:dyDescent="0.25">
      <c r="A59" s="10" t="s">
        <v>78</v>
      </c>
      <c r="B59" s="10" t="s">
        <v>78</v>
      </c>
      <c r="C59" s="13">
        <f>_xll.BDH("GILD US Equity","EBITDA","FQ4 2018","FQ4 2018","Currency=USD","Period=FQ","BEST_FPERIOD_OVERRIDE=FQ","FILING_STATUS=MR","SCALING_FORMAT=MLN","FA_ADJUSTED=GAAP","Sort=A","Dates=H","DateFormat=P","Fill=—","Direction=H","UseDPDF=Y")</f>
        <v>1502</v>
      </c>
      <c r="D59" s="13">
        <f>_xll.BDH("GILD US Equity","EBITDA","FQ1 2019","FQ1 2019","Currency=USD","Period=FQ","BEST_FPERIOD_OVERRIDE=FQ","FILING_STATUS=MR","SCALING_FORMAT=MLN","FA_ADJUSTED=GAAP","Sort=A","Dates=H","DateFormat=P","Fill=—","Direction=H","UseDPDF=Y")</f>
        <v>2632</v>
      </c>
      <c r="E59" s="13">
        <f>_xll.BDH("GILD US Equity","EBITDA","FQ2 2019","FQ2 2019","Currency=USD","Period=FQ","BEST_FPERIOD_OVERRIDE=FQ","FILING_STATUS=MR","SCALING_FORMAT=MLN","FA_ADJUSTED=GAAP","Sort=A","Dates=H","DateFormat=P","Fill=—","Direction=H","UseDPDF=Y")</f>
        <v>2816</v>
      </c>
      <c r="F59" s="13">
        <f>_xll.BDH("GILD US Equity","EBITDA","FQ3 2019","FQ3 2019","Currency=USD","Period=FQ","BEST_FPERIOD_OVERRIDE=FQ","FILING_STATUS=MR","SCALING_FORMAT=MLN","FA_ADJUSTED=GAAP","Sort=A","Dates=H","DateFormat=P","Fill=—","Direction=H","UseDPDF=Y")</f>
        <v>-1082</v>
      </c>
      <c r="G59" s="13">
        <f>_xll.BDH("GILD US Equity","EBITDA","FQ4 2019","FQ4 2019","Currency=USD","Period=FQ","BEST_FPERIOD_OVERRIDE=FQ","FILING_STATUS=MR","SCALING_FORMAT=MLN","FA_ADJUSTED=GAAP","Sort=A","Dates=H","DateFormat=P","Fill=—","Direction=H","UseDPDF=Y")</f>
        <v>1487</v>
      </c>
      <c r="H59" s="13">
        <f>_xll.BDH("GILD US Equity","EBITDA","FQ1 2020","FQ1 2020","Currency=USD","Period=FQ","BEST_FPERIOD_OVERRIDE=FQ","FILING_STATUS=MR","SCALING_FORMAT=MLN","FA_ADJUSTED=GAAP","Sort=A","Dates=H","DateFormat=P","Fill=—","Direction=H","UseDPDF=Y")</f>
        <v>2751</v>
      </c>
      <c r="I59" s="13">
        <f>_xll.BDH("GILD US Equity","EBITDA","FQ2 2020","FQ2 2020","Currency=USD","Period=FQ","BEST_FPERIOD_OVERRIDE=FQ","FILING_STATUS=MR","SCALING_FORMAT=MLN","FA_ADJUSTED=GAAP","Sort=A","Dates=H","DateFormat=P","Fill=—","Direction=H","UseDPDF=Y")</f>
        <v>-2634</v>
      </c>
      <c r="J59" s="13">
        <f>_xll.BDH("GILD US Equity","EBITDA","FQ3 2020","FQ3 2020","Currency=USD","Period=FQ","BEST_FPERIOD_OVERRIDE=FQ","FILING_STATUS=MR","SCALING_FORMAT=MLN","FA_ADJUSTED=GAAP","Sort=A","Dates=H","DateFormat=P","Fill=—","Direction=H","UseDPDF=Y")</f>
        <v>2356</v>
      </c>
      <c r="K59" s="13">
        <f>_xll.BDH("GILD US Equity","EBITDA","FQ4 2020","FQ4 2020","Currency=USD","Period=FQ","BEST_FPERIOD_OVERRIDE=FQ","FILING_STATUS=MR","SCALING_FORMAT=MLN","FA_ADJUSTED=GAAP","Sort=A","Dates=H","DateFormat=P","Fill=—","Direction=H","UseDPDF=Y")</f>
        <v>3078</v>
      </c>
      <c r="L59" s="13">
        <f>_xll.BDH("GILD US Equity","EBITDA","FQ1 2021","FQ1 2021","Currency=USD","Period=FQ","BEST_FPERIOD_OVERRIDE=FQ","FILING_STATUS=MR","SCALING_FORMAT=MLN","FA_ADJUSTED=GAAP","Sort=A","Dates=H","DateFormat=P","Fill=—","Direction=H","UseDPDF=Y")</f>
        <v>3363</v>
      </c>
      <c r="M59" s="13">
        <f>_xll.BDH("GILD US Equity","EBITDA","FQ2 2021","FQ2 2021","Currency=USD","Period=FQ","BEST_FPERIOD_OVERRIDE=FQ","FILING_STATUS=MR","SCALING_FORMAT=MLN","FA_ADJUSTED=GAAP","Sort=A","Dates=H","DateFormat=P","Fill=—","Direction=H","UseDPDF=Y")</f>
        <v>2765</v>
      </c>
      <c r="N59" s="13">
        <f>_xll.BDH("GILD US Equity","EBITDA","FQ3 2021","FQ3 2021","Currency=USD","Period=FQ","BEST_FPERIOD_OVERRIDE=FQ","FILING_STATUS=MR","SCALING_FORMAT=MLN","FA_ADJUSTED=GAAP","Sort=A","Dates=H","DateFormat=P","Fill=—","Direction=H","UseDPDF=Y")</f>
        <v>4365</v>
      </c>
      <c r="O59" s="13">
        <f>_xll.BDH("GILD US Equity","EBITDA","FQ4 2021","FQ4 2021","Currency=USD","Period=FQ","BEST_FPERIOD_OVERRIDE=FQ","FILING_STATUS=MR","SCALING_FORMAT=MLN","FA_ADJUSTED=GAAP","Sort=A","Dates=H","DateFormat=P","Fill=—","Direction=H","UseDPDF=Y")</f>
        <v>1475</v>
      </c>
      <c r="P59" s="13">
        <f>_xll.BDH("GILD US Equity","EBITDA","FQ1 2022","FQ1 2022","Currency=USD","Period=FQ","BEST_FPERIOD_OVERRIDE=FQ","FILING_STATUS=MR","SCALING_FORMAT=MLN","FA_ADJUSTED=GAAP","Sort=A","Dates=H","DateFormat=P","Fill=—","Direction=H","UseDPDF=Y")</f>
        <v>722</v>
      </c>
      <c r="Q59" s="13">
        <f>_xll.BDH("GILD US Equity","EBITDA","FQ2 2022","FQ2 2022","Currency=USD","Period=FQ","BEST_FPERIOD_OVERRIDE=FQ","FILING_STATUS=MR","SCALING_FORMAT=MLN","FA_ADJUSTED=GAAP","Sort=A","Dates=H","DateFormat=P","Fill=—","Direction=H","UseDPDF=Y")</f>
        <v>2554</v>
      </c>
      <c r="R59" s="13">
        <f>_xll.BDH("GILD US Equity","EBITDA","FQ3 2022","FQ3 2022","Currency=USD","Period=FQ","BEST_FPERIOD_OVERRIDE=FQ","FILING_STATUS=MR","SCALING_FORMAT=MLN","FA_ADJUSTED=GAAP","Sort=A","Dates=H","DateFormat=P","Fill=—","Direction=H","UseDPDF=Y")</f>
        <v>3362</v>
      </c>
      <c r="S59" s="13">
        <f>_xll.BDH("GILD US Equity","EBITDA","FQ4 2022","FQ4 2022","Currency=USD","Period=FQ","BEST_FPERIOD_OVERRIDE=FQ","FILING_STATUS=MR","SCALING_FORMAT=MLN","FA_ADJUSTED=GAAP","Sort=A","Dates=H","DateFormat=P","Fill=—","Direction=H","UseDPDF=Y")</f>
        <v>2795</v>
      </c>
      <c r="T59" s="13">
        <f>_xll.BDH("GILD US Equity","EBITDA","FQ1 2023","FQ1 2023","Currency=USD","Period=FQ","BEST_FPERIOD_OVERRIDE=FQ","FILING_STATUS=MR","SCALING_FORMAT=MLN","FA_ADJUSTED=GAAP","Sort=A","Dates=H","DateFormat=P","Fill=—","Direction=H","UseDPDF=Y")</f>
        <v>2345</v>
      </c>
      <c r="U59" s="13">
        <f>_xll.BDH("GILD US Equity","EBITDA","FQ2 2023","FQ2 2023","Currency=USD","Period=FQ","BEST_FPERIOD_OVERRIDE=FQ","FILING_STATUS=MR","SCALING_FORMAT=MLN","FA_ADJUSTED=GAAP","Sort=A","Dates=H","DateFormat=P","Fill=—","Direction=H","UseDPDF=Y")</f>
        <v>2346</v>
      </c>
      <c r="V59" s="13">
        <f>_xll.BDH("GILD US Equity","EBITDA","FQ3 2023","FQ3 2023","Currency=USD","Period=FQ","BEST_FPERIOD_OVERRIDE=FQ","FILING_STATUS=MR","SCALING_FORMAT=MLN","FA_ADJUSTED=GAAP","Sort=A","Dates=H","DateFormat=P","Fill=—","Direction=H","UseDPDF=Y")</f>
        <v>3307</v>
      </c>
      <c r="W59" s="13">
        <f>_xll.BDH("GILD US Equity","EBITDA","FQ4 2023","FQ4 2023","Currency=USD","Period=FQ","BEST_FPERIOD_OVERRIDE=FQ","FILING_STATUS=MR","SCALING_FORMAT=MLN","FA_ADJUSTED=GAAP","Sort=A","Dates=H","DateFormat=P","Fill=—","Direction=H","UseDPDF=Y")</f>
        <v>2300</v>
      </c>
      <c r="X59" s="13">
        <f>_xll.BDH("GILD US Equity","EBITDA","FQ1 2024","FQ1 2024","Currency=USD","Period=FQ","BEST_FPERIOD_OVERRIDE=FQ","FILING_STATUS=MR","SCALING_FORMAT=MLN","FA_ADJUSTED=GAAP","Sort=A","Dates=H","DateFormat=P","Fill=—","Direction=H","UseDPDF=Y")</f>
        <v>-3632</v>
      </c>
      <c r="Y59" s="13">
        <f>_xll.BDH("GILD US Equity","EBITDA","FQ2 2024","FQ2 2024","Currency=USD","Period=FQ","BEST_FPERIOD_OVERRIDE=FQ","FILING_STATUS=MR","SCALING_FORMAT=MLN","FA_ADJUSTED=GAAP","Sort=A","Dates=H","DateFormat=P","Fill=—","Direction=H","UseDPDF=Y")</f>
        <v>3338</v>
      </c>
      <c r="Z59" s="13">
        <f>_xll.BDH("GILD US Equity","EBITDA","FQ3 2024","FQ3 2024","Currency=USD","Period=FQ","BEST_FPERIOD_OVERRIDE=FQ","FILING_STATUS=MR","SCALING_FORMAT=MLN","FA_ADJUSTED=GAAP","Sort=A","Dates=H","DateFormat=P","Fill=—","Direction=H","UseDPDF=Y")</f>
        <v>1578</v>
      </c>
      <c r="AA59" s="13">
        <f>_xll.BDH("GILD US Equity","EBITDA","FQ4 2024","FQ4 2024","Currency=USD","Period=FQ","BEST_FPERIOD_OVERRIDE=FQ","FILING_STATUS=MR","SCALING_FORMAT=MLN","FA_ADJUSTED=GAAP","Sort=A","Dates=H","DateFormat=P","Fill=—","Direction=H","UseDPDF=Y")</f>
        <v>3144</v>
      </c>
    </row>
    <row r="60" spans="1:27" x14ac:dyDescent="0.25">
      <c r="A60" s="10" t="s">
        <v>1394</v>
      </c>
      <c r="B60" s="10" t="s">
        <v>395</v>
      </c>
      <c r="C60" s="14">
        <f>_xll.BDH("GILD US Equity","EBITDA_MARGIN","FQ4 2018","FQ4 2018","Currency=USD","Period=FQ","BEST_FPERIOD_OVERRIDE=FQ","FILING_STATUS=MR","FA_ADJUSTED=GAAP","Sort=A","Dates=H","DateFormat=P","Fill=—","Direction=H","UseDPDF=Y")</f>
        <v>43.517000000000003</v>
      </c>
      <c r="D60" s="14">
        <f>_xll.BDH("GILD US Equity","EBITDA_MARGIN","FQ1 2019","FQ1 2019","Currency=USD","Period=FQ","BEST_FPERIOD_OVERRIDE=FQ","FILING_STATUS=MR","FA_ADJUSTED=GAAP","Sort=A","Dates=H","DateFormat=P","Fill=—","Direction=H","UseDPDF=Y")</f>
        <v>43.6873</v>
      </c>
      <c r="E60" s="14">
        <f>_xll.BDH("GILD US Equity","EBITDA_MARGIN","FQ2 2019","FQ2 2019","Currency=USD","Period=FQ","BEST_FPERIOD_OVERRIDE=FQ","FILING_STATUS=MR","FA_ADJUSTED=GAAP","Sort=A","Dates=H","DateFormat=P","Fill=—","Direction=H","UseDPDF=Y")</f>
        <v>44.420099999999998</v>
      </c>
      <c r="F60" s="14">
        <f>_xll.BDH("GILD US Equity","EBITDA_MARGIN","FQ3 2019","FQ3 2019","Currency=USD","Period=FQ","BEST_FPERIOD_OVERRIDE=FQ","FILING_STATUS=MR","FA_ADJUSTED=GAAP","Sort=A","Dates=H","DateFormat=P","Fill=—","Direction=H","UseDPDF=Y")</f>
        <v>26.237400000000001</v>
      </c>
      <c r="G60" s="14">
        <f>_xll.BDH("GILD US Equity","EBITDA_MARGIN","FQ4 2019","FQ4 2019","Currency=USD","Period=FQ","BEST_FPERIOD_OVERRIDE=FQ","FILING_STATUS=MR","FA_ADJUSTED=GAAP","Sort=A","Dates=H","DateFormat=P","Fill=—","Direction=H","UseDPDF=Y")</f>
        <v>26.072399999999998</v>
      </c>
      <c r="H60" s="14">
        <f>_xll.BDH("GILD US Equity","EBITDA_MARGIN","FQ1 2020","FQ1 2020","Currency=USD","Period=FQ","BEST_FPERIOD_OVERRIDE=FQ","FILING_STATUS=MR","FA_ADJUSTED=GAAP","Sort=A","Dates=H","DateFormat=P","Fill=—","Direction=H","UseDPDF=Y")</f>
        <v>26.2898</v>
      </c>
      <c r="I60" s="14">
        <f>_xll.BDH("GILD US Equity","EBITDA_MARGIN","FQ2 2020","FQ2 2020","Currency=USD","Period=FQ","BEST_FPERIOD_OVERRIDE=FQ","FILING_STATUS=MR","FA_ADJUSTED=GAAP","Sort=A","Dates=H","DateFormat=P","Fill=—","Direction=H","UseDPDF=Y")</f>
        <v>2.3540999999999999</v>
      </c>
      <c r="J60" s="14">
        <f>_xll.BDH("GILD US Equity","EBITDA_MARGIN","FQ3 2020","FQ3 2020","Currency=USD","Period=FQ","BEST_FPERIOD_OVERRIDE=FQ","FILING_STATUS=MR","FA_ADJUSTED=GAAP","Sort=A","Dates=H","DateFormat=P","Fill=—","Direction=H","UseDPDF=Y")</f>
        <v>17.108000000000001</v>
      </c>
      <c r="K60" s="14">
        <f>_xll.BDH("GILD US Equity","EBITDA_MARGIN","FQ4 2020","FQ4 2020","Currency=USD","Period=FQ","BEST_FPERIOD_OVERRIDE=FQ","FILING_STATUS=MR","FA_ADJUSTED=GAAP","Sort=A","Dates=H","DateFormat=P","Fill=—","Direction=H","UseDPDF=Y")</f>
        <v>22.483699999999999</v>
      </c>
      <c r="L60" s="14">
        <f>_xll.BDH("GILD US Equity","EBITDA_MARGIN","FQ1 2021","FQ1 2021","Currency=USD","Period=FQ","BEST_FPERIOD_OVERRIDE=FQ","FILING_STATUS=MR","FA_ADJUSTED=GAAP","Sort=A","Dates=H","DateFormat=P","Fill=—","Direction=H","UseDPDF=Y")</f>
        <v>24.1081</v>
      </c>
      <c r="M60" s="14">
        <f>_xll.BDH("GILD US Equity","EBITDA_MARGIN","FQ2 2021","FQ2 2021","Currency=USD","Period=FQ","BEST_FPERIOD_OVERRIDE=FQ","FILING_STATUS=MR","FA_ADJUSTED=GAAP","Sort=A","Dates=H","DateFormat=P","Fill=—","Direction=H","UseDPDF=Y")</f>
        <v>43.404200000000003</v>
      </c>
      <c r="N60" s="14">
        <f>_xll.BDH("GILD US Equity","EBITDA_MARGIN","FQ3 2021","FQ3 2021","Currency=USD","Period=FQ","BEST_FPERIOD_OVERRIDE=FQ","FILING_STATUS=MR","FA_ADJUSTED=GAAP","Sort=A","Dates=H","DateFormat=P","Fill=—","Direction=H","UseDPDF=Y")</f>
        <v>49.381399999999999</v>
      </c>
      <c r="O60" s="14">
        <f>_xll.BDH("GILD US Equity","EBITDA_MARGIN","FQ4 2021","FQ4 2021","Currency=USD","Period=FQ","BEST_FPERIOD_OVERRIDE=FQ","FILING_STATUS=MR","FA_ADJUSTED=GAAP","Sort=A","Dates=H","DateFormat=P","Fill=—","Direction=H","UseDPDF=Y")</f>
        <v>43.830800000000004</v>
      </c>
      <c r="P60" s="14">
        <f>_xll.BDH("GILD US Equity","EBITDA_MARGIN","FQ1 2022","FQ1 2022","Currency=USD","Period=FQ","BEST_FPERIOD_OVERRIDE=FQ","FILING_STATUS=MR","FA_ADJUSTED=GAAP","Sort=A","Dates=H","DateFormat=P","Fill=—","Direction=H","UseDPDF=Y")</f>
        <v>33.950899999999997</v>
      </c>
      <c r="Q60" s="14">
        <f>_xll.BDH("GILD US Equity","EBITDA_MARGIN","FQ2 2022","FQ2 2022","Currency=USD","Period=FQ","BEST_FPERIOD_OVERRIDE=FQ","FILING_STATUS=MR","FA_ADJUSTED=GAAP","Sort=A","Dates=H","DateFormat=P","Fill=—","Direction=H","UseDPDF=Y")</f>
        <v>33.131</v>
      </c>
      <c r="R60" s="14">
        <f>_xll.BDH("GILD US Equity","EBITDA_MARGIN","FQ3 2022","FQ3 2022","Currency=USD","Period=FQ","BEST_FPERIOD_OVERRIDE=FQ","FILING_STATUS=MR","FA_ADJUSTED=GAAP","Sort=A","Dates=H","DateFormat=P","Fill=—","Direction=H","UseDPDF=Y")</f>
        <v>29.897600000000001</v>
      </c>
      <c r="S60" s="14">
        <f>_xll.BDH("GILD US Equity","EBITDA_MARGIN","FQ4 2022","FQ4 2022","Currency=USD","Period=FQ","BEST_FPERIOD_OVERRIDE=FQ","FILING_STATUS=MR","FA_ADJUSTED=GAAP","Sort=A","Dates=H","DateFormat=P","Fill=—","Direction=H","UseDPDF=Y")</f>
        <v>34.577199999999998</v>
      </c>
      <c r="T60" s="14">
        <f>_xll.BDH("GILD US Equity","EBITDA_MARGIN","FQ1 2023","FQ1 2023","Currency=USD","Period=FQ","BEST_FPERIOD_OVERRIDE=FQ","FILING_STATUS=MR","FA_ADJUSTED=GAAP","Sort=A","Dates=H","DateFormat=P","Fill=—","Direction=H","UseDPDF=Y")</f>
        <v>40.883000000000003</v>
      </c>
      <c r="U60" s="14">
        <f>_xll.BDH("GILD US Equity","EBITDA_MARGIN","FQ2 2023","FQ2 2023","Currency=USD","Period=FQ","BEST_FPERIOD_OVERRIDE=FQ","FILING_STATUS=MR","FA_ADJUSTED=GAAP","Sort=A","Dates=H","DateFormat=P","Fill=—","Direction=H","UseDPDF=Y")</f>
        <v>39.6173</v>
      </c>
      <c r="V60" s="14">
        <f>_xll.BDH("GILD US Equity","EBITDA_MARGIN","FQ3 2023","FQ3 2023","Currency=USD","Period=FQ","BEST_FPERIOD_OVERRIDE=FQ","FILING_STATUS=MR","FA_ADJUSTED=GAAP","Sort=A","Dates=H","DateFormat=P","Fill=—","Direction=H","UseDPDF=Y")</f>
        <v>39.403500000000001</v>
      </c>
      <c r="W60" s="14">
        <f>_xll.BDH("GILD US Equity","EBITDA_MARGIN","FQ4 2023","FQ4 2023","Currency=USD","Period=FQ","BEST_FPERIOD_OVERRIDE=FQ","FILING_STATUS=MR","FA_ADJUSTED=GAAP","Sort=A","Dates=H","DateFormat=P","Fill=—","Direction=H","UseDPDF=Y")</f>
        <v>37.976199999999999</v>
      </c>
      <c r="X60" s="14">
        <f>_xll.BDH("GILD US Equity","EBITDA_MARGIN","FQ1 2024","FQ1 2024","Currency=USD","Period=FQ","BEST_FPERIOD_OVERRIDE=FQ","FILING_STATUS=MR","FA_ADJUSTED=GAAP","Sort=A","Dates=H","DateFormat=P","Fill=—","Direction=H","UseDPDF=Y")</f>
        <v>15.7408</v>
      </c>
      <c r="Y60" s="14">
        <f>_xll.BDH("GILD US Equity","EBITDA_MARGIN","FQ2 2024","FQ2 2024","Currency=USD","Period=FQ","BEST_FPERIOD_OVERRIDE=FQ","FILING_STATUS=MR","FA_ADJUSTED=GAAP","Sort=A","Dates=H","DateFormat=P","Fill=—","Direction=H","UseDPDF=Y")</f>
        <v>19.1081</v>
      </c>
      <c r="Z60" s="14">
        <f>_xll.BDH("GILD US Equity","EBITDA_MARGIN","FQ3 2024","FQ3 2024","Currency=USD","Period=FQ","BEST_FPERIOD_OVERRIDE=FQ","FILING_STATUS=MR","FA_ADJUSTED=GAAP","Sort=A","Dates=H","DateFormat=P","Fill=—","Direction=H","UseDPDF=Y")</f>
        <v>12.6648</v>
      </c>
      <c r="AA60" s="14">
        <f>_xll.BDH("GILD US Equity","EBITDA_MARGIN","FQ4 2024","FQ4 2024","Currency=USD","Period=FQ","BEST_FPERIOD_OVERRIDE=FQ","FILING_STATUS=MR","FA_ADJUSTED=GAAP","Sort=A","Dates=H","DateFormat=P","Fill=—","Direction=H","UseDPDF=Y")</f>
        <v>15.4001</v>
      </c>
    </row>
    <row r="61" spans="1:27" x14ac:dyDescent="0.25">
      <c r="A61" s="10" t="s">
        <v>1395</v>
      </c>
      <c r="B61" s="10" t="s">
        <v>1396</v>
      </c>
      <c r="C61" s="13" t="str">
        <f>_xll.BDH("GILD US Equity","CF_NET_CASH_PAID_FOR_AQUIS","FQ4 2018","FQ4 2018","Currency=USD","Period=FQ","BEST_FPERIOD_OVERRIDE=FQ","FILING_STATUS=MR","SCALING_FORMAT=MLN","Sort=A","Dates=H","DateFormat=P","Fill=—","Direction=H","UseDPDF=Y")</f>
        <v>—</v>
      </c>
      <c r="D61" s="13" t="str">
        <f>_xll.BDH("GILD US Equity","CF_NET_CASH_PAID_FOR_AQUIS","FQ1 2019","FQ1 2019","Currency=USD","Period=FQ","BEST_FPERIOD_OVERRIDE=FQ","FILING_STATUS=MR","SCALING_FORMAT=MLN","Sort=A","Dates=H","DateFormat=P","Fill=—","Direction=H","UseDPDF=Y")</f>
        <v>—</v>
      </c>
      <c r="E61" s="13" t="str">
        <f>_xll.BDH("GILD US Equity","CF_NET_CASH_PAID_FOR_AQUIS","FQ2 2019","FQ2 2019","Currency=USD","Period=FQ","BEST_FPERIOD_OVERRIDE=FQ","FILING_STATUS=MR","SCALING_FORMAT=MLN","Sort=A","Dates=H","DateFormat=P","Fill=—","Direction=H","UseDPDF=Y")</f>
        <v>—</v>
      </c>
      <c r="F61" s="13" t="str">
        <f>_xll.BDH("GILD US Equity","CF_NET_CASH_PAID_FOR_AQUIS","FQ3 2019","FQ3 2019","Currency=USD","Period=FQ","BEST_FPERIOD_OVERRIDE=FQ","FILING_STATUS=MR","SCALING_FORMAT=MLN","Sort=A","Dates=H","DateFormat=P","Fill=—","Direction=H","UseDPDF=Y")</f>
        <v>—</v>
      </c>
      <c r="G61" s="13">
        <f>_xll.BDH("GILD US Equity","CF_NET_CASH_PAID_FOR_AQUIS","FQ4 2019","FQ4 2019","Currency=USD","Period=FQ","BEST_FPERIOD_OVERRIDE=FQ","FILING_STATUS=MR","SCALING_FORMAT=MLN","Sort=A","Dates=H","DateFormat=P","Fill=—","Direction=H","UseDPDF=Y")</f>
        <v>0</v>
      </c>
      <c r="H61" s="13">
        <f>_xll.BDH("GILD US Equity","CF_NET_CASH_PAID_FOR_AQUIS","FQ1 2020","FQ1 2020","Currency=USD","Period=FQ","BEST_FPERIOD_OVERRIDE=FQ","FILING_STATUS=MR","SCALING_FORMAT=MLN","Sort=A","Dates=H","DateFormat=P","Fill=—","Direction=H","UseDPDF=Y")</f>
        <v>63</v>
      </c>
      <c r="I61" s="13">
        <f>_xll.BDH("GILD US Equity","CF_NET_CASH_PAID_FOR_AQUIS","FQ2 2020","FQ2 2020","Currency=USD","Period=FQ","BEST_FPERIOD_OVERRIDE=FQ","FILING_STATUS=MR","SCALING_FORMAT=MLN","Sort=A","Dates=H","DateFormat=P","Fill=—","Direction=H","UseDPDF=Y")</f>
        <v>4741</v>
      </c>
      <c r="J61" s="13">
        <f>_xll.BDH("GILD US Equity","CF_NET_CASH_PAID_FOR_AQUIS","FQ3 2020","FQ3 2020","Currency=USD","Period=FQ","BEST_FPERIOD_OVERRIDE=FQ","FILING_STATUS=MR","SCALING_FORMAT=MLN","Sort=A","Dates=H","DateFormat=P","Fill=—","Direction=H","UseDPDF=Y")</f>
        <v>1000</v>
      </c>
      <c r="K61" s="13">
        <f>_xll.BDH("GILD US Equity","CF_NET_CASH_PAID_FOR_AQUIS","FQ4 2020","FQ4 2020","Currency=USD","Period=FQ","BEST_FPERIOD_OVERRIDE=FQ","FILING_STATUS=MR","SCALING_FORMAT=MLN","Sort=A","Dates=H","DateFormat=P","Fill=—","Direction=H","UseDPDF=Y")</f>
        <v>21116</v>
      </c>
      <c r="L61" s="13">
        <f>_xll.BDH("GILD US Equity","CF_NET_CASH_PAID_FOR_AQUIS","FQ1 2021","FQ1 2021","Currency=USD","Period=FQ","BEST_FPERIOD_OVERRIDE=FQ","FILING_STATUS=MR","SCALING_FORMAT=MLN","Sort=A","Dates=H","DateFormat=P","Fill=—","Direction=H","UseDPDF=Y")</f>
        <v>1255</v>
      </c>
      <c r="M61" s="13">
        <f>_xll.BDH("GILD US Equity","CF_NET_CASH_PAID_FOR_AQUIS","FQ2 2021","FQ2 2021","Currency=USD","Period=FQ","BEST_FPERIOD_OVERRIDE=FQ","FILING_STATUS=MR","SCALING_FORMAT=MLN","Sort=A","Dates=H","DateFormat=P","Fill=—","Direction=H","UseDPDF=Y")</f>
        <v>92</v>
      </c>
      <c r="N61" s="13">
        <f>_xll.BDH("GILD US Equity","CF_NET_CASH_PAID_FOR_AQUIS","FQ3 2021","FQ3 2021","Currency=USD","Period=FQ","BEST_FPERIOD_OVERRIDE=FQ","FILING_STATUS=MR","SCALING_FORMAT=MLN","Sort=A","Dates=H","DateFormat=P","Fill=—","Direction=H","UseDPDF=Y")</f>
        <v>193</v>
      </c>
      <c r="O61" s="13">
        <f>_xll.BDH("GILD US Equity","CF_NET_CASH_PAID_FOR_AQUIS","FQ4 2021","FQ4 2021","Currency=USD","Period=FQ","BEST_FPERIOD_OVERRIDE=FQ","FILING_STATUS=MR","SCALING_FORMAT=MLN","Sort=A","Dates=H","DateFormat=P","Fill=—","Direction=H","UseDPDF=Y")</f>
        <v>44</v>
      </c>
      <c r="P61" s="13">
        <f>_xll.BDH("GILD US Equity","CF_NET_CASH_PAID_FOR_AQUIS","FQ1 2022","FQ1 2022","Currency=USD","Period=FQ","BEST_FPERIOD_OVERRIDE=FQ","FILING_STATUS=MR","SCALING_FORMAT=MLN","Sort=A","Dates=H","DateFormat=P","Fill=—","Direction=H","UseDPDF=Y")</f>
        <v>30</v>
      </c>
      <c r="Q61" s="13">
        <f>_xll.BDH("GILD US Equity","CF_NET_CASH_PAID_FOR_AQUIS","FQ2 2022","FQ2 2022","Currency=USD","Period=FQ","BEST_FPERIOD_OVERRIDE=FQ","FILING_STATUS=MR","SCALING_FORMAT=MLN","Sort=A","Dates=H","DateFormat=P","Fill=—","Direction=H","UseDPDF=Y")</f>
        <v>1101</v>
      </c>
      <c r="R61" s="13">
        <f>_xll.BDH("GILD US Equity","CF_NET_CASH_PAID_FOR_AQUIS","FQ3 2022","FQ3 2022","Currency=USD","Period=FQ","BEST_FPERIOD_OVERRIDE=FQ","FILING_STATUS=MR","SCALING_FORMAT=MLN","Sort=A","Dates=H","DateFormat=P","Fill=—","Direction=H","UseDPDF=Y")</f>
        <v>448</v>
      </c>
      <c r="S61" s="13">
        <f>_xll.BDH("GILD US Equity","CF_NET_CASH_PAID_FOR_AQUIS","FQ4 2022","FQ4 2022","Currency=USD","Period=FQ","BEST_FPERIOD_OVERRIDE=FQ","FILING_STATUS=MR","SCALING_FORMAT=MLN","Sort=A","Dates=H","DateFormat=P","Fill=—","Direction=H","UseDPDF=Y")</f>
        <v>218</v>
      </c>
      <c r="T61" s="13">
        <f>_xll.BDH("GILD US Equity","CF_NET_CASH_PAID_FOR_AQUIS","FQ1 2023","FQ1 2023","Currency=USD","Period=FQ","BEST_FPERIOD_OVERRIDE=FQ","FILING_STATUS=MR","SCALING_FORMAT=MLN","Sort=A","Dates=H","DateFormat=P","Fill=—","Direction=H","UseDPDF=Y")</f>
        <v>551</v>
      </c>
      <c r="U61" s="13">
        <f>_xll.BDH("GILD US Equity","CF_NET_CASH_PAID_FOR_AQUIS","FQ2 2023","FQ2 2023","Currency=USD","Period=FQ","BEST_FPERIOD_OVERRIDE=FQ","FILING_STATUS=MR","SCALING_FORMAT=MLN","Sort=A","Dates=H","DateFormat=P","Fill=—","Direction=H","UseDPDF=Y")</f>
        <v>243</v>
      </c>
      <c r="V61" s="13">
        <f>_xll.BDH("GILD US Equity","CF_NET_CASH_PAID_FOR_AQUIS","FQ3 2023","FQ3 2023","Currency=USD","Period=FQ","BEST_FPERIOD_OVERRIDE=FQ","FILING_STATUS=MR","SCALING_FORMAT=MLN","Sort=A","Dates=H","DateFormat=P","Fill=—","Direction=H","UseDPDF=Y")</f>
        <v>79</v>
      </c>
      <c r="W61" s="13">
        <f>_xll.BDH("GILD US Equity","CF_NET_CASH_PAID_FOR_AQUIS","FQ4 2023","FQ4 2023","Currency=USD","Period=FQ","BEST_FPERIOD_OVERRIDE=FQ","FILING_STATUS=MR","SCALING_FORMAT=MLN","Sort=A","Dates=H","DateFormat=P","Fill=—","Direction=H","UseDPDF=Y")</f>
        <v>279</v>
      </c>
      <c r="X61" s="13">
        <f>_xll.BDH("GILD US Equity","CF_NET_CASH_PAID_FOR_AQUIS","FQ1 2024","FQ1 2024","Currency=USD","Period=FQ","BEST_FPERIOD_OVERRIDE=FQ","FILING_STATUS=MR","SCALING_FORMAT=MLN","Sort=A","Dates=H","DateFormat=P","Fill=—","Direction=H","UseDPDF=Y")</f>
        <v>4043</v>
      </c>
      <c r="Y61" s="13">
        <f>_xll.BDH("GILD US Equity","CF_NET_CASH_PAID_FOR_AQUIS","FQ2 2024","FQ2 2024","Currency=USD","Period=FQ","BEST_FPERIOD_OVERRIDE=FQ","FILING_STATUS=MR","SCALING_FORMAT=MLN","Sort=A","Dates=H","DateFormat=P","Fill=—","Direction=H","UseDPDF=Y")</f>
        <v>152</v>
      </c>
      <c r="Z61" s="13">
        <f>_xll.BDH("GILD US Equity","CF_NET_CASH_PAID_FOR_AQUIS","FQ3 2024","FQ3 2024","Currency=USD","Period=FQ","BEST_FPERIOD_OVERRIDE=FQ","FILING_STATUS=MR","SCALING_FORMAT=MLN","Sort=A","Dates=H","DateFormat=P","Fill=—","Direction=H","UseDPDF=Y")</f>
        <v>570</v>
      </c>
      <c r="AA61" s="13">
        <f>_xll.BDH("GILD US Equity","CF_NET_CASH_PAID_FOR_AQUIS","FQ4 2024","FQ4 2024","Currency=USD","Period=FQ","BEST_FPERIOD_OVERRIDE=FQ","FILING_STATUS=MR","SCALING_FORMAT=MLN","Sort=A","Dates=H","DateFormat=P","Fill=—","Direction=H","UseDPDF=Y")</f>
        <v>75</v>
      </c>
    </row>
    <row r="62" spans="1:27" x14ac:dyDescent="0.25">
      <c r="A62" s="10" t="s">
        <v>88</v>
      </c>
      <c r="B62" s="10" t="s">
        <v>89</v>
      </c>
      <c r="C62" s="13">
        <f>_xll.BDH("GILD US Equity","CF_FREE_CASH_FLOW","FQ4 2018","FQ4 2018","Currency=USD","Period=FQ","BEST_FPERIOD_OVERRIDE=FQ","FILING_STATUS=MR","SCALING_FORMAT=MLN","Sort=A","Dates=H","DateFormat=P","Fill=—","Direction=H","UseDPDF=Y")</f>
        <v>2097</v>
      </c>
      <c r="D62" s="13">
        <f>_xll.BDH("GILD US Equity","CF_FREE_CASH_FLOW","FQ1 2019","FQ1 2019","Currency=USD","Period=FQ","BEST_FPERIOD_OVERRIDE=FQ","FILING_STATUS=MR","SCALING_FORMAT=MLN","Sort=A","Dates=H","DateFormat=P","Fill=—","Direction=H","UseDPDF=Y")</f>
        <v>1207</v>
      </c>
      <c r="E62" s="13">
        <f>_xll.BDH("GILD US Equity","CF_FREE_CASH_FLOW","FQ2 2019","FQ2 2019","Currency=USD","Period=FQ","BEST_FPERIOD_OVERRIDE=FQ","FILING_STATUS=MR","SCALING_FORMAT=MLN","Sort=A","Dates=H","DateFormat=P","Fill=—","Direction=H","UseDPDF=Y")</f>
        <v>2157</v>
      </c>
      <c r="F62" s="13">
        <f>_xll.BDH("GILD US Equity","CF_FREE_CASH_FLOW","FQ3 2019","FQ3 2019","Currency=USD","Period=FQ","BEST_FPERIOD_OVERRIDE=FQ","FILING_STATUS=MR","SCALING_FORMAT=MLN","Sort=A","Dates=H","DateFormat=P","Fill=—","Direction=H","UseDPDF=Y")</f>
        <v>2699</v>
      </c>
      <c r="G62" s="13">
        <f>_xll.BDH("GILD US Equity","CF_FREE_CASH_FLOW","FQ4 2019","FQ4 2019","Currency=USD","Period=FQ","BEST_FPERIOD_OVERRIDE=FQ","FILING_STATUS=MR","SCALING_FORMAT=MLN","Sort=A","Dates=H","DateFormat=P","Fill=—","Direction=H","UseDPDF=Y")</f>
        <v>2377</v>
      </c>
      <c r="H62" s="13">
        <f>_xll.BDH("GILD US Equity","CF_FREE_CASH_FLOW","FQ1 2020","FQ1 2020","Currency=USD","Period=FQ","BEST_FPERIOD_OVERRIDE=FQ","FILING_STATUS=MR","SCALING_FORMAT=MLN","Sort=A","Dates=H","DateFormat=P","Fill=—","Direction=H","UseDPDF=Y")</f>
        <v>1265</v>
      </c>
      <c r="I62" s="13">
        <f>_xll.BDH("GILD US Equity","CF_FREE_CASH_FLOW","FQ2 2020","FQ2 2020","Currency=USD","Period=FQ","BEST_FPERIOD_OVERRIDE=FQ","FILING_STATUS=MR","SCALING_FORMAT=MLN","Sort=A","Dates=H","DateFormat=P","Fill=—","Direction=H","UseDPDF=Y")</f>
        <v>2423</v>
      </c>
      <c r="J62" s="13">
        <f>_xll.BDH("GILD US Equity","CF_FREE_CASH_FLOW","FQ3 2020","FQ3 2020","Currency=USD","Period=FQ","BEST_FPERIOD_OVERRIDE=FQ","FILING_STATUS=MR","SCALING_FORMAT=MLN","Sort=A","Dates=H","DateFormat=P","Fill=—","Direction=H","UseDPDF=Y")</f>
        <v>2095</v>
      </c>
      <c r="K62" s="13">
        <f>_xll.BDH("GILD US Equity","CF_FREE_CASH_FLOW","FQ4 2020","FQ4 2020","Currency=USD","Period=FQ","BEST_FPERIOD_OVERRIDE=FQ","FILING_STATUS=MR","SCALING_FORMAT=MLN","Sort=A","Dates=H","DateFormat=P","Fill=—","Direction=H","UseDPDF=Y")</f>
        <v>1735</v>
      </c>
      <c r="L62" s="13">
        <f>_xll.BDH("GILD US Equity","CF_FREE_CASH_FLOW","FQ1 2021","FQ1 2021","Currency=USD","Period=FQ","BEST_FPERIOD_OVERRIDE=FQ","FILING_STATUS=MR","SCALING_FORMAT=MLN","Sort=A","Dates=H","DateFormat=P","Fill=—","Direction=H","UseDPDF=Y")</f>
        <v>2445</v>
      </c>
      <c r="M62" s="13">
        <f>_xll.BDH("GILD US Equity","CF_FREE_CASH_FLOW","FQ2 2021","FQ2 2021","Currency=USD","Period=FQ","BEST_FPERIOD_OVERRIDE=FQ","FILING_STATUS=MR","SCALING_FORMAT=MLN","Sort=A","Dates=H","DateFormat=P","Fill=—","Direction=H","UseDPDF=Y")</f>
        <v>2197</v>
      </c>
      <c r="N62" s="13">
        <f>_xll.BDH("GILD US Equity","CF_FREE_CASH_FLOW","FQ3 2021","FQ3 2021","Currency=USD","Period=FQ","BEST_FPERIOD_OVERRIDE=FQ","FILING_STATUS=MR","SCALING_FORMAT=MLN","Sort=A","Dates=H","DateFormat=P","Fill=—","Direction=H","UseDPDF=Y")</f>
        <v>3114</v>
      </c>
      <c r="O62" s="13">
        <f>_xll.BDH("GILD US Equity","CF_FREE_CASH_FLOW","FQ4 2021","FQ4 2021","Currency=USD","Period=FQ","BEST_FPERIOD_OVERRIDE=FQ","FILING_STATUS=MR","SCALING_FORMAT=MLN","Sort=A","Dates=H","DateFormat=P","Fill=—","Direction=H","UseDPDF=Y")</f>
        <v>3049</v>
      </c>
      <c r="P62" s="13">
        <f>_xll.BDH("GILD US Equity","CF_FREE_CASH_FLOW","FQ1 2022","FQ1 2022","Currency=USD","Period=FQ","BEST_FPERIOD_OVERRIDE=FQ","FILING_STATUS=MR","SCALING_FORMAT=MLN","Sort=A","Dates=H","DateFormat=P","Fill=—","Direction=H","UseDPDF=Y")</f>
        <v>1593</v>
      </c>
      <c r="Q62" s="13">
        <f>_xll.BDH("GILD US Equity","CF_FREE_CASH_FLOW","FQ2 2022","FQ2 2022","Currency=USD","Period=FQ","BEST_FPERIOD_OVERRIDE=FQ","FILING_STATUS=MR","SCALING_FORMAT=MLN","Sort=A","Dates=H","DateFormat=P","Fill=—","Direction=H","UseDPDF=Y")</f>
        <v>1659</v>
      </c>
      <c r="R62" s="13">
        <f>_xll.BDH("GILD US Equity","CF_FREE_CASH_FLOW","FQ3 2022","FQ3 2022","Currency=USD","Period=FQ","BEST_FPERIOD_OVERRIDE=FQ","FILING_STATUS=MR","SCALING_FORMAT=MLN","Sort=A","Dates=H","DateFormat=P","Fill=—","Direction=H","UseDPDF=Y")</f>
        <v>2706</v>
      </c>
      <c r="S62" s="13">
        <f>_xll.BDH("GILD US Equity","CF_FREE_CASH_FLOW","FQ4 2022","FQ4 2022","Currency=USD","Period=FQ","BEST_FPERIOD_OVERRIDE=FQ","FILING_STATUS=MR","SCALING_FORMAT=MLN","Sort=A","Dates=H","DateFormat=P","Fill=—","Direction=H","UseDPDF=Y")</f>
        <v>2386</v>
      </c>
      <c r="T62" s="13">
        <f>_xll.BDH("GILD US Equity","CF_FREE_CASH_FLOW","FQ1 2023","FQ1 2023","Currency=USD","Period=FQ","BEST_FPERIOD_OVERRIDE=FQ","FILING_STATUS=MR","SCALING_FORMAT=MLN","Sort=A","Dates=H","DateFormat=P","Fill=—","Direction=H","UseDPDF=Y")</f>
        <v>1635</v>
      </c>
      <c r="U62" s="13">
        <f>_xll.BDH("GILD US Equity","CF_FREE_CASH_FLOW","FQ2 2023","FQ2 2023","Currency=USD","Period=FQ","BEST_FPERIOD_OVERRIDE=FQ","FILING_STATUS=MR","SCALING_FORMAT=MLN","Sort=A","Dates=H","DateFormat=P","Fill=—","Direction=H","UseDPDF=Y")</f>
        <v>2199</v>
      </c>
      <c r="V62" s="13">
        <f>_xll.BDH("GILD US Equity","CF_FREE_CASH_FLOW","FQ3 2023","FQ3 2023","Currency=USD","Period=FQ","BEST_FPERIOD_OVERRIDE=FQ","FILING_STATUS=MR","SCALING_FORMAT=MLN","Sort=A","Dates=H","DateFormat=P","Fill=—","Direction=H","UseDPDF=Y")</f>
        <v>1633</v>
      </c>
      <c r="W62" s="13">
        <f>_xll.BDH("GILD US Equity","CF_FREE_CASH_FLOW","FQ4 2023","FQ4 2023","Currency=USD","Period=FQ","BEST_FPERIOD_OVERRIDE=FQ","FILING_STATUS=MR","SCALING_FORMAT=MLN","Sort=A","Dates=H","DateFormat=P","Fill=—","Direction=H","UseDPDF=Y")</f>
        <v>1954</v>
      </c>
      <c r="X62" s="13">
        <f>_xll.BDH("GILD US Equity","CF_FREE_CASH_FLOW","FQ1 2024","FQ1 2024","Currency=USD","Period=FQ","BEST_FPERIOD_OVERRIDE=FQ","FILING_STATUS=MR","SCALING_FORMAT=MLN","Sort=A","Dates=H","DateFormat=P","Fill=—","Direction=H","UseDPDF=Y")</f>
        <v>2114</v>
      </c>
      <c r="Y62" s="13">
        <f>_xll.BDH("GILD US Equity","CF_FREE_CASH_FLOW","FQ2 2024","FQ2 2024","Currency=USD","Period=FQ","BEST_FPERIOD_OVERRIDE=FQ","FILING_STATUS=MR","SCALING_FORMAT=MLN","Sort=A","Dates=H","DateFormat=P","Fill=—","Direction=H","UseDPDF=Y")</f>
        <v>1195</v>
      </c>
      <c r="Z62" s="13">
        <f>_xll.BDH("GILD US Equity","CF_FREE_CASH_FLOW","FQ3 2024","FQ3 2024","Currency=USD","Period=FQ","BEST_FPERIOD_OVERRIDE=FQ","FILING_STATUS=MR","SCALING_FORMAT=MLN","Sort=A","Dates=H","DateFormat=P","Fill=—","Direction=H","UseDPDF=Y")</f>
        <v>4168</v>
      </c>
      <c r="AA62" s="13">
        <f>_xll.BDH("GILD US Equity","CF_FREE_CASH_FLOW","FQ4 2024","FQ4 2024","Currency=USD","Period=FQ","BEST_FPERIOD_OVERRIDE=FQ","FILING_STATUS=MR","SCALING_FORMAT=MLN","Sort=A","Dates=H","DateFormat=P","Fill=—","Direction=H","UseDPDF=Y")</f>
        <v>2828</v>
      </c>
    </row>
    <row r="63" spans="1:27" x14ac:dyDescent="0.25">
      <c r="A63" s="10" t="s">
        <v>1397</v>
      </c>
      <c r="B63" s="10" t="s">
        <v>1398</v>
      </c>
      <c r="C63" s="13">
        <f>_xll.BDH("GILD US Equity","CF_FREE_CASH_FLOW_FIRM","FQ4 2018","FQ4 2018","Currency=USD","Period=FQ","BEST_FPERIOD_OVERRIDE=FQ","FILING_STATUS=MR","SCALING_FORMAT=MLN","FA_ADJUSTED=GAAP","Sort=A","Dates=H","DateFormat=P","Fill=—","Direction=H","UseDPDF=Y")</f>
        <v>2097.7588999999998</v>
      </c>
      <c r="D63" s="13">
        <f>_xll.BDH("GILD US Equity","CF_FREE_CASH_FLOW_FIRM","FQ1 2019","FQ1 2019","Currency=USD","Period=FQ","BEST_FPERIOD_OVERRIDE=FQ","FILING_STATUS=MR","SCALING_FORMAT=MLN","FA_ADJUSTED=GAAP","Sort=A","Dates=H","DateFormat=P","Fill=—","Direction=H","UseDPDF=Y")</f>
        <v>1419.7114999999999</v>
      </c>
      <c r="E63" s="13">
        <f>_xll.BDH("GILD US Equity","CF_FREE_CASH_FLOW_FIRM","FQ2 2019","FQ2 2019","Currency=USD","Period=FQ","BEST_FPERIOD_OVERRIDE=FQ","FILING_STATUS=MR","SCALING_FORMAT=MLN","FA_ADJUSTED=GAAP","Sort=A","Dates=H","DateFormat=P","Fill=—","Direction=H","UseDPDF=Y")</f>
        <v>2349.9461000000001</v>
      </c>
      <c r="F63" s="13">
        <f>_xll.BDH("GILD US Equity","CF_FREE_CASH_FLOW_FIRM","FQ3 2019","FQ3 2019","Currency=USD","Period=FQ","BEST_FPERIOD_OVERRIDE=FQ","FILING_STATUS=MR","SCALING_FORMAT=MLN","FA_ADJUSTED=GAAP","Sort=A","Dates=H","DateFormat=P","Fill=—","Direction=H","UseDPDF=Y")</f>
        <v>2855.6082000000001</v>
      </c>
      <c r="G63" s="13" t="str">
        <f>_xll.BDH("GILD US Equity","CF_FREE_CASH_FLOW_FIRM","FQ4 2019","FQ4 2019","Currency=USD","Period=FQ","BEST_FPERIOD_OVERRIDE=FQ","FILING_STATUS=MR","SCALING_FORMAT=MLN","FA_ADJUSTED=GAAP","Sort=A","Dates=H","DateFormat=P","Fill=—","Direction=H","UseDPDF=Y")</f>
        <v>—</v>
      </c>
      <c r="H63" s="13">
        <f>_xll.BDH("GILD US Equity","CF_FREE_CASH_FLOW_FIRM","FQ1 2020","FQ1 2020","Currency=USD","Period=FQ","BEST_FPERIOD_OVERRIDE=FQ","FILING_STATUS=MR","SCALING_FORMAT=MLN","FA_ADJUSTED=GAAP","Sort=A","Dates=H","DateFormat=P","Fill=—","Direction=H","UseDPDF=Y")</f>
        <v>1450.0514000000001</v>
      </c>
      <c r="I63" s="13" t="str">
        <f>_xll.BDH("GILD US Equity","CF_FREE_CASH_FLOW_FIRM","FQ2 2020","FQ2 2020","Currency=USD","Period=FQ","BEST_FPERIOD_OVERRIDE=FQ","FILING_STATUS=MR","SCALING_FORMAT=MLN","FA_ADJUSTED=GAAP","Sort=A","Dates=H","DateFormat=P","Fill=—","Direction=H","UseDPDF=Y")</f>
        <v>—</v>
      </c>
      <c r="J63" s="13">
        <f>_xll.BDH("GILD US Equity","CF_FREE_CASH_FLOW_FIRM","FQ3 2020","FQ3 2020","Currency=USD","Period=FQ","BEST_FPERIOD_OVERRIDE=FQ","FILING_STATUS=MR","SCALING_FORMAT=MLN","FA_ADJUSTED=GAAP","Sort=A","Dates=H","DateFormat=P","Fill=—","Direction=H","UseDPDF=Y")</f>
        <v>2195.9794000000002</v>
      </c>
      <c r="K63" s="13">
        <f>_xll.BDH("GILD US Equity","CF_FREE_CASH_FLOW_FIRM","FQ4 2020","FQ4 2020","Currency=USD","Period=FQ","BEST_FPERIOD_OVERRIDE=FQ","FILING_STATUS=MR","SCALING_FORMAT=MLN","FA_ADJUSTED=GAAP","Sort=A","Dates=H","DateFormat=P","Fill=—","Direction=H","UseDPDF=Y")</f>
        <v>1962.2591</v>
      </c>
      <c r="L63" s="13">
        <f>_xll.BDH("GILD US Equity","CF_FREE_CASH_FLOW_FIRM","FQ1 2021","FQ1 2021","Currency=USD","Period=FQ","BEST_FPERIOD_OVERRIDE=FQ","FILING_STATUS=MR","SCALING_FORMAT=MLN","FA_ADJUSTED=GAAP","Sort=A","Dates=H","DateFormat=P","Fill=—","Direction=H","UseDPDF=Y")</f>
        <v>2640.4744000000001</v>
      </c>
      <c r="M63" s="13">
        <f>_xll.BDH("GILD US Equity","CF_FREE_CASH_FLOW_FIRM","FQ2 2021","FQ2 2021","Currency=USD","Period=FQ","BEST_FPERIOD_OVERRIDE=FQ","FILING_STATUS=MR","SCALING_FORMAT=MLN","FA_ADJUSTED=GAAP","Sort=A","Dates=H","DateFormat=P","Fill=—","Direction=H","UseDPDF=Y")</f>
        <v>2410.7325000000001</v>
      </c>
      <c r="N63" s="13">
        <f>_xll.BDH("GILD US Equity","CF_FREE_CASH_FLOW_FIRM","FQ3 2021","FQ3 2021","Currency=USD","Period=FQ","BEST_FPERIOD_OVERRIDE=FQ","FILING_STATUS=MR","SCALING_FORMAT=MLN","FA_ADJUSTED=GAAP","Sort=A","Dates=H","DateFormat=P","Fill=—","Direction=H","UseDPDF=Y")</f>
        <v>3302.0454</v>
      </c>
      <c r="O63" s="13">
        <f>_xll.BDH("GILD US Equity","CF_FREE_CASH_FLOW_FIRM","FQ4 2021","FQ4 2021","Currency=USD","Period=FQ","BEST_FPERIOD_OVERRIDE=FQ","FILING_STATUS=MR","SCALING_FORMAT=MLN","FA_ADJUSTED=GAAP","Sort=A","Dates=H","DateFormat=P","Fill=—","Direction=H","UseDPDF=Y")</f>
        <v>3166.9025000000001</v>
      </c>
      <c r="P63" s="13">
        <f>_xll.BDH("GILD US Equity","CF_FREE_CASH_FLOW_FIRM","FQ1 2022","FQ1 2022","Currency=USD","Period=FQ","BEST_FPERIOD_OVERRIDE=FQ","FILING_STATUS=MR","SCALING_FORMAT=MLN","FA_ADJUSTED=GAAP","Sort=A","Dates=H","DateFormat=P","Fill=—","Direction=H","UseDPDF=Y")</f>
        <v>1775.3367000000001</v>
      </c>
      <c r="Q63" s="13">
        <f>_xll.BDH("GILD US Equity","CF_FREE_CASH_FLOW_FIRM","FQ2 2022","FQ2 2022","Currency=USD","Period=FQ","BEST_FPERIOD_OVERRIDE=FQ","FILING_STATUS=MR","SCALING_FORMAT=MLN","FA_ADJUSTED=GAAP","Sort=A","Dates=H","DateFormat=P","Fill=—","Direction=H","UseDPDF=Y")</f>
        <v>1841.7478000000001</v>
      </c>
      <c r="R63" s="13">
        <f>_xll.BDH("GILD US Equity","CF_FREE_CASH_FLOW_FIRM","FQ3 2022","FQ3 2022","Currency=USD","Period=FQ","BEST_FPERIOD_OVERRIDE=FQ","FILING_STATUS=MR","SCALING_FORMAT=MLN","FA_ADJUSTED=GAAP","Sort=A","Dates=H","DateFormat=P","Fill=—","Direction=H","UseDPDF=Y")</f>
        <v>2874.1718999999998</v>
      </c>
      <c r="S63" s="13">
        <f>_xll.BDH("GILD US Equity","CF_FREE_CASH_FLOW_FIRM","FQ4 2022","FQ4 2022","Currency=USD","Period=FQ","BEST_FPERIOD_OVERRIDE=FQ","FILING_STATUS=MR","SCALING_FORMAT=MLN","FA_ADJUSTED=GAAP","Sort=A","Dates=H","DateFormat=P","Fill=—","Direction=H","UseDPDF=Y")</f>
        <v>2568.5165000000002</v>
      </c>
      <c r="T63" s="13">
        <f>_xll.BDH("GILD US Equity","CF_FREE_CASH_FLOW_FIRM","FQ1 2023","FQ1 2023","Currency=USD","Period=FQ","BEST_FPERIOD_OVERRIDE=FQ","FILING_STATUS=MR","SCALING_FORMAT=MLN","FA_ADJUSTED=GAAP","Sort=A","Dates=H","DateFormat=P","Fill=—","Direction=H","UseDPDF=Y")</f>
        <v>1809.0923</v>
      </c>
      <c r="U63" s="13">
        <f>_xll.BDH("GILD US Equity","CF_FREE_CASH_FLOW_FIRM","FQ2 2023","FQ2 2023","Currency=USD","Period=FQ","BEST_FPERIOD_OVERRIDE=FQ","FILING_STATUS=MR","SCALING_FORMAT=MLN","FA_ADJUSTED=GAAP","Sort=A","Dates=H","DateFormat=P","Fill=—","Direction=H","UseDPDF=Y")</f>
        <v>2349.4848999999999</v>
      </c>
      <c r="V63" s="13">
        <f>_xll.BDH("GILD US Equity","CF_FREE_CASH_FLOW_FIRM","FQ3 2023","FQ3 2023","Currency=USD","Period=FQ","BEST_FPERIOD_OVERRIDE=FQ","FILING_STATUS=MR","SCALING_FORMAT=MLN","FA_ADJUSTED=GAAP","Sort=A","Dates=H","DateFormat=P","Fill=—","Direction=H","UseDPDF=Y")</f>
        <v>1850.3937000000001</v>
      </c>
      <c r="W63" s="13">
        <f>_xll.BDH("GILD US Equity","CF_FREE_CASH_FLOW_FIRM","FQ4 2023","FQ4 2023","Currency=USD","Period=FQ","BEST_FPERIOD_OVERRIDE=FQ","FILING_STATUS=MR","SCALING_FORMAT=MLN","FA_ADJUSTED=GAAP","Sort=A","Dates=H","DateFormat=P","Fill=—","Direction=H","UseDPDF=Y")</f>
        <v>2170.0218</v>
      </c>
      <c r="X63" s="13">
        <f>_xll.BDH("GILD US Equity","CF_FREE_CASH_FLOW_FIRM","FQ1 2024","FQ1 2024","Currency=USD","Period=FQ","BEST_FPERIOD_OVERRIDE=FQ","FILING_STATUS=MR","SCALING_FORMAT=MLN","FA_ADJUSTED=GAAP","Sort=A","Dates=H","DateFormat=P","Fill=—","Direction=H","UseDPDF=Y")</f>
        <v>2222.5531000000001</v>
      </c>
      <c r="Y63" s="13">
        <f>_xll.BDH("GILD US Equity","CF_FREE_CASH_FLOW_FIRM","FQ2 2024","FQ2 2024","Currency=USD","Period=FQ","BEST_FPERIOD_OVERRIDE=FQ","FILING_STATUS=MR","SCALING_FORMAT=MLN","FA_ADJUSTED=GAAP","Sort=A","Dates=H","DateFormat=P","Fill=—","Direction=H","UseDPDF=Y")</f>
        <v>1380.5353</v>
      </c>
      <c r="Z63" s="13">
        <f>_xll.BDH("GILD US Equity","CF_FREE_CASH_FLOW_FIRM","FQ3 2024","FQ3 2024","Currency=USD","Period=FQ","BEST_FPERIOD_OVERRIDE=FQ","FILING_STATUS=MR","SCALING_FORMAT=MLN","FA_ADJUSTED=GAAP","Sort=A","Dates=H","DateFormat=P","Fill=—","Direction=H","UseDPDF=Y")</f>
        <v>4322.1590999999999</v>
      </c>
      <c r="AA63" s="13">
        <f>_xll.BDH("GILD US Equity","CF_FREE_CASH_FLOW_FIRM","FQ4 2024","FQ4 2024","Currency=USD","Period=FQ","BEST_FPERIOD_OVERRIDE=FQ","FILING_STATUS=MR","SCALING_FORMAT=MLN","FA_ADJUSTED=GAAP","Sort=A","Dates=H","DateFormat=P","Fill=—","Direction=H","UseDPDF=Y")</f>
        <v>3031.9594000000002</v>
      </c>
    </row>
    <row r="64" spans="1:27" x14ac:dyDescent="0.25">
      <c r="A64" s="10" t="s">
        <v>1399</v>
      </c>
      <c r="B64" s="10" t="s">
        <v>1400</v>
      </c>
      <c r="C64" s="13">
        <f>_xll.BDH("GILD US Equity","FREE_CASH_FLOW_EQUITY","FQ4 2018","FQ4 2018","Currency=USD","Period=FQ","BEST_FPERIOD_OVERRIDE=FQ","FILING_STATUS=MR","SCALING_FORMAT=MLN","Sort=A","Dates=H","DateFormat=P","Fill=—","Direction=H","UseDPDF=Y")</f>
        <v>2097</v>
      </c>
      <c r="D64" s="13">
        <f>_xll.BDH("GILD US Equity","FREE_CASH_FLOW_EQUITY","FQ1 2019","FQ1 2019","Currency=USD","Period=FQ","BEST_FPERIOD_OVERRIDE=FQ","FILING_STATUS=MR","SCALING_FORMAT=MLN","Sort=A","Dates=H","DateFormat=P","Fill=—","Direction=H","UseDPDF=Y")</f>
        <v>457</v>
      </c>
      <c r="E64" s="13">
        <f>_xll.BDH("GILD US Equity","FREE_CASH_FLOW_EQUITY","FQ2 2019","FQ2 2019","Currency=USD","Period=FQ","BEST_FPERIOD_OVERRIDE=FQ","FILING_STATUS=MR","SCALING_FORMAT=MLN","Sort=A","Dates=H","DateFormat=P","Fill=—","Direction=H","UseDPDF=Y")</f>
        <v>1657</v>
      </c>
      <c r="F64" s="13">
        <f>_xll.BDH("GILD US Equity","FREE_CASH_FLOW_EQUITY","FQ3 2019","FQ3 2019","Currency=USD","Period=FQ","BEST_FPERIOD_OVERRIDE=FQ","FILING_STATUS=MR","SCALING_FORMAT=MLN","Sort=A","Dates=H","DateFormat=P","Fill=—","Direction=H","UseDPDF=Y")</f>
        <v>1199</v>
      </c>
      <c r="G64" s="13">
        <f>_xll.BDH("GILD US Equity","FREE_CASH_FLOW_EQUITY","FQ4 2019","FQ4 2019","Currency=USD","Period=FQ","BEST_FPERIOD_OVERRIDE=FQ","FILING_STATUS=MR","SCALING_FORMAT=MLN","Sort=A","Dates=H","DateFormat=P","Fill=—","Direction=H","UseDPDF=Y")</f>
        <v>2377</v>
      </c>
      <c r="H64" s="13">
        <f>_xll.BDH("GILD US Equity","FREE_CASH_FLOW_EQUITY","FQ1 2020","FQ1 2020","Currency=USD","Period=FQ","BEST_FPERIOD_OVERRIDE=FQ","FILING_STATUS=MR","SCALING_FORMAT=MLN","Sort=A","Dates=H","DateFormat=P","Fill=—","Direction=H","UseDPDF=Y")</f>
        <v>765</v>
      </c>
      <c r="I64" s="13">
        <f>_xll.BDH("GILD US Equity","FREE_CASH_FLOW_EQUITY","FQ2 2020","FQ2 2020","Currency=USD","Period=FQ","BEST_FPERIOD_OVERRIDE=FQ","FILING_STATUS=MR","SCALING_FORMAT=MLN","Sort=A","Dates=H","DateFormat=P","Fill=—","Direction=H","UseDPDF=Y")</f>
        <v>2423</v>
      </c>
      <c r="J64" s="13">
        <f>_xll.BDH("GILD US Equity","FREE_CASH_FLOW_EQUITY","FQ3 2020","FQ3 2020","Currency=USD","Period=FQ","BEST_FPERIOD_OVERRIDE=FQ","FILING_STATUS=MR","SCALING_FORMAT=MLN","Sort=A","Dates=H","DateFormat=P","Fill=—","Direction=H","UseDPDF=Y")</f>
        <v>7284</v>
      </c>
      <c r="K64" s="13">
        <f>_xll.BDH("GILD US Equity","FREE_CASH_FLOW_EQUITY","FQ4 2020","FQ4 2020","Currency=USD","Period=FQ","BEST_FPERIOD_OVERRIDE=FQ","FILING_STATUS=MR","SCALING_FORMAT=MLN","Sort=A","Dates=H","DateFormat=P","Fill=—","Direction=H","UseDPDF=Y")</f>
        <v>2730</v>
      </c>
      <c r="L64" s="13">
        <f>_xll.BDH("GILD US Equity","FREE_CASH_FLOW_EQUITY","FQ1 2021","FQ1 2021","Currency=USD","Period=FQ","BEST_FPERIOD_OVERRIDE=FQ","FILING_STATUS=MR","SCALING_FORMAT=MLN","Sort=A","Dates=H","DateFormat=P","Fill=—","Direction=H","UseDPDF=Y")</f>
        <v>1195</v>
      </c>
      <c r="M64" s="13">
        <f>_xll.BDH("GILD US Equity","FREE_CASH_FLOW_EQUITY","FQ2 2021","FQ2 2021","Currency=USD","Period=FQ","BEST_FPERIOD_OVERRIDE=FQ","FILING_STATUS=MR","SCALING_FORMAT=MLN","Sort=A","Dates=H","DateFormat=P","Fill=—","Direction=H","UseDPDF=Y")</f>
        <v>2197</v>
      </c>
      <c r="N64" s="13">
        <f>_xll.BDH("GILD US Equity","FREE_CASH_FLOW_EQUITY","FQ3 2021","FQ3 2021","Currency=USD","Period=FQ","BEST_FPERIOD_OVERRIDE=FQ","FILING_STATUS=MR","SCALING_FORMAT=MLN","Sort=A","Dates=H","DateFormat=P","Fill=—","Direction=H","UseDPDF=Y")</f>
        <v>614</v>
      </c>
      <c r="O64" s="13">
        <f>_xll.BDH("GILD US Equity","FREE_CASH_FLOW_EQUITY","FQ4 2021","FQ4 2021","Currency=USD","Period=FQ","BEST_FPERIOD_OVERRIDE=FQ","FILING_STATUS=MR","SCALING_FORMAT=MLN","Sort=A","Dates=H","DateFormat=P","Fill=—","Direction=H","UseDPDF=Y")</f>
        <v>2049</v>
      </c>
      <c r="P64" s="13">
        <f>_xll.BDH("GILD US Equity","FREE_CASH_FLOW_EQUITY","FQ1 2022","FQ1 2022","Currency=USD","Period=FQ","BEST_FPERIOD_OVERRIDE=FQ","FILING_STATUS=MR","SCALING_FORMAT=MLN","Sort=A","Dates=H","DateFormat=P","Fill=—","Direction=H","UseDPDF=Y")</f>
        <v>1093</v>
      </c>
      <c r="Q64" s="13">
        <f>_xll.BDH("GILD US Equity","FREE_CASH_FLOW_EQUITY","FQ2 2022","FQ2 2022","Currency=USD","Period=FQ","BEST_FPERIOD_OVERRIDE=FQ","FILING_STATUS=MR","SCALING_FORMAT=MLN","Sort=A","Dates=H","DateFormat=P","Fill=—","Direction=H","UseDPDF=Y")</f>
        <v>1659</v>
      </c>
      <c r="R64" s="13">
        <f>_xll.BDH("GILD US Equity","FREE_CASH_FLOW_EQUITY","FQ3 2022","FQ3 2022","Currency=USD","Period=FQ","BEST_FPERIOD_OVERRIDE=FQ","FILING_STATUS=MR","SCALING_FORMAT=MLN","Sort=A","Dates=H","DateFormat=P","Fill=—","Direction=H","UseDPDF=Y")</f>
        <v>1706</v>
      </c>
      <c r="S64" s="13">
        <f>_xll.BDH("GILD US Equity","FREE_CASH_FLOW_EQUITY","FQ4 2022","FQ4 2022","Currency=USD","Period=FQ","BEST_FPERIOD_OVERRIDE=FQ","FILING_STATUS=MR","SCALING_FORMAT=MLN","Sort=A","Dates=H","DateFormat=P","Fill=—","Direction=H","UseDPDF=Y")</f>
        <v>2386</v>
      </c>
      <c r="T64" s="13">
        <f>_xll.BDH("GILD US Equity","FREE_CASH_FLOW_EQUITY","FQ1 2023","FQ1 2023","Currency=USD","Period=FQ","BEST_FPERIOD_OVERRIDE=FQ","FILING_STATUS=MR","SCALING_FORMAT=MLN","Sort=A","Dates=H","DateFormat=P","Fill=—","Direction=H","UseDPDF=Y")</f>
        <v>1635</v>
      </c>
      <c r="U64" s="13">
        <f>_xll.BDH("GILD US Equity","FREE_CASH_FLOW_EQUITY","FQ2 2023","FQ2 2023","Currency=USD","Period=FQ","BEST_FPERIOD_OVERRIDE=FQ","FILING_STATUS=MR","SCALING_FORMAT=MLN","Sort=A","Dates=H","DateFormat=P","Fill=—","Direction=H","UseDPDF=Y")</f>
        <v>2199</v>
      </c>
      <c r="V64" s="13">
        <f>_xll.BDH("GILD US Equity","FREE_CASH_FLOW_EQUITY","FQ3 2023","FQ3 2023","Currency=USD","Period=FQ","BEST_FPERIOD_OVERRIDE=FQ","FILING_STATUS=MR","SCALING_FORMAT=MLN","Sort=A","Dates=H","DateFormat=P","Fill=—","Direction=H","UseDPDF=Y")</f>
        <v>1362</v>
      </c>
      <c r="W64" s="13">
        <f>_xll.BDH("GILD US Equity","FREE_CASH_FLOW_EQUITY","FQ4 2023","FQ4 2023","Currency=USD","Period=FQ","BEST_FPERIOD_OVERRIDE=FQ","FILING_STATUS=MR","SCALING_FORMAT=MLN","Sort=A","Dates=H","DateFormat=P","Fill=—","Direction=H","UseDPDF=Y")</f>
        <v>1955</v>
      </c>
      <c r="X64" s="13">
        <f>_xll.BDH("GILD US Equity","FREE_CASH_FLOW_EQUITY","FQ1 2024","FQ1 2024","Currency=USD","Period=FQ","BEST_FPERIOD_OVERRIDE=FQ","FILING_STATUS=MR","SCALING_FORMAT=MLN","Sort=A","Dates=H","DateFormat=P","Fill=—","Direction=H","UseDPDF=Y")</f>
        <v>2114</v>
      </c>
      <c r="Y64" s="13">
        <f>_xll.BDH("GILD US Equity","FREE_CASH_FLOW_EQUITY","FQ2 2024","FQ2 2024","Currency=USD","Period=FQ","BEST_FPERIOD_OVERRIDE=FQ","FILING_STATUS=MR","SCALING_FORMAT=MLN","Sort=A","Dates=H","DateFormat=P","Fill=—","Direction=H","UseDPDF=Y")</f>
        <v>-656</v>
      </c>
      <c r="Z64" s="13">
        <f>_xll.BDH("GILD US Equity","FREE_CASH_FLOW_EQUITY","FQ3 2024","FQ3 2024","Currency=USD","Period=FQ","BEST_FPERIOD_OVERRIDE=FQ","FILING_STATUS=MR","SCALING_FORMAT=MLN","Sort=A","Dates=H","DateFormat=P","Fill=—","Direction=H","UseDPDF=Y")</f>
        <v>4056</v>
      </c>
      <c r="AA64" s="13">
        <f>_xll.BDH("GILD US Equity","FREE_CASH_FLOW_EQUITY","FQ4 2024","FQ4 2024","Currency=USD","Period=FQ","BEST_FPERIOD_OVERRIDE=FQ","FILING_STATUS=MR","SCALING_FORMAT=MLN","Sort=A","Dates=H","DateFormat=P","Fill=—","Direction=H","UseDPDF=Y")</f>
        <v>6285</v>
      </c>
    </row>
    <row r="65" spans="1:27" x14ac:dyDescent="0.25">
      <c r="A65" s="10" t="s">
        <v>1401</v>
      </c>
      <c r="B65" s="10" t="s">
        <v>277</v>
      </c>
      <c r="C65" s="14">
        <f>_xll.BDH("GILD US Equity","FREE_CASH_FLOW_PER_SH","FQ4 2018","FQ4 2018","Currency=USD","Period=FQ","BEST_FPERIOD_OVERRIDE=FQ","FILING_STATUS=MR","Sort=A","Dates=H","DateFormat=P","Fill=—","Direction=H","UseDPDF=Y")</f>
        <v>1.6255999999999999</v>
      </c>
      <c r="D65" s="14">
        <f>_xll.BDH("GILD US Equity","FREE_CASH_FLOW_PER_SH","FQ1 2019","FQ1 2019","Currency=USD","Period=FQ","BEST_FPERIOD_OVERRIDE=FQ","FILING_STATUS=MR","Sort=A","Dates=H","DateFormat=P","Fill=—","Direction=H","UseDPDF=Y")</f>
        <v>0.94589999999999996</v>
      </c>
      <c r="E65" s="14">
        <f>_xll.BDH("GILD US Equity","FREE_CASH_FLOW_PER_SH","FQ2 2019","FQ2 2019","Currency=USD","Period=FQ","BEST_FPERIOD_OVERRIDE=FQ","FILING_STATUS=MR","Sort=A","Dates=H","DateFormat=P","Fill=—","Direction=H","UseDPDF=Y")</f>
        <v>1.6983999999999999</v>
      </c>
      <c r="F65" s="14">
        <f>_xll.BDH("GILD US Equity","FREE_CASH_FLOW_PER_SH","FQ3 2019","FQ3 2019","Currency=USD","Period=FQ","BEST_FPERIOD_OVERRIDE=FQ","FILING_STATUS=MR","Sort=A","Dates=H","DateFormat=P","Fill=—","Direction=H","UseDPDF=Y")</f>
        <v>2.1301999999999999</v>
      </c>
      <c r="G65" s="14">
        <f>_xll.BDH("GILD US Equity","FREE_CASH_FLOW_PER_SH","FQ4 2019","FQ4 2019","Currency=USD","Period=FQ","BEST_FPERIOD_OVERRIDE=FQ","FILING_STATUS=MR","Sort=A","Dates=H","DateFormat=P","Fill=—","Direction=H","UseDPDF=Y")</f>
        <v>1.8775999999999999</v>
      </c>
      <c r="H65" s="14">
        <f>_xll.BDH("GILD US Equity","FREE_CASH_FLOW_PER_SH","FQ1 2020","FQ1 2020","Currency=USD","Period=FQ","BEST_FPERIOD_OVERRIDE=FQ","FILING_STATUS=MR","Sort=A","Dates=H","DateFormat=P","Fill=—","Direction=H","UseDPDF=Y")</f>
        <v>1.0024</v>
      </c>
      <c r="I65" s="14">
        <f>_xll.BDH("GILD US Equity","FREE_CASH_FLOW_PER_SH","FQ2 2020","FQ2 2020","Currency=USD","Period=FQ","BEST_FPERIOD_OVERRIDE=FQ","FILING_STATUS=MR","Sort=A","Dates=H","DateFormat=P","Fill=—","Direction=H","UseDPDF=Y")</f>
        <v>1.9307000000000001</v>
      </c>
      <c r="J65" s="14">
        <f>_xll.BDH("GILD US Equity","FREE_CASH_FLOW_PER_SH","FQ3 2020","FQ3 2020","Currency=USD","Period=FQ","BEST_FPERIOD_OVERRIDE=FQ","FILING_STATUS=MR","Sort=A","Dates=H","DateFormat=P","Fill=—","Direction=H","UseDPDF=Y")</f>
        <v>1.6693</v>
      </c>
      <c r="K65" s="14">
        <f>_xll.BDH("GILD US Equity","FREE_CASH_FLOW_PER_SH","FQ4 2020","FQ4 2020","Currency=USD","Period=FQ","BEST_FPERIOD_OVERRIDE=FQ","FILING_STATUS=MR","Sort=A","Dates=H","DateFormat=P","Fill=—","Direction=H","UseDPDF=Y")</f>
        <v>1.3825000000000001</v>
      </c>
      <c r="L65" s="14">
        <f>_xll.BDH("GILD US Equity","FREE_CASH_FLOW_PER_SH","FQ1 2021","FQ1 2021","Currency=USD","Period=FQ","BEST_FPERIOD_OVERRIDE=FQ","FILING_STATUS=MR","Sort=A","Dates=H","DateFormat=P","Fill=—","Direction=H","UseDPDF=Y")</f>
        <v>1.9467000000000001</v>
      </c>
      <c r="M65" s="14">
        <f>_xll.BDH("GILD US Equity","FREE_CASH_FLOW_PER_SH","FQ2 2021","FQ2 2021","Currency=USD","Period=FQ","BEST_FPERIOD_OVERRIDE=FQ","FILING_STATUS=MR","Sort=A","Dates=H","DateFormat=P","Fill=—","Direction=H","UseDPDF=Y")</f>
        <v>1.7505999999999999</v>
      </c>
      <c r="N65" s="14">
        <f>_xll.BDH("GILD US Equity","FREE_CASH_FLOW_PER_SH","FQ3 2021","FQ3 2021","Currency=USD","Period=FQ","BEST_FPERIOD_OVERRIDE=FQ","FILING_STATUS=MR","Sort=A","Dates=H","DateFormat=P","Fill=—","Direction=H","UseDPDF=Y")</f>
        <v>2.4792999999999998</v>
      </c>
      <c r="O65" s="14">
        <f>_xll.BDH("GILD US Equity","FREE_CASH_FLOW_PER_SH","FQ4 2021","FQ4 2021","Currency=USD","Period=FQ","BEST_FPERIOD_OVERRIDE=FQ","FILING_STATUS=MR","Sort=A","Dates=H","DateFormat=P","Fill=—","Direction=H","UseDPDF=Y")</f>
        <v>2.4275000000000002</v>
      </c>
      <c r="P65" s="14">
        <f>_xll.BDH("GILD US Equity","FREE_CASH_FLOW_PER_SH","FQ1 2022","FQ1 2022","Currency=USD","Period=FQ","BEST_FPERIOD_OVERRIDE=FQ","FILING_STATUS=MR","Sort=A","Dates=H","DateFormat=P","Fill=—","Direction=H","UseDPDF=Y")</f>
        <v>1.2693000000000001</v>
      </c>
      <c r="Q65" s="14">
        <f>_xll.BDH("GILD US Equity","FREE_CASH_FLOW_PER_SH","FQ2 2022","FQ2 2022","Currency=USD","Period=FQ","BEST_FPERIOD_OVERRIDE=FQ","FILING_STATUS=MR","Sort=A","Dates=H","DateFormat=P","Fill=—","Direction=H","UseDPDF=Y")</f>
        <v>1.3209</v>
      </c>
      <c r="R65" s="14">
        <f>_xll.BDH("GILD US Equity","FREE_CASH_FLOW_PER_SH","FQ3 2022","FQ3 2022","Currency=USD","Period=FQ","BEST_FPERIOD_OVERRIDE=FQ","FILING_STATUS=MR","Sort=A","Dates=H","DateFormat=P","Fill=—","Direction=H","UseDPDF=Y")</f>
        <v>2.1562000000000001</v>
      </c>
      <c r="S65" s="14">
        <f>_xll.BDH("GILD US Equity","FREE_CASH_FLOW_PER_SH","FQ4 2022","FQ4 2022","Currency=USD","Period=FQ","BEST_FPERIOD_OVERRIDE=FQ","FILING_STATUS=MR","Sort=A","Dates=H","DateFormat=P","Fill=—","Direction=H","UseDPDF=Y")</f>
        <v>1.9057999999999999</v>
      </c>
      <c r="T65" s="14">
        <f>_xll.BDH("GILD US Equity","FREE_CASH_FLOW_PER_SH","FQ1 2023","FQ1 2023","Currency=USD","Period=FQ","BEST_FPERIOD_OVERRIDE=FQ","FILING_STATUS=MR","Sort=A","Dates=H","DateFormat=P","Fill=—","Direction=H","UseDPDF=Y")</f>
        <v>1.3101</v>
      </c>
      <c r="U65" s="14">
        <f>_xll.BDH("GILD US Equity","FREE_CASH_FLOW_PER_SH","FQ2 2023","FQ2 2023","Currency=USD","Period=FQ","BEST_FPERIOD_OVERRIDE=FQ","FILING_STATUS=MR","Sort=A","Dates=H","DateFormat=P","Fill=—","Direction=H","UseDPDF=Y")</f>
        <v>1.7605999999999999</v>
      </c>
      <c r="V65" s="14">
        <f>_xll.BDH("GILD US Equity","FREE_CASH_FLOW_PER_SH","FQ3 2023","FQ3 2023","Currency=USD","Period=FQ","BEST_FPERIOD_OVERRIDE=FQ","FILING_STATUS=MR","Sort=A","Dates=H","DateFormat=P","Fill=—","Direction=H","UseDPDF=Y")</f>
        <v>1.3085</v>
      </c>
      <c r="W65" s="14">
        <f>_xll.BDH("GILD US Equity","FREE_CASH_FLOW_PER_SH","FQ4 2023","FQ4 2023","Currency=USD","Period=FQ","BEST_FPERIOD_OVERRIDE=FQ","FILING_STATUS=MR","Sort=A","Dates=H","DateFormat=P","Fill=—","Direction=H","UseDPDF=Y")</f>
        <v>1.5657000000000001</v>
      </c>
      <c r="X65" s="14">
        <f>_xll.BDH("GILD US Equity","FREE_CASH_FLOW_PER_SH","FQ1 2024","FQ1 2024","Currency=USD","Period=FQ","BEST_FPERIOD_OVERRIDE=FQ","FILING_STATUS=MR","Sort=A","Dates=H","DateFormat=P","Fill=—","Direction=H","UseDPDF=Y")</f>
        <v>1.6953</v>
      </c>
      <c r="Y65" s="14">
        <f>_xll.BDH("GILD US Equity","FREE_CASH_FLOW_PER_SH","FQ2 2024","FQ2 2024","Currency=USD","Period=FQ","BEST_FPERIOD_OVERRIDE=FQ","FILING_STATUS=MR","Sort=A","Dates=H","DateFormat=P","Fill=—","Direction=H","UseDPDF=Y")</f>
        <v>0.95830000000000004</v>
      </c>
      <c r="Z65" s="14">
        <f>_xll.BDH("GILD US Equity","FREE_CASH_FLOW_PER_SH","FQ3 2024","FQ3 2024","Currency=USD","Period=FQ","BEST_FPERIOD_OVERRIDE=FQ","FILING_STATUS=MR","Sort=A","Dates=H","DateFormat=P","Fill=—","Direction=H","UseDPDF=Y")</f>
        <v>3.3424</v>
      </c>
      <c r="AA65" s="14">
        <f>_xll.BDH("GILD US Equity","FREE_CASH_FLOW_PER_SH","FQ4 2024","FQ4 2024","Currency=USD","Period=FQ","BEST_FPERIOD_OVERRIDE=FQ","FILING_STATUS=MR","Sort=A","Dates=H","DateFormat=P","Fill=—","Direction=H","UseDPDF=Y")</f>
        <v>2.266</v>
      </c>
    </row>
    <row r="66" spans="1:27" x14ac:dyDescent="0.25">
      <c r="A66" s="10" t="s">
        <v>1402</v>
      </c>
      <c r="B66" s="10" t="s">
        <v>236</v>
      </c>
      <c r="C66" s="14">
        <f>_xll.BDH("GILD US Equity","PX_TO_FREE_CASH_FLOW","FQ4 2018","FQ4 2018","Currency=USD","Period=FQ","BEST_FPERIOD_OVERRIDE=FQ","FILING_STATUS=MR","Sort=A","Dates=H","DateFormat=P","Fill=—","Direction=H","UseDPDF=Y")</f>
        <v>10.857200000000001</v>
      </c>
      <c r="D66" s="14">
        <f>_xll.BDH("GILD US Equity","PX_TO_FREE_CASH_FLOW","FQ1 2019","FQ1 2019","Currency=USD","Period=FQ","BEST_FPERIOD_OVERRIDE=FQ","FILING_STATUS=MR","Sort=A","Dates=H","DateFormat=P","Fill=—","Direction=H","UseDPDF=Y")</f>
        <v>12.666399999999999</v>
      </c>
      <c r="E66" s="14">
        <f>_xll.BDH("GILD US Equity","PX_TO_FREE_CASH_FLOW","FQ2 2019","FQ2 2019","Currency=USD","Period=FQ","BEST_FPERIOD_OVERRIDE=FQ","FILING_STATUS=MR","Sort=A","Dates=H","DateFormat=P","Fill=—","Direction=H","UseDPDF=Y")</f>
        <v>11.552899999999999</v>
      </c>
      <c r="F66" s="14">
        <f>_xll.BDH("GILD US Equity","PX_TO_FREE_CASH_FLOW","FQ3 2019","FQ3 2019","Currency=USD","Period=FQ","BEST_FPERIOD_OVERRIDE=FQ","FILING_STATUS=MR","Sort=A","Dates=H","DateFormat=P","Fill=—","Direction=H","UseDPDF=Y")</f>
        <v>9.9029000000000007</v>
      </c>
      <c r="G66" s="14">
        <f>_xll.BDH("GILD US Equity","PX_TO_FREE_CASH_FLOW","FQ4 2019","FQ4 2019","Currency=USD","Period=FQ","BEST_FPERIOD_OVERRIDE=FQ","FILING_STATUS=MR","Sort=A","Dates=H","DateFormat=P","Fill=—","Direction=H","UseDPDF=Y")</f>
        <v>9.7683</v>
      </c>
      <c r="H66" s="14">
        <f>_xll.BDH("GILD US Equity","PX_TO_FREE_CASH_FLOW","FQ1 2020","FQ1 2020","Currency=USD","Period=FQ","BEST_FPERIOD_OVERRIDE=FQ","FILING_STATUS=MR","Sort=A","Dates=H","DateFormat=P","Fill=—","Direction=H","UseDPDF=Y")</f>
        <v>11.1439</v>
      </c>
      <c r="I66" s="14">
        <f>_xll.BDH("GILD US Equity","PX_TO_FREE_CASH_FLOW","FQ2 2020","FQ2 2020","Currency=USD","Period=FQ","BEST_FPERIOD_OVERRIDE=FQ","FILING_STATUS=MR","Sort=A","Dates=H","DateFormat=P","Fill=—","Direction=H","UseDPDF=Y")</f>
        <v>11.085100000000001</v>
      </c>
      <c r="J66" s="14">
        <f>_xll.BDH("GILD US Equity","PX_TO_FREE_CASH_FLOW","FQ3 2020","FQ3 2020","Currency=USD","Period=FQ","BEST_FPERIOD_OVERRIDE=FQ","FILING_STATUS=MR","Sort=A","Dates=H","DateFormat=P","Fill=—","Direction=H","UseDPDF=Y")</f>
        <v>9.7515999999999998</v>
      </c>
      <c r="K66" s="14">
        <f>_xll.BDH("GILD US Equity","PX_TO_FREE_CASH_FLOW","FQ4 2020","FQ4 2020","Currency=USD","Period=FQ","BEST_FPERIOD_OVERRIDE=FQ","FILING_STATUS=MR","Sort=A","Dates=H","DateFormat=P","Fill=—","Direction=H","UseDPDF=Y")</f>
        <v>9.7346000000000004</v>
      </c>
      <c r="L66" s="14">
        <f>_xll.BDH("GILD US Equity","PX_TO_FREE_CASH_FLOW","FQ1 2021","FQ1 2021","Currency=USD","Period=FQ","BEST_FPERIOD_OVERRIDE=FQ","FILING_STATUS=MR","Sort=A","Dates=H","DateFormat=P","Fill=—","Direction=H","UseDPDF=Y")</f>
        <v>9.3272999999999993</v>
      </c>
      <c r="M66" s="14">
        <f>_xll.BDH("GILD US Equity","PX_TO_FREE_CASH_FLOW","FQ2 2021","FQ2 2021","Currency=USD","Period=FQ","BEST_FPERIOD_OVERRIDE=FQ","FILING_STATUS=MR","Sort=A","Dates=H","DateFormat=P","Fill=—","Direction=H","UseDPDF=Y")</f>
        <v>10.2029</v>
      </c>
      <c r="N66" s="14">
        <f>_xll.BDH("GILD US Equity","PX_TO_FREE_CASH_FLOW","FQ3 2021","FQ3 2021","Currency=USD","Period=FQ","BEST_FPERIOD_OVERRIDE=FQ","FILING_STATUS=MR","Sort=A","Dates=H","DateFormat=P","Fill=—","Direction=H","UseDPDF=Y")</f>
        <v>9.2406000000000006</v>
      </c>
      <c r="O66" s="14">
        <f>_xll.BDH("GILD US Equity","PX_TO_FREE_CASH_FLOW","FQ4 2021","FQ4 2021","Currency=USD","Period=FQ","BEST_FPERIOD_OVERRIDE=FQ","FILING_STATUS=MR","Sort=A","Dates=H","DateFormat=P","Fill=—","Direction=H","UseDPDF=Y")</f>
        <v>8.4390000000000001</v>
      </c>
      <c r="P66" s="14">
        <f>_xll.BDH("GILD US Equity","PX_TO_FREE_CASH_FLOW","FQ1 2022","FQ1 2022","Currency=USD","Period=FQ","BEST_FPERIOD_OVERRIDE=FQ","FILING_STATUS=MR","Sort=A","Dates=H","DateFormat=P","Fill=—","Direction=H","UseDPDF=Y")</f>
        <v>7.4999000000000002</v>
      </c>
      <c r="Q66" s="14">
        <f>_xll.BDH("GILD US Equity","PX_TO_FREE_CASH_FLOW","FQ2 2022","FQ2 2022","Currency=USD","Period=FQ","BEST_FPERIOD_OVERRIDE=FQ","FILING_STATUS=MR","Sort=A","Dates=H","DateFormat=P","Fill=—","Direction=H","UseDPDF=Y")</f>
        <v>8.2446000000000002</v>
      </c>
      <c r="R66" s="14">
        <f>_xll.BDH("GILD US Equity","PX_TO_FREE_CASH_FLOW","FQ3 2022","FQ3 2022","Currency=USD","Period=FQ","BEST_FPERIOD_OVERRIDE=FQ","FILING_STATUS=MR","Sort=A","Dates=H","DateFormat=P","Fill=—","Direction=H","UseDPDF=Y")</f>
        <v>8.5991999999999997</v>
      </c>
      <c r="S66" s="14">
        <f>_xll.BDH("GILD US Equity","PX_TO_FREE_CASH_FLOW","FQ4 2022","FQ4 2022","Currency=USD","Period=FQ","BEST_FPERIOD_OVERRIDE=FQ","FILING_STATUS=MR","Sort=A","Dates=H","DateFormat=P","Fill=—","Direction=H","UseDPDF=Y")</f>
        <v>12.9057</v>
      </c>
      <c r="T66" s="14">
        <f>_xll.BDH("GILD US Equity","PX_TO_FREE_CASH_FLOW","FQ1 2023","FQ1 2023","Currency=USD","Period=FQ","BEST_FPERIOD_OVERRIDE=FQ","FILING_STATUS=MR","Sort=A","Dates=H","DateFormat=P","Fill=—","Direction=H","UseDPDF=Y")</f>
        <v>12.396800000000001</v>
      </c>
      <c r="U66" s="14">
        <f>_xll.BDH("GILD US Equity","PX_TO_FREE_CASH_FLOW","FQ2 2023","FQ2 2023","Currency=USD","Period=FQ","BEST_FPERIOD_OVERRIDE=FQ","FILING_STATUS=MR","Sort=A","Dates=H","DateFormat=P","Fill=—","Direction=H","UseDPDF=Y")</f>
        <v>10.805300000000001</v>
      </c>
      <c r="V66" s="14">
        <f>_xll.BDH("GILD US Equity","PX_TO_FREE_CASH_FLOW","FQ3 2023","FQ3 2023","Currency=USD","Period=FQ","BEST_FPERIOD_OVERRIDE=FQ","FILING_STATUS=MR","Sort=A","Dates=H","DateFormat=P","Fill=—","Direction=H","UseDPDF=Y")</f>
        <v>11.9237</v>
      </c>
      <c r="W66" s="14">
        <f>_xll.BDH("GILD US Equity","PX_TO_FREE_CASH_FLOW","FQ4 2023","FQ4 2023","Currency=USD","Period=FQ","BEST_FPERIOD_OVERRIDE=FQ","FILING_STATUS=MR","Sort=A","Dates=H","DateFormat=P","Fill=—","Direction=H","UseDPDF=Y")</f>
        <v>13.626799999999999</v>
      </c>
      <c r="X66" s="14">
        <f>_xll.BDH("GILD US Equity","PX_TO_FREE_CASH_FLOW","FQ1 2024","FQ1 2024","Currency=USD","Period=FQ","BEST_FPERIOD_OVERRIDE=FQ","FILING_STATUS=MR","Sort=A","Dates=H","DateFormat=P","Fill=—","Direction=H","UseDPDF=Y")</f>
        <v>11.5717</v>
      </c>
      <c r="Y66" s="14">
        <f>_xll.BDH("GILD US Equity","PX_TO_FREE_CASH_FLOW","FQ2 2024","FQ2 2024","Currency=USD","Period=FQ","BEST_FPERIOD_OVERRIDE=FQ","FILING_STATUS=MR","Sort=A","Dates=H","DateFormat=P","Fill=—","Direction=H","UseDPDF=Y")</f>
        <v>12.411899999999999</v>
      </c>
      <c r="Z66" s="14">
        <f>_xll.BDH("GILD US Equity","PX_TO_FREE_CASH_FLOW","FQ3 2024","FQ3 2024","Currency=USD","Period=FQ","BEST_FPERIOD_OVERRIDE=FQ","FILING_STATUS=MR","Sort=A","Dates=H","DateFormat=P","Fill=—","Direction=H","UseDPDF=Y")</f>
        <v>11.0875</v>
      </c>
      <c r="AA66" s="14">
        <f>_xll.BDH("GILD US Equity","PX_TO_FREE_CASH_FLOW","FQ4 2024","FQ4 2024","Currency=USD","Period=FQ","BEST_FPERIOD_OVERRIDE=FQ","FILING_STATUS=MR","Sort=A","Dates=H","DateFormat=P","Fill=—","Direction=H","UseDPDF=Y")</f>
        <v>11.180099999999999</v>
      </c>
    </row>
    <row r="67" spans="1:27" x14ac:dyDescent="0.25">
      <c r="A67" s="10" t="s">
        <v>1403</v>
      </c>
      <c r="B67" s="10" t="s">
        <v>1404</v>
      </c>
      <c r="C67" s="14">
        <f>_xll.BDH("GILD US Equity","CASH_FLOW_TO_NET_INC","FQ4 2018","FQ4 2018","Currency=USD","Period=FQ","BEST_FPERIOD_OVERRIDE=FQ","FILING_STATUS=MR","FA_ADJUSTED=GAAP","Sort=A","Dates=H","DateFormat=P","Fill=—","Direction=H","UseDPDF=Y")</f>
        <v>781.66669999999999</v>
      </c>
      <c r="D67" s="14">
        <f>_xll.BDH("GILD US Equity","CASH_FLOW_TO_NET_INC","FQ1 2019","FQ1 2019","Currency=USD","Period=FQ","BEST_FPERIOD_OVERRIDE=FQ","FILING_STATUS=MR","FA_ADJUSTED=GAAP","Sort=A","Dates=H","DateFormat=P","Fill=—","Direction=H","UseDPDF=Y")</f>
        <v>0.73109999999999997</v>
      </c>
      <c r="E67" s="14">
        <f>_xll.BDH("GILD US Equity","CASH_FLOW_TO_NET_INC","FQ2 2019","FQ2 2019","Currency=USD","Period=FQ","BEST_FPERIOD_OVERRIDE=FQ","FILING_STATUS=MR","FA_ADJUSTED=GAAP","Sort=A","Dates=H","DateFormat=P","Fill=—","Direction=H","UseDPDF=Y")</f>
        <v>1.2457</v>
      </c>
      <c r="F67" s="14" t="str">
        <f>_xll.BDH("GILD US Equity","CASH_FLOW_TO_NET_INC","FQ3 2019","FQ3 2019","Currency=USD","Period=FQ","BEST_FPERIOD_OVERRIDE=FQ","FILING_STATUS=MR","FA_ADJUSTED=GAAP","Sort=A","Dates=H","DateFormat=P","Fill=—","Direction=H","UseDPDF=Y")</f>
        <v>—</v>
      </c>
      <c r="G67" s="14">
        <f>_xll.BDH("GILD US Equity","CASH_FLOW_TO_NET_INC","FQ4 2019","FQ4 2019","Currency=USD","Period=FQ","BEST_FPERIOD_OVERRIDE=FQ","FILING_STATUS=MR","FA_ADJUSTED=GAAP","Sort=A","Dates=H","DateFormat=P","Fill=—","Direction=H","UseDPDF=Y")</f>
        <v>0.95699999999999996</v>
      </c>
      <c r="H67" s="14">
        <f>_xll.BDH("GILD US Equity","CASH_FLOW_TO_NET_INC","FQ1 2020","FQ1 2020","Currency=USD","Period=FQ","BEST_FPERIOD_OVERRIDE=FQ","FILING_STATUS=MR","FA_ADJUSTED=GAAP","Sort=A","Dates=H","DateFormat=P","Fill=—","Direction=H","UseDPDF=Y")</f>
        <v>0.92589999999999995</v>
      </c>
      <c r="I67" s="14" t="str">
        <f>_xll.BDH("GILD US Equity","CASH_FLOW_TO_NET_INC","FQ2 2020","FQ2 2020","Currency=USD","Period=FQ","BEST_FPERIOD_OVERRIDE=FQ","FILING_STATUS=MR","FA_ADJUSTED=GAAP","Sort=A","Dates=H","DateFormat=P","Fill=—","Direction=H","UseDPDF=Y")</f>
        <v>—</v>
      </c>
      <c r="J67" s="14">
        <f>_xll.BDH("GILD US Equity","CASH_FLOW_TO_NET_INC","FQ3 2020","FQ3 2020","Currency=USD","Period=FQ","BEST_FPERIOD_OVERRIDE=FQ","FILING_STATUS=MR","FA_ADJUSTED=GAAP","Sort=A","Dates=H","DateFormat=P","Fill=—","Direction=H","UseDPDF=Y")</f>
        <v>6.25</v>
      </c>
      <c r="K67" s="14">
        <f>_xll.BDH("GILD US Equity","CASH_FLOW_TO_NET_INC","FQ4 2020","FQ4 2020","Currency=USD","Period=FQ","BEST_FPERIOD_OVERRIDE=FQ","FILING_STATUS=MR","FA_ADJUSTED=GAAP","Sort=A","Dates=H","DateFormat=P","Fill=—","Direction=H","UseDPDF=Y")</f>
        <v>1.2353000000000001</v>
      </c>
      <c r="L67" s="14">
        <f>_xll.BDH("GILD US Equity","CASH_FLOW_TO_NET_INC","FQ1 2021","FQ1 2021","Currency=USD","Period=FQ","BEST_FPERIOD_OVERRIDE=FQ","FILING_STATUS=MR","FA_ADJUSTED=GAAP","Sort=A","Dates=H","DateFormat=P","Fill=—","Direction=H","UseDPDF=Y")</f>
        <v>1.5095000000000001</v>
      </c>
      <c r="M67" s="14">
        <f>_xll.BDH("GILD US Equity","CASH_FLOW_TO_NET_INC","FQ2 2021","FQ2 2021","Currency=USD","Period=FQ","BEST_FPERIOD_OVERRIDE=FQ","FILING_STATUS=MR","FA_ADJUSTED=GAAP","Sort=A","Dates=H","DateFormat=P","Fill=—","Direction=H","UseDPDF=Y")</f>
        <v>1.5217000000000001</v>
      </c>
      <c r="N67" s="14">
        <f>_xll.BDH("GILD US Equity","CASH_FLOW_TO_NET_INC","FQ3 2021","FQ3 2021","Currency=USD","Period=FQ","BEST_FPERIOD_OVERRIDE=FQ","FILING_STATUS=MR","FA_ADJUSTED=GAAP","Sort=A","Dates=H","DateFormat=P","Fill=—","Direction=H","UseDPDF=Y")</f>
        <v>1.2549999999999999</v>
      </c>
      <c r="O67" s="14">
        <f>_xll.BDH("GILD US Equity","CASH_FLOW_TO_NET_INC","FQ4 2021","FQ4 2021","Currency=USD","Period=FQ","BEST_FPERIOD_OVERRIDE=FQ","FILING_STATUS=MR","FA_ADJUSTED=GAAP","Sort=A","Dates=H","DateFormat=P","Fill=—","Direction=H","UseDPDF=Y")</f>
        <v>8.3901000000000003</v>
      </c>
      <c r="P67" s="14">
        <f>_xll.BDH("GILD US Equity","CASH_FLOW_TO_NET_INC","FQ1 2022","FQ1 2022","Currency=USD","Period=FQ","BEST_FPERIOD_OVERRIDE=FQ","FILING_STATUS=MR","FA_ADJUSTED=GAAP","Sort=A","Dates=H","DateFormat=P","Fill=—","Direction=H","UseDPDF=Y")</f>
        <v>96.842100000000002</v>
      </c>
      <c r="Q67" s="14">
        <f>_xll.BDH("GILD US Equity","CASH_FLOW_TO_NET_INC","FQ2 2022","FQ2 2022","Currency=USD","Period=FQ","BEST_FPERIOD_OVERRIDE=FQ","FILING_STATUS=MR","FA_ADJUSTED=GAAP","Sort=A","Dates=H","DateFormat=P","Fill=—","Direction=H","UseDPDF=Y")</f>
        <v>1.5751999999999999</v>
      </c>
      <c r="R67" s="14">
        <f>_xll.BDH("GILD US Equity","CASH_FLOW_TO_NET_INC","FQ3 2022","FQ3 2022","Currency=USD","Period=FQ","BEST_FPERIOD_OVERRIDE=FQ","FILING_STATUS=MR","FA_ADJUSTED=GAAP","Sort=A","Dates=H","DateFormat=P","Fill=—","Direction=H","UseDPDF=Y")</f>
        <v>1.6003000000000001</v>
      </c>
      <c r="S67" s="14">
        <f>_xll.BDH("GILD US Equity","CASH_FLOW_TO_NET_INC","FQ4 2022","FQ4 2022","Currency=USD","Period=FQ","BEST_FPERIOD_OVERRIDE=FQ","FILING_STATUS=MR","FA_ADJUSTED=GAAP","Sort=A","Dates=H","DateFormat=P","Fill=—","Direction=H","UseDPDF=Y")</f>
        <v>1.5651999999999999</v>
      </c>
      <c r="T67" s="14">
        <f>_xll.BDH("GILD US Equity","CASH_FLOW_TO_NET_INC","FQ1 2023","FQ1 2023","Currency=USD","Period=FQ","BEST_FPERIOD_OVERRIDE=FQ","FILING_STATUS=MR","FA_ADJUSTED=GAAP","Sort=A","Dates=H","DateFormat=P","Fill=—","Direction=H","UseDPDF=Y")</f>
        <v>1.7266999999999999</v>
      </c>
      <c r="U67" s="14">
        <f>_xll.BDH("GILD US Equity","CASH_FLOW_TO_NET_INC","FQ2 2023","FQ2 2023","Currency=USD","Period=FQ","BEST_FPERIOD_OVERRIDE=FQ","FILING_STATUS=MR","FA_ADJUSTED=GAAP","Sort=A","Dates=H","DateFormat=P","Fill=—","Direction=H","UseDPDF=Y")</f>
        <v>2.2372999999999998</v>
      </c>
      <c r="V67" s="14">
        <f>_xll.BDH("GILD US Equity","CASH_FLOW_TO_NET_INC","FQ3 2023","FQ3 2023","Currency=USD","Period=FQ","BEST_FPERIOD_OVERRIDE=FQ","FILING_STATUS=MR","FA_ADJUSTED=GAAP","Sort=A","Dates=H","DateFormat=P","Fill=—","Direction=H","UseDPDF=Y")</f>
        <v>0.80500000000000005</v>
      </c>
      <c r="W67" s="14">
        <f>_xll.BDH("GILD US Equity","CASH_FLOW_TO_NET_INC","FQ4 2023","FQ4 2023","Currency=USD","Period=FQ","BEST_FPERIOD_OVERRIDE=FQ","FILING_STATUS=MR","FA_ADJUSTED=GAAP","Sort=A","Dates=H","DateFormat=P","Fill=—","Direction=H","UseDPDF=Y")</f>
        <v>1.5178</v>
      </c>
      <c r="X67" s="14" t="str">
        <f>_xll.BDH("GILD US Equity","CASH_FLOW_TO_NET_INC","FQ1 2024","FQ1 2024","Currency=USD","Period=FQ","BEST_FPERIOD_OVERRIDE=FQ","FILING_STATUS=MR","FA_ADJUSTED=GAAP","Sort=A","Dates=H","DateFormat=P","Fill=—","Direction=H","UseDPDF=Y")</f>
        <v>—</v>
      </c>
      <c r="Y67" s="14">
        <f>_xll.BDH("GILD US Equity","CASH_FLOW_TO_NET_INC","FQ2 2024","FQ2 2024","Currency=USD","Period=FQ","BEST_FPERIOD_OVERRIDE=FQ","FILING_STATUS=MR","FA_ADJUSTED=GAAP","Sort=A","Dates=H","DateFormat=P","Fill=—","Direction=H","UseDPDF=Y")</f>
        <v>0.82089999999999996</v>
      </c>
      <c r="Z67" s="14">
        <f>_xll.BDH("GILD US Equity","CASH_FLOW_TO_NET_INC","FQ3 2024","FQ3 2024","Currency=USD","Period=FQ","BEST_FPERIOD_OVERRIDE=FQ","FILING_STATUS=MR","FA_ADJUSTED=GAAP","Sort=A","Dates=H","DateFormat=P","Fill=—","Direction=H","UseDPDF=Y")</f>
        <v>3.4388999999999998</v>
      </c>
      <c r="AA67" s="14">
        <f>_xll.BDH("GILD US Equity","CASH_FLOW_TO_NET_INC","FQ4 2024","FQ4 2024","Currency=USD","Period=FQ","BEST_FPERIOD_OVERRIDE=FQ","FILING_STATUS=MR","FA_ADJUSTED=GAAP","Sort=A","Dates=H","DateFormat=P","Fill=—","Direction=H","UseDPDF=Y")</f>
        <v>1.6685000000000001</v>
      </c>
    </row>
    <row r="68" spans="1:27" x14ac:dyDescent="0.25">
      <c r="A68" s="7" t="s">
        <v>90</v>
      </c>
      <c r="B68" s="7"/>
      <c r="C68" s="7" t="s">
        <v>5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48"/>
  <sheetViews>
    <sheetView workbookViewId="0">
      <selection activeCell="K16" sqref="K16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417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275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1405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1406</v>
      </c>
      <c r="B8" s="10" t="s">
        <v>1407</v>
      </c>
      <c r="C8" s="13">
        <f>_xll.BDH("GILD US Equity","ARD_NET_INCOME_CF","FQ4 2018","FQ4 2018","Currency=USD","Period=FQ","BEST_FPERIOD_OVERRIDE=FQ","FILING_STATUS=MR","SCALING_FORMAT=MLN","Sort=A","Dates=H","DateFormat=P","Fill=—","Direction=H","UseDPDF=Y")</f>
        <v>5460</v>
      </c>
      <c r="D8" s="13">
        <f>_xll.BDH("GILD US Equity","ARD_NET_INCOME_CF","FQ1 2019","FQ1 2019","Currency=USD","Period=FQ","BEST_FPERIOD_OVERRIDE=FQ","FILING_STATUS=MR","SCALING_FORMAT=MLN","Sort=A","Dates=H","DateFormat=P","Fill=—","Direction=H","UseDPDF=Y")</f>
        <v>1968</v>
      </c>
      <c r="E8" s="13">
        <f>_xll.BDH("GILD US Equity","ARD_NET_INCOME_CF","FQ2 2019","FQ2 2019","Currency=USD","Period=FQ","BEST_FPERIOD_OVERRIDE=FQ","FILING_STATUS=MR","SCALING_FORMAT=MLN","Sort=A","Dates=H","DateFormat=P","Fill=—","Direction=H","UseDPDF=Y")</f>
        <v>3843</v>
      </c>
      <c r="F8" s="13">
        <f>_xll.BDH("GILD US Equity","ARD_NET_INCOME_CF","FQ3 2019","FQ3 2019","Currency=USD","Period=FQ","BEST_FPERIOD_OVERRIDE=FQ","FILING_STATUS=MR","SCALING_FORMAT=MLN","Sort=A","Dates=H","DateFormat=P","Fill=—","Direction=H","UseDPDF=Y")</f>
        <v>2675</v>
      </c>
      <c r="G8" s="13">
        <f>_xll.BDH("GILD US Equity","ARD_NET_INCOME_CF","FQ4 2019","FQ4 2019","Currency=USD","Period=FQ","BEST_FPERIOD_OVERRIDE=FQ","FILING_STATUS=MR","SCALING_FORMAT=MLN","Sort=A","Dates=H","DateFormat=P","Fill=—","Direction=H","UseDPDF=Y")</f>
        <v>5364</v>
      </c>
      <c r="H8" s="13">
        <f>_xll.BDH("GILD US Equity","ARD_NET_INCOME_CF","FQ1 2020","FQ1 2020","Currency=USD","Period=FQ","BEST_FPERIOD_OVERRIDE=FQ","FILING_STATUS=MR","SCALING_FORMAT=MLN","Sort=A","Dates=H","DateFormat=P","Fill=—","Direction=H","UseDPDF=Y")</f>
        <v>1538</v>
      </c>
      <c r="I8" s="13">
        <f>_xll.BDH("GILD US Equity","ARD_NET_INCOME_CF","FQ2 2020","FQ2 2020","Currency=USD","Period=FQ","BEST_FPERIOD_OVERRIDE=FQ","FILING_STATUS=MR","SCALING_FORMAT=MLN","Sort=A","Dates=H","DateFormat=P","Fill=—","Direction=H","UseDPDF=Y")</f>
        <v>-1808</v>
      </c>
      <c r="J8" s="13">
        <f>_xll.BDH("GILD US Equity","ARD_NET_INCOME_CF","FQ3 2020","FQ3 2020","Currency=USD","Period=FQ","BEST_FPERIOD_OVERRIDE=FQ","FILING_STATUS=MR","SCALING_FORMAT=MLN","Sort=A","Dates=H","DateFormat=P","Fill=—","Direction=H","UseDPDF=Y")</f>
        <v>-1455</v>
      </c>
      <c r="K8" s="13">
        <f>_xll.BDH("GILD US Equity","ARD_NET_INCOME_CF","FQ4 2020","FQ4 2020","Currency=USD","Period=FQ","BEST_FPERIOD_OVERRIDE=FQ","FILING_STATUS=MR","SCALING_FORMAT=MLN","Sort=A","Dates=H","DateFormat=P","Fill=—","Direction=H","UseDPDF=Y")</f>
        <v>89</v>
      </c>
      <c r="L8" s="13">
        <f>_xll.BDH("GILD US Equity","ARD_NET_INCOME_CF","FQ1 2021","FQ1 2021","Currency=USD","Period=FQ","BEST_FPERIOD_OVERRIDE=FQ","FILING_STATUS=MR","SCALING_FORMAT=MLN","Sort=A","Dates=H","DateFormat=P","Fill=—","Direction=H","UseDPDF=Y")</f>
        <v>1722</v>
      </c>
      <c r="M8" s="13">
        <f>_xll.BDH("GILD US Equity","ARD_NET_INCOME_CF","FQ2 2021","FQ2 2021","Currency=USD","Period=FQ","BEST_FPERIOD_OVERRIDE=FQ","FILING_STATUS=MR","SCALING_FORMAT=MLN","Sort=A","Dates=H","DateFormat=P","Fill=—","Direction=H","UseDPDF=Y")</f>
        <v>3239</v>
      </c>
      <c r="N8" s="13">
        <f>_xll.BDH("GILD US Equity","ARD_NET_INCOME_CF","FQ3 2021","FQ3 2021","Currency=USD","Period=FQ","BEST_FPERIOD_OVERRIDE=FQ","FILING_STATUS=MR","SCALING_FORMAT=MLN","Sort=A","Dates=H","DateFormat=P","Fill=—","Direction=H","UseDPDF=Y")</f>
        <v>5825</v>
      </c>
      <c r="O8" s="13">
        <f>_xll.BDH("GILD US Equity","ARD_NET_INCOME_CF","FQ4 2021","FQ4 2021","Currency=USD","Period=FQ","BEST_FPERIOD_OVERRIDE=FQ","FILING_STATUS=MR","SCALING_FORMAT=MLN","Sort=A","Dates=H","DateFormat=P","Fill=—","Direction=H","UseDPDF=Y")</f>
        <v>6201</v>
      </c>
      <c r="P8" s="13">
        <f>_xll.BDH("GILD US Equity","ARD_NET_INCOME_CF","FQ1 2022","FQ1 2022","Currency=USD","Period=FQ","BEST_FPERIOD_OVERRIDE=FQ","FILING_STATUS=MR","SCALING_FORMAT=MLN","Sort=A","Dates=H","DateFormat=P","Fill=—","Direction=H","UseDPDF=Y")</f>
        <v>12</v>
      </c>
      <c r="Q8" s="13">
        <f>_xll.BDH("GILD US Equity","ARD_NET_INCOME_CF","FQ2 2022","FQ2 2022","Currency=USD","Period=FQ","BEST_FPERIOD_OVERRIDE=FQ","FILING_STATUS=MR","SCALING_FORMAT=MLN","Sort=A","Dates=H","DateFormat=P","Fill=—","Direction=H","UseDPDF=Y")</f>
        <v>1147</v>
      </c>
      <c r="R8" s="13">
        <f>_xll.BDH("GILD US Equity","ARD_NET_INCOME_CF","FQ3 2022","FQ3 2022","Currency=USD","Period=FQ","BEST_FPERIOD_OVERRIDE=FQ","FILING_STATUS=MR","SCALING_FORMAT=MLN","Sort=A","Dates=H","DateFormat=P","Fill=—","Direction=H","UseDPDF=Y")</f>
        <v>2933</v>
      </c>
      <c r="S8" s="13">
        <f>_xll.BDH("GILD US Equity","ARD_NET_INCOME_CF","FQ4 2022","FQ4 2022","Currency=USD","Period=FQ","BEST_FPERIOD_OVERRIDE=FQ","FILING_STATUS=MR","SCALING_FORMAT=MLN","Sort=A","Dates=H","DateFormat=P","Fill=—","Direction=H","UseDPDF=Y")</f>
        <v>4566</v>
      </c>
      <c r="T8" s="13">
        <f>_xll.BDH("GILD US Equity","ARD_NET_INCOME_CF","FQ1 2023","FQ1 2023","Currency=USD","Period=FQ","BEST_FPERIOD_OVERRIDE=FQ","FILING_STATUS=MR","SCALING_FORMAT=MLN","Sort=A","Dates=H","DateFormat=P","Fill=—","Direction=H","UseDPDF=Y")</f>
        <v>985</v>
      </c>
      <c r="U8" s="13">
        <f>_xll.BDH("GILD US Equity","ARD_NET_INCOME_CF","FQ2 2023","FQ2 2023","Currency=USD","Period=FQ","BEST_FPERIOD_OVERRIDE=FQ","FILING_STATUS=MR","SCALING_FORMAT=MLN","Sort=A","Dates=H","DateFormat=P","Fill=—","Direction=H","UseDPDF=Y")</f>
        <v>2024</v>
      </c>
      <c r="V8" s="13">
        <f>_xll.BDH("GILD US Equity","ARD_NET_INCOME_CF","FQ3 2023","FQ3 2023","Currency=USD","Period=FQ","BEST_FPERIOD_OVERRIDE=FQ","FILING_STATUS=MR","SCALING_FORMAT=MLN","Sort=A","Dates=H","DateFormat=P","Fill=—","Direction=H","UseDPDF=Y")</f>
        <v>4196</v>
      </c>
      <c r="W8" s="13">
        <f>_xll.BDH("GILD US Equity","ARD_NET_INCOME_CF","FQ4 2023","FQ4 2023","Currency=USD","Period=FQ","BEST_FPERIOD_OVERRIDE=FQ","FILING_STATUS=MR","SCALING_FORMAT=MLN","Sort=A","Dates=H","DateFormat=P","Fill=—","Direction=H","UseDPDF=Y")</f>
        <v>5613</v>
      </c>
      <c r="X8" s="13">
        <f>_xll.BDH("GILD US Equity","ARD_NET_INCOME_CF","FQ1 2024","FQ1 2024","Currency=USD","Period=FQ","BEST_FPERIOD_OVERRIDE=FQ","FILING_STATUS=MR","SCALING_FORMAT=MLN","Sort=A","Dates=H","DateFormat=P","Fill=—","Direction=H","UseDPDF=Y")</f>
        <v>-4170</v>
      </c>
      <c r="Y8" s="13">
        <f>_xll.BDH("GILD US Equity","ARD_NET_INCOME_CF","FQ2 2024","FQ2 2024","Currency=USD","Period=FQ","BEST_FPERIOD_OVERRIDE=FQ","FILING_STATUS=MR","SCALING_FORMAT=MLN","Sort=A","Dates=H","DateFormat=P","Fill=—","Direction=H","UseDPDF=Y")</f>
        <v>-2556</v>
      </c>
      <c r="Z8" s="13">
        <f>_xll.BDH("GILD US Equity","ARD_NET_INCOME_CF","FQ3 2024","FQ3 2024","Currency=USD","Period=FQ","BEST_FPERIOD_OVERRIDE=FQ","FILING_STATUS=MR","SCALING_FORMAT=MLN","Sort=A","Dates=H","DateFormat=P","Fill=—","Direction=H","UseDPDF=Y")</f>
        <v>-1303</v>
      </c>
      <c r="AA8" s="13">
        <f>_xll.BDH("GILD US Equity","ARD_NET_INCOME_CF","FQ4 2024","FQ4 2024","Currency=USD","Period=FQ","BEST_FPERIOD_OVERRIDE=FQ","FILING_STATUS=MR","SCALING_FORMAT=MLN","Sort=A","Dates=H","DateFormat=P","Fill=—","Direction=H","UseDPDF=Y")</f>
        <v>480</v>
      </c>
    </row>
    <row r="9" spans="1:27" x14ac:dyDescent="0.25">
      <c r="A9" s="10" t="s">
        <v>1408</v>
      </c>
      <c r="B9" s="10" t="s">
        <v>1409</v>
      </c>
      <c r="C9" s="13">
        <f>_xll.BDH("GILD US Equity","ARD_DEPRECIATION_CF","FQ4 2018","FQ4 2018","Currency=USD","Period=FQ","BEST_FPERIOD_OVERRIDE=FQ","FILING_STATUS=MR","SCALING_FORMAT=MLN","Sort=A","Dates=H","DateFormat=P","Fill=—","Direction=H","UseDPDF=Y")</f>
        <v>226</v>
      </c>
      <c r="D9" s="13">
        <f>_xll.BDH("GILD US Equity","ARD_DEPRECIATION_CF","FQ1 2019","FQ1 2019","Currency=USD","Period=FQ","BEST_FPERIOD_OVERRIDE=FQ","FILING_STATUS=MR","SCALING_FORMAT=MLN","Sort=A","Dates=H","DateFormat=P","Fill=—","Direction=H","UseDPDF=Y")</f>
        <v>60</v>
      </c>
      <c r="E9" s="13">
        <f>_xll.BDH("GILD US Equity","ARD_DEPRECIATION_CF","FQ2 2019","FQ2 2019","Currency=USD","Period=FQ","BEST_FPERIOD_OVERRIDE=FQ","FILING_STATUS=MR","SCALING_FORMAT=MLN","Sort=A","Dates=H","DateFormat=P","Fill=—","Direction=H","UseDPDF=Y")</f>
        <v>120</v>
      </c>
      <c r="F9" s="13">
        <f>_xll.BDH("GILD US Equity","ARD_DEPRECIATION_CF","FQ3 2019","FQ3 2019","Currency=USD","Period=FQ","BEST_FPERIOD_OVERRIDE=FQ","FILING_STATUS=MR","SCALING_FORMAT=MLN","Sort=A","Dates=H","DateFormat=P","Fill=—","Direction=H","UseDPDF=Y")</f>
        <v>186</v>
      </c>
      <c r="G9" s="13">
        <f>_xll.BDH("GILD US Equity","ARD_DEPRECIATION_CF","FQ4 2019","FQ4 2019","Currency=USD","Period=FQ","BEST_FPERIOD_OVERRIDE=FQ","FILING_STATUS=MR","SCALING_FORMAT=MLN","Sort=A","Dates=H","DateFormat=P","Fill=—","Direction=H","UseDPDF=Y")</f>
        <v>255</v>
      </c>
      <c r="H9" s="13">
        <f>_xll.BDH("GILD US Equity","ARD_DEPRECIATION_CF","FQ1 2020","FQ1 2020","Currency=USD","Period=FQ","BEST_FPERIOD_OVERRIDE=FQ","FILING_STATUS=MR","SCALING_FORMAT=MLN","Sort=A","Dates=H","DateFormat=P","Fill=—","Direction=H","UseDPDF=Y")</f>
        <v>68</v>
      </c>
      <c r="I9" s="13">
        <f>_xll.BDH("GILD US Equity","ARD_DEPRECIATION_CF","FQ2 2020","FQ2 2020","Currency=USD","Period=FQ","BEST_FPERIOD_OVERRIDE=FQ","FILING_STATUS=MR","SCALING_FORMAT=MLN","Sort=A","Dates=H","DateFormat=P","Fill=—","Direction=H","UseDPDF=Y")</f>
        <v>136</v>
      </c>
      <c r="J9" s="13">
        <f>_xll.BDH("GILD US Equity","ARD_DEPRECIATION_CF","FQ3 2020","FQ3 2020","Currency=USD","Period=FQ","BEST_FPERIOD_OVERRIDE=FQ","FILING_STATUS=MR","SCALING_FORMAT=MLN","Sort=A","Dates=H","DateFormat=P","Fill=—","Direction=H","UseDPDF=Y")</f>
        <v>209</v>
      </c>
      <c r="K9" s="13">
        <f>_xll.BDH("GILD US Equity","ARD_DEPRECIATION_CF","FQ4 2020","FQ4 2020","Currency=USD","Period=FQ","BEST_FPERIOD_OVERRIDE=FQ","FILING_STATUS=MR","SCALING_FORMAT=MLN","Sort=A","Dates=H","DateFormat=P","Fill=—","Direction=H","UseDPDF=Y")</f>
        <v>288</v>
      </c>
      <c r="L9" s="13">
        <f>_xll.BDH("GILD US Equity","ARD_DEPRECIATION_CF","FQ1 2021","FQ1 2021","Currency=USD","Period=FQ","BEST_FPERIOD_OVERRIDE=FQ","FILING_STATUS=MR","SCALING_FORMAT=MLN","Sort=A","Dates=H","DateFormat=P","Fill=—","Direction=H","UseDPDF=Y")</f>
        <v>78</v>
      </c>
      <c r="M9" s="13">
        <f>_xll.BDH("GILD US Equity","ARD_DEPRECIATION_CF","FQ2 2021","FQ2 2021","Currency=USD","Period=FQ","BEST_FPERIOD_OVERRIDE=FQ","FILING_STATUS=MR","SCALING_FORMAT=MLN","Sort=A","Dates=H","DateFormat=P","Fill=—","Direction=H","UseDPDF=Y")</f>
        <v>157</v>
      </c>
      <c r="N9" s="13">
        <f>_xll.BDH("GILD US Equity","ARD_DEPRECIATION_CF","FQ3 2021","FQ3 2021","Currency=USD","Period=FQ","BEST_FPERIOD_OVERRIDE=FQ","FILING_STATUS=MR","SCALING_FORMAT=MLN","Sort=A","Dates=H","DateFormat=P","Fill=—","Direction=H","UseDPDF=Y")</f>
        <v>239</v>
      </c>
      <c r="O9" s="13">
        <f>_xll.BDH("GILD US Equity","ARD_DEPRECIATION_CF","FQ4 2021","FQ4 2021","Currency=USD","Period=FQ","BEST_FPERIOD_OVERRIDE=FQ","FILING_STATUS=MR","SCALING_FORMAT=MLN","Sort=A","Dates=H","DateFormat=P","Fill=—","Direction=H","UseDPDF=Y")</f>
        <v>329</v>
      </c>
      <c r="P9" s="13">
        <f>_xll.BDH("GILD US Equity","ARD_DEPRECIATION_CF","FQ1 2022","FQ1 2022","Currency=USD","Period=FQ","BEST_FPERIOD_OVERRIDE=FQ","FILING_STATUS=MR","SCALING_FORMAT=MLN","Sort=A","Dates=H","DateFormat=P","Fill=—","Direction=H","UseDPDF=Y")</f>
        <v>80</v>
      </c>
      <c r="Q9" s="13">
        <f>_xll.BDH("GILD US Equity","ARD_DEPRECIATION_CF","FQ2 2022","FQ2 2022","Currency=USD","Period=FQ","BEST_FPERIOD_OVERRIDE=FQ","FILING_STATUS=MR","SCALING_FORMAT=MLN","Sort=A","Dates=H","DateFormat=P","Fill=—","Direction=H","UseDPDF=Y")</f>
        <v>160</v>
      </c>
      <c r="R9" s="13">
        <f>_xll.BDH("GILD US Equity","ARD_DEPRECIATION_CF","FQ3 2022","FQ3 2022","Currency=USD","Period=FQ","BEST_FPERIOD_OVERRIDE=FQ","FILING_STATUS=MR","SCALING_FORMAT=MLN","Sort=A","Dates=H","DateFormat=P","Fill=—","Direction=H","UseDPDF=Y")</f>
        <v>240</v>
      </c>
      <c r="S9" s="13">
        <f>_xll.BDH("GILD US Equity","ARD_DEPRECIATION_CF","FQ4 2022","FQ4 2022","Currency=USD","Period=FQ","BEST_FPERIOD_OVERRIDE=FQ","FILING_STATUS=MR","SCALING_FORMAT=MLN","Sort=A","Dates=H","DateFormat=P","Fill=—","Direction=H","UseDPDF=Y")</f>
        <v>323</v>
      </c>
      <c r="T9" s="13">
        <f>_xll.BDH("GILD US Equity","ARD_DEPRECIATION_CF","FQ1 2023","FQ1 2023","Currency=USD","Period=FQ","BEST_FPERIOD_OVERRIDE=FQ","FILING_STATUS=MR","SCALING_FORMAT=MLN","Sort=A","Dates=H","DateFormat=P","Fill=—","Direction=H","UseDPDF=Y")</f>
        <v>94</v>
      </c>
      <c r="U9" s="13">
        <f>_xll.BDH("GILD US Equity","ARD_DEPRECIATION_CF","FQ2 2023","FQ2 2023","Currency=USD","Period=FQ","BEST_FPERIOD_OVERRIDE=FQ","FILING_STATUS=MR","SCALING_FORMAT=MLN","Sort=A","Dates=H","DateFormat=P","Fill=—","Direction=H","UseDPDF=Y")</f>
        <v>177</v>
      </c>
      <c r="V9" s="13">
        <f>_xll.BDH("GILD US Equity","ARD_DEPRECIATION_CF","FQ3 2023","FQ3 2023","Currency=USD","Period=FQ","BEST_FPERIOD_OVERRIDE=FQ","FILING_STATUS=MR","SCALING_FORMAT=MLN","Sort=A","Dates=H","DateFormat=P","Fill=—","Direction=H","UseDPDF=Y")</f>
        <v>263</v>
      </c>
      <c r="W9" s="13">
        <f>_xll.BDH("GILD US Equity","ARD_DEPRECIATION_CF","FQ4 2023","FQ4 2023","Currency=USD","Period=FQ","BEST_FPERIOD_OVERRIDE=FQ","FILING_STATUS=MR","SCALING_FORMAT=MLN","Sort=A","Dates=H","DateFormat=P","Fill=—","Direction=H","UseDPDF=Y")</f>
        <v>354</v>
      </c>
      <c r="X9" s="13">
        <f>_xll.BDH("GILD US Equity","ARD_DEPRECIATION_CF","FQ1 2024","FQ1 2024","Currency=USD","Period=FQ","BEST_FPERIOD_OVERRIDE=FQ","FILING_STATUS=MR","SCALING_FORMAT=MLN","Sort=A","Dates=H","DateFormat=P","Fill=—","Direction=H","UseDPDF=Y")</f>
        <v>94</v>
      </c>
      <c r="Y9" s="13">
        <f>_xll.BDH("GILD US Equity","ARD_DEPRECIATION_CF","FQ2 2024","FQ2 2024","Currency=USD","Period=FQ","BEST_FPERIOD_OVERRIDE=FQ","FILING_STATUS=MR","SCALING_FORMAT=MLN","Sort=A","Dates=H","DateFormat=P","Fill=—","Direction=H","UseDPDF=Y")</f>
        <v>192</v>
      </c>
      <c r="Z9" s="13">
        <f>_xll.BDH("GILD US Equity","ARD_DEPRECIATION_CF","FQ3 2024","FQ3 2024","Currency=USD","Period=FQ","BEST_FPERIOD_OVERRIDE=FQ","FILING_STATUS=MR","SCALING_FORMAT=MLN","Sort=A","Dates=H","DateFormat=P","Fill=—","Direction=H","UseDPDF=Y")</f>
        <v>286</v>
      </c>
      <c r="AA9" s="13">
        <f>_xll.BDH("GILD US Equity","ARD_DEPRECIATION_CF","FQ4 2024","FQ4 2024","Currency=USD","Period=FQ","BEST_FPERIOD_OVERRIDE=FQ","FILING_STATUS=MR","SCALING_FORMAT=MLN","Sort=A","Dates=H","DateFormat=P","Fill=—","Direction=H","UseDPDF=Y")</f>
        <v>381</v>
      </c>
    </row>
    <row r="10" spans="1:27" x14ac:dyDescent="0.25">
      <c r="A10" s="10" t="s">
        <v>1410</v>
      </c>
      <c r="B10" s="10" t="s">
        <v>1411</v>
      </c>
      <c r="C10" s="13">
        <f>_xll.BDH("GILD US Equity","ARD_AMORTIZATION_CF","FQ4 2018","FQ4 2018","Currency=USD","Period=FQ","BEST_FPERIOD_OVERRIDE=FQ","FILING_STATUS=MR","SCALING_FORMAT=MLN","Sort=A","Dates=H","DateFormat=P","Fill=—","Direction=H","UseDPDF=Y")</f>
        <v>1203</v>
      </c>
      <c r="D10" s="13">
        <f>_xll.BDH("GILD US Equity","ARD_AMORTIZATION_CF","FQ1 2019","FQ1 2019","Currency=USD","Period=FQ","BEST_FPERIOD_OVERRIDE=FQ","FILING_STATUS=MR","SCALING_FORMAT=MLN","Sort=A","Dates=H","DateFormat=P","Fill=—","Direction=H","UseDPDF=Y")</f>
        <v>299</v>
      </c>
      <c r="E10" s="13">
        <f>_xll.BDH("GILD US Equity","ARD_AMORTIZATION_CF","FQ2 2019","FQ2 2019","Currency=USD","Period=FQ","BEST_FPERIOD_OVERRIDE=FQ","FILING_STATUS=MR","SCALING_FORMAT=MLN","Sort=A","Dates=H","DateFormat=P","Fill=—","Direction=H","UseDPDF=Y")</f>
        <v>587</v>
      </c>
      <c r="F10" s="13">
        <f>_xll.BDH("GILD US Equity","ARD_AMORTIZATION_CF","FQ3 2019","FQ3 2019","Currency=USD","Period=FQ","BEST_FPERIOD_OVERRIDE=FQ","FILING_STATUS=MR","SCALING_FORMAT=MLN","Sort=A","Dates=H","DateFormat=P","Fill=—","Direction=H","UseDPDF=Y")</f>
        <v>868</v>
      </c>
      <c r="G10" s="13">
        <f>_xll.BDH("GILD US Equity","ARD_AMORTIZATION_CF","FQ4 2019","FQ4 2019","Currency=USD","Period=FQ","BEST_FPERIOD_OVERRIDE=FQ","FILING_STATUS=MR","SCALING_FORMAT=MLN","Sort=A","Dates=H","DateFormat=P","Fill=—","Direction=H","UseDPDF=Y")</f>
        <v>1149</v>
      </c>
      <c r="H10" s="13">
        <f>_xll.BDH("GILD US Equity","ARD_AMORTIZATION_CF","FQ1 2020","FQ1 2020","Currency=USD","Period=FQ","BEST_FPERIOD_OVERRIDE=FQ","FILING_STATUS=MR","SCALING_FORMAT=MLN","Sort=A","Dates=H","DateFormat=P","Fill=—","Direction=H","UseDPDF=Y")</f>
        <v>281</v>
      </c>
      <c r="I10" s="13">
        <f>_xll.BDH("GILD US Equity","ARD_AMORTIZATION_CF","FQ2 2020","FQ2 2020","Currency=USD","Period=FQ","BEST_FPERIOD_OVERRIDE=FQ","FILING_STATUS=MR","SCALING_FORMAT=MLN","Sort=A","Dates=H","DateFormat=P","Fill=—","Direction=H","UseDPDF=Y")</f>
        <v>562</v>
      </c>
      <c r="J10" s="13">
        <f>_xll.BDH("GILD US Equity","ARD_AMORTIZATION_CF","FQ3 2020","FQ3 2020","Currency=USD","Period=FQ","BEST_FPERIOD_OVERRIDE=FQ","FILING_STATUS=MR","SCALING_FORMAT=MLN","Sort=A","Dates=H","DateFormat=P","Fill=—","Direction=H","UseDPDF=Y")</f>
        <v>844</v>
      </c>
      <c r="K10" s="13">
        <f>_xll.BDH("GILD US Equity","ARD_AMORTIZATION_CF","FQ4 2020","FQ4 2020","Currency=USD","Period=FQ","BEST_FPERIOD_OVERRIDE=FQ","FILING_STATUS=MR","SCALING_FORMAT=MLN","Sort=A","Dates=H","DateFormat=P","Fill=—","Direction=H","UseDPDF=Y")</f>
        <v>1192</v>
      </c>
      <c r="L10" s="13">
        <f>_xll.BDH("GILD US Equity","ARD_AMORTIZATION_CF","FQ1 2021","FQ1 2021","Currency=USD","Period=FQ","BEST_FPERIOD_OVERRIDE=FQ","FILING_STATUS=MR","SCALING_FORMAT=MLN","Sort=A","Dates=H","DateFormat=P","Fill=—","Direction=H","UseDPDF=Y")</f>
        <v>395</v>
      </c>
      <c r="M10" s="13">
        <f>_xll.BDH("GILD US Equity","ARD_AMORTIZATION_CF","FQ2 2021","FQ2 2021","Currency=USD","Period=FQ","BEST_FPERIOD_OVERRIDE=FQ","FILING_STATUS=MR","SCALING_FORMAT=MLN","Sort=A","Dates=H","DateFormat=P","Fill=—","Direction=H","UseDPDF=Y")</f>
        <v>835</v>
      </c>
      <c r="N10" s="13">
        <f>_xll.BDH("GILD US Equity","ARD_AMORTIZATION_CF","FQ3 2021","FQ3 2021","Currency=USD","Period=FQ","BEST_FPERIOD_OVERRIDE=FQ","FILING_STATUS=MR","SCALING_FORMAT=MLN","Sort=A","Dates=H","DateFormat=P","Fill=—","Direction=H","UseDPDF=Y")</f>
        <v>1276</v>
      </c>
      <c r="O10" s="13">
        <f>_xll.BDH("GILD US Equity","ARD_AMORTIZATION_CF","FQ4 2021","FQ4 2021","Currency=USD","Period=FQ","BEST_FPERIOD_OVERRIDE=FQ","FILING_STATUS=MR","SCALING_FORMAT=MLN","Sort=A","Dates=H","DateFormat=P","Fill=—","Direction=H","UseDPDF=Y")</f>
        <v>1721</v>
      </c>
      <c r="P10" s="13">
        <f>_xll.BDH("GILD US Equity","ARD_AMORTIZATION_CF","FQ1 2022","FQ1 2022","Currency=USD","Period=FQ","BEST_FPERIOD_OVERRIDE=FQ","FILING_STATUS=MR","SCALING_FORMAT=MLN","Sort=A","Dates=H","DateFormat=P","Fill=—","Direction=H","UseDPDF=Y")</f>
        <v>445</v>
      </c>
      <c r="Q10" s="13">
        <f>_xll.BDH("GILD US Equity","ARD_AMORTIZATION_CF","FQ2 2022","FQ2 2022","Currency=USD","Period=FQ","BEST_FPERIOD_OVERRIDE=FQ","FILING_STATUS=MR","SCALING_FORMAT=MLN","Sort=A","Dates=H","DateFormat=P","Fill=—","Direction=H","UseDPDF=Y")</f>
        <v>890</v>
      </c>
      <c r="R10" s="13">
        <f>_xll.BDH("GILD US Equity","ARD_AMORTIZATION_CF","FQ3 2022","FQ3 2022","Currency=USD","Period=FQ","BEST_FPERIOD_OVERRIDE=FQ","FILING_STATUS=MR","SCALING_FORMAT=MLN","Sort=A","Dates=H","DateFormat=P","Fill=—","Direction=H","UseDPDF=Y")</f>
        <v>1335</v>
      </c>
      <c r="S10" s="13">
        <f>_xll.BDH("GILD US Equity","ARD_AMORTIZATION_CF","FQ4 2022","FQ4 2022","Currency=USD","Period=FQ","BEST_FPERIOD_OVERRIDE=FQ","FILING_STATUS=MR","SCALING_FORMAT=MLN","Sort=A","Dates=H","DateFormat=P","Fill=—","Direction=H","UseDPDF=Y")</f>
        <v>1780</v>
      </c>
      <c r="T10" s="13">
        <f>_xll.BDH("GILD US Equity","ARD_AMORTIZATION_CF","FQ1 2023","FQ1 2023","Currency=USD","Period=FQ","BEST_FPERIOD_OVERRIDE=FQ","FILING_STATUS=MR","SCALING_FORMAT=MLN","Sort=A","Dates=H","DateFormat=P","Fill=—","Direction=H","UseDPDF=Y")</f>
        <v>546</v>
      </c>
      <c r="U10" s="13">
        <f>_xll.BDH("GILD US Equity","ARD_AMORTIZATION_CF","FQ2 2023","FQ2 2023","Currency=USD","Period=FQ","BEST_FPERIOD_OVERRIDE=FQ","FILING_STATUS=MR","SCALING_FORMAT=MLN","Sort=A","Dates=H","DateFormat=P","Fill=—","Direction=H","UseDPDF=Y")</f>
        <v>1144</v>
      </c>
      <c r="V10" s="13">
        <f>_xll.BDH("GILD US Equity","ARD_AMORTIZATION_CF","FQ3 2023","FQ3 2023","Currency=USD","Period=FQ","BEST_FPERIOD_OVERRIDE=FQ","FILING_STATUS=MR","SCALING_FORMAT=MLN","Sort=A","Dates=H","DateFormat=P","Fill=—","Direction=H","UseDPDF=Y")</f>
        <v>1742</v>
      </c>
      <c r="W10" s="13">
        <f>_xll.BDH("GILD US Equity","ARD_AMORTIZATION_CF","FQ4 2023","FQ4 2023","Currency=USD","Period=FQ","BEST_FPERIOD_OVERRIDE=FQ","FILING_STATUS=MR","SCALING_FORMAT=MLN","Sort=A","Dates=H","DateFormat=P","Fill=—","Direction=H","UseDPDF=Y")</f>
        <v>2339</v>
      </c>
      <c r="X10" s="13">
        <f>_xll.BDH("GILD US Equity","ARD_AMORTIZATION_CF","FQ1 2024","FQ1 2024","Currency=USD","Period=FQ","BEST_FPERIOD_OVERRIDE=FQ","FILING_STATUS=MR","SCALING_FORMAT=MLN","Sort=A","Dates=H","DateFormat=P","Fill=—","Direction=H","UseDPDF=Y")</f>
        <v>596</v>
      </c>
      <c r="Y10" s="13">
        <f>_xll.BDH("GILD US Equity","ARD_AMORTIZATION_CF","FQ2 2024","FQ2 2024","Currency=USD","Period=FQ","BEST_FPERIOD_OVERRIDE=FQ","FILING_STATUS=MR","SCALING_FORMAT=MLN","Sort=A","Dates=H","DateFormat=P","Fill=—","Direction=H","UseDPDF=Y")</f>
        <v>1192</v>
      </c>
      <c r="Z10" s="13">
        <f>_xll.BDH("GILD US Equity","ARD_AMORTIZATION_CF","FQ3 2024","FQ3 2024","Currency=USD","Period=FQ","BEST_FPERIOD_OVERRIDE=FQ","FILING_STATUS=MR","SCALING_FORMAT=MLN","Sort=A","Dates=H","DateFormat=P","Fill=—","Direction=H","UseDPDF=Y")</f>
        <v>1788</v>
      </c>
      <c r="AA10" s="13">
        <f>_xll.BDH("GILD US Equity","ARD_AMORTIZATION_CF","FQ4 2024","FQ4 2024","Currency=USD","Period=FQ","BEST_FPERIOD_OVERRIDE=FQ","FILING_STATUS=MR","SCALING_FORMAT=MLN","Sort=A","Dates=H","DateFormat=P","Fill=—","Direction=H","UseDPDF=Y")</f>
        <v>2386</v>
      </c>
    </row>
    <row r="11" spans="1:27" x14ac:dyDescent="0.25">
      <c r="A11" s="10" t="s">
        <v>1412</v>
      </c>
      <c r="B11" s="10" t="s">
        <v>1413</v>
      </c>
      <c r="C11" s="13">
        <f>_xll.BDH("GILD US Equity","ARD_DEFERRED_INCOME_TAXES_CF","FQ4 2018","FQ4 2018","Currency=USD","Period=FQ","BEST_FPERIOD_OVERRIDE=FQ","FILING_STATUS=MR","SCALING_FORMAT=MLN","Sort=A","Dates=H","DateFormat=P","Fill=—","Direction=H","UseDPDF=Y")</f>
        <v>289</v>
      </c>
      <c r="D11" s="13">
        <f>_xll.BDH("GILD US Equity","ARD_DEFERRED_INCOME_TAXES_CF","FQ1 2019","FQ1 2019","Currency=USD","Period=FQ","BEST_FPERIOD_OVERRIDE=FQ","FILING_STATUS=MR","SCALING_FORMAT=MLN","Sort=A","Dates=H","DateFormat=P","Fill=—","Direction=H","UseDPDF=Y")</f>
        <v>24</v>
      </c>
      <c r="E11" s="13">
        <f>_xll.BDH("GILD US Equity","ARD_DEFERRED_INCOME_TAXES_CF","FQ2 2019","FQ2 2019","Currency=USD","Period=FQ","BEST_FPERIOD_OVERRIDE=FQ","FILING_STATUS=MR","SCALING_FORMAT=MLN","Sort=A","Dates=H","DateFormat=P","Fill=—","Direction=H","UseDPDF=Y")</f>
        <v>28</v>
      </c>
      <c r="F11" s="13">
        <f>_xll.BDH("GILD US Equity","ARD_DEFERRED_INCOME_TAXES_CF","FQ3 2019","FQ3 2019","Currency=USD","Period=FQ","BEST_FPERIOD_OVERRIDE=FQ","FILING_STATUS=MR","SCALING_FORMAT=MLN","Sort=A","Dates=H","DateFormat=P","Fill=—","Direction=H","UseDPDF=Y")</f>
        <v>-796</v>
      </c>
      <c r="G11" s="13">
        <f>_xll.BDH("GILD US Equity","ARD_DEFERRED_INCOME_TAXES_CF","FQ4 2019","FQ4 2019","Currency=USD","Period=FQ","BEST_FPERIOD_OVERRIDE=FQ","FILING_STATUS=MR","SCALING_FORMAT=MLN","Sort=A","Dates=H","DateFormat=P","Fill=—","Direction=H","UseDPDF=Y")</f>
        <v>-2098</v>
      </c>
      <c r="H11" s="13">
        <f>_xll.BDH("GILD US Equity","ARD_DEFERRED_INCOME_TAXES_CF","FQ1 2020","FQ1 2020","Currency=USD","Period=FQ","BEST_FPERIOD_OVERRIDE=FQ","FILING_STATUS=MR","SCALING_FORMAT=MLN","Sort=A","Dates=H","DateFormat=P","Fill=—","Direction=H","UseDPDF=Y")</f>
        <v>56</v>
      </c>
      <c r="I11" s="13">
        <f>_xll.BDH("GILD US Equity","ARD_DEFERRED_INCOME_TAXES_CF","FQ2 2020","FQ2 2020","Currency=USD","Period=FQ","BEST_FPERIOD_OVERRIDE=FQ","FILING_STATUS=MR","SCALING_FORMAT=MLN","Sort=A","Dates=H","DateFormat=P","Fill=—","Direction=H","UseDPDF=Y")</f>
        <v>109</v>
      </c>
      <c r="J11" s="13">
        <f>_xll.BDH("GILD US Equity","ARD_DEFERRED_INCOME_TAXES_CF","FQ3 2020","FQ3 2020","Currency=USD","Period=FQ","BEST_FPERIOD_OVERRIDE=FQ","FILING_STATUS=MR","SCALING_FORMAT=MLN","Sort=A","Dates=H","DateFormat=P","Fill=—","Direction=H","UseDPDF=Y")</f>
        <v>-12</v>
      </c>
      <c r="K11" s="13">
        <f>_xll.BDH("GILD US Equity","ARD_DEFERRED_INCOME_TAXES_CF","FQ4 2020","FQ4 2020","Currency=USD","Period=FQ","BEST_FPERIOD_OVERRIDE=FQ","FILING_STATUS=MR","SCALING_FORMAT=MLN","Sort=A","Dates=H","DateFormat=P","Fill=—","Direction=H","UseDPDF=Y")</f>
        <v>-214</v>
      </c>
      <c r="L11" s="13">
        <f>_xll.BDH("GILD US Equity","ARD_DEFERRED_INCOME_TAXES_CF","FQ1 2021","FQ1 2021","Currency=USD","Period=FQ","BEST_FPERIOD_OVERRIDE=FQ","FILING_STATUS=MR","SCALING_FORMAT=MLN","Sort=A","Dates=H","DateFormat=P","Fill=—","Direction=H","UseDPDF=Y")</f>
        <v>71</v>
      </c>
      <c r="M11" s="13">
        <f>_xll.BDH("GILD US Equity","ARD_DEFERRED_INCOME_TAXES_CF","FQ2 2021","FQ2 2021","Currency=USD","Period=FQ","BEST_FPERIOD_OVERRIDE=FQ","FILING_STATUS=MR","SCALING_FORMAT=MLN","Sort=A","Dates=H","DateFormat=P","Fill=—","Direction=H","UseDPDF=Y")</f>
        <v>3</v>
      </c>
      <c r="N11" s="13">
        <f>_xll.BDH("GILD US Equity","ARD_DEFERRED_INCOME_TAXES_CF","FQ3 2021","FQ3 2021","Currency=USD","Period=FQ","BEST_FPERIOD_OVERRIDE=FQ","FILING_STATUS=MR","SCALING_FORMAT=MLN","Sort=A","Dates=H","DateFormat=P","Fill=—","Direction=H","UseDPDF=Y")</f>
        <v>243</v>
      </c>
      <c r="O11" s="13">
        <f>_xll.BDH("GILD US Equity","ARD_DEFERRED_INCOME_TAXES_CF","FQ4 2021","FQ4 2021","Currency=USD","Period=FQ","BEST_FPERIOD_OVERRIDE=FQ","FILING_STATUS=MR","SCALING_FORMAT=MLN","Sort=A","Dates=H","DateFormat=P","Fill=—","Direction=H","UseDPDF=Y")</f>
        <v>-116</v>
      </c>
      <c r="P11" s="13">
        <f>_xll.BDH("GILD US Equity","ARD_DEFERRED_INCOME_TAXES_CF","FQ1 2022","FQ1 2022","Currency=USD","Period=FQ","BEST_FPERIOD_OVERRIDE=FQ","FILING_STATUS=MR","SCALING_FORMAT=MLN","Sort=A","Dates=H","DateFormat=P","Fill=—","Direction=H","UseDPDF=Y")</f>
        <v>-651</v>
      </c>
      <c r="Q11" s="13">
        <f>_xll.BDH("GILD US Equity","ARD_DEFERRED_INCOME_TAXES_CF","FQ2 2022","FQ2 2022","Currency=USD","Period=FQ","BEST_FPERIOD_OVERRIDE=FQ","FILING_STATUS=MR","SCALING_FORMAT=MLN","Sort=A","Dates=H","DateFormat=P","Fill=—","Direction=H","UseDPDF=Y")</f>
        <v>-944</v>
      </c>
      <c r="R11" s="13">
        <f>_xll.BDH("GILD US Equity","ARD_DEFERRED_INCOME_TAXES_CF","FQ3 2022","FQ3 2022","Currency=USD","Period=FQ","BEST_FPERIOD_OVERRIDE=FQ","FILING_STATUS=MR","SCALING_FORMAT=MLN","Sort=A","Dates=H","DateFormat=P","Fill=—","Direction=H","UseDPDF=Y")</f>
        <v>-1214</v>
      </c>
      <c r="S11" s="13">
        <f>_xll.BDH("GILD US Equity","ARD_DEFERRED_INCOME_TAXES_CF","FQ4 2022","FQ4 2022","Currency=USD","Period=FQ","BEST_FPERIOD_OVERRIDE=FQ","FILING_STATUS=MR","SCALING_FORMAT=MLN","Sort=A","Dates=H","DateFormat=P","Fill=—","Direction=H","UseDPDF=Y")</f>
        <v>-1552</v>
      </c>
      <c r="T11" s="13">
        <f>_xll.BDH("GILD US Equity","ARD_DEFERRED_INCOME_TAXES_CF","FQ1 2023","FQ1 2023","Currency=USD","Period=FQ","BEST_FPERIOD_OVERRIDE=FQ","FILING_STATUS=MR","SCALING_FORMAT=MLN","Sort=A","Dates=H","DateFormat=P","Fill=—","Direction=H","UseDPDF=Y")</f>
        <v>-303</v>
      </c>
      <c r="U11" s="13">
        <f>_xll.BDH("GILD US Equity","ARD_DEFERRED_INCOME_TAXES_CF","FQ2 2023","FQ2 2023","Currency=USD","Period=FQ","BEST_FPERIOD_OVERRIDE=FQ","FILING_STATUS=MR","SCALING_FORMAT=MLN","Sort=A","Dates=H","DateFormat=P","Fill=—","Direction=H","UseDPDF=Y")</f>
        <v>-524</v>
      </c>
      <c r="V11" s="13">
        <f>_xll.BDH("GILD US Equity","ARD_DEFERRED_INCOME_TAXES_CF","FQ3 2023","FQ3 2023","Currency=USD","Period=FQ","BEST_FPERIOD_OVERRIDE=FQ","FILING_STATUS=MR","SCALING_FORMAT=MLN","Sort=A","Dates=H","DateFormat=P","Fill=—","Direction=H","UseDPDF=Y")</f>
        <v>-592</v>
      </c>
      <c r="W11" s="13">
        <f>_xll.BDH("GILD US Equity","ARD_DEFERRED_INCOME_TAXES_CF","FQ4 2023","FQ4 2023","Currency=USD","Period=FQ","BEST_FPERIOD_OVERRIDE=FQ","FILING_STATUS=MR","SCALING_FORMAT=MLN","Sort=A","Dates=H","DateFormat=P","Fill=—","Direction=H","UseDPDF=Y")</f>
        <v>-962</v>
      </c>
      <c r="X11" s="13">
        <f>_xll.BDH("GILD US Equity","ARD_DEFERRED_INCOME_TAXES_CF","FQ1 2024","FQ1 2024","Currency=USD","Period=FQ","BEST_FPERIOD_OVERRIDE=FQ","FILING_STATUS=MR","SCALING_FORMAT=MLN","Sort=A","Dates=H","DateFormat=P","Fill=—","Direction=H","UseDPDF=Y")</f>
        <v>-723</v>
      </c>
      <c r="Y11" s="13">
        <f>_xll.BDH("GILD US Equity","ARD_DEFERRED_INCOME_TAXES_CF","FQ2 2024","FQ2 2024","Currency=USD","Period=FQ","BEST_FPERIOD_OVERRIDE=FQ","FILING_STATUS=MR","SCALING_FORMAT=MLN","Sort=A","Dates=H","DateFormat=P","Fill=—","Direction=H","UseDPDF=Y")</f>
        <v>-889</v>
      </c>
      <c r="Z11" s="13">
        <f>_xll.BDH("GILD US Equity","ARD_DEFERRED_INCOME_TAXES_CF","FQ3 2024","FQ3 2024","Currency=USD","Period=FQ","BEST_FPERIOD_OVERRIDE=FQ","FILING_STATUS=MR","SCALING_FORMAT=MLN","Sort=A","Dates=H","DateFormat=P","Fill=—","Direction=H","UseDPDF=Y")</f>
        <v>-1465</v>
      </c>
      <c r="AA11" s="13">
        <f>_xll.BDH("GILD US Equity","ARD_DEFERRED_INCOME_TAXES_CF","FQ4 2024","FQ4 2024","Currency=USD","Period=FQ","BEST_FPERIOD_OVERRIDE=FQ","FILING_STATUS=MR","SCALING_FORMAT=MLN","Sort=A","Dates=H","DateFormat=P","Fill=—","Direction=H","UseDPDF=Y")</f>
        <v>-1844</v>
      </c>
    </row>
    <row r="12" spans="1:27" x14ac:dyDescent="0.25">
      <c r="A12" s="10" t="s">
        <v>714</v>
      </c>
      <c r="B12" s="10" t="s">
        <v>1414</v>
      </c>
      <c r="C12" s="13">
        <f>_xll.BDH("GILD US Equity","ARD_STOCK_BASED_COMPENSATION","FQ4 2018","FQ4 2018","Currency=USD","Period=FQ","BEST_FPERIOD_OVERRIDE=FQ","FILING_STATUS=MR","SCALING_FORMAT=MLN","Sort=A","Dates=H","DateFormat=P","Fill=—","Direction=H","UseDPDF=Y")</f>
        <v>845</v>
      </c>
      <c r="D12" s="13">
        <f>_xll.BDH("GILD US Equity","ARD_STOCK_BASED_COMPENSATION","FQ1 2019","FQ1 2019","Currency=USD","Period=FQ","BEST_FPERIOD_OVERRIDE=FQ","FILING_STATUS=MR","SCALING_FORMAT=MLN","Sort=A","Dates=H","DateFormat=P","Fill=—","Direction=H","UseDPDF=Y")</f>
        <v>143</v>
      </c>
      <c r="E12" s="13">
        <f>_xll.BDH("GILD US Equity","ARD_STOCK_BASED_COMPENSATION","FQ2 2019","FQ2 2019","Currency=USD","Period=FQ","BEST_FPERIOD_OVERRIDE=FQ","FILING_STATUS=MR","SCALING_FORMAT=MLN","Sort=A","Dates=H","DateFormat=P","Fill=—","Direction=H","UseDPDF=Y")</f>
        <v>317</v>
      </c>
      <c r="F12" s="13">
        <f>_xll.BDH("GILD US Equity","ARD_STOCK_BASED_COMPENSATION","FQ3 2019","FQ3 2019","Currency=USD","Period=FQ","BEST_FPERIOD_OVERRIDE=FQ","FILING_STATUS=MR","SCALING_FORMAT=MLN","Sort=A","Dates=H","DateFormat=P","Fill=—","Direction=H","UseDPDF=Y")</f>
        <v>479</v>
      </c>
      <c r="G12" s="13">
        <f>_xll.BDH("GILD US Equity","ARD_STOCK_BASED_COMPENSATION","FQ4 2019","FQ4 2019","Currency=USD","Period=FQ","BEST_FPERIOD_OVERRIDE=FQ","FILING_STATUS=MR","SCALING_FORMAT=MLN","Sort=A","Dates=H","DateFormat=P","Fill=—","Direction=H","UseDPDF=Y")</f>
        <v>636</v>
      </c>
      <c r="H12" s="13">
        <f>_xll.BDH("GILD US Equity","ARD_STOCK_BASED_COMPENSATION","FQ1 2020","FQ1 2020","Currency=USD","Period=FQ","BEST_FPERIOD_OVERRIDE=FQ","FILING_STATUS=MR","SCALING_FORMAT=MLN","Sort=A","Dates=H","DateFormat=P","Fill=—","Direction=H","UseDPDF=Y")</f>
        <v>141</v>
      </c>
      <c r="I12" s="13">
        <f>_xll.BDH("GILD US Equity","ARD_STOCK_BASED_COMPENSATION","FQ2 2020","FQ2 2020","Currency=USD","Period=FQ","BEST_FPERIOD_OVERRIDE=FQ","FILING_STATUS=MR","SCALING_FORMAT=MLN","Sort=A","Dates=H","DateFormat=P","Fill=—","Direction=H","UseDPDF=Y")</f>
        <v>309</v>
      </c>
      <c r="J12" s="13">
        <f>_xll.BDH("GILD US Equity","ARD_STOCK_BASED_COMPENSATION","FQ3 2020","FQ3 2020","Currency=USD","Period=FQ","BEST_FPERIOD_OVERRIDE=FQ","FILING_STATUS=MR","SCALING_FORMAT=MLN","Sort=A","Dates=H","DateFormat=P","Fill=—","Direction=H","UseDPDF=Y")</f>
        <v>482</v>
      </c>
      <c r="K12" s="13">
        <f>_xll.BDH("GILD US Equity","ARD_STOCK_BASED_COMPENSATION","FQ4 2020","FQ4 2020","Currency=USD","Period=FQ","BEST_FPERIOD_OVERRIDE=FQ","FILING_STATUS=MR","SCALING_FORMAT=MLN","Sort=A","Dates=H","DateFormat=P","Fill=—","Direction=H","UseDPDF=Y")</f>
        <v>643</v>
      </c>
      <c r="L12" s="13">
        <f>_xll.BDH("GILD US Equity","ARD_STOCK_BASED_COMPENSATION","FQ1 2021","FQ1 2021","Currency=USD","Period=FQ","BEST_FPERIOD_OVERRIDE=FQ","FILING_STATUS=MR","SCALING_FORMAT=MLN","Sort=A","Dates=H","DateFormat=P","Fill=—","Direction=H","UseDPDF=Y")</f>
        <v>139</v>
      </c>
      <c r="M12" s="13">
        <f>_xll.BDH("GILD US Equity","ARD_STOCK_BASED_COMPENSATION","FQ2 2021","FQ2 2021","Currency=USD","Period=FQ","BEST_FPERIOD_OVERRIDE=FQ","FILING_STATUS=MR","SCALING_FORMAT=MLN","Sort=A","Dates=H","DateFormat=P","Fill=—","Direction=H","UseDPDF=Y")</f>
        <v>305</v>
      </c>
      <c r="N12" s="13">
        <f>_xll.BDH("GILD US Equity","ARD_STOCK_BASED_COMPENSATION","FQ3 2021","FQ3 2021","Currency=USD","Period=FQ","BEST_FPERIOD_OVERRIDE=FQ","FILING_STATUS=MR","SCALING_FORMAT=MLN","Sort=A","Dates=H","DateFormat=P","Fill=—","Direction=H","UseDPDF=Y")</f>
        <v>476</v>
      </c>
      <c r="O12" s="13">
        <f>_xll.BDH("GILD US Equity","ARD_STOCK_BASED_COMPENSATION","FQ4 2021","FQ4 2021","Currency=USD","Period=FQ","BEST_FPERIOD_OVERRIDE=FQ","FILING_STATUS=MR","SCALING_FORMAT=MLN","Sort=A","Dates=H","DateFormat=P","Fill=—","Direction=H","UseDPDF=Y")</f>
        <v>635</v>
      </c>
      <c r="P12" s="13">
        <f>_xll.BDH("GILD US Equity","ARD_STOCK_BASED_COMPENSATION","FQ1 2022","FQ1 2022","Currency=USD","Period=FQ","BEST_FPERIOD_OVERRIDE=FQ","FILING_STATUS=MR","SCALING_FORMAT=MLN","Sort=A","Dates=H","DateFormat=P","Fill=—","Direction=H","UseDPDF=Y")</f>
        <v>130</v>
      </c>
      <c r="Q12" s="13">
        <f>_xll.BDH("GILD US Equity","ARD_STOCK_BASED_COMPENSATION","FQ2 2022","FQ2 2022","Currency=USD","Period=FQ","BEST_FPERIOD_OVERRIDE=FQ","FILING_STATUS=MR","SCALING_FORMAT=MLN","Sort=A","Dates=H","DateFormat=P","Fill=—","Direction=H","UseDPDF=Y")</f>
        <v>295</v>
      </c>
      <c r="R12" s="13">
        <f>_xll.BDH("GILD US Equity","ARD_STOCK_BASED_COMPENSATION","FQ3 2022","FQ3 2022","Currency=USD","Period=FQ","BEST_FPERIOD_OVERRIDE=FQ","FILING_STATUS=MR","SCALING_FORMAT=MLN","Sort=A","Dates=H","DateFormat=P","Fill=—","Direction=H","UseDPDF=Y")</f>
        <v>463</v>
      </c>
      <c r="S12" s="13">
        <f>_xll.BDH("GILD US Equity","ARD_STOCK_BASED_COMPENSATION","FQ4 2022","FQ4 2022","Currency=USD","Period=FQ","BEST_FPERIOD_OVERRIDE=FQ","FILING_STATUS=MR","SCALING_FORMAT=MLN","Sort=A","Dates=H","DateFormat=P","Fill=—","Direction=H","UseDPDF=Y")</f>
        <v>637</v>
      </c>
      <c r="T12" s="13">
        <f>_xll.BDH("GILD US Equity","ARD_STOCK_BASED_COMPENSATION","FQ1 2023","FQ1 2023","Currency=USD","Period=FQ","BEST_FPERIOD_OVERRIDE=FQ","FILING_STATUS=MR","SCALING_FORMAT=MLN","Sort=A","Dates=H","DateFormat=P","Fill=—","Direction=H","UseDPDF=Y")</f>
        <v>165</v>
      </c>
      <c r="U12" s="13">
        <f>_xll.BDH("GILD US Equity","ARD_STOCK_BASED_COMPENSATION","FQ2 2023","FQ2 2023","Currency=USD","Period=FQ","BEST_FPERIOD_OVERRIDE=FQ","FILING_STATUS=MR","SCALING_FORMAT=MLN","Sort=A","Dates=H","DateFormat=P","Fill=—","Direction=H","UseDPDF=Y")</f>
        <v>363</v>
      </c>
      <c r="V12" s="13">
        <f>_xll.BDH("GILD US Equity","ARD_STOCK_BASED_COMPENSATION","FQ3 2023","FQ3 2023","Currency=USD","Period=FQ","BEST_FPERIOD_OVERRIDE=FQ","FILING_STATUS=MR","SCALING_FORMAT=MLN","Sort=A","Dates=H","DateFormat=P","Fill=—","Direction=H","UseDPDF=Y")</f>
        <v>565</v>
      </c>
      <c r="W12" s="13">
        <f>_xll.BDH("GILD US Equity","ARD_STOCK_BASED_COMPENSATION","FQ4 2023","FQ4 2023","Currency=USD","Period=FQ","BEST_FPERIOD_OVERRIDE=FQ","FILING_STATUS=MR","SCALING_FORMAT=MLN","Sort=A","Dates=H","DateFormat=P","Fill=—","Direction=H","UseDPDF=Y")</f>
        <v>766</v>
      </c>
      <c r="X12" s="13">
        <f>_xll.BDH("GILD US Equity","ARD_STOCK_BASED_COMPENSATION","FQ1 2024","FQ1 2024","Currency=USD","Period=FQ","BEST_FPERIOD_OVERRIDE=FQ","FILING_STATUS=MR","SCALING_FORMAT=MLN","Sort=A","Dates=H","DateFormat=P","Fill=—","Direction=H","UseDPDF=Y")</f>
        <v>187</v>
      </c>
      <c r="Y12" s="13">
        <f>_xll.BDH("GILD US Equity","ARD_STOCK_BASED_COMPENSATION","FQ2 2024","FQ2 2024","Currency=USD","Period=FQ","BEST_FPERIOD_OVERRIDE=FQ","FILING_STATUS=MR","SCALING_FORMAT=MLN","Sort=A","Dates=H","DateFormat=P","Fill=—","Direction=H","UseDPDF=Y")</f>
        <v>397</v>
      </c>
      <c r="Z12" s="13">
        <f>_xll.BDH("GILD US Equity","ARD_STOCK_BASED_COMPENSATION","FQ3 2024","FQ3 2024","Currency=USD","Period=FQ","BEST_FPERIOD_OVERRIDE=FQ","FILING_STATUS=MR","SCALING_FORMAT=MLN","Sort=A","Dates=H","DateFormat=P","Fill=—","Direction=H","UseDPDF=Y")</f>
        <v>613</v>
      </c>
      <c r="AA12" s="13">
        <f>_xll.BDH("GILD US Equity","ARD_STOCK_BASED_COMPENSATION","FQ4 2024","FQ4 2024","Currency=USD","Period=FQ","BEST_FPERIOD_OVERRIDE=FQ","FILING_STATUS=MR","SCALING_FORMAT=MLN","Sort=A","Dates=H","DateFormat=P","Fill=—","Direction=H","UseDPDF=Y")</f>
        <v>835</v>
      </c>
    </row>
    <row r="13" spans="1:27" x14ac:dyDescent="0.25">
      <c r="A13" s="10" t="s">
        <v>1415</v>
      </c>
      <c r="B13" s="10" t="s">
        <v>1416</v>
      </c>
      <c r="C13" s="13">
        <f>_xll.BDH("GILD US Equity","ARD_OTHER_NON_CASH_ITEMS","FQ4 2018","FQ4 2018","Currency=USD","Period=FQ","BEST_FPERIOD_OVERRIDE=FQ","FILING_STATUS=MR","SCALING_FORMAT=MLN","Sort=A","Dates=H","DateFormat=P","Fill=—","Direction=H","UseDPDF=Y")</f>
        <v>611</v>
      </c>
      <c r="D13" s="13">
        <f>_xll.BDH("GILD US Equity","ARD_OTHER_NON_CASH_ITEMS","FQ1 2019","FQ1 2019","Currency=USD","Period=FQ","BEST_FPERIOD_OVERRIDE=FQ","FILING_STATUS=MR","SCALING_FORMAT=MLN","Sort=A","Dates=H","DateFormat=P","Fill=—","Direction=H","UseDPDF=Y")</f>
        <v>-157</v>
      </c>
      <c r="E13" s="13">
        <f>_xll.BDH("GILD US Equity","ARD_OTHER_NON_CASH_ITEMS","FQ2 2019","FQ2 2019","Currency=USD","Period=FQ","BEST_FPERIOD_OVERRIDE=FQ","FILING_STATUS=MR","SCALING_FORMAT=MLN","Sort=A","Dates=H","DateFormat=P","Fill=—","Direction=H","UseDPDF=Y")</f>
        <v>81</v>
      </c>
      <c r="F13" s="13">
        <f>_xll.BDH("GILD US Equity","ARD_OTHER_NON_CASH_ITEMS","FQ3 2019","FQ3 2019","Currency=USD","Period=FQ","BEST_FPERIOD_OVERRIDE=FQ","FILING_STATUS=MR","SCALING_FORMAT=MLN","Sort=A","Dates=H","DateFormat=P","Fill=—","Direction=H","UseDPDF=Y")</f>
        <v>199</v>
      </c>
      <c r="G13" s="13">
        <f>_xll.BDH("GILD US Equity","ARD_OTHER_NON_CASH_ITEMS","FQ4 2019","FQ4 2019","Currency=USD","Period=FQ","BEST_FPERIOD_OVERRIDE=FQ","FILING_STATUS=MR","SCALING_FORMAT=MLN","Sort=A","Dates=H","DateFormat=P","Fill=—","Direction=H","UseDPDF=Y")</f>
        <v>826</v>
      </c>
      <c r="H13" s="13">
        <f>_xll.BDH("GILD US Equity","ARD_OTHER_NON_CASH_ITEMS","FQ1 2020","FQ1 2020","Currency=USD","Period=FQ","BEST_FPERIOD_OVERRIDE=FQ","FILING_STATUS=MR","SCALING_FORMAT=MLN","Sort=A","Dates=H","DateFormat=P","Fill=—","Direction=H","UseDPDF=Y")</f>
        <v>73</v>
      </c>
      <c r="I13" s="13">
        <f>_xll.BDH("GILD US Equity","ARD_OTHER_NON_CASH_ITEMS","FQ2 2020","FQ2 2020","Currency=USD","Period=FQ","BEST_FPERIOD_OVERRIDE=FQ","FILING_STATUS=MR","SCALING_FORMAT=MLN","Sort=A","Dates=H","DateFormat=P","Fill=—","Direction=H","UseDPDF=Y")</f>
        <v>130</v>
      </c>
      <c r="J13" s="13">
        <f>_xll.BDH("GILD US Equity","ARD_OTHER_NON_CASH_ITEMS","FQ3 2020","FQ3 2020","Currency=USD","Period=FQ","BEST_FPERIOD_OVERRIDE=FQ","FILING_STATUS=MR","SCALING_FORMAT=MLN","Sort=A","Dates=H","DateFormat=P","Fill=—","Direction=H","UseDPDF=Y")</f>
        <v>210</v>
      </c>
      <c r="K13" s="13">
        <f>_xll.BDH("GILD US Equity","ARD_OTHER_NON_CASH_ITEMS","FQ4 2020","FQ4 2020","Currency=USD","Period=FQ","BEST_FPERIOD_OVERRIDE=FQ","FILING_STATUS=MR","SCALING_FORMAT=MLN","Sort=A","Dates=H","DateFormat=P","Fill=—","Direction=H","UseDPDF=Y")</f>
        <v>178</v>
      </c>
      <c r="L13" s="13">
        <f>_xll.BDH("GILD US Equity","ARD_OTHER_NON_CASH_ITEMS","FQ1 2021","FQ1 2021","Currency=USD","Period=FQ","BEST_FPERIOD_OVERRIDE=FQ","FILING_STATUS=MR","SCALING_FORMAT=MLN","Sort=A","Dates=H","DateFormat=P","Fill=—","Direction=H","UseDPDF=Y")</f>
        <v>201</v>
      </c>
      <c r="M13" s="13">
        <f>_xll.BDH("GILD US Equity","ARD_OTHER_NON_CASH_ITEMS","FQ2 2021","FQ2 2021","Currency=USD","Period=FQ","BEST_FPERIOD_OVERRIDE=FQ","FILING_STATUS=MR","SCALING_FORMAT=MLN","Sort=A","Dates=H","DateFormat=P","Fill=—","Direction=H","UseDPDF=Y")</f>
        <v>576</v>
      </c>
      <c r="N13" s="13">
        <f>_xll.BDH("GILD US Equity","ARD_OTHER_NON_CASH_ITEMS","FQ3 2021","FQ3 2021","Currency=USD","Period=FQ","BEST_FPERIOD_OVERRIDE=FQ","FILING_STATUS=MR","SCALING_FORMAT=MLN","Sort=A","Dates=H","DateFormat=P","Fill=—","Direction=H","UseDPDF=Y")</f>
        <v>508</v>
      </c>
      <c r="O13" s="13">
        <f>_xll.BDH("GILD US Equity","ARD_OTHER_NON_CASH_ITEMS","FQ4 2021","FQ4 2021","Currency=USD","Period=FQ","BEST_FPERIOD_OVERRIDE=FQ","FILING_STATUS=MR","SCALING_FORMAT=MLN","Sort=A","Dates=H","DateFormat=P","Fill=—","Direction=H","UseDPDF=Y")</f>
        <v>576</v>
      </c>
      <c r="P13" s="13">
        <f>_xll.BDH("GILD US Equity","ARD_OTHER_NON_CASH_ITEMS","FQ1 2022","FQ1 2022","Currency=USD","Period=FQ","BEST_FPERIOD_OVERRIDE=FQ","FILING_STATUS=MR","SCALING_FORMAT=MLN","Sort=A","Dates=H","DateFormat=P","Fill=—","Direction=H","UseDPDF=Y")</f>
        <v>190</v>
      </c>
      <c r="Q13" s="13">
        <f>_xll.BDH("GILD US Equity","ARD_OTHER_NON_CASH_ITEMS","FQ2 2022","FQ2 2022","Currency=USD","Period=FQ","BEST_FPERIOD_OVERRIDE=FQ","FILING_STATUS=MR","SCALING_FORMAT=MLN","Sort=A","Dates=H","DateFormat=P","Fill=—","Direction=H","UseDPDF=Y")</f>
        <v>3120</v>
      </c>
      <c r="R13" s="13">
        <f>_xll.BDH("GILD US Equity","ARD_OTHER_NON_CASH_ITEMS","FQ3 2022","FQ3 2022","Currency=USD","Period=FQ","BEST_FPERIOD_OVERRIDE=FQ","FILING_STATUS=MR","SCALING_FORMAT=MLN","Sort=A","Dates=H","DateFormat=P","Fill=—","Direction=H","UseDPDF=Y")</f>
        <v>320</v>
      </c>
      <c r="S13" s="13">
        <f>_xll.BDH("GILD US Equity","ARD_OTHER_NON_CASH_ITEMS","FQ4 2022","FQ4 2022","Currency=USD","Period=FQ","BEST_FPERIOD_OVERRIDE=FQ","FILING_STATUS=MR","SCALING_FORMAT=MLN","Sort=A","Dates=H","DateFormat=P","Fill=—","Direction=H","UseDPDF=Y")</f>
        <v>780</v>
      </c>
      <c r="T13" s="13">
        <f>_xll.BDH("GILD US Equity","ARD_OTHER_NON_CASH_ITEMS","FQ1 2023","FQ1 2023","Currency=USD","Period=FQ","BEST_FPERIOD_OVERRIDE=FQ","FILING_STATUS=MR","SCALING_FORMAT=MLN","Sort=A","Dates=H","DateFormat=P","Fill=—","Direction=H","UseDPDF=Y")</f>
        <v>62</v>
      </c>
      <c r="U13" s="13">
        <f>_xll.BDH("GILD US Equity","ARD_OTHER_NON_CASH_ITEMS","FQ2 2023","FQ2 2023","Currency=USD","Period=FQ","BEST_FPERIOD_OVERRIDE=FQ","FILING_STATUS=MR","SCALING_FORMAT=MLN","Sort=A","Dates=H","DateFormat=P","Fill=—","Direction=H","UseDPDF=Y")</f>
        <v>205</v>
      </c>
      <c r="V13" s="13">
        <f>_xll.BDH("GILD US Equity","ARD_OTHER_NON_CASH_ITEMS","FQ3 2023","FQ3 2023","Currency=USD","Period=FQ","BEST_FPERIOD_OVERRIDE=FQ","FILING_STATUS=MR","SCALING_FORMAT=MLN","Sort=A","Dates=H","DateFormat=P","Fill=—","Direction=H","UseDPDF=Y")</f>
        <v>259</v>
      </c>
      <c r="W13" s="13">
        <f>_xll.BDH("GILD US Equity","ARD_OTHER_NON_CASH_ITEMS","FQ4 2023","FQ4 2023","Currency=USD","Period=FQ","BEST_FPERIOD_OVERRIDE=FQ","FILING_STATUS=MR","SCALING_FORMAT=MLN","Sort=A","Dates=H","DateFormat=P","Fill=—","Direction=H","UseDPDF=Y")</f>
        <v>826</v>
      </c>
      <c r="X13" s="13">
        <f>_xll.BDH("GILD US Equity","ARD_OTHER_NON_CASH_ITEMS","FQ1 2024","FQ1 2024","Currency=USD","Period=FQ","BEST_FPERIOD_OVERRIDE=FQ","FILING_STATUS=MR","SCALING_FORMAT=MLN","Sort=A","Dates=H","DateFormat=P","Fill=—","Direction=H","UseDPDF=Y")</f>
        <v>119</v>
      </c>
      <c r="Y13" s="13">
        <f>_xll.BDH("GILD US Equity","ARD_OTHER_NON_CASH_ITEMS","FQ2 2024","FQ2 2024","Currency=USD","Period=FQ","BEST_FPERIOD_OVERRIDE=FQ","FILING_STATUS=MR","SCALING_FORMAT=MLN","Sort=A","Dates=H","DateFormat=P","Fill=—","Direction=H","UseDPDF=Y")</f>
        <v>209</v>
      </c>
      <c r="Z13" s="13">
        <f>_xll.BDH("GILD US Equity","ARD_OTHER_NON_CASH_ITEMS","FQ3 2024","FQ3 2024","Currency=USD","Period=FQ","BEST_FPERIOD_OVERRIDE=FQ","FILING_STATUS=MR","SCALING_FORMAT=MLN","Sort=A","Dates=H","DateFormat=P","Fill=—","Direction=H","UseDPDF=Y")</f>
        <v>295</v>
      </c>
      <c r="AA13" s="13">
        <f>_xll.BDH("GILD US Equity","ARD_OTHER_NON_CASH_ITEMS","FQ4 2024","FQ4 2024","Currency=USD","Period=FQ","BEST_FPERIOD_OVERRIDE=FQ","FILING_STATUS=MR","SCALING_FORMAT=MLN","Sort=A","Dates=H","DateFormat=P","Fill=—","Direction=H","UseDPDF=Y")</f>
        <v>353</v>
      </c>
    </row>
    <row r="14" spans="1:27" x14ac:dyDescent="0.25">
      <c r="A14" s="10" t="s">
        <v>1417</v>
      </c>
      <c r="B14" s="10" t="s">
        <v>1418</v>
      </c>
      <c r="C14" s="13">
        <f>_xll.BDH("GILD US Equity","ARD_CHANGE_IN_INVENTORIES","FQ4 2018","FQ4 2018","Currency=USD","Period=FQ","BEST_FPERIOD_OVERRIDE=FQ","FILING_STATUS=MR","SCALING_FORMAT=MLN","Sort=A","Dates=H","DateFormat=P","Fill=—","Direction=H","UseDPDF=Y")</f>
        <v>-310</v>
      </c>
      <c r="D14" s="13">
        <f>_xll.BDH("GILD US Equity","ARD_CHANGE_IN_INVENTORIES","FQ1 2019","FQ1 2019","Currency=USD","Period=FQ","BEST_FPERIOD_OVERRIDE=FQ","FILING_STATUS=MR","SCALING_FORMAT=MLN","Sort=A","Dates=H","DateFormat=P","Fill=—","Direction=H","UseDPDF=Y")</f>
        <v>-15</v>
      </c>
      <c r="E14" s="13">
        <f>_xll.BDH("GILD US Equity","ARD_CHANGE_IN_INVENTORIES","FQ2 2019","FQ2 2019","Currency=USD","Period=FQ","BEST_FPERIOD_OVERRIDE=FQ","FILING_STATUS=MR","SCALING_FORMAT=MLN","Sort=A","Dates=H","DateFormat=P","Fill=—","Direction=H","UseDPDF=Y")</f>
        <v>-12</v>
      </c>
      <c r="F14" s="13">
        <f>_xll.BDH("GILD US Equity","ARD_CHANGE_IN_INVENTORIES","FQ3 2019","FQ3 2019","Currency=USD","Period=FQ","BEST_FPERIOD_OVERRIDE=FQ","FILING_STATUS=MR","SCALING_FORMAT=MLN","Sort=A","Dates=H","DateFormat=P","Fill=—","Direction=H","UseDPDF=Y")</f>
        <v>-35</v>
      </c>
      <c r="G14" s="13">
        <f>_xll.BDH("GILD US Equity","ARD_CHANGE_IN_INVENTORIES","FQ4 2019","FQ4 2019","Currency=USD","Period=FQ","BEST_FPERIOD_OVERRIDE=FQ","FILING_STATUS=MR","SCALING_FORMAT=MLN","Sort=A","Dates=H","DateFormat=P","Fill=—","Direction=H","UseDPDF=Y")</f>
        <v>-95</v>
      </c>
      <c r="H14" s="13">
        <f>_xll.BDH("GILD US Equity","ARD_CHANGE_IN_INVENTORIES","FQ1 2020","FQ1 2020","Currency=USD","Period=FQ","BEST_FPERIOD_OVERRIDE=FQ","FILING_STATUS=MR","SCALING_FORMAT=MLN","Sort=A","Dates=H","DateFormat=P","Fill=—","Direction=H","UseDPDF=Y")</f>
        <v>15</v>
      </c>
      <c r="I14" s="13">
        <f>_xll.BDH("GILD US Equity","ARD_CHANGE_IN_INVENTORIES","FQ2 2020","FQ2 2020","Currency=USD","Period=FQ","BEST_FPERIOD_OVERRIDE=FQ","FILING_STATUS=MR","SCALING_FORMAT=MLN","Sort=A","Dates=H","DateFormat=P","Fill=—","Direction=H","UseDPDF=Y")</f>
        <v>-22</v>
      </c>
      <c r="J14" s="13">
        <f>_xll.BDH("GILD US Equity","ARD_CHANGE_IN_INVENTORIES","FQ3 2020","FQ3 2020","Currency=USD","Period=FQ","BEST_FPERIOD_OVERRIDE=FQ","FILING_STATUS=MR","SCALING_FORMAT=MLN","Sort=A","Dates=H","DateFormat=P","Fill=—","Direction=H","UseDPDF=Y")</f>
        <v>-48</v>
      </c>
      <c r="K14" s="13">
        <f>_xll.BDH("GILD US Equity","ARD_CHANGE_IN_INVENTORIES","FQ4 2020","FQ4 2020","Currency=USD","Period=FQ","BEST_FPERIOD_OVERRIDE=FQ","FILING_STATUS=MR","SCALING_FORMAT=MLN","Sort=A","Dates=H","DateFormat=P","Fill=—","Direction=H","UseDPDF=Y")</f>
        <v>-195</v>
      </c>
      <c r="L14" s="13">
        <f>_xll.BDH("GILD US Equity","ARD_CHANGE_IN_INVENTORIES","FQ1 2021","FQ1 2021","Currency=USD","Period=FQ","BEST_FPERIOD_OVERRIDE=FQ","FILING_STATUS=MR","SCALING_FORMAT=MLN","Sort=A","Dates=H","DateFormat=P","Fill=—","Direction=H","UseDPDF=Y")</f>
        <v>-69</v>
      </c>
      <c r="M14" s="13">
        <f>_xll.BDH("GILD US Equity","ARD_CHANGE_IN_INVENTORIES","FQ2 2021","FQ2 2021","Currency=USD","Period=FQ","BEST_FPERIOD_OVERRIDE=FQ","FILING_STATUS=MR","SCALING_FORMAT=MLN","Sort=A","Dates=H","DateFormat=P","Fill=—","Direction=H","UseDPDF=Y")</f>
        <v>-94</v>
      </c>
      <c r="N14" s="13">
        <f>_xll.BDH("GILD US Equity","ARD_CHANGE_IN_INVENTORIES","FQ3 2021","FQ3 2021","Currency=USD","Period=FQ","BEST_FPERIOD_OVERRIDE=FQ","FILING_STATUS=MR","SCALING_FORMAT=MLN","Sort=A","Dates=H","DateFormat=P","Fill=—","Direction=H","UseDPDF=Y")</f>
        <v>-24</v>
      </c>
      <c r="O14" s="13">
        <f>_xll.BDH("GILD US Equity","ARD_CHANGE_IN_INVENTORIES","FQ4 2021","FQ4 2021","Currency=USD","Period=FQ","BEST_FPERIOD_OVERRIDE=FQ","FILING_STATUS=MR","SCALING_FORMAT=MLN","Sort=A","Dates=H","DateFormat=P","Fill=—","Direction=H","UseDPDF=Y")</f>
        <v>11</v>
      </c>
      <c r="P14" s="13">
        <f>_xll.BDH("GILD US Equity","ARD_CHANGE_IN_INVENTORIES","FQ1 2022","FQ1 2022","Currency=USD","Period=FQ","BEST_FPERIOD_OVERRIDE=FQ","FILING_STATUS=MR","SCALING_FORMAT=MLN","Sort=A","Dates=H","DateFormat=P","Fill=—","Direction=H","UseDPDF=Y")</f>
        <v>53</v>
      </c>
      <c r="Q14" s="13">
        <f>_xll.BDH("GILD US Equity","ARD_CHANGE_IN_INVENTORIES","FQ2 2022","FQ2 2022","Currency=USD","Period=FQ","BEST_FPERIOD_OVERRIDE=FQ","FILING_STATUS=MR","SCALING_FORMAT=MLN","Sort=A","Dates=H","DateFormat=P","Fill=—","Direction=H","UseDPDF=Y")</f>
        <v>61</v>
      </c>
      <c r="R14" s="13">
        <f>_xll.BDH("GILD US Equity","ARD_CHANGE_IN_INVENTORIES","FQ3 2022","FQ3 2022","Currency=USD","Period=FQ","BEST_FPERIOD_OVERRIDE=FQ","FILING_STATUS=MR","SCALING_FORMAT=MLN","Sort=A","Dates=H","DateFormat=P","Fill=—","Direction=H","UseDPDF=Y")</f>
        <v>-34</v>
      </c>
      <c r="S14" s="13">
        <f>_xll.BDH("GILD US Equity","ARD_CHANGE_IN_INVENTORIES","FQ4 2022","FQ4 2022","Currency=USD","Period=FQ","BEST_FPERIOD_OVERRIDE=FQ","FILING_STATUS=MR","SCALING_FORMAT=MLN","Sort=A","Dates=H","DateFormat=P","Fill=—","Direction=H","UseDPDF=Y")</f>
        <v>-310</v>
      </c>
      <c r="T14" s="13">
        <f>_xll.BDH("GILD US Equity","ARD_CHANGE_IN_INVENTORIES","FQ1 2023","FQ1 2023","Currency=USD","Period=FQ","BEST_FPERIOD_OVERRIDE=FQ","FILING_STATUS=MR","SCALING_FORMAT=MLN","Sort=A","Dates=H","DateFormat=P","Fill=—","Direction=H","UseDPDF=Y")</f>
        <v>-227</v>
      </c>
      <c r="U14" s="13">
        <f>_xll.BDH("GILD US Equity","ARD_CHANGE_IN_INVENTORIES","FQ2 2023","FQ2 2023","Currency=USD","Period=FQ","BEST_FPERIOD_OVERRIDE=FQ","FILING_STATUS=MR","SCALING_FORMAT=MLN","Sort=A","Dates=H","DateFormat=P","Fill=—","Direction=H","UseDPDF=Y")</f>
        <v>-453</v>
      </c>
      <c r="V14" s="13">
        <f>_xll.BDH("GILD US Equity","ARD_CHANGE_IN_INVENTORIES","FQ3 2023","FQ3 2023","Currency=USD","Period=FQ","BEST_FPERIOD_OVERRIDE=FQ","FILING_STATUS=MR","SCALING_FORMAT=MLN","Sort=A","Dates=H","DateFormat=P","Fill=—","Direction=H","UseDPDF=Y")</f>
        <v>-535</v>
      </c>
      <c r="W14" s="13">
        <f>_xll.BDH("GILD US Equity","ARD_CHANGE_IN_INVENTORIES","FQ4 2023","FQ4 2023","Currency=USD","Period=FQ","BEST_FPERIOD_OVERRIDE=FQ","FILING_STATUS=MR","SCALING_FORMAT=MLN","Sort=A","Dates=H","DateFormat=P","Fill=—","Direction=H","UseDPDF=Y")</f>
        <v>-842</v>
      </c>
      <c r="X14" s="13">
        <f>_xll.BDH("GILD US Equity","ARD_CHANGE_IN_INVENTORIES","FQ1 2024","FQ1 2024","Currency=USD","Period=FQ","BEST_FPERIOD_OVERRIDE=FQ","FILING_STATUS=MR","SCALING_FORMAT=MLN","Sort=A","Dates=H","DateFormat=P","Fill=—","Direction=H","UseDPDF=Y")</f>
        <v>-45</v>
      </c>
      <c r="Y14" s="13">
        <f>_xll.BDH("GILD US Equity","ARD_CHANGE_IN_INVENTORIES","FQ2 2024","FQ2 2024","Currency=USD","Period=FQ","BEST_FPERIOD_OVERRIDE=FQ","FILING_STATUS=MR","SCALING_FORMAT=MLN","Sort=A","Dates=H","DateFormat=P","Fill=—","Direction=H","UseDPDF=Y")</f>
        <v>-115</v>
      </c>
      <c r="Z14" s="13">
        <f>_xll.BDH("GILD US Equity","ARD_CHANGE_IN_INVENTORIES","FQ3 2024","FQ3 2024","Currency=USD","Period=FQ","BEST_FPERIOD_OVERRIDE=FQ","FILING_STATUS=MR","SCALING_FORMAT=MLN","Sort=A","Dates=H","DateFormat=P","Fill=—","Direction=H","UseDPDF=Y")</f>
        <v>-200</v>
      </c>
      <c r="AA14" s="13">
        <f>_xll.BDH("GILD US Equity","ARD_CHANGE_IN_INVENTORIES","FQ4 2024","FQ4 2024","Currency=USD","Period=FQ","BEST_FPERIOD_OVERRIDE=FQ","FILING_STATUS=MR","SCALING_FORMAT=MLN","Sort=A","Dates=H","DateFormat=P","Fill=—","Direction=H","UseDPDF=Y")</f>
        <v>-426</v>
      </c>
    </row>
    <row r="15" spans="1:27" x14ac:dyDescent="0.25">
      <c r="A15" s="10" t="s">
        <v>1419</v>
      </c>
      <c r="B15" s="10" t="s">
        <v>1420</v>
      </c>
      <c r="C15" s="13">
        <f>_xll.BDH("GILD US Equity","ARD_CHANGE_IN_ACCOUNTS_PAYABLE","FQ4 2018","FQ4 2018","Currency=USD","Period=FQ","BEST_FPERIOD_OVERRIDE=FQ","FILING_STATUS=MR","SCALING_FORMAT=MLN","Sort=A","Dates=H","DateFormat=P","Fill=—","Direction=H","UseDPDF=Y")</f>
        <v>-39</v>
      </c>
      <c r="D15" s="13">
        <f>_xll.BDH("GILD US Equity","ARD_CHANGE_IN_ACCOUNTS_PAYABLE","FQ1 2019","FQ1 2019","Currency=USD","Period=FQ","BEST_FPERIOD_OVERRIDE=FQ","FILING_STATUS=MR","SCALING_FORMAT=MLN","Sort=A","Dates=H","DateFormat=P","Fill=—","Direction=H","UseDPDF=Y")</f>
        <v>-201</v>
      </c>
      <c r="E15" s="13">
        <f>_xll.BDH("GILD US Equity","ARD_CHANGE_IN_ACCOUNTS_PAYABLE","FQ2 2019","FQ2 2019","Currency=USD","Period=FQ","BEST_FPERIOD_OVERRIDE=FQ","FILING_STATUS=MR","SCALING_FORMAT=MLN","Sort=A","Dates=H","DateFormat=P","Fill=—","Direction=H","UseDPDF=Y")</f>
        <v>-166</v>
      </c>
      <c r="F15" s="13">
        <f>_xll.BDH("GILD US Equity","ARD_CHANGE_IN_ACCOUNTS_PAYABLE","FQ3 2019","FQ3 2019","Currency=USD","Period=FQ","BEST_FPERIOD_OVERRIDE=FQ","FILING_STATUS=MR","SCALING_FORMAT=MLN","Sort=A","Dates=H","DateFormat=P","Fill=—","Direction=H","UseDPDF=Y")</f>
        <v>-142</v>
      </c>
      <c r="G15" s="13">
        <f>_xll.BDH("GILD US Equity","ARD_CHANGE_IN_ACCOUNTS_PAYABLE","FQ4 2019","FQ4 2019","Currency=USD","Period=FQ","BEST_FPERIOD_OVERRIDE=FQ","FILING_STATUS=MR","SCALING_FORMAT=MLN","Sort=A","Dates=H","DateFormat=P","Fill=—","Direction=H","UseDPDF=Y")</f>
        <v>-61</v>
      </c>
      <c r="H15" s="13">
        <f>_xll.BDH("GILD US Equity","ARD_CHANGE_IN_ACCOUNTS_PAYABLE","FQ1 2020","FQ1 2020","Currency=USD","Period=FQ","BEST_FPERIOD_OVERRIDE=FQ","FILING_STATUS=MR","SCALING_FORMAT=MLN","Sort=A","Dates=H","DateFormat=P","Fill=—","Direction=H","UseDPDF=Y")</f>
        <v>-109</v>
      </c>
      <c r="I15" s="13">
        <f>_xll.BDH("GILD US Equity","ARD_CHANGE_IN_ACCOUNTS_PAYABLE","FQ2 2020","FQ2 2020","Currency=USD","Period=FQ","BEST_FPERIOD_OVERRIDE=FQ","FILING_STATUS=MR","SCALING_FORMAT=MLN","Sort=A","Dates=H","DateFormat=P","Fill=—","Direction=H","UseDPDF=Y")</f>
        <v>-113</v>
      </c>
      <c r="J15" s="13">
        <f>_xll.BDH("GILD US Equity","ARD_CHANGE_IN_ACCOUNTS_PAYABLE","FQ3 2020","FQ3 2020","Currency=USD","Period=FQ","BEST_FPERIOD_OVERRIDE=FQ","FILING_STATUS=MR","SCALING_FORMAT=MLN","Sort=A","Dates=H","DateFormat=P","Fill=—","Direction=H","UseDPDF=Y")</f>
        <v>-134</v>
      </c>
      <c r="K15" s="13">
        <f>_xll.BDH("GILD US Equity","ARD_CHANGE_IN_ACCOUNTS_PAYABLE","FQ4 2020","FQ4 2020","Currency=USD","Period=FQ","BEST_FPERIOD_OVERRIDE=FQ","FILING_STATUS=MR","SCALING_FORMAT=MLN","Sort=A","Dates=H","DateFormat=P","Fill=—","Direction=H","UseDPDF=Y")</f>
        <v>80</v>
      </c>
      <c r="L15" s="13">
        <f>_xll.BDH("GILD US Equity","ARD_CHANGE_IN_ACCOUNTS_PAYABLE","FQ1 2021","FQ1 2021","Currency=USD","Period=FQ","BEST_FPERIOD_OVERRIDE=FQ","FILING_STATUS=MR","SCALING_FORMAT=MLN","Sort=A","Dates=H","DateFormat=P","Fill=—","Direction=H","UseDPDF=Y")</f>
        <v>-253</v>
      </c>
      <c r="M15" s="13">
        <f>_xll.BDH("GILD US Equity","ARD_CHANGE_IN_ACCOUNTS_PAYABLE","FQ2 2021","FQ2 2021","Currency=USD","Period=FQ","BEST_FPERIOD_OVERRIDE=FQ","FILING_STATUS=MR","SCALING_FORMAT=MLN","Sort=A","Dates=H","DateFormat=P","Fill=—","Direction=H","UseDPDF=Y")</f>
        <v>-222</v>
      </c>
      <c r="N15" s="13">
        <f>_xll.BDH("GILD US Equity","ARD_CHANGE_IN_ACCOUNTS_PAYABLE","FQ3 2021","FQ3 2021","Currency=USD","Period=FQ","BEST_FPERIOD_OVERRIDE=FQ","FILING_STATUS=MR","SCALING_FORMAT=MLN","Sort=A","Dates=H","DateFormat=P","Fill=—","Direction=H","UseDPDF=Y")</f>
        <v>-242</v>
      </c>
      <c r="O15" s="13">
        <f>_xll.BDH("GILD US Equity","ARD_CHANGE_IN_ACCOUNTS_PAYABLE","FQ4 2021","FQ4 2021","Currency=USD","Period=FQ","BEST_FPERIOD_OVERRIDE=FQ","FILING_STATUS=MR","SCALING_FORMAT=MLN","Sort=A","Dates=H","DateFormat=P","Fill=—","Direction=H","UseDPDF=Y")</f>
        <v>-118</v>
      </c>
      <c r="P15" s="13">
        <f>_xll.BDH("GILD US Equity","ARD_CHANGE_IN_ACCOUNTS_PAYABLE","FQ1 2022","FQ1 2022","Currency=USD","Period=FQ","BEST_FPERIOD_OVERRIDE=FQ","FILING_STATUS=MR","SCALING_FORMAT=MLN","Sort=A","Dates=H","DateFormat=P","Fill=—","Direction=H","UseDPDF=Y")</f>
        <v>-91</v>
      </c>
      <c r="Q15" s="13">
        <f>_xll.BDH("GILD US Equity","ARD_CHANGE_IN_ACCOUNTS_PAYABLE","FQ2 2022","FQ2 2022","Currency=USD","Period=FQ","BEST_FPERIOD_OVERRIDE=FQ","FILING_STATUS=MR","SCALING_FORMAT=MLN","Sort=A","Dates=H","DateFormat=P","Fill=—","Direction=H","UseDPDF=Y")</f>
        <v>-104</v>
      </c>
      <c r="R15" s="13">
        <f>_xll.BDH("GILD US Equity","ARD_CHANGE_IN_ACCOUNTS_PAYABLE","FQ3 2022","FQ3 2022","Currency=USD","Period=FQ","BEST_FPERIOD_OVERRIDE=FQ","FILING_STATUS=MR","SCALING_FORMAT=MLN","Sort=A","Dates=H","DateFormat=P","Fill=—","Direction=H","UseDPDF=Y")</f>
        <v>-38</v>
      </c>
      <c r="S15" s="13">
        <f>_xll.BDH("GILD US Equity","ARD_CHANGE_IN_ACCOUNTS_PAYABLE","FQ4 2022","FQ4 2022","Currency=USD","Period=FQ","BEST_FPERIOD_OVERRIDE=FQ","FILING_STATUS=MR","SCALING_FORMAT=MLN","Sort=A","Dates=H","DateFormat=P","Fill=—","Direction=H","UseDPDF=Y")</f>
        <v>226</v>
      </c>
      <c r="T15" s="13">
        <f>_xll.BDH("GILD US Equity","ARD_CHANGE_IN_ACCOUNTS_PAYABLE","FQ1 2023","FQ1 2023","Currency=USD","Period=FQ","BEST_FPERIOD_OVERRIDE=FQ","FILING_STATUS=MR","SCALING_FORMAT=MLN","Sort=A","Dates=H","DateFormat=P","Fill=—","Direction=H","UseDPDF=Y")</f>
        <v>-272</v>
      </c>
      <c r="U15" s="13">
        <f>_xll.BDH("GILD US Equity","ARD_CHANGE_IN_ACCOUNTS_PAYABLE","FQ2 2023","FQ2 2023","Currency=USD","Period=FQ","BEST_FPERIOD_OVERRIDE=FQ","FILING_STATUS=MR","SCALING_FORMAT=MLN","Sort=A","Dates=H","DateFormat=P","Fill=—","Direction=H","UseDPDF=Y")</f>
        <v>-275</v>
      </c>
      <c r="V15" s="13">
        <f>_xll.BDH("GILD US Equity","ARD_CHANGE_IN_ACCOUNTS_PAYABLE","FQ3 2023","FQ3 2023","Currency=USD","Period=FQ","BEST_FPERIOD_OVERRIDE=FQ","FILING_STATUS=MR","SCALING_FORMAT=MLN","Sort=A","Dates=H","DateFormat=P","Fill=—","Direction=H","UseDPDF=Y")</f>
        <v>-304</v>
      </c>
      <c r="W15" s="13">
        <f>_xll.BDH("GILD US Equity","ARD_CHANGE_IN_ACCOUNTS_PAYABLE","FQ4 2023","FQ4 2023","Currency=USD","Period=FQ","BEST_FPERIOD_OVERRIDE=FQ","FILING_STATUS=MR","SCALING_FORMAT=MLN","Sort=A","Dates=H","DateFormat=P","Fill=—","Direction=H","UseDPDF=Y")</f>
        <v>-347</v>
      </c>
      <c r="X15" s="13">
        <f>_xll.BDH("GILD US Equity","ARD_CHANGE_IN_ACCOUNTS_PAYABLE","FQ1 2024","FQ1 2024","Currency=USD","Period=FQ","BEST_FPERIOD_OVERRIDE=FQ","FILING_STATUS=MR","SCALING_FORMAT=MLN","Sort=A","Dates=H","DateFormat=P","Fill=—","Direction=H","UseDPDF=Y")</f>
        <v>72</v>
      </c>
      <c r="Y15" s="13">
        <f>_xll.BDH("GILD US Equity","ARD_CHANGE_IN_ACCOUNTS_PAYABLE","FQ2 2024","FQ2 2024","Currency=USD","Period=FQ","BEST_FPERIOD_OVERRIDE=FQ","FILING_STATUS=MR","SCALING_FORMAT=MLN","Sort=A","Dates=H","DateFormat=P","Fill=—","Direction=H","UseDPDF=Y")</f>
        <v>-11</v>
      </c>
      <c r="Z15" s="13">
        <f>_xll.BDH("GILD US Equity","ARD_CHANGE_IN_ACCOUNTS_PAYABLE","FQ3 2024","FQ3 2024","Currency=USD","Period=FQ","BEST_FPERIOD_OVERRIDE=FQ","FILING_STATUS=MR","SCALING_FORMAT=MLN","Sort=A","Dates=H","DateFormat=P","Fill=—","Direction=H","UseDPDF=Y")</f>
        <v>348</v>
      </c>
      <c r="AA15" s="13">
        <f>_xll.BDH("GILD US Equity","ARD_CHANGE_IN_ACCOUNTS_PAYABLE","FQ4 2024","FQ4 2024","Currency=USD","Period=FQ","BEST_FPERIOD_OVERRIDE=FQ","FILING_STATUS=MR","SCALING_FORMAT=MLN","Sort=A","Dates=H","DateFormat=P","Fill=—","Direction=H","UseDPDF=Y")</f>
        <v>290</v>
      </c>
    </row>
    <row r="16" spans="1:27" x14ac:dyDescent="0.25">
      <c r="A16" s="10" t="s">
        <v>1421</v>
      </c>
      <c r="B16" s="10" t="s">
        <v>1422</v>
      </c>
      <c r="C16" s="13">
        <f>_xll.BDH("GILD US Equity","ARD_CHG_IN_ACCOUNTS_RECEIVABLE","FQ4 2018","FQ4 2018","Currency=USD","Period=FQ","BEST_FPERIOD_OVERRIDE=FQ","FILING_STATUS=MR","SCALING_FORMAT=MLN","Sort=A","Dates=H","DateFormat=P","Fill=—","Direction=H","UseDPDF=Y")</f>
        <v>480</v>
      </c>
      <c r="D16" s="13">
        <f>_xll.BDH("GILD US Equity","ARD_CHG_IN_ACCOUNTS_RECEIVABLE","FQ1 2019","FQ1 2019","Currency=USD","Period=FQ","BEST_FPERIOD_OVERRIDE=FQ","FILING_STATUS=MR","SCALING_FORMAT=MLN","Sort=A","Dates=H","DateFormat=P","Fill=—","Direction=H","UseDPDF=Y")</f>
        <v>32</v>
      </c>
      <c r="E16" s="13">
        <f>_xll.BDH("GILD US Equity","ARD_CHG_IN_ACCOUNTS_RECEIVABLE","FQ2 2019","FQ2 2019","Currency=USD","Period=FQ","BEST_FPERIOD_OVERRIDE=FQ","FILING_STATUS=MR","SCALING_FORMAT=MLN","Sort=A","Dates=H","DateFormat=P","Fill=—","Direction=H","UseDPDF=Y")</f>
        <v>-68</v>
      </c>
      <c r="F16" s="13">
        <f>_xll.BDH("GILD US Equity","ARD_CHG_IN_ACCOUNTS_RECEIVABLE","FQ3 2019","FQ3 2019","Currency=USD","Period=FQ","BEST_FPERIOD_OVERRIDE=FQ","FILING_STATUS=MR","SCALING_FORMAT=MLN","Sort=A","Dates=H","DateFormat=P","Fill=—","Direction=H","UseDPDF=Y")</f>
        <v>33</v>
      </c>
      <c r="G16" s="13">
        <f>_xll.BDH("GILD US Equity","ARD_CHG_IN_ACCOUNTS_RECEIVABLE","FQ4 2019","FQ4 2019","Currency=USD","Period=FQ","BEST_FPERIOD_OVERRIDE=FQ","FILING_STATUS=MR","SCALING_FORMAT=MLN","Sort=A","Dates=H","DateFormat=P","Fill=—","Direction=H","UseDPDF=Y")</f>
        <v>-218</v>
      </c>
      <c r="H16" s="13">
        <f>_xll.BDH("GILD US Equity","ARD_CHG_IN_ACCOUNTS_RECEIVABLE","FQ1 2020","FQ1 2020","Currency=USD","Period=FQ","BEST_FPERIOD_OVERRIDE=FQ","FILING_STATUS=MR","SCALING_FORMAT=MLN","Sort=A","Dates=H","DateFormat=P","Fill=—","Direction=H","UseDPDF=Y")</f>
        <v>-376</v>
      </c>
      <c r="I16" s="13">
        <f>_xll.BDH("GILD US Equity","ARD_CHG_IN_ACCOUNTS_RECEIVABLE","FQ2 2020","FQ2 2020","Currency=USD","Period=FQ","BEST_FPERIOD_OVERRIDE=FQ","FILING_STATUS=MR","SCALING_FORMAT=MLN","Sort=A","Dates=H","DateFormat=P","Fill=—","Direction=H","UseDPDF=Y")</f>
        <v>368</v>
      </c>
      <c r="J16" s="13">
        <f>_xll.BDH("GILD US Equity","ARD_CHG_IN_ACCOUNTS_RECEIVABLE","FQ3 2020","FQ3 2020","Currency=USD","Period=FQ","BEST_FPERIOD_OVERRIDE=FQ","FILING_STATUS=MR","SCALING_FORMAT=MLN","Sort=A","Dates=H","DateFormat=P","Fill=—","Direction=H","UseDPDF=Y")</f>
        <v>-334</v>
      </c>
      <c r="K16" s="13">
        <f>_xll.BDH("GILD US Equity","ARD_CHG_IN_ACCOUNTS_RECEIVABLE","FQ4 2020","FQ4 2020","Currency=USD","Period=FQ","BEST_FPERIOD_OVERRIDE=FQ","FILING_STATUS=MR","SCALING_FORMAT=MLN","Sort=A","Dates=H","DateFormat=P","Fill=—","Direction=H","UseDPDF=Y")</f>
        <v>-1171</v>
      </c>
      <c r="L16" s="13">
        <f>_xll.BDH("GILD US Equity","ARD_CHG_IN_ACCOUNTS_RECEIVABLE","FQ1 2021","FQ1 2021","Currency=USD","Period=FQ","BEST_FPERIOD_OVERRIDE=FQ","FILING_STATUS=MR","SCALING_FORMAT=MLN","Sort=A","Dates=H","DateFormat=P","Fill=—","Direction=H","UseDPDF=Y")</f>
        <v>975</v>
      </c>
      <c r="M16" s="13">
        <f>_xll.BDH("GILD US Equity","ARD_CHG_IN_ACCOUNTS_RECEIVABLE","FQ2 2021","FQ2 2021","Currency=USD","Period=FQ","BEST_FPERIOD_OVERRIDE=FQ","FILING_STATUS=MR","SCALING_FORMAT=MLN","Sort=A","Dates=H","DateFormat=P","Fill=—","Direction=H","UseDPDF=Y")</f>
        <v>694</v>
      </c>
      <c r="N16" s="13">
        <f>_xll.BDH("GILD US Equity","ARD_CHG_IN_ACCOUNTS_RECEIVABLE","FQ3 2021","FQ3 2021","Currency=USD","Period=FQ","BEST_FPERIOD_OVERRIDE=FQ","FILING_STATUS=MR","SCALING_FORMAT=MLN","Sort=A","Dates=H","DateFormat=P","Fill=—","Direction=H","UseDPDF=Y")</f>
        <v>272</v>
      </c>
      <c r="O16" s="13">
        <f>_xll.BDH("GILD US Equity","ARD_CHG_IN_ACCOUNTS_RECEIVABLE","FQ4 2021","FQ4 2021","Currency=USD","Period=FQ","BEST_FPERIOD_OVERRIDE=FQ","FILING_STATUS=MR","SCALING_FORMAT=MLN","Sort=A","Dates=H","DateFormat=P","Fill=—","Direction=H","UseDPDF=Y")</f>
        <v>313</v>
      </c>
      <c r="P16" s="13">
        <f>_xll.BDH("GILD US Equity","ARD_CHG_IN_ACCOUNTS_RECEIVABLE","FQ1 2022","FQ1 2022","Currency=USD","Period=FQ","BEST_FPERIOD_OVERRIDE=FQ","FILING_STATUS=MR","SCALING_FORMAT=MLN","Sort=A","Dates=H","DateFormat=P","Fill=—","Direction=H","UseDPDF=Y")</f>
        <v>699</v>
      </c>
      <c r="Q16" s="13">
        <f>_xll.BDH("GILD US Equity","ARD_CHG_IN_ACCOUNTS_RECEIVABLE","FQ2 2022","FQ2 2022","Currency=USD","Period=FQ","BEST_FPERIOD_OVERRIDE=FQ","FILING_STATUS=MR","SCALING_FORMAT=MLN","Sort=A","Dates=H","DateFormat=P","Fill=—","Direction=H","UseDPDF=Y")</f>
        <v>247</v>
      </c>
      <c r="R16" s="13">
        <f>_xll.BDH("GILD US Equity","ARD_CHG_IN_ACCOUNTS_RECEIVABLE","FQ3 2022","FQ3 2022","Currency=USD","Period=FQ","BEST_FPERIOD_OVERRIDE=FQ","FILING_STATUS=MR","SCALING_FORMAT=MLN","Sort=A","Dates=H","DateFormat=P","Fill=—","Direction=H","UseDPDF=Y")</f>
        <v>125</v>
      </c>
      <c r="S16" s="13">
        <f>_xll.BDH("GILD US Equity","ARD_CHG_IN_ACCOUNTS_RECEIVABLE","FQ4 2022","FQ4 2022","Currency=USD","Period=FQ","BEST_FPERIOD_OVERRIDE=FQ","FILING_STATUS=MR","SCALING_FORMAT=MLN","Sort=A","Dates=H","DateFormat=P","Fill=—","Direction=H","UseDPDF=Y")</f>
        <v>-406</v>
      </c>
      <c r="T16" s="13">
        <f>_xll.BDH("GILD US Equity","ARD_CHG_IN_ACCOUNTS_RECEIVABLE","FQ1 2023","FQ1 2023","Currency=USD","Period=FQ","BEST_FPERIOD_OVERRIDE=FQ","FILING_STATUS=MR","SCALING_FORMAT=MLN","Sort=A","Dates=H","DateFormat=P","Fill=—","Direction=H","UseDPDF=Y")</f>
        <v>635</v>
      </c>
      <c r="U16" s="13">
        <f>_xll.BDH("GILD US Equity","ARD_CHG_IN_ACCOUNTS_RECEIVABLE","FQ2 2023","FQ2 2023","Currency=USD","Period=FQ","BEST_FPERIOD_OVERRIDE=FQ","FILING_STATUS=MR","SCALING_FORMAT=MLN","Sort=A","Dates=H","DateFormat=P","Fill=—","Direction=H","UseDPDF=Y")</f>
        <v>549</v>
      </c>
      <c r="V16" s="13">
        <f>_xll.BDH("GILD US Equity","ARD_CHG_IN_ACCOUNTS_RECEIVABLE","FQ3 2023","FQ3 2023","Currency=USD","Period=FQ","BEST_FPERIOD_OVERRIDE=FQ","FILING_STATUS=MR","SCALING_FORMAT=MLN","Sort=A","Dates=H","DateFormat=P","Fill=—","Direction=H","UseDPDF=Y")</f>
        <v>-63</v>
      </c>
      <c r="W16" s="13">
        <f>_xll.BDH("GILD US Equity","ARD_CHG_IN_ACCOUNTS_RECEIVABLE","FQ4 2023","FQ4 2023","Currency=USD","Period=FQ","BEST_FPERIOD_OVERRIDE=FQ","FILING_STATUS=MR","SCALING_FORMAT=MLN","Sort=A","Dates=H","DateFormat=P","Fill=—","Direction=H","UseDPDF=Y")</f>
        <v>157</v>
      </c>
      <c r="X16" s="13">
        <f>_xll.BDH("GILD US Equity","ARD_CHG_IN_ACCOUNTS_RECEIVABLE","FQ1 2024","FQ1 2024","Currency=USD","Period=FQ","BEST_FPERIOD_OVERRIDE=FQ","FILING_STATUS=MR","SCALING_FORMAT=MLN","Sort=A","Dates=H","DateFormat=P","Fill=—","Direction=H","UseDPDF=Y")</f>
        <v>-66</v>
      </c>
      <c r="Y16" s="13">
        <f>_xll.BDH("GILD US Equity","ARD_CHG_IN_ACCOUNTS_RECEIVABLE","FQ2 2024","FQ2 2024","Currency=USD","Period=FQ","BEST_FPERIOD_OVERRIDE=FQ","FILING_STATUS=MR","SCALING_FORMAT=MLN","Sort=A","Dates=H","DateFormat=P","Fill=—","Direction=H","UseDPDF=Y")</f>
        <v>-95</v>
      </c>
      <c r="Z16" s="13">
        <f>_xll.BDH("GILD US Equity","ARD_CHG_IN_ACCOUNTS_RECEIVABLE","FQ3 2024","FQ3 2024","Currency=USD","Period=FQ","BEST_FPERIOD_OVERRIDE=FQ","FILING_STATUS=MR","SCALING_FORMAT=MLN","Sort=A","Dates=H","DateFormat=P","Fill=—","Direction=H","UseDPDF=Y")</f>
        <v>67</v>
      </c>
      <c r="AA16" s="13">
        <f>_xll.BDH("GILD US Equity","ARD_CHG_IN_ACCOUNTS_RECEIVABLE","FQ4 2024","FQ4 2024","Currency=USD","Period=FQ","BEST_FPERIOD_OVERRIDE=FQ","FILING_STATUS=MR","SCALING_FORMAT=MLN","Sort=A","Dates=H","DateFormat=P","Fill=—","Direction=H","UseDPDF=Y")</f>
        <v>139</v>
      </c>
    </row>
    <row r="17" spans="1:27" x14ac:dyDescent="0.25">
      <c r="A17" s="10" t="s">
        <v>1423</v>
      </c>
      <c r="B17" s="10" t="s">
        <v>1424</v>
      </c>
      <c r="C17" s="13">
        <f>_xll.BDH("GILD US Equity","ARD_CHANGE_IN_PREPAID_EXP","FQ4 2018","FQ4 2018","Currency=USD","Period=FQ","BEST_FPERIOD_OVERRIDE=FQ","FILING_STATUS=MR","SCALING_FORMAT=MLN","Sort=A","Dates=H","DateFormat=P","Fill=—","Direction=H","UseDPDF=Y")</f>
        <v>903</v>
      </c>
      <c r="D17" s="13">
        <f>_xll.BDH("GILD US Equity","ARD_CHANGE_IN_PREPAID_EXP","FQ1 2019","FQ1 2019","Currency=USD","Period=FQ","BEST_FPERIOD_OVERRIDE=FQ","FILING_STATUS=MR","SCALING_FORMAT=MLN","Sort=A","Dates=H","DateFormat=P","Fill=—","Direction=H","UseDPDF=Y")</f>
        <v>-43</v>
      </c>
      <c r="E17" s="13">
        <f>_xll.BDH("GILD US Equity","ARD_CHANGE_IN_PREPAID_EXP","FQ2 2019","FQ2 2019","Currency=USD","Period=FQ","BEST_FPERIOD_OVERRIDE=FQ","FILING_STATUS=MR","SCALING_FORMAT=MLN","Sort=A","Dates=H","DateFormat=P","Fill=—","Direction=H","UseDPDF=Y")</f>
        <v>-34</v>
      </c>
      <c r="F17" s="13">
        <f>_xll.BDH("GILD US Equity","ARD_CHANGE_IN_PREPAID_EXP","FQ3 2019","FQ3 2019","Currency=USD","Period=FQ","BEST_FPERIOD_OVERRIDE=FQ","FILING_STATUS=MR","SCALING_FORMAT=MLN","Sort=A","Dates=H","DateFormat=P","Fill=—","Direction=H","UseDPDF=Y")</f>
        <v>-225</v>
      </c>
      <c r="G17" s="13">
        <f>_xll.BDH("GILD US Equity","ARD_CHANGE_IN_PREPAID_EXP","FQ4 2019","FQ4 2019","Currency=USD","Period=FQ","BEST_FPERIOD_OVERRIDE=FQ","FILING_STATUS=MR","SCALING_FORMAT=MLN","Sort=A","Dates=H","DateFormat=P","Fill=—","Direction=H","UseDPDF=Y")</f>
        <v>-307</v>
      </c>
      <c r="H17" s="13">
        <f>_xll.BDH("GILD US Equity","ARD_CHANGE_IN_PREPAID_EXP","FQ1 2020","FQ1 2020","Currency=USD","Period=FQ","BEST_FPERIOD_OVERRIDE=FQ","FILING_STATUS=MR","SCALING_FORMAT=MLN","Sort=A","Dates=H","DateFormat=P","Fill=—","Direction=H","UseDPDF=Y")</f>
        <v>46</v>
      </c>
      <c r="I17" s="13">
        <f>_xll.BDH("GILD US Equity","ARD_CHANGE_IN_PREPAID_EXP","FQ2 2020","FQ2 2020","Currency=USD","Period=FQ","BEST_FPERIOD_OVERRIDE=FQ","FILING_STATUS=MR","SCALING_FORMAT=MLN","Sort=A","Dates=H","DateFormat=P","Fill=—","Direction=H","UseDPDF=Y")</f>
        <v>76</v>
      </c>
      <c r="J17" s="13">
        <f>_xll.BDH("GILD US Equity","ARD_CHANGE_IN_PREPAID_EXP","FQ3 2020","FQ3 2020","Currency=USD","Period=FQ","BEST_FPERIOD_OVERRIDE=FQ","FILING_STATUS=MR","SCALING_FORMAT=MLN","Sort=A","Dates=H","DateFormat=P","Fill=—","Direction=H","UseDPDF=Y")</f>
        <v>22</v>
      </c>
      <c r="K17" s="13">
        <f>_xll.BDH("GILD US Equity","ARD_CHANGE_IN_PREPAID_EXP","FQ4 2020","FQ4 2020","Currency=USD","Period=FQ","BEST_FPERIOD_OVERRIDE=FQ","FILING_STATUS=MR","SCALING_FORMAT=MLN","Sort=A","Dates=H","DateFormat=P","Fill=—","Direction=H","UseDPDF=Y")</f>
        <v>-214</v>
      </c>
      <c r="L17" s="13">
        <f>_xll.BDH("GILD US Equity","ARD_CHANGE_IN_PREPAID_EXP","FQ1 2021","FQ1 2021","Currency=USD","Period=FQ","BEST_FPERIOD_OVERRIDE=FQ","FILING_STATUS=MR","SCALING_FORMAT=MLN","Sort=A","Dates=H","DateFormat=P","Fill=—","Direction=H","UseDPDF=Y")</f>
        <v>-8</v>
      </c>
      <c r="M17" s="13">
        <f>_xll.BDH("GILD US Equity","ARD_CHANGE_IN_PREPAID_EXP","FQ2 2021","FQ2 2021","Currency=USD","Period=FQ","BEST_FPERIOD_OVERRIDE=FQ","FILING_STATUS=MR","SCALING_FORMAT=MLN","Sort=A","Dates=H","DateFormat=P","Fill=—","Direction=H","UseDPDF=Y")</f>
        <v>-2</v>
      </c>
      <c r="N17" s="13">
        <f>_xll.BDH("GILD US Equity","ARD_CHANGE_IN_PREPAID_EXP","FQ3 2021","FQ3 2021","Currency=USD","Period=FQ","BEST_FPERIOD_OVERRIDE=FQ","FILING_STATUS=MR","SCALING_FORMAT=MLN","Sort=A","Dates=H","DateFormat=P","Fill=—","Direction=H","UseDPDF=Y")</f>
        <v>-17</v>
      </c>
      <c r="O17" s="13">
        <f>_xll.BDH("GILD US Equity","ARD_CHANGE_IN_PREPAID_EXP","FQ4 2021","FQ4 2021","Currency=USD","Period=FQ","BEST_FPERIOD_OVERRIDE=FQ","FILING_STATUS=MR","SCALING_FORMAT=MLN","Sort=A","Dates=H","DateFormat=P","Fill=—","Direction=H","UseDPDF=Y")</f>
        <v>-42</v>
      </c>
      <c r="P17" s="13">
        <f>_xll.BDH("GILD US Equity","ARD_CHANGE_IN_PREPAID_EXP","FQ1 2022","FQ1 2022","Currency=USD","Period=FQ","BEST_FPERIOD_OVERRIDE=FQ","FILING_STATUS=MR","SCALING_FORMAT=MLN","Sort=A","Dates=H","DateFormat=P","Fill=—","Direction=H","UseDPDF=Y")</f>
        <v>-20</v>
      </c>
      <c r="Q17" s="13">
        <f>_xll.BDH("GILD US Equity","ARD_CHANGE_IN_PREPAID_EXP","FQ2 2022","FQ2 2022","Currency=USD","Period=FQ","BEST_FPERIOD_OVERRIDE=FQ","FILING_STATUS=MR","SCALING_FORMAT=MLN","Sort=A","Dates=H","DateFormat=P","Fill=—","Direction=H","UseDPDF=Y")</f>
        <v>-30</v>
      </c>
      <c r="R17" s="13">
        <f>_xll.BDH("GILD US Equity","ARD_CHANGE_IN_PREPAID_EXP","FQ3 2022","FQ3 2022","Currency=USD","Period=FQ","BEST_FPERIOD_OVERRIDE=FQ","FILING_STATUS=MR","SCALING_FORMAT=MLN","Sort=A","Dates=H","DateFormat=P","Fill=—","Direction=H","UseDPDF=Y")</f>
        <v>-12</v>
      </c>
      <c r="S17" s="13">
        <f>_xll.BDH("GILD US Equity","ARD_CHANGE_IN_PREPAID_EXP","FQ4 2022","FQ4 2022","Currency=USD","Period=FQ","BEST_FPERIOD_OVERRIDE=FQ","FILING_STATUS=MR","SCALING_FORMAT=MLN","Sort=A","Dates=H","DateFormat=P","Fill=—","Direction=H","UseDPDF=Y")</f>
        <v>70</v>
      </c>
      <c r="T17" s="13">
        <f>_xll.BDH("GILD US Equity","ARD_CHANGE_IN_PREPAID_EXP","FQ1 2023","FQ1 2023","Currency=USD","Period=FQ","BEST_FPERIOD_OVERRIDE=FQ","FILING_STATUS=MR","SCALING_FORMAT=MLN","Sort=A","Dates=H","DateFormat=P","Fill=—","Direction=H","UseDPDF=Y")</f>
        <v>26</v>
      </c>
      <c r="U17" s="13">
        <f>_xll.BDH("GILD US Equity","ARD_CHANGE_IN_PREPAID_EXP","FQ2 2023","FQ2 2023","Currency=USD","Period=FQ","BEST_FPERIOD_OVERRIDE=FQ","FILING_STATUS=MR","SCALING_FORMAT=MLN","Sort=A","Dates=H","DateFormat=P","Fill=—","Direction=H","UseDPDF=Y")</f>
        <v>66</v>
      </c>
      <c r="V17" s="13">
        <f>_xll.BDH("GILD US Equity","ARD_CHANGE_IN_PREPAID_EXP","FQ3 2023","FQ3 2023","Currency=USD","Period=FQ","BEST_FPERIOD_OVERRIDE=FQ","FILING_STATUS=MR","SCALING_FORMAT=MLN","Sort=A","Dates=H","DateFormat=P","Fill=—","Direction=H","UseDPDF=Y")</f>
        <v>71</v>
      </c>
      <c r="W17" s="13">
        <f>_xll.BDH("GILD US Equity","ARD_CHANGE_IN_PREPAID_EXP","FQ4 2023","FQ4 2023","Currency=USD","Period=FQ","BEST_FPERIOD_OVERRIDE=FQ","FILING_STATUS=MR","SCALING_FORMAT=MLN","Sort=A","Dates=H","DateFormat=P","Fill=—","Direction=H","UseDPDF=Y")</f>
        <v>39</v>
      </c>
      <c r="X17" s="13">
        <f>_xll.BDH("GILD US Equity","ARD_CHANGE_IN_PREPAID_EXP","FQ1 2024","FQ1 2024","Currency=USD","Period=FQ","BEST_FPERIOD_OVERRIDE=FQ","FILING_STATUS=MR","SCALING_FORMAT=MLN","Sort=A","Dates=H","DateFormat=P","Fill=—","Direction=H","UseDPDF=Y")</f>
        <v>-37</v>
      </c>
      <c r="Y17" s="13">
        <f>_xll.BDH("GILD US Equity","ARD_CHANGE_IN_PREPAID_EXP","FQ2 2024","FQ2 2024","Currency=USD","Period=FQ","BEST_FPERIOD_OVERRIDE=FQ","FILING_STATUS=MR","SCALING_FORMAT=MLN","Sort=A","Dates=H","DateFormat=P","Fill=—","Direction=H","UseDPDF=Y")</f>
        <v>-56</v>
      </c>
      <c r="Z17" s="13">
        <f>_xll.BDH("GILD US Equity","ARD_CHANGE_IN_PREPAID_EXP","FQ3 2024","FQ3 2024","Currency=USD","Period=FQ","BEST_FPERIOD_OVERRIDE=FQ","FILING_STATUS=MR","SCALING_FORMAT=MLN","Sort=A","Dates=H","DateFormat=P","Fill=—","Direction=H","UseDPDF=Y")</f>
        <v>-113</v>
      </c>
      <c r="AA17" s="13">
        <f>_xll.BDH("GILD US Equity","ARD_CHANGE_IN_PREPAID_EXP","FQ4 2024","FQ4 2024","Currency=USD","Period=FQ","BEST_FPERIOD_OVERRIDE=FQ","FILING_STATUS=MR","SCALING_FORMAT=MLN","Sort=A","Dates=H","DateFormat=P","Fill=—","Direction=H","UseDPDF=Y")</f>
        <v>-259</v>
      </c>
    </row>
    <row r="18" spans="1:27" x14ac:dyDescent="0.25">
      <c r="A18" s="10" t="s">
        <v>1425</v>
      </c>
      <c r="B18" s="10" t="s">
        <v>1426</v>
      </c>
      <c r="C18" s="13">
        <f>_xll.BDH("GILD US Equity","ARD_CHANGE_IN_ACCRUED_EXP","FQ4 2018","FQ4 2018","Currency=USD","Period=FQ","BEST_FPERIOD_OVERRIDE=FQ","FILING_STATUS=MR","SCALING_FORMAT=MLN","Sort=A","Dates=H","DateFormat=P","Fill=—","Direction=H","UseDPDF=Y")</f>
        <v>-514</v>
      </c>
      <c r="D18" s="13">
        <f>_xll.BDH("GILD US Equity","ARD_CHANGE_IN_ACCRUED_EXP","FQ1 2019","FQ1 2019","Currency=USD","Period=FQ","BEST_FPERIOD_OVERRIDE=FQ","FILING_STATUS=MR","SCALING_FORMAT=MLN","Sort=A","Dates=H","DateFormat=P","Fill=—","Direction=H","UseDPDF=Y")</f>
        <v>-417</v>
      </c>
      <c r="E18" s="13">
        <f>_xll.BDH("GILD US Equity","ARD_CHANGE_IN_ACCRUED_EXP","FQ2 2019","FQ2 2019","Currency=USD","Period=FQ","BEST_FPERIOD_OVERRIDE=FQ","FILING_STATUS=MR","SCALING_FORMAT=MLN","Sort=A","Dates=H","DateFormat=P","Fill=—","Direction=H","UseDPDF=Y")</f>
        <v>-540</v>
      </c>
      <c r="F18" s="13">
        <f>_xll.BDH("GILD US Equity","ARD_CHANGE_IN_ACCRUED_EXP","FQ3 2019","FQ3 2019","Currency=USD","Period=FQ","BEST_FPERIOD_OVERRIDE=FQ","FILING_STATUS=MR","SCALING_FORMAT=MLN","Sort=A","Dates=H","DateFormat=P","Fill=—","Direction=H","UseDPDF=Y")</f>
        <v>-724</v>
      </c>
      <c r="G18" s="13">
        <f>_xll.BDH("GILD US Equity","ARD_CHANGE_IN_ACCRUED_EXP","FQ4 2019","FQ4 2019","Currency=USD","Period=FQ","BEST_FPERIOD_OVERRIDE=FQ","FILING_STATUS=MR","SCALING_FORMAT=MLN","Sort=A","Dates=H","DateFormat=P","Fill=—","Direction=H","UseDPDF=Y")</f>
        <v>-389</v>
      </c>
      <c r="H18" s="13">
        <f>_xll.BDH("GILD US Equity","ARD_CHANGE_IN_ACCRUED_EXP","FQ1 2020","FQ1 2020","Currency=USD","Period=FQ","BEST_FPERIOD_OVERRIDE=FQ","FILING_STATUS=MR","SCALING_FORMAT=MLN","Sort=A","Dates=H","DateFormat=P","Fill=—","Direction=H","UseDPDF=Y")</f>
        <v>-550</v>
      </c>
      <c r="I18" s="13">
        <f>_xll.BDH("GILD US Equity","ARD_CHANGE_IN_ACCRUED_EXP","FQ2 2020","FQ2 2020","Currency=USD","Period=FQ","BEST_FPERIOD_OVERRIDE=FQ","FILING_STATUS=MR","SCALING_FORMAT=MLN","Sort=A","Dates=H","DateFormat=P","Fill=—","Direction=H","UseDPDF=Y")</f>
        <v>-87</v>
      </c>
      <c r="J18" s="13">
        <f>_xll.BDH("GILD US Equity","ARD_CHANGE_IN_ACCRUED_EXP","FQ3 2020","FQ3 2020","Currency=USD","Period=FQ","BEST_FPERIOD_OVERRIDE=FQ","FILING_STATUS=MR","SCALING_FORMAT=MLN","Sort=A","Dates=H","DateFormat=P","Fill=—","Direction=H","UseDPDF=Y")</f>
        <v>58</v>
      </c>
      <c r="K18" s="13">
        <f>_xll.BDH("GILD US Equity","ARD_CHANGE_IN_ACCRUED_EXP","FQ4 2020","FQ4 2020","Currency=USD","Period=FQ","BEST_FPERIOD_OVERRIDE=FQ","FILING_STATUS=MR","SCALING_FORMAT=MLN","Sort=A","Dates=H","DateFormat=P","Fill=—","Direction=H","UseDPDF=Y")</f>
        <v>640</v>
      </c>
      <c r="L18" s="13">
        <f>_xll.BDH("GILD US Equity","ARD_CHANGE_IN_ACCRUED_EXP","FQ1 2021","FQ1 2021","Currency=USD","Period=FQ","BEST_FPERIOD_OVERRIDE=FQ","FILING_STATUS=MR","SCALING_FORMAT=MLN","Sort=A","Dates=H","DateFormat=P","Fill=—","Direction=H","UseDPDF=Y")</f>
        <v>-738</v>
      </c>
      <c r="M18" s="13">
        <f>_xll.BDH("GILD US Equity","ARD_CHANGE_IN_ACCRUED_EXP","FQ2 2021","FQ2 2021","Currency=USD","Period=FQ","BEST_FPERIOD_OVERRIDE=FQ","FILING_STATUS=MR","SCALING_FORMAT=MLN","Sort=A","Dates=H","DateFormat=P","Fill=—","Direction=H","UseDPDF=Y")</f>
        <v>-713</v>
      </c>
      <c r="N18" s="13">
        <f>_xll.BDH("GILD US Equity","ARD_CHANGE_IN_ACCRUED_EXP","FQ3 2021","FQ3 2021","Currency=USD","Period=FQ","BEST_FPERIOD_OVERRIDE=FQ","FILING_STATUS=MR","SCALING_FORMAT=MLN","Sort=A","Dates=H","DateFormat=P","Fill=—","Direction=H","UseDPDF=Y")</f>
        <v>-851</v>
      </c>
      <c r="O18" s="13">
        <f>_xll.BDH("GILD US Equity","ARD_CHANGE_IN_ACCRUED_EXP","FQ4 2021","FQ4 2021","Currency=USD","Period=FQ","BEST_FPERIOD_OVERRIDE=FQ","FILING_STATUS=MR","SCALING_FORMAT=MLN","Sort=A","Dates=H","DateFormat=P","Fill=—","Direction=H","UseDPDF=Y")</f>
        <v>689</v>
      </c>
      <c r="P18" s="13">
        <f>_xll.BDH("GILD US Equity","ARD_CHANGE_IN_ACCRUED_EXP","FQ1 2022","FQ1 2022","Currency=USD","Period=FQ","BEST_FPERIOD_OVERRIDE=FQ","FILING_STATUS=MR","SCALING_FORMAT=MLN","Sort=A","Dates=H","DateFormat=P","Fill=—","Direction=H","UseDPDF=Y")</f>
        <v>-1657</v>
      </c>
      <c r="Q18" s="13">
        <f>_xll.BDH("GILD US Equity","ARD_CHANGE_IN_ACCRUED_EXP","FQ2 2022","FQ2 2022","Currency=USD","Period=FQ","BEST_FPERIOD_OVERRIDE=FQ","FILING_STATUS=MR","SCALING_FORMAT=MLN","Sort=A","Dates=H","DateFormat=P","Fill=—","Direction=H","UseDPDF=Y")</f>
        <v>-1295</v>
      </c>
      <c r="R18" s="13">
        <f>_xll.BDH("GILD US Equity","ARD_CHANGE_IN_ACCRUED_EXP","FQ3 2022","FQ3 2022","Currency=USD","Period=FQ","BEST_FPERIOD_OVERRIDE=FQ","FILING_STATUS=MR","SCALING_FORMAT=MLN","Sort=A","Dates=H","DateFormat=P","Fill=—","Direction=H","UseDPDF=Y")</f>
        <v>-1131</v>
      </c>
      <c r="S18" s="13">
        <f>_xll.BDH("GILD US Equity","ARD_CHANGE_IN_ACCRUED_EXP","FQ4 2022","FQ4 2022","Currency=USD","Period=FQ","BEST_FPERIOD_OVERRIDE=FQ","FILING_STATUS=MR","SCALING_FORMAT=MLN","Sort=A","Dates=H","DateFormat=P","Fill=—","Direction=H","UseDPDF=Y")</f>
        <v>-775</v>
      </c>
      <c r="T18" s="13">
        <f>_xll.BDH("GILD US Equity","ARD_CHANGE_IN_ACCRUED_EXP","FQ1 2023","FQ1 2023","Currency=USD","Period=FQ","BEST_FPERIOD_OVERRIDE=FQ","FILING_STATUS=MR","SCALING_FORMAT=MLN","Sort=A","Dates=H","DateFormat=P","Fill=—","Direction=H","UseDPDF=Y")</f>
        <v>-543</v>
      </c>
      <c r="U18" s="13">
        <f>_xll.BDH("GILD US Equity","ARD_CHANGE_IN_ACCRUED_EXP","FQ2 2023","FQ2 2023","Currency=USD","Period=FQ","BEST_FPERIOD_OVERRIDE=FQ","FILING_STATUS=MR","SCALING_FORMAT=MLN","Sort=A","Dates=H","DateFormat=P","Fill=—","Direction=H","UseDPDF=Y")</f>
        <v>91</v>
      </c>
      <c r="V18" s="13">
        <f>_xll.BDH("GILD US Equity","ARD_CHANGE_IN_ACCRUED_EXP","FQ3 2023","FQ3 2023","Currency=USD","Period=FQ","BEST_FPERIOD_OVERRIDE=FQ","FILING_STATUS=MR","SCALING_FORMAT=MLN","Sort=A","Dates=H","DateFormat=P","Fill=—","Direction=H","UseDPDF=Y")</f>
        <v>141</v>
      </c>
      <c r="W18" s="13">
        <f>_xll.BDH("GILD US Equity","ARD_CHANGE_IN_ACCRUED_EXP","FQ4 2023","FQ4 2023","Currency=USD","Period=FQ","BEST_FPERIOD_OVERRIDE=FQ","FILING_STATUS=MR","SCALING_FORMAT=MLN","Sort=A","Dates=H","DateFormat=P","Fill=—","Direction=H","UseDPDF=Y")</f>
        <v>458</v>
      </c>
      <c r="X18" s="13">
        <f>_xll.BDH("GILD US Equity","ARD_CHANGE_IN_ACCRUED_EXP","FQ1 2024","FQ1 2024","Currency=USD","Period=FQ","BEST_FPERIOD_OVERRIDE=FQ","FILING_STATUS=MR","SCALING_FORMAT=MLN","Sort=A","Dates=H","DateFormat=P","Fill=—","Direction=H","UseDPDF=Y")</f>
        <v>-175</v>
      </c>
      <c r="Y18" s="13">
        <f>_xll.BDH("GILD US Equity","ARD_CHANGE_IN_ACCRUED_EXP","FQ2 2024","FQ2 2024","Currency=USD","Period=FQ","BEST_FPERIOD_OVERRIDE=FQ","FILING_STATUS=MR","SCALING_FORMAT=MLN","Sort=A","Dates=H","DateFormat=P","Fill=—","Direction=H","UseDPDF=Y")</f>
        <v>-349</v>
      </c>
      <c r="Z18" s="13">
        <f>_xll.BDH("GILD US Equity","ARD_CHANGE_IN_ACCRUED_EXP","FQ3 2024","FQ3 2024","Currency=USD","Period=FQ","BEST_FPERIOD_OVERRIDE=FQ","FILING_STATUS=MR","SCALING_FORMAT=MLN","Sort=A","Dates=H","DateFormat=P","Fill=—","Direction=H","UseDPDF=Y")</f>
        <v>-197</v>
      </c>
      <c r="AA18" s="13">
        <f>_xll.BDH("GILD US Equity","ARD_CHANGE_IN_ACCRUED_EXP","FQ4 2024","FQ4 2024","Currency=USD","Period=FQ","BEST_FPERIOD_OVERRIDE=FQ","FILING_STATUS=MR","SCALING_FORMAT=MLN","Sort=A","Dates=H","DateFormat=P","Fill=—","Direction=H","UseDPDF=Y")</f>
        <v>108</v>
      </c>
    </row>
    <row r="19" spans="1:27" x14ac:dyDescent="0.25">
      <c r="A19" s="10" t="s">
        <v>1427</v>
      </c>
      <c r="B19" s="10" t="s">
        <v>1428</v>
      </c>
      <c r="C19" s="13">
        <f>_xll.BDH("GILD US Equity","ARD_CHG_IN_INC_TAX_PAYABLE_REC","FQ4 2018","FQ4 2018","Currency=USD","Period=FQ","BEST_FPERIOD_OVERRIDE=FQ","FILING_STATUS=MR","SCALING_FORMAT=MLN","Sort=A","Dates=H","DateFormat=P","Fill=—","Direction=H","UseDPDF=Y")</f>
        <v>-1459</v>
      </c>
      <c r="D19" s="13">
        <f>_xll.BDH("GILD US Equity","ARD_CHG_IN_INC_TAX_PAYABLE_REC","FQ1 2019","FQ1 2019","Currency=USD","Period=FQ","BEST_FPERIOD_OVERRIDE=FQ","FILING_STATUS=MR","SCALING_FORMAT=MLN","Sort=A","Dates=H","DateFormat=P","Fill=—","Direction=H","UseDPDF=Y")</f>
        <v>-249</v>
      </c>
      <c r="E19" s="13">
        <f>_xll.BDH("GILD US Equity","ARD_CHG_IN_INC_TAX_PAYABLE_REC","FQ2 2019","FQ2 2019","Currency=USD","Period=FQ","BEST_FPERIOD_OVERRIDE=FQ","FILING_STATUS=MR","SCALING_FORMAT=MLN","Sort=A","Dates=H","DateFormat=P","Fill=—","Direction=H","UseDPDF=Y")</f>
        <v>-274</v>
      </c>
      <c r="F19" s="13">
        <f>_xll.BDH("GILD US Equity","ARD_CHG_IN_INC_TAX_PAYABLE_REC","FQ3 2019","FQ3 2019","Currency=USD","Period=FQ","BEST_FPERIOD_OVERRIDE=FQ","FILING_STATUS=MR","SCALING_FORMAT=MLN","Sort=A","Dates=H","DateFormat=P","Fill=—","Direction=H","UseDPDF=Y")</f>
        <v>107</v>
      </c>
      <c r="G19" s="13">
        <f>_xll.BDH("GILD US Equity","ARD_CHG_IN_INC_TAX_PAYABLE_REC","FQ4 2019","FQ4 2019","Currency=USD","Period=FQ","BEST_FPERIOD_OVERRIDE=FQ","FILING_STATUS=MR","SCALING_FORMAT=MLN","Sort=A","Dates=H","DateFormat=P","Fill=—","Direction=H","UseDPDF=Y")</f>
        <v>272</v>
      </c>
      <c r="H19" s="13">
        <f>_xll.BDH("GILD US Equity","ARD_CHG_IN_INC_TAX_PAYABLE_REC","FQ1 2020","FQ1 2020","Currency=USD","Period=FQ","BEST_FPERIOD_OVERRIDE=FQ","FILING_STATUS=MR","SCALING_FORMAT=MLN","Sort=A","Dates=H","DateFormat=P","Fill=—","Direction=H","UseDPDF=Y")</f>
        <v>-127</v>
      </c>
      <c r="I19" s="13">
        <f>_xll.BDH("GILD US Equity","ARD_CHG_IN_INC_TAX_PAYABLE_REC","FQ2 2020","FQ2 2020","Currency=USD","Period=FQ","BEST_FPERIOD_OVERRIDE=FQ","FILING_STATUS=MR","SCALING_FORMAT=MLN","Sort=A","Dates=H","DateFormat=P","Fill=—","Direction=H","UseDPDF=Y")</f>
        <v>-361</v>
      </c>
      <c r="J19" s="13">
        <f>_xll.BDH("GILD US Equity","ARD_CHG_IN_INC_TAX_PAYABLE_REC","FQ3 2020","FQ3 2020","Currency=USD","Period=FQ","BEST_FPERIOD_OVERRIDE=FQ","FILING_STATUS=MR","SCALING_FORMAT=MLN","Sort=A","Dates=H","DateFormat=P","Fill=—","Direction=H","UseDPDF=Y")</f>
        <v>-428</v>
      </c>
      <c r="K19" s="13">
        <f>_xll.BDH("GILD US Equity","ARD_CHG_IN_INC_TAX_PAYABLE_REC","FQ4 2020","FQ4 2020","Currency=USD","Period=FQ","BEST_FPERIOD_OVERRIDE=FQ","FILING_STATUS=MR","SCALING_FORMAT=MLN","Sort=A","Dates=H","DateFormat=P","Fill=—","Direction=H","UseDPDF=Y")</f>
        <v>-778</v>
      </c>
      <c r="L19" s="13">
        <f>_xll.BDH("GILD US Equity","ARD_CHG_IN_INC_TAX_PAYABLE_REC","FQ1 2021","FQ1 2021","Currency=USD","Period=FQ","BEST_FPERIOD_OVERRIDE=FQ","FILING_STATUS=MR","SCALING_FORMAT=MLN","Sort=A","Dates=H","DateFormat=P","Fill=—","Direction=H","UseDPDF=Y")</f>
        <v>-316</v>
      </c>
      <c r="M19" s="13">
        <f>_xll.BDH("GILD US Equity","ARD_CHG_IN_INC_TAX_PAYABLE_REC","FQ2 2021","FQ2 2021","Currency=USD","Period=FQ","BEST_FPERIOD_OVERRIDE=FQ","FILING_STATUS=MR","SCALING_FORMAT=MLN","Sort=A","Dates=H","DateFormat=P","Fill=—","Direction=H","UseDPDF=Y")</f>
        <v>-535</v>
      </c>
      <c r="N19" s="13">
        <f>_xll.BDH("GILD US Equity","ARD_CHG_IN_INC_TAX_PAYABLE_REC","FQ3 2021","FQ3 2021","Currency=USD","Period=FQ","BEST_FPERIOD_OVERRIDE=FQ","FILING_STATUS=MR","SCALING_FORMAT=MLN","Sort=A","Dates=H","DateFormat=P","Fill=—","Direction=H","UseDPDF=Y")</f>
        <v>-463</v>
      </c>
      <c r="O19" s="13">
        <f>_xll.BDH("GILD US Equity","ARD_CHG_IN_INC_TAX_PAYABLE_REC","FQ4 2021","FQ4 2021","Currency=USD","Period=FQ","BEST_FPERIOD_OVERRIDE=FQ","FILING_STATUS=MR","SCALING_FORMAT=MLN","Sort=A","Dates=H","DateFormat=P","Fill=—","Direction=H","UseDPDF=Y")</f>
        <v>-364</v>
      </c>
      <c r="P19" s="13">
        <f>_xll.BDH("GILD US Equity","ARD_CHG_IN_INC_TAX_PAYABLE_REC","FQ1 2022","FQ1 2022","Currency=USD","Period=FQ","BEST_FPERIOD_OVERRIDE=FQ","FILING_STATUS=MR","SCALING_FORMAT=MLN","Sort=A","Dates=H","DateFormat=P","Fill=—","Direction=H","UseDPDF=Y")</f>
        <v>-146</v>
      </c>
      <c r="Q19" s="13">
        <f>_xll.BDH("GILD US Equity","ARD_CHG_IN_INC_TAX_PAYABLE_REC","FQ2 2022","FQ2 2022","Currency=USD","Period=FQ","BEST_FPERIOD_OVERRIDE=FQ","FILING_STATUS=MR","SCALING_FORMAT=MLN","Sort=A","Dates=H","DateFormat=P","Fill=—","Direction=H","UseDPDF=Y")</f>
        <v>-642</v>
      </c>
      <c r="R19" s="13">
        <f>_xll.BDH("GILD US Equity","ARD_CHG_IN_INC_TAX_PAYABLE_REC","FQ3 2022","FQ3 2022","Currency=USD","Period=FQ","BEST_FPERIOD_OVERRIDE=FQ","FILING_STATUS=MR","SCALING_FORMAT=MLN","Sort=A","Dates=H","DateFormat=P","Fill=—","Direction=H","UseDPDF=Y")</f>
        <v>-564</v>
      </c>
      <c r="S19" s="13">
        <f>_xll.BDH("GILD US Equity","ARD_CHG_IN_INC_TAX_PAYABLE_REC","FQ4 2022","FQ4 2022","Currency=USD","Period=FQ","BEST_FPERIOD_OVERRIDE=FQ","FILING_STATUS=MR","SCALING_FORMAT=MLN","Sort=A","Dates=H","DateFormat=P","Fill=—","Direction=H","UseDPDF=Y")</f>
        <v>-568</v>
      </c>
      <c r="T19" s="13">
        <f>_xll.BDH("GILD US Equity","ARD_CHG_IN_INC_TAX_PAYABLE_REC","FQ1 2023","FQ1 2023","Currency=USD","Period=FQ","BEST_FPERIOD_OVERRIDE=FQ","FILING_STATUS=MR","SCALING_FORMAT=MLN","Sort=A","Dates=H","DateFormat=P","Fill=—","Direction=H","UseDPDF=Y")</f>
        <v>-161</v>
      </c>
      <c r="U19" s="13">
        <f>_xll.BDH("GILD US Equity","ARD_CHG_IN_INC_TAX_PAYABLE_REC","FQ2 2023","FQ2 2023","Currency=USD","Period=FQ","BEST_FPERIOD_OVERRIDE=FQ","FILING_STATUS=MR","SCALING_FORMAT=MLN","Sort=A","Dates=H","DateFormat=P","Fill=—","Direction=H","UseDPDF=Y")</f>
        <v>-189</v>
      </c>
      <c r="V19" s="13">
        <f>_xll.BDH("GILD US Equity","ARD_CHG_IN_INC_TAX_PAYABLE_REC","FQ3 2023","FQ3 2023","Currency=USD","Period=FQ","BEST_FPERIOD_OVERRIDE=FQ","FILING_STATUS=MR","SCALING_FORMAT=MLN","Sort=A","Dates=H","DateFormat=P","Fill=—","Direction=H","UseDPDF=Y")</f>
        <v>-1070</v>
      </c>
      <c r="W19" s="13" t="str">
        <f>_xll.BDH("GILD US Equity","ARD_CHG_IN_INC_TAX_PAYABLE_REC","FQ4 2023","FQ4 2023","Currency=USD","Period=FQ","BEST_FPERIOD_OVERRIDE=FQ","FILING_STATUS=MR","SCALING_FORMAT=MLN","Sort=A","Dates=H","DateFormat=P","Fill=—","Direction=H","UseDPDF=Y")</f>
        <v>—</v>
      </c>
      <c r="X19" s="13">
        <f>_xll.BDH("GILD US Equity","ARD_CHG_IN_INC_TAX_PAYABLE_REC","FQ1 2024","FQ1 2024","Currency=USD","Period=FQ","BEST_FPERIOD_OVERRIDE=FQ","FILING_STATUS=MR","SCALING_FORMAT=MLN","Sort=A","Dates=H","DateFormat=P","Fill=—","Direction=H","UseDPDF=Y")</f>
        <v>-208</v>
      </c>
      <c r="Y19" s="13">
        <f>_xll.BDH("GILD US Equity","ARD_CHG_IN_INC_TAX_PAYABLE_REC","FQ2 2024","FQ2 2024","Currency=USD","Period=FQ","BEST_FPERIOD_OVERRIDE=FQ","FILING_STATUS=MR","SCALING_FORMAT=MLN","Sort=A","Dates=H","DateFormat=P","Fill=—","Direction=H","UseDPDF=Y")</f>
        <v>-1379</v>
      </c>
      <c r="Z19" s="13">
        <f>_xll.BDH("GILD US Equity","ARD_CHG_IN_INC_TAX_PAYABLE_REC","FQ3 2024","FQ3 2024","Currency=USD","Period=FQ","BEST_FPERIOD_OVERRIDE=FQ","FILING_STATUS=MR","SCALING_FORMAT=MLN","Sort=A","Dates=H","DateFormat=P","Fill=—","Direction=H","UseDPDF=Y")</f>
        <v>-1268</v>
      </c>
      <c r="AA19" s="13" t="str">
        <f>_xll.BDH("GILD US Equity","ARD_CHG_IN_INC_TAX_PAYABLE_REC","FQ4 2024","FQ4 2024","Currency=USD","Period=FQ","BEST_FPERIOD_OVERRIDE=FQ","FILING_STATUS=MR","SCALING_FORMAT=MLN","Sort=A","Dates=H","DateFormat=P","Fill=—","Direction=H","UseDPDF=Y")</f>
        <v>—</v>
      </c>
    </row>
    <row r="20" spans="1:27" x14ac:dyDescent="0.25">
      <c r="A20" s="10" t="s">
        <v>1429</v>
      </c>
      <c r="B20" s="10" t="s">
        <v>1430</v>
      </c>
      <c r="C20" s="13" t="str">
        <f>_xll.BDH("GILD US Equity","ARD_IMPAIRMENTS","FQ4 2018","FQ4 2018","Currency=USD","Period=FQ","BEST_FPERIOD_OVERRIDE=FQ","FILING_STATUS=MR","SCALING_FORMAT=MLN","Sort=A","Dates=H","DateFormat=P","Fill=—","Direction=H","UseDPDF=Y")</f>
        <v>—</v>
      </c>
      <c r="D20" s="13" t="str">
        <f>_xll.BDH("GILD US Equity","ARD_IMPAIRMENTS","FQ1 2019","FQ1 2019","Currency=USD","Period=FQ","BEST_FPERIOD_OVERRIDE=FQ","FILING_STATUS=MR","SCALING_FORMAT=MLN","Sort=A","Dates=H","DateFormat=P","Fill=—","Direction=H","UseDPDF=Y")</f>
        <v>—</v>
      </c>
      <c r="E20" s="13" t="str">
        <f>_xll.BDH("GILD US Equity","ARD_IMPAIRMENTS","FQ2 2019","FQ2 2019","Currency=USD","Period=FQ","BEST_FPERIOD_OVERRIDE=FQ","FILING_STATUS=MR","SCALING_FORMAT=MLN","Sort=A","Dates=H","DateFormat=P","Fill=—","Direction=H","UseDPDF=Y")</f>
        <v>—</v>
      </c>
      <c r="F20" s="13" t="str">
        <f>_xll.BDH("GILD US Equity","ARD_IMPAIRMENTS","FQ3 2019","FQ3 2019","Currency=USD","Period=FQ","BEST_FPERIOD_OVERRIDE=FQ","FILING_STATUS=MR","SCALING_FORMAT=MLN","Sort=A","Dates=H","DateFormat=P","Fill=—","Direction=H","UseDPDF=Y")</f>
        <v>—</v>
      </c>
      <c r="G20" s="13" t="str">
        <f>_xll.BDH("GILD US Equity","ARD_IMPAIRMENTS","FQ4 2019","FQ4 2019","Currency=USD","Period=FQ","BEST_FPERIOD_OVERRIDE=FQ","FILING_STATUS=MR","SCALING_FORMAT=MLN","Sort=A","Dates=H","DateFormat=P","Fill=—","Direction=H","UseDPDF=Y")</f>
        <v>—</v>
      </c>
      <c r="H20" s="13" t="str">
        <f>_xll.BDH("GILD US Equity","ARD_IMPAIRMENTS","FQ1 2020","FQ1 2020","Currency=USD","Period=FQ","BEST_FPERIOD_OVERRIDE=FQ","FILING_STATUS=MR","SCALING_FORMAT=MLN","Sort=A","Dates=H","DateFormat=P","Fill=—","Direction=H","UseDPDF=Y")</f>
        <v>—</v>
      </c>
      <c r="I20" s="13" t="str">
        <f>_xll.BDH("GILD US Equity","ARD_IMPAIRMENTS","FQ2 2020","FQ2 2020","Currency=USD","Period=FQ","BEST_FPERIOD_OVERRIDE=FQ","FILING_STATUS=MR","SCALING_FORMAT=MLN","Sort=A","Dates=H","DateFormat=P","Fill=—","Direction=H","UseDPDF=Y")</f>
        <v>—</v>
      </c>
      <c r="J20" s="13" t="str">
        <f>_xll.BDH("GILD US Equity","ARD_IMPAIRMENTS","FQ3 2020","FQ3 2020","Currency=USD","Period=FQ","BEST_FPERIOD_OVERRIDE=FQ","FILING_STATUS=MR","SCALING_FORMAT=MLN","Sort=A","Dates=H","DateFormat=P","Fill=—","Direction=H","UseDPDF=Y")</f>
        <v>—</v>
      </c>
      <c r="K20" s="13">
        <f>_xll.BDH("GILD US Equity","ARD_IMPAIRMENTS","FQ4 2020","FQ4 2020","Currency=USD","Period=FQ","BEST_FPERIOD_OVERRIDE=FQ","FILING_STATUS=MR","SCALING_FORMAT=MLN","Sort=A","Dates=H","DateFormat=P","Fill=—","Direction=H","UseDPDF=Y")</f>
        <v>0</v>
      </c>
      <c r="L20" s="13">
        <f>_xll.BDH("GILD US Equity","ARD_IMPAIRMENTS","FQ1 2021","FQ1 2021","Currency=USD","Period=FQ","BEST_FPERIOD_OVERRIDE=FQ","FILING_STATUS=MR","SCALING_FORMAT=MLN","Sort=A","Dates=H","DateFormat=P","Fill=—","Direction=H","UseDPDF=Y")</f>
        <v>0</v>
      </c>
      <c r="M20" s="13" t="str">
        <f>_xll.BDH("GILD US Equity","ARD_IMPAIRMENTS","FQ2 2021","FQ2 2021","Currency=USD","Period=FQ","BEST_FPERIOD_OVERRIDE=FQ","FILING_STATUS=MR","SCALING_FORMAT=MLN","Sort=A","Dates=H","DateFormat=P","Fill=—","Direction=H","UseDPDF=Y")</f>
        <v>—</v>
      </c>
      <c r="N20" s="13">
        <f>_xll.BDH("GILD US Equity","ARD_IMPAIRMENTS","FQ3 2021","FQ3 2021","Currency=USD","Period=FQ","BEST_FPERIOD_OVERRIDE=FQ","FILING_STATUS=MR","SCALING_FORMAT=MLN","Sort=A","Dates=H","DateFormat=P","Fill=—","Direction=H","UseDPDF=Y")</f>
        <v>0</v>
      </c>
      <c r="O20" s="13">
        <f>_xll.BDH("GILD US Equity","ARD_IMPAIRMENTS","FQ4 2021","FQ4 2021","Currency=USD","Period=FQ","BEST_FPERIOD_OVERRIDE=FQ","FILING_STATUS=MR","SCALING_FORMAT=MLN","Sort=A","Dates=H","DateFormat=P","Fill=—","Direction=H","UseDPDF=Y")</f>
        <v>0</v>
      </c>
      <c r="P20" s="13">
        <f>_xll.BDH("GILD US Equity","ARD_IMPAIRMENTS","FQ1 2022","FQ1 2022","Currency=USD","Period=FQ","BEST_FPERIOD_OVERRIDE=FQ","FILING_STATUS=MR","SCALING_FORMAT=MLN","Sort=A","Dates=H","DateFormat=P","Fill=—","Direction=H","UseDPDF=Y")</f>
        <v>2700</v>
      </c>
      <c r="Q20" s="13" t="str">
        <f>_xll.BDH("GILD US Equity","ARD_IMPAIRMENTS","FQ2 2022","FQ2 2022","Currency=USD","Period=FQ","BEST_FPERIOD_OVERRIDE=FQ","FILING_STATUS=MR","SCALING_FORMAT=MLN","Sort=A","Dates=H","DateFormat=P","Fill=—","Direction=H","UseDPDF=Y")</f>
        <v>—</v>
      </c>
      <c r="R20" s="13">
        <f>_xll.BDH("GILD US Equity","ARD_IMPAIRMENTS","FQ3 2022","FQ3 2022","Currency=USD","Period=FQ","BEST_FPERIOD_OVERRIDE=FQ","FILING_STATUS=MR","SCALING_FORMAT=MLN","Sort=A","Dates=H","DateFormat=P","Fill=—","Direction=H","UseDPDF=Y")</f>
        <v>2700</v>
      </c>
      <c r="S20" s="13">
        <f>_xll.BDH("GILD US Equity","ARD_IMPAIRMENTS","FQ4 2022","FQ4 2022","Currency=USD","Period=FQ","BEST_FPERIOD_OVERRIDE=FQ","FILING_STATUS=MR","SCALING_FORMAT=MLN","Sort=A","Dates=H","DateFormat=P","Fill=—","Direction=H","UseDPDF=Y")</f>
        <v>2700</v>
      </c>
      <c r="T20" s="13">
        <f>_xll.BDH("GILD US Equity","ARD_IMPAIRMENTS","FQ1 2023","FQ1 2023","Currency=USD","Period=FQ","BEST_FPERIOD_OVERRIDE=FQ","FILING_STATUS=MR","SCALING_FORMAT=MLN","Sort=A","Dates=H","DateFormat=P","Fill=—","Direction=H","UseDPDF=Y")</f>
        <v>0</v>
      </c>
      <c r="U20" s="13" t="str">
        <f>_xll.BDH("GILD US Equity","ARD_IMPAIRMENTS","FQ2 2023","FQ2 2023","Currency=USD","Period=FQ","BEST_FPERIOD_OVERRIDE=FQ","FILING_STATUS=MR","SCALING_FORMAT=MLN","Sort=A","Dates=H","DateFormat=P","Fill=—","Direction=H","UseDPDF=Y")</f>
        <v>—</v>
      </c>
      <c r="V20" s="13">
        <f>_xll.BDH("GILD US Equity","ARD_IMPAIRMENTS","FQ3 2023","FQ3 2023","Currency=USD","Period=FQ","BEST_FPERIOD_OVERRIDE=FQ","FILING_STATUS=MR","SCALING_FORMAT=MLN","Sort=A","Dates=H","DateFormat=P","Fill=—","Direction=H","UseDPDF=Y")</f>
        <v>0</v>
      </c>
      <c r="W20" s="13">
        <f>_xll.BDH("GILD US Equity","ARD_IMPAIRMENTS","FQ4 2023","FQ4 2023","Currency=USD","Period=FQ","BEST_FPERIOD_OVERRIDE=FQ","FILING_STATUS=MR","SCALING_FORMAT=MLN","Sort=A","Dates=H","DateFormat=P","Fill=—","Direction=H","UseDPDF=Y")</f>
        <v>50</v>
      </c>
      <c r="X20" s="13" t="str">
        <f>_xll.BDH("GILD US Equity","ARD_IMPAIRMENTS","FQ1 2024","FQ1 2024","Currency=USD","Period=FQ","BEST_FPERIOD_OVERRIDE=FQ","FILING_STATUS=MR","SCALING_FORMAT=MLN","Sort=A","Dates=H","DateFormat=P","Fill=—","Direction=H","UseDPDF=Y")</f>
        <v>—</v>
      </c>
      <c r="Y20" s="13">
        <f>_xll.BDH("GILD US Equity","ARD_IMPAIRMENTS","FQ2 2024","FQ2 2024","Currency=USD","Period=FQ","BEST_FPERIOD_OVERRIDE=FQ","FILING_STATUS=MR","SCALING_FORMAT=MLN","Sort=A","Dates=H","DateFormat=P","Fill=—","Direction=H","UseDPDF=Y")</f>
        <v>2430</v>
      </c>
      <c r="Z20" s="13">
        <f>_xll.BDH("GILD US Equity","ARD_IMPAIRMENTS","FQ3 2024","FQ3 2024","Currency=USD","Period=FQ","BEST_FPERIOD_OVERRIDE=FQ","FILING_STATUS=MR","SCALING_FORMAT=MLN","Sort=A","Dates=H","DateFormat=P","Fill=—","Direction=H","UseDPDF=Y")</f>
        <v>4180</v>
      </c>
      <c r="AA20" s="13">
        <f>_xll.BDH("GILD US Equity","ARD_IMPAIRMENTS","FQ4 2024","FQ4 2024","Currency=USD","Period=FQ","BEST_FPERIOD_OVERRIDE=FQ","FILING_STATUS=MR","SCALING_FORMAT=MLN","Sort=A","Dates=H","DateFormat=P","Fill=—","Direction=H","UseDPDF=Y")</f>
        <v>4180</v>
      </c>
    </row>
    <row r="21" spans="1:27" x14ac:dyDescent="0.25">
      <c r="A21" s="10" t="s">
        <v>1431</v>
      </c>
      <c r="B21" s="10" t="s">
        <v>1432</v>
      </c>
      <c r="C21" s="13">
        <f>_xll.BDH("GILD US Equity","ARD_ACQUIRED_IN_PROCESS_RD_CF","FQ4 2018","FQ4 2018","Currency=USD","Period=FQ","BEST_FPERIOD_OVERRIDE=FQ","FILING_STATUS=MR","SCALING_FORMAT=MLN","Sort=A","Dates=H","DateFormat=P","Fill=—","Direction=H","UseDPDF=Y")</f>
        <v>820</v>
      </c>
      <c r="D21" s="13" t="str">
        <f>_xll.BDH("GILD US Equity","ARD_ACQUIRED_IN_PROCESS_RD_CF","FQ1 2019","FQ1 2019","Currency=USD","Period=FQ","BEST_FPERIOD_OVERRIDE=FQ","FILING_STATUS=MR","SCALING_FORMAT=MLN","Sort=A","Dates=H","DateFormat=P","Fill=—","Direction=H","UseDPDF=Y")</f>
        <v>—</v>
      </c>
      <c r="E21" s="13">
        <f>_xll.BDH("GILD US Equity","ARD_ACQUIRED_IN_PROCESS_RD_CF","FQ2 2019","FQ2 2019","Currency=USD","Period=FQ","BEST_FPERIOD_OVERRIDE=FQ","FILING_STATUS=MR","SCALING_FORMAT=MLN","Sort=A","Dates=H","DateFormat=P","Fill=—","Direction=H","UseDPDF=Y")</f>
        <v>291</v>
      </c>
      <c r="F21" s="13">
        <f>_xll.BDH("GILD US Equity","ARD_ACQUIRED_IN_PROCESS_RD_CF","FQ3 2019","FQ3 2019","Currency=USD","Period=FQ","BEST_FPERIOD_OVERRIDE=FQ","FILING_STATUS=MR","SCALING_FORMAT=MLN","Sort=A","Dates=H","DateFormat=P","Fill=—","Direction=H","UseDPDF=Y")</f>
        <v>4251</v>
      </c>
      <c r="G21" s="13">
        <f>_xll.BDH("GILD US Equity","ARD_ACQUIRED_IN_PROCESS_RD_CF","FQ4 2019","FQ4 2019","Currency=USD","Period=FQ","BEST_FPERIOD_OVERRIDE=FQ","FILING_STATUS=MR","SCALING_FORMAT=MLN","Sort=A","Dates=H","DateFormat=P","Fill=—","Direction=H","UseDPDF=Y")</f>
        <v>5051</v>
      </c>
      <c r="H21" s="13">
        <f>_xll.BDH("GILD US Equity","ARD_ACQUIRED_IN_PROCESS_RD_CF","FQ1 2020","FQ1 2020","Currency=USD","Period=FQ","BEST_FPERIOD_OVERRIDE=FQ","FILING_STATUS=MR","SCALING_FORMAT=MLN","Sort=A","Dates=H","DateFormat=P","Fill=—","Direction=H","UseDPDF=Y")</f>
        <v>97</v>
      </c>
      <c r="I21" s="13">
        <f>_xll.BDH("GILD US Equity","ARD_ACQUIRED_IN_PROCESS_RD_CF","FQ2 2020","FQ2 2020","Currency=USD","Period=FQ","BEST_FPERIOD_OVERRIDE=FQ","FILING_STATUS=MR","SCALING_FORMAT=MLN","Sort=A","Dates=H","DateFormat=P","Fill=—","Direction=H","UseDPDF=Y")</f>
        <v>4621</v>
      </c>
      <c r="J21" s="13">
        <f>_xll.BDH("GILD US Equity","ARD_ACQUIRED_IN_PROCESS_RD_CF","FQ3 2020","FQ3 2020","Currency=USD","Period=FQ","BEST_FPERIOD_OVERRIDE=FQ","FILING_STATUS=MR","SCALING_FORMAT=MLN","Sort=A","Dates=H","DateFormat=P","Fill=—","Direction=H","UseDPDF=Y")</f>
        <v>5792</v>
      </c>
      <c r="K21" s="13">
        <f>_xll.BDH("GILD US Equity","ARD_ACQUIRED_IN_PROCESS_RD_CF","FQ4 2020","FQ4 2020","Currency=USD","Period=FQ","BEST_FPERIOD_OVERRIDE=FQ","FILING_STATUS=MR","SCALING_FORMAT=MLN","Sort=A","Dates=H","DateFormat=P","Fill=—","Direction=H","UseDPDF=Y")</f>
        <v>5968</v>
      </c>
      <c r="L21" s="13">
        <f>_xll.BDH("GILD US Equity","ARD_ACQUIRED_IN_PROCESS_RD_CF","FQ1 2021","FQ1 2021","Currency=USD","Period=FQ","BEST_FPERIOD_OVERRIDE=FQ","FILING_STATUS=MR","SCALING_FORMAT=MLN","Sort=A","Dates=H","DateFormat=P","Fill=—","Direction=H","UseDPDF=Y")</f>
        <v>62</v>
      </c>
      <c r="M21" s="13">
        <f>_xll.BDH("GILD US Equity","ARD_ACQUIRED_IN_PROCESS_RD_CF","FQ2 2021","FQ2 2021","Currency=USD","Period=FQ","BEST_FPERIOD_OVERRIDE=FQ","FILING_STATUS=MR","SCALING_FORMAT=MLN","Sort=A","Dates=H","DateFormat=P","Fill=—","Direction=H","UseDPDF=Y")</f>
        <v>158</v>
      </c>
      <c r="N21" s="13">
        <f>_xll.BDH("GILD US Equity","ARD_ACQUIRED_IN_PROCESS_RD_CF","FQ3 2021","FQ3 2021","Currency=USD","Period=FQ","BEST_FPERIOD_OVERRIDE=FQ","FILING_STATUS=MR","SCALING_FORMAT=MLN","Sort=A","Dates=H","DateFormat=P","Fill=—","Direction=H","UseDPDF=Y")</f>
        <v>270</v>
      </c>
      <c r="O21" s="13">
        <f>_xll.BDH("GILD US Equity","ARD_ACQUIRED_IN_PROCESS_RD_CF","FQ4 2021","FQ4 2021","Currency=USD","Period=FQ","BEST_FPERIOD_OVERRIDE=FQ","FILING_STATUS=MR","SCALING_FORMAT=MLN","Sort=A","Dates=H","DateFormat=P","Fill=—","Direction=H","UseDPDF=Y")</f>
        <v>939</v>
      </c>
      <c r="P21" s="13">
        <f>_xll.BDH("GILD US Equity","ARD_ACQUIRED_IN_PROCESS_RD_CF","FQ1 2022","FQ1 2022","Currency=USD","Period=FQ","BEST_FPERIOD_OVERRIDE=FQ","FILING_STATUS=MR","SCALING_FORMAT=MLN","Sort=A","Dates=H","DateFormat=P","Fill=—","Direction=H","UseDPDF=Y")</f>
        <v>0</v>
      </c>
      <c r="Q21" s="13">
        <f>_xll.BDH("GILD US Equity","ARD_ACQUIRED_IN_PROCESS_RD_CF","FQ2 2022","FQ2 2022","Currency=USD","Period=FQ","BEST_FPERIOD_OVERRIDE=FQ","FILING_STATUS=MR","SCALING_FORMAT=MLN","Sort=A","Dates=H","DateFormat=P","Fill=—","Direction=H","UseDPDF=Y")</f>
        <v>338</v>
      </c>
      <c r="R21" s="13">
        <f>_xll.BDH("GILD US Equity","ARD_ACQUIRED_IN_PROCESS_RD_CF","FQ3 2022","FQ3 2022","Currency=USD","Period=FQ","BEST_FPERIOD_OVERRIDE=FQ","FILING_STATUS=MR","SCALING_FORMAT=MLN","Sort=A","Dates=H","DateFormat=P","Fill=—","Direction=H","UseDPDF=Y")</f>
        <v>786</v>
      </c>
      <c r="S21" s="13">
        <f>_xll.BDH("GILD US Equity","ARD_ACQUIRED_IN_PROCESS_RD_CF","FQ4 2022","FQ4 2022","Currency=USD","Period=FQ","BEST_FPERIOD_OVERRIDE=FQ","FILING_STATUS=MR","SCALING_FORMAT=MLN","Sort=A","Dates=H","DateFormat=P","Fill=—","Direction=H","UseDPDF=Y")</f>
        <v>944</v>
      </c>
      <c r="T21" s="13">
        <f>_xll.BDH("GILD US Equity","ARD_ACQUIRED_IN_PROCESS_RD_CF","FQ1 2023","FQ1 2023","Currency=USD","Period=FQ","BEST_FPERIOD_OVERRIDE=FQ","FILING_STATUS=MR","SCALING_FORMAT=MLN","Sort=A","Dates=H","DateFormat=P","Fill=—","Direction=H","UseDPDF=Y")</f>
        <v>481</v>
      </c>
      <c r="U21" s="13">
        <f>_xll.BDH("GILD US Equity","ARD_ACQUIRED_IN_PROCESS_RD_CF","FQ2 2023","FQ2 2023","Currency=USD","Period=FQ","BEST_FPERIOD_OVERRIDE=FQ","FILING_STATUS=MR","SCALING_FORMAT=MLN","Sort=A","Dates=H","DateFormat=P","Fill=—","Direction=H","UseDPDF=Y")</f>
        <v>717</v>
      </c>
      <c r="V21" s="13">
        <f>_xll.BDH("GILD US Equity","ARD_ACQUIRED_IN_PROCESS_RD_CF","FQ3 2023","FQ3 2023","Currency=USD","Period=FQ","BEST_FPERIOD_OVERRIDE=FQ","FILING_STATUS=MR","SCALING_FORMAT=MLN","Sort=A","Dates=H","DateFormat=P","Fill=—","Direction=H","UseDPDF=Y")</f>
        <v>808</v>
      </c>
      <c r="W21" s="13">
        <f>_xll.BDH("GILD US Equity","ARD_ACQUIRED_IN_PROCESS_RD_CF","FQ4 2023","FQ4 2023","Currency=USD","Period=FQ","BEST_FPERIOD_OVERRIDE=FQ","FILING_STATUS=MR","SCALING_FORMAT=MLN","Sort=A","Dates=H","DateFormat=P","Fill=—","Direction=H","UseDPDF=Y")</f>
        <v>1155</v>
      </c>
      <c r="X21" s="13">
        <f>_xll.BDH("GILD US Equity","ARD_ACQUIRED_IN_PROCESS_RD_CF","FQ1 2024","FQ1 2024","Currency=USD","Period=FQ","BEST_FPERIOD_OVERRIDE=FQ","FILING_STATUS=MR","SCALING_FORMAT=MLN","Sort=A","Dates=H","DateFormat=P","Fill=—","Direction=H","UseDPDF=Y")</f>
        <v>6561</v>
      </c>
      <c r="Y21" s="13">
        <f>_xll.BDH("GILD US Equity","ARD_ACQUIRED_IN_PROCESS_RD_CF","FQ2 2024","FQ2 2024","Currency=USD","Period=FQ","BEST_FPERIOD_OVERRIDE=FQ","FILING_STATUS=MR","SCALING_FORMAT=MLN","Sort=A","Dates=H","DateFormat=P","Fill=—","Direction=H","UseDPDF=Y")</f>
        <v>4169</v>
      </c>
      <c r="Z21" s="13">
        <f>_xll.BDH("GILD US Equity","ARD_ACQUIRED_IN_PROCESS_RD_CF","FQ3 2024","FQ3 2024","Currency=USD","Period=FQ","BEST_FPERIOD_OVERRIDE=FQ","FILING_STATUS=MR","SCALING_FORMAT=MLN","Sort=A","Dates=H","DateFormat=P","Fill=—","Direction=H","UseDPDF=Y")</f>
        <v>4674</v>
      </c>
      <c r="AA21" s="13">
        <f>_xll.BDH("GILD US Equity","ARD_ACQUIRED_IN_PROCESS_RD_CF","FQ4 2024","FQ4 2024","Currency=USD","Period=FQ","BEST_FPERIOD_OVERRIDE=FQ","FILING_STATUS=MR","SCALING_FORMAT=MLN","Sort=A","Dates=H","DateFormat=P","Fill=—","Direction=H","UseDPDF=Y")</f>
        <v>4663</v>
      </c>
    </row>
    <row r="22" spans="1:27" x14ac:dyDescent="0.25">
      <c r="A22" s="10" t="s">
        <v>1433</v>
      </c>
      <c r="B22" s="10" t="s">
        <v>1434</v>
      </c>
      <c r="C22" s="13" t="str">
        <f>_xll.BDH("GILD US Equity","ARD_CHANGE_IN_OTHER_ASSETS","FQ4 2018","FQ4 2018","Currency=USD","Period=FQ","BEST_FPERIOD_OVERRIDE=FQ","FILING_STATUS=MR","SCALING_FORMAT=MLN","Sort=A","Dates=H","DateFormat=P","Fill=—","Direction=H","UseDPDF=Y")</f>
        <v>—</v>
      </c>
      <c r="D22" s="13" t="str">
        <f>_xll.BDH("GILD US Equity","ARD_CHANGE_IN_OTHER_ASSETS","FQ1 2019","FQ1 2019","Currency=USD","Period=FQ","BEST_FPERIOD_OVERRIDE=FQ","FILING_STATUS=MR","SCALING_FORMAT=MLN","Sort=A","Dates=H","DateFormat=P","Fill=—","Direction=H","UseDPDF=Y")</f>
        <v>—</v>
      </c>
      <c r="E22" s="13" t="str">
        <f>_xll.BDH("GILD US Equity","ARD_CHANGE_IN_OTHER_ASSETS","FQ2 2019","FQ2 2019","Currency=USD","Period=FQ","BEST_FPERIOD_OVERRIDE=FQ","FILING_STATUS=MR","SCALING_FORMAT=MLN","Sort=A","Dates=H","DateFormat=P","Fill=—","Direction=H","UseDPDF=Y")</f>
        <v>—</v>
      </c>
      <c r="F22" s="13" t="str">
        <f>_xll.BDH("GILD US Equity","ARD_CHANGE_IN_OTHER_ASSETS","FQ3 2019","FQ3 2019","Currency=USD","Period=FQ","BEST_FPERIOD_OVERRIDE=FQ","FILING_STATUS=MR","SCALING_FORMAT=MLN","Sort=A","Dates=H","DateFormat=P","Fill=—","Direction=H","UseDPDF=Y")</f>
        <v>—</v>
      </c>
      <c r="G22" s="13" t="str">
        <f>_xll.BDH("GILD US Equity","ARD_CHANGE_IN_OTHER_ASSETS","FQ4 2019","FQ4 2019","Currency=USD","Period=FQ","BEST_FPERIOD_OVERRIDE=FQ","FILING_STATUS=MR","SCALING_FORMAT=MLN","Sort=A","Dates=H","DateFormat=P","Fill=—","Direction=H","UseDPDF=Y")</f>
        <v>—</v>
      </c>
      <c r="H22" s="13" t="str">
        <f>_xll.BDH("GILD US Equity","ARD_CHANGE_IN_OTHER_ASSETS","FQ1 2020","FQ1 2020","Currency=USD","Period=FQ","BEST_FPERIOD_OVERRIDE=FQ","FILING_STATUS=MR","SCALING_FORMAT=MLN","Sort=A","Dates=H","DateFormat=P","Fill=—","Direction=H","UseDPDF=Y")</f>
        <v>—</v>
      </c>
      <c r="I22" s="13" t="str">
        <f>_xll.BDH("GILD US Equity","ARD_CHANGE_IN_OTHER_ASSETS","FQ2 2020","FQ2 2020","Currency=USD","Period=FQ","BEST_FPERIOD_OVERRIDE=FQ","FILING_STATUS=MR","SCALING_FORMAT=MLN","Sort=A","Dates=H","DateFormat=P","Fill=—","Direction=H","UseDPDF=Y")</f>
        <v>—</v>
      </c>
      <c r="J22" s="13" t="str">
        <f>_xll.BDH("GILD US Equity","ARD_CHANGE_IN_OTHER_ASSETS","FQ3 2020","FQ3 2020","Currency=USD","Period=FQ","BEST_FPERIOD_OVERRIDE=FQ","FILING_STATUS=MR","SCALING_FORMAT=MLN","Sort=A","Dates=H","DateFormat=P","Fill=—","Direction=H","UseDPDF=Y")</f>
        <v>—</v>
      </c>
      <c r="K22" s="13" t="str">
        <f>_xll.BDH("GILD US Equity","ARD_CHANGE_IN_OTHER_ASSETS","FQ4 2020","FQ4 2020","Currency=USD","Period=FQ","BEST_FPERIOD_OVERRIDE=FQ","FILING_STATUS=MR","SCALING_FORMAT=MLN","Sort=A","Dates=H","DateFormat=P","Fill=—","Direction=H","UseDPDF=Y")</f>
        <v>—</v>
      </c>
      <c r="L22" s="13" t="str">
        <f>_xll.BDH("GILD US Equity","ARD_CHANGE_IN_OTHER_ASSETS","FQ1 2021","FQ1 2021","Currency=USD","Period=FQ","BEST_FPERIOD_OVERRIDE=FQ","FILING_STATUS=MR","SCALING_FORMAT=MLN","Sort=A","Dates=H","DateFormat=P","Fill=—","Direction=H","UseDPDF=Y")</f>
        <v>—</v>
      </c>
      <c r="M22" s="13" t="str">
        <f>_xll.BDH("GILD US Equity","ARD_CHANGE_IN_OTHER_ASSETS","FQ2 2021","FQ2 2021","Currency=USD","Period=FQ","BEST_FPERIOD_OVERRIDE=FQ","FILING_STATUS=MR","SCALING_FORMAT=MLN","Sort=A","Dates=H","DateFormat=P","Fill=—","Direction=H","UseDPDF=Y")</f>
        <v>—</v>
      </c>
      <c r="N22" s="13" t="str">
        <f>_xll.BDH("GILD US Equity","ARD_CHANGE_IN_OTHER_ASSETS","FQ3 2021","FQ3 2021","Currency=USD","Period=FQ","BEST_FPERIOD_OVERRIDE=FQ","FILING_STATUS=MR","SCALING_FORMAT=MLN","Sort=A","Dates=H","DateFormat=P","Fill=—","Direction=H","UseDPDF=Y")</f>
        <v>—</v>
      </c>
      <c r="O22" s="13" t="str">
        <f>_xll.BDH("GILD US Equity","ARD_CHANGE_IN_OTHER_ASSETS","FQ4 2021","FQ4 2021","Currency=USD","Period=FQ","BEST_FPERIOD_OVERRIDE=FQ","FILING_STATUS=MR","SCALING_FORMAT=MLN","Sort=A","Dates=H","DateFormat=P","Fill=—","Direction=H","UseDPDF=Y")</f>
        <v>—</v>
      </c>
      <c r="P22" s="13" t="str">
        <f>_xll.BDH("GILD US Equity","ARD_CHANGE_IN_OTHER_ASSETS","FQ1 2022","FQ1 2022","Currency=USD","Period=FQ","BEST_FPERIOD_OVERRIDE=FQ","FILING_STATUS=MR","SCALING_FORMAT=MLN","Sort=A","Dates=H","DateFormat=P","Fill=—","Direction=H","UseDPDF=Y")</f>
        <v>—</v>
      </c>
      <c r="Q22" s="13" t="str">
        <f>_xll.BDH("GILD US Equity","ARD_CHANGE_IN_OTHER_ASSETS","FQ2 2022","FQ2 2022","Currency=USD","Period=FQ","BEST_FPERIOD_OVERRIDE=FQ","FILING_STATUS=MR","SCALING_FORMAT=MLN","Sort=A","Dates=H","DateFormat=P","Fill=—","Direction=H","UseDPDF=Y")</f>
        <v>—</v>
      </c>
      <c r="R22" s="13" t="str">
        <f>_xll.BDH("GILD US Equity","ARD_CHANGE_IN_OTHER_ASSETS","FQ3 2022","FQ3 2022","Currency=USD","Period=FQ","BEST_FPERIOD_OVERRIDE=FQ","FILING_STATUS=MR","SCALING_FORMAT=MLN","Sort=A","Dates=H","DateFormat=P","Fill=—","Direction=H","UseDPDF=Y")</f>
        <v>—</v>
      </c>
      <c r="S22" s="13" t="str">
        <f>_xll.BDH("GILD US Equity","ARD_CHANGE_IN_OTHER_ASSETS","FQ4 2022","FQ4 2022","Currency=USD","Period=FQ","BEST_FPERIOD_OVERRIDE=FQ","FILING_STATUS=MR","SCALING_FORMAT=MLN","Sort=A","Dates=H","DateFormat=P","Fill=—","Direction=H","UseDPDF=Y")</f>
        <v>—</v>
      </c>
      <c r="T22" s="13" t="str">
        <f>_xll.BDH("GILD US Equity","ARD_CHANGE_IN_OTHER_ASSETS","FQ1 2023","FQ1 2023","Currency=USD","Period=FQ","BEST_FPERIOD_OVERRIDE=FQ","FILING_STATUS=MR","SCALING_FORMAT=MLN","Sort=A","Dates=H","DateFormat=P","Fill=—","Direction=H","UseDPDF=Y")</f>
        <v>—</v>
      </c>
      <c r="U22" s="13" t="str">
        <f>_xll.BDH("GILD US Equity","ARD_CHANGE_IN_OTHER_ASSETS","FQ2 2023","FQ2 2023","Currency=USD","Period=FQ","BEST_FPERIOD_OVERRIDE=FQ","FILING_STATUS=MR","SCALING_FORMAT=MLN","Sort=A","Dates=H","DateFormat=P","Fill=—","Direction=H","UseDPDF=Y")</f>
        <v>—</v>
      </c>
      <c r="V22" s="13" t="str">
        <f>_xll.BDH("GILD US Equity","ARD_CHANGE_IN_OTHER_ASSETS","FQ3 2023","FQ3 2023","Currency=USD","Period=FQ","BEST_FPERIOD_OVERRIDE=FQ","FILING_STATUS=MR","SCALING_FORMAT=MLN","Sort=A","Dates=H","DateFormat=P","Fill=—","Direction=H","UseDPDF=Y")</f>
        <v>—</v>
      </c>
      <c r="W22" s="13">
        <f>_xll.BDH("GILD US Equity","ARD_CHANGE_IN_OTHER_ASSETS","FQ4 2023","FQ4 2023","Currency=USD","Period=FQ","BEST_FPERIOD_OVERRIDE=FQ","FILING_STATUS=MR","SCALING_FORMAT=MLN","Sort=A","Dates=H","DateFormat=P","Fill=—","Direction=H","UseDPDF=Y")</f>
        <v>-1767</v>
      </c>
      <c r="X22" s="13" t="str">
        <f>_xll.BDH("GILD US Equity","ARD_CHANGE_IN_OTHER_ASSETS","FQ1 2024","FQ1 2024","Currency=USD","Period=FQ","BEST_FPERIOD_OVERRIDE=FQ","FILING_STATUS=MR","SCALING_FORMAT=MLN","Sort=A","Dates=H","DateFormat=P","Fill=—","Direction=H","UseDPDF=Y")</f>
        <v>—</v>
      </c>
      <c r="Y22" s="13" t="str">
        <f>_xll.BDH("GILD US Equity","ARD_CHANGE_IN_OTHER_ASSETS","FQ2 2024","FQ2 2024","Currency=USD","Period=FQ","BEST_FPERIOD_OVERRIDE=FQ","FILING_STATUS=MR","SCALING_FORMAT=MLN","Sort=A","Dates=H","DateFormat=P","Fill=—","Direction=H","UseDPDF=Y")</f>
        <v>—</v>
      </c>
      <c r="Z22" s="13" t="str">
        <f>_xll.BDH("GILD US Equity","ARD_CHANGE_IN_OTHER_ASSETS","FQ3 2024","FQ3 2024","Currency=USD","Period=FQ","BEST_FPERIOD_OVERRIDE=FQ","FILING_STATUS=MR","SCALING_FORMAT=MLN","Sort=A","Dates=H","DateFormat=P","Fill=—","Direction=H","UseDPDF=Y")</f>
        <v>—</v>
      </c>
      <c r="AA22" s="13">
        <f>_xll.BDH("GILD US Equity","ARD_CHANGE_IN_OTHER_ASSETS","FQ4 2024","FQ4 2024","Currency=USD","Period=FQ","BEST_FPERIOD_OVERRIDE=FQ","FILING_STATUS=MR","SCALING_FORMAT=MLN","Sort=A","Dates=H","DateFormat=P","Fill=—","Direction=H","UseDPDF=Y")</f>
        <v>-732</v>
      </c>
    </row>
    <row r="23" spans="1:27" x14ac:dyDescent="0.25">
      <c r="A23" s="10" t="s">
        <v>1435</v>
      </c>
      <c r="B23" s="10" t="s">
        <v>1436</v>
      </c>
      <c r="C23" s="13">
        <f>_xll.BDH("GILD US Equity","ARD_TOT_CASH_FLOWS_FROM_OPS","FQ4 2018","FQ4 2018","Currency=USD","Period=FQ","BEST_FPERIOD_OVERRIDE=FQ","FILING_STATUS=MR","SCALING_FORMAT=MLN","Sort=A","Dates=H","DateFormat=P","Fill=—","Direction=H","UseDPDF=Y")</f>
        <v>8400</v>
      </c>
      <c r="D23" s="13">
        <f>_xll.BDH("GILD US Equity","ARD_TOT_CASH_FLOWS_FROM_OPS","FQ1 2019","FQ1 2019","Currency=USD","Period=FQ","BEST_FPERIOD_OVERRIDE=FQ","FILING_STATUS=MR","SCALING_FORMAT=MLN","Sort=A","Dates=H","DateFormat=P","Fill=—","Direction=H","UseDPDF=Y")</f>
        <v>1444</v>
      </c>
      <c r="E23" s="13">
        <f>_xll.BDH("GILD US Equity","ARD_TOT_CASH_FLOWS_FROM_OPS","FQ2 2019","FQ2 2019","Currency=USD","Period=FQ","BEST_FPERIOD_OVERRIDE=FQ","FILING_STATUS=MR","SCALING_FORMAT=MLN","Sort=A","Dates=H","DateFormat=P","Fill=—","Direction=H","UseDPDF=Y")</f>
        <v>3919</v>
      </c>
      <c r="F23" s="13">
        <f>_xll.BDH("GILD US Equity","ARD_TOT_CASH_FLOWS_FROM_OPS","FQ3 2019","FQ3 2019","Currency=USD","Period=FQ","BEST_FPERIOD_OVERRIDE=FQ","FILING_STATUS=MR","SCALING_FORMAT=MLN","Sort=A","Dates=H","DateFormat=P","Fill=—","Direction=H","UseDPDF=Y")</f>
        <v>6564</v>
      </c>
      <c r="G23" s="13">
        <f>_xll.BDH("GILD US Equity","ARD_TOT_CASH_FLOWS_FROM_OPS","FQ4 2019","FQ4 2019","Currency=USD","Period=FQ","BEST_FPERIOD_OVERRIDE=FQ","FILING_STATUS=MR","SCALING_FORMAT=MLN","Sort=A","Dates=H","DateFormat=P","Fill=—","Direction=H","UseDPDF=Y")</f>
        <v>9144</v>
      </c>
      <c r="H23" s="13">
        <f>_xll.BDH("GILD US Equity","ARD_TOT_CASH_FLOWS_FROM_OPS","FQ1 2020","FQ1 2020","Currency=USD","Period=FQ","BEST_FPERIOD_OVERRIDE=FQ","FILING_STATUS=MR","SCALING_FORMAT=MLN","Sort=A","Dates=H","DateFormat=P","Fill=—","Direction=H","UseDPDF=Y")</f>
        <v>1436</v>
      </c>
      <c r="I23" s="13">
        <f>_xll.BDH("GILD US Equity","ARD_TOT_CASH_FLOWS_FROM_OPS","FQ2 2020","FQ2 2020","Currency=USD","Period=FQ","BEST_FPERIOD_OVERRIDE=FQ","FILING_STATUS=MR","SCALING_FORMAT=MLN","Sort=A","Dates=H","DateFormat=P","Fill=—","Direction=H","UseDPDF=Y")</f>
        <v>4002</v>
      </c>
      <c r="J23" s="13">
        <f>_xll.BDH("GILD US Equity","ARD_TOT_CASH_FLOWS_FROM_OPS","FQ3 2020","FQ3 2020","Currency=USD","Period=FQ","BEST_FPERIOD_OVERRIDE=FQ","FILING_STATUS=MR","SCALING_FORMAT=MLN","Sort=A","Dates=H","DateFormat=P","Fill=—","Direction=H","UseDPDF=Y")</f>
        <v>6252</v>
      </c>
      <c r="K23" s="13">
        <f>_xll.BDH("GILD US Equity","ARD_TOT_CASH_FLOWS_FROM_OPS","FQ4 2020","FQ4 2020","Currency=USD","Period=FQ","BEST_FPERIOD_OVERRIDE=FQ","FILING_STATUS=MR","SCALING_FORMAT=MLN","Sort=A","Dates=H","DateFormat=P","Fill=—","Direction=H","UseDPDF=Y")</f>
        <v>8168</v>
      </c>
      <c r="L23" s="13">
        <f>_xll.BDH("GILD US Equity","ARD_TOT_CASH_FLOWS_FROM_OPS","FQ1 2021","FQ1 2021","Currency=USD","Period=FQ","BEST_FPERIOD_OVERRIDE=FQ","FILING_STATUS=MR","SCALING_FORMAT=MLN","Sort=A","Dates=H","DateFormat=P","Fill=—","Direction=H","UseDPDF=Y")</f>
        <v>2610</v>
      </c>
      <c r="M23" s="13">
        <f>_xll.BDH("GILD US Equity","ARD_TOT_CASH_FLOWS_FROM_OPS","FQ2 2021","FQ2 2021","Currency=USD","Period=FQ","BEST_FPERIOD_OVERRIDE=FQ","FILING_STATUS=MR","SCALING_FORMAT=MLN","Sort=A","Dates=H","DateFormat=P","Fill=—","Direction=H","UseDPDF=Y")</f>
        <v>4926</v>
      </c>
      <c r="N23" s="13">
        <f>_xll.BDH("GILD US Equity","ARD_TOT_CASH_FLOWS_FROM_OPS","FQ3 2021","FQ3 2021","Currency=USD","Period=FQ","BEST_FPERIOD_OVERRIDE=FQ","FILING_STATUS=MR","SCALING_FORMAT=MLN","Sort=A","Dates=H","DateFormat=P","Fill=—","Direction=H","UseDPDF=Y")</f>
        <v>8179</v>
      </c>
      <c r="O23" s="13">
        <f>_xll.BDH("GILD US Equity","ARD_TOT_CASH_FLOWS_FROM_OPS","FQ4 2021","FQ4 2021","Currency=USD","Period=FQ","BEST_FPERIOD_OVERRIDE=FQ","FILING_STATUS=MR","SCALING_FORMAT=MLN","Sort=A","Dates=H","DateFormat=P","Fill=—","Direction=H","UseDPDF=Y")</f>
        <v>11384</v>
      </c>
      <c r="P23" s="13">
        <f>_xll.BDH("GILD US Equity","ARD_TOT_CASH_FLOWS_FROM_OPS","FQ1 2022","FQ1 2022","Currency=USD","Period=FQ","BEST_FPERIOD_OVERRIDE=FQ","FILING_STATUS=MR","SCALING_FORMAT=MLN","Sort=A","Dates=H","DateFormat=P","Fill=—","Direction=H","UseDPDF=Y")</f>
        <v>1840</v>
      </c>
      <c r="Q23" s="13">
        <f>_xll.BDH("GILD US Equity","ARD_TOT_CASH_FLOWS_FROM_OPS","FQ2 2022","FQ2 2022","Currency=USD","Period=FQ","BEST_FPERIOD_OVERRIDE=FQ","FILING_STATUS=MR","SCALING_FORMAT=MLN","Sort=A","Dates=H","DateFormat=P","Fill=—","Direction=H","UseDPDF=Y")</f>
        <v>3642</v>
      </c>
      <c r="R23" s="13">
        <f>_xll.BDH("GILD US Equity","ARD_TOT_CASH_FLOWS_FROM_OPS","FQ3 2022","FQ3 2022","Currency=USD","Period=FQ","BEST_FPERIOD_OVERRIDE=FQ","FILING_STATUS=MR","SCALING_FORMAT=MLN","Sort=A","Dates=H","DateFormat=P","Fill=—","Direction=H","UseDPDF=Y")</f>
        <v>6505</v>
      </c>
      <c r="S23" s="13">
        <f>_xll.BDH("GILD US Equity","ARD_TOT_CASH_FLOWS_FROM_OPS","FQ4 2022","FQ4 2022","Currency=USD","Period=FQ","BEST_FPERIOD_OVERRIDE=FQ","FILING_STATUS=MR","SCALING_FORMAT=MLN","Sort=A","Dates=H","DateFormat=P","Fill=—","Direction=H","UseDPDF=Y")</f>
        <v>9072</v>
      </c>
      <c r="T23" s="13">
        <f>_xll.BDH("GILD US Equity","ARD_TOT_CASH_FLOWS_FROM_OPS","FQ1 2023","FQ1 2023","Currency=USD","Period=FQ","BEST_FPERIOD_OVERRIDE=FQ","FILING_STATUS=MR","SCALING_FORMAT=MLN","Sort=A","Dates=H","DateFormat=P","Fill=—","Direction=H","UseDPDF=Y")</f>
        <v>1744</v>
      </c>
      <c r="U23" s="13">
        <f>_xll.BDH("GILD US Equity","ARD_TOT_CASH_FLOWS_FROM_OPS","FQ2 2023","FQ2 2023","Currency=USD","Period=FQ","BEST_FPERIOD_OVERRIDE=FQ","FILING_STATUS=MR","SCALING_FORMAT=MLN","Sort=A","Dates=H","DateFormat=P","Fill=—","Direction=H","UseDPDF=Y")</f>
        <v>4082</v>
      </c>
      <c r="V23" s="13">
        <f>_xll.BDH("GILD US Equity","ARD_TOT_CASH_FLOWS_FROM_OPS","FQ3 2023","FQ3 2023","Currency=USD","Period=FQ","BEST_FPERIOD_OVERRIDE=FQ","FILING_STATUS=MR","SCALING_FORMAT=MLN","Sort=A","Dates=H","DateFormat=P","Fill=—","Direction=H","UseDPDF=Y")</f>
        <v>5837</v>
      </c>
      <c r="W23" s="13">
        <f>_xll.BDH("GILD US Equity","ARD_TOT_CASH_FLOWS_FROM_OPS","FQ4 2023","FQ4 2023","Currency=USD","Period=FQ","BEST_FPERIOD_OVERRIDE=FQ","FILING_STATUS=MR","SCALING_FORMAT=MLN","Sort=A","Dates=H","DateFormat=P","Fill=—","Direction=H","UseDPDF=Y")</f>
        <v>8006</v>
      </c>
      <c r="X23" s="13">
        <f>_xll.BDH("GILD US Equity","ARD_TOT_CASH_FLOWS_FROM_OPS","FQ1 2024","FQ1 2024","Currency=USD","Period=FQ","BEST_FPERIOD_OVERRIDE=FQ","FILING_STATUS=MR","SCALING_FORMAT=MLN","Sort=A","Dates=H","DateFormat=P","Fill=—","Direction=H","UseDPDF=Y")</f>
        <v>2219</v>
      </c>
      <c r="Y23" s="13">
        <f>_xll.BDH("GILD US Equity","ARD_TOT_CASH_FLOWS_FROM_OPS","FQ2 2024","FQ2 2024","Currency=USD","Period=FQ","BEST_FPERIOD_OVERRIDE=FQ","FILING_STATUS=MR","SCALING_FORMAT=MLN","Sort=A","Dates=H","DateFormat=P","Fill=—","Direction=H","UseDPDF=Y")</f>
        <v>3544</v>
      </c>
      <c r="Z23" s="13">
        <f>_xll.BDH("GILD US Equity","ARD_TOT_CASH_FLOWS_FROM_OPS","FQ3 2024","FQ3 2024","Currency=USD","Period=FQ","BEST_FPERIOD_OVERRIDE=FQ","FILING_STATUS=MR","SCALING_FORMAT=MLN","Sort=A","Dates=H","DateFormat=P","Fill=—","Direction=H","UseDPDF=Y")</f>
        <v>7853</v>
      </c>
      <c r="AA23" s="13">
        <f>_xll.BDH("GILD US Equity","ARD_TOT_CASH_FLOWS_FROM_OPS","FQ4 2024","FQ4 2024","Currency=USD","Period=FQ","BEST_FPERIOD_OVERRIDE=FQ","FILING_STATUS=MR","SCALING_FORMAT=MLN","Sort=A","Dates=H","DateFormat=P","Fill=—","Direction=H","UseDPDF=Y")</f>
        <v>10828</v>
      </c>
    </row>
    <row r="24" spans="1:27" x14ac:dyDescent="0.25">
      <c r="A24" s="10" t="s">
        <v>1437</v>
      </c>
      <c r="B24" s="10" t="s">
        <v>1438</v>
      </c>
      <c r="C24" s="13">
        <f>_xll.BDH("GILD US Equity","ARD_REVAL_IMPAIR_OF_INVESTMENTS","FQ4 2018","FQ4 2018","Currency=USD","Period=FQ","BEST_FPERIOD_OVERRIDE=FQ","FILING_STATUS=MR","SCALING_FORMAT=MLN","Sort=A","Dates=H","DateFormat=P","Fill=—","Direction=H","UseDPDF=Y")</f>
        <v>-115</v>
      </c>
      <c r="D24" s="13" t="str">
        <f>_xll.BDH("GILD US Equity","ARD_REVAL_IMPAIR_OF_INVESTMENTS","FQ1 2019","FQ1 2019","Currency=USD","Period=FQ","BEST_FPERIOD_OVERRIDE=FQ","FILING_STATUS=MR","SCALING_FORMAT=MLN","Sort=A","Dates=H","DateFormat=P","Fill=—","Direction=H","UseDPDF=Y")</f>
        <v>—</v>
      </c>
      <c r="E24" s="13">
        <f>_xll.BDH("GILD US Equity","ARD_REVAL_IMPAIR_OF_INVESTMENTS","FQ2 2019","FQ2 2019","Currency=USD","Period=FQ","BEST_FPERIOD_OVERRIDE=FQ","FILING_STATUS=MR","SCALING_FORMAT=MLN","Sort=A","Dates=H","DateFormat=P","Fill=—","Direction=H","UseDPDF=Y")</f>
        <v>-254</v>
      </c>
      <c r="F24" s="13">
        <f>_xll.BDH("GILD US Equity","ARD_REVAL_IMPAIR_OF_INVESTMENTS","FQ3 2019","FQ3 2019","Currency=USD","Period=FQ","BEST_FPERIOD_OVERRIDE=FQ","FILING_STATUS=MR","SCALING_FORMAT=MLN","Sort=A","Dates=H","DateFormat=P","Fill=—","Direction=H","UseDPDF=Y")</f>
        <v>-312</v>
      </c>
      <c r="G24" s="13">
        <f>_xll.BDH("GILD US Equity","ARD_REVAL_IMPAIR_OF_INVESTMENTS","FQ4 2019","FQ4 2019","Currency=USD","Period=FQ","BEST_FPERIOD_OVERRIDE=FQ","FILING_STATUS=MR","SCALING_FORMAT=MLN","Sort=A","Dates=H","DateFormat=P","Fill=—","Direction=H","UseDPDF=Y")</f>
        <v>-1241</v>
      </c>
      <c r="H24" s="13">
        <f>_xll.BDH("GILD US Equity","ARD_REVAL_IMPAIR_OF_INVESTMENTS","FQ1 2020","FQ1 2020","Currency=USD","Period=FQ","BEST_FPERIOD_OVERRIDE=FQ","FILING_STATUS=MR","SCALING_FORMAT=MLN","Sort=A","Dates=H","DateFormat=P","Fill=—","Direction=H","UseDPDF=Y")</f>
        <v>283</v>
      </c>
      <c r="I24" s="13">
        <f>_xll.BDH("GILD US Equity","ARD_REVAL_IMPAIR_OF_INVESTMENTS","FQ2 2020","FQ2 2020","Currency=USD","Period=FQ","BEST_FPERIOD_OVERRIDE=FQ","FILING_STATUS=MR","SCALING_FORMAT=MLN","Sort=A","Dates=H","DateFormat=P","Fill=—","Direction=H","UseDPDF=Y")</f>
        <v>82</v>
      </c>
      <c r="J24" s="13">
        <f>_xll.BDH("GILD US Equity","ARD_REVAL_IMPAIR_OF_INVESTMENTS","FQ3 2020","FQ3 2020","Currency=USD","Period=FQ","BEST_FPERIOD_OVERRIDE=FQ","FILING_STATUS=MR","SCALING_FORMAT=MLN","Sort=A","Dates=H","DateFormat=P","Fill=—","Direction=H","UseDPDF=Y")</f>
        <v>1046</v>
      </c>
      <c r="K24" s="13">
        <f>_xll.BDH("GILD US Equity","ARD_REVAL_IMPAIR_OF_INVESTMENTS","FQ4 2020","FQ4 2020","Currency=USD","Period=FQ","BEST_FPERIOD_OVERRIDE=FQ","FILING_STATUS=MR","SCALING_FORMAT=MLN","Sort=A","Dates=H","DateFormat=P","Fill=—","Direction=H","UseDPDF=Y")</f>
        <v>1662</v>
      </c>
      <c r="L24" s="13">
        <f>_xll.BDH("GILD US Equity","ARD_REVAL_IMPAIR_OF_INVESTMENTS","FQ1 2021","FQ1 2021","Currency=USD","Period=FQ","BEST_FPERIOD_OVERRIDE=FQ","FILING_STATUS=MR","SCALING_FORMAT=MLN","Sort=A","Dates=H","DateFormat=P","Fill=—","Direction=H","UseDPDF=Y")</f>
        <v>351</v>
      </c>
      <c r="M24" s="13">
        <f>_xll.BDH("GILD US Equity","ARD_REVAL_IMPAIR_OF_INVESTMENTS","FQ2 2021","FQ2 2021","Currency=USD","Period=FQ","BEST_FPERIOD_OVERRIDE=FQ","FILING_STATUS=MR","SCALING_FORMAT=MLN","Sort=A","Dates=H","DateFormat=P","Fill=—","Direction=H","UseDPDF=Y")</f>
        <v>525</v>
      </c>
      <c r="N24" s="13">
        <f>_xll.BDH("GILD US Equity","ARD_REVAL_IMPAIR_OF_INVESTMENTS","FQ3 2021","FQ3 2021","Currency=USD","Period=FQ","BEST_FPERIOD_OVERRIDE=FQ","FILING_STATUS=MR","SCALING_FORMAT=MLN","Sort=A","Dates=H","DateFormat=P","Fill=—","Direction=H","UseDPDF=Y")</f>
        <v>667</v>
      </c>
      <c r="O24" s="13">
        <f>_xll.BDH("GILD US Equity","ARD_REVAL_IMPAIR_OF_INVESTMENTS","FQ4 2021","FQ4 2021","Currency=USD","Period=FQ","BEST_FPERIOD_OVERRIDE=FQ","FILING_STATUS=MR","SCALING_FORMAT=MLN","Sort=A","Dates=H","DateFormat=P","Fill=—","Direction=H","UseDPDF=Y")</f>
        <v>610</v>
      </c>
      <c r="P24" s="13">
        <f>_xll.BDH("GILD US Equity","ARD_REVAL_IMPAIR_OF_INVESTMENTS","FQ1 2022","FQ1 2022","Currency=USD","Period=FQ","BEST_FPERIOD_OVERRIDE=FQ","FILING_STATUS=MR","SCALING_FORMAT=MLN","Sort=A","Dates=H","DateFormat=P","Fill=—","Direction=H","UseDPDF=Y")</f>
        <v>96</v>
      </c>
      <c r="Q24" s="13">
        <f>_xll.BDH("GILD US Equity","ARD_REVAL_IMPAIR_OF_INVESTMENTS","FQ2 2022","FQ2 2022","Currency=USD","Period=FQ","BEST_FPERIOD_OVERRIDE=FQ","FILING_STATUS=MR","SCALING_FORMAT=MLN","Sort=A","Dates=H","DateFormat=P","Fill=—","Direction=H","UseDPDF=Y")</f>
        <v>399</v>
      </c>
      <c r="R24" s="13">
        <f>_xll.BDH("GILD US Equity","ARD_REVAL_IMPAIR_OF_INVESTMENTS","FQ3 2022","FQ3 2022","Currency=USD","Period=FQ","BEST_FPERIOD_OVERRIDE=FQ","FILING_STATUS=MR","SCALING_FORMAT=MLN","Sort=A","Dates=H","DateFormat=P","Fill=—","Direction=H","UseDPDF=Y")</f>
        <v>596</v>
      </c>
      <c r="S24" s="13">
        <f>_xll.BDH("GILD US Equity","ARD_REVAL_IMPAIR_OF_INVESTMENTS","FQ4 2022","FQ4 2022","Currency=USD","Period=FQ","BEST_FPERIOD_OVERRIDE=FQ","FILING_STATUS=MR","SCALING_FORMAT=MLN","Sort=A","Dates=H","DateFormat=P","Fill=—","Direction=H","UseDPDF=Y")</f>
        <v>657</v>
      </c>
      <c r="T24" s="13">
        <f>_xll.BDH("GILD US Equity","ARD_REVAL_IMPAIR_OF_INVESTMENTS","FQ1 2023","FQ1 2023","Currency=USD","Period=FQ","BEST_FPERIOD_OVERRIDE=FQ","FILING_STATUS=MR","SCALING_FORMAT=MLN","Sort=A","Dates=H","DateFormat=P","Fill=—","Direction=H","UseDPDF=Y")</f>
        <v>256</v>
      </c>
      <c r="U24" s="13">
        <f>_xll.BDH("GILD US Equity","ARD_REVAL_IMPAIR_OF_INVESTMENTS","FQ2 2023","FQ2 2023","Currency=USD","Period=FQ","BEST_FPERIOD_OVERRIDE=FQ","FILING_STATUS=MR","SCALING_FORMAT=MLN","Sort=A","Dates=H","DateFormat=P","Fill=—","Direction=H","UseDPDF=Y")</f>
        <v>187</v>
      </c>
      <c r="V24" s="13">
        <f>_xll.BDH("GILD US Equity","ARD_REVAL_IMPAIR_OF_INVESTMENTS","FQ3 2023","FQ3 2023","Currency=USD","Period=FQ","BEST_FPERIOD_OVERRIDE=FQ","FILING_STATUS=MR","SCALING_FORMAT=MLN","Sort=A","Dates=H","DateFormat=P","Fill=—","Direction=H","UseDPDF=Y")</f>
        <v>356</v>
      </c>
      <c r="W24" s="13">
        <f>_xll.BDH("GILD US Equity","ARD_REVAL_IMPAIR_OF_INVESTMENTS","FQ4 2023","FQ4 2023","Currency=USD","Period=FQ","BEST_FPERIOD_OVERRIDE=FQ","FILING_STATUS=MR","SCALING_FORMAT=MLN","Sort=A","Dates=H","DateFormat=P","Fill=—","Direction=H","UseDPDF=Y")</f>
        <v>167</v>
      </c>
      <c r="X24" s="13">
        <f>_xll.BDH("GILD US Equity","ARD_REVAL_IMPAIR_OF_INVESTMENTS","FQ1 2024","FQ1 2024","Currency=USD","Period=FQ","BEST_FPERIOD_OVERRIDE=FQ","FILING_STATUS=MR","SCALING_FORMAT=MLN","Sort=A","Dates=H","DateFormat=P","Fill=—","Direction=H","UseDPDF=Y")</f>
        <v>14</v>
      </c>
      <c r="Y24" s="13">
        <f>_xll.BDH("GILD US Equity","ARD_REVAL_IMPAIR_OF_INVESTMENTS","FQ2 2024","FQ2 2024","Currency=USD","Period=FQ","BEST_FPERIOD_OVERRIDE=FQ","FILING_STATUS=MR","SCALING_FORMAT=MLN","Sort=A","Dates=H","DateFormat=P","Fill=—","Direction=H","UseDPDF=Y")</f>
        <v>405</v>
      </c>
      <c r="Z24" s="13">
        <f>_xll.BDH("GILD US Equity","ARD_REVAL_IMPAIR_OF_INVESTMENTS","FQ3 2024","FQ3 2024","Currency=USD","Period=FQ","BEST_FPERIOD_OVERRIDE=FQ","FILING_STATUS=MR","SCALING_FORMAT=MLN","Sort=A","Dates=H","DateFormat=P","Fill=—","Direction=H","UseDPDF=Y")</f>
        <v>148</v>
      </c>
      <c r="AA24" s="13">
        <f>_xll.BDH("GILD US Equity","ARD_REVAL_IMPAIR_OF_INVESTMENTS","FQ4 2024","FQ4 2024","Currency=USD","Period=FQ","BEST_FPERIOD_OVERRIDE=FQ","FILING_STATUS=MR","SCALING_FORMAT=MLN","Sort=A","Dates=H","DateFormat=P","Fill=—","Direction=H","UseDPDF=Y")</f>
        <v>274</v>
      </c>
    </row>
    <row r="25" spans="1:27" x14ac:dyDescent="0.25">
      <c r="A25" s="10" t="s">
        <v>1439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5">
      <c r="A26" s="10" t="s">
        <v>86</v>
      </c>
      <c r="B26" s="10" t="s">
        <v>1440</v>
      </c>
      <c r="C26" s="13">
        <f>_xll.BDH("GILD US Equity","ARD_CAPITAL_EXPENDITURES","FQ4 2018","FQ4 2018","Currency=USD","Period=FQ","BEST_FPERIOD_OVERRIDE=FQ","FILING_STATUS=MR","SCALING_FORMAT=MLN","Sort=A","Dates=H","DateFormat=P","Fill=—","Direction=H","UseDPDF=Y")</f>
        <v>-924</v>
      </c>
      <c r="D26" s="13">
        <f>_xll.BDH("GILD US Equity","ARD_CAPITAL_EXPENDITURES","FQ1 2019","FQ1 2019","Currency=USD","Period=FQ","BEST_FPERIOD_OVERRIDE=FQ","FILING_STATUS=MR","SCALING_FORMAT=MLN","Sort=A","Dates=H","DateFormat=P","Fill=—","Direction=H","UseDPDF=Y")</f>
        <v>-237</v>
      </c>
      <c r="E26" s="13">
        <f>_xll.BDH("GILD US Equity","ARD_CAPITAL_EXPENDITURES","FQ2 2019","FQ2 2019","Currency=USD","Period=FQ","BEST_FPERIOD_OVERRIDE=FQ","FILING_STATUS=MR","SCALING_FORMAT=MLN","Sort=A","Dates=H","DateFormat=P","Fill=—","Direction=H","UseDPDF=Y")</f>
        <v>-422</v>
      </c>
      <c r="F26" s="13">
        <f>_xll.BDH("GILD US Equity","ARD_CAPITAL_EXPENDITURES","FQ3 2019","FQ3 2019","Currency=USD","Period=FQ","BEST_FPERIOD_OVERRIDE=FQ","FILING_STATUS=MR","SCALING_FORMAT=MLN","Sort=A","Dates=H","DateFormat=P","Fill=—","Direction=H","UseDPDF=Y")</f>
        <v>-622</v>
      </c>
      <c r="G26" s="13">
        <f>_xll.BDH("GILD US Equity","ARD_CAPITAL_EXPENDITURES","FQ4 2019","FQ4 2019","Currency=USD","Period=FQ","BEST_FPERIOD_OVERRIDE=FQ","FILING_STATUS=MR","SCALING_FORMAT=MLN","Sort=A","Dates=H","DateFormat=P","Fill=—","Direction=H","UseDPDF=Y")</f>
        <v>-825</v>
      </c>
      <c r="H26" s="13">
        <f>_xll.BDH("GILD US Equity","ARD_CAPITAL_EXPENDITURES","FQ1 2020","FQ1 2020","Currency=USD","Period=FQ","BEST_FPERIOD_OVERRIDE=FQ","FILING_STATUS=MR","SCALING_FORMAT=MLN","Sort=A","Dates=H","DateFormat=P","Fill=—","Direction=H","UseDPDF=Y")</f>
        <v>-171</v>
      </c>
      <c r="I26" s="13">
        <f>_xll.BDH("GILD US Equity","ARD_CAPITAL_EXPENDITURES","FQ2 2020","FQ2 2020","Currency=USD","Period=FQ","BEST_FPERIOD_OVERRIDE=FQ","FILING_STATUS=MR","SCALING_FORMAT=MLN","Sort=A","Dates=H","DateFormat=P","Fill=—","Direction=H","UseDPDF=Y")</f>
        <v>-314</v>
      </c>
      <c r="J26" s="13">
        <f>_xll.BDH("GILD US Equity","ARD_CAPITAL_EXPENDITURES","FQ3 2020","FQ3 2020","Currency=USD","Period=FQ","BEST_FPERIOD_OVERRIDE=FQ","FILING_STATUS=MR","SCALING_FORMAT=MLN","Sort=A","Dates=H","DateFormat=P","Fill=—","Direction=H","UseDPDF=Y")</f>
        <v>-469</v>
      </c>
      <c r="K26" s="13">
        <f>_xll.BDH("GILD US Equity","ARD_CAPITAL_EXPENDITURES","FQ4 2020","FQ4 2020","Currency=USD","Period=FQ","BEST_FPERIOD_OVERRIDE=FQ","FILING_STATUS=MR","SCALING_FORMAT=MLN","Sort=A","Dates=H","DateFormat=P","Fill=—","Direction=H","UseDPDF=Y")</f>
        <v>-650</v>
      </c>
      <c r="L26" s="13">
        <f>_xll.BDH("GILD US Equity","ARD_CAPITAL_EXPENDITURES","FQ1 2021","FQ1 2021","Currency=USD","Period=FQ","BEST_FPERIOD_OVERRIDE=FQ","FILING_STATUS=MR","SCALING_FORMAT=MLN","Sort=A","Dates=H","DateFormat=P","Fill=—","Direction=H","UseDPDF=Y")</f>
        <v>-165</v>
      </c>
      <c r="M26" s="13">
        <f>_xll.BDH("GILD US Equity","ARD_CAPITAL_EXPENDITURES","FQ2 2021","FQ2 2021","Currency=USD","Period=FQ","BEST_FPERIOD_OVERRIDE=FQ","FILING_STATUS=MR","SCALING_FORMAT=MLN","Sort=A","Dates=H","DateFormat=P","Fill=—","Direction=H","UseDPDF=Y")</f>
        <v>-284</v>
      </c>
      <c r="N26" s="13">
        <f>_xll.BDH("GILD US Equity","ARD_CAPITAL_EXPENDITURES","FQ3 2021","FQ3 2021","Currency=USD","Period=FQ","BEST_FPERIOD_OVERRIDE=FQ","FILING_STATUS=MR","SCALING_FORMAT=MLN","Sort=A","Dates=H","DateFormat=P","Fill=—","Direction=H","UseDPDF=Y")</f>
        <v>-423</v>
      </c>
      <c r="O26" s="13">
        <f>_xll.BDH("GILD US Equity","ARD_CAPITAL_EXPENDITURES","FQ4 2021","FQ4 2021","Currency=USD","Period=FQ","BEST_FPERIOD_OVERRIDE=FQ","FILING_STATUS=MR","SCALING_FORMAT=MLN","Sort=A","Dates=H","DateFormat=P","Fill=—","Direction=H","UseDPDF=Y")</f>
        <v>-579</v>
      </c>
      <c r="P26" s="13">
        <f>_xll.BDH("GILD US Equity","ARD_CAPITAL_EXPENDITURES","FQ1 2022","FQ1 2022","Currency=USD","Period=FQ","BEST_FPERIOD_OVERRIDE=FQ","FILING_STATUS=MR","SCALING_FORMAT=MLN","Sort=A","Dates=H","DateFormat=P","Fill=—","Direction=H","UseDPDF=Y")</f>
        <v>-247</v>
      </c>
      <c r="Q26" s="13">
        <f>_xll.BDH("GILD US Equity","ARD_CAPITAL_EXPENDITURES","FQ2 2022","FQ2 2022","Currency=USD","Period=FQ","BEST_FPERIOD_OVERRIDE=FQ","FILING_STATUS=MR","SCALING_FORMAT=MLN","Sort=A","Dates=H","DateFormat=P","Fill=—","Direction=H","UseDPDF=Y")</f>
        <v>-390</v>
      </c>
      <c r="R26" s="13">
        <f>_xll.BDH("GILD US Equity","ARD_CAPITAL_EXPENDITURES","FQ3 2022","FQ3 2022","Currency=USD","Period=FQ","BEST_FPERIOD_OVERRIDE=FQ","FILING_STATUS=MR","SCALING_FORMAT=MLN","Sort=A","Dates=H","DateFormat=P","Fill=—","Direction=H","UseDPDF=Y")</f>
        <v>-547</v>
      </c>
      <c r="S26" s="13">
        <f>_xll.BDH("GILD US Equity","ARD_CAPITAL_EXPENDITURES","FQ4 2022","FQ4 2022","Currency=USD","Period=FQ","BEST_FPERIOD_OVERRIDE=FQ","FILING_STATUS=MR","SCALING_FORMAT=MLN","Sort=A","Dates=H","DateFormat=P","Fill=—","Direction=H","UseDPDF=Y")</f>
        <v>-728</v>
      </c>
      <c r="T26" s="13">
        <f>_xll.BDH("GILD US Equity","ARD_CAPITAL_EXPENDITURES","FQ1 2023","FQ1 2023","Currency=USD","Period=FQ","BEST_FPERIOD_OVERRIDE=FQ","FILING_STATUS=MR","SCALING_FORMAT=MLN","Sort=A","Dates=H","DateFormat=P","Fill=—","Direction=H","UseDPDF=Y")</f>
        <v>-109</v>
      </c>
      <c r="U26" s="13">
        <f>_xll.BDH("GILD US Equity","ARD_CAPITAL_EXPENDITURES","FQ2 2023","FQ2 2023","Currency=USD","Period=FQ","BEST_FPERIOD_OVERRIDE=FQ","FILING_STATUS=MR","SCALING_FORMAT=MLN","Sort=A","Dates=H","DateFormat=P","Fill=—","Direction=H","UseDPDF=Y")</f>
        <v>-248</v>
      </c>
      <c r="V26" s="13">
        <f>_xll.BDH("GILD US Equity","ARD_CAPITAL_EXPENDITURES","FQ3 2023","FQ3 2023","Currency=USD","Period=FQ","BEST_FPERIOD_OVERRIDE=FQ","FILING_STATUS=MR","SCALING_FORMAT=MLN","Sort=A","Dates=H","DateFormat=P","Fill=—","Direction=H","UseDPDF=Y")</f>
        <v>-370</v>
      </c>
      <c r="W26" s="13">
        <f>_xll.BDH("GILD US Equity","ARD_CAPITAL_EXPENDITURES","FQ4 2023","FQ4 2023","Currency=USD","Period=FQ","BEST_FPERIOD_OVERRIDE=FQ","FILING_STATUS=MR","SCALING_FORMAT=MLN","Sort=A","Dates=H","DateFormat=P","Fill=—","Direction=H","UseDPDF=Y")</f>
        <v>-585</v>
      </c>
      <c r="X26" s="13">
        <f>_xll.BDH("GILD US Equity","ARD_CAPITAL_EXPENDITURES","FQ1 2024","FQ1 2024","Currency=USD","Period=FQ","BEST_FPERIOD_OVERRIDE=FQ","FILING_STATUS=MR","SCALING_FORMAT=MLN","Sort=A","Dates=H","DateFormat=P","Fill=—","Direction=H","UseDPDF=Y")</f>
        <v>-105</v>
      </c>
      <c r="Y26" s="13">
        <f>_xll.BDH("GILD US Equity","ARD_CAPITAL_EXPENDITURES","FQ2 2024","FQ2 2024","Currency=USD","Period=FQ","BEST_FPERIOD_OVERRIDE=FQ","FILING_STATUS=MR","SCALING_FORMAT=MLN","Sort=A","Dates=H","DateFormat=P","Fill=—","Direction=H","UseDPDF=Y")</f>
        <v>-235</v>
      </c>
      <c r="Z26" s="13">
        <f>_xll.BDH("GILD US Equity","ARD_CAPITAL_EXPENDITURES","FQ3 2024","FQ3 2024","Currency=USD","Period=FQ","BEST_FPERIOD_OVERRIDE=FQ","FILING_STATUS=MR","SCALING_FORMAT=MLN","Sort=A","Dates=H","DateFormat=P","Fill=—","Direction=H","UseDPDF=Y")</f>
        <v>-376</v>
      </c>
      <c r="AA26" s="13">
        <f>_xll.BDH("GILD US Equity","ARD_CAPITAL_EXPENDITURES","FQ4 2024","FQ4 2024","Currency=USD","Period=FQ","BEST_FPERIOD_OVERRIDE=FQ","FILING_STATUS=MR","SCALING_FORMAT=MLN","Sort=A","Dates=H","DateFormat=P","Fill=—","Direction=H","UseDPDF=Y")</f>
        <v>-523</v>
      </c>
    </row>
    <row r="27" spans="1:27" x14ac:dyDescent="0.25">
      <c r="A27" s="10" t="s">
        <v>1441</v>
      </c>
      <c r="B27" s="10" t="s">
        <v>1442</v>
      </c>
      <c r="C27" s="13">
        <f>_xll.BDH("GILD US Equity","ARD_PURCHASES_OF_ST_INVEST","FQ4 2018","FQ4 2018","Currency=USD","Period=FQ","BEST_FPERIOD_OVERRIDE=FQ","FILING_STATUS=MR","SCALING_FORMAT=MLN","Sort=A","Dates=H","DateFormat=P","Fill=—","Direction=H","UseDPDF=Y")</f>
        <v>-156</v>
      </c>
      <c r="D27" s="13">
        <f>_xll.BDH("GILD US Equity","ARD_PURCHASES_OF_ST_INVEST","FQ1 2019","FQ1 2019","Currency=USD","Period=FQ","BEST_FPERIOD_OVERRIDE=FQ","FILING_STATUS=MR","SCALING_FORMAT=MLN","Sort=A","Dates=H","DateFormat=P","Fill=—","Direction=H","UseDPDF=Y")</f>
        <v>-238</v>
      </c>
      <c r="E27" s="13" t="str">
        <f>_xll.BDH("GILD US Equity","ARD_PURCHASES_OF_ST_INVEST","FQ2 2019","FQ2 2019","Currency=USD","Period=FQ","BEST_FPERIOD_OVERRIDE=FQ","FILING_STATUS=MR","SCALING_FORMAT=MLN","Sort=A","Dates=H","DateFormat=P","Fill=—","Direction=H","UseDPDF=Y")</f>
        <v>—</v>
      </c>
      <c r="F27" s="13" t="str">
        <f>_xll.BDH("GILD US Equity","ARD_PURCHASES_OF_ST_INVEST","FQ3 2019","FQ3 2019","Currency=USD","Period=FQ","BEST_FPERIOD_OVERRIDE=FQ","FILING_STATUS=MR","SCALING_FORMAT=MLN","Sort=A","Dates=H","DateFormat=P","Fill=—","Direction=H","UseDPDF=Y")</f>
        <v>—</v>
      </c>
      <c r="G27" s="13">
        <f>_xll.BDH("GILD US Equity","ARD_PURCHASES_OF_ST_INVEST","FQ4 2019","FQ4 2019","Currency=USD","Period=FQ","BEST_FPERIOD_OVERRIDE=FQ","FILING_STATUS=MR","SCALING_FORMAT=MLN","Sort=A","Dates=H","DateFormat=P","Fill=—","Direction=H","UseDPDF=Y")</f>
        <v>-1773</v>
      </c>
      <c r="H27" s="13" t="str">
        <f>_xll.BDH("GILD US Equity","ARD_PURCHASES_OF_ST_INVEST","FQ1 2020","FQ1 2020","Currency=USD","Period=FQ","BEST_FPERIOD_OVERRIDE=FQ","FILING_STATUS=MR","SCALING_FORMAT=MLN","Sort=A","Dates=H","DateFormat=P","Fill=—","Direction=H","UseDPDF=Y")</f>
        <v>—</v>
      </c>
      <c r="I27" s="13" t="str">
        <f>_xll.BDH("GILD US Equity","ARD_PURCHASES_OF_ST_INVEST","FQ2 2020","FQ2 2020","Currency=USD","Period=FQ","BEST_FPERIOD_OVERRIDE=FQ","FILING_STATUS=MR","SCALING_FORMAT=MLN","Sort=A","Dates=H","DateFormat=P","Fill=—","Direction=H","UseDPDF=Y")</f>
        <v>—</v>
      </c>
      <c r="J27" s="13" t="str">
        <f>_xll.BDH("GILD US Equity","ARD_PURCHASES_OF_ST_INVEST","FQ3 2020","FQ3 2020","Currency=USD","Period=FQ","BEST_FPERIOD_OVERRIDE=FQ","FILING_STATUS=MR","SCALING_FORMAT=MLN","Sort=A","Dates=H","DateFormat=P","Fill=—","Direction=H","UseDPDF=Y")</f>
        <v>—</v>
      </c>
      <c r="K27" s="13">
        <f>_xll.BDH("GILD US Equity","ARD_PURCHASES_OF_ST_INVEST","FQ4 2020","FQ4 2020","Currency=USD","Period=FQ","BEST_FPERIOD_OVERRIDE=FQ","FILING_STATUS=MR","SCALING_FORMAT=MLN","Sort=A","Dates=H","DateFormat=P","Fill=—","Direction=H","UseDPDF=Y")</f>
        <v>-455</v>
      </c>
      <c r="L27" s="13" t="str">
        <f>_xll.BDH("GILD US Equity","ARD_PURCHASES_OF_ST_INVEST","FQ1 2021","FQ1 2021","Currency=USD","Period=FQ","BEST_FPERIOD_OVERRIDE=FQ","FILING_STATUS=MR","SCALING_FORMAT=MLN","Sort=A","Dates=H","DateFormat=P","Fill=—","Direction=H","UseDPDF=Y")</f>
        <v>—</v>
      </c>
      <c r="M27" s="13">
        <f>_xll.BDH("GILD US Equity","ARD_PURCHASES_OF_ST_INVEST","FQ2 2021","FQ2 2021","Currency=USD","Period=FQ","BEST_FPERIOD_OVERRIDE=FQ","FILING_STATUS=MR","SCALING_FORMAT=MLN","Sort=A","Dates=H","DateFormat=P","Fill=—","Direction=H","UseDPDF=Y")</f>
        <v>-411</v>
      </c>
      <c r="N27" s="13" t="str">
        <f>_xll.BDH("GILD US Equity","ARD_PURCHASES_OF_ST_INVEST","FQ3 2021","FQ3 2021","Currency=USD","Period=FQ","BEST_FPERIOD_OVERRIDE=FQ","FILING_STATUS=MR","SCALING_FORMAT=MLN","Sort=A","Dates=H","DateFormat=P","Fill=—","Direction=H","UseDPDF=Y")</f>
        <v>—</v>
      </c>
      <c r="O27" s="13">
        <f>_xll.BDH("GILD US Equity","ARD_PURCHASES_OF_ST_INVEST","FQ4 2021","FQ4 2021","Currency=USD","Period=FQ","BEST_FPERIOD_OVERRIDE=FQ","FILING_STATUS=MR","SCALING_FORMAT=MLN","Sort=A","Dates=H","DateFormat=P","Fill=—","Direction=H","UseDPDF=Y")</f>
        <v>-380</v>
      </c>
      <c r="P27" s="13" t="str">
        <f>_xll.BDH("GILD US Equity","ARD_PURCHASES_OF_ST_INVEST","FQ1 2022","FQ1 2022","Currency=USD","Period=FQ","BEST_FPERIOD_OVERRIDE=FQ","FILING_STATUS=MR","SCALING_FORMAT=MLN","Sort=A","Dates=H","DateFormat=P","Fill=—","Direction=H","UseDPDF=Y")</f>
        <v>—</v>
      </c>
      <c r="Q27" s="13">
        <f>_xll.BDH("GILD US Equity","ARD_PURCHASES_OF_ST_INVEST","FQ2 2022","FQ2 2022","Currency=USD","Period=FQ","BEST_FPERIOD_OVERRIDE=FQ","FILING_STATUS=MR","SCALING_FORMAT=MLN","Sort=A","Dates=H","DateFormat=P","Fill=—","Direction=H","UseDPDF=Y")</f>
        <v>-44</v>
      </c>
      <c r="R27" s="13" t="str">
        <f>_xll.BDH("GILD US Equity","ARD_PURCHASES_OF_ST_INVEST","FQ3 2022","FQ3 2022","Currency=USD","Period=FQ","BEST_FPERIOD_OVERRIDE=FQ","FILING_STATUS=MR","SCALING_FORMAT=MLN","Sort=A","Dates=H","DateFormat=P","Fill=—","Direction=H","UseDPDF=Y")</f>
        <v>—</v>
      </c>
      <c r="S27" s="13">
        <f>_xll.BDH("GILD US Equity","ARD_PURCHASES_OF_ST_INVEST","FQ4 2022","FQ4 2022","Currency=USD","Period=FQ","BEST_FPERIOD_OVERRIDE=FQ","FILING_STATUS=MR","SCALING_FORMAT=MLN","Sort=A","Dates=H","DateFormat=P","Fill=—","Direction=H","UseDPDF=Y")</f>
        <v>-172</v>
      </c>
      <c r="T27" s="13">
        <f>_xll.BDH("GILD US Equity","ARD_PURCHASES_OF_ST_INVEST","FQ1 2023","FQ1 2023","Currency=USD","Period=FQ","BEST_FPERIOD_OVERRIDE=FQ","FILING_STATUS=MR","SCALING_FORMAT=MLN","Sort=A","Dates=H","DateFormat=P","Fill=—","Direction=H","UseDPDF=Y")</f>
        <v>-125</v>
      </c>
      <c r="U27" s="13">
        <f>_xll.BDH("GILD US Equity","ARD_PURCHASES_OF_ST_INVEST","FQ2 2023","FQ2 2023","Currency=USD","Period=FQ","BEST_FPERIOD_OVERRIDE=FQ","FILING_STATUS=MR","SCALING_FORMAT=MLN","Sort=A","Dates=H","DateFormat=P","Fill=—","Direction=H","UseDPDF=Y")</f>
        <v>-192</v>
      </c>
      <c r="V27" s="13" t="str">
        <f>_xll.BDH("GILD US Equity","ARD_PURCHASES_OF_ST_INVEST","FQ3 2023","FQ3 2023","Currency=USD","Period=FQ","BEST_FPERIOD_OVERRIDE=FQ","FILING_STATUS=MR","SCALING_FORMAT=MLN","Sort=A","Dates=H","DateFormat=P","Fill=—","Direction=H","UseDPDF=Y")</f>
        <v>—</v>
      </c>
      <c r="W27" s="13">
        <f>_xll.BDH("GILD US Equity","ARD_PURCHASES_OF_ST_INVEST","FQ4 2023","FQ4 2023","Currency=USD","Period=FQ","BEST_FPERIOD_OVERRIDE=FQ","FILING_STATUS=MR","SCALING_FORMAT=MLN","Sort=A","Dates=H","DateFormat=P","Fill=—","Direction=H","UseDPDF=Y")</f>
        <v>-442</v>
      </c>
      <c r="X27" s="13">
        <f>_xll.BDH("GILD US Equity","ARD_PURCHASES_OF_ST_INVEST","FQ1 2024","FQ1 2024","Currency=USD","Period=FQ","BEST_FPERIOD_OVERRIDE=FQ","FILING_STATUS=MR","SCALING_FORMAT=MLN","Sort=A","Dates=H","DateFormat=P","Fill=—","Direction=H","UseDPDF=Y")</f>
        <v>-410</v>
      </c>
      <c r="Y27" s="13">
        <f>_xll.BDH("GILD US Equity","ARD_PURCHASES_OF_ST_INVEST","FQ2 2024","FQ2 2024","Currency=USD","Period=FQ","BEST_FPERIOD_OVERRIDE=FQ","FILING_STATUS=MR","SCALING_FORMAT=MLN","Sort=A","Dates=H","DateFormat=P","Fill=—","Direction=H","UseDPDF=Y")</f>
        <v>-444</v>
      </c>
      <c r="Z27" s="13">
        <f>_xll.BDH("GILD US Equity","ARD_PURCHASES_OF_ST_INVEST","FQ3 2024","FQ3 2024","Currency=USD","Period=FQ","BEST_FPERIOD_OVERRIDE=FQ","FILING_STATUS=MR","SCALING_FORMAT=MLN","Sort=A","Dates=H","DateFormat=P","Fill=—","Direction=H","UseDPDF=Y")</f>
        <v>-453</v>
      </c>
      <c r="AA27" s="13">
        <f>_xll.BDH("GILD US Equity","ARD_PURCHASES_OF_ST_INVEST","FQ4 2024","FQ4 2024","Currency=USD","Period=FQ","BEST_FPERIOD_OVERRIDE=FQ","FILING_STATUS=MR","SCALING_FORMAT=MLN","Sort=A","Dates=H","DateFormat=P","Fill=—","Direction=H","UseDPDF=Y")</f>
        <v>-492</v>
      </c>
    </row>
    <row r="28" spans="1:27" x14ac:dyDescent="0.25">
      <c r="A28" s="10" t="s">
        <v>1443</v>
      </c>
      <c r="B28" s="10" t="s">
        <v>1444</v>
      </c>
      <c r="C28" s="13">
        <f>_xll.BDH("GILD US Equity","ARD_PROCEEDS_FROM_INVESTMENTS","FQ4 2018","FQ4 2018","Currency=USD","Period=FQ","BEST_FPERIOD_OVERRIDE=FQ","FILING_STATUS=MR","SCALING_FORMAT=MLN","Sort=A","Dates=H","DateFormat=P","Fill=—","Direction=H","UseDPDF=Y")</f>
        <v>25858</v>
      </c>
      <c r="D28" s="13">
        <f>_xll.BDH("GILD US Equity","ARD_PROCEEDS_FROM_INVESTMENTS","FQ1 2019","FQ1 2019","Currency=USD","Period=FQ","BEST_FPERIOD_OVERRIDE=FQ","FILING_STATUS=MR","SCALING_FORMAT=MLN","Sort=A","Dates=H","DateFormat=P","Fill=—","Direction=H","UseDPDF=Y")</f>
        <v>7086</v>
      </c>
      <c r="E28" s="13">
        <f>_xll.BDH("GILD US Equity","ARD_PROCEEDS_FROM_INVESTMENTS","FQ2 2019","FQ2 2019","Currency=USD","Period=FQ","BEST_FPERIOD_OVERRIDE=FQ","FILING_STATUS=MR","SCALING_FORMAT=MLN","Sort=A","Dates=H","DateFormat=P","Fill=—","Direction=H","UseDPDF=Y")</f>
        <v>11593</v>
      </c>
      <c r="F28" s="13">
        <f>_xll.BDH("GILD US Equity","ARD_PROCEEDS_FROM_INVESTMENTS","FQ3 2019","FQ3 2019","Currency=USD","Period=FQ","BEST_FPERIOD_OVERRIDE=FQ","FILING_STATUS=MR","SCALING_FORMAT=MLN","Sort=A","Dates=H","DateFormat=P","Fill=—","Direction=H","UseDPDF=Y")</f>
        <v>22161</v>
      </c>
      <c r="G28" s="13">
        <f>_xll.BDH("GILD US Equity","ARD_PROCEEDS_FROM_INVESTMENTS","FQ4 2019","FQ4 2019","Currency=USD","Period=FQ","BEST_FPERIOD_OVERRIDE=FQ","FILING_STATUS=MR","SCALING_FORMAT=MLN","Sort=A","Dates=H","DateFormat=P","Fill=—","Direction=H","UseDPDF=Y")</f>
        <v>29921</v>
      </c>
      <c r="H28" s="13">
        <f>_xll.BDH("GILD US Equity","ARD_PROCEEDS_FROM_INVESTMENTS","FQ1 2020","FQ1 2020","Currency=USD","Period=FQ","BEST_FPERIOD_OVERRIDE=FQ","FILING_STATUS=MR","SCALING_FORMAT=MLN","Sort=A","Dates=H","DateFormat=P","Fill=—","Direction=H","UseDPDF=Y")</f>
        <v>13105</v>
      </c>
      <c r="I28" s="13">
        <f>_xll.BDH("GILD US Equity","ARD_PROCEEDS_FROM_INVESTMENTS","FQ2 2020","FQ2 2020","Currency=USD","Period=FQ","BEST_FPERIOD_OVERRIDE=FQ","FILING_STATUS=MR","SCALING_FORMAT=MLN","Sort=A","Dates=H","DateFormat=P","Fill=—","Direction=H","UseDPDF=Y")</f>
        <v>16653</v>
      </c>
      <c r="J28" s="13">
        <f>_xll.BDH("GILD US Equity","ARD_PROCEEDS_FROM_INVESTMENTS","FQ3 2020","FQ3 2020","Currency=USD","Period=FQ","BEST_FPERIOD_OVERRIDE=FQ","FILING_STATUS=MR","SCALING_FORMAT=MLN","Sort=A","Dates=H","DateFormat=P","Fill=—","Direction=H","UseDPDF=Y")</f>
        <v>20895</v>
      </c>
      <c r="K28" s="13">
        <f>_xll.BDH("GILD US Equity","ARD_PROCEEDS_FROM_INVESTMENTS","FQ4 2020","FQ4 2020","Currency=USD","Period=FQ","BEST_FPERIOD_OVERRIDE=FQ","FILING_STATUS=MR","SCALING_FORMAT=MLN","Sort=A","Dates=H","DateFormat=P","Fill=—","Direction=H","UseDPDF=Y")</f>
        <v>32718</v>
      </c>
      <c r="L28" s="13">
        <f>_xll.BDH("GILD US Equity","ARD_PROCEEDS_FROM_INVESTMENTS","FQ1 2021","FQ1 2021","Currency=USD","Period=FQ","BEST_FPERIOD_OVERRIDE=FQ","FILING_STATUS=MR","SCALING_FORMAT=MLN","Sort=A","Dates=H","DateFormat=P","Fill=—","Direction=H","UseDPDF=Y")</f>
        <v>679</v>
      </c>
      <c r="M28" s="13">
        <f>_xll.BDH("GILD US Equity","ARD_PROCEEDS_FROM_INVESTMENTS","FQ2 2021","FQ2 2021","Currency=USD","Period=FQ","BEST_FPERIOD_OVERRIDE=FQ","FILING_STATUS=MR","SCALING_FORMAT=MLN","Sort=A","Dates=H","DateFormat=P","Fill=—","Direction=H","UseDPDF=Y")</f>
        <v>1501</v>
      </c>
      <c r="N28" s="13">
        <f>_xll.BDH("GILD US Equity","ARD_PROCEEDS_FROM_INVESTMENTS","FQ3 2021","FQ3 2021","Currency=USD","Period=FQ","BEST_FPERIOD_OVERRIDE=FQ","FILING_STATUS=MR","SCALING_FORMAT=MLN","Sort=A","Dates=H","DateFormat=P","Fill=—","Direction=H","UseDPDF=Y")</f>
        <v>2314</v>
      </c>
      <c r="O28" s="13">
        <f>_xll.BDH("GILD US Equity","ARD_PROCEEDS_FROM_INVESTMENTS","FQ4 2021","FQ4 2021","Currency=USD","Period=FQ","BEST_FPERIOD_OVERRIDE=FQ","FILING_STATUS=MR","SCALING_FORMAT=MLN","Sort=A","Dates=H","DateFormat=P","Fill=—","Direction=H","UseDPDF=Y")</f>
        <v>2910</v>
      </c>
      <c r="P28" s="13">
        <f>_xll.BDH("GILD US Equity","ARD_PROCEEDS_FROM_INVESTMENTS","FQ1 2022","FQ1 2022","Currency=USD","Period=FQ","BEST_FPERIOD_OVERRIDE=FQ","FILING_STATUS=MR","SCALING_FORMAT=MLN","Sort=A","Dates=H","DateFormat=P","Fill=—","Direction=H","UseDPDF=Y")</f>
        <v>625</v>
      </c>
      <c r="Q28" s="13">
        <f>_xll.BDH("GILD US Equity","ARD_PROCEEDS_FROM_INVESTMENTS","FQ2 2022","FQ2 2022","Currency=USD","Period=FQ","BEST_FPERIOD_OVERRIDE=FQ","FILING_STATUS=MR","SCALING_FORMAT=MLN","Sort=A","Dates=H","DateFormat=P","Fill=—","Direction=H","UseDPDF=Y")</f>
        <v>1278</v>
      </c>
      <c r="R28" s="13">
        <f>_xll.BDH("GILD US Equity","ARD_PROCEEDS_FROM_INVESTMENTS","FQ3 2022","FQ3 2022","Currency=USD","Period=FQ","BEST_FPERIOD_OVERRIDE=FQ","FILING_STATUS=MR","SCALING_FORMAT=MLN","Sort=A","Dates=H","DateFormat=P","Fill=—","Direction=H","UseDPDF=Y")</f>
        <v>1602</v>
      </c>
      <c r="S28" s="13">
        <f>_xll.BDH("GILD US Equity","ARD_PROCEEDS_FROM_INVESTMENTS","FQ4 2022","FQ4 2022","Currency=USD","Period=FQ","BEST_FPERIOD_OVERRIDE=FQ","FILING_STATUS=MR","SCALING_FORMAT=MLN","Sort=A","Dates=H","DateFormat=P","Fill=—","Direction=H","UseDPDF=Y")</f>
        <v>2002</v>
      </c>
      <c r="T28" s="13">
        <f>_xll.BDH("GILD US Equity","ARD_PROCEEDS_FROM_INVESTMENTS","FQ1 2023","FQ1 2023","Currency=USD","Period=FQ","BEST_FPERIOD_OVERRIDE=FQ","FILING_STATUS=MR","SCALING_FORMAT=MLN","Sort=A","Dates=H","DateFormat=P","Fill=—","Direction=H","UseDPDF=Y")</f>
        <v>491</v>
      </c>
      <c r="U28" s="13">
        <f>_xll.BDH("GILD US Equity","ARD_PROCEEDS_FROM_INVESTMENTS","FQ2 2023","FQ2 2023","Currency=USD","Period=FQ","BEST_FPERIOD_OVERRIDE=FQ","FILING_STATUS=MR","SCALING_FORMAT=MLN","Sort=A","Dates=H","DateFormat=P","Fill=—","Direction=H","UseDPDF=Y")</f>
        <v>1036</v>
      </c>
      <c r="V28" s="13">
        <f>_xll.BDH("GILD US Equity","ARD_PROCEEDS_FROM_INVESTMENTS","FQ3 2023","FQ3 2023","Currency=USD","Period=FQ","BEST_FPERIOD_OVERRIDE=FQ","FILING_STATUS=MR","SCALING_FORMAT=MLN","Sort=A","Dates=H","DateFormat=P","Fill=—","Direction=H","UseDPDF=Y")</f>
        <v>1397</v>
      </c>
      <c r="W28" s="13">
        <f>_xll.BDH("GILD US Equity","ARD_PROCEEDS_FROM_INVESTMENTS","FQ4 2023","FQ4 2023","Currency=USD","Period=FQ","BEST_FPERIOD_OVERRIDE=FQ","FILING_STATUS=MR","SCALING_FORMAT=MLN","Sort=A","Dates=H","DateFormat=P","Fill=—","Direction=H","UseDPDF=Y")</f>
        <v>1845</v>
      </c>
      <c r="X28" s="13">
        <f>_xll.BDH("GILD US Equity","ARD_PROCEEDS_FROM_INVESTMENTS","FQ1 2024","FQ1 2024","Currency=USD","Period=FQ","BEST_FPERIOD_OVERRIDE=FQ","FILING_STATUS=MR","SCALING_FORMAT=MLN","Sort=A","Dates=H","DateFormat=P","Fill=—","Direction=H","UseDPDF=Y")</f>
        <v>2592</v>
      </c>
      <c r="Y28" s="13">
        <f>_xll.BDH("GILD US Equity","ARD_PROCEEDS_FROM_INVESTMENTS","FQ2 2024","FQ2 2024","Currency=USD","Period=FQ","BEST_FPERIOD_OVERRIDE=FQ","FILING_STATUS=MR","SCALING_FORMAT=MLN","Sort=A","Dates=H","DateFormat=P","Fill=—","Direction=H","UseDPDF=Y")</f>
        <v>2592</v>
      </c>
      <c r="Z28" s="13">
        <f>_xll.BDH("GILD US Equity","ARD_PROCEEDS_FROM_INVESTMENTS","FQ3 2024","FQ3 2024","Currency=USD","Period=FQ","BEST_FPERIOD_OVERRIDE=FQ","FILING_STATUS=MR","SCALING_FORMAT=MLN","Sort=A","Dates=H","DateFormat=P","Fill=—","Direction=H","UseDPDF=Y")</f>
        <v>2592</v>
      </c>
      <c r="AA28" s="13">
        <f>_xll.BDH("GILD US Equity","ARD_PROCEEDS_FROM_INVESTMENTS","FQ4 2024","FQ4 2024","Currency=USD","Period=FQ","BEST_FPERIOD_OVERRIDE=FQ","FILING_STATUS=MR","SCALING_FORMAT=MLN","Sort=A","Dates=H","DateFormat=P","Fill=—","Direction=H","UseDPDF=Y")</f>
        <v>2592</v>
      </c>
    </row>
    <row r="29" spans="1:27" x14ac:dyDescent="0.25">
      <c r="A29" s="10" t="s">
        <v>1445</v>
      </c>
      <c r="B29" s="10" t="s">
        <v>1446</v>
      </c>
      <c r="C29" s="13">
        <f>_xll.BDH("GILD US Equity","ARD_ACQUISITION_OF_BUSINESS","FQ4 2018","FQ4 2018","Currency=USD","Period=FQ","BEST_FPERIOD_OVERRIDE=FQ","FILING_STATUS=MR","SCALING_FORMAT=MLN","Sort=A","Dates=H","DateFormat=P","Fill=—","Direction=H","UseDPDF=Y")</f>
        <v>0</v>
      </c>
      <c r="D29" s="13" t="str">
        <f>_xll.BDH("GILD US Equity","ARD_ACQUISITION_OF_BUSINESS","FQ1 2019","FQ1 2019","Currency=USD","Period=FQ","BEST_FPERIOD_OVERRIDE=FQ","FILING_STATUS=MR","SCALING_FORMAT=MLN","Sort=A","Dates=H","DateFormat=P","Fill=—","Direction=H","UseDPDF=Y")</f>
        <v>—</v>
      </c>
      <c r="E29" s="13">
        <f>_xll.BDH("GILD US Equity","ARD_ACQUISITION_OF_BUSINESS","FQ2 2019","FQ2 2019","Currency=USD","Period=FQ","BEST_FPERIOD_OVERRIDE=FQ","FILING_STATUS=MR","SCALING_FORMAT=MLN","Sort=A","Dates=H","DateFormat=P","Fill=—","Direction=H","UseDPDF=Y")</f>
        <v>-239</v>
      </c>
      <c r="F29" s="13">
        <f>_xll.BDH("GILD US Equity","ARD_ACQUISITION_OF_BUSINESS","FQ3 2019","FQ3 2019","Currency=USD","Period=FQ","BEST_FPERIOD_OVERRIDE=FQ","FILING_STATUS=MR","SCALING_FORMAT=MLN","Sort=A","Dates=H","DateFormat=P","Fill=—","Direction=H","UseDPDF=Y")</f>
        <v>-4251</v>
      </c>
      <c r="G29" s="13">
        <f>_xll.BDH("GILD US Equity","ARD_ACQUISITION_OF_BUSINESS","FQ4 2019","FQ4 2019","Currency=USD","Period=FQ","BEST_FPERIOD_OVERRIDE=FQ","FILING_STATUS=MR","SCALING_FORMAT=MLN","Sort=A","Dates=H","DateFormat=P","Fill=—","Direction=H","UseDPDF=Y")</f>
        <v>-4251</v>
      </c>
      <c r="H29" s="13">
        <f>_xll.BDH("GILD US Equity","ARD_ACQUISITION_OF_BUSINESS","FQ1 2020","FQ1 2020","Currency=USD","Period=FQ","BEST_FPERIOD_OVERRIDE=FQ","FILING_STATUS=MR","SCALING_FORMAT=MLN","Sort=A","Dates=H","DateFormat=P","Fill=—","Direction=H","UseDPDF=Y")</f>
        <v>-63</v>
      </c>
      <c r="I29" s="13">
        <f>_xll.BDH("GILD US Equity","ARD_ACQUISITION_OF_BUSINESS","FQ2 2020","FQ2 2020","Currency=USD","Period=FQ","BEST_FPERIOD_OVERRIDE=FQ","FILING_STATUS=MR","SCALING_FORMAT=MLN","Sort=A","Dates=H","DateFormat=P","Fill=—","Direction=H","UseDPDF=Y")</f>
        <v>-4804</v>
      </c>
      <c r="J29" s="13">
        <f>_xll.BDH("GILD US Equity","ARD_ACQUISITION_OF_BUSINESS","FQ3 2020","FQ3 2020","Currency=USD","Period=FQ","BEST_FPERIOD_OVERRIDE=FQ","FILING_STATUS=MR","SCALING_FORMAT=MLN","Sort=A","Dates=H","DateFormat=P","Fill=—","Direction=H","UseDPDF=Y")</f>
        <v>-5804</v>
      </c>
      <c r="K29" s="13">
        <f>_xll.BDH("GILD US Equity","ARD_ACQUISITION_OF_BUSINESS","FQ4 2020","FQ4 2020","Currency=USD","Period=FQ","BEST_FPERIOD_OVERRIDE=FQ","FILING_STATUS=MR","SCALING_FORMAT=MLN","Sort=A","Dates=H","DateFormat=P","Fill=—","Direction=H","UseDPDF=Y")</f>
        <v>-25920</v>
      </c>
      <c r="L29" s="13">
        <f>_xll.BDH("GILD US Equity","ARD_ACQUISITION_OF_BUSINESS","FQ1 2021","FQ1 2021","Currency=USD","Period=FQ","BEST_FPERIOD_OVERRIDE=FQ","FILING_STATUS=MR","SCALING_FORMAT=MLN","Sort=A","Dates=H","DateFormat=P","Fill=—","Direction=H","UseDPDF=Y")</f>
        <v>-1255</v>
      </c>
      <c r="M29" s="13">
        <f>_xll.BDH("GILD US Equity","ARD_ACQUISITION_OF_BUSINESS","FQ2 2021","FQ2 2021","Currency=USD","Period=FQ","BEST_FPERIOD_OVERRIDE=FQ","FILING_STATUS=MR","SCALING_FORMAT=MLN","Sort=A","Dates=H","DateFormat=P","Fill=—","Direction=H","UseDPDF=Y")</f>
        <v>-1347</v>
      </c>
      <c r="N29" s="13">
        <f>_xll.BDH("GILD US Equity","ARD_ACQUISITION_OF_BUSINESS","FQ3 2021","FQ3 2021","Currency=USD","Period=FQ","BEST_FPERIOD_OVERRIDE=FQ","FILING_STATUS=MR","SCALING_FORMAT=MLN","Sort=A","Dates=H","DateFormat=P","Fill=—","Direction=H","UseDPDF=Y")</f>
        <v>-1540</v>
      </c>
      <c r="O29" s="13">
        <f>_xll.BDH("GILD US Equity","ARD_ACQUISITION_OF_BUSINESS","FQ4 2021","FQ4 2021","Currency=USD","Period=FQ","BEST_FPERIOD_OVERRIDE=FQ","FILING_STATUS=MR","SCALING_FORMAT=MLN","Sort=A","Dates=H","DateFormat=P","Fill=—","Direction=H","UseDPDF=Y")</f>
        <v>-1584</v>
      </c>
      <c r="P29" s="13">
        <f>_xll.BDH("GILD US Equity","ARD_ACQUISITION_OF_BUSINESS","FQ1 2022","FQ1 2022","Currency=USD","Period=FQ","BEST_FPERIOD_OVERRIDE=FQ","FILING_STATUS=MR","SCALING_FORMAT=MLN","Sort=A","Dates=H","DateFormat=P","Fill=—","Direction=H","UseDPDF=Y")</f>
        <v>-30</v>
      </c>
      <c r="Q29" s="13">
        <f>_xll.BDH("GILD US Equity","ARD_ACQUISITION_OF_BUSINESS","FQ2 2022","FQ2 2022","Currency=USD","Period=FQ","BEST_FPERIOD_OVERRIDE=FQ","FILING_STATUS=MR","SCALING_FORMAT=MLN","Sort=A","Dates=H","DateFormat=P","Fill=—","Direction=H","UseDPDF=Y")</f>
        <v>-1131</v>
      </c>
      <c r="R29" s="13">
        <f>_xll.BDH("GILD US Equity","ARD_ACQUISITION_OF_BUSINESS","FQ3 2022","FQ3 2022","Currency=USD","Period=FQ","BEST_FPERIOD_OVERRIDE=FQ","FILING_STATUS=MR","SCALING_FORMAT=MLN","Sort=A","Dates=H","DateFormat=P","Fill=—","Direction=H","UseDPDF=Y")</f>
        <v>-1579</v>
      </c>
      <c r="S29" s="13">
        <f>_xll.BDH("GILD US Equity","ARD_ACQUISITION_OF_BUSINESS","FQ4 2022","FQ4 2022","Currency=USD","Period=FQ","BEST_FPERIOD_OVERRIDE=FQ","FILING_STATUS=MR","SCALING_FORMAT=MLN","Sort=A","Dates=H","DateFormat=P","Fill=—","Direction=H","UseDPDF=Y")</f>
        <v>-1797</v>
      </c>
      <c r="T29" s="13">
        <f>_xll.BDH("GILD US Equity","ARD_ACQUISITION_OF_BUSINESS","FQ1 2023","FQ1 2023","Currency=USD","Period=FQ","BEST_FPERIOD_OVERRIDE=FQ","FILING_STATUS=MR","SCALING_FORMAT=MLN","Sort=A","Dates=H","DateFormat=P","Fill=—","Direction=H","UseDPDF=Y")</f>
        <v>-551</v>
      </c>
      <c r="U29" s="13">
        <f>_xll.BDH("GILD US Equity","ARD_ACQUISITION_OF_BUSINESS","FQ2 2023","FQ2 2023","Currency=USD","Period=FQ","BEST_FPERIOD_OVERRIDE=FQ","FILING_STATUS=MR","SCALING_FORMAT=MLN","Sort=A","Dates=H","DateFormat=P","Fill=—","Direction=H","UseDPDF=Y")</f>
        <v>-794</v>
      </c>
      <c r="V29" s="13">
        <f>_xll.BDH("GILD US Equity","ARD_ACQUISITION_OF_BUSINESS","FQ3 2023","FQ3 2023","Currency=USD","Period=FQ","BEST_FPERIOD_OVERRIDE=FQ","FILING_STATUS=MR","SCALING_FORMAT=MLN","Sort=A","Dates=H","DateFormat=P","Fill=—","Direction=H","UseDPDF=Y")</f>
        <v>-873</v>
      </c>
      <c r="W29" s="13">
        <f>_xll.BDH("GILD US Equity","ARD_ACQUISITION_OF_BUSINESS","FQ4 2023","FQ4 2023","Currency=USD","Period=FQ","BEST_FPERIOD_OVERRIDE=FQ","FILING_STATUS=MR","SCALING_FORMAT=MLN","Sort=A","Dates=H","DateFormat=P","Fill=—","Direction=H","UseDPDF=Y")</f>
        <v>-1152</v>
      </c>
      <c r="X29" s="13">
        <f>_xll.BDH("GILD US Equity","ARD_ACQUISITION_OF_BUSINESS","FQ1 2024","FQ1 2024","Currency=USD","Period=FQ","BEST_FPERIOD_OVERRIDE=FQ","FILING_STATUS=MR","SCALING_FORMAT=MLN","Sort=A","Dates=H","DateFormat=P","Fill=—","Direction=H","UseDPDF=Y")</f>
        <v>-4043</v>
      </c>
      <c r="Y29" s="13">
        <f>_xll.BDH("GILD US Equity","ARD_ACQUISITION_OF_BUSINESS","FQ2 2024","FQ2 2024","Currency=USD","Period=FQ","BEST_FPERIOD_OVERRIDE=FQ","FILING_STATUS=MR","SCALING_FORMAT=MLN","Sort=A","Dates=H","DateFormat=P","Fill=—","Direction=H","UseDPDF=Y")</f>
        <v>-4195</v>
      </c>
      <c r="Z29" s="13">
        <f>_xll.BDH("GILD US Equity","ARD_ACQUISITION_OF_BUSINESS","FQ3 2024","FQ3 2024","Currency=USD","Period=FQ","BEST_FPERIOD_OVERRIDE=FQ","FILING_STATUS=MR","SCALING_FORMAT=MLN","Sort=A","Dates=H","DateFormat=P","Fill=—","Direction=H","UseDPDF=Y")</f>
        <v>-4765</v>
      </c>
      <c r="AA29" s="13">
        <f>_xll.BDH("GILD US Equity","ARD_ACQUISITION_OF_BUSINESS","FQ4 2024","FQ4 2024","Currency=USD","Period=FQ","BEST_FPERIOD_OVERRIDE=FQ","FILING_STATUS=MR","SCALING_FORMAT=MLN","Sort=A","Dates=H","DateFormat=P","Fill=—","Direction=H","UseDPDF=Y")</f>
        <v>-4840</v>
      </c>
    </row>
    <row r="30" spans="1:27" x14ac:dyDescent="0.25">
      <c r="A30" s="10" t="s">
        <v>1447</v>
      </c>
      <c r="B30" s="10" t="s">
        <v>1448</v>
      </c>
      <c r="C30" s="13">
        <f>_xll.BDH("GILD US Equity","ARD_OTHER_INVESTING_ACTIVITIES","FQ4 2018","FQ4 2018","Currency=USD","Period=FQ","BEST_FPERIOD_OVERRIDE=FQ","FILING_STATUS=MR","SCALING_FORMAT=MLN","Sort=A","Dates=H","DateFormat=P","Fill=—","Direction=H","UseDPDF=Y")</f>
        <v>-190</v>
      </c>
      <c r="D30" s="13" t="str">
        <f>_xll.BDH("GILD US Equity","ARD_OTHER_INVESTING_ACTIVITIES","FQ1 2019","FQ1 2019","Currency=USD","Period=FQ","BEST_FPERIOD_OVERRIDE=FQ","FILING_STATUS=MR","SCALING_FORMAT=MLN","Sort=A","Dates=H","DateFormat=P","Fill=—","Direction=H","UseDPDF=Y")</f>
        <v>—</v>
      </c>
      <c r="E30" s="13">
        <f>_xll.BDH("GILD US Equity","ARD_OTHER_INVESTING_ACTIVITIES","FQ2 2019","FQ2 2019","Currency=USD","Period=FQ","BEST_FPERIOD_OVERRIDE=FQ","FILING_STATUS=MR","SCALING_FORMAT=MLN","Sort=A","Dates=H","DateFormat=P","Fill=—","Direction=H","UseDPDF=Y")</f>
        <v>-317</v>
      </c>
      <c r="F30" s="13">
        <f>_xll.BDH("GILD US Equity","ARD_OTHER_INVESTING_ACTIVITIES","FQ3 2019","FQ3 2019","Currency=USD","Period=FQ","BEST_FPERIOD_OVERRIDE=FQ","FILING_STATUS=MR","SCALING_FORMAT=MLN","Sort=A","Dates=H","DateFormat=P","Fill=—","Direction=H","UseDPDF=Y")</f>
        <v>-1479</v>
      </c>
      <c r="G30" s="13">
        <f>_xll.BDH("GILD US Equity","ARD_OTHER_INVESTING_ACTIVITIES","FQ4 2019","FQ4 2019","Currency=USD","Period=FQ","BEST_FPERIOD_OVERRIDE=FQ","FILING_STATUS=MR","SCALING_FORMAT=MLN","Sort=A","Dates=H","DateFormat=P","Fill=—","Direction=H","UseDPDF=Y")</f>
        <v>-434</v>
      </c>
      <c r="H30" s="13">
        <f>_xll.BDH("GILD US Equity","ARD_OTHER_INVESTING_ACTIVITIES","FQ1 2020","FQ1 2020","Currency=USD","Period=FQ","BEST_FPERIOD_OVERRIDE=FQ","FILING_STATUS=MR","SCALING_FORMAT=MLN","Sort=A","Dates=H","DateFormat=P","Fill=—","Direction=H","UseDPDF=Y")</f>
        <v>-57</v>
      </c>
      <c r="I30" s="13">
        <f>_xll.BDH("GILD US Equity","ARD_OTHER_INVESTING_ACTIVITIES","FQ2 2020","FQ2 2020","Currency=USD","Period=FQ","BEST_FPERIOD_OVERRIDE=FQ","FILING_STATUS=MR","SCALING_FORMAT=MLN","Sort=A","Dates=H","DateFormat=P","Fill=—","Direction=H","UseDPDF=Y")</f>
        <v>-149</v>
      </c>
      <c r="J30" s="13">
        <f>_xll.BDH("GILD US Equity","ARD_OTHER_INVESTING_ACTIVITIES","FQ3 2020","FQ3 2020","Currency=USD","Period=FQ","BEST_FPERIOD_OVERRIDE=FQ","FILING_STATUS=MR","SCALING_FORMAT=MLN","Sort=A","Dates=H","DateFormat=P","Fill=—","Direction=H","UseDPDF=Y")</f>
        <v>-451</v>
      </c>
      <c r="K30" s="13">
        <f>_xll.BDH("GILD US Equity","ARD_OTHER_INVESTING_ACTIVITIES","FQ4 2020","FQ4 2020","Currency=USD","Period=FQ","BEST_FPERIOD_OVERRIDE=FQ","FILING_STATUS=MR","SCALING_FORMAT=MLN","Sort=A","Dates=H","DateFormat=P","Fill=—","Direction=H","UseDPDF=Y")</f>
        <v>7</v>
      </c>
      <c r="L30" s="13">
        <f>_xll.BDH("GILD US Equity","ARD_OTHER_INVESTING_ACTIVITIES","FQ1 2021","FQ1 2021","Currency=USD","Period=FQ","BEST_FPERIOD_OVERRIDE=FQ","FILING_STATUS=MR","SCALING_FORMAT=MLN","Sort=A","Dates=H","DateFormat=P","Fill=—","Direction=H","UseDPDF=Y")</f>
        <v>-370</v>
      </c>
      <c r="M30" s="13" t="str">
        <f>_xll.BDH("GILD US Equity","ARD_OTHER_INVESTING_ACTIVITIES","FQ2 2021","FQ2 2021","Currency=USD","Period=FQ","BEST_FPERIOD_OVERRIDE=FQ","FILING_STATUS=MR","SCALING_FORMAT=MLN","Sort=A","Dates=H","DateFormat=P","Fill=—","Direction=H","UseDPDF=Y")</f>
        <v>—</v>
      </c>
      <c r="N30" s="13">
        <f>_xll.BDH("GILD US Equity","ARD_OTHER_INVESTING_ACTIVITIES","FQ3 2021","FQ3 2021","Currency=USD","Period=FQ","BEST_FPERIOD_OVERRIDE=FQ","FILING_STATUS=MR","SCALING_FORMAT=MLN","Sort=A","Dates=H","DateFormat=P","Fill=—","Direction=H","UseDPDF=Y")</f>
        <v>-313</v>
      </c>
      <c r="O30" s="13">
        <f>_xll.BDH("GILD US Equity","ARD_OTHER_INVESTING_ACTIVITIES","FQ4 2021","FQ4 2021","Currency=USD","Period=FQ","BEST_FPERIOD_OVERRIDE=FQ","FILING_STATUS=MR","SCALING_FORMAT=MLN","Sort=A","Dates=H","DateFormat=P","Fill=—","Direction=H","UseDPDF=Y")</f>
        <v>19</v>
      </c>
      <c r="P30" s="13">
        <f>_xll.BDH("GILD US Equity","ARD_OTHER_INVESTING_ACTIVITIES","FQ1 2022","FQ1 2022","Currency=USD","Period=FQ","BEST_FPERIOD_OVERRIDE=FQ","FILING_STATUS=MR","SCALING_FORMAT=MLN","Sort=A","Dates=H","DateFormat=P","Fill=—","Direction=H","UseDPDF=Y")</f>
        <v>-805</v>
      </c>
      <c r="Q30" s="13">
        <f>_xll.BDH("GILD US Equity","ARD_OTHER_INVESTING_ACTIVITIES","FQ2 2022","FQ2 2022","Currency=USD","Period=FQ","BEST_FPERIOD_OVERRIDE=FQ","FILING_STATUS=MR","SCALING_FORMAT=MLN","Sort=A","Dates=H","DateFormat=P","Fill=—","Direction=H","UseDPDF=Y")</f>
        <v>-1</v>
      </c>
      <c r="R30" s="13">
        <f>_xll.BDH("GILD US Equity","ARD_OTHER_INVESTING_ACTIVITIES","FQ3 2022","FQ3 2022","Currency=USD","Period=FQ","BEST_FPERIOD_OVERRIDE=FQ","FILING_STATUS=MR","SCALING_FORMAT=MLN","Sort=A","Dates=H","DateFormat=P","Fill=—","Direction=H","UseDPDF=Y")</f>
        <v>-169</v>
      </c>
      <c r="S30" s="13">
        <f>_xll.BDH("GILD US Equity","ARD_OTHER_INVESTING_ACTIVITIES","FQ4 2022","FQ4 2022","Currency=USD","Period=FQ","BEST_FPERIOD_OVERRIDE=FQ","FILING_STATUS=MR","SCALING_FORMAT=MLN","Sort=A","Dates=H","DateFormat=P","Fill=—","Direction=H","UseDPDF=Y")</f>
        <v>-1</v>
      </c>
      <c r="T30" s="13">
        <f>_xll.BDH("GILD US Equity","ARD_OTHER_INVESTING_ACTIVITIES","FQ1 2023","FQ1 2023","Currency=USD","Period=FQ","BEST_FPERIOD_OVERRIDE=FQ","FILING_STATUS=MR","SCALING_FORMAT=MLN","Sort=A","Dates=H","DateFormat=P","Fill=—","Direction=H","UseDPDF=Y")</f>
        <v>-5</v>
      </c>
      <c r="U30" s="13">
        <f>_xll.BDH("GILD US Equity","ARD_OTHER_INVESTING_ACTIVITIES","FQ2 2023","FQ2 2023","Currency=USD","Period=FQ","BEST_FPERIOD_OVERRIDE=FQ","FILING_STATUS=MR","SCALING_FORMAT=MLN","Sort=A","Dates=H","DateFormat=P","Fill=—","Direction=H","UseDPDF=Y")</f>
        <v>-6</v>
      </c>
      <c r="V30" s="13">
        <f>_xll.BDH("GILD US Equity","ARD_OTHER_INVESTING_ACTIVITIES","FQ3 2023","FQ3 2023","Currency=USD","Period=FQ","BEST_FPERIOD_OVERRIDE=FQ","FILING_STATUS=MR","SCALING_FORMAT=MLN","Sort=A","Dates=H","DateFormat=P","Fill=—","Direction=H","UseDPDF=Y")</f>
        <v>-218</v>
      </c>
      <c r="W30" s="13">
        <f>_xll.BDH("GILD US Equity","ARD_OTHER_INVESTING_ACTIVITIES","FQ4 2023","FQ4 2023","Currency=USD","Period=FQ","BEST_FPERIOD_OVERRIDE=FQ","FILING_STATUS=MR","SCALING_FORMAT=MLN","Sort=A","Dates=H","DateFormat=P","Fill=—","Direction=H","UseDPDF=Y")</f>
        <v>-1</v>
      </c>
      <c r="X30" s="13">
        <f>_xll.BDH("GILD US Equity","ARD_OTHER_INVESTING_ACTIVITIES","FQ1 2024","FQ1 2024","Currency=USD","Period=FQ","BEST_FPERIOD_OVERRIDE=FQ","FILING_STATUS=MR","SCALING_FORMAT=MLN","Sort=A","Dates=H","DateFormat=P","Fill=—","Direction=H","UseDPDF=Y")</f>
        <v>3</v>
      </c>
      <c r="Y30" s="13">
        <f>_xll.BDH("GILD US Equity","ARD_OTHER_INVESTING_ACTIVITIES","FQ2 2024","FQ2 2024","Currency=USD","Period=FQ","BEST_FPERIOD_OVERRIDE=FQ","FILING_STATUS=MR","SCALING_FORMAT=MLN","Sort=A","Dates=H","DateFormat=P","Fill=—","Direction=H","UseDPDF=Y")</f>
        <v>12</v>
      </c>
      <c r="Z30" s="13">
        <f>_xll.BDH("GILD US Equity","ARD_OTHER_INVESTING_ACTIVITIES","FQ3 2024","FQ3 2024","Currency=USD","Period=FQ","BEST_FPERIOD_OVERRIDE=FQ","FILING_STATUS=MR","SCALING_FORMAT=MLN","Sort=A","Dates=H","DateFormat=P","Fill=—","Direction=H","UseDPDF=Y")</f>
        <v>22</v>
      </c>
      <c r="AA30" s="13">
        <f>_xll.BDH("GILD US Equity","ARD_OTHER_INVESTING_ACTIVITIES","FQ4 2024","FQ4 2024","Currency=USD","Period=FQ","BEST_FPERIOD_OVERRIDE=FQ","FILING_STATUS=MR","SCALING_FORMAT=MLN","Sort=A","Dates=H","DateFormat=P","Fill=—","Direction=H","UseDPDF=Y")</f>
        <v>58</v>
      </c>
    </row>
    <row r="31" spans="1:27" x14ac:dyDescent="0.25">
      <c r="A31" s="10" t="s">
        <v>1449</v>
      </c>
      <c r="B31" s="10" t="s">
        <v>1450</v>
      </c>
      <c r="C31" s="13">
        <f>_xll.BDH("GILD US Equity","ARD_PURCHASES_OF_LT_MKT_SEC","FQ4 2018","FQ4 2018","Currency=USD","Period=FQ","BEST_FPERIOD_OVERRIDE=FQ","FILING_STATUS=MR","SCALING_FORMAT=MLN","Sort=A","Dates=H","DateFormat=P","Fill=—","Direction=H","UseDPDF=Y")</f>
        <v>10233</v>
      </c>
      <c r="D31" s="13">
        <f>_xll.BDH("GILD US Equity","ARD_PURCHASES_OF_LT_MKT_SEC","FQ1 2019","FQ1 2019","Currency=USD","Period=FQ","BEST_FPERIOD_OVERRIDE=FQ","FILING_STATUS=MR","SCALING_FORMAT=MLN","Sort=A","Dates=H","DateFormat=P","Fill=—","Direction=H","UseDPDF=Y")</f>
        <v>-6722</v>
      </c>
      <c r="E31" s="13">
        <f>_xll.BDH("GILD US Equity","ARD_PURCHASES_OF_LT_MKT_SEC","FQ2 2019","FQ2 2019","Currency=USD","Period=FQ","BEST_FPERIOD_OVERRIDE=FQ","FILING_STATUS=MR","SCALING_FORMAT=MLN","Sort=A","Dates=H","DateFormat=P","Fill=—","Direction=H","UseDPDF=Y")</f>
        <v>-17022</v>
      </c>
      <c r="F31" s="13">
        <f>_xll.BDH("GILD US Equity","ARD_PURCHASES_OF_LT_MKT_SEC","FQ3 2019","FQ3 2019","Currency=USD","Period=FQ","BEST_FPERIOD_OVERRIDE=FQ","FILING_STATUS=MR","SCALING_FORMAT=MLN","Sort=A","Dates=H","DateFormat=P","Fill=—","Direction=H","UseDPDF=Y")</f>
        <v>-24057</v>
      </c>
      <c r="G31" s="13">
        <f>_xll.BDH("GILD US Equity","ARD_PURCHASES_OF_LT_MKT_SEC","FQ4 2019","FQ4 2019","Currency=USD","Period=FQ","BEST_FPERIOD_OVERRIDE=FQ","FILING_STATUS=MR","SCALING_FORMAT=MLN","Sort=A","Dates=H","DateFormat=P","Fill=—","Direction=H","UseDPDF=Y")</f>
        <v>-30455</v>
      </c>
      <c r="H31" s="13">
        <f>_xll.BDH("GILD US Equity","ARD_PURCHASES_OF_LT_MKT_SEC","FQ1 2020","FQ1 2020","Currency=USD","Period=FQ","BEST_FPERIOD_OVERRIDE=FQ","FILING_STATUS=MR","SCALING_FORMAT=MLN","Sort=A","Dates=H","DateFormat=P","Fill=—","Direction=H","UseDPDF=Y")</f>
        <v>-13158</v>
      </c>
      <c r="I31" s="13">
        <f>_xll.BDH("GILD US Equity","ARD_PURCHASES_OF_LT_MKT_SEC","FQ2 2020","FQ2 2020","Currency=USD","Period=FQ","BEST_FPERIOD_OVERRIDE=FQ","FILING_STATUS=MR","SCALING_FORMAT=MLN","Sort=A","Dates=H","DateFormat=P","Fill=—","Direction=H","UseDPDF=Y")</f>
        <v>-16753</v>
      </c>
      <c r="J31" s="13">
        <f>_xll.BDH("GILD US Equity","ARD_PURCHASES_OF_LT_MKT_SEC","FQ3 2020","FQ3 2020","Currency=USD","Period=FQ","BEST_FPERIOD_OVERRIDE=FQ","FILING_STATUS=MR","SCALING_FORMAT=MLN","Sort=A","Dates=H","DateFormat=P","Fill=—","Direction=H","UseDPDF=Y")</f>
        <v>-19809</v>
      </c>
      <c r="K31" s="13">
        <f>_xll.BDH("GILD US Equity","ARD_PURCHASES_OF_LT_MKT_SEC","FQ4 2020","FQ4 2020","Currency=USD","Period=FQ","BEST_FPERIOD_OVERRIDE=FQ","FILING_STATUS=MR","SCALING_FORMAT=MLN","Sort=A","Dates=H","DateFormat=P","Fill=—","Direction=H","UseDPDF=Y")</f>
        <v>-20315</v>
      </c>
      <c r="L31" s="13">
        <f>_xll.BDH("GILD US Equity","ARD_PURCHASES_OF_LT_MKT_SEC","FQ1 2021","FQ1 2021","Currency=USD","Period=FQ","BEST_FPERIOD_OVERRIDE=FQ","FILING_STATUS=MR","SCALING_FORMAT=MLN","Sort=A","Dates=H","DateFormat=P","Fill=—","Direction=H","UseDPDF=Y")</f>
        <v>-931</v>
      </c>
      <c r="M31" s="13">
        <f>_xll.BDH("GILD US Equity","ARD_PURCHASES_OF_LT_MKT_SEC","FQ2 2021","FQ2 2021","Currency=USD","Period=FQ","BEST_FPERIOD_OVERRIDE=FQ","FILING_STATUS=MR","SCALING_FORMAT=MLN","Sort=A","Dates=H","DateFormat=P","Fill=—","Direction=H","UseDPDF=Y")</f>
        <v>-2078</v>
      </c>
      <c r="N31" s="13">
        <f>_xll.BDH("GILD US Equity","ARD_PURCHASES_OF_LT_MKT_SEC","FQ3 2021","FQ3 2021","Currency=USD","Period=FQ","BEST_FPERIOD_OVERRIDE=FQ","FILING_STATUS=MR","SCALING_FORMAT=MLN","Sort=A","Dates=H","DateFormat=P","Fill=—","Direction=H","UseDPDF=Y")</f>
        <v>-2891</v>
      </c>
      <c r="O31" s="13">
        <f>_xll.BDH("GILD US Equity","ARD_PURCHASES_OF_LT_MKT_SEC","FQ4 2021","FQ4 2021","Currency=USD","Period=FQ","BEST_FPERIOD_OVERRIDE=FQ","FILING_STATUS=MR","SCALING_FORMAT=MLN","Sort=A","Dates=H","DateFormat=P","Fill=—","Direction=H","UseDPDF=Y")</f>
        <v>-3517</v>
      </c>
      <c r="P31" s="13">
        <f>_xll.BDH("GILD US Equity","ARD_PURCHASES_OF_LT_MKT_SEC","FQ1 2022","FQ1 2022","Currency=USD","Period=FQ","BEST_FPERIOD_OVERRIDE=FQ","FILING_STATUS=MR","SCALING_FORMAT=MLN","Sort=A","Dates=H","DateFormat=P","Fill=—","Direction=H","UseDPDF=Y")</f>
        <v>-613</v>
      </c>
      <c r="Q31" s="13">
        <f>_xll.BDH("GILD US Equity","ARD_PURCHASES_OF_LT_MKT_SEC","FQ2 2022","FQ2 2022","Currency=USD","Period=FQ","BEST_FPERIOD_OVERRIDE=FQ","FILING_STATUS=MR","SCALING_FORMAT=MLN","Sort=A","Dates=H","DateFormat=P","Fill=—","Direction=H","UseDPDF=Y")</f>
        <v>-1090</v>
      </c>
      <c r="R31" s="13">
        <f>_xll.BDH("GILD US Equity","ARD_PURCHASES_OF_LT_MKT_SEC","FQ3 2022","FQ3 2022","Currency=USD","Period=FQ","BEST_FPERIOD_OVERRIDE=FQ","FILING_STATUS=MR","SCALING_FORMAT=MLN","Sort=A","Dates=H","DateFormat=P","Fill=—","Direction=H","UseDPDF=Y")</f>
        <v>-1398</v>
      </c>
      <c r="S31" s="13">
        <f>_xll.BDH("GILD US Equity","ARD_PURCHASES_OF_LT_MKT_SEC","FQ4 2022","FQ4 2022","Currency=USD","Period=FQ","BEST_FPERIOD_OVERRIDE=FQ","FILING_STATUS=MR","SCALING_FORMAT=MLN","Sort=A","Dates=H","DateFormat=P","Fill=—","Direction=H","UseDPDF=Y")</f>
        <v>-1770</v>
      </c>
      <c r="T31" s="13">
        <f>_xll.BDH("GILD US Equity","ARD_PURCHASES_OF_LT_MKT_SEC","FQ1 2023","FQ1 2023","Currency=USD","Period=FQ","BEST_FPERIOD_OVERRIDE=FQ","FILING_STATUS=MR","SCALING_FORMAT=MLN","Sort=A","Dates=H","DateFormat=P","Fill=—","Direction=H","UseDPDF=Y")</f>
        <v>-527</v>
      </c>
      <c r="U31" s="13">
        <f>_xll.BDH("GILD US Equity","ARD_PURCHASES_OF_LT_MKT_SEC","FQ2 2023","FQ2 2023","Currency=USD","Period=FQ","BEST_FPERIOD_OVERRIDE=FQ","FILING_STATUS=MR","SCALING_FORMAT=MLN","Sort=A","Dates=H","DateFormat=P","Fill=—","Direction=H","UseDPDF=Y")</f>
        <v>-1105</v>
      </c>
      <c r="V31" s="13">
        <f>_xll.BDH("GILD US Equity","ARD_PURCHASES_OF_LT_MKT_SEC","FQ3 2023","FQ3 2023","Currency=USD","Period=FQ","BEST_FPERIOD_OVERRIDE=FQ","FILING_STATUS=MR","SCALING_FORMAT=MLN","Sort=A","Dates=H","DateFormat=P","Fill=—","Direction=H","UseDPDF=Y")</f>
        <v>-1474</v>
      </c>
      <c r="W31" s="13">
        <f>_xll.BDH("GILD US Equity","ARD_PURCHASES_OF_LT_MKT_SEC","FQ4 2023","FQ4 2023","Currency=USD","Period=FQ","BEST_FPERIOD_OVERRIDE=FQ","FILING_STATUS=MR","SCALING_FORMAT=MLN","Sort=A","Dates=H","DateFormat=P","Fill=—","Direction=H","UseDPDF=Y")</f>
        <v>-1930</v>
      </c>
      <c r="X31" s="13">
        <f>_xll.BDH("GILD US Equity","ARD_PURCHASES_OF_LT_MKT_SEC","FQ1 2024","FQ1 2024","Currency=USD","Period=FQ","BEST_FPERIOD_OVERRIDE=FQ","FILING_STATUS=MR","SCALING_FORMAT=MLN","Sort=A","Dates=H","DateFormat=P","Fill=—","Direction=H","UseDPDF=Y")</f>
        <v>-244</v>
      </c>
      <c r="Y31" s="13">
        <f>_xll.BDH("GILD US Equity","ARD_PURCHASES_OF_LT_MKT_SEC","FQ2 2024","FQ2 2024","Currency=USD","Period=FQ","BEST_FPERIOD_OVERRIDE=FQ","FILING_STATUS=MR","SCALING_FORMAT=MLN","Sort=A","Dates=H","DateFormat=P","Fill=—","Direction=H","UseDPDF=Y")</f>
        <v>-244</v>
      </c>
      <c r="Z31" s="13">
        <f>_xll.BDH("GILD US Equity","ARD_PURCHASES_OF_LT_MKT_SEC","FQ3 2024","FQ3 2024","Currency=USD","Period=FQ","BEST_FPERIOD_OVERRIDE=FQ","FILING_STATUS=MR","SCALING_FORMAT=MLN","Sort=A","Dates=H","DateFormat=P","Fill=—","Direction=H","UseDPDF=Y")</f>
        <v>-244</v>
      </c>
      <c r="AA31" s="13">
        <f>_xll.BDH("GILD US Equity","ARD_PURCHASES_OF_LT_MKT_SEC","FQ4 2024","FQ4 2024","Currency=USD","Period=FQ","BEST_FPERIOD_OVERRIDE=FQ","FILING_STATUS=MR","SCALING_FORMAT=MLN","Sort=A","Dates=H","DateFormat=P","Fill=—","Direction=H","UseDPDF=Y")</f>
        <v>-244</v>
      </c>
    </row>
    <row r="32" spans="1:27" x14ac:dyDescent="0.25">
      <c r="A32" s="6" t="s">
        <v>1451</v>
      </c>
      <c r="B32" s="6" t="s">
        <v>1452</v>
      </c>
      <c r="C32" s="19">
        <f>_xll.BDH("GILD US Equity","ARD_TOT_CASHFLOWS_FROM_INVESTING","FQ4 2018","FQ4 2018","Currency=USD","Period=FQ","BEST_FPERIOD_OVERRIDE=FQ","FILING_STATUS=MR","SCALING_FORMAT=MLN","Sort=A","Dates=H","DateFormat=P","Fill=—","Direction=H","UseDPDF=Y")</f>
        <v>14355</v>
      </c>
      <c r="D32" s="19">
        <f>_xll.BDH("GILD US Equity","ARD_TOT_CASHFLOWS_FROM_INVESTING","FQ1 2019","FQ1 2019","Currency=USD","Period=FQ","BEST_FPERIOD_OVERRIDE=FQ","FILING_STATUS=MR","SCALING_FORMAT=MLN","Sort=A","Dates=H","DateFormat=P","Fill=—","Direction=H","UseDPDF=Y")</f>
        <v>-111</v>
      </c>
      <c r="E32" s="19">
        <f>_xll.BDH("GILD US Equity","ARD_TOT_CASHFLOWS_FROM_INVESTING","FQ2 2019","FQ2 2019","Currency=USD","Period=FQ","BEST_FPERIOD_OVERRIDE=FQ","FILING_STATUS=MR","SCALING_FORMAT=MLN","Sort=A","Dates=H","DateFormat=P","Fill=—","Direction=H","UseDPDF=Y")</f>
        <v>-6407</v>
      </c>
      <c r="F32" s="19">
        <f>_xll.BDH("GILD US Equity","ARD_TOT_CASHFLOWS_FROM_INVESTING","FQ3 2019","FQ3 2019","Currency=USD","Period=FQ","BEST_FPERIOD_OVERRIDE=FQ","FILING_STATUS=MR","SCALING_FORMAT=MLN","Sort=A","Dates=H","DateFormat=P","Fill=—","Direction=H","UseDPDF=Y")</f>
        <v>-8248</v>
      </c>
      <c r="G32" s="19">
        <f>_xll.BDH("GILD US Equity","ARD_TOT_CASHFLOWS_FROM_INVESTING","FQ4 2019","FQ4 2019","Currency=USD","Period=FQ","BEST_FPERIOD_OVERRIDE=FQ","FILING_STATUS=MR","SCALING_FORMAT=MLN","Sort=A","Dates=H","DateFormat=P","Fill=—","Direction=H","UseDPDF=Y")</f>
        <v>-7817</v>
      </c>
      <c r="H32" s="19">
        <f>_xll.BDH("GILD US Equity","ARD_TOT_CASHFLOWS_FROM_INVESTING","FQ1 2020","FQ1 2020","Currency=USD","Period=FQ","BEST_FPERIOD_OVERRIDE=FQ","FILING_STATUS=MR","SCALING_FORMAT=MLN","Sort=A","Dates=H","DateFormat=P","Fill=—","Direction=H","UseDPDF=Y")</f>
        <v>-344</v>
      </c>
      <c r="I32" s="19">
        <f>_xll.BDH("GILD US Equity","ARD_TOT_CASHFLOWS_FROM_INVESTING","FQ2 2020","FQ2 2020","Currency=USD","Period=FQ","BEST_FPERIOD_OVERRIDE=FQ","FILING_STATUS=MR","SCALING_FORMAT=MLN","Sort=A","Dates=H","DateFormat=P","Fill=—","Direction=H","UseDPDF=Y")</f>
        <v>-5367</v>
      </c>
      <c r="J32" s="19">
        <f>_xll.BDH("GILD US Equity","ARD_TOT_CASHFLOWS_FROM_INVESTING","FQ3 2020","FQ3 2020","Currency=USD","Period=FQ","BEST_FPERIOD_OVERRIDE=FQ","FILING_STATUS=MR","SCALING_FORMAT=MLN","Sort=A","Dates=H","DateFormat=P","Fill=—","Direction=H","UseDPDF=Y")</f>
        <v>-5638</v>
      </c>
      <c r="K32" s="19">
        <f>_xll.BDH("GILD US Equity","ARD_TOT_CASHFLOWS_FROM_INVESTING","FQ4 2020","FQ4 2020","Currency=USD","Period=FQ","BEST_FPERIOD_OVERRIDE=FQ","FILING_STATUS=MR","SCALING_FORMAT=MLN","Sort=A","Dates=H","DateFormat=P","Fill=—","Direction=H","UseDPDF=Y")</f>
        <v>-14615</v>
      </c>
      <c r="L32" s="19">
        <f>_xll.BDH("GILD US Equity","ARD_TOT_CASHFLOWS_FROM_INVESTING","FQ1 2021","FQ1 2021","Currency=USD","Period=FQ","BEST_FPERIOD_OVERRIDE=FQ","FILING_STATUS=MR","SCALING_FORMAT=MLN","Sort=A","Dates=H","DateFormat=P","Fill=—","Direction=H","UseDPDF=Y")</f>
        <v>-2042</v>
      </c>
      <c r="M32" s="19">
        <f>_xll.BDH("GILD US Equity","ARD_TOT_CASHFLOWS_FROM_INVESTING","FQ2 2021","FQ2 2021","Currency=USD","Period=FQ","BEST_FPERIOD_OVERRIDE=FQ","FILING_STATUS=MR","SCALING_FORMAT=MLN","Sort=A","Dates=H","DateFormat=P","Fill=—","Direction=H","UseDPDF=Y")</f>
        <v>-2619</v>
      </c>
      <c r="N32" s="19">
        <f>_xll.BDH("GILD US Equity","ARD_TOT_CASHFLOWS_FROM_INVESTING","FQ3 2021","FQ3 2021","Currency=USD","Period=FQ","BEST_FPERIOD_OVERRIDE=FQ","FILING_STATUS=MR","SCALING_FORMAT=MLN","Sort=A","Dates=H","DateFormat=P","Fill=—","Direction=H","UseDPDF=Y")</f>
        <v>-2853</v>
      </c>
      <c r="O32" s="19">
        <f>_xll.BDH("GILD US Equity","ARD_TOT_CASHFLOWS_FROM_INVESTING","FQ4 2021","FQ4 2021","Currency=USD","Period=FQ","BEST_FPERIOD_OVERRIDE=FQ","FILING_STATUS=MR","SCALING_FORMAT=MLN","Sort=A","Dates=H","DateFormat=P","Fill=—","Direction=H","UseDPDF=Y")</f>
        <v>-3131</v>
      </c>
      <c r="P32" s="19">
        <f>_xll.BDH("GILD US Equity","ARD_TOT_CASHFLOWS_FROM_INVESTING","FQ1 2022","FQ1 2022","Currency=USD","Period=FQ","BEST_FPERIOD_OVERRIDE=FQ","FILING_STATUS=MR","SCALING_FORMAT=MLN","Sort=A","Dates=H","DateFormat=P","Fill=—","Direction=H","UseDPDF=Y")</f>
        <v>-1070</v>
      </c>
      <c r="Q32" s="19">
        <f>_xll.BDH("GILD US Equity","ARD_TOT_CASHFLOWS_FROM_INVESTING","FQ2 2022","FQ2 2022","Currency=USD","Period=FQ","BEST_FPERIOD_OVERRIDE=FQ","FILING_STATUS=MR","SCALING_FORMAT=MLN","Sort=A","Dates=H","DateFormat=P","Fill=—","Direction=H","UseDPDF=Y")</f>
        <v>-1378</v>
      </c>
      <c r="R32" s="19">
        <f>_xll.BDH("GILD US Equity","ARD_TOT_CASHFLOWS_FROM_INVESTING","FQ3 2022","FQ3 2022","Currency=USD","Period=FQ","BEST_FPERIOD_OVERRIDE=FQ","FILING_STATUS=MR","SCALING_FORMAT=MLN","Sort=A","Dates=H","DateFormat=P","Fill=—","Direction=H","UseDPDF=Y")</f>
        <v>-2091</v>
      </c>
      <c r="S32" s="19">
        <f>_xll.BDH("GILD US Equity","ARD_TOT_CASHFLOWS_FROM_INVESTING","FQ4 2022","FQ4 2022","Currency=USD","Period=FQ","BEST_FPERIOD_OVERRIDE=FQ","FILING_STATUS=MR","SCALING_FORMAT=MLN","Sort=A","Dates=H","DateFormat=P","Fill=—","Direction=H","UseDPDF=Y")</f>
        <v>-2466</v>
      </c>
      <c r="T32" s="19">
        <f>_xll.BDH("GILD US Equity","ARD_TOT_CASHFLOWS_FROM_INVESTING","FQ1 2023","FQ1 2023","Currency=USD","Period=FQ","BEST_FPERIOD_OVERRIDE=FQ","FILING_STATUS=MR","SCALING_FORMAT=MLN","Sort=A","Dates=H","DateFormat=P","Fill=—","Direction=H","UseDPDF=Y")</f>
        <v>-826</v>
      </c>
      <c r="U32" s="19">
        <f>_xll.BDH("GILD US Equity","ARD_TOT_CASHFLOWS_FROM_INVESTING","FQ2 2023","FQ2 2023","Currency=USD","Period=FQ","BEST_FPERIOD_OVERRIDE=FQ","FILING_STATUS=MR","SCALING_FORMAT=MLN","Sort=A","Dates=H","DateFormat=P","Fill=—","Direction=H","UseDPDF=Y")</f>
        <v>-1309</v>
      </c>
      <c r="V32" s="19">
        <f>_xll.BDH("GILD US Equity","ARD_TOT_CASHFLOWS_FROM_INVESTING","FQ3 2023","FQ3 2023","Currency=USD","Period=FQ","BEST_FPERIOD_OVERRIDE=FQ","FILING_STATUS=MR","SCALING_FORMAT=MLN","Sort=A","Dates=H","DateFormat=P","Fill=—","Direction=H","UseDPDF=Y")</f>
        <v>-1538</v>
      </c>
      <c r="W32" s="19">
        <f>_xll.BDH("GILD US Equity","ARD_TOT_CASHFLOWS_FROM_INVESTING","FQ4 2023","FQ4 2023","Currency=USD","Period=FQ","BEST_FPERIOD_OVERRIDE=FQ","FILING_STATUS=MR","SCALING_FORMAT=MLN","Sort=A","Dates=H","DateFormat=P","Fill=—","Direction=H","UseDPDF=Y")</f>
        <v>-2265</v>
      </c>
      <c r="X32" s="19">
        <f>_xll.BDH("GILD US Equity","ARD_TOT_CASHFLOWS_FROM_INVESTING","FQ1 2024","FQ1 2024","Currency=USD","Period=FQ","BEST_FPERIOD_OVERRIDE=FQ","FILING_STATUS=MR","SCALING_FORMAT=MLN","Sort=A","Dates=H","DateFormat=P","Fill=—","Direction=H","UseDPDF=Y")</f>
        <v>-2207</v>
      </c>
      <c r="Y32" s="19">
        <f>_xll.BDH("GILD US Equity","ARD_TOT_CASHFLOWS_FROM_INVESTING","FQ2 2024","FQ2 2024","Currency=USD","Period=FQ","BEST_FPERIOD_OVERRIDE=FQ","FILING_STATUS=MR","SCALING_FORMAT=MLN","Sort=A","Dates=H","DateFormat=P","Fill=—","Direction=H","UseDPDF=Y")</f>
        <v>-2514</v>
      </c>
      <c r="Z32" s="19">
        <f>_xll.BDH("GILD US Equity","ARD_TOT_CASHFLOWS_FROM_INVESTING","FQ3 2024","FQ3 2024","Currency=USD","Period=FQ","BEST_FPERIOD_OVERRIDE=FQ","FILING_STATUS=MR","SCALING_FORMAT=MLN","Sort=A","Dates=H","DateFormat=P","Fill=—","Direction=H","UseDPDF=Y")</f>
        <v>-3224</v>
      </c>
      <c r="AA32" s="19">
        <f>_xll.BDH("GILD US Equity","ARD_TOT_CASHFLOWS_FROM_INVESTING","FQ4 2024","FQ4 2024","Currency=USD","Period=FQ","BEST_FPERIOD_OVERRIDE=FQ","FILING_STATUS=MR","SCALING_FORMAT=MLN","Sort=A","Dates=H","DateFormat=P","Fill=—","Direction=H","UseDPDF=Y")</f>
        <v>-3449</v>
      </c>
    </row>
    <row r="33" spans="1:27" x14ac:dyDescent="0.25">
      <c r="A33" s="10" t="s">
        <v>1453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5">
      <c r="A34" s="10" t="s">
        <v>1454</v>
      </c>
      <c r="B34" s="10" t="s">
        <v>1455</v>
      </c>
      <c r="C34" s="13">
        <f>_xll.BDH("GILD US Equity","ARD_DIVIDEND_PD","FQ4 2018","FQ4 2018","Currency=USD","Period=FQ","BEST_FPERIOD_OVERRIDE=FQ","FILING_STATUS=MR","SCALING_FORMAT=MLN","Sort=A","Dates=H","DateFormat=P","Fill=—","Direction=H","UseDPDF=Y")</f>
        <v>-2971</v>
      </c>
      <c r="D34" s="13">
        <f>_xll.BDH("GILD US Equity","ARD_DIVIDEND_PD","FQ1 2019","FQ1 2019","Currency=USD","Period=FQ","BEST_FPERIOD_OVERRIDE=FQ","FILING_STATUS=MR","SCALING_FORMAT=MLN","Sort=A","Dates=H","DateFormat=P","Fill=—","Direction=H","UseDPDF=Y")</f>
        <v>-817</v>
      </c>
      <c r="E34" s="13">
        <f>_xll.BDH("GILD US Equity","ARD_DIVIDEND_PD","FQ2 2019","FQ2 2019","Currency=USD","Period=FQ","BEST_FPERIOD_OVERRIDE=FQ","FILING_STATUS=MR","SCALING_FORMAT=MLN","Sort=A","Dates=H","DateFormat=P","Fill=—","Direction=H","UseDPDF=Y")</f>
        <v>-1617</v>
      </c>
      <c r="F34" s="13">
        <f>_xll.BDH("GILD US Equity","ARD_DIVIDEND_PD","FQ3 2019","FQ3 2019","Currency=USD","Period=FQ","BEST_FPERIOD_OVERRIDE=FQ","FILING_STATUS=MR","SCALING_FORMAT=MLN","Sort=A","Dates=H","DateFormat=P","Fill=—","Direction=H","UseDPDF=Y")</f>
        <v>-2421</v>
      </c>
      <c r="G34" s="13">
        <f>_xll.BDH("GILD US Equity","ARD_DIVIDEND_PD","FQ4 2019","FQ4 2019","Currency=USD","Period=FQ","BEST_FPERIOD_OVERRIDE=FQ","FILING_STATUS=MR","SCALING_FORMAT=MLN","Sort=A","Dates=H","DateFormat=P","Fill=—","Direction=H","UseDPDF=Y")</f>
        <v>-3222</v>
      </c>
      <c r="H34" s="13">
        <f>_xll.BDH("GILD US Equity","ARD_DIVIDEND_PD","FQ1 2020","FQ1 2020","Currency=USD","Period=FQ","BEST_FPERIOD_OVERRIDE=FQ","FILING_STATUS=MR","SCALING_FORMAT=MLN","Sort=A","Dates=H","DateFormat=P","Fill=—","Direction=H","UseDPDF=Y")</f>
        <v>-874</v>
      </c>
      <c r="I34" s="13">
        <f>_xll.BDH("GILD US Equity","ARD_DIVIDEND_PD","FQ2 2020","FQ2 2020","Currency=USD","Period=FQ","BEST_FPERIOD_OVERRIDE=FQ","FILING_STATUS=MR","SCALING_FORMAT=MLN","Sort=A","Dates=H","DateFormat=P","Fill=—","Direction=H","UseDPDF=Y")</f>
        <v>-1730</v>
      </c>
      <c r="J34" s="13">
        <f>_xll.BDH("GILD US Equity","ARD_DIVIDEND_PD","FQ3 2020","FQ3 2020","Currency=USD","Period=FQ","BEST_FPERIOD_OVERRIDE=FQ","FILING_STATUS=MR","SCALING_FORMAT=MLN","Sort=A","Dates=H","DateFormat=P","Fill=—","Direction=H","UseDPDF=Y")</f>
        <v>-2591</v>
      </c>
      <c r="K34" s="13">
        <f>_xll.BDH("GILD US Equity","ARD_DIVIDEND_PD","FQ4 2020","FQ4 2020","Currency=USD","Period=FQ","BEST_FPERIOD_OVERRIDE=FQ","FILING_STATUS=MR","SCALING_FORMAT=MLN","Sort=A","Dates=H","DateFormat=P","Fill=—","Direction=H","UseDPDF=Y")</f>
        <v>-3449</v>
      </c>
      <c r="L34" s="13">
        <f>_xll.BDH("GILD US Equity","ARD_DIVIDEND_PD","FQ1 2021","FQ1 2021","Currency=USD","Period=FQ","BEST_FPERIOD_OVERRIDE=FQ","FILING_STATUS=MR","SCALING_FORMAT=MLN","Sort=A","Dates=H","DateFormat=P","Fill=—","Direction=H","UseDPDF=Y")</f>
        <v>-917</v>
      </c>
      <c r="M34" s="13">
        <f>_xll.BDH("GILD US Equity","ARD_DIVIDEND_PD","FQ2 2021","FQ2 2021","Currency=USD","Period=FQ","BEST_FPERIOD_OVERRIDE=FQ","FILING_STATUS=MR","SCALING_FORMAT=MLN","Sort=A","Dates=H","DateFormat=P","Fill=—","Direction=H","UseDPDF=Y")</f>
        <v>-1811</v>
      </c>
      <c r="N34" s="13">
        <f>_xll.BDH("GILD US Equity","ARD_DIVIDEND_PD","FQ3 2021","FQ3 2021","Currency=USD","Period=FQ","BEST_FPERIOD_OVERRIDE=FQ","FILING_STATUS=MR","SCALING_FORMAT=MLN","Sort=A","Dates=H","DateFormat=P","Fill=—","Direction=H","UseDPDF=Y")</f>
        <v>-2711</v>
      </c>
      <c r="O34" s="13">
        <f>_xll.BDH("GILD US Equity","ARD_DIVIDEND_PD","FQ4 2021","FQ4 2021","Currency=USD","Period=FQ","BEST_FPERIOD_OVERRIDE=FQ","FILING_STATUS=MR","SCALING_FORMAT=MLN","Sort=A","Dates=H","DateFormat=P","Fill=—","Direction=H","UseDPDF=Y")</f>
        <v>-3605</v>
      </c>
      <c r="P34" s="13">
        <f>_xll.BDH("GILD US Equity","ARD_DIVIDEND_PD","FQ1 2022","FQ1 2022","Currency=USD","Period=FQ","BEST_FPERIOD_OVERRIDE=FQ","FILING_STATUS=MR","SCALING_FORMAT=MLN","Sort=A","Dates=H","DateFormat=P","Fill=—","Direction=H","UseDPDF=Y")</f>
        <v>-945</v>
      </c>
      <c r="Q34" s="13">
        <f>_xll.BDH("GILD US Equity","ARD_DIVIDEND_PD","FQ2 2022","FQ2 2022","Currency=USD","Period=FQ","BEST_FPERIOD_OVERRIDE=FQ","FILING_STATUS=MR","SCALING_FORMAT=MLN","Sort=A","Dates=H","DateFormat=P","Fill=—","Direction=H","UseDPDF=Y")</f>
        <v>-1865</v>
      </c>
      <c r="R34" s="13">
        <f>_xll.BDH("GILD US Equity","ARD_DIVIDEND_PD","FQ3 2022","FQ3 2022","Currency=USD","Period=FQ","BEST_FPERIOD_OVERRIDE=FQ","FILING_STATUS=MR","SCALING_FORMAT=MLN","Sort=A","Dates=H","DateFormat=P","Fill=—","Direction=H","UseDPDF=Y")</f>
        <v>-2794</v>
      </c>
      <c r="S34" s="13">
        <f>_xll.BDH("GILD US Equity","ARD_DIVIDEND_PD","FQ4 2022","FQ4 2022","Currency=USD","Period=FQ","BEST_FPERIOD_OVERRIDE=FQ","FILING_STATUS=MR","SCALING_FORMAT=MLN","Sort=A","Dates=H","DateFormat=P","Fill=—","Direction=H","UseDPDF=Y")</f>
        <v>-3709</v>
      </c>
      <c r="T34" s="13">
        <f>_xll.BDH("GILD US Equity","ARD_DIVIDEND_PD","FQ1 2023","FQ1 2023","Currency=USD","Period=FQ","BEST_FPERIOD_OVERRIDE=FQ","FILING_STATUS=MR","SCALING_FORMAT=MLN","Sort=A","Dates=H","DateFormat=P","Fill=—","Direction=H","UseDPDF=Y")</f>
        <v>-969</v>
      </c>
      <c r="U34" s="13">
        <f>_xll.BDH("GILD US Equity","ARD_DIVIDEND_PD","FQ2 2023","FQ2 2023","Currency=USD","Period=FQ","BEST_FPERIOD_OVERRIDE=FQ","FILING_STATUS=MR","SCALING_FORMAT=MLN","Sort=A","Dates=H","DateFormat=P","Fill=—","Direction=H","UseDPDF=Y")</f>
        <v>-1913</v>
      </c>
      <c r="V34" s="13">
        <f>_xll.BDH("GILD US Equity","ARD_DIVIDEND_PD","FQ3 2023","FQ3 2023","Currency=USD","Period=FQ","BEST_FPERIOD_OVERRIDE=FQ","FILING_STATUS=MR","SCALING_FORMAT=MLN","Sort=A","Dates=H","DateFormat=P","Fill=—","Direction=H","UseDPDF=Y")</f>
        <v>-2866</v>
      </c>
      <c r="W34" s="13">
        <f>_xll.BDH("GILD US Equity","ARD_DIVIDEND_PD","FQ4 2023","FQ4 2023","Currency=USD","Period=FQ","BEST_FPERIOD_OVERRIDE=FQ","FILING_STATUS=MR","SCALING_FORMAT=MLN","Sort=A","Dates=H","DateFormat=P","Fill=—","Direction=H","UseDPDF=Y")</f>
        <v>-3809</v>
      </c>
      <c r="X34" s="13">
        <f>_xll.BDH("GILD US Equity","ARD_DIVIDEND_PD","FQ1 2024","FQ1 2024","Currency=USD","Period=FQ","BEST_FPERIOD_OVERRIDE=FQ","FILING_STATUS=MR","SCALING_FORMAT=MLN","Sort=A","Dates=H","DateFormat=P","Fill=—","Direction=H","UseDPDF=Y")</f>
        <v>-990</v>
      </c>
      <c r="Y34" s="13">
        <f>_xll.BDH("GILD US Equity","ARD_DIVIDEND_PD","FQ2 2024","FQ2 2024","Currency=USD","Period=FQ","BEST_FPERIOD_OVERRIDE=FQ","FILING_STATUS=MR","SCALING_FORMAT=MLN","Sort=A","Dates=H","DateFormat=P","Fill=—","Direction=H","UseDPDF=Y")</f>
        <v>-1962</v>
      </c>
      <c r="Z34" s="13">
        <f>_xll.BDH("GILD US Equity","ARD_DIVIDEND_PD","FQ3 2024","FQ3 2024","Currency=USD","Period=FQ","BEST_FPERIOD_OVERRIDE=FQ","FILING_STATUS=MR","SCALING_FORMAT=MLN","Sort=A","Dates=H","DateFormat=P","Fill=—","Direction=H","UseDPDF=Y")</f>
        <v>-2945</v>
      </c>
      <c r="AA34" s="13">
        <f>_xll.BDH("GILD US Equity","ARD_DIVIDEND_PD","FQ4 2024","FQ4 2024","Currency=USD","Period=FQ","BEST_FPERIOD_OVERRIDE=FQ","FILING_STATUS=MR","SCALING_FORMAT=MLN","Sort=A","Dates=H","DateFormat=P","Fill=—","Direction=H","UseDPDF=Y")</f>
        <v>-3918</v>
      </c>
    </row>
    <row r="35" spans="1:27" x14ac:dyDescent="0.25">
      <c r="A35" s="10" t="s">
        <v>1456</v>
      </c>
      <c r="B35" s="10" t="s">
        <v>1457</v>
      </c>
      <c r="C35" s="13">
        <f>_xll.BDH("GILD US Equity","ARD_ISSUANCE_OF_COMMON_STOCK","FQ4 2018","FQ4 2018","Currency=USD","Period=FQ","BEST_FPERIOD_OVERRIDE=FQ","FILING_STATUS=MR","SCALING_FORMAT=MLN","Sort=A","Dates=H","DateFormat=P","Fill=—","Direction=H","UseDPDF=Y")</f>
        <v>289</v>
      </c>
      <c r="D35" s="13">
        <f>_xll.BDH("GILD US Equity","ARD_ISSUANCE_OF_COMMON_STOCK","FQ1 2019","FQ1 2019","Currency=USD","Period=FQ","BEST_FPERIOD_OVERRIDE=FQ","FILING_STATUS=MR","SCALING_FORMAT=MLN","Sort=A","Dates=H","DateFormat=P","Fill=—","Direction=H","UseDPDF=Y")</f>
        <v>103</v>
      </c>
      <c r="E35" s="13">
        <f>_xll.BDH("GILD US Equity","ARD_ISSUANCE_OF_COMMON_STOCK","FQ2 2019","FQ2 2019","Currency=USD","Period=FQ","BEST_FPERIOD_OVERRIDE=FQ","FILING_STATUS=MR","SCALING_FORMAT=MLN","Sort=A","Dates=H","DateFormat=P","Fill=—","Direction=H","UseDPDF=Y")</f>
        <v>141</v>
      </c>
      <c r="F35" s="13">
        <f>_xll.BDH("GILD US Equity","ARD_ISSUANCE_OF_COMMON_STOCK","FQ3 2019","FQ3 2019","Currency=USD","Period=FQ","BEST_FPERIOD_OVERRIDE=FQ","FILING_STATUS=MR","SCALING_FORMAT=MLN","Sort=A","Dates=H","DateFormat=P","Fill=—","Direction=H","UseDPDF=Y")</f>
        <v>182</v>
      </c>
      <c r="G35" s="13">
        <f>_xll.BDH("GILD US Equity","ARD_ISSUANCE_OF_COMMON_STOCK","FQ4 2019","FQ4 2019","Currency=USD","Period=FQ","BEST_FPERIOD_OVERRIDE=FQ","FILING_STATUS=MR","SCALING_FORMAT=MLN","Sort=A","Dates=H","DateFormat=P","Fill=—","Direction=H","UseDPDF=Y")</f>
        <v>209</v>
      </c>
      <c r="H35" s="13">
        <f>_xll.BDH("GILD US Equity","ARD_ISSUANCE_OF_COMMON_STOCK","FQ1 2020","FQ1 2020","Currency=USD","Period=FQ","BEST_FPERIOD_OVERRIDE=FQ","FILING_STATUS=MR","SCALING_FORMAT=MLN","Sort=A","Dates=H","DateFormat=P","Fill=—","Direction=H","UseDPDF=Y")</f>
        <v>177</v>
      </c>
      <c r="I35" s="13">
        <f>_xll.BDH("GILD US Equity","ARD_ISSUANCE_OF_COMMON_STOCK","FQ2 2020","FQ2 2020","Currency=USD","Period=FQ","BEST_FPERIOD_OVERRIDE=FQ","FILING_STATUS=MR","SCALING_FORMAT=MLN","Sort=A","Dates=H","DateFormat=P","Fill=—","Direction=H","UseDPDF=Y")</f>
        <v>212</v>
      </c>
      <c r="J35" s="13">
        <f>_xll.BDH("GILD US Equity","ARD_ISSUANCE_OF_COMMON_STOCK","FQ3 2020","FQ3 2020","Currency=USD","Period=FQ","BEST_FPERIOD_OVERRIDE=FQ","FILING_STATUS=MR","SCALING_FORMAT=MLN","Sort=A","Dates=H","DateFormat=P","Fill=—","Direction=H","UseDPDF=Y")</f>
        <v>248</v>
      </c>
      <c r="K35" s="13">
        <f>_xll.BDH("GILD US Equity","ARD_ISSUANCE_OF_COMMON_STOCK","FQ4 2020","FQ4 2020","Currency=USD","Period=FQ","BEST_FPERIOD_OVERRIDE=FQ","FILING_STATUS=MR","SCALING_FORMAT=MLN","Sort=A","Dates=H","DateFormat=P","Fill=—","Direction=H","UseDPDF=Y")</f>
        <v>256</v>
      </c>
      <c r="L35" s="13">
        <f>_xll.BDH("GILD US Equity","ARD_ISSUANCE_OF_COMMON_STOCK","FQ1 2021","FQ1 2021","Currency=USD","Period=FQ","BEST_FPERIOD_OVERRIDE=FQ","FILING_STATUS=MR","SCALING_FORMAT=MLN","Sort=A","Dates=H","DateFormat=P","Fill=—","Direction=H","UseDPDF=Y")</f>
        <v>88</v>
      </c>
      <c r="M35" s="13">
        <f>_xll.BDH("GILD US Equity","ARD_ISSUANCE_OF_COMMON_STOCK","FQ2 2021","FQ2 2021","Currency=USD","Period=FQ","BEST_FPERIOD_OVERRIDE=FQ","FILING_STATUS=MR","SCALING_FORMAT=MLN","Sort=A","Dates=H","DateFormat=P","Fill=—","Direction=H","UseDPDF=Y")</f>
        <v>100</v>
      </c>
      <c r="N35" s="13">
        <f>_xll.BDH("GILD US Equity","ARD_ISSUANCE_OF_COMMON_STOCK","FQ3 2021","FQ3 2021","Currency=USD","Period=FQ","BEST_FPERIOD_OVERRIDE=FQ","FILING_STATUS=MR","SCALING_FORMAT=MLN","Sort=A","Dates=H","DateFormat=P","Fill=—","Direction=H","UseDPDF=Y")</f>
        <v>157</v>
      </c>
      <c r="O35" s="13">
        <f>_xll.BDH("GILD US Equity","ARD_ISSUANCE_OF_COMMON_STOCK","FQ4 2021","FQ4 2021","Currency=USD","Period=FQ","BEST_FPERIOD_OVERRIDE=FQ","FILING_STATUS=MR","SCALING_FORMAT=MLN","Sort=A","Dates=H","DateFormat=P","Fill=—","Direction=H","UseDPDF=Y")</f>
        <v>169</v>
      </c>
      <c r="P35" s="13">
        <f>_xll.BDH("GILD US Equity","ARD_ISSUANCE_OF_COMMON_STOCK","FQ1 2022","FQ1 2022","Currency=USD","Period=FQ","BEST_FPERIOD_OVERRIDE=FQ","FILING_STATUS=MR","SCALING_FORMAT=MLN","Sort=A","Dates=H","DateFormat=P","Fill=—","Direction=H","UseDPDF=Y")</f>
        <v>94</v>
      </c>
      <c r="Q35" s="13">
        <f>_xll.BDH("GILD US Equity","ARD_ISSUANCE_OF_COMMON_STOCK","FQ2 2022","FQ2 2022","Currency=USD","Period=FQ","BEST_FPERIOD_OVERRIDE=FQ","FILING_STATUS=MR","SCALING_FORMAT=MLN","Sort=A","Dates=H","DateFormat=P","Fill=—","Direction=H","UseDPDF=Y")</f>
        <v>97</v>
      </c>
      <c r="R35" s="13">
        <f>_xll.BDH("GILD US Equity","ARD_ISSUANCE_OF_COMMON_STOCK","FQ3 2022","FQ3 2022","Currency=USD","Period=FQ","BEST_FPERIOD_OVERRIDE=FQ","FILING_STATUS=MR","SCALING_FORMAT=MLN","Sort=A","Dates=H","DateFormat=P","Fill=—","Direction=H","UseDPDF=Y")</f>
        <v>133</v>
      </c>
      <c r="S35" s="13">
        <f>_xll.BDH("GILD US Equity","ARD_ISSUANCE_OF_COMMON_STOCK","FQ4 2022","FQ4 2022","Currency=USD","Period=FQ","BEST_FPERIOD_OVERRIDE=FQ","FILING_STATUS=MR","SCALING_FORMAT=MLN","Sort=A","Dates=H","DateFormat=P","Fill=—","Direction=H","UseDPDF=Y")</f>
        <v>309</v>
      </c>
      <c r="T35" s="13">
        <f>_xll.BDH("GILD US Equity","ARD_ISSUANCE_OF_COMMON_STOCK","FQ1 2023","FQ1 2023","Currency=USD","Period=FQ","BEST_FPERIOD_OVERRIDE=FQ","FILING_STATUS=MR","SCALING_FORMAT=MLN","Sort=A","Dates=H","DateFormat=P","Fill=—","Direction=H","UseDPDF=Y")</f>
        <v>97</v>
      </c>
      <c r="U35" s="13">
        <f>_xll.BDH("GILD US Equity","ARD_ISSUANCE_OF_COMMON_STOCK","FQ2 2023","FQ2 2023","Currency=USD","Period=FQ","BEST_FPERIOD_OVERRIDE=FQ","FILING_STATUS=MR","SCALING_FORMAT=MLN","Sort=A","Dates=H","DateFormat=P","Fill=—","Direction=H","UseDPDF=Y")</f>
        <v>123</v>
      </c>
      <c r="V35" s="13">
        <f>_xll.BDH("GILD US Equity","ARD_ISSUANCE_OF_COMMON_STOCK","FQ3 2023","FQ3 2023","Currency=USD","Period=FQ","BEST_FPERIOD_OVERRIDE=FQ","FILING_STATUS=MR","SCALING_FORMAT=MLN","Sort=A","Dates=H","DateFormat=P","Fill=—","Direction=H","UseDPDF=Y")</f>
        <v>206</v>
      </c>
      <c r="W35" s="13">
        <f>_xll.BDH("GILD US Equity","ARD_ISSUANCE_OF_COMMON_STOCK","FQ4 2023","FQ4 2023","Currency=USD","Period=FQ","BEST_FPERIOD_OVERRIDE=FQ","FILING_STATUS=MR","SCALING_FORMAT=MLN","Sort=A","Dates=H","DateFormat=P","Fill=—","Direction=H","UseDPDF=Y")</f>
        <v>233</v>
      </c>
      <c r="X35" s="13">
        <f>_xll.BDH("GILD US Equity","ARD_ISSUANCE_OF_COMMON_STOCK","FQ1 2024","FQ1 2024","Currency=USD","Period=FQ","BEST_FPERIOD_OVERRIDE=FQ","FILING_STATUS=MR","SCALING_FORMAT=MLN","Sort=A","Dates=H","DateFormat=P","Fill=—","Direction=H","UseDPDF=Y")</f>
        <v>146</v>
      </c>
      <c r="Y35" s="13">
        <f>_xll.BDH("GILD US Equity","ARD_ISSUANCE_OF_COMMON_STOCK","FQ2 2024","FQ2 2024","Currency=USD","Period=FQ","BEST_FPERIOD_OVERRIDE=FQ","FILING_STATUS=MR","SCALING_FORMAT=MLN","Sort=A","Dates=H","DateFormat=P","Fill=—","Direction=H","UseDPDF=Y")</f>
        <v>151</v>
      </c>
      <c r="Z35" s="13">
        <f>_xll.BDH("GILD US Equity","ARD_ISSUANCE_OF_COMMON_STOCK","FQ3 2024","FQ3 2024","Currency=USD","Period=FQ","BEST_FPERIOD_OVERRIDE=FQ","FILING_STATUS=MR","SCALING_FORMAT=MLN","Sort=A","Dates=H","DateFormat=P","Fill=—","Direction=H","UseDPDF=Y")</f>
        <v>249</v>
      </c>
      <c r="AA35" s="13">
        <f>_xll.BDH("GILD US Equity","ARD_ISSUANCE_OF_COMMON_STOCK","FQ4 2024","FQ4 2024","Currency=USD","Period=FQ","BEST_FPERIOD_OVERRIDE=FQ","FILING_STATUS=MR","SCALING_FORMAT=MLN","Sort=A","Dates=H","DateFormat=P","Fill=—","Direction=H","UseDPDF=Y")</f>
        <v>422</v>
      </c>
    </row>
    <row r="36" spans="1:27" x14ac:dyDescent="0.25">
      <c r="A36" s="10" t="s">
        <v>1458</v>
      </c>
      <c r="B36" s="10" t="s">
        <v>1459</v>
      </c>
      <c r="C36" s="13">
        <f>_xll.BDH("GILD US Equity","ARD_REPURCHASE_OF_COMMON_STOCK","FQ4 2018","FQ4 2018","Currency=USD","Period=FQ","BEST_FPERIOD_OVERRIDE=FQ","FILING_STATUS=MR","SCALING_FORMAT=MLN","Sort=A","Dates=H","DateFormat=P","Fill=—","Direction=H","UseDPDF=Y")</f>
        <v>-2900</v>
      </c>
      <c r="D36" s="13">
        <f>_xll.BDH("GILD US Equity","ARD_REPURCHASE_OF_COMMON_STOCK","FQ1 2019","FQ1 2019","Currency=USD","Period=FQ","BEST_FPERIOD_OVERRIDE=FQ","FILING_STATUS=MR","SCALING_FORMAT=MLN","Sort=A","Dates=H","DateFormat=P","Fill=—","Direction=H","UseDPDF=Y")</f>
        <v>-834</v>
      </c>
      <c r="E36" s="13">
        <f>_xll.BDH("GILD US Equity","ARD_REPURCHASE_OF_COMMON_STOCK","FQ2 2019","FQ2 2019","Currency=USD","Period=FQ","BEST_FPERIOD_OVERRIDE=FQ","FILING_STATUS=MR","SCALING_FORMAT=MLN","Sort=A","Dates=H","DateFormat=P","Fill=—","Direction=H","UseDPDF=Y")</f>
        <v>-1422</v>
      </c>
      <c r="F36" s="13">
        <f>_xll.BDH("GILD US Equity","ARD_REPURCHASE_OF_COMMON_STOCK","FQ3 2019","FQ3 2019","Currency=USD","Period=FQ","BEST_FPERIOD_OVERRIDE=FQ","FILING_STATUS=MR","SCALING_FORMAT=MLN","Sort=A","Dates=H","DateFormat=P","Fill=—","Direction=H","UseDPDF=Y")</f>
        <v>-1644</v>
      </c>
      <c r="G36" s="13">
        <f>_xll.BDH("GILD US Equity","ARD_REPURCHASE_OF_COMMON_STOCK","FQ4 2019","FQ4 2019","Currency=USD","Period=FQ","BEST_FPERIOD_OVERRIDE=FQ","FILING_STATUS=MR","SCALING_FORMAT=MLN","Sort=A","Dates=H","DateFormat=P","Fill=—","Direction=H","UseDPDF=Y")</f>
        <v>-1749</v>
      </c>
      <c r="H36" s="13">
        <f>_xll.BDH("GILD US Equity","ARD_REPURCHASE_OF_COMMON_STOCK","FQ1 2020","FQ1 2020","Currency=USD","Period=FQ","BEST_FPERIOD_OVERRIDE=FQ","FILING_STATUS=MR","SCALING_FORMAT=MLN","Sort=A","Dates=H","DateFormat=P","Fill=—","Direction=H","UseDPDF=Y")</f>
        <v>-1328</v>
      </c>
      <c r="I36" s="13">
        <f>_xll.BDH("GILD US Equity","ARD_REPURCHASE_OF_COMMON_STOCK","FQ2 2020","FQ2 2020","Currency=USD","Period=FQ","BEST_FPERIOD_OVERRIDE=FQ","FILING_STATUS=MR","SCALING_FORMAT=MLN","Sort=A","Dates=H","DateFormat=P","Fill=—","Direction=H","UseDPDF=Y")</f>
        <v>-1382</v>
      </c>
      <c r="J36" s="13">
        <f>_xll.BDH("GILD US Equity","ARD_REPURCHASE_OF_COMMON_STOCK","FQ3 2020","FQ3 2020","Currency=USD","Period=FQ","BEST_FPERIOD_OVERRIDE=FQ","FILING_STATUS=MR","SCALING_FORMAT=MLN","Sort=A","Dates=H","DateFormat=P","Fill=—","Direction=H","UseDPDF=Y")</f>
        <v>-1583</v>
      </c>
      <c r="K36" s="13">
        <f>_xll.BDH("GILD US Equity","ARD_REPURCHASE_OF_COMMON_STOCK","FQ4 2020","FQ4 2020","Currency=USD","Period=FQ","BEST_FPERIOD_OVERRIDE=FQ","FILING_STATUS=MR","SCALING_FORMAT=MLN","Sort=A","Dates=H","DateFormat=P","Fill=—","Direction=H","UseDPDF=Y")</f>
        <v>-1583</v>
      </c>
      <c r="L36" s="13">
        <f>_xll.BDH("GILD US Equity","ARD_REPURCHASE_OF_COMMON_STOCK","FQ1 2021","FQ1 2021","Currency=USD","Period=FQ","BEST_FPERIOD_OVERRIDE=FQ","FILING_STATUS=MR","SCALING_FORMAT=MLN","Sort=A","Dates=H","DateFormat=P","Fill=—","Direction=H","UseDPDF=Y")</f>
        <v>-309</v>
      </c>
      <c r="M36" s="13">
        <f>_xll.BDH("GILD US Equity","ARD_REPURCHASE_OF_COMMON_STOCK","FQ2 2021","FQ2 2021","Currency=USD","Period=FQ","BEST_FPERIOD_OVERRIDE=FQ","FILING_STATUS=MR","SCALING_FORMAT=MLN","Sort=A","Dates=H","DateFormat=P","Fill=—","Direction=H","UseDPDF=Y")</f>
        <v>-352</v>
      </c>
      <c r="N36" s="13">
        <f>_xll.BDH("GILD US Equity","ARD_REPURCHASE_OF_COMMON_STOCK","FQ3 2021","FQ3 2021","Currency=USD","Period=FQ","BEST_FPERIOD_OVERRIDE=FQ","FILING_STATUS=MR","SCALING_FORMAT=MLN","Sort=A","Dates=H","DateFormat=P","Fill=—","Direction=H","UseDPDF=Y")</f>
        <v>-497</v>
      </c>
      <c r="O36" s="13">
        <f>_xll.BDH("GILD US Equity","ARD_REPURCHASE_OF_COMMON_STOCK","FQ4 2021","FQ4 2021","Currency=USD","Period=FQ","BEST_FPERIOD_OVERRIDE=FQ","FILING_STATUS=MR","SCALING_FORMAT=MLN","Sort=A","Dates=H","DateFormat=P","Fill=—","Direction=H","UseDPDF=Y")</f>
        <v>-546</v>
      </c>
      <c r="P36" s="13">
        <f>_xll.BDH("GILD US Equity","ARD_REPURCHASE_OF_COMMON_STOCK","FQ1 2022","FQ1 2022","Currency=USD","Period=FQ","BEST_FPERIOD_OVERRIDE=FQ","FILING_STATUS=MR","SCALING_FORMAT=MLN","Sort=A","Dates=H","DateFormat=P","Fill=—","Direction=H","UseDPDF=Y")</f>
        <v>-352</v>
      </c>
      <c r="Q36" s="13">
        <f>_xll.BDH("GILD US Equity","ARD_REPURCHASE_OF_COMMON_STOCK","FQ2 2022","FQ2 2022","Currency=USD","Period=FQ","BEST_FPERIOD_OVERRIDE=FQ","FILING_STATUS=MR","SCALING_FORMAT=MLN","Sort=A","Dates=H","DateFormat=P","Fill=—","Direction=H","UseDPDF=Y")</f>
        <v>-424</v>
      </c>
      <c r="R36" s="13">
        <f>_xll.BDH("GILD US Equity","ARD_REPURCHASE_OF_COMMON_STOCK","FQ3 2022","FQ3 2022","Currency=USD","Period=FQ","BEST_FPERIOD_OVERRIDE=FQ","FILING_STATUS=MR","SCALING_FORMAT=MLN","Sort=A","Dates=H","DateFormat=P","Fill=—","Direction=H","UseDPDF=Y")</f>
        <v>-604</v>
      </c>
      <c r="S36" s="13">
        <f>_xll.BDH("GILD US Equity","ARD_REPURCHASE_OF_COMMON_STOCK","FQ4 2022","FQ4 2022","Currency=USD","Period=FQ","BEST_FPERIOD_OVERRIDE=FQ","FILING_STATUS=MR","SCALING_FORMAT=MLN","Sort=A","Dates=H","DateFormat=P","Fill=—","Direction=H","UseDPDF=Y")</f>
        <v>-1396</v>
      </c>
      <c r="T36" s="13">
        <f>_xll.BDH("GILD US Equity","ARD_REPURCHASE_OF_COMMON_STOCK","FQ1 2023","FQ1 2023","Currency=USD","Period=FQ","BEST_FPERIOD_OVERRIDE=FQ","FILING_STATUS=MR","SCALING_FORMAT=MLN","Sort=A","Dates=H","DateFormat=P","Fill=—","Direction=H","UseDPDF=Y")</f>
        <v>-400</v>
      </c>
      <c r="U36" s="13">
        <f>_xll.BDH("GILD US Equity","ARD_REPURCHASE_OF_COMMON_STOCK","FQ2 2023","FQ2 2023","Currency=USD","Period=FQ","BEST_FPERIOD_OVERRIDE=FQ","FILING_STATUS=MR","SCALING_FORMAT=MLN","Sort=A","Dates=H","DateFormat=P","Fill=—","Direction=H","UseDPDF=Y")</f>
        <v>-550</v>
      </c>
      <c r="V36" s="13">
        <f>_xll.BDH("GILD US Equity","ARD_REPURCHASE_OF_COMMON_STOCK","FQ3 2023","FQ3 2023","Currency=USD","Period=FQ","BEST_FPERIOD_OVERRIDE=FQ","FILING_STATUS=MR","SCALING_FORMAT=MLN","Sort=A","Dates=H","DateFormat=P","Fill=—","Direction=H","UseDPDF=Y")</f>
        <v>-850</v>
      </c>
      <c r="W36" s="13">
        <f>_xll.BDH("GILD US Equity","ARD_REPURCHASE_OF_COMMON_STOCK","FQ4 2023","FQ4 2023","Currency=USD","Period=FQ","BEST_FPERIOD_OVERRIDE=FQ","FILING_STATUS=MR","SCALING_FORMAT=MLN","Sort=A","Dates=H","DateFormat=P","Fill=—","Direction=H","UseDPDF=Y")</f>
        <v>-1000</v>
      </c>
      <c r="X36" s="13">
        <f>_xll.BDH("GILD US Equity","ARD_REPURCHASE_OF_COMMON_STOCK","FQ1 2024","FQ1 2024","Currency=USD","Period=FQ","BEST_FPERIOD_OVERRIDE=FQ","FILING_STATUS=MR","SCALING_FORMAT=MLN","Sort=A","Dates=H","DateFormat=P","Fill=—","Direction=H","UseDPDF=Y")</f>
        <v>-400</v>
      </c>
      <c r="Y36" s="13">
        <f>_xll.BDH("GILD US Equity","ARD_REPURCHASE_OF_COMMON_STOCK","FQ2 2024","FQ2 2024","Currency=USD","Period=FQ","BEST_FPERIOD_OVERRIDE=FQ","FILING_STATUS=MR","SCALING_FORMAT=MLN","Sort=A","Dates=H","DateFormat=P","Fill=—","Direction=H","UseDPDF=Y")</f>
        <v>-500</v>
      </c>
      <c r="Z36" s="13">
        <f>_xll.BDH("GILD US Equity","ARD_REPURCHASE_OF_COMMON_STOCK","FQ3 2024","FQ3 2024","Currency=USD","Period=FQ","BEST_FPERIOD_OVERRIDE=FQ","FILING_STATUS=MR","SCALING_FORMAT=MLN","Sort=A","Dates=H","DateFormat=P","Fill=—","Direction=H","UseDPDF=Y")</f>
        <v>-800</v>
      </c>
      <c r="AA36" s="13">
        <f>_xll.BDH("GILD US Equity","ARD_REPURCHASE_OF_COMMON_STOCK","FQ4 2024","FQ4 2024","Currency=USD","Period=FQ","BEST_FPERIOD_OVERRIDE=FQ","FILING_STATUS=MR","SCALING_FORMAT=MLN","Sort=A","Dates=H","DateFormat=P","Fill=—","Direction=H","UseDPDF=Y")</f>
        <v>-1150</v>
      </c>
    </row>
    <row r="37" spans="1:27" x14ac:dyDescent="0.25">
      <c r="A37" s="10" t="s">
        <v>1460</v>
      </c>
      <c r="B37" s="10" t="s">
        <v>1461</v>
      </c>
      <c r="C37" s="13">
        <f>_xll.BDH("GILD US Equity","ARD_EFF_OF_EXCH_RATES_ON_CASH","FQ4 2018","FQ4 2018","Currency=USD","Period=FQ","BEST_FPERIOD_OVERRIDE=FQ","FILING_STATUS=MR","SCALING_FORMAT=MLN","Sort=A","Dates=H","DateFormat=P","Fill=—","Direction=H","UseDPDF=Y")</f>
        <v>-85</v>
      </c>
      <c r="D37" s="13">
        <f>_xll.BDH("GILD US Equity","ARD_EFF_OF_EXCH_RATES_ON_CASH","FQ1 2019","FQ1 2019","Currency=USD","Period=FQ","BEST_FPERIOD_OVERRIDE=FQ","FILING_STATUS=MR","SCALING_FORMAT=MLN","Sort=A","Dates=H","DateFormat=P","Fill=—","Direction=H","UseDPDF=Y")</f>
        <v>20</v>
      </c>
      <c r="E37" s="13">
        <f>_xll.BDH("GILD US Equity","ARD_EFF_OF_EXCH_RATES_ON_CASH","FQ2 2019","FQ2 2019","Currency=USD","Period=FQ","BEST_FPERIOD_OVERRIDE=FQ","FILING_STATUS=MR","SCALING_FORMAT=MLN","Sort=A","Dates=H","DateFormat=P","Fill=—","Direction=H","UseDPDF=Y")</f>
        <v>11</v>
      </c>
      <c r="F37" s="13">
        <f>_xll.BDH("GILD US Equity","ARD_EFF_OF_EXCH_RATES_ON_CASH","FQ3 2019","FQ3 2019","Currency=USD","Period=FQ","BEST_FPERIOD_OVERRIDE=FQ","FILING_STATUS=MR","SCALING_FORMAT=MLN","Sort=A","Dates=H","DateFormat=P","Fill=—","Direction=H","UseDPDF=Y")</f>
        <v>-44</v>
      </c>
      <c r="G37" s="13">
        <f>_xll.BDH("GILD US Equity","ARD_EFF_OF_EXCH_RATES_ON_CASH","FQ4 2019","FQ4 2019","Currency=USD","Period=FQ","BEST_FPERIOD_OVERRIDE=FQ","FILING_STATUS=MR","SCALING_FORMAT=MLN","Sort=A","Dates=H","DateFormat=P","Fill=—","Direction=H","UseDPDF=Y")</f>
        <v>-2</v>
      </c>
      <c r="H37" s="13">
        <f>_xll.BDH("GILD US Equity","ARD_EFF_OF_EXCH_RATES_ON_CASH","FQ1 2020","FQ1 2020","Currency=USD","Period=FQ","BEST_FPERIOD_OVERRIDE=FQ","FILING_STATUS=MR","SCALING_FORMAT=MLN","Sort=A","Dates=H","DateFormat=P","Fill=—","Direction=H","UseDPDF=Y")</f>
        <v>-61</v>
      </c>
      <c r="I37" s="13">
        <f>_xll.BDH("GILD US Equity","ARD_EFF_OF_EXCH_RATES_ON_CASH","FQ2 2020","FQ2 2020","Currency=USD","Period=FQ","BEST_FPERIOD_OVERRIDE=FQ","FILING_STATUS=MR","SCALING_FORMAT=MLN","Sort=A","Dates=H","DateFormat=P","Fill=—","Direction=H","UseDPDF=Y")</f>
        <v>-35</v>
      </c>
      <c r="J37" s="13">
        <f>_xll.BDH("GILD US Equity","ARD_EFF_OF_EXCH_RATES_ON_CASH","FQ3 2020","FQ3 2020","Currency=USD","Period=FQ","BEST_FPERIOD_OVERRIDE=FQ","FILING_STATUS=MR","SCALING_FORMAT=MLN","Sort=A","Dates=H","DateFormat=P","Fill=—","Direction=H","UseDPDF=Y")</f>
        <v>2</v>
      </c>
      <c r="K37" s="13">
        <f>_xll.BDH("GILD US Equity","ARD_EFF_OF_EXCH_RATES_ON_CASH","FQ4 2020","FQ4 2020","Currency=USD","Period=FQ","BEST_FPERIOD_OVERRIDE=FQ","FILING_STATUS=MR","SCALING_FORMAT=MLN","Sort=A","Dates=H","DateFormat=P","Fill=—","Direction=H","UseDPDF=Y")</f>
        <v>43</v>
      </c>
      <c r="L37" s="13">
        <f>_xll.BDH("GILD US Equity","ARD_EFF_OF_EXCH_RATES_ON_CASH","FQ1 2021","FQ1 2021","Currency=USD","Period=FQ","BEST_FPERIOD_OVERRIDE=FQ","FILING_STATUS=MR","SCALING_FORMAT=MLN","Sort=A","Dates=H","DateFormat=P","Fill=—","Direction=H","UseDPDF=Y")</f>
        <v>-23</v>
      </c>
      <c r="M37" s="13">
        <f>_xll.BDH("GILD US Equity","ARD_EFF_OF_EXCH_RATES_ON_CASH","FQ2 2021","FQ2 2021","Currency=USD","Period=FQ","BEST_FPERIOD_OVERRIDE=FQ","FILING_STATUS=MR","SCALING_FORMAT=MLN","Sort=A","Dates=H","DateFormat=P","Fill=—","Direction=H","UseDPDF=Y")</f>
        <v>-3</v>
      </c>
      <c r="N37" s="13">
        <f>_xll.BDH("GILD US Equity","ARD_EFF_OF_EXCH_RATES_ON_CASH","FQ3 2021","FQ3 2021","Currency=USD","Period=FQ","BEST_FPERIOD_OVERRIDE=FQ","FILING_STATUS=MR","SCALING_FORMAT=MLN","Sort=A","Dates=H","DateFormat=P","Fill=—","Direction=H","UseDPDF=Y")</f>
        <v>-26</v>
      </c>
      <c r="O37" s="13">
        <f>_xll.BDH("GILD US Equity","ARD_EFF_OF_EXCH_RATES_ON_CASH","FQ4 2021","FQ4 2021","Currency=USD","Period=FQ","BEST_FPERIOD_OVERRIDE=FQ","FILING_STATUS=MR","SCALING_FORMAT=MLN","Sort=A","Dates=H","DateFormat=P","Fill=—","Direction=H","UseDPDF=Y")</f>
        <v>-35</v>
      </c>
      <c r="P37" s="13">
        <f>_xll.BDH("GILD US Equity","ARD_EFF_OF_EXCH_RATES_ON_CASH","FQ1 2022","FQ1 2022","Currency=USD","Period=FQ","BEST_FPERIOD_OVERRIDE=FQ","FILING_STATUS=MR","SCALING_FORMAT=MLN","Sort=A","Dates=H","DateFormat=P","Fill=—","Direction=H","UseDPDF=Y")</f>
        <v>-18</v>
      </c>
      <c r="Q37" s="13">
        <f>_xll.BDH("GILD US Equity","ARD_EFF_OF_EXCH_RATES_ON_CASH","FQ2 2022","FQ2 2022","Currency=USD","Period=FQ","BEST_FPERIOD_OVERRIDE=FQ","FILING_STATUS=MR","SCALING_FORMAT=MLN","Sort=A","Dates=H","DateFormat=P","Fill=—","Direction=H","UseDPDF=Y")</f>
        <v>-66</v>
      </c>
      <c r="R37" s="13">
        <f>_xll.BDH("GILD US Equity","ARD_EFF_OF_EXCH_RATES_ON_CASH","FQ3 2022","FQ3 2022","Currency=USD","Period=FQ","BEST_FPERIOD_OVERRIDE=FQ","FILING_STATUS=MR","SCALING_FORMAT=MLN","Sort=A","Dates=H","DateFormat=P","Fill=—","Direction=H","UseDPDF=Y")</f>
        <v>-138</v>
      </c>
      <c r="S37" s="13">
        <f>_xll.BDH("GILD US Equity","ARD_EFF_OF_EXCH_RATES_ON_CASH","FQ4 2022","FQ4 2022","Currency=USD","Period=FQ","BEST_FPERIOD_OVERRIDE=FQ","FILING_STATUS=MR","SCALING_FORMAT=MLN","Sort=A","Dates=H","DateFormat=P","Fill=—","Direction=H","UseDPDF=Y")</f>
        <v>-63</v>
      </c>
      <c r="T37" s="13">
        <f>_xll.BDH("GILD US Equity","ARD_EFF_OF_EXCH_RATES_ON_CASH","FQ1 2023","FQ1 2023","Currency=USD","Period=FQ","BEST_FPERIOD_OVERRIDE=FQ","FILING_STATUS=MR","SCALING_FORMAT=MLN","Sort=A","Dates=H","DateFormat=P","Fill=—","Direction=H","UseDPDF=Y")</f>
        <v>12</v>
      </c>
      <c r="U37" s="13">
        <f>_xll.BDH("GILD US Equity","ARD_EFF_OF_EXCH_RATES_ON_CASH","FQ2 2023","FQ2 2023","Currency=USD","Period=FQ","BEST_FPERIOD_OVERRIDE=FQ","FILING_STATUS=MR","SCALING_FORMAT=MLN","Sort=A","Dates=H","DateFormat=P","Fill=—","Direction=H","UseDPDF=Y")</f>
        <v>26</v>
      </c>
      <c r="V37" s="13">
        <f>_xll.BDH("GILD US Equity","ARD_EFF_OF_EXCH_RATES_ON_CASH","FQ3 2023","FQ3 2023","Currency=USD","Period=FQ","BEST_FPERIOD_OVERRIDE=FQ","FILING_STATUS=MR","SCALING_FORMAT=MLN","Sort=A","Dates=H","DateFormat=P","Fill=—","Direction=H","UseDPDF=Y")</f>
        <v>20</v>
      </c>
      <c r="W37" s="13">
        <f>_xll.BDH("GILD US Equity","ARD_EFF_OF_EXCH_RATES_ON_CASH","FQ4 2023","FQ4 2023","Currency=USD","Period=FQ","BEST_FPERIOD_OVERRIDE=FQ","FILING_STATUS=MR","SCALING_FORMAT=MLN","Sort=A","Dates=H","DateFormat=P","Fill=—","Direction=H","UseDPDF=Y")</f>
        <v>57</v>
      </c>
      <c r="X37" s="13">
        <f>_xll.BDH("GILD US Equity","ARD_EFF_OF_EXCH_RATES_ON_CASH","FQ1 2024","FQ1 2024","Currency=USD","Period=FQ","BEST_FPERIOD_OVERRIDE=FQ","FILING_STATUS=MR","SCALING_FORMAT=MLN","Sort=A","Dates=H","DateFormat=P","Fill=—","Direction=H","UseDPDF=Y")</f>
        <v>-18</v>
      </c>
      <c r="Y37" s="13">
        <f>_xll.BDH("GILD US Equity","ARD_EFF_OF_EXCH_RATES_ON_CASH","FQ2 2024","FQ2 2024","Currency=USD","Period=FQ","BEST_FPERIOD_OVERRIDE=FQ","FILING_STATUS=MR","SCALING_FORMAT=MLN","Sort=A","Dates=H","DateFormat=P","Fill=—","Direction=H","UseDPDF=Y")</f>
        <v>-29</v>
      </c>
      <c r="Z37" s="13">
        <f>_xll.BDH("GILD US Equity","ARD_EFF_OF_EXCH_RATES_ON_CASH","FQ3 2024","FQ3 2024","Currency=USD","Period=FQ","BEST_FPERIOD_OVERRIDE=FQ","FILING_STATUS=MR","SCALING_FORMAT=MLN","Sort=A","Dates=H","DateFormat=P","Fill=—","Direction=H","UseDPDF=Y")</f>
        <v>15</v>
      </c>
      <c r="AA37" s="13">
        <f>_xll.BDH("GILD US Equity","ARD_EFF_OF_EXCH_RATES_ON_CASH","FQ4 2024","FQ4 2024","Currency=USD","Period=FQ","BEST_FPERIOD_OVERRIDE=FQ","FILING_STATUS=MR","SCALING_FORMAT=MLN","Sort=A","Dates=H","DateFormat=P","Fill=—","Direction=H","UseDPDF=Y")</f>
        <v>-40</v>
      </c>
    </row>
    <row r="38" spans="1:27" x14ac:dyDescent="0.25">
      <c r="A38" s="10" t="s">
        <v>1462</v>
      </c>
      <c r="B38" s="10" t="s">
        <v>1463</v>
      </c>
      <c r="C38" s="13">
        <f>_xll.BDH("GILD US Equity","ARD_OTHER_FINANCING_ACTIVITIES","FQ4 2018","FQ4 2018","Currency=USD","Period=FQ","BEST_FPERIOD_OVERRIDE=FQ","FILING_STATUS=MR","SCALING_FORMAT=MLN","Sort=A","Dates=H","DateFormat=P","Fill=—","Direction=H","UseDPDF=Y")</f>
        <v>-486</v>
      </c>
      <c r="D38" s="13">
        <f>_xll.BDH("GILD US Equity","ARD_OTHER_FINANCING_ACTIVITIES","FQ1 2019","FQ1 2019","Currency=USD","Period=FQ","BEST_FPERIOD_OVERRIDE=FQ","FILING_STATUS=MR","SCALING_FORMAT=MLN","Sort=A","Dates=H","DateFormat=P","Fill=—","Direction=H","UseDPDF=Y")</f>
        <v>-68</v>
      </c>
      <c r="E38" s="13">
        <f>_xll.BDH("GILD US Equity","ARD_OTHER_FINANCING_ACTIVITIES","FQ2 2019","FQ2 2019","Currency=USD","Period=FQ","BEST_FPERIOD_OVERRIDE=FQ","FILING_STATUS=MR","SCALING_FORMAT=MLN","Sort=A","Dates=H","DateFormat=P","Fill=—","Direction=H","UseDPDF=Y")</f>
        <v>-75</v>
      </c>
      <c r="F38" s="13">
        <f>_xll.BDH("GILD US Equity","ARD_OTHER_FINANCING_ACTIVITIES","FQ3 2019","FQ3 2019","Currency=USD","Period=FQ","BEST_FPERIOD_OVERRIDE=FQ","FILING_STATUS=MR","SCALING_FORMAT=MLN","Sort=A","Dates=H","DateFormat=P","Fill=—","Direction=H","UseDPDF=Y")</f>
        <v>-105</v>
      </c>
      <c r="G38" s="13">
        <f>_xll.BDH("GILD US Equity","ARD_OTHER_FINANCING_ACTIVITIES","FQ4 2019","FQ4 2019","Currency=USD","Period=FQ","BEST_FPERIOD_OVERRIDE=FQ","FILING_STATUS=MR","SCALING_FORMAT=MLN","Sort=A","Dates=H","DateFormat=P","Fill=—","Direction=H","UseDPDF=Y")</f>
        <v>-122</v>
      </c>
      <c r="H38" s="13">
        <f>_xll.BDH("GILD US Equity","ARD_OTHER_FINANCING_ACTIVITIES","FQ1 2020","FQ1 2020","Currency=USD","Period=FQ","BEST_FPERIOD_OVERRIDE=FQ","FILING_STATUS=MR","SCALING_FORMAT=MLN","Sort=A","Dates=H","DateFormat=P","Fill=—","Direction=H","UseDPDF=Y")</f>
        <v>-86</v>
      </c>
      <c r="I38" s="13">
        <f>_xll.BDH("GILD US Equity","ARD_OTHER_FINANCING_ACTIVITIES","FQ2 2020","FQ2 2020","Currency=USD","Period=FQ","BEST_FPERIOD_OVERRIDE=FQ","FILING_STATUS=MR","SCALING_FORMAT=MLN","Sort=A","Dates=H","DateFormat=P","Fill=—","Direction=H","UseDPDF=Y")</f>
        <v>-85</v>
      </c>
      <c r="J38" s="13">
        <f>_xll.BDH("GILD US Equity","ARD_OTHER_FINANCING_ACTIVITIES","FQ3 2020","FQ3 2020","Currency=USD","Period=FQ","BEST_FPERIOD_OVERRIDE=FQ","FILING_STATUS=MR","SCALING_FORMAT=MLN","Sort=A","Dates=H","DateFormat=P","Fill=—","Direction=H","UseDPDF=Y")</f>
        <v>-124</v>
      </c>
      <c r="K38" s="13">
        <f>_xll.BDH("GILD US Equity","ARD_OTHER_FINANCING_ACTIVITIES","FQ4 2020","FQ4 2020","Currency=USD","Period=FQ","BEST_FPERIOD_OVERRIDE=FQ","FILING_STATUS=MR","SCALING_FORMAT=MLN","Sort=A","Dates=H","DateFormat=P","Fill=—","Direction=H","UseDPDF=Y")</f>
        <v>-138</v>
      </c>
      <c r="L38" s="13">
        <f>_xll.BDH("GILD US Equity","ARD_OTHER_FINANCING_ACTIVITIES","FQ1 2021","FQ1 2021","Currency=USD","Period=FQ","BEST_FPERIOD_OVERRIDE=FQ","FILING_STATUS=MR","SCALING_FORMAT=MLN","Sort=A","Dates=H","DateFormat=P","Fill=—","Direction=H","UseDPDF=Y")</f>
        <v>-89</v>
      </c>
      <c r="M38" s="13">
        <f>_xll.BDH("GILD US Equity","ARD_OTHER_FINANCING_ACTIVITIES","FQ2 2021","FQ2 2021","Currency=USD","Period=FQ","BEST_FPERIOD_OVERRIDE=FQ","FILING_STATUS=MR","SCALING_FORMAT=MLN","Sort=A","Dates=H","DateFormat=P","Fill=—","Direction=H","UseDPDF=Y")</f>
        <v>-95</v>
      </c>
      <c r="N38" s="13">
        <f>_xll.BDH("GILD US Equity","ARD_OTHER_FINANCING_ACTIVITIES","FQ3 2021","FQ3 2021","Currency=USD","Period=FQ","BEST_FPERIOD_OVERRIDE=FQ","FILING_STATUS=MR","SCALING_FORMAT=MLN","Sort=A","Dates=H","DateFormat=P","Fill=—","Direction=H","UseDPDF=Y")</f>
        <v>-134</v>
      </c>
      <c r="O38" s="13">
        <f>_xll.BDH("GILD US Equity","ARD_OTHER_FINANCING_ACTIVITIES","FQ4 2021","FQ4 2021","Currency=USD","Period=FQ","BEST_FPERIOD_OVERRIDE=FQ","FILING_STATUS=MR","SCALING_FORMAT=MLN","Sort=A","Dates=H","DateFormat=P","Fill=—","Direction=H","UseDPDF=Y")</f>
        <v>-145</v>
      </c>
      <c r="P38" s="13">
        <f>_xll.BDH("GILD US Equity","ARD_OTHER_FINANCING_ACTIVITIES","FQ1 2022","FQ1 2022","Currency=USD","Period=FQ","BEST_FPERIOD_OVERRIDE=FQ","FILING_STATUS=MR","SCALING_FORMAT=MLN","Sort=A","Dates=H","DateFormat=P","Fill=—","Direction=H","UseDPDF=Y")</f>
        <v>-91</v>
      </c>
      <c r="Q38" s="13">
        <f>_xll.BDH("GILD US Equity","ARD_OTHER_FINANCING_ACTIVITIES","FQ2 2022","FQ2 2022","Currency=USD","Period=FQ","BEST_FPERIOD_OVERRIDE=FQ","FILING_STATUS=MR","SCALING_FORMAT=MLN","Sort=A","Dates=H","DateFormat=P","Fill=—","Direction=H","UseDPDF=Y")</f>
        <v>-105</v>
      </c>
      <c r="R38" s="13">
        <f>_xll.BDH("GILD US Equity","ARD_OTHER_FINANCING_ACTIVITIES","FQ3 2022","FQ3 2022","Currency=USD","Period=FQ","BEST_FPERIOD_OVERRIDE=FQ","FILING_STATUS=MR","SCALING_FORMAT=MLN","Sort=A","Dates=H","DateFormat=P","Fill=—","Direction=H","UseDPDF=Y")</f>
        <v>-150</v>
      </c>
      <c r="S38" s="13">
        <f>_xll.BDH("GILD US Equity","ARD_OTHER_FINANCING_ACTIVITIES","FQ4 2022","FQ4 2022","Currency=USD","Period=FQ","BEST_FPERIOD_OVERRIDE=FQ","FILING_STATUS=MR","SCALING_FORMAT=MLN","Sort=A","Dates=H","DateFormat=P","Fill=—","Direction=H","UseDPDF=Y")</f>
        <v>-173</v>
      </c>
      <c r="T38" s="13">
        <f>_xll.BDH("GILD US Equity","ARD_OTHER_FINANCING_ACTIVITIES","FQ1 2023","FQ1 2023","Currency=USD","Period=FQ","BEST_FPERIOD_OVERRIDE=FQ","FILING_STATUS=MR","SCALING_FORMAT=MLN","Sort=A","Dates=H","DateFormat=P","Fill=—","Direction=H","UseDPDF=Y")</f>
        <v>-134</v>
      </c>
      <c r="U38" s="13">
        <f>_xll.BDH("GILD US Equity","ARD_OTHER_FINANCING_ACTIVITIES","FQ2 2023","FQ2 2023","Currency=USD","Period=FQ","BEST_FPERIOD_OVERRIDE=FQ","FILING_STATUS=MR","SCALING_FORMAT=MLN","Sort=A","Dates=H","DateFormat=P","Fill=—","Direction=H","UseDPDF=Y")</f>
        <v>-167</v>
      </c>
      <c r="V38" s="13">
        <f>_xll.BDH("GILD US Equity","ARD_OTHER_FINANCING_ACTIVITIES","FQ3 2023","FQ3 2023","Currency=USD","Period=FQ","BEST_FPERIOD_OVERRIDE=FQ","FILING_STATUS=MR","SCALING_FORMAT=MLN","Sort=A","Dates=H","DateFormat=P","Fill=—","Direction=H","UseDPDF=Y")</f>
        <v>-245</v>
      </c>
      <c r="W38" s="13">
        <f>_xll.BDH("GILD US Equity","ARD_OTHER_FINANCING_ACTIVITIES","FQ4 2023","FQ4 2023","Currency=USD","Period=FQ","BEST_FPERIOD_OVERRIDE=FQ","FILING_STATUS=MR","SCALING_FORMAT=MLN","Sort=A","Dates=H","DateFormat=P","Fill=—","Direction=H","UseDPDF=Y")</f>
        <v>-279</v>
      </c>
      <c r="X38" s="13">
        <f>_xll.BDH("GILD US Equity","ARD_OTHER_FINANCING_ACTIVITIES","FQ1 2024","FQ1 2024","Currency=USD","Period=FQ","BEST_FPERIOD_OVERRIDE=FQ","FILING_STATUS=MR","SCALING_FORMAT=MLN","Sort=A","Dates=H","DateFormat=P","Fill=—","Direction=H","UseDPDF=Y")</f>
        <v>-117</v>
      </c>
      <c r="Y38" s="13">
        <f>_xll.BDH("GILD US Equity","ARD_OTHER_FINANCING_ACTIVITIES","FQ2 2024","FQ2 2024","Currency=USD","Period=FQ","BEST_FPERIOD_OVERRIDE=FQ","FILING_STATUS=MR","SCALING_FORMAT=MLN","Sort=A","Dates=H","DateFormat=P","Fill=—","Direction=H","UseDPDF=Y")</f>
        <v>-152</v>
      </c>
      <c r="Z38" s="13">
        <f>_xll.BDH("GILD US Equity","ARD_OTHER_FINANCING_ACTIVITIES","FQ3 2024","FQ3 2024","Currency=USD","Period=FQ","BEST_FPERIOD_OVERRIDE=FQ","FILING_STATUS=MR","SCALING_FORMAT=MLN","Sort=A","Dates=H","DateFormat=P","Fill=—","Direction=H","UseDPDF=Y")</f>
        <v>-234</v>
      </c>
      <c r="AA38" s="13">
        <f>_xll.BDH("GILD US Equity","ARD_OTHER_FINANCING_ACTIVITIES","FQ4 2024","FQ4 2024","Currency=USD","Period=FQ","BEST_FPERIOD_OVERRIDE=FQ","FILING_STATUS=MR","SCALING_FORMAT=MLN","Sort=A","Dates=H","DateFormat=P","Fill=—","Direction=H","UseDPDF=Y")</f>
        <v>-281</v>
      </c>
    </row>
    <row r="39" spans="1:27" x14ac:dyDescent="0.25">
      <c r="A39" s="10" t="s">
        <v>1464</v>
      </c>
      <c r="B39" s="10" t="s">
        <v>1465</v>
      </c>
      <c r="C39" s="13">
        <f>_xll.BDH("GILD US Equity","ARD_CASH_PAID_FOR_TAXES","FQ4 2018","FQ4 2018","Currency=USD","Period=FQ","BEST_FPERIOD_OVERRIDE=FQ","FILING_STATUS=MR","SCALING_FORMAT=MLN","Sort=A","Dates=H","DateFormat=P","Fill=—","Direction=H","UseDPDF=Y")</f>
        <v>3198</v>
      </c>
      <c r="D39" s="13" t="str">
        <f>_xll.BDH("GILD US Equity","ARD_CASH_PAID_FOR_TAXES","FQ1 2019","FQ1 2019","Currency=USD","Period=FQ","BEST_FPERIOD_OVERRIDE=FQ","FILING_STATUS=MR","SCALING_FORMAT=MLN","Sort=A","Dates=H","DateFormat=P","Fill=—","Direction=H","UseDPDF=Y")</f>
        <v>—</v>
      </c>
      <c r="E39" s="13" t="str">
        <f>_xll.BDH("GILD US Equity","ARD_CASH_PAID_FOR_TAXES","FQ2 2019","FQ2 2019","Currency=USD","Period=FQ","BEST_FPERIOD_OVERRIDE=FQ","FILING_STATUS=MR","SCALING_FORMAT=MLN","Sort=A","Dates=H","DateFormat=P","Fill=—","Direction=H","UseDPDF=Y")</f>
        <v>—</v>
      </c>
      <c r="F39" s="13" t="str">
        <f>_xll.BDH("GILD US Equity","ARD_CASH_PAID_FOR_TAXES","FQ3 2019","FQ3 2019","Currency=USD","Period=FQ","BEST_FPERIOD_OVERRIDE=FQ","FILING_STATUS=MR","SCALING_FORMAT=MLN","Sort=A","Dates=H","DateFormat=P","Fill=—","Direction=H","UseDPDF=Y")</f>
        <v>—</v>
      </c>
      <c r="G39" s="13">
        <f>_xll.BDH("GILD US Equity","ARD_CASH_PAID_FOR_TAXES","FQ4 2019","FQ4 2019","Currency=USD","Period=FQ","BEST_FPERIOD_OVERRIDE=FQ","FILING_STATUS=MR","SCALING_FORMAT=MLN","Sort=A","Dates=H","DateFormat=P","Fill=—","Direction=H","UseDPDF=Y")</f>
        <v>1793</v>
      </c>
      <c r="H39" s="13" t="str">
        <f>_xll.BDH("GILD US Equity","ARD_CASH_PAID_FOR_TAXES","FQ1 2020","FQ1 2020","Currency=USD","Period=FQ","BEST_FPERIOD_OVERRIDE=FQ","FILING_STATUS=MR","SCALING_FORMAT=MLN","Sort=A","Dates=H","DateFormat=P","Fill=—","Direction=H","UseDPDF=Y")</f>
        <v>—</v>
      </c>
      <c r="I39" s="13" t="str">
        <f>_xll.BDH("GILD US Equity","ARD_CASH_PAID_FOR_TAXES","FQ2 2020","FQ2 2020","Currency=USD","Period=FQ","BEST_FPERIOD_OVERRIDE=FQ","FILING_STATUS=MR","SCALING_FORMAT=MLN","Sort=A","Dates=H","DateFormat=P","Fill=—","Direction=H","UseDPDF=Y")</f>
        <v>—</v>
      </c>
      <c r="J39" s="13" t="str">
        <f>_xll.BDH("GILD US Equity","ARD_CASH_PAID_FOR_TAXES","FQ3 2020","FQ3 2020","Currency=USD","Period=FQ","BEST_FPERIOD_OVERRIDE=FQ","FILING_STATUS=MR","SCALING_FORMAT=MLN","Sort=A","Dates=H","DateFormat=P","Fill=—","Direction=H","UseDPDF=Y")</f>
        <v>—</v>
      </c>
      <c r="K39" s="13">
        <f>_xll.BDH("GILD US Equity","ARD_CASH_PAID_FOR_TAXES","FQ4 2020","FQ4 2020","Currency=USD","Period=FQ","BEST_FPERIOD_OVERRIDE=FQ","FILING_STATUS=MR","SCALING_FORMAT=MLN","Sort=A","Dates=H","DateFormat=P","Fill=—","Direction=H","UseDPDF=Y")</f>
        <v>2639</v>
      </c>
      <c r="L39" s="13" t="str">
        <f>_xll.BDH("GILD US Equity","ARD_CASH_PAID_FOR_TAXES","FQ1 2021","FQ1 2021","Currency=USD","Period=FQ","BEST_FPERIOD_OVERRIDE=FQ","FILING_STATUS=MR","SCALING_FORMAT=MLN","Sort=A","Dates=H","DateFormat=P","Fill=—","Direction=H","UseDPDF=Y")</f>
        <v>—</v>
      </c>
      <c r="M39" s="13" t="str">
        <f>_xll.BDH("GILD US Equity","ARD_CASH_PAID_FOR_TAXES","FQ2 2021","FQ2 2021","Currency=USD","Period=FQ","BEST_FPERIOD_OVERRIDE=FQ","FILING_STATUS=MR","SCALING_FORMAT=MLN","Sort=A","Dates=H","DateFormat=P","Fill=—","Direction=H","UseDPDF=Y")</f>
        <v>—</v>
      </c>
      <c r="N39" s="13" t="str">
        <f>_xll.BDH("GILD US Equity","ARD_CASH_PAID_FOR_TAXES","FQ3 2021","FQ3 2021","Currency=USD","Period=FQ","BEST_FPERIOD_OVERRIDE=FQ","FILING_STATUS=MR","SCALING_FORMAT=MLN","Sort=A","Dates=H","DateFormat=P","Fill=—","Direction=H","UseDPDF=Y")</f>
        <v>—</v>
      </c>
      <c r="O39" s="13">
        <f>_xll.BDH("GILD US Equity","ARD_CASH_PAID_FOR_TAXES","FQ4 2021","FQ4 2021","Currency=USD","Period=FQ","BEST_FPERIOD_OVERRIDE=FQ","FILING_STATUS=MR","SCALING_FORMAT=MLN","Sort=A","Dates=H","DateFormat=P","Fill=—","Direction=H","UseDPDF=Y")</f>
        <v>2509</v>
      </c>
      <c r="P39" s="13" t="str">
        <f>_xll.BDH("GILD US Equity","ARD_CASH_PAID_FOR_TAXES","FQ1 2022","FQ1 2022","Currency=USD","Period=FQ","BEST_FPERIOD_OVERRIDE=FQ","FILING_STATUS=MR","SCALING_FORMAT=MLN","Sort=A","Dates=H","DateFormat=P","Fill=—","Direction=H","UseDPDF=Y")</f>
        <v>—</v>
      </c>
      <c r="Q39" s="13" t="str">
        <f>_xll.BDH("GILD US Equity","ARD_CASH_PAID_FOR_TAXES","FQ2 2022","FQ2 2022","Currency=USD","Period=FQ","BEST_FPERIOD_OVERRIDE=FQ","FILING_STATUS=MR","SCALING_FORMAT=MLN","Sort=A","Dates=H","DateFormat=P","Fill=—","Direction=H","UseDPDF=Y")</f>
        <v>—</v>
      </c>
      <c r="R39" s="13" t="str">
        <f>_xll.BDH("GILD US Equity","ARD_CASH_PAID_FOR_TAXES","FQ3 2022","FQ3 2022","Currency=USD","Period=FQ","BEST_FPERIOD_OVERRIDE=FQ","FILING_STATUS=MR","SCALING_FORMAT=MLN","Sort=A","Dates=H","DateFormat=P","Fill=—","Direction=H","UseDPDF=Y")</f>
        <v>—</v>
      </c>
      <c r="S39" s="13">
        <f>_xll.BDH("GILD US Equity","ARD_CASH_PAID_FOR_TAXES","FQ4 2022","FQ4 2022","Currency=USD","Period=FQ","BEST_FPERIOD_OVERRIDE=FQ","FILING_STATUS=MR","SCALING_FORMAT=MLN","Sort=A","Dates=H","DateFormat=P","Fill=—","Direction=H","UseDPDF=Y")</f>
        <v>3136</v>
      </c>
      <c r="T39" s="13" t="str">
        <f>_xll.BDH("GILD US Equity","ARD_CASH_PAID_FOR_TAXES","FQ1 2023","FQ1 2023","Currency=USD","Period=FQ","BEST_FPERIOD_OVERRIDE=FQ","FILING_STATUS=MR","SCALING_FORMAT=MLN","Sort=A","Dates=H","DateFormat=P","Fill=—","Direction=H","UseDPDF=Y")</f>
        <v>—</v>
      </c>
      <c r="U39" s="13" t="str">
        <f>_xll.BDH("GILD US Equity","ARD_CASH_PAID_FOR_TAXES","FQ2 2023","FQ2 2023","Currency=USD","Period=FQ","BEST_FPERIOD_OVERRIDE=FQ","FILING_STATUS=MR","SCALING_FORMAT=MLN","Sort=A","Dates=H","DateFormat=P","Fill=—","Direction=H","UseDPDF=Y")</f>
        <v>—</v>
      </c>
      <c r="V39" s="13" t="str">
        <f>_xll.BDH("GILD US Equity","ARD_CASH_PAID_FOR_TAXES","FQ3 2023","FQ3 2023","Currency=USD","Period=FQ","BEST_FPERIOD_OVERRIDE=FQ","FILING_STATUS=MR","SCALING_FORMAT=MLN","Sort=A","Dates=H","DateFormat=P","Fill=—","Direction=H","UseDPDF=Y")</f>
        <v>—</v>
      </c>
      <c r="W39" s="13">
        <f>_xll.BDH("GILD US Equity","ARD_CASH_PAID_FOR_TAXES","FQ4 2023","FQ4 2023","Currency=USD","Period=FQ","BEST_FPERIOD_OVERRIDE=FQ","FILING_STATUS=MR","SCALING_FORMAT=MLN","Sort=A","Dates=H","DateFormat=P","Fill=—","Direction=H","UseDPDF=Y")</f>
        <v>3990</v>
      </c>
      <c r="X39" s="13" t="str">
        <f>_xll.BDH("GILD US Equity","ARD_CASH_PAID_FOR_TAXES","FQ1 2024","FQ1 2024","Currency=USD","Period=FQ","BEST_FPERIOD_OVERRIDE=FQ","FILING_STATUS=MR","SCALING_FORMAT=MLN","Sort=A","Dates=H","DateFormat=P","Fill=—","Direction=H","UseDPDF=Y")</f>
        <v>—</v>
      </c>
      <c r="Y39" s="13" t="str">
        <f>_xll.BDH("GILD US Equity","ARD_CASH_PAID_FOR_TAXES","FQ2 2024","FQ2 2024","Currency=USD","Period=FQ","BEST_FPERIOD_OVERRIDE=FQ","FILING_STATUS=MR","SCALING_FORMAT=MLN","Sort=A","Dates=H","DateFormat=P","Fill=—","Direction=H","UseDPDF=Y")</f>
        <v>—</v>
      </c>
      <c r="Z39" s="13" t="str">
        <f>_xll.BDH("GILD US Equity","ARD_CASH_PAID_FOR_TAXES","FQ3 2024","FQ3 2024","Currency=USD","Period=FQ","BEST_FPERIOD_OVERRIDE=FQ","FILING_STATUS=MR","SCALING_FORMAT=MLN","Sort=A","Dates=H","DateFormat=P","Fill=—","Direction=H","UseDPDF=Y")</f>
        <v>—</v>
      </c>
      <c r="AA39" s="13">
        <f>_xll.BDH("GILD US Equity","ARD_CASH_PAID_FOR_TAXES","FQ4 2024","FQ4 2024","Currency=USD","Period=FQ","BEST_FPERIOD_OVERRIDE=FQ","FILING_STATUS=MR","SCALING_FORMAT=MLN","Sort=A","Dates=H","DateFormat=P","Fill=—","Direction=H","UseDPDF=Y")</f>
        <v>2779</v>
      </c>
    </row>
    <row r="40" spans="1:27" x14ac:dyDescent="0.25">
      <c r="A40" s="10" t="s">
        <v>1466</v>
      </c>
      <c r="B40" s="10" t="s">
        <v>1467</v>
      </c>
      <c r="C40" s="13">
        <f>_xll.BDH("GILD US Equity","ARD_CASH_PAID_FOR_INTEREST","FQ4 2018","FQ4 2018","Currency=USD","Period=FQ","BEST_FPERIOD_OVERRIDE=FQ","FILING_STATUS=MR","SCALING_FORMAT=MLN","Sort=A","Dates=H","DateFormat=P","Fill=—","Direction=H","UseDPDF=Y")</f>
        <v>1070</v>
      </c>
      <c r="D40" s="13" t="str">
        <f>_xll.BDH("GILD US Equity","ARD_CASH_PAID_FOR_INTEREST","FQ1 2019","FQ1 2019","Currency=USD","Period=FQ","BEST_FPERIOD_OVERRIDE=FQ","FILING_STATUS=MR","SCALING_FORMAT=MLN","Sort=A","Dates=H","DateFormat=P","Fill=—","Direction=H","UseDPDF=Y")</f>
        <v>—</v>
      </c>
      <c r="E40" s="13" t="str">
        <f>_xll.BDH("GILD US Equity","ARD_CASH_PAID_FOR_INTEREST","FQ2 2019","FQ2 2019","Currency=USD","Period=FQ","BEST_FPERIOD_OVERRIDE=FQ","FILING_STATUS=MR","SCALING_FORMAT=MLN","Sort=A","Dates=H","DateFormat=P","Fill=—","Direction=H","UseDPDF=Y")</f>
        <v>—</v>
      </c>
      <c r="F40" s="13" t="str">
        <f>_xll.BDH("GILD US Equity","ARD_CASH_PAID_FOR_INTEREST","FQ3 2019","FQ3 2019","Currency=USD","Period=FQ","BEST_FPERIOD_OVERRIDE=FQ","FILING_STATUS=MR","SCALING_FORMAT=MLN","Sort=A","Dates=H","DateFormat=P","Fill=—","Direction=H","UseDPDF=Y")</f>
        <v>—</v>
      </c>
      <c r="G40" s="13">
        <f>_xll.BDH("GILD US Equity","ARD_CASH_PAID_FOR_INTEREST","FQ4 2019","FQ4 2019","Currency=USD","Period=FQ","BEST_FPERIOD_OVERRIDE=FQ","FILING_STATUS=MR","SCALING_FORMAT=MLN","Sort=A","Dates=H","DateFormat=P","Fill=—","Direction=H","UseDPDF=Y")</f>
        <v>982</v>
      </c>
      <c r="H40" s="13" t="str">
        <f>_xll.BDH("GILD US Equity","ARD_CASH_PAID_FOR_INTEREST","FQ1 2020","FQ1 2020","Currency=USD","Period=FQ","BEST_FPERIOD_OVERRIDE=FQ","FILING_STATUS=MR","SCALING_FORMAT=MLN","Sort=A","Dates=H","DateFormat=P","Fill=—","Direction=H","UseDPDF=Y")</f>
        <v>—</v>
      </c>
      <c r="I40" s="13" t="str">
        <f>_xll.BDH("GILD US Equity","ARD_CASH_PAID_FOR_INTEREST","FQ2 2020","FQ2 2020","Currency=USD","Period=FQ","BEST_FPERIOD_OVERRIDE=FQ","FILING_STATUS=MR","SCALING_FORMAT=MLN","Sort=A","Dates=H","DateFormat=P","Fill=—","Direction=H","UseDPDF=Y")</f>
        <v>—</v>
      </c>
      <c r="J40" s="13" t="str">
        <f>_xll.BDH("GILD US Equity","ARD_CASH_PAID_FOR_INTEREST","FQ3 2020","FQ3 2020","Currency=USD","Period=FQ","BEST_FPERIOD_OVERRIDE=FQ","FILING_STATUS=MR","SCALING_FORMAT=MLN","Sort=A","Dates=H","DateFormat=P","Fill=—","Direction=H","UseDPDF=Y")</f>
        <v>—</v>
      </c>
      <c r="K40" s="13">
        <f>_xll.BDH("GILD US Equity","ARD_CASH_PAID_FOR_INTEREST","FQ4 2020","FQ4 2020","Currency=USD","Period=FQ","BEST_FPERIOD_OVERRIDE=FQ","FILING_STATUS=MR","SCALING_FORMAT=MLN","Sort=A","Dates=H","DateFormat=P","Fill=—","Direction=H","UseDPDF=Y")</f>
        <v>951</v>
      </c>
      <c r="L40" s="13" t="str">
        <f>_xll.BDH("GILD US Equity","ARD_CASH_PAID_FOR_INTEREST","FQ1 2021","FQ1 2021","Currency=USD","Period=FQ","BEST_FPERIOD_OVERRIDE=FQ","FILING_STATUS=MR","SCALING_FORMAT=MLN","Sort=A","Dates=H","DateFormat=P","Fill=—","Direction=H","UseDPDF=Y")</f>
        <v>—</v>
      </c>
      <c r="M40" s="13" t="str">
        <f>_xll.BDH("GILD US Equity","ARD_CASH_PAID_FOR_INTEREST","FQ2 2021","FQ2 2021","Currency=USD","Period=FQ","BEST_FPERIOD_OVERRIDE=FQ","FILING_STATUS=MR","SCALING_FORMAT=MLN","Sort=A","Dates=H","DateFormat=P","Fill=—","Direction=H","UseDPDF=Y")</f>
        <v>—</v>
      </c>
      <c r="N40" s="13" t="str">
        <f>_xll.BDH("GILD US Equity","ARD_CASH_PAID_FOR_INTEREST","FQ3 2021","FQ3 2021","Currency=USD","Period=FQ","BEST_FPERIOD_OVERRIDE=FQ","FILING_STATUS=MR","SCALING_FORMAT=MLN","Sort=A","Dates=H","DateFormat=P","Fill=—","Direction=H","UseDPDF=Y")</f>
        <v>—</v>
      </c>
      <c r="O40" s="13">
        <f>_xll.BDH("GILD US Equity","ARD_CASH_PAID_FOR_INTEREST","FQ4 2021","FQ4 2021","Currency=USD","Period=FQ","BEST_FPERIOD_OVERRIDE=FQ","FILING_STATUS=MR","SCALING_FORMAT=MLN","Sort=A","Dates=H","DateFormat=P","Fill=—","Direction=H","UseDPDF=Y")</f>
        <v>979</v>
      </c>
      <c r="P40" s="13" t="str">
        <f>_xll.BDH("GILD US Equity","ARD_CASH_PAID_FOR_INTEREST","FQ1 2022","FQ1 2022","Currency=USD","Period=FQ","BEST_FPERIOD_OVERRIDE=FQ","FILING_STATUS=MR","SCALING_FORMAT=MLN","Sort=A","Dates=H","DateFormat=P","Fill=—","Direction=H","UseDPDF=Y")</f>
        <v>—</v>
      </c>
      <c r="Q40" s="13" t="str">
        <f>_xll.BDH("GILD US Equity","ARD_CASH_PAID_FOR_INTEREST","FQ2 2022","FQ2 2022","Currency=USD","Period=FQ","BEST_FPERIOD_OVERRIDE=FQ","FILING_STATUS=MR","SCALING_FORMAT=MLN","Sort=A","Dates=H","DateFormat=P","Fill=—","Direction=H","UseDPDF=Y")</f>
        <v>—</v>
      </c>
      <c r="R40" s="13" t="str">
        <f>_xll.BDH("GILD US Equity","ARD_CASH_PAID_FOR_INTEREST","FQ3 2022","FQ3 2022","Currency=USD","Period=FQ","BEST_FPERIOD_OVERRIDE=FQ","FILING_STATUS=MR","SCALING_FORMAT=MLN","Sort=A","Dates=H","DateFormat=P","Fill=—","Direction=H","UseDPDF=Y")</f>
        <v>—</v>
      </c>
      <c r="S40" s="13">
        <f>_xll.BDH("GILD US Equity","ARD_CASH_PAID_FOR_INTEREST","FQ4 2022","FQ4 2022","Currency=USD","Period=FQ","BEST_FPERIOD_OVERRIDE=FQ","FILING_STATUS=MR","SCALING_FORMAT=MLN","Sort=A","Dates=H","DateFormat=P","Fill=—","Direction=H","UseDPDF=Y")</f>
        <v>907</v>
      </c>
      <c r="T40" s="13" t="str">
        <f>_xll.BDH("GILD US Equity","ARD_CASH_PAID_FOR_INTEREST","FQ1 2023","FQ1 2023","Currency=USD","Period=FQ","BEST_FPERIOD_OVERRIDE=FQ","FILING_STATUS=MR","SCALING_FORMAT=MLN","Sort=A","Dates=H","DateFormat=P","Fill=—","Direction=H","UseDPDF=Y")</f>
        <v>—</v>
      </c>
      <c r="U40" s="13" t="str">
        <f>_xll.BDH("GILD US Equity","ARD_CASH_PAID_FOR_INTEREST","FQ2 2023","FQ2 2023","Currency=USD","Period=FQ","BEST_FPERIOD_OVERRIDE=FQ","FILING_STATUS=MR","SCALING_FORMAT=MLN","Sort=A","Dates=H","DateFormat=P","Fill=—","Direction=H","UseDPDF=Y")</f>
        <v>—</v>
      </c>
      <c r="V40" s="13" t="str">
        <f>_xll.BDH("GILD US Equity","ARD_CASH_PAID_FOR_INTEREST","FQ3 2023","FQ3 2023","Currency=USD","Period=FQ","BEST_FPERIOD_OVERRIDE=FQ","FILING_STATUS=MR","SCALING_FORMAT=MLN","Sort=A","Dates=H","DateFormat=P","Fill=—","Direction=H","UseDPDF=Y")</f>
        <v>—</v>
      </c>
      <c r="W40" s="13">
        <f>_xll.BDH("GILD US Equity","ARD_CASH_PAID_FOR_INTEREST","FQ4 2023","FQ4 2023","Currency=USD","Period=FQ","BEST_FPERIOD_OVERRIDE=FQ","FILING_STATUS=MR","SCALING_FORMAT=MLN","Sort=A","Dates=H","DateFormat=P","Fill=—","Direction=H","UseDPDF=Y")</f>
        <v>891</v>
      </c>
      <c r="X40" s="13" t="str">
        <f>_xll.BDH("GILD US Equity","ARD_CASH_PAID_FOR_INTEREST","FQ1 2024","FQ1 2024","Currency=USD","Period=FQ","BEST_FPERIOD_OVERRIDE=FQ","FILING_STATUS=MR","SCALING_FORMAT=MLN","Sort=A","Dates=H","DateFormat=P","Fill=—","Direction=H","UseDPDF=Y")</f>
        <v>—</v>
      </c>
      <c r="Y40" s="13" t="str">
        <f>_xll.BDH("GILD US Equity","ARD_CASH_PAID_FOR_INTEREST","FQ2 2024","FQ2 2024","Currency=USD","Period=FQ","BEST_FPERIOD_OVERRIDE=FQ","FILING_STATUS=MR","SCALING_FORMAT=MLN","Sort=A","Dates=H","DateFormat=P","Fill=—","Direction=H","UseDPDF=Y")</f>
        <v>—</v>
      </c>
      <c r="Z40" s="13" t="str">
        <f>_xll.BDH("GILD US Equity","ARD_CASH_PAID_FOR_INTEREST","FQ3 2024","FQ3 2024","Currency=USD","Period=FQ","BEST_FPERIOD_OVERRIDE=FQ","FILING_STATUS=MR","SCALING_FORMAT=MLN","Sort=A","Dates=H","DateFormat=P","Fill=—","Direction=H","UseDPDF=Y")</f>
        <v>—</v>
      </c>
      <c r="AA40" s="13">
        <f>_xll.BDH("GILD US Equity","ARD_CASH_PAID_FOR_INTEREST","FQ4 2024","FQ4 2024","Currency=USD","Period=FQ","BEST_FPERIOD_OVERRIDE=FQ","FILING_STATUS=MR","SCALING_FORMAT=MLN","Sort=A","Dates=H","DateFormat=P","Fill=—","Direction=H","UseDPDF=Y")</f>
        <v>951</v>
      </c>
    </row>
    <row r="41" spans="1:27" x14ac:dyDescent="0.25">
      <c r="A41" s="10" t="s">
        <v>1468</v>
      </c>
      <c r="B41" s="10" t="s">
        <v>1469</v>
      </c>
      <c r="C41" s="13">
        <f>_xll.BDH("GILD US Equity","ARD_NET_CHANGE_IN_CASH","FQ4 2018","FQ4 2018","Currency=USD","Period=FQ","BEST_FPERIOD_OVERRIDE=FQ","FILING_STATUS=MR","SCALING_FORMAT=MLN","Sort=A","Dates=H","DateFormat=P","Fill=—","Direction=H","UseDPDF=Y")</f>
        <v>10352</v>
      </c>
      <c r="D41" s="13">
        <f>_xll.BDH("GILD US Equity","ARD_NET_CHANGE_IN_CASH","FQ1 2019","FQ1 2019","Currency=USD","Period=FQ","BEST_FPERIOD_OVERRIDE=FQ","FILING_STATUS=MR","SCALING_FORMAT=MLN","Sort=A","Dates=H","DateFormat=P","Fill=—","Direction=H","UseDPDF=Y")</f>
        <v>-1013</v>
      </c>
      <c r="E41" s="13">
        <f>_xll.BDH("GILD US Equity","ARD_NET_CHANGE_IN_CASH","FQ2 2019","FQ2 2019","Currency=USD","Period=FQ","BEST_FPERIOD_OVERRIDE=FQ","FILING_STATUS=MR","SCALING_FORMAT=MLN","Sort=A","Dates=H","DateFormat=P","Fill=—","Direction=H","UseDPDF=Y")</f>
        <v>-6700</v>
      </c>
      <c r="F41" s="13">
        <f>_xll.BDH("GILD US Equity","ARD_NET_CHANGE_IN_CASH","FQ3 2019","FQ3 2019","Currency=USD","Period=FQ","BEST_FPERIOD_OVERRIDE=FQ","FILING_STATUS=MR","SCALING_FORMAT=MLN","Sort=A","Dates=H","DateFormat=P","Fill=—","Direction=H","UseDPDF=Y")</f>
        <v>-8466</v>
      </c>
      <c r="G41" s="13">
        <f>_xll.BDH("GILD US Equity","ARD_NET_CHANGE_IN_CASH","FQ4 2019","FQ4 2019","Currency=USD","Period=FQ","BEST_FPERIOD_OVERRIDE=FQ","FILING_STATUS=MR","SCALING_FORMAT=MLN","Sort=A","Dates=H","DateFormat=P","Fill=—","Direction=H","UseDPDF=Y")</f>
        <v>-6309</v>
      </c>
      <c r="H41" s="13">
        <f>_xll.BDH("GILD US Equity","ARD_NET_CHANGE_IN_CASH","FQ1 2020","FQ1 2020","Currency=USD","Period=FQ","BEST_FPERIOD_OVERRIDE=FQ","FILING_STATUS=MR","SCALING_FORMAT=MLN","Sort=A","Dates=H","DateFormat=P","Fill=—","Direction=H","UseDPDF=Y")</f>
        <v>-1580</v>
      </c>
      <c r="I41" s="13">
        <f>_xll.BDH("GILD US Equity","ARD_NET_CHANGE_IN_CASH","FQ2 2020","FQ2 2020","Currency=USD","Period=FQ","BEST_FPERIOD_OVERRIDE=FQ","FILING_STATUS=MR","SCALING_FORMAT=MLN","Sort=A","Dates=H","DateFormat=P","Fill=—","Direction=H","UseDPDF=Y")</f>
        <v>-4885</v>
      </c>
      <c r="J41" s="13">
        <f>_xll.BDH("GILD US Equity","ARD_NET_CHANGE_IN_CASH","FQ3 2020","FQ3 2020","Currency=USD","Period=FQ","BEST_FPERIOD_OVERRIDE=FQ","FILING_STATUS=MR","SCALING_FORMAT=MLN","Sort=A","Dates=H","DateFormat=P","Fill=—","Direction=H","UseDPDF=Y")</f>
        <v>1255</v>
      </c>
      <c r="K41" s="13">
        <f>_xll.BDH("GILD US Equity","ARD_NET_CHANGE_IN_CASH","FQ4 2020","FQ4 2020","Currency=USD","Period=FQ","BEST_FPERIOD_OVERRIDE=FQ","FILING_STATUS=MR","SCALING_FORMAT=MLN","Sort=A","Dates=H","DateFormat=P","Fill=—","Direction=H","UseDPDF=Y")</f>
        <v>-5634</v>
      </c>
      <c r="L41" s="13">
        <f>_xll.BDH("GILD US Equity","ARD_NET_CHANGE_IN_CASH","FQ1 2021","FQ1 2021","Currency=USD","Period=FQ","BEST_FPERIOD_OVERRIDE=FQ","FILING_STATUS=MR","SCALING_FORMAT=MLN","Sort=A","Dates=H","DateFormat=P","Fill=—","Direction=H","UseDPDF=Y")</f>
        <v>-1932</v>
      </c>
      <c r="M41" s="13">
        <f>_xll.BDH("GILD US Equity","ARD_NET_CHANGE_IN_CASH","FQ2 2021","FQ2 2021","Currency=USD","Period=FQ","BEST_FPERIOD_OVERRIDE=FQ","FILING_STATUS=MR","SCALING_FORMAT=MLN","Sort=A","Dates=H","DateFormat=P","Fill=—","Direction=H","UseDPDF=Y")</f>
        <v>-1104</v>
      </c>
      <c r="N41" s="13">
        <f>_xll.BDH("GILD US Equity","ARD_NET_CHANGE_IN_CASH","FQ3 2021","FQ3 2021","Currency=USD","Period=FQ","BEST_FPERIOD_OVERRIDE=FQ","FILING_STATUS=MR","SCALING_FORMAT=MLN","Sort=A","Dates=H","DateFormat=P","Fill=—","Direction=H","UseDPDF=Y")</f>
        <v>-1635</v>
      </c>
      <c r="O41" s="13">
        <f>_xll.BDH("GILD US Equity","ARD_NET_CHANGE_IN_CASH","FQ4 2021","FQ4 2021","Currency=USD","Period=FQ","BEST_FPERIOD_OVERRIDE=FQ","FILING_STATUS=MR","SCALING_FORMAT=MLN","Sort=A","Dates=H","DateFormat=P","Fill=—","Direction=H","UseDPDF=Y")</f>
        <v>-659</v>
      </c>
      <c r="P41" s="13">
        <f>_xll.BDH("GILD US Equity","ARD_NET_CHANGE_IN_CASH","FQ1 2022","FQ1 2022","Currency=USD","Period=FQ","BEST_FPERIOD_OVERRIDE=FQ","FILING_STATUS=MR","SCALING_FORMAT=MLN","Sort=A","Dates=H","DateFormat=P","Fill=—","Direction=H","UseDPDF=Y")</f>
        <v>-1042</v>
      </c>
      <c r="Q41" s="13">
        <f>_xll.BDH("GILD US Equity","ARD_NET_CHANGE_IN_CASH","FQ2 2022","FQ2 2022","Currency=USD","Period=FQ","BEST_FPERIOD_OVERRIDE=FQ","FILING_STATUS=MR","SCALING_FORMAT=MLN","Sort=A","Dates=H","DateFormat=P","Fill=—","Direction=H","UseDPDF=Y")</f>
        <v>-599</v>
      </c>
      <c r="R41" s="13">
        <f>_xll.BDH("GILD US Equity","ARD_NET_CHANGE_IN_CASH","FQ3 2022","FQ3 2022","Currency=USD","Period=FQ","BEST_FPERIOD_OVERRIDE=FQ","FILING_STATUS=MR","SCALING_FORMAT=MLN","Sort=A","Dates=H","DateFormat=P","Fill=—","Direction=H","UseDPDF=Y")</f>
        <v>-639</v>
      </c>
      <c r="S41" s="13">
        <f>_xll.BDH("GILD US Equity","ARD_NET_CHANGE_IN_CASH","FQ4 2022","FQ4 2022","Currency=USD","Period=FQ","BEST_FPERIOD_OVERRIDE=FQ","FILING_STATUS=MR","SCALING_FORMAT=MLN","Sort=A","Dates=H","DateFormat=P","Fill=—","Direction=H","UseDPDF=Y")</f>
        <v>74</v>
      </c>
      <c r="T41" s="13">
        <f>_xll.BDH("GILD US Equity","ARD_NET_CHANGE_IN_CASH","FQ1 2023","FQ1 2023","Currency=USD","Period=FQ","BEST_FPERIOD_OVERRIDE=FQ","FILING_STATUS=MR","SCALING_FORMAT=MLN","Sort=A","Dates=H","DateFormat=P","Fill=—","Direction=H","UseDPDF=Y")</f>
        <v>-476</v>
      </c>
      <c r="U41" s="13">
        <f>_xll.BDH("GILD US Equity","ARD_NET_CHANGE_IN_CASH","FQ2 2023","FQ2 2023","Currency=USD","Period=FQ","BEST_FPERIOD_OVERRIDE=FQ","FILING_STATUS=MR","SCALING_FORMAT=MLN","Sort=A","Dates=H","DateFormat=P","Fill=—","Direction=H","UseDPDF=Y")</f>
        <v>292</v>
      </c>
      <c r="V41" s="13">
        <f>_xll.BDH("GILD US Equity","ARD_NET_CHANGE_IN_CASH","FQ3 2023","FQ3 2023","Currency=USD","Period=FQ","BEST_FPERIOD_OVERRIDE=FQ","FILING_STATUS=MR","SCALING_FORMAT=MLN","Sort=A","Dates=H","DateFormat=P","Fill=—","Direction=H","UseDPDF=Y")</f>
        <v>293</v>
      </c>
      <c r="W41" s="13">
        <f>_xll.BDH("GILD US Equity","ARD_NET_CHANGE_IN_CASH","FQ4 2023","FQ4 2023","Currency=USD","Period=FQ","BEST_FPERIOD_OVERRIDE=FQ","FILING_STATUS=MR","SCALING_FORMAT=MLN","Sort=A","Dates=H","DateFormat=P","Fill=—","Direction=H","UseDPDF=Y")</f>
        <v>673</v>
      </c>
      <c r="X41" s="13">
        <f>_xll.BDH("GILD US Equity","ARD_NET_CHANGE_IN_CASH","FQ1 2024","FQ1 2024","Currency=USD","Period=FQ","BEST_FPERIOD_OVERRIDE=FQ","FILING_STATUS=MR","SCALING_FORMAT=MLN","Sort=A","Dates=H","DateFormat=P","Fill=—","Direction=H","UseDPDF=Y")</f>
        <v>-1367</v>
      </c>
      <c r="Y41" s="13">
        <f>_xll.BDH("GILD US Equity","ARD_NET_CHANGE_IN_CASH","FQ2 2024","FQ2 2024","Currency=USD","Period=FQ","BEST_FPERIOD_OVERRIDE=FQ","FILING_STATUS=MR","SCALING_FORMAT=MLN","Sort=A","Dates=H","DateFormat=P","Fill=—","Direction=H","UseDPDF=Y")</f>
        <v>-3313</v>
      </c>
      <c r="Z41" s="13">
        <f>_xll.BDH("GILD US Equity","ARD_NET_CHANGE_IN_CASH","FQ3 2024","FQ3 2024","Currency=USD","Period=FQ","BEST_FPERIOD_OVERRIDE=FQ","FILING_STATUS=MR","SCALING_FORMAT=MLN","Sort=A","Dates=H","DateFormat=P","Fill=—","Direction=H","UseDPDF=Y")</f>
        <v>-1049</v>
      </c>
      <c r="AA41" s="13">
        <f>_xll.BDH("GILD US Equity","ARD_NET_CHANGE_IN_CASH","FQ4 2024","FQ4 2024","Currency=USD","Period=FQ","BEST_FPERIOD_OVERRIDE=FQ","FILING_STATUS=MR","SCALING_FORMAT=MLN","Sort=A","Dates=H","DateFormat=P","Fill=—","Direction=H","UseDPDF=Y")</f>
        <v>3906</v>
      </c>
    </row>
    <row r="42" spans="1:27" x14ac:dyDescent="0.25">
      <c r="A42" s="10" t="s">
        <v>1470</v>
      </c>
      <c r="B42" s="10" t="s">
        <v>1471</v>
      </c>
      <c r="C42" s="13">
        <f>_xll.BDH("GILD US Equity","ARD_CASH_CASH_EQUIV_END_OF_PER","FQ4 2018","FQ4 2018","Currency=USD","Period=FQ","BEST_FPERIOD_OVERRIDE=FQ","FILING_STATUS=MR","SCALING_FORMAT=MLN","Sort=A","Dates=H","DateFormat=P","Fill=—","Direction=H","UseDPDF=Y")</f>
        <v>17940</v>
      </c>
      <c r="D42" s="13">
        <f>_xll.BDH("GILD US Equity","ARD_CASH_CASH_EQUIV_END_OF_PER","FQ1 2019","FQ1 2019","Currency=USD","Period=FQ","BEST_FPERIOD_OVERRIDE=FQ","FILING_STATUS=MR","SCALING_FORMAT=MLN","Sort=A","Dates=H","DateFormat=P","Fill=—","Direction=H","UseDPDF=Y")</f>
        <v>16927</v>
      </c>
      <c r="E42" s="13">
        <f>_xll.BDH("GILD US Equity","ARD_CASH_CASH_EQUIV_END_OF_PER","FQ2 2019","FQ2 2019","Currency=USD","Period=FQ","BEST_FPERIOD_OVERRIDE=FQ","FILING_STATUS=MR","SCALING_FORMAT=MLN","Sort=A","Dates=H","DateFormat=P","Fill=—","Direction=H","UseDPDF=Y")</f>
        <v>11240</v>
      </c>
      <c r="F42" s="13">
        <f>_xll.BDH("GILD US Equity","ARD_CASH_CASH_EQUIV_END_OF_PER","FQ3 2019","FQ3 2019","Currency=USD","Period=FQ","BEST_FPERIOD_OVERRIDE=FQ","FILING_STATUS=MR","SCALING_FORMAT=MLN","Sort=A","Dates=H","DateFormat=P","Fill=—","Direction=H","UseDPDF=Y")</f>
        <v>9474</v>
      </c>
      <c r="G42" s="13">
        <f>_xll.BDH("GILD US Equity","ARD_CASH_CASH_EQUIV_END_OF_PER","FQ4 2019","FQ4 2019","Currency=USD","Period=FQ","BEST_FPERIOD_OVERRIDE=FQ","FILING_STATUS=MR","SCALING_FORMAT=MLN","Sort=A","Dates=H","DateFormat=P","Fill=—","Direction=H","UseDPDF=Y")</f>
        <v>11631</v>
      </c>
      <c r="H42" s="13">
        <f>_xll.BDH("GILD US Equity","ARD_CASH_CASH_EQUIV_END_OF_PER","FQ1 2020","FQ1 2020","Currency=USD","Period=FQ","BEST_FPERIOD_OVERRIDE=FQ","FILING_STATUS=MR","SCALING_FORMAT=MLN","Sort=A","Dates=H","DateFormat=P","Fill=—","Direction=H","UseDPDF=Y")</f>
        <v>10051</v>
      </c>
      <c r="I42" s="13">
        <f>_xll.BDH("GILD US Equity","ARD_CASH_CASH_EQUIV_END_OF_PER","FQ2 2020","FQ2 2020","Currency=USD","Period=FQ","BEST_FPERIOD_OVERRIDE=FQ","FILING_STATUS=MR","SCALING_FORMAT=MLN","Sort=A","Dates=H","DateFormat=P","Fill=—","Direction=H","UseDPDF=Y")</f>
        <v>6746</v>
      </c>
      <c r="J42" s="13">
        <f>_xll.BDH("GILD US Equity","ARD_CASH_CASH_EQUIV_END_OF_PER","FQ3 2020","FQ3 2020","Currency=USD","Period=FQ","BEST_FPERIOD_OVERRIDE=FQ","FILING_STATUS=MR","SCALING_FORMAT=MLN","Sort=A","Dates=H","DateFormat=P","Fill=—","Direction=H","UseDPDF=Y")</f>
        <v>12886</v>
      </c>
      <c r="K42" s="13">
        <f>_xll.BDH("GILD US Equity","ARD_CASH_CASH_EQUIV_END_OF_PER","FQ4 2020","FQ4 2020","Currency=USD","Period=FQ","BEST_FPERIOD_OVERRIDE=FQ","FILING_STATUS=MR","SCALING_FORMAT=MLN","Sort=A","Dates=H","DateFormat=P","Fill=—","Direction=H","UseDPDF=Y")</f>
        <v>5997</v>
      </c>
      <c r="L42" s="13">
        <f>_xll.BDH("GILD US Equity","ARD_CASH_CASH_EQUIV_END_OF_PER","FQ1 2021","FQ1 2021","Currency=USD","Period=FQ","BEST_FPERIOD_OVERRIDE=FQ","FILING_STATUS=MR","SCALING_FORMAT=MLN","Sort=A","Dates=H","DateFormat=P","Fill=—","Direction=H","UseDPDF=Y")</f>
        <v>4065</v>
      </c>
      <c r="M42" s="13">
        <f>_xll.BDH("GILD US Equity","ARD_CASH_CASH_EQUIV_END_OF_PER","FQ2 2021","FQ2 2021","Currency=USD","Period=FQ","BEST_FPERIOD_OVERRIDE=FQ","FILING_STATUS=MR","SCALING_FORMAT=MLN","Sort=A","Dates=H","DateFormat=P","Fill=—","Direction=H","UseDPDF=Y")</f>
        <v>4893</v>
      </c>
      <c r="N42" s="13">
        <f>_xll.BDH("GILD US Equity","ARD_CASH_CASH_EQUIV_END_OF_PER","FQ3 2021","FQ3 2021","Currency=USD","Period=FQ","BEST_FPERIOD_OVERRIDE=FQ","FILING_STATUS=MR","SCALING_FORMAT=MLN","Sort=A","Dates=H","DateFormat=P","Fill=—","Direction=H","UseDPDF=Y")</f>
        <v>4362</v>
      </c>
      <c r="O42" s="13">
        <f>_xll.BDH("GILD US Equity","ARD_CASH_CASH_EQUIV_END_OF_PER","FQ4 2021","FQ4 2021","Currency=USD","Period=FQ","BEST_FPERIOD_OVERRIDE=FQ","FILING_STATUS=MR","SCALING_FORMAT=MLN","Sort=A","Dates=H","DateFormat=P","Fill=—","Direction=H","UseDPDF=Y")</f>
        <v>5338</v>
      </c>
      <c r="P42" s="13">
        <f>_xll.BDH("GILD US Equity","ARD_CASH_CASH_EQUIV_END_OF_PER","FQ1 2022","FQ1 2022","Currency=USD","Period=FQ","BEST_FPERIOD_OVERRIDE=FQ","FILING_STATUS=MR","SCALING_FORMAT=MLN","Sort=A","Dates=H","DateFormat=P","Fill=—","Direction=H","UseDPDF=Y")</f>
        <v>4296</v>
      </c>
      <c r="Q42" s="13">
        <f>_xll.BDH("GILD US Equity","ARD_CASH_CASH_EQUIV_END_OF_PER","FQ2 2022","FQ2 2022","Currency=USD","Period=FQ","BEST_FPERIOD_OVERRIDE=FQ","FILING_STATUS=MR","SCALING_FORMAT=MLN","Sort=A","Dates=H","DateFormat=P","Fill=—","Direction=H","UseDPDF=Y")</f>
        <v>4739</v>
      </c>
      <c r="R42" s="13">
        <f>_xll.BDH("GILD US Equity","ARD_CASH_CASH_EQUIV_END_OF_PER","FQ3 2022","FQ3 2022","Currency=USD","Period=FQ","BEST_FPERIOD_OVERRIDE=FQ","FILING_STATUS=MR","SCALING_FORMAT=MLN","Sort=A","Dates=H","DateFormat=P","Fill=—","Direction=H","UseDPDF=Y")</f>
        <v>4699</v>
      </c>
      <c r="S42" s="13">
        <f>_xll.BDH("GILD US Equity","ARD_CASH_CASH_EQUIV_END_OF_PER","FQ4 2022","FQ4 2022","Currency=USD","Period=FQ","BEST_FPERIOD_OVERRIDE=FQ","FILING_STATUS=MR","SCALING_FORMAT=MLN","Sort=A","Dates=H","DateFormat=P","Fill=—","Direction=H","UseDPDF=Y")</f>
        <v>5412</v>
      </c>
      <c r="T42" s="13">
        <f>_xll.BDH("GILD US Equity","ARD_CASH_CASH_EQUIV_END_OF_PER","FQ1 2023","FQ1 2023","Currency=USD","Period=FQ","BEST_FPERIOD_OVERRIDE=FQ","FILING_STATUS=MR","SCALING_FORMAT=MLN","Sort=A","Dates=H","DateFormat=P","Fill=—","Direction=H","UseDPDF=Y")</f>
        <v>4936</v>
      </c>
      <c r="U42" s="13">
        <f>_xll.BDH("GILD US Equity","ARD_CASH_CASH_EQUIV_END_OF_PER","FQ2 2023","FQ2 2023","Currency=USD","Period=FQ","BEST_FPERIOD_OVERRIDE=FQ","FILING_STATUS=MR","SCALING_FORMAT=MLN","Sort=A","Dates=H","DateFormat=P","Fill=—","Direction=H","UseDPDF=Y")</f>
        <v>5704</v>
      </c>
      <c r="V42" s="13">
        <f>_xll.BDH("GILD US Equity","ARD_CASH_CASH_EQUIV_END_OF_PER","FQ3 2023","FQ3 2023","Currency=USD","Period=FQ","BEST_FPERIOD_OVERRIDE=FQ","FILING_STATUS=MR","SCALING_FORMAT=MLN","Sort=A","Dates=H","DateFormat=P","Fill=—","Direction=H","UseDPDF=Y")</f>
        <v>5705</v>
      </c>
      <c r="W42" s="13">
        <f>_xll.BDH("GILD US Equity","ARD_CASH_CASH_EQUIV_END_OF_PER","FQ4 2023","FQ4 2023","Currency=USD","Period=FQ","BEST_FPERIOD_OVERRIDE=FQ","FILING_STATUS=MR","SCALING_FORMAT=MLN","Sort=A","Dates=H","DateFormat=P","Fill=—","Direction=H","UseDPDF=Y")</f>
        <v>6085</v>
      </c>
      <c r="X42" s="13">
        <f>_xll.BDH("GILD US Equity","ARD_CASH_CASH_EQUIV_END_OF_PER","FQ1 2024","FQ1 2024","Currency=USD","Period=FQ","BEST_FPERIOD_OVERRIDE=FQ","FILING_STATUS=MR","SCALING_FORMAT=MLN","Sort=A","Dates=H","DateFormat=P","Fill=—","Direction=H","UseDPDF=Y")</f>
        <v>4718</v>
      </c>
      <c r="Y42" s="13">
        <f>_xll.BDH("GILD US Equity","ARD_CASH_CASH_EQUIV_END_OF_PER","FQ2 2024","FQ2 2024","Currency=USD","Period=FQ","BEST_FPERIOD_OVERRIDE=FQ","FILING_STATUS=MR","SCALING_FORMAT=MLN","Sort=A","Dates=H","DateFormat=P","Fill=—","Direction=H","UseDPDF=Y")</f>
        <v>2772</v>
      </c>
      <c r="Z42" s="13">
        <f>_xll.BDH("GILD US Equity","ARD_CASH_CASH_EQUIV_END_OF_PER","FQ3 2024","FQ3 2024","Currency=USD","Period=FQ","BEST_FPERIOD_OVERRIDE=FQ","FILING_STATUS=MR","SCALING_FORMAT=MLN","Sort=A","Dates=H","DateFormat=P","Fill=—","Direction=H","UseDPDF=Y")</f>
        <v>5037</v>
      </c>
      <c r="AA42" s="13">
        <f>_xll.BDH("GILD US Equity","ARD_CASH_CASH_EQUIV_END_OF_PER","FQ4 2024","FQ4 2024","Currency=USD","Period=FQ","BEST_FPERIOD_OVERRIDE=FQ","FILING_STATUS=MR","SCALING_FORMAT=MLN","Sort=A","Dates=H","DateFormat=P","Fill=—","Direction=H","UseDPDF=Y")</f>
        <v>9991</v>
      </c>
    </row>
    <row r="43" spans="1:27" x14ac:dyDescent="0.25">
      <c r="A43" s="10" t="s">
        <v>1472</v>
      </c>
      <c r="B43" s="10" t="s">
        <v>1473</v>
      </c>
      <c r="C43" s="13">
        <f>_xll.BDH("GILD US Equity","ARD_CASH_CASH_EQUIV_BEG_OF_PER","FQ4 2018","FQ4 2018","Currency=USD","Period=FQ","BEST_FPERIOD_OVERRIDE=FQ","FILING_STATUS=MR","SCALING_FORMAT=MLN","Sort=A","Dates=H","DateFormat=P","Fill=—","Direction=H","UseDPDF=Y")</f>
        <v>7588</v>
      </c>
      <c r="D43" s="13">
        <f>_xll.BDH("GILD US Equity","ARD_CASH_CASH_EQUIV_BEG_OF_PER","FQ1 2019","FQ1 2019","Currency=USD","Period=FQ","BEST_FPERIOD_OVERRIDE=FQ","FILING_STATUS=MR","SCALING_FORMAT=MLN","Sort=A","Dates=H","DateFormat=P","Fill=—","Direction=H","UseDPDF=Y")</f>
        <v>17940</v>
      </c>
      <c r="E43" s="13">
        <f>_xll.BDH("GILD US Equity","ARD_CASH_CASH_EQUIV_BEG_OF_PER","FQ2 2019","FQ2 2019","Currency=USD","Period=FQ","BEST_FPERIOD_OVERRIDE=FQ","FILING_STATUS=MR","SCALING_FORMAT=MLN","Sort=A","Dates=H","DateFormat=P","Fill=—","Direction=H","UseDPDF=Y")</f>
        <v>17940</v>
      </c>
      <c r="F43" s="13">
        <f>_xll.BDH("GILD US Equity","ARD_CASH_CASH_EQUIV_BEG_OF_PER","FQ3 2019","FQ3 2019","Currency=USD","Period=FQ","BEST_FPERIOD_OVERRIDE=FQ","FILING_STATUS=MR","SCALING_FORMAT=MLN","Sort=A","Dates=H","DateFormat=P","Fill=—","Direction=H","UseDPDF=Y")</f>
        <v>17940</v>
      </c>
      <c r="G43" s="13">
        <f>_xll.BDH("GILD US Equity","ARD_CASH_CASH_EQUIV_BEG_OF_PER","FQ4 2019","FQ4 2019","Currency=USD","Period=FQ","BEST_FPERIOD_OVERRIDE=FQ","FILING_STATUS=MR","SCALING_FORMAT=MLN","Sort=A","Dates=H","DateFormat=P","Fill=—","Direction=H","UseDPDF=Y")</f>
        <v>17940</v>
      </c>
      <c r="H43" s="13">
        <f>_xll.BDH("GILD US Equity","ARD_CASH_CASH_EQUIV_BEG_OF_PER","FQ1 2020","FQ1 2020","Currency=USD","Period=FQ","BEST_FPERIOD_OVERRIDE=FQ","FILING_STATUS=MR","SCALING_FORMAT=MLN","Sort=A","Dates=H","DateFormat=P","Fill=—","Direction=H","UseDPDF=Y")</f>
        <v>11631</v>
      </c>
      <c r="I43" s="13">
        <f>_xll.BDH("GILD US Equity","ARD_CASH_CASH_EQUIV_BEG_OF_PER","FQ2 2020","FQ2 2020","Currency=USD","Period=FQ","BEST_FPERIOD_OVERRIDE=FQ","FILING_STATUS=MR","SCALING_FORMAT=MLN","Sort=A","Dates=H","DateFormat=P","Fill=—","Direction=H","UseDPDF=Y")</f>
        <v>11631</v>
      </c>
      <c r="J43" s="13">
        <f>_xll.BDH("GILD US Equity","ARD_CASH_CASH_EQUIV_BEG_OF_PER","FQ3 2020","FQ3 2020","Currency=USD","Period=FQ","BEST_FPERIOD_OVERRIDE=FQ","FILING_STATUS=MR","SCALING_FORMAT=MLN","Sort=A","Dates=H","DateFormat=P","Fill=—","Direction=H","UseDPDF=Y")</f>
        <v>11631</v>
      </c>
      <c r="K43" s="13">
        <f>_xll.BDH("GILD US Equity","ARD_CASH_CASH_EQUIV_BEG_OF_PER","FQ4 2020","FQ4 2020","Currency=USD","Period=FQ","BEST_FPERIOD_OVERRIDE=FQ","FILING_STATUS=MR","SCALING_FORMAT=MLN","Sort=A","Dates=H","DateFormat=P","Fill=—","Direction=H","UseDPDF=Y")</f>
        <v>11631</v>
      </c>
      <c r="L43" s="13">
        <f>_xll.BDH("GILD US Equity","ARD_CASH_CASH_EQUIV_BEG_OF_PER","FQ1 2021","FQ1 2021","Currency=USD","Period=FQ","BEST_FPERIOD_OVERRIDE=FQ","FILING_STATUS=MR","SCALING_FORMAT=MLN","Sort=A","Dates=H","DateFormat=P","Fill=—","Direction=H","UseDPDF=Y")</f>
        <v>5997</v>
      </c>
      <c r="M43" s="13">
        <f>_xll.BDH("GILD US Equity","ARD_CASH_CASH_EQUIV_BEG_OF_PER","FQ2 2021","FQ2 2021","Currency=USD","Period=FQ","BEST_FPERIOD_OVERRIDE=FQ","FILING_STATUS=MR","SCALING_FORMAT=MLN","Sort=A","Dates=H","DateFormat=P","Fill=—","Direction=H","UseDPDF=Y")</f>
        <v>5997</v>
      </c>
      <c r="N43" s="13">
        <f>_xll.BDH("GILD US Equity","ARD_CASH_CASH_EQUIV_BEG_OF_PER","FQ3 2021","FQ3 2021","Currency=USD","Period=FQ","BEST_FPERIOD_OVERRIDE=FQ","FILING_STATUS=MR","SCALING_FORMAT=MLN","Sort=A","Dates=H","DateFormat=P","Fill=—","Direction=H","UseDPDF=Y")</f>
        <v>5997</v>
      </c>
      <c r="O43" s="13">
        <f>_xll.BDH("GILD US Equity","ARD_CASH_CASH_EQUIV_BEG_OF_PER","FQ4 2021","FQ4 2021","Currency=USD","Period=FQ","BEST_FPERIOD_OVERRIDE=FQ","FILING_STATUS=MR","SCALING_FORMAT=MLN","Sort=A","Dates=H","DateFormat=P","Fill=—","Direction=H","UseDPDF=Y")</f>
        <v>5997</v>
      </c>
      <c r="P43" s="13">
        <f>_xll.BDH("GILD US Equity","ARD_CASH_CASH_EQUIV_BEG_OF_PER","FQ1 2022","FQ1 2022","Currency=USD","Period=FQ","BEST_FPERIOD_OVERRIDE=FQ","FILING_STATUS=MR","SCALING_FORMAT=MLN","Sort=A","Dates=H","DateFormat=P","Fill=—","Direction=H","UseDPDF=Y")</f>
        <v>5338</v>
      </c>
      <c r="Q43" s="13">
        <f>_xll.BDH("GILD US Equity","ARD_CASH_CASH_EQUIV_BEG_OF_PER","FQ2 2022","FQ2 2022","Currency=USD","Period=FQ","BEST_FPERIOD_OVERRIDE=FQ","FILING_STATUS=MR","SCALING_FORMAT=MLN","Sort=A","Dates=H","DateFormat=P","Fill=—","Direction=H","UseDPDF=Y")</f>
        <v>5338</v>
      </c>
      <c r="R43" s="13">
        <f>_xll.BDH("GILD US Equity","ARD_CASH_CASH_EQUIV_BEG_OF_PER","FQ3 2022","FQ3 2022","Currency=USD","Period=FQ","BEST_FPERIOD_OVERRIDE=FQ","FILING_STATUS=MR","SCALING_FORMAT=MLN","Sort=A","Dates=H","DateFormat=P","Fill=—","Direction=H","UseDPDF=Y")</f>
        <v>5338</v>
      </c>
      <c r="S43" s="13">
        <f>_xll.BDH("GILD US Equity","ARD_CASH_CASH_EQUIV_BEG_OF_PER","FQ4 2022","FQ4 2022","Currency=USD","Period=FQ","BEST_FPERIOD_OVERRIDE=FQ","FILING_STATUS=MR","SCALING_FORMAT=MLN","Sort=A","Dates=H","DateFormat=P","Fill=—","Direction=H","UseDPDF=Y")</f>
        <v>5338</v>
      </c>
      <c r="T43" s="13">
        <f>_xll.BDH("GILD US Equity","ARD_CASH_CASH_EQUIV_BEG_OF_PER","FQ1 2023","FQ1 2023","Currency=USD","Period=FQ","BEST_FPERIOD_OVERRIDE=FQ","FILING_STATUS=MR","SCALING_FORMAT=MLN","Sort=A","Dates=H","DateFormat=P","Fill=—","Direction=H","UseDPDF=Y")</f>
        <v>5412</v>
      </c>
      <c r="U43" s="13">
        <f>_xll.BDH("GILD US Equity","ARD_CASH_CASH_EQUIV_BEG_OF_PER","FQ2 2023","FQ2 2023","Currency=USD","Period=FQ","BEST_FPERIOD_OVERRIDE=FQ","FILING_STATUS=MR","SCALING_FORMAT=MLN","Sort=A","Dates=H","DateFormat=P","Fill=—","Direction=H","UseDPDF=Y")</f>
        <v>5412</v>
      </c>
      <c r="V43" s="13">
        <f>_xll.BDH("GILD US Equity","ARD_CASH_CASH_EQUIV_BEG_OF_PER","FQ3 2023","FQ3 2023","Currency=USD","Period=FQ","BEST_FPERIOD_OVERRIDE=FQ","FILING_STATUS=MR","SCALING_FORMAT=MLN","Sort=A","Dates=H","DateFormat=P","Fill=—","Direction=H","UseDPDF=Y")</f>
        <v>5412</v>
      </c>
      <c r="W43" s="13">
        <f>_xll.BDH("GILD US Equity","ARD_CASH_CASH_EQUIV_BEG_OF_PER","FQ4 2023","FQ4 2023","Currency=USD","Period=FQ","BEST_FPERIOD_OVERRIDE=FQ","FILING_STATUS=MR","SCALING_FORMAT=MLN","Sort=A","Dates=H","DateFormat=P","Fill=—","Direction=H","UseDPDF=Y")</f>
        <v>5412</v>
      </c>
      <c r="X43" s="13">
        <f>_xll.BDH("GILD US Equity","ARD_CASH_CASH_EQUIV_BEG_OF_PER","FQ1 2024","FQ1 2024","Currency=USD","Period=FQ","BEST_FPERIOD_OVERRIDE=FQ","FILING_STATUS=MR","SCALING_FORMAT=MLN","Sort=A","Dates=H","DateFormat=P","Fill=—","Direction=H","UseDPDF=Y")</f>
        <v>6085</v>
      </c>
      <c r="Y43" s="13">
        <f>_xll.BDH("GILD US Equity","ARD_CASH_CASH_EQUIV_BEG_OF_PER","FQ2 2024","FQ2 2024","Currency=USD","Period=FQ","BEST_FPERIOD_OVERRIDE=FQ","FILING_STATUS=MR","SCALING_FORMAT=MLN","Sort=A","Dates=H","DateFormat=P","Fill=—","Direction=H","UseDPDF=Y")</f>
        <v>6085</v>
      </c>
      <c r="Z43" s="13">
        <f>_xll.BDH("GILD US Equity","ARD_CASH_CASH_EQUIV_BEG_OF_PER","FQ3 2024","FQ3 2024","Currency=USD","Period=FQ","BEST_FPERIOD_OVERRIDE=FQ","FILING_STATUS=MR","SCALING_FORMAT=MLN","Sort=A","Dates=H","DateFormat=P","Fill=—","Direction=H","UseDPDF=Y")</f>
        <v>6085</v>
      </c>
      <c r="AA43" s="13">
        <f>_xll.BDH("GILD US Equity","ARD_CASH_CASH_EQUIV_BEG_OF_PER","FQ4 2024","FQ4 2024","Currency=USD","Period=FQ","BEST_FPERIOD_OVERRIDE=FQ","FILING_STATUS=MR","SCALING_FORMAT=MLN","Sort=A","Dates=H","DateFormat=P","Fill=—","Direction=H","UseDPDF=Y")</f>
        <v>6085</v>
      </c>
    </row>
    <row r="44" spans="1:27" x14ac:dyDescent="0.25">
      <c r="A44" s="10" t="s">
        <v>1474</v>
      </c>
      <c r="B44" s="10" t="s">
        <v>1475</v>
      </c>
      <c r="C44" s="13">
        <f>_xll.BDH("GILD US Equity","ARD_DECREASE_IN_BORROWINGS","FQ4 2018","FQ4 2018","Currency=USD","Period=FQ","BEST_FPERIOD_OVERRIDE=FQ","FILING_STATUS=MR","SCALING_FORMAT=MLN","Sort=A","Dates=H","DateFormat=P","Fill=—","Direction=H","UseDPDF=Y")</f>
        <v>-6250</v>
      </c>
      <c r="D44" s="13">
        <f>_xll.BDH("GILD US Equity","ARD_DECREASE_IN_BORROWINGS","FQ1 2019","FQ1 2019","Currency=USD","Period=FQ","BEST_FPERIOD_OVERRIDE=FQ","FILING_STATUS=MR","SCALING_FORMAT=MLN","Sort=A","Dates=H","DateFormat=P","Fill=—","Direction=H","UseDPDF=Y")</f>
        <v>-750</v>
      </c>
      <c r="E44" s="13">
        <f>_xll.BDH("GILD US Equity","ARD_DECREASE_IN_BORROWINGS","FQ2 2019","FQ2 2019","Currency=USD","Period=FQ","BEST_FPERIOD_OVERRIDE=FQ","FILING_STATUS=MR","SCALING_FORMAT=MLN","Sort=A","Dates=H","DateFormat=P","Fill=—","Direction=H","UseDPDF=Y")</f>
        <v>-1250</v>
      </c>
      <c r="F44" s="13">
        <f>_xll.BDH("GILD US Equity","ARD_DECREASE_IN_BORROWINGS","FQ3 2019","FQ3 2019","Currency=USD","Period=FQ","BEST_FPERIOD_OVERRIDE=FQ","FILING_STATUS=MR","SCALING_FORMAT=MLN","Sort=A","Dates=H","DateFormat=P","Fill=—","Direction=H","UseDPDF=Y")</f>
        <v>-2750</v>
      </c>
      <c r="G44" s="13">
        <f>_xll.BDH("GILD US Equity","ARD_DECREASE_IN_BORROWINGS","FQ4 2019","FQ4 2019","Currency=USD","Period=FQ","BEST_FPERIOD_OVERRIDE=FQ","FILING_STATUS=MR","SCALING_FORMAT=MLN","Sort=A","Dates=H","DateFormat=P","Fill=—","Direction=H","UseDPDF=Y")</f>
        <v>-2750</v>
      </c>
      <c r="H44" s="13">
        <f>_xll.BDH("GILD US Equity","ARD_DECREASE_IN_BORROWINGS","FQ1 2020","FQ1 2020","Currency=USD","Period=FQ","BEST_FPERIOD_OVERRIDE=FQ","FILING_STATUS=MR","SCALING_FORMAT=MLN","Sort=A","Dates=H","DateFormat=P","Fill=—","Direction=H","UseDPDF=Y")</f>
        <v>-500</v>
      </c>
      <c r="I44" s="13">
        <f>_xll.BDH("GILD US Equity","ARD_DECREASE_IN_BORROWINGS","FQ2 2020","FQ2 2020","Currency=USD","Period=FQ","BEST_FPERIOD_OVERRIDE=FQ","FILING_STATUS=MR","SCALING_FORMAT=MLN","Sort=A","Dates=H","DateFormat=P","Fill=—","Direction=H","UseDPDF=Y")</f>
        <v>-500</v>
      </c>
      <c r="J44" s="13">
        <f>_xll.BDH("GILD US Equity","ARD_DECREASE_IN_BORROWINGS","FQ3 2020","FQ3 2020","Currency=USD","Period=FQ","BEST_FPERIOD_OVERRIDE=FQ","FILING_STATUS=MR","SCALING_FORMAT=MLN","Sort=A","Dates=H","DateFormat=P","Fill=—","Direction=H","UseDPDF=Y")</f>
        <v>-2500</v>
      </c>
      <c r="K44" s="13">
        <f>_xll.BDH("GILD US Equity","ARD_DECREASE_IN_BORROWINGS","FQ4 2020","FQ4 2020","Currency=USD","Period=FQ","BEST_FPERIOD_OVERRIDE=FQ","FILING_STATUS=MR","SCALING_FORMAT=MLN","Sort=A","Dates=H","DateFormat=P","Fill=—","Direction=H","UseDPDF=Y")</f>
        <v>-2500</v>
      </c>
      <c r="L44" s="13">
        <f>_xll.BDH("GILD US Equity","ARD_DECREASE_IN_BORROWINGS","FQ1 2021","FQ1 2021","Currency=USD","Period=FQ","BEST_FPERIOD_OVERRIDE=FQ","FILING_STATUS=MR","SCALING_FORMAT=MLN","Sort=A","Dates=H","DateFormat=P","Fill=—","Direction=H","UseDPDF=Y")</f>
        <v>-1250</v>
      </c>
      <c r="M44" s="13">
        <f>_xll.BDH("GILD US Equity","ARD_DECREASE_IN_BORROWINGS","FQ2 2021","FQ2 2021","Currency=USD","Period=FQ","BEST_FPERIOD_OVERRIDE=FQ","FILING_STATUS=MR","SCALING_FORMAT=MLN","Sort=A","Dates=H","DateFormat=P","Fill=—","Direction=H","UseDPDF=Y")</f>
        <v>-1250</v>
      </c>
      <c r="N44" s="13">
        <f>_xll.BDH("GILD US Equity","ARD_DECREASE_IN_BORROWINGS","FQ3 2021","FQ3 2021","Currency=USD","Period=FQ","BEST_FPERIOD_OVERRIDE=FQ","FILING_STATUS=MR","SCALING_FORMAT=MLN","Sort=A","Dates=H","DateFormat=P","Fill=—","Direction=H","UseDPDF=Y")</f>
        <v>-3750</v>
      </c>
      <c r="O44" s="13">
        <f>_xll.BDH("GILD US Equity","ARD_DECREASE_IN_BORROWINGS","FQ4 2021","FQ4 2021","Currency=USD","Period=FQ","BEST_FPERIOD_OVERRIDE=FQ","FILING_STATUS=MR","SCALING_FORMAT=MLN","Sort=A","Dates=H","DateFormat=P","Fill=—","Direction=H","UseDPDF=Y")</f>
        <v>-4750</v>
      </c>
      <c r="P44" s="13">
        <f>_xll.BDH("GILD US Equity","ARD_DECREASE_IN_BORROWINGS","FQ1 2022","FQ1 2022","Currency=USD","Period=FQ","BEST_FPERIOD_OVERRIDE=FQ","FILING_STATUS=MR","SCALING_FORMAT=MLN","Sort=A","Dates=H","DateFormat=P","Fill=—","Direction=H","UseDPDF=Y")</f>
        <v>-500</v>
      </c>
      <c r="Q44" s="13">
        <f>_xll.BDH("GILD US Equity","ARD_DECREASE_IN_BORROWINGS","FQ2 2022","FQ2 2022","Currency=USD","Period=FQ","BEST_FPERIOD_OVERRIDE=FQ","FILING_STATUS=MR","SCALING_FORMAT=MLN","Sort=A","Dates=H","DateFormat=P","Fill=—","Direction=H","UseDPDF=Y")</f>
        <v>-500</v>
      </c>
      <c r="R44" s="13">
        <f>_xll.BDH("GILD US Equity","ARD_DECREASE_IN_BORROWINGS","FQ3 2022","FQ3 2022","Currency=USD","Period=FQ","BEST_FPERIOD_OVERRIDE=FQ","FILING_STATUS=MR","SCALING_FORMAT=MLN","Sort=A","Dates=H","DateFormat=P","Fill=—","Direction=H","UseDPDF=Y")</f>
        <v>-1500</v>
      </c>
      <c r="S44" s="13">
        <f>_xll.BDH("GILD US Equity","ARD_DECREASE_IN_BORROWINGS","FQ4 2022","FQ4 2022","Currency=USD","Period=FQ","BEST_FPERIOD_OVERRIDE=FQ","FILING_STATUS=MR","SCALING_FORMAT=MLN","Sort=A","Dates=H","DateFormat=P","Fill=—","Direction=H","UseDPDF=Y")</f>
        <v>-1500</v>
      </c>
      <c r="T44" s="13">
        <f>_xll.BDH("GILD US Equity","ARD_DECREASE_IN_BORROWINGS","FQ1 2023","FQ1 2023","Currency=USD","Period=FQ","BEST_FPERIOD_OVERRIDE=FQ","FILING_STATUS=MR","SCALING_FORMAT=MLN","Sort=A","Dates=H","DateFormat=P","Fill=—","Direction=H","UseDPDF=Y")</f>
        <v>0</v>
      </c>
      <c r="U44" s="13">
        <f>_xll.BDH("GILD US Equity","ARD_DECREASE_IN_BORROWINGS","FQ2 2023","FQ2 2023","Currency=USD","Period=FQ","BEST_FPERIOD_OVERRIDE=FQ","FILING_STATUS=MR","SCALING_FORMAT=MLN","Sort=A","Dates=H","DateFormat=P","Fill=—","Direction=H","UseDPDF=Y")</f>
        <v>0</v>
      </c>
      <c r="V44" s="13">
        <f>_xll.BDH("GILD US Equity","ARD_DECREASE_IN_BORROWINGS","FQ3 2023","FQ3 2023","Currency=USD","Period=FQ","BEST_FPERIOD_OVERRIDE=FQ","FILING_STATUS=MR","SCALING_FORMAT=MLN","Sort=A","Dates=H","DateFormat=P","Fill=—","Direction=H","UseDPDF=Y")</f>
        <v>-2250</v>
      </c>
      <c r="W44" s="13">
        <f>_xll.BDH("GILD US Equity","ARD_DECREASE_IN_BORROWINGS","FQ4 2023","FQ4 2023","Currency=USD","Period=FQ","BEST_FPERIOD_OVERRIDE=FQ","FILING_STATUS=MR","SCALING_FORMAT=MLN","Sort=A","Dates=H","DateFormat=P","Fill=—","Direction=H","UseDPDF=Y")</f>
        <v>-2250</v>
      </c>
      <c r="X44" s="13" t="str">
        <f>_xll.BDH("GILD US Equity","ARD_DECREASE_IN_BORROWINGS","FQ1 2024","FQ1 2024","Currency=USD","Period=FQ","BEST_FPERIOD_OVERRIDE=FQ","FILING_STATUS=MR","SCALING_FORMAT=MLN","Sort=A","Dates=H","DateFormat=P","Fill=—","Direction=H","UseDPDF=Y")</f>
        <v>—</v>
      </c>
      <c r="Y44" s="13">
        <f>_xll.BDH("GILD US Equity","ARD_DECREASE_IN_BORROWINGS","FQ2 2024","FQ2 2024","Currency=USD","Period=FQ","BEST_FPERIOD_OVERRIDE=FQ","FILING_STATUS=MR","SCALING_FORMAT=MLN","Sort=A","Dates=H","DateFormat=P","Fill=—","Direction=H","UseDPDF=Y")</f>
        <v>-1851</v>
      </c>
      <c r="Z44" s="13">
        <f>_xll.BDH("GILD US Equity","ARD_DECREASE_IN_BORROWINGS","FQ3 2024","FQ3 2024","Currency=USD","Period=FQ","BEST_FPERIOD_OVERRIDE=FQ","FILING_STATUS=MR","SCALING_FORMAT=MLN","Sort=A","Dates=H","DateFormat=P","Fill=—","Direction=H","UseDPDF=Y")</f>
        <v>-1963</v>
      </c>
      <c r="AA44" s="13">
        <f>_xll.BDH("GILD US Equity","ARD_DECREASE_IN_BORROWINGS","FQ4 2024","FQ4 2024","Currency=USD","Period=FQ","BEST_FPERIOD_OVERRIDE=FQ","FILING_STATUS=MR","SCALING_FORMAT=MLN","Sort=A","Dates=H","DateFormat=P","Fill=—","Direction=H","UseDPDF=Y")</f>
        <v>-1970</v>
      </c>
    </row>
    <row r="45" spans="1:27" x14ac:dyDescent="0.25">
      <c r="A45" s="10" t="s">
        <v>1476</v>
      </c>
      <c r="B45" s="10" t="s">
        <v>1477</v>
      </c>
      <c r="C45" s="13" t="str">
        <f>_xll.BDH("GILD US Equity","ARD_INCREASE_IN_BORROWINGS","FQ4 2018","FQ4 2018","Currency=USD","Period=FQ","BEST_FPERIOD_OVERRIDE=FQ","FILING_STATUS=MR","SCALING_FORMAT=MLN","Sort=A","Dates=H","DateFormat=P","Fill=—","Direction=H","UseDPDF=Y")</f>
        <v>—</v>
      </c>
      <c r="D45" s="13" t="str">
        <f>_xll.BDH("GILD US Equity","ARD_INCREASE_IN_BORROWINGS","FQ1 2019","FQ1 2019","Currency=USD","Period=FQ","BEST_FPERIOD_OVERRIDE=FQ","FILING_STATUS=MR","SCALING_FORMAT=MLN","Sort=A","Dates=H","DateFormat=P","Fill=—","Direction=H","UseDPDF=Y")</f>
        <v>—</v>
      </c>
      <c r="E45" s="13" t="str">
        <f>_xll.BDH("GILD US Equity","ARD_INCREASE_IN_BORROWINGS","FQ2 2019","FQ2 2019","Currency=USD","Period=FQ","BEST_FPERIOD_OVERRIDE=FQ","FILING_STATUS=MR","SCALING_FORMAT=MLN","Sort=A","Dates=H","DateFormat=P","Fill=—","Direction=H","UseDPDF=Y")</f>
        <v>—</v>
      </c>
      <c r="F45" s="13" t="str">
        <f>_xll.BDH("GILD US Equity","ARD_INCREASE_IN_BORROWINGS","FQ3 2019","FQ3 2019","Currency=USD","Period=FQ","BEST_FPERIOD_OVERRIDE=FQ","FILING_STATUS=MR","SCALING_FORMAT=MLN","Sort=A","Dates=H","DateFormat=P","Fill=—","Direction=H","UseDPDF=Y")</f>
        <v>—</v>
      </c>
      <c r="G45" s="13">
        <f>_xll.BDH("GILD US Equity","ARD_INCREASE_IN_BORROWINGS","FQ4 2019","FQ4 2019","Currency=USD","Period=FQ","BEST_FPERIOD_OVERRIDE=FQ","FILING_STATUS=MR","SCALING_FORMAT=MLN","Sort=A","Dates=H","DateFormat=P","Fill=—","Direction=H","UseDPDF=Y")</f>
        <v>0</v>
      </c>
      <c r="H45" s="13" t="str">
        <f>_xll.BDH("GILD US Equity","ARD_INCREASE_IN_BORROWINGS","FQ1 2020","FQ1 2020","Currency=USD","Period=FQ","BEST_FPERIOD_OVERRIDE=FQ","FILING_STATUS=MR","SCALING_FORMAT=MLN","Sort=A","Dates=H","DateFormat=P","Fill=—","Direction=H","UseDPDF=Y")</f>
        <v>—</v>
      </c>
      <c r="I45" s="13" t="str">
        <f>_xll.BDH("GILD US Equity","ARD_INCREASE_IN_BORROWINGS","FQ2 2020","FQ2 2020","Currency=USD","Period=FQ","BEST_FPERIOD_OVERRIDE=FQ","FILING_STATUS=MR","SCALING_FORMAT=MLN","Sort=A","Dates=H","DateFormat=P","Fill=—","Direction=H","UseDPDF=Y")</f>
        <v>—</v>
      </c>
      <c r="J45" s="13">
        <f>_xll.BDH("GILD US Equity","ARD_INCREASE_IN_BORROWINGS","FQ3 2020","FQ3 2020","Currency=USD","Period=FQ","BEST_FPERIOD_OVERRIDE=FQ","FILING_STATUS=MR","SCALING_FORMAT=MLN","Sort=A","Dates=H","DateFormat=P","Fill=—","Direction=H","UseDPDF=Y")</f>
        <v>7189</v>
      </c>
      <c r="K45" s="13">
        <f>_xll.BDH("GILD US Equity","ARD_INCREASE_IN_BORROWINGS","FQ4 2020","FQ4 2020","Currency=USD","Period=FQ","BEST_FPERIOD_OVERRIDE=FQ","FILING_STATUS=MR","SCALING_FORMAT=MLN","Sort=A","Dates=H","DateFormat=P","Fill=—","Direction=H","UseDPDF=Y")</f>
        <v>8184</v>
      </c>
      <c r="L45" s="13" t="str">
        <f>_xll.BDH("GILD US Equity","ARD_INCREASE_IN_BORROWINGS","FQ1 2021","FQ1 2021","Currency=USD","Period=FQ","BEST_FPERIOD_OVERRIDE=FQ","FILING_STATUS=MR","SCALING_FORMAT=MLN","Sort=A","Dates=H","DateFormat=P","Fill=—","Direction=H","UseDPDF=Y")</f>
        <v>—</v>
      </c>
      <c r="M45" s="13" t="str">
        <f>_xll.BDH("GILD US Equity","ARD_INCREASE_IN_BORROWINGS","FQ2 2021","FQ2 2021","Currency=USD","Period=FQ","BEST_FPERIOD_OVERRIDE=FQ","FILING_STATUS=MR","SCALING_FORMAT=MLN","Sort=A","Dates=H","DateFormat=P","Fill=—","Direction=H","UseDPDF=Y")</f>
        <v>—</v>
      </c>
      <c r="N45" s="13" t="str">
        <f>_xll.BDH("GILD US Equity","ARD_INCREASE_IN_BORROWINGS","FQ3 2021","FQ3 2021","Currency=USD","Period=FQ","BEST_FPERIOD_OVERRIDE=FQ","FILING_STATUS=MR","SCALING_FORMAT=MLN","Sort=A","Dates=H","DateFormat=P","Fill=—","Direction=H","UseDPDF=Y")</f>
        <v>—</v>
      </c>
      <c r="O45" s="13">
        <f>_xll.BDH("GILD US Equity","ARD_INCREASE_IN_BORROWINGS","FQ4 2021","FQ4 2021","Currency=USD","Period=FQ","BEST_FPERIOD_OVERRIDE=FQ","FILING_STATUS=MR","SCALING_FORMAT=MLN","Sort=A","Dates=H","DateFormat=P","Fill=—","Direction=H","UseDPDF=Y")</f>
        <v>0</v>
      </c>
      <c r="P45" s="13" t="str">
        <f>_xll.BDH("GILD US Equity","ARD_INCREASE_IN_BORROWINGS","FQ1 2022","FQ1 2022","Currency=USD","Period=FQ","BEST_FPERIOD_OVERRIDE=FQ","FILING_STATUS=MR","SCALING_FORMAT=MLN","Sort=A","Dates=H","DateFormat=P","Fill=—","Direction=H","UseDPDF=Y")</f>
        <v>—</v>
      </c>
      <c r="Q45" s="13" t="str">
        <f>_xll.BDH("GILD US Equity","ARD_INCREASE_IN_BORROWINGS","FQ2 2022","FQ2 2022","Currency=USD","Period=FQ","BEST_FPERIOD_OVERRIDE=FQ","FILING_STATUS=MR","SCALING_FORMAT=MLN","Sort=A","Dates=H","DateFormat=P","Fill=—","Direction=H","UseDPDF=Y")</f>
        <v>—</v>
      </c>
      <c r="R45" s="13" t="str">
        <f>_xll.BDH("GILD US Equity","ARD_INCREASE_IN_BORROWINGS","FQ3 2022","FQ3 2022","Currency=USD","Period=FQ","BEST_FPERIOD_OVERRIDE=FQ","FILING_STATUS=MR","SCALING_FORMAT=MLN","Sort=A","Dates=H","DateFormat=P","Fill=—","Direction=H","UseDPDF=Y")</f>
        <v>—</v>
      </c>
      <c r="S45" s="13">
        <f>_xll.BDH("GILD US Equity","ARD_INCREASE_IN_BORROWINGS","FQ4 2022","FQ4 2022","Currency=USD","Period=FQ","BEST_FPERIOD_OVERRIDE=FQ","FILING_STATUS=MR","SCALING_FORMAT=MLN","Sort=A","Dates=H","DateFormat=P","Fill=—","Direction=H","UseDPDF=Y")</f>
        <v>0</v>
      </c>
      <c r="T45" s="13" t="str">
        <f>_xll.BDH("GILD US Equity","ARD_INCREASE_IN_BORROWINGS","FQ1 2023","FQ1 2023","Currency=USD","Period=FQ","BEST_FPERIOD_OVERRIDE=FQ","FILING_STATUS=MR","SCALING_FORMAT=MLN","Sort=A","Dates=H","DateFormat=P","Fill=—","Direction=H","UseDPDF=Y")</f>
        <v>—</v>
      </c>
      <c r="U45" s="13" t="str">
        <f>_xll.BDH("GILD US Equity","ARD_INCREASE_IN_BORROWINGS","FQ2 2023","FQ2 2023","Currency=USD","Period=FQ","BEST_FPERIOD_OVERRIDE=FQ","FILING_STATUS=MR","SCALING_FORMAT=MLN","Sort=A","Dates=H","DateFormat=P","Fill=—","Direction=H","UseDPDF=Y")</f>
        <v>—</v>
      </c>
      <c r="V45" s="13">
        <f>_xll.BDH("GILD US Equity","ARD_INCREASE_IN_BORROWINGS","FQ3 2023","FQ3 2023","Currency=USD","Period=FQ","BEST_FPERIOD_OVERRIDE=FQ","FILING_STATUS=MR","SCALING_FORMAT=MLN","Sort=A","Dates=H","DateFormat=P","Fill=—","Direction=H","UseDPDF=Y")</f>
        <v>1979</v>
      </c>
      <c r="W45" s="13">
        <f>_xll.BDH("GILD US Equity","ARD_INCREASE_IN_BORROWINGS","FQ4 2023","FQ4 2023","Currency=USD","Period=FQ","BEST_FPERIOD_OVERRIDE=FQ","FILING_STATUS=MR","SCALING_FORMAT=MLN","Sort=A","Dates=H","DateFormat=P","Fill=—","Direction=H","UseDPDF=Y")</f>
        <v>1980</v>
      </c>
      <c r="X45" s="13" t="str">
        <f>_xll.BDH("GILD US Equity","ARD_INCREASE_IN_BORROWINGS","FQ1 2024","FQ1 2024","Currency=USD","Period=FQ","BEST_FPERIOD_OVERRIDE=FQ","FILING_STATUS=MR","SCALING_FORMAT=MLN","Sort=A","Dates=H","DateFormat=P","Fill=—","Direction=H","UseDPDF=Y")</f>
        <v>—</v>
      </c>
      <c r="Y45" s="13" t="str">
        <f>_xll.BDH("GILD US Equity","ARD_INCREASE_IN_BORROWINGS","FQ2 2024","FQ2 2024","Currency=USD","Period=FQ","BEST_FPERIOD_OVERRIDE=FQ","FILING_STATUS=MR","SCALING_FORMAT=MLN","Sort=A","Dates=H","DateFormat=P","Fill=—","Direction=H","UseDPDF=Y")</f>
        <v>—</v>
      </c>
      <c r="Z45" s="13">
        <f>_xll.BDH("GILD US Equity","ARD_INCREASE_IN_BORROWINGS","FQ3 2024","FQ3 2024","Currency=USD","Period=FQ","BEST_FPERIOD_OVERRIDE=FQ","FILING_STATUS=MR","SCALING_FORMAT=MLN","Sort=A","Dates=H","DateFormat=P","Fill=—","Direction=H","UseDPDF=Y")</f>
        <v>0</v>
      </c>
      <c r="AA45" s="13">
        <f>_xll.BDH("GILD US Equity","ARD_INCREASE_IN_BORROWINGS","FQ4 2024","FQ4 2024","Currency=USD","Period=FQ","BEST_FPERIOD_OVERRIDE=FQ","FILING_STATUS=MR","SCALING_FORMAT=MLN","Sort=A","Dates=H","DateFormat=P","Fill=—","Direction=H","UseDPDF=Y")</f>
        <v>3464</v>
      </c>
    </row>
    <row r="46" spans="1:27" x14ac:dyDescent="0.25">
      <c r="A46" s="6" t="s">
        <v>1478</v>
      </c>
      <c r="B46" s="6" t="s">
        <v>1479</v>
      </c>
      <c r="C46" s="19">
        <f>_xll.BDH("GILD US Equity","ARD_TOT_CASHFLOWS_FROM_FINANCING","FQ4 2018","FQ4 2018","Currency=USD","Period=FQ","BEST_FPERIOD_OVERRIDE=FQ","FILING_STATUS=MR","SCALING_FORMAT=MLN","Sort=A","Dates=H","DateFormat=P","Fill=—","Direction=H","UseDPDF=Y")</f>
        <v>12318</v>
      </c>
      <c r="D46" s="19">
        <f>_xll.BDH("GILD US Equity","ARD_TOT_CASHFLOWS_FROM_FINANCING","FQ1 2019","FQ1 2019","Currency=USD","Period=FQ","BEST_FPERIOD_OVERRIDE=FQ","FILING_STATUS=MR","SCALING_FORMAT=MLN","Sort=A","Dates=H","DateFormat=P","Fill=—","Direction=H","UseDPDF=Y")</f>
        <v>-2366</v>
      </c>
      <c r="E46" s="19">
        <f>_xll.BDH("GILD US Equity","ARD_TOT_CASHFLOWS_FROM_FINANCING","FQ2 2019","FQ2 2019","Currency=USD","Period=FQ","BEST_FPERIOD_OVERRIDE=FQ","FILING_STATUS=MR","SCALING_FORMAT=MLN","Sort=A","Dates=H","DateFormat=P","Fill=—","Direction=H","UseDPDF=Y")</f>
        <v>-4223</v>
      </c>
      <c r="F46" s="19">
        <f>_xll.BDH("GILD US Equity","ARD_TOT_CASHFLOWS_FROM_FINANCING","FQ3 2019","FQ3 2019","Currency=USD","Period=FQ","BEST_FPERIOD_OVERRIDE=FQ","FILING_STATUS=MR","SCALING_FORMAT=MLN","Sort=A","Dates=H","DateFormat=P","Fill=—","Direction=H","UseDPDF=Y")</f>
        <v>-6738</v>
      </c>
      <c r="G46" s="19">
        <f>_xll.BDH("GILD US Equity","ARD_TOT_CASHFLOWS_FROM_FINANCING","FQ4 2019","FQ4 2019","Currency=USD","Period=FQ","BEST_FPERIOD_OVERRIDE=FQ","FILING_STATUS=MR","SCALING_FORMAT=MLN","Sort=A","Dates=H","DateFormat=P","Fill=—","Direction=H","UseDPDF=Y")</f>
        <v>-7634</v>
      </c>
      <c r="H46" s="19">
        <f>_xll.BDH("GILD US Equity","ARD_TOT_CASHFLOWS_FROM_FINANCING","FQ1 2020","FQ1 2020","Currency=USD","Period=FQ","BEST_FPERIOD_OVERRIDE=FQ","FILING_STATUS=MR","SCALING_FORMAT=MLN","Sort=A","Dates=H","DateFormat=P","Fill=—","Direction=H","UseDPDF=Y")</f>
        <v>-2611</v>
      </c>
      <c r="I46" s="19">
        <f>_xll.BDH("GILD US Equity","ARD_TOT_CASHFLOWS_FROM_FINANCING","FQ2 2020","FQ2 2020","Currency=USD","Period=FQ","BEST_FPERIOD_OVERRIDE=FQ","FILING_STATUS=MR","SCALING_FORMAT=MLN","Sort=A","Dates=H","DateFormat=P","Fill=—","Direction=H","UseDPDF=Y")</f>
        <v>-3485</v>
      </c>
      <c r="J46" s="19">
        <f>_xll.BDH("GILD US Equity","ARD_TOT_CASHFLOWS_FROM_FINANCING","FQ3 2020","FQ3 2020","Currency=USD","Period=FQ","BEST_FPERIOD_OVERRIDE=FQ","FILING_STATUS=MR","SCALING_FORMAT=MLN","Sort=A","Dates=H","DateFormat=P","Fill=—","Direction=H","UseDPDF=Y")</f>
        <v>639</v>
      </c>
      <c r="K46" s="19">
        <f>_xll.BDH("GILD US Equity","ARD_TOT_CASHFLOWS_FROM_FINANCING","FQ4 2020","FQ4 2020","Currency=USD","Period=FQ","BEST_FPERIOD_OVERRIDE=FQ","FILING_STATUS=MR","SCALING_FORMAT=MLN","Sort=A","Dates=H","DateFormat=P","Fill=—","Direction=H","UseDPDF=Y")</f>
        <v>770</v>
      </c>
      <c r="L46" s="19">
        <f>_xll.BDH("GILD US Equity","ARD_TOT_CASHFLOWS_FROM_FINANCING","FQ1 2021","FQ1 2021","Currency=USD","Period=FQ","BEST_FPERIOD_OVERRIDE=FQ","FILING_STATUS=MR","SCALING_FORMAT=MLN","Sort=A","Dates=H","DateFormat=P","Fill=—","Direction=H","UseDPDF=Y")</f>
        <v>-2477</v>
      </c>
      <c r="M46" s="19">
        <f>_xll.BDH("GILD US Equity","ARD_TOT_CASHFLOWS_FROM_FINANCING","FQ2 2021","FQ2 2021","Currency=USD","Period=FQ","BEST_FPERIOD_OVERRIDE=FQ","FILING_STATUS=MR","SCALING_FORMAT=MLN","Sort=A","Dates=H","DateFormat=P","Fill=—","Direction=H","UseDPDF=Y")</f>
        <v>-3408</v>
      </c>
      <c r="N46" s="19">
        <f>_xll.BDH("GILD US Equity","ARD_TOT_CASHFLOWS_FROM_FINANCING","FQ3 2021","FQ3 2021","Currency=USD","Period=FQ","BEST_FPERIOD_OVERRIDE=FQ","FILING_STATUS=MR","SCALING_FORMAT=MLN","Sort=A","Dates=H","DateFormat=P","Fill=—","Direction=H","UseDPDF=Y")</f>
        <v>-6935</v>
      </c>
      <c r="O46" s="19">
        <f>_xll.BDH("GILD US Equity","ARD_TOT_CASHFLOWS_FROM_FINANCING","FQ4 2021","FQ4 2021","Currency=USD","Period=FQ","BEST_FPERIOD_OVERRIDE=FQ","FILING_STATUS=MR","SCALING_FORMAT=MLN","Sort=A","Dates=H","DateFormat=P","Fill=—","Direction=H","UseDPDF=Y")</f>
        <v>-8877</v>
      </c>
      <c r="P46" s="19">
        <f>_xll.BDH("GILD US Equity","ARD_TOT_CASHFLOWS_FROM_FINANCING","FQ1 2022","FQ1 2022","Currency=USD","Period=FQ","BEST_FPERIOD_OVERRIDE=FQ","FILING_STATUS=MR","SCALING_FORMAT=MLN","Sort=A","Dates=H","DateFormat=P","Fill=—","Direction=H","UseDPDF=Y")</f>
        <v>-1794</v>
      </c>
      <c r="Q46" s="19">
        <f>_xll.BDH("GILD US Equity","ARD_TOT_CASHFLOWS_FROM_FINANCING","FQ2 2022","FQ2 2022","Currency=USD","Period=FQ","BEST_FPERIOD_OVERRIDE=FQ","FILING_STATUS=MR","SCALING_FORMAT=MLN","Sort=A","Dates=H","DateFormat=P","Fill=—","Direction=H","UseDPDF=Y")</f>
        <v>-2797</v>
      </c>
      <c r="R46" s="19">
        <f>_xll.BDH("GILD US Equity","ARD_TOT_CASHFLOWS_FROM_FINANCING","FQ3 2022","FQ3 2022","Currency=USD","Period=FQ","BEST_FPERIOD_OVERRIDE=FQ","FILING_STATUS=MR","SCALING_FORMAT=MLN","Sort=A","Dates=H","DateFormat=P","Fill=—","Direction=H","UseDPDF=Y")</f>
        <v>-4915</v>
      </c>
      <c r="S46" s="19">
        <f>_xll.BDH("GILD US Equity","ARD_TOT_CASHFLOWS_FROM_FINANCING","FQ4 2022","FQ4 2022","Currency=USD","Period=FQ","BEST_FPERIOD_OVERRIDE=FQ","FILING_STATUS=MR","SCALING_FORMAT=MLN","Sort=A","Dates=H","DateFormat=P","Fill=—","Direction=H","UseDPDF=Y")</f>
        <v>-6469</v>
      </c>
      <c r="T46" s="19">
        <f>_xll.BDH("GILD US Equity","ARD_TOT_CASHFLOWS_FROM_FINANCING","FQ1 2023","FQ1 2023","Currency=USD","Period=FQ","BEST_FPERIOD_OVERRIDE=FQ","FILING_STATUS=MR","SCALING_FORMAT=MLN","Sort=A","Dates=H","DateFormat=P","Fill=—","Direction=H","UseDPDF=Y")</f>
        <v>-1406</v>
      </c>
      <c r="U46" s="19">
        <f>_xll.BDH("GILD US Equity","ARD_TOT_CASHFLOWS_FROM_FINANCING","FQ2 2023","FQ2 2023","Currency=USD","Period=FQ","BEST_FPERIOD_OVERRIDE=FQ","FILING_STATUS=MR","SCALING_FORMAT=MLN","Sort=A","Dates=H","DateFormat=P","Fill=—","Direction=H","UseDPDF=Y")</f>
        <v>-2507</v>
      </c>
      <c r="V46" s="19">
        <f>_xll.BDH("GILD US Equity","ARD_TOT_CASHFLOWS_FROM_FINANCING","FQ3 2023","FQ3 2023","Currency=USD","Period=FQ","BEST_FPERIOD_OVERRIDE=FQ","FILING_STATUS=MR","SCALING_FORMAT=MLN","Sort=A","Dates=H","DateFormat=P","Fill=—","Direction=H","UseDPDF=Y")</f>
        <v>-4026</v>
      </c>
      <c r="W46" s="19">
        <f>_xll.BDH("GILD US Equity","ARD_TOT_CASHFLOWS_FROM_FINANCING","FQ4 2023","FQ4 2023","Currency=USD","Period=FQ","BEST_FPERIOD_OVERRIDE=FQ","FILING_STATUS=MR","SCALING_FORMAT=MLN","Sort=A","Dates=H","DateFormat=P","Fill=—","Direction=H","UseDPDF=Y")</f>
        <v>-5125</v>
      </c>
      <c r="X46" s="19">
        <f>_xll.BDH("GILD US Equity","ARD_TOT_CASHFLOWS_FROM_FINANCING","FQ1 2024","FQ1 2024","Currency=USD","Period=FQ","BEST_FPERIOD_OVERRIDE=FQ","FILING_STATUS=MR","SCALING_FORMAT=MLN","Sort=A","Dates=H","DateFormat=P","Fill=—","Direction=H","UseDPDF=Y")</f>
        <v>-1361</v>
      </c>
      <c r="Y46" s="19">
        <f>_xll.BDH("GILD US Equity","ARD_TOT_CASHFLOWS_FROM_FINANCING","FQ2 2024","FQ2 2024","Currency=USD","Period=FQ","BEST_FPERIOD_OVERRIDE=FQ","FILING_STATUS=MR","SCALING_FORMAT=MLN","Sort=A","Dates=H","DateFormat=P","Fill=—","Direction=H","UseDPDF=Y")</f>
        <v>-4314</v>
      </c>
      <c r="Z46" s="19">
        <f>_xll.BDH("GILD US Equity","ARD_TOT_CASHFLOWS_FROM_FINANCING","FQ3 2024","FQ3 2024","Currency=USD","Period=FQ","BEST_FPERIOD_OVERRIDE=FQ","FILING_STATUS=MR","SCALING_FORMAT=MLN","Sort=A","Dates=H","DateFormat=P","Fill=—","Direction=H","UseDPDF=Y")</f>
        <v>-5693</v>
      </c>
      <c r="AA46" s="19">
        <f>_xll.BDH("GILD US Equity","ARD_TOT_CASHFLOWS_FROM_FINANCING","FQ4 2024","FQ4 2024","Currency=USD","Period=FQ","BEST_FPERIOD_OVERRIDE=FQ","FILING_STATUS=MR","SCALING_FORMAT=MLN","Sort=A","Dates=H","DateFormat=P","Fill=—","Direction=H","UseDPDF=Y")</f>
        <v>-3433</v>
      </c>
    </row>
    <row r="47" spans="1:27" x14ac:dyDescent="0.25">
      <c r="A47" s="10" t="s">
        <v>475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5">
      <c r="A48" s="7" t="s">
        <v>90</v>
      </c>
      <c r="B48" s="7"/>
      <c r="C48" s="7" t="s">
        <v>5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26"/>
  <sheetViews>
    <sheetView workbookViewId="0">
      <selection activeCell="L21" sqref="L21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1480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1481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1482</v>
      </c>
      <c r="B7" s="10" t="s">
        <v>1483</v>
      </c>
      <c r="C7" s="14">
        <f>_xll.BDH("GILD US Equity","RETURN_COM_EQY","FQ4 2018","FQ4 2018","Currency=USD","Period=FQ","BEST_FPERIOD_OVERRIDE=FQ","FILING_STATUS=MR","FA_ADJUSTED=GAAP","Sort=A","Dates=H","DateFormat=P","Fill=—","Direction=H","UseDPDF=Y")</f>
        <v>26.0824</v>
      </c>
      <c r="D7" s="14">
        <f>_xll.BDH("GILD US Equity","RETURN_COM_EQY","FQ1 2019","FQ1 2019","Currency=USD","Period=FQ","BEST_FPERIOD_OVERRIDE=FQ","FILING_STATUS=MR","FA_ADJUSTED=GAAP","Sort=A","Dates=H","DateFormat=P","Fill=—","Direction=H","UseDPDF=Y")</f>
        <v>27.6997</v>
      </c>
      <c r="E7" s="14">
        <f>_xll.BDH("GILD US Equity","RETURN_COM_EQY","FQ2 2019","FQ2 2019","Currency=USD","Period=FQ","BEST_FPERIOD_OVERRIDE=FQ","FILING_STATUS=MR","FA_ADJUSTED=GAAP","Sort=A","Dates=H","DateFormat=P","Fill=—","Direction=H","UseDPDF=Y")</f>
        <v>26.892199999999999</v>
      </c>
      <c r="F7" s="14">
        <f>_xll.BDH("GILD US Equity","RETURN_COM_EQY","FQ3 2019","FQ3 2019","Currency=USD","Period=FQ","BEST_FPERIOD_OVERRIDE=FQ","FILING_STATUS=MR","FA_ADJUSTED=GAAP","Sort=A","Dates=H","DateFormat=P","Fill=—","Direction=H","UseDPDF=Y")</f>
        <v>12.3916</v>
      </c>
      <c r="G7" s="14">
        <f>_xll.BDH("GILD US Equity","RETURN_COM_EQY","FQ4 2019","FQ4 2019","Currency=USD","Period=FQ","BEST_FPERIOD_OVERRIDE=FQ","FILING_STATUS=MR","FA_ADJUSTED=GAAP","Sort=A","Dates=H","DateFormat=P","Fill=—","Direction=H","UseDPDF=Y")</f>
        <v>24.530899999999999</v>
      </c>
      <c r="H7" s="14">
        <f>_xll.BDH("GILD US Equity","RETURN_COM_EQY","FQ1 2020","FQ1 2020","Currency=USD","Period=FQ","BEST_FPERIOD_OVERRIDE=FQ","FILING_STATUS=MR","FA_ADJUSTED=GAAP","Sort=A","Dates=H","DateFormat=P","Fill=—","Direction=H","UseDPDF=Y")</f>
        <v>22.545300000000001</v>
      </c>
      <c r="I7" s="14">
        <f>_xll.BDH("GILD US Equity","RETURN_COM_EQY","FQ2 2020","FQ2 2020","Currency=USD","Period=FQ","BEST_FPERIOD_OVERRIDE=FQ","FILING_STATUS=MR","FA_ADJUSTED=GAAP","Sort=A","Dates=H","DateFormat=P","Fill=—","Direction=H","UseDPDF=Y")</f>
        <v>-1.2646999999999999</v>
      </c>
      <c r="J7" s="14">
        <f>_xll.BDH("GILD US Equity","RETURN_COM_EQY","FQ3 2020","FQ3 2020","Currency=USD","Period=FQ","BEST_FPERIOD_OVERRIDE=FQ","FILING_STATUS=MR","FA_ADJUSTED=GAAP","Sort=A","Dates=H","DateFormat=P","Fill=—","Direction=H","UseDPDF=Y")</f>
        <v>6.6650999999999998</v>
      </c>
      <c r="K7" s="14">
        <f>_xll.BDH("GILD US Equity","RETURN_COM_EQY","FQ4 2020","FQ4 2020","Currency=USD","Period=FQ","BEST_FPERIOD_OVERRIDE=FQ","FILING_STATUS=MR","FA_ADJUSTED=GAAP","Sort=A","Dates=H","DateFormat=P","Fill=—","Direction=H","UseDPDF=Y")</f>
        <v>0.60399999999999998</v>
      </c>
      <c r="L7" s="14">
        <f>_xll.BDH("GILD US Equity","RETURN_COM_EQY","FQ1 2021","FQ1 2021","Currency=USD","Period=FQ","BEST_FPERIOD_OVERRIDE=FQ","FILING_STATUS=MR","FA_ADJUSTED=GAAP","Sort=A","Dates=H","DateFormat=P","Fill=—","Direction=H","UseDPDF=Y")</f>
        <v>1.4676</v>
      </c>
      <c r="M7" s="14">
        <f>_xll.BDH("GILD US Equity","RETURN_COM_EQY","FQ2 2021","FQ2 2021","Currency=USD","Period=FQ","BEST_FPERIOD_OVERRIDE=FQ","FILING_STATUS=MR","FA_ADJUSTED=GAAP","Sort=A","Dates=H","DateFormat=P","Fill=—","Direction=H","UseDPDF=Y")</f>
        <v>27.3628</v>
      </c>
      <c r="N7" s="14">
        <f>_xll.BDH("GILD US Equity","RETURN_COM_EQY","FQ3 2021","FQ3 2021","Currency=USD","Period=FQ","BEST_FPERIOD_OVERRIDE=FQ","FILING_STATUS=MR","FA_ADJUSTED=GAAP","Sort=A","Dates=H","DateFormat=P","Fill=—","Direction=H","UseDPDF=Y")</f>
        <v>38.000799999999998</v>
      </c>
      <c r="O7" s="14">
        <f>_xll.BDH("GILD US Equity","RETURN_COM_EQY","FQ4 2021","FQ4 2021","Currency=USD","Period=FQ","BEST_FPERIOD_OVERRIDE=FQ","FILING_STATUS=MR","FA_ADJUSTED=GAAP","Sort=A","Dates=H","DateFormat=P","Fill=—","Direction=H","UseDPDF=Y")</f>
        <v>31.7028</v>
      </c>
      <c r="P7" s="14">
        <f>_xll.BDH("GILD US Equity","RETURN_COM_EQY","FQ1 2022","FQ1 2022","Currency=USD","Period=FQ","BEST_FPERIOD_OVERRIDE=FQ","FILING_STATUS=MR","FA_ADJUSTED=GAAP","Sort=A","Dates=H","DateFormat=P","Fill=—","Direction=H","UseDPDF=Y")</f>
        <v>23.225899999999999</v>
      </c>
      <c r="Q7" s="14">
        <f>_xll.BDH("GILD US Equity","RETURN_COM_EQY","FQ2 2022","FQ2 2022","Currency=USD","Period=FQ","BEST_FPERIOD_OVERRIDE=FQ","FILING_STATUS=MR","FA_ADJUSTED=GAAP","Sort=A","Dates=H","DateFormat=P","Fill=—","Direction=H","UseDPDF=Y")</f>
        <v>20.7166</v>
      </c>
      <c r="R7" s="14">
        <f>_xll.BDH("GILD US Equity","RETURN_COM_EQY","FQ3 2022","FQ3 2022","Currency=USD","Period=FQ","BEST_FPERIOD_OVERRIDE=FQ","FILING_STATUS=MR","FA_ADJUSTED=GAAP","Sort=A","Dates=H","DateFormat=P","Fill=—","Direction=H","UseDPDF=Y")</f>
        <v>15.6706</v>
      </c>
      <c r="S7" s="14">
        <f>_xll.BDH("GILD US Equity","RETURN_COM_EQY","FQ4 2022","FQ4 2022","Currency=USD","Period=FQ","BEST_FPERIOD_OVERRIDE=FQ","FILING_STATUS=MR","FA_ADJUSTED=GAAP","Sort=A","Dates=H","DateFormat=P","Fill=—","Direction=H","UseDPDF=Y")</f>
        <v>21.707000000000001</v>
      </c>
      <c r="T7" s="14">
        <f>_xll.BDH("GILD US Equity","RETURN_COM_EQY","FQ1 2023","FQ1 2023","Currency=USD","Period=FQ","BEST_FPERIOD_OVERRIDE=FQ","FILING_STATUS=MR","FA_ADJUSTED=GAAP","Sort=A","Dates=H","DateFormat=P","Fill=—","Direction=H","UseDPDF=Y")</f>
        <v>27.284700000000001</v>
      </c>
      <c r="U7" s="14">
        <f>_xll.BDH("GILD US Equity","RETURN_COM_EQY","FQ2 2023","FQ2 2023","Currency=USD","Period=FQ","BEST_FPERIOD_OVERRIDE=FQ","FILING_STATUS=MR","FA_ADJUSTED=GAAP","Sort=A","Dates=H","DateFormat=P","Fill=—","Direction=H","UseDPDF=Y")</f>
        <v>26.496600000000001</v>
      </c>
      <c r="V7" s="14">
        <f>_xll.BDH("GILD US Equity","RETURN_COM_EQY","FQ3 2023","FQ3 2023","Currency=USD","Period=FQ","BEST_FPERIOD_OVERRIDE=FQ","FILING_STATUS=MR","FA_ADJUSTED=GAAP","Sort=A","Dates=H","DateFormat=P","Fill=—","Direction=H","UseDPDF=Y")</f>
        <v>27.0762</v>
      </c>
      <c r="W7" s="14">
        <f>_xll.BDH("GILD US Equity","RETURN_COM_EQY","FQ4 2023","FQ4 2023","Currency=USD","Period=FQ","BEST_FPERIOD_OVERRIDE=FQ","FILING_STATUS=MR","FA_ADJUSTED=GAAP","Sort=A","Dates=H","DateFormat=P","Fill=—","Direction=H","UseDPDF=Y")</f>
        <v>25.7028</v>
      </c>
      <c r="X7" s="14">
        <f>_xll.BDH("GILD US Equity","RETURN_COM_EQY","FQ1 2024","FQ1 2024","Currency=USD","Period=FQ","BEST_FPERIOD_OVERRIDE=FQ","FILING_STATUS=MR","FA_ADJUSTED=GAAP","Sort=A","Dates=H","DateFormat=P","Fill=—","Direction=H","UseDPDF=Y")</f>
        <v>2.5118999999999998</v>
      </c>
      <c r="Y7" s="14">
        <f>_xll.BDH("GILD US Equity","RETURN_COM_EQY","FQ2 2024","FQ2 2024","Currency=USD","Period=FQ","BEST_FPERIOD_OVERRIDE=FQ","FILING_STATUS=MR","FA_ADJUSTED=GAAP","Sort=A","Dates=H","DateFormat=P","Fill=—","Direction=H","UseDPDF=Y")</f>
        <v>5.3399000000000001</v>
      </c>
      <c r="Z7" s="14">
        <f>_xll.BDH("GILD US Equity","RETURN_COM_EQY","FQ3 2024","FQ3 2024","Currency=USD","Period=FQ","BEST_FPERIOD_OVERRIDE=FQ","FILING_STATUS=MR","FA_ADJUSTED=GAAP","Sort=A","Dates=H","DateFormat=P","Fill=—","Direction=H","UseDPDF=Y")</f>
        <v>0.61780000000000002</v>
      </c>
      <c r="AA7" s="14">
        <f>_xll.BDH("GILD US Equity","RETURN_COM_EQY","FQ4 2024","FQ4 2024","Currency=USD","Period=FQ","BEST_FPERIOD_OVERRIDE=FQ","FILING_STATUS=MR","FA_ADJUSTED=GAAP","Sort=A","Dates=H","DateFormat=P","Fill=—","Direction=H","UseDPDF=Y")</f>
        <v>2.2768999999999999</v>
      </c>
    </row>
    <row r="8" spans="1:27" x14ac:dyDescent="0.25">
      <c r="A8" s="10" t="s">
        <v>1484</v>
      </c>
      <c r="B8" s="10" t="s">
        <v>1485</v>
      </c>
      <c r="C8" s="14">
        <f>_xll.BDH("GILD US Equity","RETURN_ON_ASSET","FQ4 2018","FQ4 2018","Currency=USD","Period=FQ","BEST_FPERIOD_OVERRIDE=FQ","FILING_STATUS=MR","FA_ADJUSTED=GAAP","Sort=A","Dates=H","DateFormat=P","Fill=—","Direction=H","UseDPDF=Y")</f>
        <v>8.1442999999999994</v>
      </c>
      <c r="D8" s="14">
        <f>_xll.BDH("GILD US Equity","RETURN_ON_ASSET","FQ1 2019","FQ1 2019","Currency=USD","Period=FQ","BEST_FPERIOD_OVERRIDE=FQ","FILING_STATUS=MR","FA_ADJUSTED=GAAP","Sort=A","Dates=H","DateFormat=P","Fill=—","Direction=H","UseDPDF=Y")</f>
        <v>9.1905999999999999</v>
      </c>
      <c r="E8" s="14">
        <f>_xll.BDH("GILD US Equity","RETURN_ON_ASSET","FQ2 2019","FQ2 2019","Currency=USD","Period=FQ","BEST_FPERIOD_OVERRIDE=FQ","FILING_STATUS=MR","FA_ADJUSTED=GAAP","Sort=A","Dates=H","DateFormat=P","Fill=—","Direction=H","UseDPDF=Y")</f>
        <v>9.2637999999999998</v>
      </c>
      <c r="F8" s="14">
        <f>_xll.BDH("GILD US Equity","RETURN_ON_ASSET","FQ3 2019","FQ3 2019","Currency=USD","Period=FQ","BEST_FPERIOD_OVERRIDE=FQ","FILING_STATUS=MR","FA_ADJUSTED=GAAP","Sort=A","Dates=H","DateFormat=P","Fill=—","Direction=H","UseDPDF=Y")</f>
        <v>4.3628999999999998</v>
      </c>
      <c r="G8" s="14">
        <f>_xll.BDH("GILD US Equity","RETURN_ON_ASSET","FQ4 2019","FQ4 2019","Currency=USD","Period=FQ","BEST_FPERIOD_OVERRIDE=FQ","FILING_STATUS=MR","FA_ADJUSTED=GAAP","Sort=A","Dates=H","DateFormat=P","Fill=—","Direction=H","UseDPDF=Y")</f>
        <v>8.5968</v>
      </c>
      <c r="H8" s="14">
        <f>_xll.BDH("GILD US Equity","RETURN_ON_ASSET","FQ1 2020","FQ1 2020","Currency=USD","Period=FQ","BEST_FPERIOD_OVERRIDE=FQ","FILING_STATUS=MR","FA_ADJUSTED=GAAP","Sort=A","Dates=H","DateFormat=P","Fill=—","Direction=H","UseDPDF=Y")</f>
        <v>8.0960999999999999</v>
      </c>
      <c r="I8" s="14">
        <f>_xll.BDH("GILD US Equity","RETURN_ON_ASSET","FQ2 2020","FQ2 2020","Currency=USD","Period=FQ","BEST_FPERIOD_OVERRIDE=FQ","FILING_STATUS=MR","FA_ADJUSTED=GAAP","Sort=A","Dates=H","DateFormat=P","Fill=—","Direction=H","UseDPDF=Y")</f>
        <v>-0.43140000000000001</v>
      </c>
      <c r="J8" s="14">
        <f>_xll.BDH("GILD US Equity","RETURN_ON_ASSET","FQ3 2020","FQ3 2020","Currency=USD","Period=FQ","BEST_FPERIOD_OVERRIDE=FQ","FILING_STATUS=MR","FA_ADJUSTED=GAAP","Sort=A","Dates=H","DateFormat=P","Fill=—","Direction=H","UseDPDF=Y")</f>
        <v>2.1128999999999998</v>
      </c>
      <c r="K8" s="14">
        <f>_xll.BDH("GILD US Equity","RETURN_ON_ASSET","FQ4 2020","FQ4 2020","Currency=USD","Period=FQ","BEST_FPERIOD_OVERRIDE=FQ","FILING_STATUS=MR","FA_ADJUSTED=GAAP","Sort=A","Dates=H","DateFormat=P","Fill=—","Direction=H","UseDPDF=Y")</f>
        <v>0.18920000000000001</v>
      </c>
      <c r="L8" s="14">
        <f>_xll.BDH("GILD US Equity","RETURN_ON_ASSET","FQ1 2021","FQ1 2021","Currency=USD","Period=FQ","BEST_FPERIOD_OVERRIDE=FQ","FILING_STATUS=MR","FA_ADJUSTED=GAAP","Sort=A","Dates=H","DateFormat=P","Fill=—","Direction=H","UseDPDF=Y")</f>
        <v>0.47310000000000002</v>
      </c>
      <c r="M8" s="14">
        <f>_xll.BDH("GILD US Equity","RETURN_ON_ASSET","FQ2 2021","FQ2 2021","Currency=USD","Period=FQ","BEST_FPERIOD_OVERRIDE=FQ","FILING_STATUS=MR","FA_ADJUSTED=GAAP","Sort=A","Dates=H","DateFormat=P","Fill=—","Direction=H","UseDPDF=Y")</f>
        <v>8.3313000000000006</v>
      </c>
      <c r="N8" s="14">
        <f>_xll.BDH("GILD US Equity","RETURN_ON_ASSET","FQ3 2021","FQ3 2021","Currency=USD","Period=FQ","BEST_FPERIOD_OVERRIDE=FQ","FILING_STATUS=MR","FA_ADJUSTED=GAAP","Sort=A","Dates=H","DateFormat=P","Fill=—","Direction=H","UseDPDF=Y")</f>
        <v>11.555300000000001</v>
      </c>
      <c r="O8" s="14">
        <f>_xll.BDH("GILD US Equity","RETURN_ON_ASSET","FQ4 2021","FQ4 2021","Currency=USD","Period=FQ","BEST_FPERIOD_OVERRIDE=FQ","FILING_STATUS=MR","FA_ADJUSTED=GAAP","Sort=A","Dates=H","DateFormat=P","Fill=—","Direction=H","UseDPDF=Y")</f>
        <v>9.1303000000000001</v>
      </c>
      <c r="P8" s="14">
        <f>_xll.BDH("GILD US Equity","RETURN_ON_ASSET","FQ1 2022","FQ1 2022","Currency=USD","Period=FQ","BEST_FPERIOD_OVERRIDE=FQ","FILING_STATUS=MR","FA_ADJUSTED=GAAP","Sort=A","Dates=H","DateFormat=P","Fill=—","Direction=H","UseDPDF=Y")</f>
        <v>6.9157000000000002</v>
      </c>
      <c r="Q8" s="14">
        <f>_xll.BDH("GILD US Equity","RETURN_ON_ASSET","FQ2 2022","FQ2 2022","Currency=USD","Period=FQ","BEST_FPERIOD_OVERRIDE=FQ","FILING_STATUS=MR","FA_ADJUSTED=GAAP","Sort=A","Dates=H","DateFormat=P","Fill=—","Direction=H","UseDPDF=Y")</f>
        <v>6.3231000000000002</v>
      </c>
      <c r="R8" s="14">
        <f>_xll.BDH("GILD US Equity","RETURN_ON_ASSET","FQ3 2022","FQ3 2022","Currency=USD","Period=FQ","BEST_FPERIOD_OVERRIDE=FQ","FILING_STATUS=MR","FA_ADJUSTED=GAAP","Sort=A","Dates=H","DateFormat=P","Fill=—","Direction=H","UseDPDF=Y")</f>
        <v>5.1429</v>
      </c>
      <c r="S8" s="14">
        <f>_xll.BDH("GILD US Equity","RETURN_ON_ASSET","FQ4 2022","FQ4 2022","Currency=USD","Period=FQ","BEST_FPERIOD_OVERRIDE=FQ","FILING_STATUS=MR","FA_ADJUSTED=GAAP","Sort=A","Dates=H","DateFormat=P","Fill=—","Direction=H","UseDPDF=Y")</f>
        <v>7.0041000000000002</v>
      </c>
      <c r="T8" s="14">
        <f>_xll.BDH("GILD US Equity","RETURN_ON_ASSET","FQ1 2023","FQ1 2023","Currency=USD","Period=FQ","BEST_FPERIOD_OVERRIDE=FQ","FILING_STATUS=MR","FA_ADJUSTED=GAAP","Sort=A","Dates=H","DateFormat=P","Fill=—","Direction=H","UseDPDF=Y")</f>
        <v>8.9359000000000002</v>
      </c>
      <c r="U8" s="14">
        <f>_xll.BDH("GILD US Equity","RETURN_ON_ASSET","FQ2 2023","FQ2 2023","Currency=USD","Period=FQ","BEST_FPERIOD_OVERRIDE=FQ","FILING_STATUS=MR","FA_ADJUSTED=GAAP","Sort=A","Dates=H","DateFormat=P","Fill=—","Direction=H","UseDPDF=Y")</f>
        <v>8.7599</v>
      </c>
      <c r="V8" s="14">
        <f>_xll.BDH("GILD US Equity","RETURN_ON_ASSET","FQ3 2023","FQ3 2023","Currency=USD","Period=FQ","BEST_FPERIOD_OVERRIDE=FQ","FILING_STATUS=MR","FA_ADJUSTED=GAAP","Sort=A","Dates=H","DateFormat=P","Fill=—","Direction=H","UseDPDF=Y")</f>
        <v>9.4053000000000004</v>
      </c>
      <c r="W8" s="14">
        <f>_xll.BDH("GILD US Equity","RETURN_ON_ASSET","FQ4 2023","FQ4 2023","Currency=USD","Period=FQ","BEST_FPERIOD_OVERRIDE=FQ","FILING_STATUS=MR","FA_ADJUSTED=GAAP","Sort=A","Dates=H","DateFormat=P","Fill=—","Direction=H","UseDPDF=Y")</f>
        <v>9.0410000000000004</v>
      </c>
      <c r="X8" s="14">
        <f>_xll.BDH("GILD US Equity","RETURN_ON_ASSET","FQ1 2024","FQ1 2024","Currency=USD","Period=FQ","BEST_FPERIOD_OVERRIDE=FQ","FILING_STATUS=MR","FA_ADJUSTED=GAAP","Sort=A","Dates=H","DateFormat=P","Fill=—","Direction=H","UseDPDF=Y")</f>
        <v>0.81920000000000004</v>
      </c>
      <c r="Y8" s="14">
        <f>_xll.BDH("GILD US Equity","RETURN_ON_ASSET","FQ2 2024","FQ2 2024","Currency=USD","Period=FQ","BEST_FPERIOD_OVERRIDE=FQ","FILING_STATUS=MR","FA_ADJUSTED=GAAP","Sort=A","Dates=H","DateFormat=P","Fill=—","Direction=H","UseDPDF=Y")</f>
        <v>1.8168</v>
      </c>
      <c r="Z8" s="14">
        <f>_xll.BDH("GILD US Equity","RETURN_ON_ASSET","FQ3 2024","FQ3 2024","Currency=USD","Period=FQ","BEST_FPERIOD_OVERRIDE=FQ","FILING_STATUS=MR","FA_ADJUSTED=GAAP","Sort=A","Dates=H","DateFormat=P","Fill=—","Direction=H","UseDPDF=Y")</f>
        <v>0.21560000000000001</v>
      </c>
      <c r="AA8" s="14">
        <f>_xll.BDH("GILD US Equity","RETURN_ON_ASSET","FQ4 2024","FQ4 2024","Currency=USD","Period=FQ","BEST_FPERIOD_OVERRIDE=FQ","FILING_STATUS=MR","FA_ADJUSTED=GAAP","Sort=A","Dates=H","DateFormat=P","Fill=—","Direction=H","UseDPDF=Y")</f>
        <v>0.79259999999999997</v>
      </c>
    </row>
    <row r="9" spans="1:27" x14ac:dyDescent="0.25">
      <c r="A9" s="10" t="s">
        <v>1486</v>
      </c>
      <c r="B9" s="10" t="s">
        <v>1487</v>
      </c>
      <c r="C9" s="14">
        <f>_xll.BDH("GILD US Equity","RETURN_ON_CAP","FQ4 2018","FQ4 2018","Currency=USD","Period=FQ","BEST_FPERIOD_OVERRIDE=FQ","FILING_STATUS=MR","FA_ADJUSTED=GAAP","Sort=A","Dates=H","DateFormat=P","Fill=—","Direction=H","UseDPDF=Y")</f>
        <v>12.0779</v>
      </c>
      <c r="D9" s="14">
        <f>_xll.BDH("GILD US Equity","RETURN_ON_CAP","FQ1 2019","FQ1 2019","Currency=USD","Period=FQ","BEST_FPERIOD_OVERRIDE=FQ","FILING_STATUS=MR","FA_ADJUSTED=GAAP","Sort=A","Dates=H","DateFormat=P","Fill=—","Direction=H","UseDPDF=Y")</f>
        <v>13.439500000000001</v>
      </c>
      <c r="E9" s="14">
        <f>_xll.BDH("GILD US Equity","RETURN_ON_CAP","FQ2 2019","FQ2 2019","Currency=USD","Period=FQ","BEST_FPERIOD_OVERRIDE=FQ","FILING_STATUS=MR","FA_ADJUSTED=GAAP","Sort=A","Dates=H","DateFormat=P","Fill=—","Direction=H","UseDPDF=Y")</f>
        <v>13.307</v>
      </c>
      <c r="F9" s="14">
        <f>_xll.BDH("GILD US Equity","RETURN_ON_CAP","FQ3 2019","FQ3 2019","Currency=USD","Period=FQ","BEST_FPERIOD_OVERRIDE=FQ","FILING_STATUS=MR","FA_ADJUSTED=GAAP","Sort=A","Dates=H","DateFormat=P","Fill=—","Direction=H","UseDPDF=Y")</f>
        <v>6.8701999999999996</v>
      </c>
      <c r="G9" s="14">
        <f>_xll.BDH("GILD US Equity","RETURN_ON_CAP","FQ4 2019","FQ4 2019","Currency=USD","Period=FQ","BEST_FPERIOD_OVERRIDE=FQ","FILING_STATUS=MR","FA_ADJUSTED=GAAP","Sort=A","Dates=H","DateFormat=P","Fill=—","Direction=H","UseDPDF=Y")</f>
        <v>12.7036</v>
      </c>
      <c r="H9" s="14">
        <f>_xll.BDH("GILD US Equity","RETURN_ON_CAP","FQ1 2020","FQ1 2020","Currency=USD","Period=FQ","BEST_FPERIOD_OVERRIDE=FQ","FILING_STATUS=MR","FA_ADJUSTED=GAAP","Sort=A","Dates=H","DateFormat=P","Fill=—","Direction=H","UseDPDF=Y")</f>
        <v>11.964</v>
      </c>
      <c r="I9" s="14">
        <f>_xll.BDH("GILD US Equity","RETURN_ON_CAP","FQ2 2020","FQ2 2020","Currency=USD","Period=FQ","BEST_FPERIOD_OVERRIDE=FQ","FILING_STATUS=MR","FA_ADJUSTED=GAAP","Sort=A","Dates=H","DateFormat=P","Fill=—","Direction=H","UseDPDF=Y")</f>
        <v>1.0529999999999999</v>
      </c>
      <c r="J9" s="14">
        <f>_xll.BDH("GILD US Equity","RETURN_ON_CAP","FQ3 2020","FQ3 2020","Currency=USD","Period=FQ","BEST_FPERIOD_OVERRIDE=FQ","FILING_STATUS=MR","FA_ADJUSTED=GAAP","Sort=A","Dates=H","DateFormat=P","Fill=—","Direction=H","UseDPDF=Y")</f>
        <v>4.1135000000000002</v>
      </c>
      <c r="K9" s="14">
        <f>_xll.BDH("GILD US Equity","RETURN_ON_CAP","FQ4 2020","FQ4 2020","Currency=USD","Period=FQ","BEST_FPERIOD_OVERRIDE=FQ","FILING_STATUS=MR","FA_ADJUSTED=GAAP","Sort=A","Dates=H","DateFormat=P","Fill=—","Direction=H","UseDPDF=Y")</f>
        <v>0.2878</v>
      </c>
      <c r="L9" s="14">
        <f>_xll.BDH("GILD US Equity","RETURN_ON_CAP","FQ1 2021","FQ1 2021","Currency=USD","Period=FQ","BEST_FPERIOD_OVERRIDE=FQ","FILING_STATUS=MR","FA_ADJUSTED=GAAP","Sort=A","Dates=H","DateFormat=P","Fill=—","Direction=H","UseDPDF=Y")</f>
        <v>0.86880000000000002</v>
      </c>
      <c r="M9" s="14">
        <f>_xll.BDH("GILD US Equity","RETURN_ON_CAP","FQ2 2021","FQ2 2021","Currency=USD","Period=FQ","BEST_FPERIOD_OVERRIDE=FQ","FILING_STATUS=MR","FA_ADJUSTED=GAAP","Sort=A","Dates=H","DateFormat=P","Fill=—","Direction=H","UseDPDF=Y")</f>
        <v>12.8353</v>
      </c>
      <c r="N9" s="14">
        <f>_xll.BDH("GILD US Equity","RETURN_ON_CAP","FQ3 2021","FQ3 2021","Currency=USD","Period=FQ","BEST_FPERIOD_OVERRIDE=FQ","FILING_STATUS=MR","FA_ADJUSTED=GAAP","Sort=A","Dates=H","DateFormat=P","Fill=—","Direction=H","UseDPDF=Y")</f>
        <v>17.0609</v>
      </c>
      <c r="O9" s="14">
        <f>_xll.BDH("GILD US Equity","RETURN_ON_CAP","FQ4 2021","FQ4 2021","Currency=USD","Period=FQ","BEST_FPERIOD_OVERRIDE=FQ","FILING_STATUS=MR","FA_ADJUSTED=GAAP","Sort=A","Dates=H","DateFormat=P","Fill=—","Direction=H","UseDPDF=Y")</f>
        <v>14.086600000000001</v>
      </c>
      <c r="P9" s="14">
        <f>_xll.BDH("GILD US Equity","RETURN_ON_CAP","FQ1 2022","FQ1 2022","Currency=USD","Period=FQ","BEST_FPERIOD_OVERRIDE=FQ","FILING_STATUS=MR","FA_ADJUSTED=GAAP","Sort=A","Dates=H","DateFormat=P","Fill=—","Direction=H","UseDPDF=Y")</f>
        <v>11.0093</v>
      </c>
      <c r="Q9" s="14">
        <f>_xll.BDH("GILD US Equity","RETURN_ON_CAP","FQ2 2022","FQ2 2022","Currency=USD","Period=FQ","BEST_FPERIOD_OVERRIDE=FQ","FILING_STATUS=MR","FA_ADJUSTED=GAAP","Sort=A","Dates=H","DateFormat=P","Fill=—","Direction=H","UseDPDF=Y")</f>
        <v>10.021000000000001</v>
      </c>
      <c r="R9" s="14">
        <f>_xll.BDH("GILD US Equity","RETURN_ON_CAP","FQ3 2022","FQ3 2022","Currency=USD","Period=FQ","BEST_FPERIOD_OVERRIDE=FQ","FILING_STATUS=MR","FA_ADJUSTED=GAAP","Sort=A","Dates=H","DateFormat=P","Fill=—","Direction=H","UseDPDF=Y")</f>
        <v>8.3802000000000003</v>
      </c>
      <c r="S9" s="14">
        <f>_xll.BDH("GILD US Equity","RETURN_ON_CAP","FQ4 2022","FQ4 2022","Currency=USD","Period=FQ","BEST_FPERIOD_OVERRIDE=FQ","FILING_STATUS=MR","FA_ADJUSTED=GAAP","Sort=A","Dates=H","DateFormat=P","Fill=—","Direction=H","UseDPDF=Y")</f>
        <v>11.1173</v>
      </c>
      <c r="T9" s="14">
        <f>_xll.BDH("GILD US Equity","RETURN_ON_CAP","FQ1 2023","FQ1 2023","Currency=USD","Period=FQ","BEST_FPERIOD_OVERRIDE=FQ","FILING_STATUS=MR","FA_ADJUSTED=GAAP","Sort=A","Dates=H","DateFormat=P","Fill=—","Direction=H","UseDPDF=Y")</f>
        <v>13.532500000000001</v>
      </c>
      <c r="U9" s="14">
        <f>_xll.BDH("GILD US Equity","RETURN_ON_CAP","FQ2 2023","FQ2 2023","Currency=USD","Period=FQ","BEST_FPERIOD_OVERRIDE=FQ","FILING_STATUS=MR","FA_ADJUSTED=GAAP","Sort=A","Dates=H","DateFormat=P","Fill=—","Direction=H","UseDPDF=Y")</f>
        <v>13.194000000000001</v>
      </c>
      <c r="V9" s="14">
        <f>_xll.BDH("GILD US Equity","RETURN_ON_CAP","FQ3 2023","FQ3 2023","Currency=USD","Period=FQ","BEST_FPERIOD_OVERRIDE=FQ","FILING_STATUS=MR","FA_ADJUSTED=GAAP","Sort=A","Dates=H","DateFormat=P","Fill=—","Direction=H","UseDPDF=Y")</f>
        <v>14.0487</v>
      </c>
      <c r="W9" s="14">
        <f>_xll.BDH("GILD US Equity","RETURN_ON_CAP","FQ4 2023","FQ4 2023","Currency=USD","Period=FQ","BEST_FPERIOD_OVERRIDE=FQ","FILING_STATUS=MR","FA_ADJUSTED=GAAP","Sort=A","Dates=H","DateFormat=P","Fill=—","Direction=H","UseDPDF=Y")</f>
        <v>13.3811</v>
      </c>
      <c r="X9" s="14">
        <f>_xll.BDH("GILD US Equity","RETURN_ON_CAP","FQ1 2024","FQ1 2024","Currency=USD","Period=FQ","BEST_FPERIOD_OVERRIDE=FQ","FILING_STATUS=MR","FA_ADJUSTED=GAAP","Sort=A","Dates=H","DateFormat=P","Fill=—","Direction=H","UseDPDF=Y")</f>
        <v>1.9626999999999999</v>
      </c>
      <c r="Y9" s="14">
        <f>_xll.BDH("GILD US Equity","RETURN_ON_CAP","FQ2 2024","FQ2 2024","Currency=USD","Period=FQ","BEST_FPERIOD_OVERRIDE=FQ","FILING_STATUS=MR","FA_ADJUSTED=GAAP","Sort=A","Dates=H","DateFormat=P","Fill=—","Direction=H","UseDPDF=Y")</f>
        <v>3.8399000000000001</v>
      </c>
      <c r="Z9" s="14">
        <f>_xll.BDH("GILD US Equity","RETURN_ON_CAP","FQ3 2024","FQ3 2024","Currency=USD","Period=FQ","BEST_FPERIOD_OVERRIDE=FQ","FILING_STATUS=MR","FA_ADJUSTED=GAAP","Sort=A","Dates=H","DateFormat=P","Fill=—","Direction=H","UseDPDF=Y")</f>
        <v>1.6852</v>
      </c>
      <c r="AA9" s="14">
        <f>_xll.BDH("GILD US Equity","RETURN_ON_CAP","FQ4 2024","FQ4 2024","Currency=USD","Period=FQ","BEST_FPERIOD_OVERRIDE=FQ","FILING_STATUS=MR","FA_ADJUSTED=GAAP","Sort=A","Dates=H","DateFormat=P","Fill=—","Direction=H","UseDPDF=Y")</f>
        <v>2.4384999999999999</v>
      </c>
    </row>
    <row r="10" spans="1:27" x14ac:dyDescent="0.25">
      <c r="A10" s="10" t="s">
        <v>1488</v>
      </c>
      <c r="B10" s="10" t="s">
        <v>1489</v>
      </c>
      <c r="C10" s="14">
        <f>_xll.BDH("GILD US Equity","RETURN_ON_INV_CAPITAL","FQ4 2018","FQ4 2018","Currency=USD","Period=FQ","BEST_FPERIOD_OVERRIDE=FQ","FILING_STATUS=MR","FA_ADJUSTED=GAAP","Sort=A","Dates=H","DateFormat=P","Fill=—","Direction=H","UseDPDF=Y")</f>
        <v>10.9453</v>
      </c>
      <c r="D10" s="14">
        <f>_xll.BDH("GILD US Equity","RETURN_ON_INV_CAPITAL","FQ1 2019","FQ1 2019","Currency=USD","Period=FQ","BEST_FPERIOD_OVERRIDE=FQ","FILING_STATUS=MR","FA_ADJUSTED=GAAP","Sort=A","Dates=H","DateFormat=P","Fill=—","Direction=H","UseDPDF=Y")</f>
        <v>11.8513</v>
      </c>
      <c r="E10" s="14">
        <f>_xll.BDH("GILD US Equity","RETURN_ON_INV_CAPITAL","FQ2 2019","FQ2 2019","Currency=USD","Period=FQ","BEST_FPERIOD_OVERRIDE=FQ","FILING_STATUS=MR","FA_ADJUSTED=GAAP","Sort=A","Dates=H","DateFormat=P","Fill=—","Direction=H","UseDPDF=Y")</f>
        <v>11.508800000000001</v>
      </c>
      <c r="F10" s="14">
        <f>_xll.BDH("GILD US Equity","RETURN_ON_INV_CAPITAL","FQ3 2019","FQ3 2019","Currency=USD","Period=FQ","BEST_FPERIOD_OVERRIDE=FQ","FILING_STATUS=MR","FA_ADJUSTED=GAAP","Sort=A","Dates=H","DateFormat=P","Fill=—","Direction=H","UseDPDF=Y")</f>
        <v>5.3685999999999998</v>
      </c>
      <c r="G10" s="14">
        <f>_xll.BDH("GILD US Equity","RETURN_ON_INV_CAPITAL","FQ4 2019","FQ4 2019","Currency=USD","Period=FQ","BEST_FPERIOD_OVERRIDE=FQ","FILING_STATUS=MR","FA_ADJUSTED=GAAP","Sort=A","Dates=H","DateFormat=P","Fill=—","Direction=H","UseDPDF=Y")</f>
        <v>9.5027000000000008</v>
      </c>
      <c r="H10" s="14">
        <f>_xll.BDH("GILD US Equity","RETURN_ON_INV_CAPITAL","FQ1 2020","FQ1 2020","Currency=USD","Period=FQ","BEST_FPERIOD_OVERRIDE=FQ","FILING_STATUS=MR","FA_ADJUSTED=GAAP","Sort=A","Dates=H","DateFormat=P","Fill=—","Direction=H","UseDPDF=Y")</f>
        <v>9.5657999999999994</v>
      </c>
      <c r="I10" s="14">
        <f>_xll.BDH("GILD US Equity","RETURN_ON_INV_CAPITAL","FQ2 2020","FQ2 2020","Currency=USD","Period=FQ","BEST_FPERIOD_OVERRIDE=FQ","FILING_STATUS=MR","FA_ADJUSTED=GAAP","Sort=A","Dates=H","DateFormat=P","Fill=—","Direction=H","UseDPDF=Y")</f>
        <v>-1.3111999999999999</v>
      </c>
      <c r="J10" s="14">
        <f>_xll.BDH("GILD US Equity","RETURN_ON_INV_CAPITAL","FQ3 2020","FQ3 2020","Currency=USD","Period=FQ","BEST_FPERIOD_OVERRIDE=FQ","FILING_STATUS=MR","FA_ADJUSTED=GAAP","Sort=A","Dates=H","DateFormat=P","Fill=—","Direction=H","UseDPDF=Y")</f>
        <v>2.9691000000000001</v>
      </c>
      <c r="K10" s="14">
        <f>_xll.BDH("GILD US Equity","RETURN_ON_INV_CAPITAL","FQ4 2020","FQ4 2020","Currency=USD","Period=FQ","BEST_FPERIOD_OVERRIDE=FQ","FILING_STATUS=MR","FA_ADJUSTED=GAAP","Sort=A","Dates=H","DateFormat=P","Fill=—","Direction=H","UseDPDF=Y")</f>
        <v>3.1120999999999999</v>
      </c>
      <c r="L10" s="14">
        <f>_xll.BDH("GILD US Equity","RETURN_ON_INV_CAPITAL","FQ1 2021","FQ1 2021","Currency=USD","Period=FQ","BEST_FPERIOD_OVERRIDE=FQ","FILING_STATUS=MR","FA_ADJUSTED=GAAP","Sort=A","Dates=H","DateFormat=P","Fill=—","Direction=H","UseDPDF=Y")</f>
        <v>4.0662000000000003</v>
      </c>
      <c r="M10" s="14">
        <f>_xll.BDH("GILD US Equity","RETURN_ON_INV_CAPITAL","FQ2 2021","FQ2 2021","Currency=USD","Period=FQ","BEST_FPERIOD_OVERRIDE=FQ","FILING_STATUS=MR","FA_ADJUSTED=GAAP","Sort=A","Dates=H","DateFormat=P","Fill=—","Direction=H","UseDPDF=Y")</f>
        <v>15.4001</v>
      </c>
      <c r="N10" s="14">
        <f>_xll.BDH("GILD US Equity","RETURN_ON_INV_CAPITAL","FQ3 2021","FQ3 2021","Currency=USD","Period=FQ","BEST_FPERIOD_OVERRIDE=FQ","FILING_STATUS=MR","FA_ADJUSTED=GAAP","Sort=A","Dates=H","DateFormat=P","Fill=—","Direction=H","UseDPDF=Y")</f>
        <v>18.123999999999999</v>
      </c>
      <c r="O10" s="14">
        <f>_xll.BDH("GILD US Equity","RETURN_ON_INV_CAPITAL","FQ4 2021","FQ4 2021","Currency=USD","Period=FQ","BEST_FPERIOD_OVERRIDE=FQ","FILING_STATUS=MR","FA_ADJUSTED=GAAP","Sort=A","Dates=H","DateFormat=P","Fill=—","Direction=H","UseDPDF=Y")</f>
        <v>13.809900000000001</v>
      </c>
      <c r="P10" s="14">
        <f>_xll.BDH("GILD US Equity","RETURN_ON_INV_CAPITAL","FQ1 2022","FQ1 2022","Currency=USD","Period=FQ","BEST_FPERIOD_OVERRIDE=FQ","FILING_STATUS=MR","FA_ADJUSTED=GAAP","Sort=A","Dates=H","DateFormat=P","Fill=—","Direction=H","UseDPDF=Y")</f>
        <v>11.5566</v>
      </c>
      <c r="Q10" s="14">
        <f>_xll.BDH("GILD US Equity","RETURN_ON_INV_CAPITAL","FQ2 2022","FQ2 2022","Currency=USD","Period=FQ","BEST_FPERIOD_OVERRIDE=FQ","FILING_STATUS=MR","FA_ADJUSTED=GAAP","Sort=A","Dates=H","DateFormat=P","Fill=—","Direction=H","UseDPDF=Y")</f>
        <v>10.570499999999999</v>
      </c>
      <c r="R10" s="14">
        <f>_xll.BDH("GILD US Equity","RETURN_ON_INV_CAPITAL","FQ3 2022","FQ3 2022","Currency=USD","Period=FQ","BEST_FPERIOD_OVERRIDE=FQ","FILING_STATUS=MR","FA_ADJUSTED=GAAP","Sort=A","Dates=H","DateFormat=P","Fill=—","Direction=H","UseDPDF=Y")</f>
        <v>8.3431999999999995</v>
      </c>
      <c r="S10" s="14">
        <f>_xll.BDH("GILD US Equity","RETURN_ON_INV_CAPITAL","FQ4 2022","FQ4 2022","Currency=USD","Period=FQ","BEST_FPERIOD_OVERRIDE=FQ","FILING_STATUS=MR","FA_ADJUSTED=GAAP","Sort=A","Dates=H","DateFormat=P","Fill=—","Direction=H","UseDPDF=Y")</f>
        <v>11.286300000000001</v>
      </c>
      <c r="T10" s="14">
        <f>_xll.BDH("GILD US Equity","RETURN_ON_INV_CAPITAL","FQ1 2023","FQ1 2023","Currency=USD","Period=FQ","BEST_FPERIOD_OVERRIDE=FQ","FILING_STATUS=MR","FA_ADJUSTED=GAAP","Sort=A","Dates=H","DateFormat=P","Fill=—","Direction=H","UseDPDF=Y")</f>
        <v>14.385899999999999</v>
      </c>
      <c r="U10" s="14">
        <f>_xll.BDH("GILD US Equity","RETURN_ON_INV_CAPITAL","FQ2 2023","FQ2 2023","Currency=USD","Period=FQ","BEST_FPERIOD_OVERRIDE=FQ","FILING_STATUS=MR","FA_ADJUSTED=GAAP","Sort=A","Dates=H","DateFormat=P","Fill=—","Direction=H","UseDPDF=Y")</f>
        <v>13.094799999999999</v>
      </c>
      <c r="V10" s="14">
        <f>_xll.BDH("GILD US Equity","RETURN_ON_INV_CAPITAL","FQ3 2023","FQ3 2023","Currency=USD","Period=FQ","BEST_FPERIOD_OVERRIDE=FQ","FILING_STATUS=MR","FA_ADJUSTED=GAAP","Sort=A","Dates=H","DateFormat=P","Fill=—","Direction=H","UseDPDF=Y")</f>
        <v>13.37</v>
      </c>
      <c r="W10" s="14">
        <f>_xll.BDH("GILD US Equity","RETURN_ON_INV_CAPITAL","FQ4 2023","FQ4 2023","Currency=USD","Period=FQ","BEST_FPERIOD_OVERRIDE=FQ","FILING_STATUS=MR","FA_ADJUSTED=GAAP","Sort=A","Dates=H","DateFormat=P","Fill=—","Direction=H","UseDPDF=Y")</f>
        <v>12.7319</v>
      </c>
      <c r="X10" s="14">
        <f>_xll.BDH("GILD US Equity","RETURN_ON_INV_CAPITAL","FQ1 2024","FQ1 2024","Currency=USD","Period=FQ","BEST_FPERIOD_OVERRIDE=FQ","FILING_STATUS=MR","FA_ADJUSTED=GAAP","Sort=A","Dates=H","DateFormat=P","Fill=—","Direction=H","UseDPDF=Y")</f>
        <v>1.8168</v>
      </c>
      <c r="Y10" s="14">
        <f>_xll.BDH("GILD US Equity","RETURN_ON_INV_CAPITAL","FQ2 2024","FQ2 2024","Currency=USD","Period=FQ","BEST_FPERIOD_OVERRIDE=FQ","FILING_STATUS=MR","FA_ADJUSTED=GAAP","Sort=A","Dates=H","DateFormat=P","Fill=—","Direction=H","UseDPDF=Y")</f>
        <v>3.9748000000000001</v>
      </c>
      <c r="Z10" s="14">
        <f>_xll.BDH("GILD US Equity","RETURN_ON_INV_CAPITAL","FQ3 2024","FQ3 2024","Currency=USD","Period=FQ","BEST_FPERIOD_OVERRIDE=FQ","FILING_STATUS=MR","FA_ADJUSTED=GAAP","Sort=A","Dates=H","DateFormat=P","Fill=—","Direction=H","UseDPDF=Y")</f>
        <v>1.23</v>
      </c>
      <c r="AA10" s="14">
        <f>_xll.BDH("GILD US Equity","RETURN_ON_INV_CAPITAL","FQ4 2024","FQ4 2024","Currency=USD","Period=FQ","BEST_FPERIOD_OVERRIDE=FQ","FILING_STATUS=MR","FA_ADJUSTED=GAAP","Sort=A","Dates=H","DateFormat=P","Fill=—","Direction=H","UseDPDF=Y")</f>
        <v>2.4575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6" t="s">
        <v>1490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10" t="s">
        <v>397</v>
      </c>
      <c r="B13" s="10" t="s">
        <v>153</v>
      </c>
      <c r="C13" s="14">
        <f>_xll.BDH("GILD US Equity","GROSS_MARGIN","FQ4 2018","FQ4 2018","Currency=USD","Period=FQ","BEST_FPERIOD_OVERRIDE=FQ","FILING_STATUS=MR","FA_ADJUSTED=GAAP","Sort=A","Dates=H","DateFormat=P","Fill=—","Direction=H","UseDPDF=Y")</f>
        <v>72.907700000000006</v>
      </c>
      <c r="D13" s="14">
        <f>_xll.BDH("GILD US Equity","GROSS_MARGIN","FQ1 2019","FQ1 2019","Currency=USD","Period=FQ","BEST_FPERIOD_OVERRIDE=FQ","FILING_STATUS=MR","FA_ADJUSTED=GAAP","Sort=A","Dates=H","DateFormat=P","Fill=—","Direction=H","UseDPDF=Y")</f>
        <v>81.878399999999999</v>
      </c>
      <c r="E13" s="14">
        <f>_xll.BDH("GILD US Equity","GROSS_MARGIN","FQ2 2019","FQ2 2019","Currency=USD","Period=FQ","BEST_FPERIOD_OVERRIDE=FQ","FILING_STATUS=MR","FA_ADJUSTED=GAAP","Sort=A","Dates=H","DateFormat=P","Fill=—","Direction=H","UseDPDF=Y")</f>
        <v>82.409899999999993</v>
      </c>
      <c r="F13" s="14">
        <f>_xll.BDH("GILD US Equity","GROSS_MARGIN","FQ3 2019","FQ3 2019","Currency=USD","Period=FQ","BEST_FPERIOD_OVERRIDE=FQ","FILING_STATUS=MR","FA_ADJUSTED=GAAP","Sort=A","Dates=H","DateFormat=P","Fill=—","Direction=H","UseDPDF=Y")</f>
        <v>81.531000000000006</v>
      </c>
      <c r="G13" s="14">
        <f>_xll.BDH("GILD US Equity","GROSS_MARGIN","FQ4 2019","FQ4 2019","Currency=USD","Period=FQ","BEST_FPERIOD_OVERRIDE=FQ","FILING_STATUS=MR","FA_ADJUSTED=GAAP","Sort=A","Dates=H","DateFormat=P","Fill=—","Direction=H","UseDPDF=Y")</f>
        <v>71.372699999999995</v>
      </c>
      <c r="H13" s="14">
        <f>_xll.BDH("GILD US Equity","GROSS_MARGIN","FQ1 2020","FQ1 2020","Currency=USD","Period=FQ","BEST_FPERIOD_OVERRIDE=FQ","FILING_STATUS=MR","FA_ADJUSTED=GAAP","Sort=A","Dates=H","DateFormat=P","Fill=—","Direction=H","UseDPDF=Y")</f>
        <v>82.534199999999998</v>
      </c>
      <c r="I13" s="14">
        <f>_xll.BDH("GILD US Equity","GROSS_MARGIN","FQ2 2020","FQ2 2020","Currency=USD","Period=FQ","BEST_FPERIOD_OVERRIDE=FQ","FILING_STATUS=MR","FA_ADJUSTED=GAAP","Sort=A","Dates=H","DateFormat=P","Fill=—","Direction=H","UseDPDF=Y")</f>
        <v>79.311700000000002</v>
      </c>
      <c r="J13" s="14">
        <f>_xll.BDH("GILD US Equity","GROSS_MARGIN","FQ3 2020","FQ3 2020","Currency=USD","Period=FQ","BEST_FPERIOD_OVERRIDE=FQ","FILING_STATUS=MR","FA_ADJUSTED=GAAP","Sort=A","Dates=H","DateFormat=P","Fill=—","Direction=H","UseDPDF=Y")</f>
        <v>82.651700000000005</v>
      </c>
      <c r="K13" s="14">
        <f>_xll.BDH("GILD US Equity","GROSS_MARGIN","FQ4 2020","FQ4 2020","Currency=USD","Period=FQ","BEST_FPERIOD_OVERRIDE=FQ","FILING_STATUS=MR","FA_ADJUSTED=GAAP","Sort=A","Dates=H","DateFormat=P","Fill=—","Direction=H","UseDPDF=Y")</f>
        <v>81.161600000000007</v>
      </c>
      <c r="L13" s="14">
        <f>_xll.BDH("GILD US Equity","GROSS_MARGIN","FQ1 2021","FQ1 2021","Currency=USD","Period=FQ","BEST_FPERIOD_OVERRIDE=FQ","FILING_STATUS=MR","FA_ADJUSTED=GAAP","Sort=A","Dates=H","DateFormat=P","Fill=—","Direction=H","UseDPDF=Y")</f>
        <v>78.810500000000005</v>
      </c>
      <c r="M13" s="14">
        <f>_xll.BDH("GILD US Equity","GROSS_MARGIN","FQ2 2021","FQ2 2021","Currency=USD","Period=FQ","BEST_FPERIOD_OVERRIDE=FQ","FILING_STATUS=MR","FA_ADJUSTED=GAAP","Sort=A","Dates=H","DateFormat=P","Fill=—","Direction=H","UseDPDF=Y")</f>
        <v>77.641900000000007</v>
      </c>
      <c r="N13" s="14">
        <f>_xll.BDH("GILD US Equity","GROSS_MARGIN","FQ3 2021","FQ3 2021","Currency=USD","Period=FQ","BEST_FPERIOD_OVERRIDE=FQ","FILING_STATUS=MR","FA_ADJUSTED=GAAP","Sort=A","Dates=H","DateFormat=P","Fill=—","Direction=H","UseDPDF=Y")</f>
        <v>83.5197</v>
      </c>
      <c r="O13" s="14">
        <f>_xll.BDH("GILD US Equity","GROSS_MARGIN","FQ4 2021","FQ4 2021","Currency=USD","Period=FQ","BEST_FPERIOD_OVERRIDE=FQ","FILING_STATUS=MR","FA_ADJUSTED=GAAP","Sort=A","Dates=H","DateFormat=P","Fill=—","Direction=H","UseDPDF=Y")</f>
        <v>63.735500000000002</v>
      </c>
      <c r="P13" s="14">
        <f>_xll.BDH("GILD US Equity","GROSS_MARGIN","FQ1 2022","FQ1 2022","Currency=USD","Period=FQ","BEST_FPERIOD_OVERRIDE=FQ","FILING_STATUS=MR","FA_ADJUSTED=GAAP","Sort=A","Dates=H","DateFormat=P","Fill=—","Direction=H","UseDPDF=Y")</f>
        <v>78.391499999999994</v>
      </c>
      <c r="Q13" s="14">
        <f>_xll.BDH("GILD US Equity","GROSS_MARGIN","FQ2 2022","FQ2 2022","Currency=USD","Period=FQ","BEST_FPERIOD_OVERRIDE=FQ","FILING_STATUS=MR","FA_ADJUSTED=GAAP","Sort=A","Dates=H","DateFormat=P","Fill=—","Direction=H","UseDPDF=Y")</f>
        <v>76.9649</v>
      </c>
      <c r="R13" s="14">
        <f>_xll.BDH("GILD US Equity","GROSS_MARGIN","FQ3 2022","FQ3 2022","Currency=USD","Period=FQ","BEST_FPERIOD_OVERRIDE=FQ","FILING_STATUS=MR","FA_ADJUSTED=GAAP","Sort=A","Dates=H","DateFormat=P","Fill=—","Direction=H","UseDPDF=Y")</f>
        <v>80.190299999999993</v>
      </c>
      <c r="S13" s="14">
        <f>_xll.BDH("GILD US Equity","GROSS_MARGIN","FQ4 2022","FQ4 2022","Currency=USD","Period=FQ","BEST_FPERIOD_OVERRIDE=FQ","FILING_STATUS=MR","FA_ADJUSTED=GAAP","Sort=A","Dates=H","DateFormat=P","Fill=—","Direction=H","UseDPDF=Y")</f>
        <v>81.107100000000003</v>
      </c>
      <c r="T13" s="14">
        <f>_xll.BDH("GILD US Equity","GROSS_MARGIN","FQ1 2023","FQ1 2023","Currency=USD","Period=FQ","BEST_FPERIOD_OVERRIDE=FQ","FILING_STATUS=MR","FA_ADJUSTED=GAAP","Sort=A","Dates=H","DateFormat=P","Fill=—","Direction=H","UseDPDF=Y")</f>
        <v>77.944000000000003</v>
      </c>
      <c r="U13" s="14">
        <f>_xll.BDH("GILD US Equity","GROSS_MARGIN","FQ2 2023","FQ2 2023","Currency=USD","Period=FQ","BEST_FPERIOD_OVERRIDE=FQ","FILING_STATUS=MR","FA_ADJUSTED=GAAP","Sort=A","Dates=H","DateFormat=P","Fill=—","Direction=H","UseDPDF=Y")</f>
        <v>78.148200000000003</v>
      </c>
      <c r="V13" s="14">
        <f>_xll.BDH("GILD US Equity","GROSS_MARGIN","FQ3 2023","FQ3 2023","Currency=USD","Period=FQ","BEST_FPERIOD_OVERRIDE=FQ","FILING_STATUS=MR","FA_ADJUSTED=GAAP","Sort=A","Dates=H","DateFormat=P","Fill=—","Direction=H","UseDPDF=Y")</f>
        <v>77.804599999999994</v>
      </c>
      <c r="W13" s="14">
        <f>_xll.BDH("GILD US Equity","GROSS_MARGIN","FQ4 2023","FQ4 2023","Currency=USD","Period=FQ","BEST_FPERIOD_OVERRIDE=FQ","FILING_STATUS=MR","FA_ADJUSTED=GAAP","Sort=A","Dates=H","DateFormat=P","Fill=—","Direction=H","UseDPDF=Y")</f>
        <v>70.625399999999999</v>
      </c>
      <c r="X13" s="14">
        <f>_xll.BDH("GILD US Equity","GROSS_MARGIN","FQ1 2024","FQ1 2024","Currency=USD","Period=FQ","BEST_FPERIOD_OVERRIDE=FQ","FILING_STATUS=MR","FA_ADJUSTED=GAAP","Sort=A","Dates=H","DateFormat=P","Fill=—","Direction=H","UseDPDF=Y")</f>
        <v>76.787300000000002</v>
      </c>
      <c r="Y13" s="14">
        <f>_xll.BDH("GILD US Equity","GROSS_MARGIN","FQ2 2024","FQ2 2024","Currency=USD","Period=FQ","BEST_FPERIOD_OVERRIDE=FQ","FILING_STATUS=MR","FA_ADJUSTED=GAAP","Sort=A","Dates=H","DateFormat=P","Fill=—","Direction=H","UseDPDF=Y")</f>
        <v>77.793800000000005</v>
      </c>
      <c r="Z13" s="14">
        <f>_xll.BDH("GILD US Equity","GROSS_MARGIN","FQ3 2024","FQ3 2024","Currency=USD","Period=FQ","BEST_FPERIOD_OVERRIDE=FQ","FILING_STATUS=MR","FA_ADJUSTED=GAAP","Sort=A","Dates=H","DateFormat=P","Fill=—","Direction=H","UseDPDF=Y")</f>
        <v>79.138499999999993</v>
      </c>
      <c r="AA13" s="14">
        <f>_xll.BDH("GILD US Equity","GROSS_MARGIN","FQ4 2024","FQ4 2024","Currency=USD","Period=FQ","BEST_FPERIOD_OVERRIDE=FQ","FILING_STATUS=MR","FA_ADJUSTED=GAAP","Sort=A","Dates=H","DateFormat=P","Fill=—","Direction=H","UseDPDF=Y")</f>
        <v>79.112200000000001</v>
      </c>
    </row>
    <row r="14" spans="1:27" x14ac:dyDescent="0.25">
      <c r="A14" s="10" t="s">
        <v>1491</v>
      </c>
      <c r="B14" s="10" t="s">
        <v>1492</v>
      </c>
      <c r="C14" s="14">
        <f>_xll.BDH("GILD US Equity","EBITDA_TO_REVENUE","FQ4 2018","FQ4 2018","Currency=USD","Period=FQ","BEST_FPERIOD_OVERRIDE=FQ","FILING_STATUS=MR","FA_ADJUSTED=GAAP","Sort=A","Dates=H","DateFormat=P","Fill=—","Direction=H","UseDPDF=Y")</f>
        <v>25.918900000000001</v>
      </c>
      <c r="D14" s="14">
        <f>_xll.BDH("GILD US Equity","EBITDA_TO_REVENUE","FQ1 2019","FQ1 2019","Currency=USD","Period=FQ","BEST_FPERIOD_OVERRIDE=FQ","FILING_STATUS=MR","FA_ADJUSTED=GAAP","Sort=A","Dates=H","DateFormat=P","Fill=—","Direction=H","UseDPDF=Y")</f>
        <v>49.838999999999999</v>
      </c>
      <c r="E14" s="14">
        <f>_xll.BDH("GILD US Equity","EBITDA_TO_REVENUE","FQ2 2019","FQ2 2019","Currency=USD","Period=FQ","BEST_FPERIOD_OVERRIDE=FQ","FILING_STATUS=MR","FA_ADJUSTED=GAAP","Sort=A","Dates=H","DateFormat=P","Fill=—","Direction=H","UseDPDF=Y")</f>
        <v>49.533900000000003</v>
      </c>
      <c r="F14" s="14">
        <f>_xll.BDH("GILD US Equity","EBITDA_TO_REVENUE","FQ3 2019","FQ3 2019","Currency=USD","Period=FQ","BEST_FPERIOD_OVERRIDE=FQ","FILING_STATUS=MR","FA_ADJUSTED=GAAP","Sort=A","Dates=H","DateFormat=P","Fill=—","Direction=H","UseDPDF=Y")</f>
        <v>-19.307600000000001</v>
      </c>
      <c r="G14" s="14">
        <f>_xll.BDH("GILD US Equity","EBITDA_TO_REVENUE","FQ4 2019","FQ4 2019","Currency=USD","Period=FQ","BEST_FPERIOD_OVERRIDE=FQ","FILING_STATUS=MR","FA_ADJUSTED=GAAP","Sort=A","Dates=H","DateFormat=P","Fill=—","Direction=H","UseDPDF=Y")</f>
        <v>25.293399999999998</v>
      </c>
      <c r="H14" s="14">
        <f>_xll.BDH("GILD US Equity","EBITDA_TO_REVENUE","FQ1 2020","FQ1 2020","Currency=USD","Period=FQ","BEST_FPERIOD_OVERRIDE=FQ","FILING_STATUS=MR","FA_ADJUSTED=GAAP","Sort=A","Dates=H","DateFormat=P","Fill=—","Direction=H","UseDPDF=Y")</f>
        <v>49.5854</v>
      </c>
      <c r="I14" s="14">
        <f>_xll.BDH("GILD US Equity","EBITDA_TO_REVENUE","FQ2 2020","FQ2 2020","Currency=USD","Period=FQ","BEST_FPERIOD_OVERRIDE=FQ","FILING_STATUS=MR","FA_ADJUSTED=GAAP","Sort=A","Dates=H","DateFormat=P","Fill=—","Direction=H","UseDPDF=Y")</f>
        <v>-51.215200000000003</v>
      </c>
      <c r="J14" s="14">
        <f>_xll.BDH("GILD US Equity","EBITDA_TO_REVENUE","FQ3 2020","FQ3 2020","Currency=USD","Period=FQ","BEST_FPERIOD_OVERRIDE=FQ","FILING_STATUS=MR","FA_ADJUSTED=GAAP","Sort=A","Dates=H","DateFormat=P","Fill=—","Direction=H","UseDPDF=Y")</f>
        <v>35.821800000000003</v>
      </c>
      <c r="K14" s="14">
        <f>_xll.BDH("GILD US Equity","EBITDA_TO_REVENUE","FQ4 2020","FQ4 2020","Currency=USD","Period=FQ","BEST_FPERIOD_OVERRIDE=FQ","FILING_STATUS=MR","FA_ADJUSTED=GAAP","Sort=A","Dates=H","DateFormat=P","Fill=—","Direction=H","UseDPDF=Y")</f>
        <v>41.476900000000001</v>
      </c>
      <c r="L14" s="14">
        <f>_xll.BDH("GILD US Equity","EBITDA_TO_REVENUE","FQ1 2021","FQ1 2021","Currency=USD","Period=FQ","BEST_FPERIOD_OVERRIDE=FQ","FILING_STATUS=MR","FA_ADJUSTED=GAAP","Sort=A","Dates=H","DateFormat=P","Fill=—","Direction=H","UseDPDF=Y")</f>
        <v>52.358699999999999</v>
      </c>
      <c r="M14" s="14">
        <f>_xll.BDH("GILD US Equity","EBITDA_TO_REVENUE","FQ2 2021","FQ2 2021","Currency=USD","Period=FQ","BEST_FPERIOD_OVERRIDE=FQ","FILING_STATUS=MR","FA_ADJUSTED=GAAP","Sort=A","Dates=H","DateFormat=P","Fill=—","Direction=H","UseDPDF=Y")</f>
        <v>44.474800000000002</v>
      </c>
      <c r="N14" s="14">
        <f>_xll.BDH("GILD US Equity","EBITDA_TO_REVENUE","FQ3 2021","FQ3 2021","Currency=USD","Period=FQ","BEST_FPERIOD_OVERRIDE=FQ","FILING_STATUS=MR","FA_ADJUSTED=GAAP","Sort=A","Dates=H","DateFormat=P","Fill=—","Direction=H","UseDPDF=Y")</f>
        <v>58.819600000000001</v>
      </c>
      <c r="O14" s="14">
        <f>_xll.BDH("GILD US Equity","EBITDA_TO_REVENUE","FQ4 2021","FQ4 2021","Currency=USD","Period=FQ","BEST_FPERIOD_OVERRIDE=FQ","FILING_STATUS=MR","FA_ADJUSTED=GAAP","Sort=A","Dates=H","DateFormat=P","Fill=—","Direction=H","UseDPDF=Y")</f>
        <v>20.361699999999999</v>
      </c>
      <c r="P14" s="14">
        <f>_xll.BDH("GILD US Equity","EBITDA_TO_REVENUE","FQ1 2022","FQ1 2022","Currency=USD","Period=FQ","BEST_FPERIOD_OVERRIDE=FQ","FILING_STATUS=MR","FA_ADJUSTED=GAAP","Sort=A","Dates=H","DateFormat=P","Fill=—","Direction=H","UseDPDF=Y")</f>
        <v>10.956</v>
      </c>
      <c r="Q14" s="14">
        <f>_xll.BDH("GILD US Equity","EBITDA_TO_REVENUE","FQ2 2022","FQ2 2022","Currency=USD","Period=FQ","BEST_FPERIOD_OVERRIDE=FQ","FILING_STATUS=MR","FA_ADJUSTED=GAAP","Sort=A","Dates=H","DateFormat=P","Fill=—","Direction=H","UseDPDF=Y")</f>
        <v>40.798699999999997</v>
      </c>
      <c r="R14" s="14">
        <f>_xll.BDH("GILD US Equity","EBITDA_TO_REVENUE","FQ3 2022","FQ3 2022","Currency=USD","Period=FQ","BEST_FPERIOD_OVERRIDE=FQ","FILING_STATUS=MR","FA_ADJUSTED=GAAP","Sort=A","Dates=H","DateFormat=P","Fill=—","Direction=H","UseDPDF=Y")</f>
        <v>47.742100000000001</v>
      </c>
      <c r="S14" s="14">
        <f>_xll.BDH("GILD US Equity","EBITDA_TO_REVENUE","FQ4 2022","FQ4 2022","Currency=USD","Period=FQ","BEST_FPERIOD_OVERRIDE=FQ","FILING_STATUS=MR","FA_ADJUSTED=GAAP","Sort=A","Dates=H","DateFormat=P","Fill=—","Direction=H","UseDPDF=Y")</f>
        <v>37.826500000000003</v>
      </c>
      <c r="T14" s="14">
        <f>_xll.BDH("GILD US Equity","EBITDA_TO_REVENUE","FQ1 2023","FQ1 2023","Currency=USD","Period=FQ","BEST_FPERIOD_OVERRIDE=FQ","FILING_STATUS=MR","FA_ADJUSTED=GAAP","Sort=A","Dates=H","DateFormat=P","Fill=—","Direction=H","UseDPDF=Y")</f>
        <v>36.917499999999997</v>
      </c>
      <c r="U14" s="14">
        <f>_xll.BDH("GILD US Equity","EBITDA_TO_REVENUE","FQ2 2023","FQ2 2023","Currency=USD","Period=FQ","BEST_FPERIOD_OVERRIDE=FQ","FILING_STATUS=MR","FA_ADJUSTED=GAAP","Sort=A","Dates=H","DateFormat=P","Fill=—","Direction=H","UseDPDF=Y")</f>
        <v>35.550800000000002</v>
      </c>
      <c r="V14" s="14">
        <f>_xll.BDH("GILD US Equity","EBITDA_TO_REVENUE","FQ3 2023","FQ3 2023","Currency=USD","Period=FQ","BEST_FPERIOD_OVERRIDE=FQ","FILING_STATUS=MR","FA_ADJUSTED=GAAP","Sort=A","Dates=H","DateFormat=P","Fill=—","Direction=H","UseDPDF=Y")</f>
        <v>46.9011</v>
      </c>
      <c r="W14" s="14">
        <f>_xll.BDH("GILD US Equity","EBITDA_TO_REVENUE","FQ4 2023","FQ4 2023","Currency=USD","Period=FQ","BEST_FPERIOD_OVERRIDE=FQ","FILING_STATUS=MR","FA_ADJUSTED=GAAP","Sort=A","Dates=H","DateFormat=P","Fill=—","Direction=H","UseDPDF=Y")</f>
        <v>32.326099999999997</v>
      </c>
      <c r="X14" s="14">
        <f>_xll.BDH("GILD US Equity","EBITDA_TO_REVENUE","FQ1 2024","FQ1 2024","Currency=USD","Period=FQ","BEST_FPERIOD_OVERRIDE=FQ","FILING_STATUS=MR","FA_ADJUSTED=GAAP","Sort=A","Dates=H","DateFormat=P","Fill=—","Direction=H","UseDPDF=Y")</f>
        <v>-54.322499999999998</v>
      </c>
      <c r="Y14" s="14">
        <f>_xll.BDH("GILD US Equity","EBITDA_TO_REVENUE","FQ2 2024","FQ2 2024","Currency=USD","Period=FQ","BEST_FPERIOD_OVERRIDE=FQ","FILING_STATUS=MR","FA_ADJUSTED=GAAP","Sort=A","Dates=H","DateFormat=P","Fill=—","Direction=H","UseDPDF=Y")</f>
        <v>48.008099999999999</v>
      </c>
      <c r="Z14" s="14">
        <f>_xll.BDH("GILD US Equity","EBITDA_TO_REVENUE","FQ3 2024","FQ3 2024","Currency=USD","Period=FQ","BEST_FPERIOD_OVERRIDE=FQ","FILING_STATUS=MR","FA_ADJUSTED=GAAP","Sort=A","Dates=H","DateFormat=P","Fill=—","Direction=H","UseDPDF=Y")</f>
        <v>20.9145</v>
      </c>
      <c r="AA14" s="14">
        <f>_xll.BDH("GILD US Equity","EBITDA_TO_REVENUE","FQ4 2024","FQ4 2024","Currency=USD","Period=FQ","BEST_FPERIOD_OVERRIDE=FQ","FILING_STATUS=MR","FA_ADJUSTED=GAAP","Sort=A","Dates=H","DateFormat=P","Fill=—","Direction=H","UseDPDF=Y")</f>
        <v>41.5379</v>
      </c>
    </row>
    <row r="15" spans="1:27" x14ac:dyDescent="0.25">
      <c r="A15" s="10" t="s">
        <v>398</v>
      </c>
      <c r="B15" s="10" t="s">
        <v>399</v>
      </c>
      <c r="C15" s="14">
        <f>_xll.BDH("GILD US Equity","OPER_MARGIN","FQ4 2018","FQ4 2018","Currency=USD","Period=FQ","BEST_FPERIOD_OVERRIDE=FQ","FILING_STATUS=MR","FA_ADJUSTED=GAAP","Sort=A","Dates=H","DateFormat=P","Fill=—","Direction=H","UseDPDF=Y")</f>
        <v>19.741199999999999</v>
      </c>
      <c r="D15" s="14">
        <f>_xll.BDH("GILD US Equity","OPER_MARGIN","FQ1 2019","FQ1 2019","Currency=USD","Period=FQ","BEST_FPERIOD_OVERRIDE=FQ","FILING_STATUS=MR","FA_ADJUSTED=GAAP","Sort=A","Dates=H","DateFormat=P","Fill=—","Direction=H","UseDPDF=Y")</f>
        <v>42.359400000000001</v>
      </c>
      <c r="E15" s="14">
        <f>_xll.BDH("GILD US Equity","OPER_MARGIN","FQ2 2019","FQ2 2019","Currency=USD","Period=FQ","BEST_FPERIOD_OVERRIDE=FQ","FILING_STATUS=MR","FA_ADJUSTED=GAAP","Sort=A","Dates=H","DateFormat=P","Fill=—","Direction=H","UseDPDF=Y")</f>
        <v>42.744100000000003</v>
      </c>
      <c r="F15" s="14">
        <f>_xll.BDH("GILD US Equity","OPER_MARGIN","FQ3 2019","FQ3 2019","Currency=USD","Period=FQ","BEST_FPERIOD_OVERRIDE=FQ","FILING_STATUS=MR","FA_ADJUSTED=GAAP","Sort=A","Dates=H","DateFormat=P","Fill=—","Direction=H","UseDPDF=Y")</f>
        <v>-26.284800000000001</v>
      </c>
      <c r="G15" s="14">
        <f>_xll.BDH("GILD US Equity","OPER_MARGIN","FQ4 2019","FQ4 2019","Currency=USD","Period=FQ","BEST_FPERIOD_OVERRIDE=FQ","FILING_STATUS=MR","FA_ADJUSTED=GAAP","Sort=A","Dates=H","DateFormat=P","Fill=—","Direction=H","UseDPDF=Y")</f>
        <v>18.5916</v>
      </c>
      <c r="H15" s="14">
        <f>_xll.BDH("GILD US Equity","OPER_MARGIN","FQ1 2020","FQ1 2020","Currency=USD","Period=FQ","BEST_FPERIOD_OVERRIDE=FQ","FILING_STATUS=MR","FA_ADJUSTED=GAAP","Sort=A","Dates=H","DateFormat=P","Fill=—","Direction=H","UseDPDF=Y")</f>
        <v>43.294899999999998</v>
      </c>
      <c r="I15" s="14">
        <f>_xll.BDH("GILD US Equity","OPER_MARGIN","FQ2 2020","FQ2 2020","Currency=USD","Period=FQ","BEST_FPERIOD_OVERRIDE=FQ","FILING_STATUS=MR","FA_ADJUSTED=GAAP","Sort=A","Dates=H","DateFormat=P","Fill=—","Direction=H","UseDPDF=Y")</f>
        <v>-58.001199999999997</v>
      </c>
      <c r="J15" s="14">
        <f>_xll.BDH("GILD US Equity","OPER_MARGIN","FQ3 2020","FQ3 2020","Currency=USD","Period=FQ","BEST_FPERIOD_OVERRIDE=FQ","FILING_STATUS=MR","FA_ADJUSTED=GAAP","Sort=A","Dates=H","DateFormat=P","Fill=—","Direction=H","UseDPDF=Y")</f>
        <v>30.424199999999999</v>
      </c>
      <c r="K15" s="14">
        <f>_xll.BDH("GILD US Equity","OPER_MARGIN","FQ4 2020","FQ4 2020","Currency=USD","Period=FQ","BEST_FPERIOD_OVERRIDE=FQ","FILING_STATUS=MR","FA_ADJUSTED=GAAP","Sort=A","Dates=H","DateFormat=P","Fill=—","Direction=H","UseDPDF=Y")</f>
        <v>35.722900000000003</v>
      </c>
      <c r="L15" s="14">
        <f>_xll.BDH("GILD US Equity","OPER_MARGIN","FQ1 2021","FQ1 2021","Currency=USD","Period=FQ","BEST_FPERIOD_OVERRIDE=FQ","FILING_STATUS=MR","FA_ADJUSTED=GAAP","Sort=A","Dates=H","DateFormat=P","Fill=—","Direction=H","UseDPDF=Y")</f>
        <v>44.994599999999998</v>
      </c>
      <c r="M15" s="14">
        <f>_xll.BDH("GILD US Equity","OPER_MARGIN","FQ2 2021","FQ2 2021","Currency=USD","Period=FQ","BEST_FPERIOD_OVERRIDE=FQ","FILING_STATUS=MR","FA_ADJUSTED=GAAP","Sort=A","Dates=H","DateFormat=P","Fill=—","Direction=H","UseDPDF=Y")</f>
        <v>36.1267</v>
      </c>
      <c r="N15" s="14">
        <f>_xll.BDH("GILD US Equity","OPER_MARGIN","FQ3 2021","FQ3 2021","Currency=USD","Period=FQ","BEST_FPERIOD_OVERRIDE=FQ","FILING_STATUS=MR","FA_ADJUSTED=GAAP","Sort=A","Dates=H","DateFormat=P","Fill=—","Direction=H","UseDPDF=Y")</f>
        <v>51.771999999999998</v>
      </c>
      <c r="O15" s="14">
        <f>_xll.BDH("GILD US Equity","OPER_MARGIN","FQ4 2021","FQ4 2021","Currency=USD","Period=FQ","BEST_FPERIOD_OVERRIDE=FQ","FILING_STATUS=MR","FA_ADJUSTED=GAAP","Sort=A","Dates=H","DateFormat=P","Fill=—","Direction=H","UseDPDF=Y")</f>
        <v>12.9763</v>
      </c>
      <c r="P15" s="14">
        <f>_xll.BDH("GILD US Equity","OPER_MARGIN","FQ1 2022","FQ1 2022","Currency=USD","Period=FQ","BEST_FPERIOD_OVERRIDE=FQ","FILING_STATUS=MR","FA_ADJUSTED=GAAP","Sort=A","Dates=H","DateFormat=P","Fill=—","Direction=H","UseDPDF=Y")</f>
        <v>2.9893999999999998</v>
      </c>
      <c r="Q15" s="14">
        <f>_xll.BDH("GILD US Equity","OPER_MARGIN","FQ2 2022","FQ2 2022","Currency=USD","Period=FQ","BEST_FPERIOD_OVERRIDE=FQ","FILING_STATUS=MR","FA_ADJUSTED=GAAP","Sort=A","Dates=H","DateFormat=P","Fill=—","Direction=H","UseDPDF=Y")</f>
        <v>32.412100000000002</v>
      </c>
      <c r="R15" s="14">
        <f>_xll.BDH("GILD US Equity","OPER_MARGIN","FQ3 2022","FQ3 2022","Currency=USD","Period=FQ","BEST_FPERIOD_OVERRIDE=FQ","FILING_STATUS=MR","FA_ADJUSTED=GAAP","Sort=A","Dates=H","DateFormat=P","Fill=—","Direction=H","UseDPDF=Y")</f>
        <v>40.286900000000003</v>
      </c>
      <c r="S15" s="14">
        <f>_xll.BDH("GILD US Equity","OPER_MARGIN","FQ4 2022","FQ4 2022","Currency=USD","Period=FQ","BEST_FPERIOD_OVERRIDE=FQ","FILING_STATUS=MR","FA_ADJUSTED=GAAP","Sort=A","Dates=H","DateFormat=P","Fill=—","Direction=H","UseDPDF=Y")</f>
        <v>30.680700000000002</v>
      </c>
      <c r="T15" s="14">
        <f>_xll.BDH("GILD US Equity","OPER_MARGIN","FQ1 2023","FQ1 2023","Currency=USD","Period=FQ","BEST_FPERIOD_OVERRIDE=FQ","FILING_STATUS=MR","FA_ADJUSTED=GAAP","Sort=A","Dates=H","DateFormat=P","Fill=—","Direction=H","UseDPDF=Y")</f>
        <v>26.841899999999999</v>
      </c>
      <c r="U15" s="14">
        <f>_xll.BDH("GILD US Equity","OPER_MARGIN","FQ2 2023","FQ2 2023","Currency=USD","Period=FQ","BEST_FPERIOD_OVERRIDE=FQ","FILING_STATUS=MR","FA_ADJUSTED=GAAP","Sort=A","Dates=H","DateFormat=P","Fill=—","Direction=H","UseDPDF=Y")</f>
        <v>25.231100000000001</v>
      </c>
      <c r="V15" s="14">
        <f>_xll.BDH("GILD US Equity","OPER_MARGIN","FQ3 2023","FQ3 2023","Currency=USD","Period=FQ","BEST_FPERIOD_OVERRIDE=FQ","FILING_STATUS=MR","FA_ADJUSTED=GAAP","Sort=A","Dates=H","DateFormat=P","Fill=—","Direction=H","UseDPDF=Y")</f>
        <v>37.200400000000002</v>
      </c>
      <c r="W15" s="14">
        <f>_xll.BDH("GILD US Equity","OPER_MARGIN","FQ4 2023","FQ4 2023","Currency=USD","Period=FQ","BEST_FPERIOD_OVERRIDE=FQ","FILING_STATUS=MR","FA_ADJUSTED=GAAP","Sort=A","Dates=H","DateFormat=P","Fill=—","Direction=H","UseDPDF=Y")</f>
        <v>22.656400000000001</v>
      </c>
      <c r="X15" s="14">
        <f>_xll.BDH("GILD US Equity","OPER_MARGIN","FQ1 2024","FQ1 2024","Currency=USD","Period=FQ","BEST_FPERIOD_OVERRIDE=FQ","FILING_STATUS=MR","FA_ADJUSTED=GAAP","Sort=A","Dates=H","DateFormat=P","Fill=—","Direction=H","UseDPDF=Y")</f>
        <v>-64.642499999999998</v>
      </c>
      <c r="Y15" s="14">
        <f>_xll.BDH("GILD US Equity","OPER_MARGIN","FQ2 2024","FQ2 2024","Currency=USD","Period=FQ","BEST_FPERIOD_OVERRIDE=FQ","FILING_STATUS=MR","FA_ADJUSTED=GAAP","Sort=A","Dates=H","DateFormat=P","Fill=—","Direction=H","UseDPDF=Y")</f>
        <v>38.026800000000001</v>
      </c>
      <c r="Z15" s="14">
        <f>_xll.BDH("GILD US Equity","OPER_MARGIN","FQ3 2024","FQ3 2024","Currency=USD","Period=FQ","BEST_FPERIOD_OVERRIDE=FQ","FILING_STATUS=MR","FA_ADJUSTED=GAAP","Sort=A","Dates=H","DateFormat=P","Fill=—","Direction=H","UseDPDF=Y")</f>
        <v>11.769399999999999</v>
      </c>
      <c r="AA15" s="14">
        <f>_xll.BDH("GILD US Equity","OPER_MARGIN","FQ4 2024","FQ4 2024","Currency=USD","Period=FQ","BEST_FPERIOD_OVERRIDE=FQ","FILING_STATUS=MR","FA_ADJUSTED=GAAP","Sort=A","Dates=H","DateFormat=P","Fill=—","Direction=H","UseDPDF=Y")</f>
        <v>32.382100000000001</v>
      </c>
    </row>
    <row r="16" spans="1:27" x14ac:dyDescent="0.25">
      <c r="A16" s="10" t="s">
        <v>1493</v>
      </c>
      <c r="B16" s="10" t="s">
        <v>1494</v>
      </c>
      <c r="C16" s="14">
        <f>_xll.BDH("GILD US Equity","INCREMENTAL_OPERATING_MARGIN","FQ4 2018","FQ4 2018","Currency=USD","Period=FQ","BEST_FPERIOD_OVERRIDE=FQ","FILING_STATUS=MR","FA_ADJUSTED=GAAP","Sort=A","Dates=H","DateFormat=P","Fill=—","Direction=H","UseDPDF=Y")</f>
        <v>-744.80520000000001</v>
      </c>
      <c r="D16" s="14">
        <f>_xll.BDH("GILD US Equity","INCREMENTAL_OPERATING_MARGIN","FQ1 2019","FQ1 2019","Currency=USD","Period=FQ","BEST_FPERIOD_OVERRIDE=FQ","FILING_STATUS=MR","FA_ADJUSTED=GAAP","Sort=A","Dates=H","DateFormat=P","Fill=—","Direction=H","UseDPDF=Y")</f>
        <v>43.523299999999999</v>
      </c>
      <c r="E16" s="14">
        <f>_xll.BDH("GILD US Equity","INCREMENTAL_OPERATING_MARGIN","FQ2 2019","FQ2 2019","Currency=USD","Period=FQ","BEST_FPERIOD_OVERRIDE=FQ","FILING_STATUS=MR","FA_ADJUSTED=GAAP","Sort=A","Dates=H","DateFormat=P","Fill=—","Direction=H","UseDPDF=Y")</f>
        <v>405.40539999999999</v>
      </c>
      <c r="F16" s="14" t="str">
        <f>_xll.BDH("GILD US Equity","INCREMENTAL_OPERATING_MARGIN","FQ3 2019","FQ3 2019","Currency=USD","Period=FQ","BEST_FPERIOD_OVERRIDE=FQ","FILING_STATUS=MR","FA_ADJUSTED=GAAP","Sort=A","Dates=H","DateFormat=P","Fill=—","Direction=H","UseDPDF=Y")</f>
        <v>—</v>
      </c>
      <c r="G16" s="14" t="str">
        <f>_xll.BDH("GILD US Equity","INCREMENTAL_OPERATING_MARGIN","FQ4 2019","FQ4 2019","Currency=USD","Period=FQ","BEST_FPERIOD_OVERRIDE=FQ","FILING_STATUS=MR","FA_ADJUSTED=GAAP","Sort=A","Dates=H","DateFormat=P","Fill=—","Direction=H","UseDPDF=Y")</f>
        <v>—</v>
      </c>
      <c r="H16" s="14">
        <f>_xll.BDH("GILD US Equity","INCREMENTAL_OPERATING_MARGIN","FQ1 2020","FQ1 2020","Currency=USD","Period=FQ","BEST_FPERIOD_OVERRIDE=FQ","FILING_STATUS=MR","FA_ADJUSTED=GAAP","Sort=A","Dates=H","DateFormat=P","Fill=—","Direction=H","UseDPDF=Y")</f>
        <v>61.797800000000002</v>
      </c>
      <c r="I16" s="14">
        <f>_xll.BDH("GILD US Equity","INCREMENTAL_OPERATING_MARGIN","FQ2 2020","FQ2 2020","Currency=USD","Period=FQ","BEST_FPERIOD_OVERRIDE=FQ","FILING_STATUS=MR","FA_ADJUSTED=GAAP","Sort=A","Dates=H","DateFormat=P","Fill=—","Direction=H","UseDPDF=Y")</f>
        <v>-998.70849999999996</v>
      </c>
      <c r="J16" s="14">
        <f>_xll.BDH("GILD US Equity","INCREMENTAL_OPERATING_MARGIN","FQ3 2020","FQ3 2020","Currency=USD","Period=FQ","BEST_FPERIOD_OVERRIDE=FQ","FILING_STATUS=MR","FA_ADJUSTED=GAAP","Sort=A","Dates=H","DateFormat=P","Fill=—","Direction=H","UseDPDF=Y")</f>
        <v>357.0401</v>
      </c>
      <c r="K16" s="14">
        <f>_xll.BDH("GILD US Equity","INCREMENTAL_OPERATING_MARGIN","FQ4 2020","FQ4 2020","Currency=USD","Period=FQ","BEST_FPERIOD_OVERRIDE=FQ","FILING_STATUS=MR","FA_ADJUSTED=GAAP","Sort=A","Dates=H","DateFormat=P","Fill=—","Direction=H","UseDPDF=Y")</f>
        <v>101.0376</v>
      </c>
      <c r="L16" s="14">
        <f>_xll.BDH("GILD US Equity","INCREMENTAL_OPERATING_MARGIN","FQ1 2021","FQ1 2021","Currency=USD","Period=FQ","BEST_FPERIOD_OVERRIDE=FQ","FILING_STATUS=MR","FA_ADJUSTED=GAAP","Sort=A","Dates=H","DateFormat=P","Fill=—","Direction=H","UseDPDF=Y")</f>
        <v>55.7714</v>
      </c>
      <c r="M16" s="14">
        <f>_xll.BDH("GILD US Equity","INCREMENTAL_OPERATING_MARGIN","FQ2 2021","FQ2 2021","Currency=USD","Period=FQ","BEST_FPERIOD_OVERRIDE=FQ","FILING_STATUS=MR","FA_ADJUSTED=GAAP","Sort=A","Dates=H","DateFormat=P","Fill=—","Direction=H","UseDPDF=Y")</f>
        <v>486.87150000000003</v>
      </c>
      <c r="N16" s="14">
        <f>_xll.BDH("GILD US Equity","INCREMENTAL_OPERATING_MARGIN","FQ3 2021","FQ3 2021","Currency=USD","Period=FQ","BEST_FPERIOD_OVERRIDE=FQ","FILING_STATUS=MR","FA_ADJUSTED=GAAP","Sort=A","Dates=H","DateFormat=P","Fill=—","Direction=H","UseDPDF=Y")</f>
        <v>218.12799999999999</v>
      </c>
      <c r="O16" s="14">
        <f>_xll.BDH("GILD US Equity","INCREMENTAL_OPERATING_MARGIN","FQ4 2021","FQ4 2021","Currency=USD","Period=FQ","BEST_FPERIOD_OVERRIDE=FQ","FILING_STATUS=MR","FA_ADJUSTED=GAAP","Sort=A","Dates=H","DateFormat=P","Fill=—","Direction=H","UseDPDF=Y")</f>
        <v>-966.66669999999999</v>
      </c>
      <c r="P16" s="14" t="str">
        <f>_xll.BDH("GILD US Equity","INCREMENTAL_OPERATING_MARGIN","FQ1 2022","FQ1 2022","Currency=USD","Period=FQ","BEST_FPERIOD_OVERRIDE=FQ","FILING_STATUS=MR","FA_ADJUSTED=GAAP","Sort=A","Dates=H","DateFormat=P","Fill=—","Direction=H","UseDPDF=Y")</f>
        <v>—</v>
      </c>
      <c r="Q16" s="14" t="str">
        <f>_xll.BDH("GILD US Equity","INCREMENTAL_OPERATING_MARGIN","FQ2 2022","FQ2 2022","Currency=USD","Period=FQ","BEST_FPERIOD_OVERRIDE=FQ","FILING_STATUS=MR","FA_ADJUSTED=GAAP","Sort=A","Dates=H","DateFormat=P","Fill=—","Direction=H","UseDPDF=Y")</f>
        <v>—</v>
      </c>
      <c r="R16" s="14">
        <f>_xll.BDH("GILD US Equity","INCREMENTAL_OPERATING_MARGIN","FQ3 2022","FQ3 2022","Currency=USD","Period=FQ","BEST_FPERIOD_OVERRIDE=FQ","FILING_STATUS=MR","FA_ADJUSTED=GAAP","Sort=A","Dates=H","DateFormat=P","Fill=—","Direction=H","UseDPDF=Y")</f>
        <v>-265.17149999999998</v>
      </c>
      <c r="S16" s="14">
        <f>_xll.BDH("GILD US Equity","INCREMENTAL_OPERATING_MARGIN","FQ4 2022","FQ4 2022","Currency=USD","Period=FQ","BEST_FPERIOD_OVERRIDE=FQ","FILING_STATUS=MR","FA_ADJUSTED=GAAP","Sort=A","Dates=H","DateFormat=P","Fill=—","Direction=H","UseDPDF=Y")</f>
        <v>915.17240000000004</v>
      </c>
      <c r="T16" s="14" t="str">
        <f>_xll.BDH("GILD US Equity","INCREMENTAL_OPERATING_MARGIN","FQ1 2023","FQ1 2023","Currency=USD","Period=FQ","BEST_FPERIOD_OVERRIDE=FQ","FILING_STATUS=MR","FA_ADJUSTED=GAAP","Sort=A","Dates=H","DateFormat=P","Fill=—","Direction=H","UseDPDF=Y")</f>
        <v>—</v>
      </c>
      <c r="U16" s="14" t="str">
        <f>_xll.BDH("GILD US Equity","INCREMENTAL_OPERATING_MARGIN","FQ2 2023","FQ2 2023","Currency=USD","Period=FQ","BEST_FPERIOD_OVERRIDE=FQ","FILING_STATUS=MR","FA_ADJUSTED=GAAP","Sort=A","Dates=H","DateFormat=P","Fill=—","Direction=H","UseDPDF=Y")</f>
        <v>—</v>
      </c>
      <c r="V16" s="14" t="str">
        <f>_xll.BDH("GILD US Equity","INCREMENTAL_OPERATING_MARGIN","FQ3 2023","FQ3 2023","Currency=USD","Period=FQ","BEST_FPERIOD_OVERRIDE=FQ","FILING_STATUS=MR","FA_ADJUSTED=GAAP","Sort=A","Dates=H","DateFormat=P","Fill=—","Direction=H","UseDPDF=Y")</f>
        <v>—</v>
      </c>
      <c r="W16" s="14">
        <f>_xll.BDH("GILD US Equity","INCREMENTAL_OPERATING_MARGIN","FQ4 2023","FQ4 2023","Currency=USD","Period=FQ","BEST_FPERIOD_OVERRIDE=FQ","FILING_STATUS=MR","FA_ADJUSTED=GAAP","Sort=A","Dates=H","DateFormat=P","Fill=—","Direction=H","UseDPDF=Y")</f>
        <v>-239.05109999999999</v>
      </c>
      <c r="X16" s="14" t="str">
        <f>_xll.BDH("GILD US Equity","INCREMENTAL_OPERATING_MARGIN","FQ1 2024","FQ1 2024","Currency=USD","Period=FQ","BEST_FPERIOD_OVERRIDE=FQ","FILING_STATUS=MR","FA_ADJUSTED=GAAP","Sort=A","Dates=H","DateFormat=P","Fill=—","Direction=H","UseDPDF=Y")</f>
        <v>—</v>
      </c>
      <c r="Y16" s="14">
        <f>_xll.BDH("GILD US Equity","INCREMENTAL_OPERATING_MARGIN","FQ2 2024","FQ2 2024","Currency=USD","Period=FQ","BEST_FPERIOD_OVERRIDE=FQ","FILING_STATUS=MR","FA_ADJUSTED=GAAP","Sort=A","Dates=H","DateFormat=P","Fill=—","Direction=H","UseDPDF=Y")</f>
        <v>276.55369999999999</v>
      </c>
      <c r="Z16" s="14" t="str">
        <f>_xll.BDH("GILD US Equity","INCREMENTAL_OPERATING_MARGIN","FQ3 2024","FQ3 2024","Currency=USD","Period=FQ","BEST_FPERIOD_OVERRIDE=FQ","FILING_STATUS=MR","FA_ADJUSTED=GAAP","Sort=A","Dates=H","DateFormat=P","Fill=—","Direction=H","UseDPDF=Y")</f>
        <v>—</v>
      </c>
      <c r="AA16" s="14">
        <f>_xll.BDH("GILD US Equity","INCREMENTAL_OPERATING_MARGIN","FQ4 2024","FQ4 2024","Currency=USD","Period=FQ","BEST_FPERIOD_OVERRIDE=FQ","FILING_STATUS=MR","FA_ADJUSTED=GAAP","Sort=A","Dates=H","DateFormat=P","Fill=—","Direction=H","UseDPDF=Y")</f>
        <v>184.80179999999999</v>
      </c>
    </row>
    <row r="17" spans="1:27" x14ac:dyDescent="0.25">
      <c r="A17" s="10" t="s">
        <v>1495</v>
      </c>
      <c r="B17" s="10" t="s">
        <v>1496</v>
      </c>
      <c r="C17" s="14">
        <f>_xll.BDH("GILD US Equity","PRETAX_INC_TO_NET_SALES","FQ4 2018","FQ4 2018","Currency=USD","Period=FQ","BEST_FPERIOD_OVERRIDE=FQ","FILING_STATUS=MR","FA_ADJUSTED=GAAP","Sort=A","Dates=H","DateFormat=P","Fill=—","Direction=H","UseDPDF=Y")</f>
        <v>17.532399999999999</v>
      </c>
      <c r="D17" s="14">
        <f>_xll.BDH("GILD US Equity","PRETAX_INC_TO_NET_SALES","FQ1 2019","FQ1 2019","Currency=USD","Period=FQ","BEST_FPERIOD_OVERRIDE=FQ","FILING_STATUS=MR","FA_ADJUSTED=GAAP","Sort=A","Dates=H","DateFormat=P","Fill=—","Direction=H","UseDPDF=Y")</f>
        <v>44.499099999999999</v>
      </c>
      <c r="E17" s="14">
        <f>_xll.BDH("GILD US Equity","PRETAX_INC_TO_NET_SALES","FQ2 2019","FQ2 2019","Currency=USD","Period=FQ","BEST_FPERIOD_OVERRIDE=FQ","FILING_STATUS=MR","FA_ADJUSTED=GAAP","Sort=A","Dates=H","DateFormat=P","Fill=—","Direction=H","UseDPDF=Y")</f>
        <v>42.392299999999999</v>
      </c>
      <c r="F17" s="14">
        <f>_xll.BDH("GILD US Equity","PRETAX_INC_TO_NET_SALES","FQ3 2019","FQ3 2019","Currency=USD","Period=FQ","BEST_FPERIOD_OVERRIDE=FQ","FILING_STATUS=MR","FA_ADJUSTED=GAAP","Sort=A","Dates=H","DateFormat=P","Fill=—","Direction=H","UseDPDF=Y")</f>
        <v>-26.784400000000002</v>
      </c>
      <c r="G17" s="14">
        <f>_xll.BDH("GILD US Equity","PRETAX_INC_TO_NET_SALES","FQ4 2019","FQ4 2019","Currency=USD","Period=FQ","BEST_FPERIOD_OVERRIDE=FQ","FILING_STATUS=MR","FA_ADJUSTED=GAAP","Sort=A","Dates=H","DateFormat=P","Fill=—","Direction=H","UseDPDF=Y")</f>
        <v>32.3354</v>
      </c>
      <c r="H17" s="14">
        <f>_xll.BDH("GILD US Equity","PRETAX_INC_TO_NET_SALES","FQ1 2020","FQ1 2020","Currency=USD","Period=FQ","BEST_FPERIOD_OVERRIDE=FQ","FILING_STATUS=MR","FA_ADJUSTED=GAAP","Sort=A","Dates=H","DateFormat=P","Fill=—","Direction=H","UseDPDF=Y")</f>
        <v>36.103099999999998</v>
      </c>
      <c r="I17" s="14">
        <f>_xll.BDH("GILD US Equity","PRETAX_INC_TO_NET_SALES","FQ2 2020","FQ2 2020","Currency=USD","Period=FQ","BEST_FPERIOD_OVERRIDE=FQ","FILING_STATUS=MR","FA_ADJUSTED=GAAP","Sort=A","Dates=H","DateFormat=P","Fill=—","Direction=H","UseDPDF=Y")</f>
        <v>-57.806699999999999</v>
      </c>
      <c r="J17" s="14">
        <f>_xll.BDH("GILD US Equity","PRETAX_INC_TO_NET_SALES","FQ3 2020","FQ3 2020","Currency=USD","Period=FQ","BEST_FPERIOD_OVERRIDE=FQ","FILING_STATUS=MR","FA_ADJUSTED=GAAP","Sort=A","Dates=H","DateFormat=P","Fill=—","Direction=H","UseDPDF=Y")</f>
        <v>12.543699999999999</v>
      </c>
      <c r="K17" s="14">
        <f>_xll.BDH("GILD US Equity","PRETAX_INC_TO_NET_SALES","FQ4 2020","FQ4 2020","Currency=USD","Period=FQ","BEST_FPERIOD_OVERRIDE=FQ","FILING_STATUS=MR","FA_ADJUSTED=GAAP","Sort=A","Dates=H","DateFormat=P","Fill=—","Direction=H","UseDPDF=Y")</f>
        <v>24.444099999999999</v>
      </c>
      <c r="L17" s="14">
        <f>_xll.BDH("GILD US Equity","PRETAX_INC_TO_NET_SALES","FQ1 2021","FQ1 2021","Currency=USD","Period=FQ","BEST_FPERIOD_OVERRIDE=FQ","FILING_STATUS=MR","FA_ADJUSTED=GAAP","Sort=A","Dates=H","DateFormat=P","Fill=—","Direction=H","UseDPDF=Y")</f>
        <v>35.2483</v>
      </c>
      <c r="M17" s="14">
        <f>_xll.BDH("GILD US Equity","PRETAX_INC_TO_NET_SALES","FQ2 2021","FQ2 2021","Currency=USD","Period=FQ","BEST_FPERIOD_OVERRIDE=FQ","FILING_STATUS=MR","FA_ADJUSTED=GAAP","Sort=A","Dates=H","DateFormat=P","Fill=—","Direction=H","UseDPDF=Y")</f>
        <v>29.226299999999998</v>
      </c>
      <c r="N17" s="14">
        <f>_xll.BDH("GILD US Equity","PRETAX_INC_TO_NET_SALES","FQ3 2021","FQ3 2021","Currency=USD","Period=FQ","BEST_FPERIOD_OVERRIDE=FQ","FILING_STATUS=MR","FA_ADJUSTED=GAAP","Sort=A","Dates=H","DateFormat=P","Fill=—","Direction=H","UseDPDF=Y")</f>
        <v>46.328000000000003</v>
      </c>
      <c r="O17" s="14">
        <f>_xll.BDH("GILD US Equity","PRETAX_INC_TO_NET_SALES","FQ4 2021","FQ4 2021","Currency=USD","Period=FQ","BEST_FPERIOD_OVERRIDE=FQ","FILING_STATUS=MR","FA_ADJUSTED=GAAP","Sort=A","Dates=H","DateFormat=P","Fill=—","Direction=H","UseDPDF=Y")</f>
        <v>10.477600000000001</v>
      </c>
      <c r="P17" s="14">
        <f>_xll.BDH("GILD US Equity","PRETAX_INC_TO_NET_SALES","FQ1 2022","FQ1 2022","Currency=USD","Period=FQ","BEST_FPERIOD_OVERRIDE=FQ","FILING_STATUS=MR","FA_ADJUSTED=GAAP","Sort=A","Dates=H","DateFormat=P","Fill=—","Direction=H","UseDPDF=Y")</f>
        <v>-2.3065000000000002</v>
      </c>
      <c r="Q17" s="14">
        <f>_xll.BDH("GILD US Equity","PRETAX_INC_TO_NET_SALES","FQ2 2022","FQ2 2022","Currency=USD","Period=FQ","BEST_FPERIOD_OVERRIDE=FQ","FILING_STATUS=MR","FA_ADJUSTED=GAAP","Sort=A","Dates=H","DateFormat=P","Fill=—","Direction=H","UseDPDF=Y")</f>
        <v>24.009599999999999</v>
      </c>
      <c r="R17" s="14">
        <f>_xll.BDH("GILD US Equity","PRETAX_INC_TO_NET_SALES","FQ3 2022","FQ3 2022","Currency=USD","Period=FQ","BEST_FPERIOD_OVERRIDE=FQ","FILING_STATUS=MR","FA_ADJUSTED=GAAP","Sort=A","Dates=H","DateFormat=P","Fill=—","Direction=H","UseDPDF=Y")</f>
        <v>34.535600000000002</v>
      </c>
      <c r="S17" s="14">
        <f>_xll.BDH("GILD US Equity","PRETAX_INC_TO_NET_SALES","FQ4 2022","FQ4 2022","Currency=USD","Period=FQ","BEST_FPERIOD_OVERRIDE=FQ","FILING_STATUS=MR","FA_ADJUSTED=GAAP","Sort=A","Dates=H","DateFormat=P","Fill=—","Direction=H","UseDPDF=Y")</f>
        <v>27.486799999999999</v>
      </c>
      <c r="T17" s="14">
        <f>_xll.BDH("GILD US Equity","PRETAX_INC_TO_NET_SALES","FQ1 2023","FQ1 2023","Currency=USD","Period=FQ","BEST_FPERIOD_OVERRIDE=FQ","FILING_STATUS=MR","FA_ADJUSTED=GAAP","Sort=A","Dates=H","DateFormat=P","Fill=—","Direction=H","UseDPDF=Y")</f>
        <v>20.466000000000001</v>
      </c>
      <c r="U17" s="14">
        <f>_xll.BDH("GILD US Equity","PRETAX_INC_TO_NET_SALES","FQ2 2023","FQ2 2023","Currency=USD","Period=FQ","BEST_FPERIOD_OVERRIDE=FQ","FILING_STATUS=MR","FA_ADJUSTED=GAAP","Sort=A","Dates=H","DateFormat=P","Fill=—","Direction=H","UseDPDF=Y")</f>
        <v>24.064299999999999</v>
      </c>
      <c r="V17" s="14">
        <f>_xll.BDH("GILD US Equity","PRETAX_INC_TO_NET_SALES","FQ3 2023","FQ3 2023","Currency=USD","Period=FQ","BEST_FPERIOD_OVERRIDE=FQ","FILING_STATUS=MR","FA_ADJUSTED=GAAP","Sort=A","Dates=H","DateFormat=P","Fill=—","Direction=H","UseDPDF=Y")</f>
        <v>32.889000000000003</v>
      </c>
      <c r="W17" s="14">
        <f>_xll.BDH("GILD US Equity","PRETAX_INC_TO_NET_SALES","FQ4 2023","FQ4 2023","Currency=USD","Period=FQ","BEST_FPERIOD_OVERRIDE=FQ","FILING_STATUS=MR","FA_ADJUSTED=GAAP","Sort=A","Dates=H","DateFormat=P","Fill=—","Direction=H","UseDPDF=Y")</f>
        <v>23.232600000000001</v>
      </c>
      <c r="X17" s="14">
        <f>_xll.BDH("GILD US Equity","PRETAX_INC_TO_NET_SALES","FQ1 2024","FQ1 2024","Currency=USD","Period=FQ","BEST_FPERIOD_OVERRIDE=FQ","FILING_STATUS=MR","FA_ADJUSTED=GAAP","Sort=A","Dates=H","DateFormat=P","Fill=—","Direction=H","UseDPDF=Y")</f>
        <v>-67.095399999999998</v>
      </c>
      <c r="Y17" s="14">
        <f>_xll.BDH("GILD US Equity","PRETAX_INC_TO_NET_SALES","FQ2 2024","FQ2 2024","Currency=USD","Period=FQ","BEST_FPERIOD_OVERRIDE=FQ","FILING_STATUS=MR","FA_ADJUSTED=GAAP","Sort=A","Dates=H","DateFormat=P","Fill=—","Direction=H","UseDPDF=Y")</f>
        <v>29.526800000000001</v>
      </c>
      <c r="Z17" s="14">
        <f>_xll.BDH("GILD US Equity","PRETAX_INC_TO_NET_SALES","FQ3 2024","FQ3 2024","Currency=USD","Period=FQ","BEST_FPERIOD_OVERRIDE=FQ","FILING_STATUS=MR","FA_ADJUSTED=GAAP","Sort=A","Dates=H","DateFormat=P","Fill=—","Direction=H","UseDPDF=Y")</f>
        <v>12.6706</v>
      </c>
      <c r="AA17" s="14">
        <f>_xll.BDH("GILD US Equity","PRETAX_INC_TO_NET_SALES","FQ4 2024","FQ4 2024","Currency=USD","Period=FQ","BEST_FPERIOD_OVERRIDE=FQ","FILING_STATUS=MR","FA_ADJUSTED=GAAP","Sort=A","Dates=H","DateFormat=P","Fill=—","Direction=H","UseDPDF=Y")</f>
        <v>28.6431</v>
      </c>
    </row>
    <row r="18" spans="1:27" x14ac:dyDescent="0.25">
      <c r="A18" s="10" t="s">
        <v>1497</v>
      </c>
      <c r="B18" s="10" t="s">
        <v>1498</v>
      </c>
      <c r="C18" s="14">
        <f>_xll.BDH("GILD US Equity","INC_BEF_XO_ITEMS_TO_NET_SALES","FQ4 2018","FQ4 2018","Currency=USD","Period=FQ","BEST_FPERIOD_OVERRIDE=FQ","FILING_STATUS=MR","FA_ADJUSTED=GAAP","Sort=A","Dates=H","DateFormat=P","Fill=—","Direction=H","UseDPDF=Y")</f>
        <v>5.1799999999999999E-2</v>
      </c>
      <c r="D18" s="14">
        <f>_xll.BDH("GILD US Equity","INC_BEF_XO_ITEMS_TO_NET_SALES","FQ1 2019","FQ1 2019","Currency=USD","Period=FQ","BEST_FPERIOD_OVERRIDE=FQ","FILING_STATUS=MR","FA_ADJUSTED=GAAP","Sort=A","Dates=H","DateFormat=P","Fill=—","Direction=H","UseDPDF=Y")</f>
        <v>37.265700000000002</v>
      </c>
      <c r="E18" s="14">
        <f>_xll.BDH("GILD US Equity","INC_BEF_XO_ITEMS_TO_NET_SALES","FQ2 2019","FQ2 2019","Currency=USD","Period=FQ","BEST_FPERIOD_OVERRIDE=FQ","FILING_STATUS=MR","FA_ADJUSTED=GAAP","Sort=A","Dates=H","DateFormat=P","Fill=—","Direction=H","UseDPDF=Y")</f>
        <v>32.981499999999997</v>
      </c>
      <c r="F18" s="14">
        <f>_xll.BDH("GILD US Equity","INC_BEF_XO_ITEMS_TO_NET_SALES","FQ3 2019","FQ3 2019","Currency=USD","Period=FQ","BEST_FPERIOD_OVERRIDE=FQ","FILING_STATUS=MR","FA_ADJUSTED=GAAP","Sort=A","Dates=H","DateFormat=P","Fill=—","Direction=H","UseDPDF=Y")</f>
        <v>-20.842300000000002</v>
      </c>
      <c r="G18" s="14">
        <f>_xll.BDH("GILD US Equity","INC_BEF_XO_ITEMS_TO_NET_SALES","FQ4 2019","FQ4 2019","Currency=USD","Period=FQ","BEST_FPERIOD_OVERRIDE=FQ","FILING_STATUS=MR","FA_ADJUSTED=GAAP","Sort=A","Dates=H","DateFormat=P","Fill=—","Direction=H","UseDPDF=Y")</f>
        <v>45.739100000000001</v>
      </c>
      <c r="H18" s="14">
        <f>_xll.BDH("GILD US Equity","INC_BEF_XO_ITEMS_TO_NET_SALES","FQ1 2020","FQ1 2020","Currency=USD","Period=FQ","BEST_FPERIOD_OVERRIDE=FQ","FILING_STATUS=MR","FA_ADJUSTED=GAAP","Sort=A","Dates=H","DateFormat=P","Fill=—","Direction=H","UseDPDF=Y")</f>
        <v>27.721699999999998</v>
      </c>
      <c r="I18" s="14">
        <f>_xll.BDH("GILD US Equity","INC_BEF_XO_ITEMS_TO_NET_SALES","FQ2 2020","FQ2 2020","Currency=USD","Period=FQ","BEST_FPERIOD_OVERRIDE=FQ","FILING_STATUS=MR","FA_ADJUSTED=GAAP","Sort=A","Dates=H","DateFormat=P","Fill=—","Direction=H","UseDPDF=Y")</f>
        <v>-65.059299999999993</v>
      </c>
      <c r="J18" s="14">
        <f>_xll.BDH("GILD US Equity","INC_BEF_XO_ITEMS_TO_NET_SALES","FQ3 2020","FQ3 2020","Currency=USD","Period=FQ","BEST_FPERIOD_OVERRIDE=FQ","FILING_STATUS=MR","FA_ADJUSTED=GAAP","Sort=A","Dates=H","DateFormat=P","Fill=—","Direction=H","UseDPDF=Y")</f>
        <v>5.3672000000000004</v>
      </c>
      <c r="K18" s="14">
        <f>_xll.BDH("GILD US Equity","INC_BEF_XO_ITEMS_TO_NET_SALES","FQ4 2020","FQ4 2020","Currency=USD","Period=FQ","BEST_FPERIOD_OVERRIDE=FQ","FILING_STATUS=MR","FA_ADJUSTED=GAAP","Sort=A","Dates=H","DateFormat=P","Fill=—","Direction=H","UseDPDF=Y")</f>
        <v>20.805800000000001</v>
      </c>
      <c r="L18" s="14">
        <f>_xll.BDH("GILD US Equity","INC_BEF_XO_ITEMS_TO_NET_SALES","FQ1 2021","FQ1 2021","Currency=USD","Period=FQ","BEST_FPERIOD_OVERRIDE=FQ","FILING_STATUS=MR","FA_ADJUSTED=GAAP","Sort=A","Dates=H","DateFormat=P","Fill=—","Direction=H","UseDPDF=Y")</f>
        <v>26.809899999999999</v>
      </c>
      <c r="M18" s="14">
        <f>_xll.BDH("GILD US Equity","INC_BEF_XO_ITEMS_TO_NET_SALES","FQ2 2021","FQ2 2021","Currency=USD","Period=FQ","BEST_FPERIOD_OVERRIDE=FQ","FILING_STATUS=MR","FA_ADJUSTED=GAAP","Sort=A","Dates=H","DateFormat=P","Fill=—","Direction=H","UseDPDF=Y")</f>
        <v>24.4008</v>
      </c>
      <c r="N18" s="14">
        <f>_xll.BDH("GILD US Equity","INC_BEF_XO_ITEMS_TO_NET_SALES","FQ3 2021","FQ3 2021","Currency=USD","Period=FQ","BEST_FPERIOD_OVERRIDE=FQ","FILING_STATUS=MR","FA_ADJUSTED=GAAP","Sort=A","Dates=H","DateFormat=P","Fill=—","Direction=H","UseDPDF=Y")</f>
        <v>34.847099999999998</v>
      </c>
      <c r="O18" s="14">
        <f>_xll.BDH("GILD US Equity","INC_BEF_XO_ITEMS_TO_NET_SALES","FQ4 2021","FQ4 2021","Currency=USD","Period=FQ","BEST_FPERIOD_OVERRIDE=FQ","FILING_STATUS=MR","FA_ADJUSTED=GAAP","Sort=A","Dates=H","DateFormat=P","Fill=—","Direction=H","UseDPDF=Y")</f>
        <v>5.1905000000000001</v>
      </c>
      <c r="P18" s="14">
        <f>_xll.BDH("GILD US Equity","INC_BEF_XO_ITEMS_TO_NET_SALES","FQ1 2022","FQ1 2022","Currency=USD","Period=FQ","BEST_FPERIOD_OVERRIDE=FQ","FILING_STATUS=MR","FA_ADJUSTED=GAAP","Sort=A","Dates=H","DateFormat=P","Fill=—","Direction=H","UseDPDF=Y")</f>
        <v>0.18210000000000001</v>
      </c>
      <c r="Q18" s="14">
        <f>_xll.BDH("GILD US Equity","INC_BEF_XO_ITEMS_TO_NET_SALES","FQ2 2022","FQ2 2022","Currency=USD","Period=FQ","BEST_FPERIOD_OVERRIDE=FQ","FILING_STATUS=MR","FA_ADJUSTED=GAAP","Sort=A","Dates=H","DateFormat=P","Fill=—","Direction=H","UseDPDF=Y")</f>
        <v>18.131</v>
      </c>
      <c r="R18" s="14">
        <f>_xll.BDH("GILD US Equity","INC_BEF_XO_ITEMS_TO_NET_SALES","FQ3 2022","FQ3 2022","Currency=USD","Period=FQ","BEST_FPERIOD_OVERRIDE=FQ","FILING_STATUS=MR","FA_ADJUSTED=GAAP","Sort=A","Dates=H","DateFormat=P","Fill=—","Direction=H","UseDPDF=Y")</f>
        <v>25.362100000000002</v>
      </c>
      <c r="S18" s="14">
        <f>_xll.BDH("GILD US Equity","INC_BEF_XO_ITEMS_TO_NET_SALES","FQ4 2022","FQ4 2022","Currency=USD","Period=FQ","BEST_FPERIOD_OVERRIDE=FQ","FILING_STATUS=MR","FA_ADJUSTED=GAAP","Sort=A","Dates=H","DateFormat=P","Fill=—","Direction=H","UseDPDF=Y")</f>
        <v>22.1004</v>
      </c>
      <c r="T18" s="14">
        <f>_xll.BDH("GILD US Equity","INC_BEF_XO_ITEMS_TO_NET_SALES","FQ1 2023","FQ1 2023","Currency=USD","Period=FQ","BEST_FPERIOD_OVERRIDE=FQ","FILING_STATUS=MR","FA_ADJUSTED=GAAP","Sort=A","Dates=H","DateFormat=P","Fill=—","Direction=H","UseDPDF=Y")</f>
        <v>15.491199999999999</v>
      </c>
      <c r="U18" s="14">
        <f>_xll.BDH("GILD US Equity","INC_BEF_XO_ITEMS_TO_NET_SALES","FQ2 2023","FQ2 2023","Currency=USD","Period=FQ","BEST_FPERIOD_OVERRIDE=FQ","FILING_STATUS=MR","FA_ADJUSTED=GAAP","Sort=A","Dates=H","DateFormat=P","Fill=—","Direction=H","UseDPDF=Y")</f>
        <v>15.7448</v>
      </c>
      <c r="V18" s="14">
        <f>_xll.BDH("GILD US Equity","INC_BEF_XO_ITEMS_TO_NET_SALES","FQ3 2023","FQ3 2023","Currency=USD","Period=FQ","BEST_FPERIOD_OVERRIDE=FQ","FILING_STATUS=MR","FA_ADJUSTED=GAAP","Sort=A","Dates=H","DateFormat=P","Fill=—","Direction=H","UseDPDF=Y")</f>
        <v>30.818300000000001</v>
      </c>
      <c r="W18" s="14">
        <f>_xll.BDH("GILD US Equity","INC_BEF_XO_ITEMS_TO_NET_SALES","FQ4 2023","FQ4 2023","Currency=USD","Period=FQ","BEST_FPERIOD_OVERRIDE=FQ","FILING_STATUS=MR","FA_ADJUSTED=GAAP","Sort=A","Dates=H","DateFormat=P","Fill=—","Direction=H","UseDPDF=Y")</f>
        <v>19.915700000000001</v>
      </c>
      <c r="X18" s="14">
        <f>_xll.BDH("GILD US Equity","INC_BEF_XO_ITEMS_TO_NET_SALES","FQ1 2024","FQ1 2024","Currency=USD","Period=FQ","BEST_FPERIOD_OVERRIDE=FQ","FILING_STATUS=MR","FA_ADJUSTED=GAAP","Sort=A","Dates=H","DateFormat=P","Fill=—","Direction=H","UseDPDF=Y")</f>
        <v>-62.369100000000003</v>
      </c>
      <c r="Y18" s="14">
        <f>_xll.BDH("GILD US Equity","INC_BEF_XO_ITEMS_TO_NET_SALES","FQ2 2024","FQ2 2024","Currency=USD","Period=FQ","BEST_FPERIOD_OVERRIDE=FQ","FILING_STATUS=MR","FA_ADJUSTED=GAAP","Sort=A","Dates=H","DateFormat=P","Fill=—","Direction=H","UseDPDF=Y")</f>
        <v>23.213000000000001</v>
      </c>
      <c r="Z18" s="14">
        <f>_xll.BDH("GILD US Equity","INC_BEF_XO_ITEMS_TO_NET_SALES","FQ3 2024","FQ3 2024","Currency=USD","Period=FQ","BEST_FPERIOD_OVERRIDE=FQ","FILING_STATUS=MR","FA_ADJUSTED=GAAP","Sort=A","Dates=H","DateFormat=P","Fill=—","Direction=H","UseDPDF=Y")</f>
        <v>16.606999999999999</v>
      </c>
      <c r="AA18" s="14">
        <f>_xll.BDH("GILD US Equity","INC_BEF_XO_ITEMS_TO_NET_SALES","FQ4 2024","FQ4 2024","Currency=USD","Period=FQ","BEST_FPERIOD_OVERRIDE=FQ","FILING_STATUS=MR","FA_ADJUSTED=GAAP","Sort=A","Dates=H","DateFormat=P","Fill=—","Direction=H","UseDPDF=Y")</f>
        <v>23.5566</v>
      </c>
    </row>
    <row r="19" spans="1:27" x14ac:dyDescent="0.25">
      <c r="A19" s="10" t="s">
        <v>1499</v>
      </c>
      <c r="B19" s="10" t="s">
        <v>401</v>
      </c>
      <c r="C19" s="14">
        <f>_xll.BDH("GILD US Equity","PROF_MARGIN","FQ4 2018","FQ4 2018","Currency=USD","Period=FQ","BEST_FPERIOD_OVERRIDE=FQ","FILING_STATUS=MR","FA_ADJUSTED=GAAP","Sort=A","Dates=H","DateFormat=P","Fill=—","Direction=H","UseDPDF=Y")</f>
        <v>5.1799999999999999E-2</v>
      </c>
      <c r="D19" s="14">
        <f>_xll.BDH("GILD US Equity","PROF_MARGIN","FQ1 2019","FQ1 2019","Currency=USD","Period=FQ","BEST_FPERIOD_OVERRIDE=FQ","FILING_STATUS=MR","FA_ADJUSTED=GAAP","Sort=A","Dates=H","DateFormat=P","Fill=—","Direction=H","UseDPDF=Y")</f>
        <v>37.398200000000003</v>
      </c>
      <c r="E19" s="14">
        <f>_xll.BDH("GILD US Equity","PROF_MARGIN","FQ2 2019","FQ2 2019","Currency=USD","Period=FQ","BEST_FPERIOD_OVERRIDE=FQ","FILING_STATUS=MR","FA_ADJUSTED=GAAP","Sort=A","Dates=H","DateFormat=P","Fill=—","Direction=H","UseDPDF=Y")</f>
        <v>33.069499999999998</v>
      </c>
      <c r="F19" s="14">
        <f>_xll.BDH("GILD US Equity","PROF_MARGIN","FQ3 2019","FQ3 2019","Currency=USD","Period=FQ","BEST_FPERIOD_OVERRIDE=FQ","FILING_STATUS=MR","FA_ADJUSTED=GAAP","Sort=A","Dates=H","DateFormat=P","Fill=—","Direction=H","UseDPDF=Y")</f>
        <v>-20.788699999999999</v>
      </c>
      <c r="G19" s="14">
        <f>_xll.BDH("GILD US Equity","PROF_MARGIN","FQ4 2019","FQ4 2019","Currency=USD","Period=FQ","BEST_FPERIOD_OVERRIDE=FQ","FILING_STATUS=MR","FA_ADJUSTED=GAAP","Sort=A","Dates=H","DateFormat=P","Fill=—","Direction=H","UseDPDF=Y")</f>
        <v>45.8581</v>
      </c>
      <c r="H19" s="14">
        <f>_xll.BDH("GILD US Equity","PROF_MARGIN","FQ1 2020","FQ1 2020","Currency=USD","Period=FQ","BEST_FPERIOD_OVERRIDE=FQ","FILING_STATUS=MR","FA_ADJUSTED=GAAP","Sort=A","Dates=H","DateFormat=P","Fill=—","Direction=H","UseDPDF=Y")</f>
        <v>27.956</v>
      </c>
      <c r="I19" s="14">
        <f>_xll.BDH("GILD US Equity","PROF_MARGIN","FQ2 2020","FQ2 2020","Currency=USD","Period=FQ","BEST_FPERIOD_OVERRIDE=FQ","FILING_STATUS=MR","FA_ADJUSTED=GAAP","Sort=A","Dates=H","DateFormat=P","Fill=—","Direction=H","UseDPDF=Y")</f>
        <v>-64.923199999999994</v>
      </c>
      <c r="J19" s="14">
        <f>_xll.BDH("GILD US Equity","PROF_MARGIN","FQ3 2020","FQ3 2020","Currency=USD","Period=FQ","BEST_FPERIOD_OVERRIDE=FQ","FILING_STATUS=MR","FA_ADJUSTED=GAAP","Sort=A","Dates=H","DateFormat=P","Fill=—","Direction=H","UseDPDF=Y")</f>
        <v>5.4736000000000002</v>
      </c>
      <c r="K19" s="14">
        <f>_xll.BDH("GILD US Equity","PROF_MARGIN","FQ4 2020","FQ4 2020","Currency=USD","Period=FQ","BEST_FPERIOD_OVERRIDE=FQ","FILING_STATUS=MR","FA_ADJUSTED=GAAP","Sort=A","Dates=H","DateFormat=P","Fill=—","Direction=H","UseDPDF=Y")</f>
        <v>20.900099999999998</v>
      </c>
      <c r="L19" s="14">
        <f>_xll.BDH("GILD US Equity","PROF_MARGIN","FQ1 2021","FQ1 2021","Currency=USD","Period=FQ","BEST_FPERIOD_OVERRIDE=FQ","FILING_STATUS=MR","FA_ADJUSTED=GAAP","Sort=A","Dates=H","DateFormat=P","Fill=—","Direction=H","UseDPDF=Y")</f>
        <v>26.918900000000001</v>
      </c>
      <c r="M19" s="14">
        <f>_xll.BDH("GILD US Equity","PROF_MARGIN","FQ2 2021","FQ2 2021","Currency=USD","Period=FQ","BEST_FPERIOD_OVERRIDE=FQ","FILING_STATUS=MR","FA_ADJUSTED=GAAP","Sort=A","Dates=H","DateFormat=P","Fill=—","Direction=H","UseDPDF=Y")</f>
        <v>24.481300000000001</v>
      </c>
      <c r="N19" s="14">
        <f>_xll.BDH("GILD US Equity","PROF_MARGIN","FQ3 2021","FQ3 2021","Currency=USD","Period=FQ","BEST_FPERIOD_OVERRIDE=FQ","FILING_STATUS=MR","FA_ADJUSTED=GAAP","Sort=A","Dates=H","DateFormat=P","Fill=—","Direction=H","UseDPDF=Y")</f>
        <v>34.927900000000001</v>
      </c>
      <c r="O19" s="14">
        <f>_xll.BDH("GILD US Equity","PROF_MARGIN","FQ4 2021","FQ4 2021","Currency=USD","Period=FQ","BEST_FPERIOD_OVERRIDE=FQ","FILING_STATUS=MR","FA_ADJUSTED=GAAP","Sort=A","Dates=H","DateFormat=P","Fill=—","Direction=H","UseDPDF=Y")</f>
        <v>5.2732999999999999</v>
      </c>
      <c r="P19" s="14">
        <f>_xll.BDH("GILD US Equity","PROF_MARGIN","FQ1 2022","FQ1 2022","Currency=USD","Period=FQ","BEST_FPERIOD_OVERRIDE=FQ","FILING_STATUS=MR","FA_ADJUSTED=GAAP","Sort=A","Dates=H","DateFormat=P","Fill=—","Direction=H","UseDPDF=Y")</f>
        <v>0.2883</v>
      </c>
      <c r="Q19" s="14">
        <f>_xll.BDH("GILD US Equity","PROF_MARGIN","FQ2 2022","FQ2 2022","Currency=USD","Period=FQ","BEST_FPERIOD_OVERRIDE=FQ","FILING_STATUS=MR","FA_ADJUSTED=GAAP","Sort=A","Dates=H","DateFormat=P","Fill=—","Direction=H","UseDPDF=Y")</f>
        <v>18.274799999999999</v>
      </c>
      <c r="R19" s="14">
        <f>_xll.BDH("GILD US Equity","PROF_MARGIN","FQ3 2022","FQ3 2022","Currency=USD","Period=FQ","BEST_FPERIOD_OVERRIDE=FQ","FILING_STATUS=MR","FA_ADJUSTED=GAAP","Sort=A","Dates=H","DateFormat=P","Fill=—","Direction=H","UseDPDF=Y")</f>
        <v>25.404699999999998</v>
      </c>
      <c r="S19" s="14">
        <f>_xll.BDH("GILD US Equity","PROF_MARGIN","FQ4 2022","FQ4 2022","Currency=USD","Period=FQ","BEST_FPERIOD_OVERRIDE=FQ","FILING_STATUS=MR","FA_ADJUSTED=GAAP","Sort=A","Dates=H","DateFormat=P","Fill=—","Direction=H","UseDPDF=Y")</f>
        <v>22.1952</v>
      </c>
      <c r="T19" s="14">
        <f>_xll.BDH("GILD US Equity","PROF_MARGIN","FQ1 2023","FQ1 2023","Currency=USD","Period=FQ","BEST_FPERIOD_OVERRIDE=FQ","FILING_STATUS=MR","FA_ADJUSTED=GAAP","Sort=A","Dates=H","DateFormat=P","Fill=—","Direction=H","UseDPDF=Y")</f>
        <v>15.900499999999999</v>
      </c>
      <c r="U19" s="14">
        <f>_xll.BDH("GILD US Equity","PROF_MARGIN","FQ2 2023","FQ2 2023","Currency=USD","Period=FQ","BEST_FPERIOD_OVERRIDE=FQ","FILING_STATUS=MR","FA_ADJUSTED=GAAP","Sort=A","Dates=H","DateFormat=P","Fill=—","Direction=H","UseDPDF=Y")</f>
        <v>15.835699999999999</v>
      </c>
      <c r="V19" s="14">
        <f>_xll.BDH("GILD US Equity","PROF_MARGIN","FQ3 2023","FQ3 2023","Currency=USD","Period=FQ","BEST_FPERIOD_OVERRIDE=FQ","FILING_STATUS=MR","FA_ADJUSTED=GAAP","Sort=A","Dates=H","DateFormat=P","Fill=—","Direction=H","UseDPDF=Y")</f>
        <v>30.9176</v>
      </c>
      <c r="W19" s="14">
        <f>_xll.BDH("GILD US Equity","PROF_MARGIN","FQ4 2023","FQ4 2023","Currency=USD","Period=FQ","BEST_FPERIOD_OVERRIDE=FQ","FILING_STATUS=MR","FA_ADJUSTED=GAAP","Sort=A","Dates=H","DateFormat=P","Fill=—","Direction=H","UseDPDF=Y")</f>
        <v>20.084299999999999</v>
      </c>
      <c r="X19" s="14">
        <f>_xll.BDH("GILD US Equity","PROF_MARGIN","FQ1 2024","FQ1 2024","Currency=USD","Period=FQ","BEST_FPERIOD_OVERRIDE=FQ","FILING_STATUS=MR","FA_ADJUSTED=GAAP","Sort=A","Dates=H","DateFormat=P","Fill=—","Direction=H","UseDPDF=Y")</f>
        <v>-62.369100000000003</v>
      </c>
      <c r="Y19" s="14">
        <f>_xll.BDH("GILD US Equity","PROF_MARGIN","FQ2 2024","FQ2 2024","Currency=USD","Period=FQ","BEST_FPERIOD_OVERRIDE=FQ","FILING_STATUS=MR","FA_ADJUSTED=GAAP","Sort=A","Dates=H","DateFormat=P","Fill=—","Direction=H","UseDPDF=Y")</f>
        <v>23.213000000000001</v>
      </c>
      <c r="Z19" s="14">
        <f>_xll.BDH("GILD US Equity","PROF_MARGIN","FQ3 2024","FQ3 2024","Currency=USD","Period=FQ","BEST_FPERIOD_OVERRIDE=FQ","FILING_STATUS=MR","FA_ADJUSTED=GAAP","Sort=A","Dates=H","DateFormat=P","Fill=—","Direction=H","UseDPDF=Y")</f>
        <v>16.606999999999999</v>
      </c>
      <c r="AA19" s="14">
        <f>_xll.BDH("GILD US Equity","PROF_MARGIN","FQ4 2024","FQ4 2024","Currency=USD","Period=FQ","BEST_FPERIOD_OVERRIDE=FQ","FILING_STATUS=MR","FA_ADJUSTED=GAAP","Sort=A","Dates=H","DateFormat=P","Fill=—","Direction=H","UseDPDF=Y")</f>
        <v>23.5566</v>
      </c>
    </row>
    <row r="20" spans="1:27" x14ac:dyDescent="0.25">
      <c r="A20" s="10" t="s">
        <v>1500</v>
      </c>
      <c r="B20" s="10" t="s">
        <v>1501</v>
      </c>
      <c r="C20" s="14">
        <f>_xll.BDH("GILD US Equity","NET_INCOME_TO_COMMON_MARGIN","FQ4 2018","FQ4 2018","Currency=USD","Period=FQ","BEST_FPERIOD_OVERRIDE=FQ","FILING_STATUS=MR","FA_ADJUSTED=GAAP","Sort=A","Dates=H","DateFormat=P","Fill=—","Direction=H","UseDPDF=Y")</f>
        <v>5.1799999999999999E-2</v>
      </c>
      <c r="D20" s="14">
        <f>_xll.BDH("GILD US Equity","NET_INCOME_TO_COMMON_MARGIN","FQ1 2019","FQ1 2019","Currency=USD","Period=FQ","BEST_FPERIOD_OVERRIDE=FQ","FILING_STATUS=MR","FA_ADJUSTED=GAAP","Sort=A","Dates=H","DateFormat=P","Fill=—","Direction=H","UseDPDF=Y")</f>
        <v>37.398200000000003</v>
      </c>
      <c r="E20" s="14">
        <f>_xll.BDH("GILD US Equity","NET_INCOME_TO_COMMON_MARGIN","FQ2 2019","FQ2 2019","Currency=USD","Period=FQ","BEST_FPERIOD_OVERRIDE=FQ","FILING_STATUS=MR","FA_ADJUSTED=GAAP","Sort=A","Dates=H","DateFormat=P","Fill=—","Direction=H","UseDPDF=Y")</f>
        <v>33.069499999999998</v>
      </c>
      <c r="F20" s="14">
        <f>_xll.BDH("GILD US Equity","NET_INCOME_TO_COMMON_MARGIN","FQ3 2019","FQ3 2019","Currency=USD","Period=FQ","BEST_FPERIOD_OVERRIDE=FQ","FILING_STATUS=MR","FA_ADJUSTED=GAAP","Sort=A","Dates=H","DateFormat=P","Fill=—","Direction=H","UseDPDF=Y")</f>
        <v>-20.788699999999999</v>
      </c>
      <c r="G20" s="14">
        <f>_xll.BDH("GILD US Equity","NET_INCOME_TO_COMMON_MARGIN","FQ4 2019","FQ4 2019","Currency=USD","Period=FQ","BEST_FPERIOD_OVERRIDE=FQ","FILING_STATUS=MR","FA_ADJUSTED=GAAP","Sort=A","Dates=H","DateFormat=P","Fill=—","Direction=H","UseDPDF=Y")</f>
        <v>45.8581</v>
      </c>
      <c r="H20" s="14">
        <f>_xll.BDH("GILD US Equity","NET_INCOME_TO_COMMON_MARGIN","FQ1 2020","FQ1 2020","Currency=USD","Period=FQ","BEST_FPERIOD_OVERRIDE=FQ","FILING_STATUS=MR","FA_ADJUSTED=GAAP","Sort=A","Dates=H","DateFormat=P","Fill=—","Direction=H","UseDPDF=Y")</f>
        <v>27.956</v>
      </c>
      <c r="I20" s="14">
        <f>_xll.BDH("GILD US Equity","NET_INCOME_TO_COMMON_MARGIN","FQ2 2020","FQ2 2020","Currency=USD","Period=FQ","BEST_FPERIOD_OVERRIDE=FQ","FILING_STATUS=MR","FA_ADJUSTED=GAAP","Sort=A","Dates=H","DateFormat=P","Fill=—","Direction=H","UseDPDF=Y")</f>
        <v>-64.923199999999994</v>
      </c>
      <c r="J20" s="14">
        <f>_xll.BDH("GILD US Equity","NET_INCOME_TO_COMMON_MARGIN","FQ3 2020","FQ3 2020","Currency=USD","Period=FQ","BEST_FPERIOD_OVERRIDE=FQ","FILING_STATUS=MR","FA_ADJUSTED=GAAP","Sort=A","Dates=H","DateFormat=P","Fill=—","Direction=H","UseDPDF=Y")</f>
        <v>5.4736000000000002</v>
      </c>
      <c r="K20" s="14">
        <f>_xll.BDH("GILD US Equity","NET_INCOME_TO_COMMON_MARGIN","FQ4 2020","FQ4 2020","Currency=USD","Period=FQ","BEST_FPERIOD_OVERRIDE=FQ","FILING_STATUS=MR","FA_ADJUSTED=GAAP","Sort=A","Dates=H","DateFormat=P","Fill=—","Direction=H","UseDPDF=Y")</f>
        <v>20.900099999999998</v>
      </c>
      <c r="L20" s="14">
        <f>_xll.BDH("GILD US Equity","NET_INCOME_TO_COMMON_MARGIN","FQ1 2021","FQ1 2021","Currency=USD","Period=FQ","BEST_FPERIOD_OVERRIDE=FQ","FILING_STATUS=MR","FA_ADJUSTED=GAAP","Sort=A","Dates=H","DateFormat=P","Fill=—","Direction=H","UseDPDF=Y")</f>
        <v>26.918900000000001</v>
      </c>
      <c r="M20" s="14">
        <f>_xll.BDH("GILD US Equity","NET_INCOME_TO_COMMON_MARGIN","FQ2 2021","FQ2 2021","Currency=USD","Period=FQ","BEST_FPERIOD_OVERRIDE=FQ","FILING_STATUS=MR","FA_ADJUSTED=GAAP","Sort=A","Dates=H","DateFormat=P","Fill=—","Direction=H","UseDPDF=Y")</f>
        <v>24.481300000000001</v>
      </c>
      <c r="N20" s="14">
        <f>_xll.BDH("GILD US Equity","NET_INCOME_TO_COMMON_MARGIN","FQ3 2021","FQ3 2021","Currency=USD","Period=FQ","BEST_FPERIOD_OVERRIDE=FQ","FILING_STATUS=MR","FA_ADJUSTED=GAAP","Sort=A","Dates=H","DateFormat=P","Fill=—","Direction=H","UseDPDF=Y")</f>
        <v>34.927900000000001</v>
      </c>
      <c r="O20" s="14">
        <f>_xll.BDH("GILD US Equity","NET_INCOME_TO_COMMON_MARGIN","FQ4 2021","FQ4 2021","Currency=USD","Period=FQ","BEST_FPERIOD_OVERRIDE=FQ","FILING_STATUS=MR","FA_ADJUSTED=GAAP","Sort=A","Dates=H","DateFormat=P","Fill=—","Direction=H","UseDPDF=Y")</f>
        <v>5.2732999999999999</v>
      </c>
      <c r="P20" s="14">
        <f>_xll.BDH("GILD US Equity","NET_INCOME_TO_COMMON_MARGIN","FQ1 2022","FQ1 2022","Currency=USD","Period=FQ","BEST_FPERIOD_OVERRIDE=FQ","FILING_STATUS=MR","FA_ADJUSTED=GAAP","Sort=A","Dates=H","DateFormat=P","Fill=—","Direction=H","UseDPDF=Y")</f>
        <v>0.2883</v>
      </c>
      <c r="Q20" s="14">
        <f>_xll.BDH("GILD US Equity","NET_INCOME_TO_COMMON_MARGIN","FQ2 2022","FQ2 2022","Currency=USD","Period=FQ","BEST_FPERIOD_OVERRIDE=FQ","FILING_STATUS=MR","FA_ADJUSTED=GAAP","Sort=A","Dates=H","DateFormat=P","Fill=—","Direction=H","UseDPDF=Y")</f>
        <v>18.274799999999999</v>
      </c>
      <c r="R20" s="14">
        <f>_xll.BDH("GILD US Equity","NET_INCOME_TO_COMMON_MARGIN","FQ3 2022","FQ3 2022","Currency=USD","Period=FQ","BEST_FPERIOD_OVERRIDE=FQ","FILING_STATUS=MR","FA_ADJUSTED=GAAP","Sort=A","Dates=H","DateFormat=P","Fill=—","Direction=H","UseDPDF=Y")</f>
        <v>25.404699999999998</v>
      </c>
      <c r="S20" s="14">
        <f>_xll.BDH("GILD US Equity","NET_INCOME_TO_COMMON_MARGIN","FQ4 2022","FQ4 2022","Currency=USD","Period=FQ","BEST_FPERIOD_OVERRIDE=FQ","FILING_STATUS=MR","FA_ADJUSTED=GAAP","Sort=A","Dates=H","DateFormat=P","Fill=—","Direction=H","UseDPDF=Y")</f>
        <v>22.1952</v>
      </c>
      <c r="T20" s="14">
        <f>_xll.BDH("GILD US Equity","NET_INCOME_TO_COMMON_MARGIN","FQ1 2023","FQ1 2023","Currency=USD","Period=FQ","BEST_FPERIOD_OVERRIDE=FQ","FILING_STATUS=MR","FA_ADJUSTED=GAAP","Sort=A","Dates=H","DateFormat=P","Fill=—","Direction=H","UseDPDF=Y")</f>
        <v>15.900499999999999</v>
      </c>
      <c r="U20" s="14">
        <f>_xll.BDH("GILD US Equity","NET_INCOME_TO_COMMON_MARGIN","FQ2 2023","FQ2 2023","Currency=USD","Period=FQ","BEST_FPERIOD_OVERRIDE=FQ","FILING_STATUS=MR","FA_ADJUSTED=GAAP","Sort=A","Dates=H","DateFormat=P","Fill=—","Direction=H","UseDPDF=Y")</f>
        <v>15.835699999999999</v>
      </c>
      <c r="V20" s="14">
        <f>_xll.BDH("GILD US Equity","NET_INCOME_TO_COMMON_MARGIN","FQ3 2023","FQ3 2023","Currency=USD","Period=FQ","BEST_FPERIOD_OVERRIDE=FQ","FILING_STATUS=MR","FA_ADJUSTED=GAAP","Sort=A","Dates=H","DateFormat=P","Fill=—","Direction=H","UseDPDF=Y")</f>
        <v>30.9176</v>
      </c>
      <c r="W20" s="14">
        <f>_xll.BDH("GILD US Equity","NET_INCOME_TO_COMMON_MARGIN","FQ4 2023","FQ4 2023","Currency=USD","Period=FQ","BEST_FPERIOD_OVERRIDE=FQ","FILING_STATUS=MR","FA_ADJUSTED=GAAP","Sort=A","Dates=H","DateFormat=P","Fill=—","Direction=H","UseDPDF=Y")</f>
        <v>20.084299999999999</v>
      </c>
      <c r="X20" s="14">
        <f>_xll.BDH("GILD US Equity","NET_INCOME_TO_COMMON_MARGIN","FQ1 2024","FQ1 2024","Currency=USD","Period=FQ","BEST_FPERIOD_OVERRIDE=FQ","FILING_STATUS=MR","FA_ADJUSTED=GAAP","Sort=A","Dates=H","DateFormat=P","Fill=—","Direction=H","UseDPDF=Y")</f>
        <v>-62.369100000000003</v>
      </c>
      <c r="Y20" s="14">
        <f>_xll.BDH("GILD US Equity","NET_INCOME_TO_COMMON_MARGIN","FQ2 2024","FQ2 2024","Currency=USD","Period=FQ","BEST_FPERIOD_OVERRIDE=FQ","FILING_STATUS=MR","FA_ADJUSTED=GAAP","Sort=A","Dates=H","DateFormat=P","Fill=—","Direction=H","UseDPDF=Y")</f>
        <v>23.213000000000001</v>
      </c>
      <c r="Z20" s="14">
        <f>_xll.BDH("GILD US Equity","NET_INCOME_TO_COMMON_MARGIN","FQ3 2024","FQ3 2024","Currency=USD","Period=FQ","BEST_FPERIOD_OVERRIDE=FQ","FILING_STATUS=MR","FA_ADJUSTED=GAAP","Sort=A","Dates=H","DateFormat=P","Fill=—","Direction=H","UseDPDF=Y")</f>
        <v>16.606999999999999</v>
      </c>
      <c r="AA20" s="14">
        <f>_xll.BDH("GILD US Equity","NET_INCOME_TO_COMMON_MARGIN","FQ4 2024","FQ4 2024","Currency=USD","Period=FQ","BEST_FPERIOD_OVERRIDE=FQ","FILING_STATUS=MR","FA_ADJUSTED=GAAP","Sort=A","Dates=H","DateFormat=P","Fill=—","Direction=H","UseDPDF=Y")</f>
        <v>23.5566</v>
      </c>
    </row>
    <row r="21" spans="1:27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6" t="s">
        <v>1502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x14ac:dyDescent="0.25">
      <c r="A23" s="10" t="s">
        <v>1503</v>
      </c>
      <c r="B23" s="10" t="s">
        <v>1504</v>
      </c>
      <c r="C23" s="14">
        <f>_xll.BDH("GILD US Equity","EFF_TAX_RATE","FQ4 2018","FQ4 2018","Currency=USD","Period=FQ","BEST_FPERIOD_OVERRIDE=FQ","FILING_STATUS=MR","FA_ADJUSTED=GAAP","Sort=A","Dates=H","DateFormat=P","Fill=—","Direction=H","UseDPDF=Y")</f>
        <v>99.704700000000003</v>
      </c>
      <c r="D23" s="14">
        <f>_xll.BDH("GILD US Equity","EFF_TAX_RATE","FQ1 2019","FQ1 2019","Currency=USD","Period=FQ","BEST_FPERIOD_OVERRIDE=FQ","FILING_STATUS=MR","FA_ADJUSTED=GAAP","Sort=A","Dates=H","DateFormat=P","Fill=—","Direction=H","UseDPDF=Y")</f>
        <v>16.255299999999998</v>
      </c>
      <c r="E23" s="14">
        <f>_xll.BDH("GILD US Equity","EFF_TAX_RATE","FQ2 2019","FQ2 2019","Currency=USD","Period=FQ","BEST_FPERIOD_OVERRIDE=FQ","FILING_STATUS=MR","FA_ADJUSTED=GAAP","Sort=A","Dates=H","DateFormat=P","Fill=—","Direction=H","UseDPDF=Y")</f>
        <v>22.199200000000001</v>
      </c>
      <c r="F23" s="14" t="str">
        <f>_xll.BDH("GILD US Equity","EFF_TAX_RATE","FQ3 2019","FQ3 2019","Currency=USD","Period=FQ","BEST_FPERIOD_OVERRIDE=FQ","FILING_STATUS=MR","FA_ADJUSTED=GAAP","Sort=A","Dates=H","DateFormat=P","Fill=—","Direction=H","UseDPDF=Y")</f>
        <v>—</v>
      </c>
      <c r="G23" s="14" t="str">
        <f>_xll.BDH("GILD US Equity","EFF_TAX_RATE","FQ4 2019","FQ4 2019","Currency=USD","Period=FQ","BEST_FPERIOD_OVERRIDE=FQ","FILING_STATUS=MR","FA_ADJUSTED=GAAP","Sort=A","Dates=H","DateFormat=P","Fill=—","Direction=H","UseDPDF=Y")</f>
        <v>—</v>
      </c>
      <c r="H23" s="14">
        <f>_xll.BDH("GILD US Equity","EFF_TAX_RATE","FQ1 2020","FQ1 2020","Currency=USD","Period=FQ","BEST_FPERIOD_OVERRIDE=FQ","FILING_STATUS=MR","FA_ADJUSTED=GAAP","Sort=A","Dates=H","DateFormat=P","Fill=—","Direction=H","UseDPDF=Y")</f>
        <v>23.215199999999999</v>
      </c>
      <c r="I23" s="14" t="str">
        <f>_xll.BDH("GILD US Equity","EFF_TAX_RATE","FQ2 2020","FQ2 2020","Currency=USD","Period=FQ","BEST_FPERIOD_OVERRIDE=FQ","FILING_STATUS=MR","FA_ADJUSTED=GAAP","Sort=A","Dates=H","DateFormat=P","Fill=—","Direction=H","UseDPDF=Y")</f>
        <v>—</v>
      </c>
      <c r="J23" s="14">
        <f>_xll.BDH("GILD US Equity","EFF_TAX_RATE","FQ3 2020","FQ3 2020","Currency=USD","Period=FQ","BEST_FPERIOD_OVERRIDE=FQ","FILING_STATUS=MR","FA_ADJUSTED=GAAP","Sort=A","Dates=H","DateFormat=P","Fill=—","Direction=H","UseDPDF=Y")</f>
        <v>57.2121</v>
      </c>
      <c r="K23" s="14">
        <f>_xll.BDH("GILD US Equity","EFF_TAX_RATE","FQ4 2020","FQ4 2020","Currency=USD","Period=FQ","BEST_FPERIOD_OVERRIDE=FQ","FILING_STATUS=MR","FA_ADJUSTED=GAAP","Sort=A","Dates=H","DateFormat=P","Fill=—","Direction=H","UseDPDF=Y")</f>
        <v>14.8842</v>
      </c>
      <c r="L23" s="14">
        <f>_xll.BDH("GILD US Equity","EFF_TAX_RATE","FQ1 2021","FQ1 2021","Currency=USD","Period=FQ","BEST_FPERIOD_OVERRIDE=FQ","FILING_STATUS=MR","FA_ADJUSTED=GAAP","Sort=A","Dates=H","DateFormat=P","Fill=—","Direction=H","UseDPDF=Y")</f>
        <v>23.939900000000002</v>
      </c>
      <c r="M23" s="14">
        <f>_xll.BDH("GILD US Equity","EFF_TAX_RATE","FQ2 2021","FQ2 2021","Currency=USD","Period=FQ","BEST_FPERIOD_OVERRIDE=FQ","FILING_STATUS=MR","FA_ADJUSTED=GAAP","Sort=A","Dates=H","DateFormat=P","Fill=—","Direction=H","UseDPDF=Y")</f>
        <v>16.5107</v>
      </c>
      <c r="N23" s="14">
        <f>_xll.BDH("GILD US Equity","EFF_TAX_RATE","FQ3 2021","FQ3 2021","Currency=USD","Period=FQ","BEST_FPERIOD_OVERRIDE=FQ","FILING_STATUS=MR","FA_ADJUSTED=GAAP","Sort=A","Dates=H","DateFormat=P","Fill=—","Direction=H","UseDPDF=Y")</f>
        <v>24.7818</v>
      </c>
      <c r="O23" s="14">
        <f>_xll.BDH("GILD US Equity","EFF_TAX_RATE","FQ4 2021","FQ4 2021","Currency=USD","Period=FQ","BEST_FPERIOD_OVERRIDE=FQ","FILING_STATUS=MR","FA_ADJUSTED=GAAP","Sort=A","Dates=H","DateFormat=P","Fill=—","Direction=H","UseDPDF=Y")</f>
        <v>50.461100000000002</v>
      </c>
      <c r="P23" s="14" t="str">
        <f>_xll.BDH("GILD US Equity","EFF_TAX_RATE","FQ1 2022","FQ1 2022","Currency=USD","Period=FQ","BEST_FPERIOD_OVERRIDE=FQ","FILING_STATUS=MR","FA_ADJUSTED=GAAP","Sort=A","Dates=H","DateFormat=P","Fill=—","Direction=H","UseDPDF=Y")</f>
        <v>—</v>
      </c>
      <c r="Q23" s="14">
        <f>_xll.BDH("GILD US Equity","EFF_TAX_RATE","FQ2 2022","FQ2 2022","Currency=USD","Period=FQ","BEST_FPERIOD_OVERRIDE=FQ","FILING_STATUS=MR","FA_ADJUSTED=GAAP","Sort=A","Dates=H","DateFormat=P","Fill=—","Direction=H","UseDPDF=Y")</f>
        <v>24.484400000000001</v>
      </c>
      <c r="R23" s="14">
        <f>_xll.BDH("GILD US Equity","EFF_TAX_RATE","FQ3 2022","FQ3 2022","Currency=USD","Period=FQ","BEST_FPERIOD_OVERRIDE=FQ","FILING_STATUS=MR","FA_ADJUSTED=GAAP","Sort=A","Dates=H","DateFormat=P","Fill=—","Direction=H","UseDPDF=Y")</f>
        <v>26.5625</v>
      </c>
      <c r="S23" s="14">
        <f>_xll.BDH("GILD US Equity","EFF_TAX_RATE","FQ4 2022","FQ4 2022","Currency=USD","Period=FQ","BEST_FPERIOD_OVERRIDE=FQ","FILING_STATUS=MR","FA_ADJUSTED=GAAP","Sort=A","Dates=H","DateFormat=P","Fill=—","Direction=H","UseDPDF=Y")</f>
        <v>19.596299999999999</v>
      </c>
      <c r="T23" s="14">
        <f>_xll.BDH("GILD US Equity","EFF_TAX_RATE","FQ1 2023","FQ1 2023","Currency=USD","Period=FQ","BEST_FPERIOD_OVERRIDE=FQ","FILING_STATUS=MR","FA_ADJUSTED=GAAP","Sort=A","Dates=H","DateFormat=P","Fill=—","Direction=H","UseDPDF=Y")</f>
        <v>24.307700000000001</v>
      </c>
      <c r="U23" s="14">
        <f>_xll.BDH("GILD US Equity","EFF_TAX_RATE","FQ2 2023","FQ2 2023","Currency=USD","Period=FQ","BEST_FPERIOD_OVERRIDE=FQ","FILING_STATUS=MR","FA_ADJUSTED=GAAP","Sort=A","Dates=H","DateFormat=P","Fill=—","Direction=H","UseDPDF=Y")</f>
        <v>34.571800000000003</v>
      </c>
      <c r="V23" s="14">
        <f>_xll.BDH("GILD US Equity","EFF_TAX_RATE","FQ3 2023","FQ3 2023","Currency=USD","Period=FQ","BEST_FPERIOD_OVERRIDE=FQ","FILING_STATUS=MR","FA_ADJUSTED=GAAP","Sort=A","Dates=H","DateFormat=P","Fill=—","Direction=H","UseDPDF=Y")</f>
        <v>6.2957999999999998</v>
      </c>
      <c r="W23" s="14">
        <f>_xll.BDH("GILD US Equity","EFF_TAX_RATE","FQ4 2023","FQ4 2023","Currency=USD","Period=FQ","BEST_FPERIOD_OVERRIDE=FQ","FILING_STATUS=MR","FA_ADJUSTED=GAAP","Sort=A","Dates=H","DateFormat=P","Fill=—","Direction=H","UseDPDF=Y")</f>
        <v>14.277100000000001</v>
      </c>
      <c r="X23" s="14" t="str">
        <f>_xll.BDH("GILD US Equity","EFF_TAX_RATE","FQ1 2024","FQ1 2024","Currency=USD","Period=FQ","BEST_FPERIOD_OVERRIDE=FQ","FILING_STATUS=MR","FA_ADJUSTED=GAAP","Sort=A","Dates=H","DateFormat=P","Fill=—","Direction=H","UseDPDF=Y")</f>
        <v>—</v>
      </c>
      <c r="Y23" s="14">
        <f>_xll.BDH("GILD US Equity","EFF_TAX_RATE","FQ2 2024","FQ2 2024","Currency=USD","Period=FQ","BEST_FPERIOD_OVERRIDE=FQ","FILING_STATUS=MR","FA_ADJUSTED=GAAP","Sort=A","Dates=H","DateFormat=P","Fill=—","Direction=H","UseDPDF=Y")</f>
        <v>21.383299999999998</v>
      </c>
      <c r="Z23" s="14" t="str">
        <f>_xll.BDH("GILD US Equity","EFF_TAX_RATE","FQ3 2024","FQ3 2024","Currency=USD","Period=FQ","BEST_FPERIOD_OVERRIDE=FQ","FILING_STATUS=MR","FA_ADJUSTED=GAAP","Sort=A","Dates=H","DateFormat=P","Fill=—","Direction=H","UseDPDF=Y")</f>
        <v>—</v>
      </c>
      <c r="AA23" s="14">
        <f>_xll.BDH("GILD US Equity","EFF_TAX_RATE","FQ4 2024","FQ4 2024","Currency=USD","Period=FQ","BEST_FPERIOD_OVERRIDE=FQ","FILING_STATUS=MR","FA_ADJUSTED=GAAP","Sort=A","Dates=H","DateFormat=P","Fill=—","Direction=H","UseDPDF=Y")</f>
        <v>17.758299999999998</v>
      </c>
    </row>
    <row r="24" spans="1:27" x14ac:dyDescent="0.25">
      <c r="A24" s="10" t="s">
        <v>1505</v>
      </c>
      <c r="B24" s="10" t="s">
        <v>1506</v>
      </c>
      <c r="C24" s="14">
        <f>_xll.BDH("GILD US Equity","DVD_PAYOUT_RATIO","FQ4 2018","FQ4 2018","Currency=USD","Period=FQ","BEST_FPERIOD_OVERRIDE=FQ","FILING_STATUS=MR","FA_ADJUSTED=GAAP","Sort=A","Dates=H","DateFormat=P","Fill=—","Direction=H","UseDPDF=Y")</f>
        <v>24700</v>
      </c>
      <c r="D24" s="14">
        <f>_xll.BDH("GILD US Equity","DVD_PAYOUT_RATIO","FQ1 2019","FQ1 2019","Currency=USD","Period=FQ","BEST_FPERIOD_OVERRIDE=FQ","FILING_STATUS=MR","FA_ADJUSTED=GAAP","Sort=A","Dates=H","DateFormat=P","Fill=—","Direction=H","UseDPDF=Y")</f>
        <v>41.367100000000001</v>
      </c>
      <c r="E24" s="14">
        <f>_xll.BDH("GILD US Equity","DVD_PAYOUT_RATIO","FQ2 2019","FQ2 2019","Currency=USD","Period=FQ","BEST_FPERIOD_OVERRIDE=FQ","FILING_STATUS=MR","FA_ADJUSTED=GAAP","Sort=A","Dates=H","DateFormat=P","Fill=—","Direction=H","UseDPDF=Y")</f>
        <v>42.553199999999997</v>
      </c>
      <c r="F24" s="14" t="str">
        <f>_xll.BDH("GILD US Equity","DVD_PAYOUT_RATIO","FQ3 2019","FQ3 2019","Currency=USD","Period=FQ","BEST_FPERIOD_OVERRIDE=FQ","FILING_STATUS=MR","FA_ADJUSTED=GAAP","Sort=A","Dates=H","DateFormat=P","Fill=—","Direction=H","UseDPDF=Y")</f>
        <v>—</v>
      </c>
      <c r="G24" s="14">
        <f>_xll.BDH("GILD US Equity","DVD_PAYOUT_RATIO","FQ4 2019","FQ4 2019","Currency=USD","Period=FQ","BEST_FPERIOD_OVERRIDE=FQ","FILING_STATUS=MR","FA_ADJUSTED=GAAP","Sort=A","Dates=H","DateFormat=P","Fill=—","Direction=H","UseDPDF=Y")</f>
        <v>29.970300000000002</v>
      </c>
      <c r="H24" s="14">
        <f>_xll.BDH("GILD US Equity","DVD_PAYOUT_RATIO","FQ1 2020","FQ1 2020","Currency=USD","Period=FQ","BEST_FPERIOD_OVERRIDE=FQ","FILING_STATUS=MR","FA_ADJUSTED=GAAP","Sort=A","Dates=H","DateFormat=P","Fill=—","Direction=H","UseDPDF=Y")</f>
        <v>56.350700000000003</v>
      </c>
      <c r="I24" s="14" t="str">
        <f>_xll.BDH("GILD US Equity","DVD_PAYOUT_RATIO","FQ2 2020","FQ2 2020","Currency=USD","Period=FQ","BEST_FPERIOD_OVERRIDE=FQ","FILING_STATUS=MR","FA_ADJUSTED=GAAP","Sort=A","Dates=H","DateFormat=P","Fill=—","Direction=H","UseDPDF=Y")</f>
        <v>—</v>
      </c>
      <c r="J24" s="14">
        <f>_xll.BDH("GILD US Equity","DVD_PAYOUT_RATIO","FQ3 2020","FQ3 2020","Currency=USD","Period=FQ","BEST_FPERIOD_OVERRIDE=FQ","FILING_STATUS=MR","FA_ADJUSTED=GAAP","Sort=A","Dates=H","DateFormat=P","Fill=—","Direction=H","UseDPDF=Y")</f>
        <v>240.5556</v>
      </c>
      <c r="K24" s="14">
        <f>_xll.BDH("GILD US Equity","DVD_PAYOUT_RATIO","FQ4 2020","FQ4 2020","Currency=USD","Period=FQ","BEST_FPERIOD_OVERRIDE=FQ","FILING_STATUS=MR","FA_ADJUSTED=GAAP","Sort=A","Dates=H","DateFormat=P","Fill=—","Direction=H","UseDPDF=Y")</f>
        <v>55.770499999999998</v>
      </c>
      <c r="L24" s="14">
        <f>_xll.BDH("GILD US Equity","DVD_PAYOUT_RATIO","FQ1 2021","FQ1 2021","Currency=USD","Period=FQ","BEST_FPERIOD_OVERRIDE=FQ","FILING_STATUS=MR","FA_ADJUSTED=GAAP","Sort=A","Dates=H","DateFormat=P","Fill=—","Direction=H","UseDPDF=Y")</f>
        <v>52.400199999999998</v>
      </c>
      <c r="M24" s="14">
        <f>_xll.BDH("GILD US Equity","DVD_PAYOUT_RATIO","FQ2 2021","FQ2 2021","Currency=USD","Period=FQ","BEST_FPERIOD_OVERRIDE=FQ","FILING_STATUS=MR","FA_ADJUSTED=GAAP","Sort=A","Dates=H","DateFormat=P","Fill=—","Direction=H","UseDPDF=Y")</f>
        <v>59.329799999999999</v>
      </c>
      <c r="N24" s="14">
        <f>_xll.BDH("GILD US Equity","DVD_PAYOUT_RATIO","FQ3 2021","FQ3 2021","Currency=USD","Period=FQ","BEST_FPERIOD_OVERRIDE=FQ","FILING_STATUS=MR","FA_ADJUSTED=GAAP","Sort=A","Dates=H","DateFormat=P","Fill=—","Direction=H","UseDPDF=Y")</f>
        <v>34.915100000000002</v>
      </c>
      <c r="O24" s="14">
        <f>_xll.BDH("GILD US Equity","DVD_PAYOUT_RATIO","FQ4 2021","FQ4 2021","Currency=USD","Period=FQ","BEST_FPERIOD_OVERRIDE=FQ","FILING_STATUS=MR","FA_ADJUSTED=GAAP","Sort=A","Dates=H","DateFormat=P","Fill=—","Direction=H","UseDPDF=Y")</f>
        <v>233.44499999999999</v>
      </c>
      <c r="P24" s="14">
        <f>_xll.BDH("GILD US Equity","DVD_PAYOUT_RATIO","FQ1 2022","FQ1 2022","Currency=USD","Period=FQ","BEST_FPERIOD_OVERRIDE=FQ","FILING_STATUS=MR","FA_ADJUSTED=GAAP","Sort=A","Dates=H","DateFormat=P","Fill=—","Direction=H","UseDPDF=Y")</f>
        <v>4905.2632000000003</v>
      </c>
      <c r="Q24" s="14">
        <f>_xll.BDH("GILD US Equity","DVD_PAYOUT_RATIO","FQ2 2022","FQ2 2022","Currency=USD","Period=FQ","BEST_FPERIOD_OVERRIDE=FQ","FILING_STATUS=MR","FA_ADJUSTED=GAAP","Sort=A","Dates=H","DateFormat=P","Fill=—","Direction=H","UseDPDF=Y")</f>
        <v>81.468500000000006</v>
      </c>
      <c r="R24" s="14">
        <f>_xll.BDH("GILD US Equity","DVD_PAYOUT_RATIO","FQ3 2022","FQ3 2022","Currency=USD","Period=FQ","BEST_FPERIOD_OVERRIDE=FQ","FILING_STATUS=MR","FA_ADJUSTED=GAAP","Sort=A","Dates=H","DateFormat=P","Fill=—","Direction=H","UseDPDF=Y")</f>
        <v>51.2102</v>
      </c>
      <c r="S24" s="14">
        <f>_xll.BDH("GILD US Equity","DVD_PAYOUT_RATIO","FQ4 2022","FQ4 2022","Currency=USD","Period=FQ","BEST_FPERIOD_OVERRIDE=FQ","FILING_STATUS=MR","FA_ADJUSTED=GAAP","Sort=A","Dates=H","DateFormat=P","Fill=—","Direction=H","UseDPDF=Y")</f>
        <v>55.729300000000002</v>
      </c>
      <c r="T24" s="14">
        <f>_xll.BDH("GILD US Equity","DVD_PAYOUT_RATIO","FQ1 2023","FQ1 2023","Currency=USD","Period=FQ","BEST_FPERIOD_OVERRIDE=FQ","FILING_STATUS=MR","FA_ADJUSTED=GAAP","Sort=A","Dates=H","DateFormat=P","Fill=—","Direction=H","UseDPDF=Y")</f>
        <v>94.752499999999998</v>
      </c>
      <c r="U24" s="14">
        <f>_xll.BDH("GILD US Equity","DVD_PAYOUT_RATIO","FQ2 2023","FQ2 2023","Currency=USD","Period=FQ","BEST_FPERIOD_OVERRIDE=FQ","FILING_STATUS=MR","FA_ADJUSTED=GAAP","Sort=A","Dates=H","DateFormat=P","Fill=—","Direction=H","UseDPDF=Y")</f>
        <v>91.291899999999998</v>
      </c>
      <c r="V24" s="14">
        <f>_xll.BDH("GILD US Equity","DVD_PAYOUT_RATIO","FQ3 2023","FQ3 2023","Currency=USD","Period=FQ","BEST_FPERIOD_OVERRIDE=FQ","FILING_STATUS=MR","FA_ADJUSTED=GAAP","Sort=A","Dates=H","DateFormat=P","Fill=—","Direction=H","UseDPDF=Y")</f>
        <v>43.695599999999999</v>
      </c>
      <c r="W24" s="14">
        <f>_xll.BDH("GILD US Equity","DVD_PAYOUT_RATIO","FQ4 2023","FQ4 2023","Currency=USD","Period=FQ","BEST_FPERIOD_OVERRIDE=FQ","FILING_STATUS=MR","FA_ADJUSTED=GAAP","Sort=A","Dates=H","DateFormat=P","Fill=—","Direction=H","UseDPDF=Y")</f>
        <v>65.500299999999996</v>
      </c>
      <c r="X24" s="14" t="str">
        <f>_xll.BDH("GILD US Equity","DVD_PAYOUT_RATIO","FQ1 2024","FQ1 2024","Currency=USD","Period=FQ","BEST_FPERIOD_OVERRIDE=FQ","FILING_STATUS=MR","FA_ADJUSTED=GAAP","Sort=A","Dates=H","DateFormat=P","Fill=—","Direction=H","UseDPDF=Y")</f>
        <v>—</v>
      </c>
      <c r="Y24" s="14">
        <f>_xll.BDH("GILD US Equity","DVD_PAYOUT_RATIO","FQ2 2024","FQ2 2024","Currency=USD","Period=FQ","BEST_FPERIOD_OVERRIDE=FQ","FILING_STATUS=MR","FA_ADJUSTED=GAAP","Sort=A","Dates=H","DateFormat=P","Fill=—","Direction=H","UseDPDF=Y")</f>
        <v>60.594799999999999</v>
      </c>
      <c r="Z24" s="14">
        <f>_xll.BDH("GILD US Equity","DVD_PAYOUT_RATIO","FQ3 2024","FQ3 2024","Currency=USD","Period=FQ","BEST_FPERIOD_OVERRIDE=FQ","FILING_STATUS=MR","FA_ADJUSTED=GAAP","Sort=A","Dates=H","DateFormat=P","Fill=—","Direction=H","UseDPDF=Y")</f>
        <v>77.972899999999996</v>
      </c>
      <c r="AA24" s="14">
        <f>_xll.BDH("GILD US Equity","DVD_PAYOUT_RATIO","FQ4 2024","FQ4 2024","Currency=USD","Period=FQ","BEST_FPERIOD_OVERRIDE=FQ","FILING_STATUS=MR","FA_ADJUSTED=GAAP","Sort=A","Dates=H","DateFormat=P","Fill=—","Direction=H","UseDPDF=Y")</f>
        <v>53.895699999999998</v>
      </c>
    </row>
    <row r="25" spans="1:27" x14ac:dyDescent="0.25">
      <c r="A25" s="10" t="s">
        <v>1507</v>
      </c>
      <c r="B25" s="10" t="s">
        <v>1508</v>
      </c>
      <c r="C25" s="14">
        <f>_xll.BDH("GILD US Equity","SUSTAIN_GROWTH_RT","FQ4 2018","FQ4 2018","Currency=USD","Period=FQ","BEST_FPERIOD_OVERRIDE=FQ","FILING_STATUS=MR","FA_ADJUSTED=GAAP","Sort=A","Dates=H","DateFormat=P","Fill=—","Direction=H","UseDPDF=Y")</f>
        <v>-6416.2662</v>
      </c>
      <c r="D25" s="14">
        <f>_xll.BDH("GILD US Equity","SUSTAIN_GROWTH_RT","FQ1 2019","FQ1 2019","Currency=USD","Period=FQ","BEST_FPERIOD_OVERRIDE=FQ","FILING_STATUS=MR","FA_ADJUSTED=GAAP","Sort=A","Dates=H","DateFormat=P","Fill=—","Direction=H","UseDPDF=Y")</f>
        <v>16.241099999999999</v>
      </c>
      <c r="E25" s="14">
        <f>_xll.BDH("GILD US Equity","SUSTAIN_GROWTH_RT","FQ2 2019","FQ2 2019","Currency=USD","Period=FQ","BEST_FPERIOD_OVERRIDE=FQ","FILING_STATUS=MR","FA_ADJUSTED=GAAP","Sort=A","Dates=H","DateFormat=P","Fill=—","Direction=H","UseDPDF=Y")</f>
        <v>15.448700000000001</v>
      </c>
      <c r="F25" s="14" t="str">
        <f>_xll.BDH("GILD US Equity","SUSTAIN_GROWTH_RT","FQ3 2019","FQ3 2019","Currency=USD","Period=FQ","BEST_FPERIOD_OVERRIDE=FQ","FILING_STATUS=MR","FA_ADJUSTED=GAAP","Sort=A","Dates=H","DateFormat=P","Fill=—","Direction=H","UseDPDF=Y")</f>
        <v>—</v>
      </c>
      <c r="G25" s="14">
        <f>_xll.BDH("GILD US Equity","SUSTAIN_GROWTH_RT","FQ4 2019","FQ4 2019","Currency=USD","Period=FQ","BEST_FPERIOD_OVERRIDE=FQ","FILING_STATUS=MR","FA_ADJUSTED=GAAP","Sort=A","Dates=H","DateFormat=P","Fill=—","Direction=H","UseDPDF=Y")</f>
        <v>17.178899999999999</v>
      </c>
      <c r="H25" s="14">
        <f>_xll.BDH("GILD US Equity","SUSTAIN_GROWTH_RT","FQ1 2020","FQ1 2020","Currency=USD","Period=FQ","BEST_FPERIOD_OVERRIDE=FQ","FILING_STATUS=MR","FA_ADJUSTED=GAAP","Sort=A","Dates=H","DateFormat=P","Fill=—","Direction=H","UseDPDF=Y")</f>
        <v>9.8408999999999995</v>
      </c>
      <c r="I25" s="14" t="str">
        <f>_xll.BDH("GILD US Equity","SUSTAIN_GROWTH_RT","FQ2 2020","FQ2 2020","Currency=USD","Period=FQ","BEST_FPERIOD_OVERRIDE=FQ","FILING_STATUS=MR","FA_ADJUSTED=GAAP","Sort=A","Dates=H","DateFormat=P","Fill=—","Direction=H","UseDPDF=Y")</f>
        <v>—</v>
      </c>
      <c r="J25" s="14">
        <f>_xll.BDH("GILD US Equity","SUSTAIN_GROWTH_RT","FQ3 2020","FQ3 2020","Currency=USD","Period=FQ","BEST_FPERIOD_OVERRIDE=FQ","FILING_STATUS=MR","FA_ADJUSTED=GAAP","Sort=A","Dates=H","DateFormat=P","Fill=—","Direction=H","UseDPDF=Y")</f>
        <v>-9.3681999999999999</v>
      </c>
      <c r="K25" s="14">
        <f>_xll.BDH("GILD US Equity","SUSTAIN_GROWTH_RT","FQ4 2020","FQ4 2020","Currency=USD","Period=FQ","BEST_FPERIOD_OVERRIDE=FQ","FILING_STATUS=MR","FA_ADJUSTED=GAAP","Sort=A","Dates=H","DateFormat=P","Fill=—","Direction=H","UseDPDF=Y")</f>
        <v>0.26719999999999999</v>
      </c>
      <c r="L25" s="14">
        <f>_xll.BDH("GILD US Equity","SUSTAIN_GROWTH_RT","FQ1 2021","FQ1 2021","Currency=USD","Period=FQ","BEST_FPERIOD_OVERRIDE=FQ","FILING_STATUS=MR","FA_ADJUSTED=GAAP","Sort=A","Dates=H","DateFormat=P","Fill=—","Direction=H","UseDPDF=Y")</f>
        <v>0.6986</v>
      </c>
      <c r="M25" s="14">
        <f>_xll.BDH("GILD US Equity","SUSTAIN_GROWTH_RT","FQ2 2021","FQ2 2021","Currency=USD","Period=FQ","BEST_FPERIOD_OVERRIDE=FQ","FILING_STATUS=MR","FA_ADJUSTED=GAAP","Sort=A","Dates=H","DateFormat=P","Fill=—","Direction=H","UseDPDF=Y")</f>
        <v>11.128500000000001</v>
      </c>
      <c r="N25" s="14">
        <f>_xll.BDH("GILD US Equity","SUSTAIN_GROWTH_RT","FQ3 2021","FQ3 2021","Currency=USD","Period=FQ","BEST_FPERIOD_OVERRIDE=FQ","FILING_STATUS=MR","FA_ADJUSTED=GAAP","Sort=A","Dates=H","DateFormat=P","Fill=—","Direction=H","UseDPDF=Y")</f>
        <v>24.732800000000001</v>
      </c>
      <c r="O25" s="14">
        <f>_xll.BDH("GILD US Equity","SUSTAIN_GROWTH_RT","FQ4 2021","FQ4 2021","Currency=USD","Period=FQ","BEST_FPERIOD_OVERRIDE=FQ","FILING_STATUS=MR","FA_ADJUSTED=GAAP","Sort=A","Dates=H","DateFormat=P","Fill=—","Direction=H","UseDPDF=Y")</f>
        <v>-42.305799999999998</v>
      </c>
      <c r="P25" s="14">
        <f>_xll.BDH("GILD US Equity","SUSTAIN_GROWTH_RT","FQ1 2022","FQ1 2022","Currency=USD","Period=FQ","BEST_FPERIOD_OVERRIDE=FQ","FILING_STATUS=MR","FA_ADJUSTED=GAAP","Sort=A","Dates=H","DateFormat=P","Fill=—","Direction=H","UseDPDF=Y")</f>
        <v>-1116.0659000000001</v>
      </c>
      <c r="Q25" s="14">
        <f>_xll.BDH("GILD US Equity","SUSTAIN_GROWTH_RT","FQ2 2022","FQ2 2022","Currency=USD","Period=FQ","BEST_FPERIOD_OVERRIDE=FQ","FILING_STATUS=MR","FA_ADJUSTED=GAAP","Sort=A","Dates=H","DateFormat=P","Fill=—","Direction=H","UseDPDF=Y")</f>
        <v>3.8391000000000002</v>
      </c>
      <c r="R25" s="14">
        <f>_xll.BDH("GILD US Equity","SUSTAIN_GROWTH_RT","FQ3 2022","FQ3 2022","Currency=USD","Period=FQ","BEST_FPERIOD_OVERRIDE=FQ","FILING_STATUS=MR","FA_ADJUSTED=GAAP","Sort=A","Dates=H","DateFormat=P","Fill=—","Direction=H","UseDPDF=Y")</f>
        <v>7.6456999999999997</v>
      </c>
      <c r="S25" s="14">
        <f>_xll.BDH("GILD US Equity","SUSTAIN_GROWTH_RT","FQ4 2022","FQ4 2022","Currency=USD","Period=FQ","BEST_FPERIOD_OVERRIDE=FQ","FILING_STATUS=MR","FA_ADJUSTED=GAAP","Sort=A","Dates=H","DateFormat=P","Fill=—","Direction=H","UseDPDF=Y")</f>
        <v>9.6097999999999999</v>
      </c>
      <c r="T25" s="14">
        <f>_xll.BDH("GILD US Equity","SUSTAIN_GROWTH_RT","FQ1 2023","FQ1 2023","Currency=USD","Period=FQ","BEST_FPERIOD_OVERRIDE=FQ","FILING_STATUS=MR","FA_ADJUSTED=GAAP","Sort=A","Dates=H","DateFormat=P","Fill=—","Direction=H","UseDPDF=Y")</f>
        <v>1.4318</v>
      </c>
      <c r="U25" s="14">
        <f>_xll.BDH("GILD US Equity","SUSTAIN_GROWTH_RT","FQ2 2023","FQ2 2023","Currency=USD","Period=FQ","BEST_FPERIOD_OVERRIDE=FQ","FILING_STATUS=MR","FA_ADJUSTED=GAAP","Sort=A","Dates=H","DateFormat=P","Fill=—","Direction=H","UseDPDF=Y")</f>
        <v>2.3073999999999999</v>
      </c>
      <c r="V25" s="14">
        <f>_xll.BDH("GILD US Equity","SUSTAIN_GROWTH_RT","FQ3 2023","FQ3 2023","Currency=USD","Period=FQ","BEST_FPERIOD_OVERRIDE=FQ","FILING_STATUS=MR","FA_ADJUSTED=GAAP","Sort=A","Dates=H","DateFormat=P","Fill=—","Direction=H","UseDPDF=Y")</f>
        <v>15.245100000000001</v>
      </c>
      <c r="W25" s="14">
        <f>_xll.BDH("GILD US Equity","SUSTAIN_GROWTH_RT","FQ4 2023","FQ4 2023","Currency=USD","Period=FQ","BEST_FPERIOD_OVERRIDE=FQ","FILING_STATUS=MR","FA_ADJUSTED=GAAP","Sort=A","Dates=H","DateFormat=P","Fill=—","Direction=H","UseDPDF=Y")</f>
        <v>8.8673999999999999</v>
      </c>
      <c r="X25" s="14" t="str">
        <f>_xll.BDH("GILD US Equity","SUSTAIN_GROWTH_RT","FQ1 2024","FQ1 2024","Currency=USD","Period=FQ","BEST_FPERIOD_OVERRIDE=FQ","FILING_STATUS=MR","FA_ADJUSTED=GAAP","Sort=A","Dates=H","DateFormat=P","Fill=—","Direction=H","UseDPDF=Y")</f>
        <v>—</v>
      </c>
      <c r="Y25" s="14">
        <f>_xll.BDH("GILD US Equity","SUSTAIN_GROWTH_RT","FQ2 2024","FQ2 2024","Currency=USD","Period=FQ","BEST_FPERIOD_OVERRIDE=FQ","FILING_STATUS=MR","FA_ADJUSTED=GAAP","Sort=A","Dates=H","DateFormat=P","Fill=—","Direction=H","UseDPDF=Y")</f>
        <v>2.1042000000000001</v>
      </c>
      <c r="Z25" s="14">
        <f>_xll.BDH("GILD US Equity","SUSTAIN_GROWTH_RT","FQ3 2024","FQ3 2024","Currency=USD","Period=FQ","BEST_FPERIOD_OVERRIDE=FQ","FILING_STATUS=MR","FA_ADJUSTED=GAAP","Sort=A","Dates=H","DateFormat=P","Fill=—","Direction=H","UseDPDF=Y")</f>
        <v>0.1361</v>
      </c>
      <c r="AA25" s="14">
        <f>_xll.BDH("GILD US Equity","SUSTAIN_GROWTH_RT","FQ4 2024","FQ4 2024","Currency=USD","Period=FQ","BEST_FPERIOD_OVERRIDE=FQ","FILING_STATUS=MR","FA_ADJUSTED=GAAP","Sort=A","Dates=H","DateFormat=P","Fill=—","Direction=H","UseDPDF=Y")</f>
        <v>1.0497000000000001</v>
      </c>
    </row>
    <row r="26" spans="1:27" x14ac:dyDescent="0.25">
      <c r="A26" s="7" t="s">
        <v>90</v>
      </c>
      <c r="B26" s="7"/>
      <c r="C26" s="7" t="s">
        <v>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96"/>
  <sheetViews>
    <sheetView workbookViewId="0">
      <selection activeCell="L19" sqref="L19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1509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1510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0</v>
      </c>
      <c r="B7" s="10" t="s">
        <v>73</v>
      </c>
      <c r="C7" s="14">
        <f>_xll.BDH("GILD US Equity","SALES_GROWTH","FQ4 2018","FQ4 2018","Currency=USD","Period=FQ","BEST_FPERIOD_OVERRIDE=FQ","FILING_STATUS=MR","FA_ADJUSTED=GAAP","Sort=A","Dates=H","DateFormat=P","Fill=—","Direction=H","UseDPDF=Y")</f>
        <v>-2.5886999999999998</v>
      </c>
      <c r="D7" s="14">
        <f>_xll.BDH("GILD US Equity","SALES_GROWTH","FQ1 2019","FQ1 2019","Currency=USD","Period=FQ","BEST_FPERIOD_OVERRIDE=FQ","FILING_STATUS=MR","FA_ADJUSTED=GAAP","Sort=A","Dates=H","DateFormat=P","Fill=—","Direction=H","UseDPDF=Y")</f>
        <v>3.7932000000000001</v>
      </c>
      <c r="E7" s="14">
        <f>_xll.BDH("GILD US Equity","SALES_GROWTH","FQ2 2019","FQ2 2019","Currency=USD","Period=FQ","BEST_FPERIOD_OVERRIDE=FQ","FILING_STATUS=MR","FA_ADJUSTED=GAAP","Sort=A","Dates=H","DateFormat=P","Fill=—","Direction=H","UseDPDF=Y")</f>
        <v>0.65510000000000002</v>
      </c>
      <c r="F7" s="14">
        <f>_xll.BDH("GILD US Equity","SALES_GROWTH","FQ3 2019","FQ3 2019","Currency=USD","Period=FQ","BEST_FPERIOD_OVERRIDE=FQ","FILING_STATUS=MR","FA_ADJUSTED=GAAP","Sort=A","Dates=H","DateFormat=P","Fill=—","Direction=H","UseDPDF=Y")</f>
        <v>0.14299999999999999</v>
      </c>
      <c r="G7" s="14">
        <f>_xll.BDH("GILD US Equity","SALES_GROWTH","FQ4 2019","FQ4 2019","Currency=USD","Period=FQ","BEST_FPERIOD_OVERRIDE=FQ","FILING_STATUS=MR","FA_ADJUSTED=GAAP","Sort=A","Dates=H","DateFormat=P","Fill=—","Direction=H","UseDPDF=Y")</f>
        <v>1.4495</v>
      </c>
      <c r="H7" s="14">
        <f>_xll.BDH("GILD US Equity","SALES_GROWTH","FQ1 2020","FQ1 2020","Currency=USD","Period=FQ","BEST_FPERIOD_OVERRIDE=FQ","FILING_STATUS=MR","FA_ADJUSTED=GAAP","Sort=A","Dates=H","DateFormat=P","Fill=—","Direction=H","UseDPDF=Y")</f>
        <v>5.0559000000000003</v>
      </c>
      <c r="I7" s="14">
        <f>_xll.BDH("GILD US Equity","SALES_GROWTH","FQ2 2020","FQ2 2020","Currency=USD","Period=FQ","BEST_FPERIOD_OVERRIDE=FQ","FILING_STATUS=MR","FA_ADJUSTED=GAAP","Sort=A","Dates=H","DateFormat=P","Fill=—","Direction=H","UseDPDF=Y")</f>
        <v>-9.5338999999999992</v>
      </c>
      <c r="J7" s="14">
        <f>_xll.BDH("GILD US Equity","SALES_GROWTH","FQ3 2020","FQ3 2020","Currency=USD","Period=FQ","BEST_FPERIOD_OVERRIDE=FQ","FILING_STATUS=MR","FA_ADJUSTED=GAAP","Sort=A","Dates=H","DateFormat=P","Fill=—","Direction=H","UseDPDF=Y")</f>
        <v>17.3626</v>
      </c>
      <c r="K7" s="14">
        <f>_xll.BDH("GILD US Equity","SALES_GROWTH","FQ4 2020","FQ4 2020","Currency=USD","Period=FQ","BEST_FPERIOD_OVERRIDE=FQ","FILING_STATUS=MR","FA_ADJUSTED=GAAP","Sort=A","Dates=H","DateFormat=P","Fill=—","Direction=H","UseDPDF=Y")</f>
        <v>26.228999999999999</v>
      </c>
      <c r="L7" s="14">
        <f>_xll.BDH("GILD US Equity","SALES_GROWTH","FQ1 2021","FQ1 2021","Currency=USD","Period=FQ","BEST_FPERIOD_OVERRIDE=FQ","FILING_STATUS=MR","FA_ADJUSTED=GAAP","Sort=A","Dates=H","DateFormat=P","Fill=—","Direction=H","UseDPDF=Y")</f>
        <v>15.7714</v>
      </c>
      <c r="M7" s="14">
        <f>_xll.BDH("GILD US Equity","SALES_GROWTH","FQ2 2021","FQ2 2021","Currency=USD","Period=FQ","BEST_FPERIOD_OVERRIDE=FQ","FILING_STATUS=MR","FA_ADJUSTED=GAAP","Sort=A","Dates=H","DateFormat=P","Fill=—","Direction=H","UseDPDF=Y")</f>
        <v>20.8828</v>
      </c>
      <c r="N7" s="14">
        <f>_xll.BDH("GILD US Equity","SALES_GROWTH","FQ3 2021","FQ3 2021","Currency=USD","Period=FQ","BEST_FPERIOD_OVERRIDE=FQ","FILING_STATUS=MR","FA_ADJUSTED=GAAP","Sort=A","Dates=H","DateFormat=P","Fill=—","Direction=H","UseDPDF=Y")</f>
        <v>12.832599999999999</v>
      </c>
      <c r="O7" s="14">
        <f>_xll.BDH("GILD US Equity","SALES_GROWTH","FQ4 2021","FQ4 2021","Currency=USD","Period=FQ","BEST_FPERIOD_OVERRIDE=FQ","FILING_STATUS=MR","FA_ADJUSTED=GAAP","Sort=A","Dates=H","DateFormat=P","Fill=—","Direction=H","UseDPDF=Y")</f>
        <v>-2.3851</v>
      </c>
      <c r="P7" s="14">
        <f>_xll.BDH("GILD US Equity","SALES_GROWTH","FQ1 2022","FQ1 2022","Currency=USD","Period=FQ","BEST_FPERIOD_OVERRIDE=FQ","FILING_STATUS=MR","FA_ADJUSTED=GAAP","Sort=A","Dates=H","DateFormat=P","Fill=—","Direction=H","UseDPDF=Y")</f>
        <v>2.6</v>
      </c>
      <c r="Q7" s="14">
        <f>_xll.BDH("GILD US Equity","SALES_GROWTH","FQ2 2022","FQ2 2022","Currency=USD","Period=FQ","BEST_FPERIOD_OVERRIDE=FQ","FILING_STATUS=MR","FA_ADJUSTED=GAAP","Sort=A","Dates=H","DateFormat=P","Fill=—","Direction=H","UseDPDF=Y")</f>
        <v>0.69169999999999998</v>
      </c>
      <c r="R7" s="14">
        <f>_xll.BDH("GILD US Equity","SALES_GROWTH","FQ3 2022","FQ3 2022","Currency=USD","Period=FQ","BEST_FPERIOD_OVERRIDE=FQ","FILING_STATUS=MR","FA_ADJUSTED=GAAP","Sort=A","Dates=H","DateFormat=P","Fill=—","Direction=H","UseDPDF=Y")</f>
        <v>-5.1071</v>
      </c>
      <c r="S7" s="14">
        <f>_xll.BDH("GILD US Equity","SALES_GROWTH","FQ4 2022","FQ4 2022","Currency=USD","Period=FQ","BEST_FPERIOD_OVERRIDE=FQ","FILING_STATUS=MR","FA_ADJUSTED=GAAP","Sort=A","Dates=H","DateFormat=P","Fill=—","Direction=H","UseDPDF=Y")</f>
        <v>2.0017</v>
      </c>
      <c r="T7" s="14">
        <f>_xll.BDH("GILD US Equity","SALES_GROWTH","FQ1 2023","FQ1 2023","Currency=USD","Period=FQ","BEST_FPERIOD_OVERRIDE=FQ","FILING_STATUS=MR","FA_ADJUSTED=GAAP","Sort=A","Dates=H","DateFormat=P","Fill=—","Direction=H","UseDPDF=Y")</f>
        <v>-3.6114999999999999</v>
      </c>
      <c r="U7" s="14">
        <f>_xll.BDH("GILD US Equity","SALES_GROWTH","FQ2 2023","FQ2 2023","Currency=USD","Period=FQ","BEST_FPERIOD_OVERRIDE=FQ","FILING_STATUS=MR","FA_ADJUSTED=GAAP","Sort=A","Dates=H","DateFormat=P","Fill=—","Direction=H","UseDPDF=Y")</f>
        <v>5.4153000000000002</v>
      </c>
      <c r="V7" s="14">
        <f>_xll.BDH("GILD US Equity","SALES_GROWTH","FQ3 2023","FQ3 2023","Currency=USD","Period=FQ","BEST_FPERIOD_OVERRIDE=FQ","FILING_STATUS=MR","FA_ADJUSTED=GAAP","Sort=A","Dates=H","DateFormat=P","Fill=—","Direction=H","UseDPDF=Y")</f>
        <v>0.1278</v>
      </c>
      <c r="W7" s="14">
        <f>_xll.BDH("GILD US Equity","SALES_GROWTH","FQ4 2023","FQ4 2023","Currency=USD","Period=FQ","BEST_FPERIOD_OVERRIDE=FQ","FILING_STATUS=MR","FA_ADJUSTED=GAAP","Sort=A","Dates=H","DateFormat=P","Fill=—","Direction=H","UseDPDF=Y")</f>
        <v>-3.7082000000000002</v>
      </c>
      <c r="X7" s="14">
        <f>_xll.BDH("GILD US Equity","SALES_GROWTH","FQ1 2024","FQ1 2024","Currency=USD","Period=FQ","BEST_FPERIOD_OVERRIDE=FQ","FILING_STATUS=MR","FA_ADJUSTED=GAAP","Sort=A","Dates=H","DateFormat=P","Fill=—","Direction=H","UseDPDF=Y")</f>
        <v>5.2582000000000004</v>
      </c>
      <c r="Y7" s="14">
        <f>_xll.BDH("GILD US Equity","SALES_GROWTH","FQ2 2024","FQ2 2024","Currency=USD","Period=FQ","BEST_FPERIOD_OVERRIDE=FQ","FILING_STATUS=MR","FA_ADJUSTED=GAAP","Sort=A","Dates=H","DateFormat=P","Fill=—","Direction=H","UseDPDF=Y")</f>
        <v>5.3643999999999998</v>
      </c>
      <c r="Z7" s="14">
        <f>_xll.BDH("GILD US Equity","SALES_GROWTH","FQ3 2024","FQ3 2024","Currency=USD","Period=FQ","BEST_FPERIOD_OVERRIDE=FQ","FILING_STATUS=MR","FA_ADJUSTED=GAAP","Sort=A","Dates=H","DateFormat=P","Fill=—","Direction=H","UseDPDF=Y")</f>
        <v>7.0061</v>
      </c>
      <c r="AA7" s="14">
        <f>_xll.BDH("GILD US Equity","SALES_GROWTH","FQ4 2024","FQ4 2024","Currency=USD","Period=FQ","BEST_FPERIOD_OVERRIDE=FQ","FILING_STATUS=MR","FA_ADJUSTED=GAAP","Sort=A","Dates=H","DateFormat=P","Fill=—","Direction=H","UseDPDF=Y")</f>
        <v>6.3808999999999996</v>
      </c>
    </row>
    <row r="8" spans="1:27" x14ac:dyDescent="0.25">
      <c r="A8" s="10" t="s">
        <v>78</v>
      </c>
      <c r="B8" s="10" t="s">
        <v>1511</v>
      </c>
      <c r="C8" s="14">
        <f>_xll.BDH("GILD US Equity","EBITDA_GROWTH","FQ4 2018","FQ4 2018","Currency=USD","Period=FQ","BEST_FPERIOD_OVERRIDE=FQ","FILING_STATUS=MR","FA_ADJUSTED=GAAP","Sort=A","Dates=H","DateFormat=P","Fill=—","Direction=H","UseDPDF=Y")</f>
        <v>-44.122</v>
      </c>
      <c r="D8" s="14">
        <f>_xll.BDH("GILD US Equity","EBITDA_GROWTH","FQ1 2019","FQ1 2019","Currency=USD","Period=FQ","BEST_FPERIOD_OVERRIDE=FQ","FILING_STATUS=MR","FA_ADJUSTED=GAAP","Sort=A","Dates=H","DateFormat=P","Fill=—","Direction=H","UseDPDF=Y")</f>
        <v>4.8605999999999998</v>
      </c>
      <c r="E8" s="14">
        <f>_xll.BDH("GILD US Equity","EBITDA_GROWTH","FQ2 2019","FQ2 2019","Currency=USD","Period=FQ","BEST_FPERIOD_OVERRIDE=FQ","FILING_STATUS=MR","FA_ADJUSTED=GAAP","Sort=A","Dates=H","DateFormat=P","Fill=—","Direction=H","UseDPDF=Y")</f>
        <v>6.8285</v>
      </c>
      <c r="F8" s="14" t="str">
        <f>_xll.BDH("GILD US Equity","EBITDA_GROWTH","FQ3 2019","FQ3 2019","Currency=USD","Period=FQ","BEST_FPERIOD_OVERRIDE=FQ","FILING_STATUS=MR","FA_ADJUSTED=GAAP","Sort=A","Dates=H","DateFormat=P","Fill=—","Direction=H","UseDPDF=Y")</f>
        <v>—</v>
      </c>
      <c r="G8" s="14">
        <f>_xll.BDH("GILD US Equity","EBITDA_GROWTH","FQ4 2019","FQ4 2019","Currency=USD","Period=FQ","BEST_FPERIOD_OVERRIDE=FQ","FILING_STATUS=MR","FA_ADJUSTED=GAAP","Sort=A","Dates=H","DateFormat=P","Fill=—","Direction=H","UseDPDF=Y")</f>
        <v>-0.99870000000000003</v>
      </c>
      <c r="H8" s="14">
        <f>_xll.BDH("GILD US Equity","EBITDA_GROWTH","FQ1 2020","FQ1 2020","Currency=USD","Period=FQ","BEST_FPERIOD_OVERRIDE=FQ","FILING_STATUS=MR","FA_ADJUSTED=GAAP","Sort=A","Dates=H","DateFormat=P","Fill=—","Direction=H","UseDPDF=Y")</f>
        <v>4.5213000000000001</v>
      </c>
      <c r="I8" s="14" t="str">
        <f>_xll.BDH("GILD US Equity","EBITDA_GROWTH","FQ2 2020","FQ2 2020","Currency=USD","Period=FQ","BEST_FPERIOD_OVERRIDE=FQ","FILING_STATUS=MR","FA_ADJUSTED=GAAP","Sort=A","Dates=H","DateFormat=P","Fill=—","Direction=H","UseDPDF=Y")</f>
        <v>—</v>
      </c>
      <c r="J8" s="14" t="str">
        <f>_xll.BDH("GILD US Equity","EBITDA_GROWTH","FQ3 2020","FQ3 2020","Currency=USD","Period=FQ","BEST_FPERIOD_OVERRIDE=FQ","FILING_STATUS=MR","FA_ADJUSTED=GAAP","Sort=A","Dates=H","DateFormat=P","Fill=—","Direction=H","UseDPDF=Y")</f>
        <v>—</v>
      </c>
      <c r="K8" s="14">
        <f>_xll.BDH("GILD US Equity","EBITDA_GROWTH","FQ4 2020","FQ4 2020","Currency=USD","Period=FQ","BEST_FPERIOD_OVERRIDE=FQ","FILING_STATUS=MR","FA_ADJUSTED=GAAP","Sort=A","Dates=H","DateFormat=P","Fill=—","Direction=H","UseDPDF=Y")</f>
        <v>106.9939</v>
      </c>
      <c r="L8" s="14">
        <f>_xll.BDH("GILD US Equity","EBITDA_GROWTH","FQ1 2021","FQ1 2021","Currency=USD","Period=FQ","BEST_FPERIOD_OVERRIDE=FQ","FILING_STATUS=MR","FA_ADJUSTED=GAAP","Sort=A","Dates=H","DateFormat=P","Fill=—","Direction=H","UseDPDF=Y")</f>
        <v>22.246500000000001</v>
      </c>
      <c r="M8" s="14" t="str">
        <f>_xll.BDH("GILD US Equity","EBITDA_GROWTH","FQ2 2021","FQ2 2021","Currency=USD","Period=FQ","BEST_FPERIOD_OVERRIDE=FQ","FILING_STATUS=MR","FA_ADJUSTED=GAAP","Sort=A","Dates=H","DateFormat=P","Fill=—","Direction=H","UseDPDF=Y")</f>
        <v>—</v>
      </c>
      <c r="N8" s="14">
        <f>_xll.BDH("GILD US Equity","EBITDA_GROWTH","FQ3 2021","FQ3 2021","Currency=USD","Period=FQ","BEST_FPERIOD_OVERRIDE=FQ","FILING_STATUS=MR","FA_ADJUSTED=GAAP","Sort=A","Dates=H","DateFormat=P","Fill=—","Direction=H","UseDPDF=Y")</f>
        <v>85.271600000000007</v>
      </c>
      <c r="O8" s="14">
        <f>_xll.BDH("GILD US Equity","EBITDA_GROWTH","FQ4 2021","FQ4 2021","Currency=USD","Period=FQ","BEST_FPERIOD_OVERRIDE=FQ","FILING_STATUS=MR","FA_ADJUSTED=GAAP","Sort=A","Dates=H","DateFormat=P","Fill=—","Direction=H","UseDPDF=Y")</f>
        <v>-52.079300000000003</v>
      </c>
      <c r="P8" s="14">
        <f>_xll.BDH("GILD US Equity","EBITDA_GROWTH","FQ1 2022","FQ1 2022","Currency=USD","Period=FQ","BEST_FPERIOD_OVERRIDE=FQ","FILING_STATUS=MR","FA_ADJUSTED=GAAP","Sort=A","Dates=H","DateFormat=P","Fill=—","Direction=H","UseDPDF=Y")</f>
        <v>-78.531099999999995</v>
      </c>
      <c r="Q8" s="14">
        <f>_xll.BDH("GILD US Equity","EBITDA_GROWTH","FQ2 2022","FQ2 2022","Currency=USD","Period=FQ","BEST_FPERIOD_OVERRIDE=FQ","FILING_STATUS=MR","FA_ADJUSTED=GAAP","Sort=A","Dates=H","DateFormat=P","Fill=—","Direction=H","UseDPDF=Y")</f>
        <v>-7.6311</v>
      </c>
      <c r="R8" s="14">
        <f>_xll.BDH("GILD US Equity","EBITDA_GROWTH","FQ3 2022","FQ3 2022","Currency=USD","Period=FQ","BEST_FPERIOD_OVERRIDE=FQ","FILING_STATUS=MR","FA_ADJUSTED=GAAP","Sort=A","Dates=H","DateFormat=P","Fill=—","Direction=H","UseDPDF=Y")</f>
        <v>-22.978200000000001</v>
      </c>
      <c r="S8" s="14">
        <f>_xll.BDH("GILD US Equity","EBITDA_GROWTH","FQ4 2022","FQ4 2022","Currency=USD","Period=FQ","BEST_FPERIOD_OVERRIDE=FQ","FILING_STATUS=MR","FA_ADJUSTED=GAAP","Sort=A","Dates=H","DateFormat=P","Fill=—","Direction=H","UseDPDF=Y")</f>
        <v>89.491500000000002</v>
      </c>
      <c r="T8" s="14">
        <f>_xll.BDH("GILD US Equity","EBITDA_GROWTH","FQ1 2023","FQ1 2023","Currency=USD","Period=FQ","BEST_FPERIOD_OVERRIDE=FQ","FILING_STATUS=MR","FA_ADJUSTED=GAAP","Sort=A","Dates=H","DateFormat=P","Fill=—","Direction=H","UseDPDF=Y")</f>
        <v>224.79220000000001</v>
      </c>
      <c r="U8" s="14">
        <f>_xll.BDH("GILD US Equity","EBITDA_GROWTH","FQ2 2023","FQ2 2023","Currency=USD","Period=FQ","BEST_FPERIOD_OVERRIDE=FQ","FILING_STATUS=MR","FA_ADJUSTED=GAAP","Sort=A","Dates=H","DateFormat=P","Fill=—","Direction=H","UseDPDF=Y")</f>
        <v>-8.1440999999999999</v>
      </c>
      <c r="V8" s="14">
        <f>_xll.BDH("GILD US Equity","EBITDA_GROWTH","FQ3 2023","FQ3 2023","Currency=USD","Period=FQ","BEST_FPERIOD_OVERRIDE=FQ","FILING_STATUS=MR","FA_ADJUSTED=GAAP","Sort=A","Dates=H","DateFormat=P","Fill=—","Direction=H","UseDPDF=Y")</f>
        <v>-1.6358999999999999</v>
      </c>
      <c r="W8" s="14">
        <f>_xll.BDH("GILD US Equity","EBITDA_GROWTH","FQ4 2023","FQ4 2023","Currency=USD","Period=FQ","BEST_FPERIOD_OVERRIDE=FQ","FILING_STATUS=MR","FA_ADJUSTED=GAAP","Sort=A","Dates=H","DateFormat=P","Fill=—","Direction=H","UseDPDF=Y")</f>
        <v>-17.7102</v>
      </c>
      <c r="X8" s="14" t="str">
        <f>_xll.BDH("GILD US Equity","EBITDA_GROWTH","FQ1 2024","FQ1 2024","Currency=USD","Period=FQ","BEST_FPERIOD_OVERRIDE=FQ","FILING_STATUS=MR","FA_ADJUSTED=GAAP","Sort=A","Dates=H","DateFormat=P","Fill=—","Direction=H","UseDPDF=Y")</f>
        <v>—</v>
      </c>
      <c r="Y8" s="14">
        <f>_xll.BDH("GILD US Equity","EBITDA_GROWTH","FQ2 2024","FQ2 2024","Currency=USD","Period=FQ","BEST_FPERIOD_OVERRIDE=FQ","FILING_STATUS=MR","FA_ADJUSTED=GAAP","Sort=A","Dates=H","DateFormat=P","Fill=—","Direction=H","UseDPDF=Y")</f>
        <v>42.284700000000001</v>
      </c>
      <c r="Z8" s="14">
        <f>_xll.BDH("GILD US Equity","EBITDA_GROWTH","FQ3 2024","FQ3 2024","Currency=USD","Period=FQ","BEST_FPERIOD_OVERRIDE=FQ","FILING_STATUS=MR","FA_ADJUSTED=GAAP","Sort=A","Dates=H","DateFormat=P","Fill=—","Direction=H","UseDPDF=Y")</f>
        <v>-52.283000000000001</v>
      </c>
      <c r="AA8" s="14">
        <f>_xll.BDH("GILD US Equity","EBITDA_GROWTH","FQ4 2024","FQ4 2024","Currency=USD","Period=FQ","BEST_FPERIOD_OVERRIDE=FQ","FILING_STATUS=MR","FA_ADJUSTED=GAAP","Sort=A","Dates=H","DateFormat=P","Fill=—","Direction=H","UseDPDF=Y")</f>
        <v>36.695700000000002</v>
      </c>
    </row>
    <row r="9" spans="1:27" x14ac:dyDescent="0.25">
      <c r="A9" s="10" t="s">
        <v>98</v>
      </c>
      <c r="B9" s="10" t="s">
        <v>1512</v>
      </c>
      <c r="C9" s="14">
        <f>_xll.BDH("GILD US Equity","OPER_INC_GROWTH","FQ4 2018","FQ4 2018","Currency=USD","Period=FQ","BEST_FPERIOD_OVERRIDE=FQ","FILING_STATUS=MR","FA_ADJUSTED=GAAP","Sort=A","Dates=H","DateFormat=P","Fill=—","Direction=H","UseDPDF=Y")</f>
        <v>-50.0655</v>
      </c>
      <c r="D9" s="14">
        <f>_xll.BDH("GILD US Equity","OPER_INC_GROWTH","FQ1 2019","FQ1 2019","Currency=USD","Period=FQ","BEST_FPERIOD_OVERRIDE=FQ","FILING_STATUS=MR","FA_ADJUSTED=GAAP","Sort=A","Dates=H","DateFormat=P","Fill=—","Direction=H","UseDPDF=Y")</f>
        <v>3.9015</v>
      </c>
      <c r="E9" s="14">
        <f>_xll.BDH("GILD US Equity","OPER_INC_GROWTH","FQ2 2019","FQ2 2019","Currency=USD","Period=FQ","BEST_FPERIOD_OVERRIDE=FQ","FILING_STATUS=MR","FA_ADJUSTED=GAAP","Sort=A","Dates=H","DateFormat=P","Fill=—","Direction=H","UseDPDF=Y")</f>
        <v>6.5789</v>
      </c>
      <c r="F9" s="14" t="str">
        <f>_xll.BDH("GILD US Equity","OPER_INC_GROWTH","FQ3 2019","FQ3 2019","Currency=USD","Period=FQ","BEST_FPERIOD_OVERRIDE=FQ","FILING_STATUS=MR","FA_ADJUSTED=GAAP","Sort=A","Dates=H","DateFormat=P","Fill=—","Direction=H","UseDPDF=Y")</f>
        <v>—</v>
      </c>
      <c r="G9" s="14">
        <f>_xll.BDH("GILD US Equity","OPER_INC_GROWTH","FQ4 2019","FQ4 2019","Currency=USD","Period=FQ","BEST_FPERIOD_OVERRIDE=FQ","FILING_STATUS=MR","FA_ADJUSTED=GAAP","Sort=A","Dates=H","DateFormat=P","Fill=—","Direction=H","UseDPDF=Y")</f>
        <v>-4.4580000000000002</v>
      </c>
      <c r="H9" s="14">
        <f>_xll.BDH("GILD US Equity","OPER_INC_GROWTH","FQ1 2020","FQ1 2020","Currency=USD","Period=FQ","BEST_FPERIOD_OVERRIDE=FQ","FILING_STATUS=MR","FA_ADJUSTED=GAAP","Sort=A","Dates=H","DateFormat=P","Fill=—","Direction=H","UseDPDF=Y")</f>
        <v>7.3758999999999997</v>
      </c>
      <c r="I9" s="14" t="str">
        <f>_xll.BDH("GILD US Equity","OPER_INC_GROWTH","FQ2 2020","FQ2 2020","Currency=USD","Period=FQ","BEST_FPERIOD_OVERRIDE=FQ","FILING_STATUS=MR","FA_ADJUSTED=GAAP","Sort=A","Dates=H","DateFormat=P","Fill=—","Direction=H","UseDPDF=Y")</f>
        <v>—</v>
      </c>
      <c r="J9" s="14" t="str">
        <f>_xll.BDH("GILD US Equity","OPER_INC_GROWTH","FQ3 2020","FQ3 2020","Currency=USD","Period=FQ","BEST_FPERIOD_OVERRIDE=FQ","FILING_STATUS=MR","FA_ADJUSTED=GAAP","Sort=A","Dates=H","DateFormat=P","Fill=—","Direction=H","UseDPDF=Y")</f>
        <v>—</v>
      </c>
      <c r="K9" s="14">
        <f>_xll.BDH("GILD US Equity","OPER_INC_GROWTH","FQ4 2020","FQ4 2020","Currency=USD","Period=FQ","BEST_FPERIOD_OVERRIDE=FQ","FILING_STATUS=MR","FA_ADJUSTED=GAAP","Sort=A","Dates=H","DateFormat=P","Fill=—","Direction=H","UseDPDF=Y")</f>
        <v>142.54349999999999</v>
      </c>
      <c r="L9" s="14">
        <f>_xll.BDH("GILD US Equity","OPER_INC_GROWTH","FQ1 2021","FQ1 2021","Currency=USD","Period=FQ","BEST_FPERIOD_OVERRIDE=FQ","FILING_STATUS=MR","FA_ADJUSTED=GAAP","Sort=A","Dates=H","DateFormat=P","Fill=—","Direction=H","UseDPDF=Y")</f>
        <v>20.316400000000002</v>
      </c>
      <c r="M9" s="14" t="str">
        <f>_xll.BDH("GILD US Equity","OPER_INC_GROWTH","FQ2 2021","FQ2 2021","Currency=USD","Period=FQ","BEST_FPERIOD_OVERRIDE=FQ","FILING_STATUS=MR","FA_ADJUSTED=GAAP","Sort=A","Dates=H","DateFormat=P","Fill=—","Direction=H","UseDPDF=Y")</f>
        <v>—</v>
      </c>
      <c r="N9" s="14">
        <f>_xll.BDH("GILD US Equity","OPER_INC_GROWTH","FQ3 2021","FQ3 2021","Currency=USD","Period=FQ","BEST_FPERIOD_OVERRIDE=FQ","FILING_STATUS=MR","FA_ADJUSTED=GAAP","Sort=A","Dates=H","DateFormat=P","Fill=—","Direction=H","UseDPDF=Y")</f>
        <v>92.004000000000005</v>
      </c>
      <c r="O9" s="14">
        <f>_xll.BDH("GILD US Equity","OPER_INC_GROWTH","FQ4 2021","FQ4 2021","Currency=USD","Period=FQ","BEST_FPERIOD_OVERRIDE=FQ","FILING_STATUS=MR","FA_ADJUSTED=GAAP","Sort=A","Dates=H","DateFormat=P","Fill=—","Direction=H","UseDPDF=Y")</f>
        <v>-64.541700000000006</v>
      </c>
      <c r="P9" s="14">
        <f>_xll.BDH("GILD US Equity","OPER_INC_GROWTH","FQ1 2022","FQ1 2022","Currency=USD","Period=FQ","BEST_FPERIOD_OVERRIDE=FQ","FILING_STATUS=MR","FA_ADJUSTED=GAAP","Sort=A","Dates=H","DateFormat=P","Fill=—","Direction=H","UseDPDF=Y")</f>
        <v>-93.183400000000006</v>
      </c>
      <c r="Q9" s="14">
        <f>_xll.BDH("GILD US Equity","OPER_INC_GROWTH","FQ2 2022","FQ2 2022","Currency=USD","Period=FQ","BEST_FPERIOD_OVERRIDE=FQ","FILING_STATUS=MR","FA_ADJUSTED=GAAP","Sort=A","Dates=H","DateFormat=P","Fill=—","Direction=H","UseDPDF=Y")</f>
        <v>-9.6616</v>
      </c>
      <c r="R9" s="14">
        <f>_xll.BDH("GILD US Equity","OPER_INC_GROWTH","FQ3 2022","FQ3 2022","Currency=USD","Period=FQ","BEST_FPERIOD_OVERRIDE=FQ","FILING_STATUS=MR","FA_ADJUSTED=GAAP","Sort=A","Dates=H","DateFormat=P","Fill=—","Direction=H","UseDPDF=Y")</f>
        <v>-26.158300000000001</v>
      </c>
      <c r="S9" s="14">
        <f>_xll.BDH("GILD US Equity","OPER_INC_GROWTH","FQ4 2022","FQ4 2022","Currency=USD","Period=FQ","BEST_FPERIOD_OVERRIDE=FQ","FILING_STATUS=MR","FA_ADJUSTED=GAAP","Sort=A","Dates=H","DateFormat=P","Fill=—","Direction=H","UseDPDF=Y")</f>
        <v>141.17019999999999</v>
      </c>
      <c r="T9" s="14">
        <f>_xll.BDH("GILD US Equity","OPER_INC_GROWTH","FQ1 2023","FQ1 2023","Currency=USD","Period=FQ","BEST_FPERIOD_OVERRIDE=FQ","FILING_STATUS=MR","FA_ADJUSTED=GAAP","Sort=A","Dates=H","DateFormat=P","Fill=—","Direction=H","UseDPDF=Y")</f>
        <v>765.48220000000003</v>
      </c>
      <c r="U9" s="14">
        <f>_xll.BDH("GILD US Equity","OPER_INC_GROWTH","FQ2 2023","FQ2 2023","Currency=USD","Period=FQ","BEST_FPERIOD_OVERRIDE=FQ","FILING_STATUS=MR","FA_ADJUSTED=GAAP","Sort=A","Dates=H","DateFormat=P","Fill=—","Direction=H","UseDPDF=Y")</f>
        <v>-17.939900000000002</v>
      </c>
      <c r="V9" s="14">
        <f>_xll.BDH("GILD US Equity","OPER_INC_GROWTH","FQ3 2023","FQ3 2023","Currency=USD","Period=FQ","BEST_FPERIOD_OVERRIDE=FQ","FILING_STATUS=MR","FA_ADJUSTED=GAAP","Sort=A","Dates=H","DateFormat=P","Fill=—","Direction=H","UseDPDF=Y")</f>
        <v>-7.5431999999999997</v>
      </c>
      <c r="W9" s="14">
        <f>_xll.BDH("GILD US Equity","OPER_INC_GROWTH","FQ4 2023","FQ4 2023","Currency=USD","Period=FQ","BEST_FPERIOD_OVERRIDE=FQ","FILING_STATUS=MR","FA_ADJUSTED=GAAP","Sort=A","Dates=H","DateFormat=P","Fill=—","Direction=H","UseDPDF=Y")</f>
        <v>-28.892800000000001</v>
      </c>
      <c r="X9" s="14" t="str">
        <f>_xll.BDH("GILD US Equity","OPER_INC_GROWTH","FQ1 2024","FQ1 2024","Currency=USD","Period=FQ","BEST_FPERIOD_OVERRIDE=FQ","FILING_STATUS=MR","FA_ADJUSTED=GAAP","Sort=A","Dates=H","DateFormat=P","Fill=—","Direction=H","UseDPDF=Y")</f>
        <v>—</v>
      </c>
      <c r="Y9" s="14">
        <f>_xll.BDH("GILD US Equity","OPER_INC_GROWTH","FQ2 2024","FQ2 2024","Currency=USD","Period=FQ","BEST_FPERIOD_OVERRIDE=FQ","FILING_STATUS=MR","FA_ADJUSTED=GAAP","Sort=A","Dates=H","DateFormat=P","Fill=—","Direction=H","UseDPDF=Y")</f>
        <v>58.7988</v>
      </c>
      <c r="Z9" s="14">
        <f>_xll.BDH("GILD US Equity","OPER_INC_GROWTH","FQ3 2024","FQ3 2024","Currency=USD","Period=FQ","BEST_FPERIOD_OVERRIDE=FQ","FILING_STATUS=MR","FA_ADJUSTED=GAAP","Sort=A","Dates=H","DateFormat=P","Fill=—","Direction=H","UseDPDF=Y")</f>
        <v>-66.145600000000002</v>
      </c>
      <c r="AA9" s="14">
        <f>_xll.BDH("GILD US Equity","OPER_INC_GROWTH","FQ4 2024","FQ4 2024","Currency=USD","Period=FQ","BEST_FPERIOD_OVERRIDE=FQ","FILING_STATUS=MR","FA_ADJUSTED=GAAP","Sort=A","Dates=H","DateFormat=P","Fill=—","Direction=H","UseDPDF=Y")</f>
        <v>52.0471</v>
      </c>
    </row>
    <row r="10" spans="1:27" x14ac:dyDescent="0.25">
      <c r="A10" s="10" t="s">
        <v>100</v>
      </c>
      <c r="B10" s="10" t="s">
        <v>1513</v>
      </c>
      <c r="C10" s="14" t="str">
        <f>_xll.BDH("GILD US Equity","EARN_FOR_COM_GROWTH","FQ4 2018","FQ4 2018","Currency=USD","Period=FQ","BEST_FPERIOD_OVERRIDE=FQ","FILING_STATUS=MR","FA_ADJUSTED=GAAP","Sort=A","Dates=H","DateFormat=P","Fill=—","Direction=H","UseDPDF=Y")</f>
        <v>—</v>
      </c>
      <c r="D10" s="14">
        <f>_xll.BDH("GILD US Equity","EARN_FOR_COM_GROWTH","FQ1 2019","FQ1 2019","Currency=USD","Period=FQ","BEST_FPERIOD_OVERRIDE=FQ","FILING_STATUS=MR","FA_ADJUSTED=GAAP","Sort=A","Dates=H","DateFormat=P","Fill=—","Direction=H","UseDPDF=Y")</f>
        <v>28.413499999999999</v>
      </c>
      <c r="E10" s="14">
        <f>_xll.BDH("GILD US Equity","EARN_FOR_COM_GROWTH","FQ2 2019","FQ2 2019","Currency=USD","Period=FQ","BEST_FPERIOD_OVERRIDE=FQ","FILING_STATUS=MR","FA_ADJUSTED=GAAP","Sort=A","Dates=H","DateFormat=P","Fill=—","Direction=H","UseDPDF=Y")</f>
        <v>3.4672999999999998</v>
      </c>
      <c r="F10" s="14" t="str">
        <f>_xll.BDH("GILD US Equity","EARN_FOR_COM_GROWTH","FQ3 2019","FQ3 2019","Currency=USD","Period=FQ","BEST_FPERIOD_OVERRIDE=FQ","FILING_STATUS=MR","FA_ADJUSTED=GAAP","Sort=A","Dates=H","DateFormat=P","Fill=—","Direction=H","UseDPDF=Y")</f>
        <v>—</v>
      </c>
      <c r="G10" s="14">
        <f>_xll.BDH("GILD US Equity","EARN_FOR_COM_GROWTH","FQ4 2019","FQ4 2019","Currency=USD","Period=FQ","BEST_FPERIOD_OVERRIDE=FQ","FILING_STATUS=MR","FA_ADJUSTED=GAAP","Sort=A","Dates=H","DateFormat=P","Fill=—","Direction=H","UseDPDF=Y")</f>
        <v>89766.666700000002</v>
      </c>
      <c r="H10" s="14">
        <f>_xll.BDH("GILD US Equity","EARN_FOR_COM_GROWTH","FQ1 2020","FQ1 2020","Currency=USD","Period=FQ","BEST_FPERIOD_OVERRIDE=FQ","FILING_STATUS=MR","FA_ADJUSTED=GAAP","Sort=A","Dates=H","DateFormat=P","Fill=—","Direction=H","UseDPDF=Y")</f>
        <v>-21.468399999999999</v>
      </c>
      <c r="I10" s="14" t="str">
        <f>_xll.BDH("GILD US Equity","EARN_FOR_COM_GROWTH","FQ2 2020","FQ2 2020","Currency=USD","Period=FQ","BEST_FPERIOD_OVERRIDE=FQ","FILING_STATUS=MR","FA_ADJUSTED=GAAP","Sort=A","Dates=H","DateFormat=P","Fill=—","Direction=H","UseDPDF=Y")</f>
        <v>—</v>
      </c>
      <c r="J10" s="14" t="str">
        <f>_xll.BDH("GILD US Equity","EARN_FOR_COM_GROWTH","FQ3 2020","FQ3 2020","Currency=USD","Period=FQ","BEST_FPERIOD_OVERRIDE=FQ","FILING_STATUS=MR","FA_ADJUSTED=GAAP","Sort=A","Dates=H","DateFormat=P","Fill=—","Direction=H","UseDPDF=Y")</f>
        <v>—</v>
      </c>
      <c r="K10" s="14">
        <f>_xll.BDH("GILD US Equity","EARN_FOR_COM_GROWTH","FQ4 2020","FQ4 2020","Currency=USD","Period=FQ","BEST_FPERIOD_OVERRIDE=FQ","FILING_STATUS=MR","FA_ADJUSTED=GAAP","Sort=A","Dates=H","DateFormat=P","Fill=—","Direction=H","UseDPDF=Y")</f>
        <v>-42.470300000000002</v>
      </c>
      <c r="L10" s="14">
        <f>_xll.BDH("GILD US Equity","EARN_FOR_COM_GROWTH","FQ1 2021","FQ1 2021","Currency=USD","Period=FQ","BEST_FPERIOD_OVERRIDE=FQ","FILING_STATUS=MR","FA_ADJUSTED=GAAP","Sort=A","Dates=H","DateFormat=P","Fill=—","Direction=H","UseDPDF=Y")</f>
        <v>11.4765</v>
      </c>
      <c r="M10" s="14" t="str">
        <f>_xll.BDH("GILD US Equity","EARN_FOR_COM_GROWTH","FQ2 2021","FQ2 2021","Currency=USD","Period=FQ","BEST_FPERIOD_OVERRIDE=FQ","FILING_STATUS=MR","FA_ADJUSTED=GAAP","Sort=A","Dates=H","DateFormat=P","Fill=—","Direction=H","UseDPDF=Y")</f>
        <v>—</v>
      </c>
      <c r="N10" s="14">
        <f>_xll.BDH("GILD US Equity","EARN_FOR_COM_GROWTH","FQ3 2021","FQ3 2021","Currency=USD","Period=FQ","BEST_FPERIOD_OVERRIDE=FQ","FILING_STATUS=MR","FA_ADJUSTED=GAAP","Sort=A","Dates=H","DateFormat=P","Fill=—","Direction=H","UseDPDF=Y")</f>
        <v>620</v>
      </c>
      <c r="O10" s="14">
        <f>_xll.BDH("GILD US Equity","EARN_FOR_COM_GROWTH","FQ4 2021","FQ4 2021","Currency=USD","Period=FQ","BEST_FPERIOD_OVERRIDE=FQ","FILING_STATUS=MR","FA_ADJUSTED=GAAP","Sort=A","Dates=H","DateFormat=P","Fill=—","Direction=H","UseDPDF=Y")</f>
        <v>-75.370699999999999</v>
      </c>
      <c r="P10" s="14">
        <f>_xll.BDH("GILD US Equity","EARN_FOR_COM_GROWTH","FQ1 2022","FQ1 2022","Currency=USD","Period=FQ","BEST_FPERIOD_OVERRIDE=FQ","FILING_STATUS=MR","FA_ADJUSTED=GAAP","Sort=A","Dates=H","DateFormat=P","Fill=—","Direction=H","UseDPDF=Y")</f>
        <v>-98.9011</v>
      </c>
      <c r="Q10" s="14">
        <f>_xll.BDH("GILD US Equity","EARN_FOR_COM_GROWTH","FQ2 2022","FQ2 2022","Currency=USD","Period=FQ","BEST_FPERIOD_OVERRIDE=FQ","FILING_STATUS=MR","FA_ADJUSTED=GAAP","Sort=A","Dates=H","DateFormat=P","Fill=—","Direction=H","UseDPDF=Y")</f>
        <v>-24.835699999999999</v>
      </c>
      <c r="R10" s="14">
        <f>_xll.BDH("GILD US Equity","EARN_FOR_COM_GROWTH","FQ3 2022","FQ3 2022","Currency=USD","Period=FQ","BEST_FPERIOD_OVERRIDE=FQ","FILING_STATUS=MR","FA_ADJUSTED=GAAP","Sort=A","Dates=H","DateFormat=P","Fill=—","Direction=H","UseDPDF=Y")</f>
        <v>-30.979900000000001</v>
      </c>
      <c r="S10" s="14">
        <f>_xll.BDH("GILD US Equity","EARN_FOR_COM_GROWTH","FQ4 2022","FQ4 2022","Currency=USD","Period=FQ","BEST_FPERIOD_OVERRIDE=FQ","FILING_STATUS=MR","FA_ADJUSTED=GAAP","Sort=A","Dates=H","DateFormat=P","Fill=—","Direction=H","UseDPDF=Y")</f>
        <v>329.31939999999997</v>
      </c>
      <c r="T10" s="14">
        <f>_xll.BDH("GILD US Equity","EARN_FOR_COM_GROWTH","FQ1 2023","FQ1 2023","Currency=USD","Period=FQ","BEST_FPERIOD_OVERRIDE=FQ","FILING_STATUS=MR","FA_ADJUSTED=GAAP","Sort=A","Dates=H","DateFormat=P","Fill=—","Direction=H","UseDPDF=Y")</f>
        <v>5215.7894999999999</v>
      </c>
      <c r="U10" s="14">
        <f>_xll.BDH("GILD US Equity","EARN_FOR_COM_GROWTH","FQ2 2023","FQ2 2023","Currency=USD","Period=FQ","BEST_FPERIOD_OVERRIDE=FQ","FILING_STATUS=MR","FA_ADJUSTED=GAAP","Sort=A","Dates=H","DateFormat=P","Fill=—","Direction=H","UseDPDF=Y")</f>
        <v>-8.6538000000000004</v>
      </c>
      <c r="V10" s="14">
        <f>_xll.BDH("GILD US Equity","EARN_FOR_COM_GROWTH","FQ3 2023","FQ3 2023","Currency=USD","Period=FQ","BEST_FPERIOD_OVERRIDE=FQ","FILING_STATUS=MR","FA_ADJUSTED=GAAP","Sort=A","Dates=H","DateFormat=P","Fill=—","Direction=H","UseDPDF=Y")</f>
        <v>21.855799999999999</v>
      </c>
      <c r="W10" s="14">
        <f>_xll.BDH("GILD US Equity","EARN_FOR_COM_GROWTH","FQ4 2023","FQ4 2023","Currency=USD","Period=FQ","BEST_FPERIOD_OVERRIDE=FQ","FILING_STATUS=MR","FA_ADJUSTED=GAAP","Sort=A","Dates=H","DateFormat=P","Fill=—","Direction=H","UseDPDF=Y")</f>
        <v>-12.8659</v>
      </c>
      <c r="X10" s="14" t="str">
        <f>_xll.BDH("GILD US Equity","EARN_FOR_COM_GROWTH","FQ1 2024","FQ1 2024","Currency=USD","Period=FQ","BEST_FPERIOD_OVERRIDE=FQ","FILING_STATUS=MR","FA_ADJUSTED=GAAP","Sort=A","Dates=H","DateFormat=P","Fill=—","Direction=H","UseDPDF=Y")</f>
        <v>—</v>
      </c>
      <c r="Y10" s="14">
        <f>_xll.BDH("GILD US Equity","EARN_FOR_COM_GROWTH","FQ2 2024","FQ2 2024","Currency=USD","Period=FQ","BEST_FPERIOD_OVERRIDE=FQ","FILING_STATUS=MR","FA_ADJUSTED=GAAP","Sort=A","Dates=H","DateFormat=P","Fill=—","Direction=H","UseDPDF=Y")</f>
        <v>54.449800000000003</v>
      </c>
      <c r="Z10" s="14">
        <f>_xll.BDH("GILD US Equity","EARN_FOR_COM_GROWTH","FQ3 2024","FQ3 2024","Currency=USD","Period=FQ","BEST_FPERIOD_OVERRIDE=FQ","FILING_STATUS=MR","FA_ADJUSTED=GAAP","Sort=A","Dates=H","DateFormat=P","Fill=—","Direction=H","UseDPDF=Y")</f>
        <v>-42.5229</v>
      </c>
      <c r="AA10" s="14">
        <f>_xll.BDH("GILD US Equity","EARN_FOR_COM_GROWTH","FQ4 2024","FQ4 2024","Currency=USD","Period=FQ","BEST_FPERIOD_OVERRIDE=FQ","FILING_STATUS=MR","FA_ADJUSTED=GAAP","Sort=A","Dates=H","DateFormat=P","Fill=—","Direction=H","UseDPDF=Y")</f>
        <v>24.772600000000001</v>
      </c>
    </row>
    <row r="11" spans="1:27" x14ac:dyDescent="0.25">
      <c r="A11" s="10" t="s">
        <v>1514</v>
      </c>
      <c r="B11" s="10" t="s">
        <v>83</v>
      </c>
      <c r="C11" s="14" t="str">
        <f>_xll.BDH("GILD US Equity","DILUTED_EPS_AFT_XO_ITEMS_GROWTH","FQ4 2018","FQ4 2018","Currency=USD","Period=FQ","BEST_FPERIOD_OVERRIDE=FQ","FILING_STATUS=MR","FA_ADJUSTED=GAAP","Sort=A","Dates=H","DateFormat=P","Fill=—","Direction=H","UseDPDF=Y")</f>
        <v>—</v>
      </c>
      <c r="D11" s="14">
        <f>_xll.BDH("GILD US Equity","DILUTED_EPS_AFT_XO_ITEMS_GROWTH","FQ1 2019","FQ1 2019","Currency=USD","Period=FQ","BEST_FPERIOD_OVERRIDE=FQ","FILING_STATUS=MR","FA_ADJUSTED=GAAP","Sort=A","Dates=H","DateFormat=P","Fill=—","Direction=H","UseDPDF=Y")</f>
        <v>31.623899999999999</v>
      </c>
      <c r="E11" s="14">
        <f>_xll.BDH("GILD US Equity","DILUTED_EPS_AFT_XO_ITEMS_GROWTH","FQ2 2019","FQ2 2019","Currency=USD","Period=FQ","BEST_FPERIOD_OVERRIDE=FQ","FILING_STATUS=MR","FA_ADJUSTED=GAAP","Sort=A","Dates=H","DateFormat=P","Fill=—","Direction=H","UseDPDF=Y")</f>
        <v>5.7553999999999998</v>
      </c>
      <c r="F11" s="14" t="str">
        <f>_xll.BDH("GILD US Equity","DILUTED_EPS_AFT_XO_ITEMS_GROWTH","FQ3 2019","FQ3 2019","Currency=USD","Period=FQ","BEST_FPERIOD_OVERRIDE=FQ","FILING_STATUS=MR","FA_ADJUSTED=GAAP","Sort=A","Dates=H","DateFormat=P","Fill=—","Direction=H","UseDPDF=Y")</f>
        <v>—</v>
      </c>
      <c r="G11" s="14" t="str">
        <f>_xll.BDH("GILD US Equity","DILUTED_EPS_AFT_XO_ITEMS_GROWTH","FQ4 2019","FQ4 2019","Currency=USD","Period=FQ","BEST_FPERIOD_OVERRIDE=FQ","FILING_STATUS=MR","FA_ADJUSTED=GAAP","Sort=A","Dates=H","DateFormat=P","Fill=—","Direction=H","UseDPDF=Y")</f>
        <v>—</v>
      </c>
      <c r="H11" s="14">
        <f>_xll.BDH("GILD US Equity","DILUTED_EPS_AFT_XO_ITEMS_GROWTH","FQ1 2020","FQ1 2020","Currency=USD","Period=FQ","BEST_FPERIOD_OVERRIDE=FQ","FILING_STATUS=MR","FA_ADJUSTED=GAAP","Sort=A","Dates=H","DateFormat=P","Fill=—","Direction=H","UseDPDF=Y")</f>
        <v>-20.779199999999999</v>
      </c>
      <c r="I11" s="14" t="str">
        <f>_xll.BDH("GILD US Equity","DILUTED_EPS_AFT_XO_ITEMS_GROWTH","FQ2 2020","FQ2 2020","Currency=USD","Period=FQ","BEST_FPERIOD_OVERRIDE=FQ","FILING_STATUS=MR","FA_ADJUSTED=GAAP","Sort=A","Dates=H","DateFormat=P","Fill=—","Direction=H","UseDPDF=Y")</f>
        <v>—</v>
      </c>
      <c r="J11" s="14" t="str">
        <f>_xll.BDH("GILD US Equity","DILUTED_EPS_AFT_XO_ITEMS_GROWTH","FQ3 2020","FQ3 2020","Currency=USD","Period=FQ","BEST_FPERIOD_OVERRIDE=FQ","FILING_STATUS=MR","FA_ADJUSTED=GAAP","Sort=A","Dates=H","DateFormat=P","Fill=—","Direction=H","UseDPDF=Y")</f>
        <v>—</v>
      </c>
      <c r="K11" s="14">
        <f>_xll.BDH("GILD US Equity","DILUTED_EPS_AFT_XO_ITEMS_GROWTH","FQ4 2020","FQ4 2020","Currency=USD","Period=FQ","BEST_FPERIOD_OVERRIDE=FQ","FILING_STATUS=MR","FA_ADJUSTED=GAAP","Sort=A","Dates=H","DateFormat=P","Fill=—","Direction=H","UseDPDF=Y")</f>
        <v>-41.981099999999998</v>
      </c>
      <c r="L11" s="14">
        <f>_xll.BDH("GILD US Equity","DILUTED_EPS_AFT_XO_ITEMS_GROWTH","FQ1 2021","FQ1 2021","Currency=USD","Period=FQ","BEST_FPERIOD_OVERRIDE=FQ","FILING_STATUS=MR","FA_ADJUSTED=GAAP","Sort=A","Dates=H","DateFormat=P","Fill=—","Direction=H","UseDPDF=Y")</f>
        <v>12.2951</v>
      </c>
      <c r="M11" s="14" t="str">
        <f>_xll.BDH("GILD US Equity","DILUTED_EPS_AFT_XO_ITEMS_GROWTH","FQ2 2021","FQ2 2021","Currency=USD","Period=FQ","BEST_FPERIOD_OVERRIDE=FQ","FILING_STATUS=MR","FA_ADJUSTED=GAAP","Sort=A","Dates=H","DateFormat=P","Fill=—","Direction=H","UseDPDF=Y")</f>
        <v>—</v>
      </c>
      <c r="N11" s="14">
        <f>_xll.BDH("GILD US Equity","DILUTED_EPS_AFT_XO_ITEMS_GROWTH","FQ3 2021","FQ3 2021","Currency=USD","Period=FQ","BEST_FPERIOD_OVERRIDE=FQ","FILING_STATUS=MR","FA_ADJUSTED=GAAP","Sort=A","Dates=H","DateFormat=P","Fill=—","Direction=H","UseDPDF=Y")</f>
        <v>606.89660000000003</v>
      </c>
      <c r="O11" s="14">
        <f>_xll.BDH("GILD US Equity","DILUTED_EPS_AFT_XO_ITEMS_GROWTH","FQ4 2021","FQ4 2021","Currency=USD","Period=FQ","BEST_FPERIOD_OVERRIDE=FQ","FILING_STATUS=MR","FA_ADJUSTED=GAAP","Sort=A","Dates=H","DateFormat=P","Fill=—","Direction=H","UseDPDF=Y")</f>
        <v>-75.609800000000007</v>
      </c>
      <c r="P11" s="14">
        <f>_xll.BDH("GILD US Equity","DILUTED_EPS_AFT_XO_ITEMS_GROWTH","FQ1 2022","FQ1 2022","Currency=USD","Period=FQ","BEST_FPERIOD_OVERRIDE=FQ","FILING_STATUS=MR","FA_ADJUSTED=GAAP","Sort=A","Dates=H","DateFormat=P","Fill=—","Direction=H","UseDPDF=Y")</f>
        <v>-98.540099999999995</v>
      </c>
      <c r="Q11" s="14">
        <f>_xll.BDH("GILD US Equity","DILUTED_EPS_AFT_XO_ITEMS_GROWTH","FQ2 2022","FQ2 2022","Currency=USD","Period=FQ","BEST_FPERIOD_OVERRIDE=FQ","FILING_STATUS=MR","FA_ADJUSTED=GAAP","Sort=A","Dates=H","DateFormat=P","Fill=—","Direction=H","UseDPDF=Y")</f>
        <v>-24.793399999999998</v>
      </c>
      <c r="R11" s="14">
        <f>_xll.BDH("GILD US Equity","DILUTED_EPS_AFT_XO_ITEMS_GROWTH","FQ3 2022","FQ3 2022","Currency=USD","Period=FQ","BEST_FPERIOD_OVERRIDE=FQ","FILING_STATUS=MR","FA_ADJUSTED=GAAP","Sort=A","Dates=H","DateFormat=P","Fill=—","Direction=H","UseDPDF=Y")</f>
        <v>-30.7317</v>
      </c>
      <c r="S11" s="14">
        <f>_xll.BDH("GILD US Equity","DILUTED_EPS_AFT_XO_ITEMS_GROWTH","FQ4 2022","FQ4 2022","Currency=USD","Period=FQ","BEST_FPERIOD_OVERRIDE=FQ","FILING_STATUS=MR","FA_ADJUSTED=GAAP","Sort=A","Dates=H","DateFormat=P","Fill=—","Direction=H","UseDPDF=Y")</f>
        <v>333.33330000000001</v>
      </c>
      <c r="T11" s="14">
        <f>_xll.BDH("GILD US Equity","DILUTED_EPS_AFT_XO_ITEMS_GROWTH","FQ1 2023","FQ1 2023","Currency=USD","Period=FQ","BEST_FPERIOD_OVERRIDE=FQ","FILING_STATUS=MR","FA_ADJUSTED=GAAP","Sort=A","Dates=H","DateFormat=P","Fill=—","Direction=H","UseDPDF=Y")</f>
        <v>3900</v>
      </c>
      <c r="U11" s="14">
        <f>_xll.BDH("GILD US Equity","DILUTED_EPS_AFT_XO_ITEMS_GROWTH","FQ2 2023","FQ2 2023","Currency=USD","Period=FQ","BEST_FPERIOD_OVERRIDE=FQ","FILING_STATUS=MR","FA_ADJUSTED=GAAP","Sort=A","Dates=H","DateFormat=P","Fill=—","Direction=H","UseDPDF=Y")</f>
        <v>-8.7911999999999999</v>
      </c>
      <c r="V11" s="14">
        <f>_xll.BDH("GILD US Equity","DILUTED_EPS_AFT_XO_ITEMS_GROWTH","FQ3 2023","FQ3 2023","Currency=USD","Period=FQ","BEST_FPERIOD_OVERRIDE=FQ","FILING_STATUS=MR","FA_ADJUSTED=GAAP","Sort=A","Dates=H","DateFormat=P","Fill=—","Direction=H","UseDPDF=Y")</f>
        <v>21.831</v>
      </c>
      <c r="W11" s="14">
        <f>_xll.BDH("GILD US Equity","DILUTED_EPS_AFT_XO_ITEMS_GROWTH","FQ4 2023","FQ4 2023","Currency=USD","Period=FQ","BEST_FPERIOD_OVERRIDE=FQ","FILING_STATUS=MR","FA_ADJUSTED=GAAP","Sort=A","Dates=H","DateFormat=P","Fill=—","Direction=H","UseDPDF=Y")</f>
        <v>-12.307700000000001</v>
      </c>
      <c r="X11" s="14" t="str">
        <f>_xll.BDH("GILD US Equity","DILUTED_EPS_AFT_XO_ITEMS_GROWTH","FQ1 2024","FQ1 2024","Currency=USD","Period=FQ","BEST_FPERIOD_OVERRIDE=FQ","FILING_STATUS=MR","FA_ADJUSTED=GAAP","Sort=A","Dates=H","DateFormat=P","Fill=—","Direction=H","UseDPDF=Y")</f>
        <v>—</v>
      </c>
      <c r="Y11" s="14">
        <f>_xll.BDH("GILD US Equity","DILUTED_EPS_AFT_XO_ITEMS_GROWTH","FQ2 2024","FQ2 2024","Currency=USD","Period=FQ","BEST_FPERIOD_OVERRIDE=FQ","FILING_STATUS=MR","FA_ADJUSTED=GAAP","Sort=A","Dates=H","DateFormat=P","Fill=—","Direction=H","UseDPDF=Y")</f>
        <v>55.421700000000001</v>
      </c>
      <c r="Z11" s="14">
        <f>_xll.BDH("GILD US Equity","DILUTED_EPS_AFT_XO_ITEMS_GROWTH","FQ3 2024","FQ3 2024","Currency=USD","Period=FQ","BEST_FPERIOD_OVERRIDE=FQ","FILING_STATUS=MR","FA_ADJUSTED=GAAP","Sort=A","Dates=H","DateFormat=P","Fill=—","Direction=H","UseDPDF=Y")</f>
        <v>-42.1965</v>
      </c>
      <c r="AA11" s="14">
        <f>_xll.BDH("GILD US Equity","DILUTED_EPS_AFT_XO_ITEMS_GROWTH","FQ4 2024","FQ4 2024","Currency=USD","Period=FQ","BEST_FPERIOD_OVERRIDE=FQ","FILING_STATUS=MR","FA_ADJUSTED=GAAP","Sort=A","Dates=H","DateFormat=P","Fill=—","Direction=H","UseDPDF=Y")</f>
        <v>24.561399999999999</v>
      </c>
    </row>
    <row r="12" spans="1:27" x14ac:dyDescent="0.25">
      <c r="A12" s="10" t="s">
        <v>1515</v>
      </c>
      <c r="B12" s="10" t="s">
        <v>1516</v>
      </c>
      <c r="C12" s="14" t="str">
        <f>_xll.BDH("GILD US Equity","DILUTED_EPS_BEF_XO_ITEMS_GROWTH","FQ4 2018","FQ4 2018","Currency=USD","Period=FQ","BEST_FPERIOD_OVERRIDE=FQ","FILING_STATUS=MR","Sort=A","Dates=H","DateFormat=P","Fill=—","Direction=H","UseDPDF=Y")</f>
        <v>—</v>
      </c>
      <c r="D12" s="14">
        <f>_xll.BDH("GILD US Equity","DILUTED_EPS_BEF_XO_ITEMS_GROWTH","FQ1 2019","FQ1 2019","Currency=USD","Period=FQ","BEST_FPERIOD_OVERRIDE=FQ","FILING_STATUS=MR","Sort=A","Dates=H","DateFormat=P","Fill=—","Direction=H","UseDPDF=Y")</f>
        <v>31.623899999999999</v>
      </c>
      <c r="E12" s="14">
        <f>_xll.BDH("GILD US Equity","DILUTED_EPS_BEF_XO_ITEMS_GROWTH","FQ2 2019","FQ2 2019","Currency=USD","Period=FQ","BEST_FPERIOD_OVERRIDE=FQ","FILING_STATUS=MR","Sort=A","Dates=H","DateFormat=P","Fill=—","Direction=H","UseDPDF=Y")</f>
        <v>5.7553999999999998</v>
      </c>
      <c r="F12" s="14" t="str">
        <f>_xll.BDH("GILD US Equity","DILUTED_EPS_BEF_XO_ITEMS_GROWTH","FQ3 2019","FQ3 2019","Currency=USD","Period=FQ","BEST_FPERIOD_OVERRIDE=FQ","FILING_STATUS=MR","Sort=A","Dates=H","DateFormat=P","Fill=—","Direction=H","UseDPDF=Y")</f>
        <v>—</v>
      </c>
      <c r="G12" s="14" t="str">
        <f>_xll.BDH("GILD US Equity","DILUTED_EPS_BEF_XO_ITEMS_GROWTH","FQ4 2019","FQ4 2019","Currency=USD","Period=FQ","BEST_FPERIOD_OVERRIDE=FQ","FILING_STATUS=MR","Sort=A","Dates=H","DateFormat=P","Fill=—","Direction=H","UseDPDF=Y")</f>
        <v>—</v>
      </c>
      <c r="H12" s="14">
        <f>_xll.BDH("GILD US Equity","DILUTED_EPS_BEF_XO_ITEMS_GROWTH","FQ1 2020","FQ1 2020","Currency=USD","Period=FQ","BEST_FPERIOD_OVERRIDE=FQ","FILING_STATUS=MR","Sort=A","Dates=H","DateFormat=P","Fill=—","Direction=H","UseDPDF=Y")</f>
        <v>-20.779199999999999</v>
      </c>
      <c r="I12" s="14" t="str">
        <f>_xll.BDH("GILD US Equity","DILUTED_EPS_BEF_XO_ITEMS_GROWTH","FQ2 2020","FQ2 2020","Currency=USD","Period=FQ","BEST_FPERIOD_OVERRIDE=FQ","FILING_STATUS=MR","Sort=A","Dates=H","DateFormat=P","Fill=—","Direction=H","UseDPDF=Y")</f>
        <v>—</v>
      </c>
      <c r="J12" s="14" t="str">
        <f>_xll.BDH("GILD US Equity","DILUTED_EPS_BEF_XO_ITEMS_GROWTH","FQ3 2020","FQ3 2020","Currency=USD","Period=FQ","BEST_FPERIOD_OVERRIDE=FQ","FILING_STATUS=MR","Sort=A","Dates=H","DateFormat=P","Fill=—","Direction=H","UseDPDF=Y")</f>
        <v>—</v>
      </c>
      <c r="K12" s="14">
        <f>_xll.BDH("GILD US Equity","DILUTED_EPS_BEF_XO_ITEMS_GROWTH","FQ4 2020","FQ4 2020","Currency=USD","Period=FQ","BEST_FPERIOD_OVERRIDE=FQ","FILING_STATUS=MR","Sort=A","Dates=H","DateFormat=P","Fill=—","Direction=H","UseDPDF=Y")</f>
        <v>-41.981099999999998</v>
      </c>
      <c r="L12" s="14">
        <f>_xll.BDH("GILD US Equity","DILUTED_EPS_BEF_XO_ITEMS_GROWTH","FQ1 2021","FQ1 2021","Currency=USD","Period=FQ","BEST_FPERIOD_OVERRIDE=FQ","FILING_STATUS=MR","Sort=A","Dates=H","DateFormat=P","Fill=—","Direction=H","UseDPDF=Y")</f>
        <v>12.2951</v>
      </c>
      <c r="M12" s="14" t="str">
        <f>_xll.BDH("GILD US Equity","DILUTED_EPS_BEF_XO_ITEMS_GROWTH","FQ2 2021","FQ2 2021","Currency=USD","Period=FQ","BEST_FPERIOD_OVERRIDE=FQ","FILING_STATUS=MR","Sort=A","Dates=H","DateFormat=P","Fill=—","Direction=H","UseDPDF=Y")</f>
        <v>—</v>
      </c>
      <c r="N12" s="14">
        <f>_xll.BDH("GILD US Equity","DILUTED_EPS_BEF_XO_ITEMS_GROWTH","FQ3 2021","FQ3 2021","Currency=USD","Period=FQ","BEST_FPERIOD_OVERRIDE=FQ","FILING_STATUS=MR","Sort=A","Dates=H","DateFormat=P","Fill=—","Direction=H","UseDPDF=Y")</f>
        <v>606.89660000000003</v>
      </c>
      <c r="O12" s="14">
        <f>_xll.BDH("GILD US Equity","DILUTED_EPS_BEF_XO_ITEMS_GROWTH","FQ4 2021","FQ4 2021","Currency=USD","Period=FQ","BEST_FPERIOD_OVERRIDE=FQ","FILING_STATUS=MR","Sort=A","Dates=H","DateFormat=P","Fill=—","Direction=H","UseDPDF=Y")</f>
        <v>-75.609800000000007</v>
      </c>
      <c r="P12" s="14">
        <f>_xll.BDH("GILD US Equity","DILUTED_EPS_BEF_XO_ITEMS_GROWTH","FQ1 2022","FQ1 2022","Currency=USD","Period=FQ","BEST_FPERIOD_OVERRIDE=FQ","FILING_STATUS=MR","Sort=A","Dates=H","DateFormat=P","Fill=—","Direction=H","UseDPDF=Y")</f>
        <v>-98.540099999999995</v>
      </c>
      <c r="Q12" s="14">
        <f>_xll.BDH("GILD US Equity","DILUTED_EPS_BEF_XO_ITEMS_GROWTH","FQ2 2022","FQ2 2022","Currency=USD","Period=FQ","BEST_FPERIOD_OVERRIDE=FQ","FILING_STATUS=MR","Sort=A","Dates=H","DateFormat=P","Fill=—","Direction=H","UseDPDF=Y")</f>
        <v>-24.793399999999998</v>
      </c>
      <c r="R12" s="14">
        <f>_xll.BDH("GILD US Equity","DILUTED_EPS_BEF_XO_ITEMS_GROWTH","FQ3 2022","FQ3 2022","Currency=USD","Period=FQ","BEST_FPERIOD_OVERRIDE=FQ","FILING_STATUS=MR","Sort=A","Dates=H","DateFormat=P","Fill=—","Direction=H","UseDPDF=Y")</f>
        <v>-30.7317</v>
      </c>
      <c r="S12" s="14">
        <f>_xll.BDH("GILD US Equity","DILUTED_EPS_BEF_XO_ITEMS_GROWTH","FQ4 2022","FQ4 2022","Currency=USD","Period=FQ","BEST_FPERIOD_OVERRIDE=FQ","FILING_STATUS=MR","Sort=A","Dates=H","DateFormat=P","Fill=—","Direction=H","UseDPDF=Y")</f>
        <v>333.33330000000001</v>
      </c>
      <c r="T12" s="14">
        <f>_xll.BDH("GILD US Equity","DILUTED_EPS_BEF_XO_ITEMS_GROWTH","FQ1 2023","FQ1 2023","Currency=USD","Period=FQ","BEST_FPERIOD_OVERRIDE=FQ","FILING_STATUS=MR","Sort=A","Dates=H","DateFormat=P","Fill=—","Direction=H","UseDPDF=Y")</f>
        <v>3900</v>
      </c>
      <c r="U12" s="14">
        <f>_xll.BDH("GILD US Equity","DILUTED_EPS_BEF_XO_ITEMS_GROWTH","FQ2 2023","FQ2 2023","Currency=USD","Period=FQ","BEST_FPERIOD_OVERRIDE=FQ","FILING_STATUS=MR","Sort=A","Dates=H","DateFormat=P","Fill=—","Direction=H","UseDPDF=Y")</f>
        <v>-8.7911999999999999</v>
      </c>
      <c r="V12" s="14">
        <f>_xll.BDH("GILD US Equity","DILUTED_EPS_BEF_XO_ITEMS_GROWTH","FQ3 2023","FQ3 2023","Currency=USD","Period=FQ","BEST_FPERIOD_OVERRIDE=FQ","FILING_STATUS=MR","Sort=A","Dates=H","DateFormat=P","Fill=—","Direction=H","UseDPDF=Y")</f>
        <v>21.831</v>
      </c>
      <c r="W12" s="14">
        <f>_xll.BDH("GILD US Equity","DILUTED_EPS_BEF_XO_ITEMS_GROWTH","FQ4 2023","FQ4 2023","Currency=USD","Period=FQ","BEST_FPERIOD_OVERRIDE=FQ","FILING_STATUS=MR","Sort=A","Dates=H","DateFormat=P","Fill=—","Direction=H","UseDPDF=Y")</f>
        <v>-12.307700000000001</v>
      </c>
      <c r="X12" s="14" t="str">
        <f>_xll.BDH("GILD US Equity","DILUTED_EPS_BEF_XO_ITEMS_GROWTH","FQ1 2024","FQ1 2024","Currency=USD","Period=FQ","BEST_FPERIOD_OVERRIDE=FQ","FILING_STATUS=MR","Sort=A","Dates=H","DateFormat=P","Fill=—","Direction=H","UseDPDF=Y")</f>
        <v>—</v>
      </c>
      <c r="Y12" s="14">
        <f>_xll.BDH("GILD US Equity","DILUTED_EPS_BEF_XO_ITEMS_GROWTH","FQ2 2024","FQ2 2024","Currency=USD","Period=FQ","BEST_FPERIOD_OVERRIDE=FQ","FILING_STATUS=MR","Sort=A","Dates=H","DateFormat=P","Fill=—","Direction=H","UseDPDF=Y")</f>
        <v>55.421700000000001</v>
      </c>
      <c r="Z12" s="14">
        <f>_xll.BDH("GILD US Equity","DILUTED_EPS_BEF_XO_ITEMS_GROWTH","FQ3 2024","FQ3 2024","Currency=USD","Period=FQ","BEST_FPERIOD_OVERRIDE=FQ","FILING_STATUS=MR","Sort=A","Dates=H","DateFormat=P","Fill=—","Direction=H","UseDPDF=Y")</f>
        <v>-42.1965</v>
      </c>
      <c r="AA12" s="14">
        <f>_xll.BDH("GILD US Equity","DILUTED_EPS_BEF_XO_ITEMS_GROWTH","FQ4 2024","FQ4 2024","Currency=USD","Period=FQ","BEST_FPERIOD_OVERRIDE=FQ","FILING_STATUS=MR","Sort=A","Dates=H","DateFormat=P","Fill=—","Direction=H","UseDPDF=Y")</f>
        <v>24.561399999999999</v>
      </c>
    </row>
    <row r="13" spans="1:27" x14ac:dyDescent="0.25">
      <c r="A13" s="10" t="s">
        <v>1517</v>
      </c>
      <c r="B13" s="10" t="s">
        <v>1518</v>
      </c>
      <c r="C13" s="14">
        <f>_xll.BDH("GILD US Equity","RR_DIL_EPS_CONT_OPS_GROWTH","FQ4 2018","FQ4 2018","Currency=USD","Period=FQ","BEST_FPERIOD_OVERRIDE=FQ","FILING_STATUS=MR","Sort=A","Dates=H","DateFormat=P","Fill=—","Direction=H","UseDPDF=Y")</f>
        <v>-22.408999999999999</v>
      </c>
      <c r="D13" s="14">
        <f>_xll.BDH("GILD US Equity","RR_DIL_EPS_CONT_OPS_GROWTH","FQ1 2019","FQ1 2019","Currency=USD","Period=FQ","BEST_FPERIOD_OVERRIDE=FQ","FILING_STATUS=MR","Sort=A","Dates=H","DateFormat=P","Fill=—","Direction=H","UseDPDF=Y")</f>
        <v>27.09</v>
      </c>
      <c r="E13" s="14">
        <f>_xll.BDH("GILD US Equity","RR_DIL_EPS_CONT_OPS_GROWTH","FQ2 2019","FQ2 2019","Currency=USD","Period=FQ","BEST_FPERIOD_OVERRIDE=FQ","FILING_STATUS=MR","Sort=A","Dates=H","DateFormat=P","Fill=—","Direction=H","UseDPDF=Y")</f>
        <v>-1.1832</v>
      </c>
      <c r="F13" s="14">
        <f>_xll.BDH("GILD US Equity","RR_DIL_EPS_CONT_OPS_GROWTH","FQ3 2019","FQ3 2019","Currency=USD","Period=FQ","BEST_FPERIOD_OVERRIDE=FQ","FILING_STATUS=MR","Sort=A","Dates=H","DateFormat=P","Fill=—","Direction=H","UseDPDF=Y")</f>
        <v>-1.5860000000000001</v>
      </c>
      <c r="G13" s="14">
        <f>_xll.BDH("GILD US Equity","RR_DIL_EPS_CONT_OPS_GROWTH","FQ4 2019","FQ4 2019","Currency=USD","Period=FQ","BEST_FPERIOD_OVERRIDE=FQ","FILING_STATUS=MR","Sort=A","Dates=H","DateFormat=P","Fill=—","Direction=H","UseDPDF=Y")</f>
        <v>-18.888200000000001</v>
      </c>
      <c r="H13" s="14">
        <f>_xll.BDH("GILD US Equity","RR_DIL_EPS_CONT_OPS_GROWTH","FQ1 2020","FQ1 2020","Currency=USD","Period=FQ","BEST_FPERIOD_OVERRIDE=FQ","FILING_STATUS=MR","Sort=A","Dates=H","DateFormat=P","Fill=—","Direction=H","UseDPDF=Y")</f>
        <v>14.744199999999999</v>
      </c>
      <c r="I13" s="14">
        <f>_xll.BDH("GILD US Equity","RR_DIL_EPS_CONT_OPS_GROWTH","FQ2 2020","FQ2 2020","Currency=USD","Period=FQ","BEST_FPERIOD_OVERRIDE=FQ","FILING_STATUS=MR","Sort=A","Dates=H","DateFormat=P","Fill=—","Direction=H","UseDPDF=Y")</f>
        <v>-38.3566</v>
      </c>
      <c r="J13" s="14">
        <f>_xll.BDH("GILD US Equity","RR_DIL_EPS_CONT_OPS_GROWTH","FQ3 2020","FQ3 2020","Currency=USD","Period=FQ","BEST_FPERIOD_OVERRIDE=FQ","FILING_STATUS=MR","Sort=A","Dates=H","DateFormat=P","Fill=—","Direction=H","UseDPDF=Y")</f>
        <v>32.8279</v>
      </c>
      <c r="K13" s="14">
        <f>_xll.BDH("GILD US Equity","RR_DIL_EPS_CONT_OPS_GROWTH","FQ4 2020","FQ4 2020","Currency=USD","Period=FQ","BEST_FPERIOD_OVERRIDE=FQ","FILING_STATUS=MR","Sort=A","Dates=H","DateFormat=P","Fill=—","Direction=H","UseDPDF=Y")</f>
        <v>112.639</v>
      </c>
      <c r="L13" s="14">
        <f>_xll.BDH("GILD US Equity","RR_DIL_EPS_CONT_OPS_GROWTH","FQ1 2021","FQ1 2021","Currency=USD","Period=FQ","BEST_FPERIOD_OVERRIDE=FQ","FILING_STATUS=MR","Sort=A","Dates=H","DateFormat=P","Fill=—","Direction=H","UseDPDF=Y")</f>
        <v>23.729700000000001</v>
      </c>
      <c r="M13" s="14">
        <f>_xll.BDH("GILD US Equity","RR_DIL_EPS_CONT_OPS_GROWTH","FQ2 2021","FQ2 2021","Currency=USD","Period=FQ","BEST_FPERIOD_OVERRIDE=FQ","FILING_STATUS=MR","Sort=A","Dates=H","DateFormat=P","Fill=—","Direction=H","UseDPDF=Y")</f>
        <v>61.736600000000003</v>
      </c>
      <c r="N13" s="14">
        <f>_xll.BDH("GILD US Equity","RR_DIL_EPS_CONT_OPS_GROWTH","FQ3 2021","FQ3 2021","Currency=USD","Period=FQ","BEST_FPERIOD_OVERRIDE=FQ","FILING_STATUS=MR","Sort=A","Dates=H","DateFormat=P","Fill=—","Direction=H","UseDPDF=Y")</f>
        <v>19.200900000000001</v>
      </c>
      <c r="O13" s="14">
        <f>_xll.BDH("GILD US Equity","RR_DIL_EPS_CONT_OPS_GROWTH","FQ4 2021","FQ4 2021","Currency=USD","Period=FQ","BEST_FPERIOD_OVERRIDE=FQ","FILING_STATUS=MR","Sort=A","Dates=H","DateFormat=P","Fill=—","Direction=H","UseDPDF=Y")</f>
        <v>-61.039499999999997</v>
      </c>
      <c r="P13" s="14">
        <f>_xll.BDH("GILD US Equity","RR_DIL_EPS_CONT_OPS_GROWTH","FQ1 2022","FQ1 2022","Currency=USD","Period=FQ","BEST_FPERIOD_OVERRIDE=FQ","FILING_STATUS=MR","Sort=A","Dates=H","DateFormat=P","Fill=—","Direction=H","UseDPDF=Y")</f>
        <v>-17.226400000000002</v>
      </c>
      <c r="Q13" s="14">
        <f>_xll.BDH("GILD US Equity","RR_DIL_EPS_CONT_OPS_GROWTH","FQ2 2022","FQ2 2022","Currency=USD","Period=FQ","BEST_FPERIOD_OVERRIDE=FQ","FILING_STATUS=MR","Sort=A","Dates=H","DateFormat=P","Fill=—","Direction=H","UseDPDF=Y")</f>
        <v>-5.4619</v>
      </c>
      <c r="R13" s="14">
        <f>_xll.BDH("GILD US Equity","RR_DIL_EPS_CONT_OPS_GROWTH","FQ3 2022","FQ3 2022","Currency=USD","Period=FQ","BEST_FPERIOD_OVERRIDE=FQ","FILING_STATUS=MR","Sort=A","Dates=H","DateFormat=P","Fill=—","Direction=H","UseDPDF=Y")</f>
        <v>-5.4756</v>
      </c>
      <c r="S13" s="14">
        <f>_xll.BDH("GILD US Equity","RR_DIL_EPS_CONT_OPS_GROWTH","FQ4 2022","FQ4 2022","Currency=USD","Period=FQ","BEST_FPERIOD_OVERRIDE=FQ","FILING_STATUS=MR","Sort=A","Dates=H","DateFormat=P","Fill=—","Direction=H","UseDPDF=Y")</f>
        <v>98.587699999999998</v>
      </c>
      <c r="T13" s="14">
        <f>_xll.BDH("GILD US Equity","RR_DIL_EPS_CONT_OPS_GROWTH","FQ1 2023","FQ1 2023","Currency=USD","Period=FQ","BEST_FPERIOD_OVERRIDE=FQ","FILING_STATUS=MR","Sort=A","Dates=H","DateFormat=P","Fill=—","Direction=H","UseDPDF=Y")</f>
        <v>-22.3475</v>
      </c>
      <c r="U13" s="14">
        <f>_xll.BDH("GILD US Equity","RR_DIL_EPS_CONT_OPS_GROWTH","FQ2 2023","FQ2 2023","Currency=USD","Period=FQ","BEST_FPERIOD_OVERRIDE=FQ","FILING_STATUS=MR","Sort=A","Dates=H","DateFormat=P","Fill=—","Direction=H","UseDPDF=Y")</f>
        <v>-19.223400000000002</v>
      </c>
      <c r="V13" s="14">
        <f>_xll.BDH("GILD US Equity","RR_DIL_EPS_CONT_OPS_GROWTH","FQ3 2023","FQ3 2023","Currency=USD","Period=FQ","BEST_FPERIOD_OVERRIDE=FQ","FILING_STATUS=MR","Sort=A","Dates=H","DateFormat=P","Fill=—","Direction=H","UseDPDF=Y")</f>
        <v>-9.2268000000000008</v>
      </c>
      <c r="W13" s="14">
        <f>_xll.BDH("GILD US Equity","RR_DIL_EPS_CONT_OPS_GROWTH","FQ4 2023","FQ4 2023","Currency=USD","Period=FQ","BEST_FPERIOD_OVERRIDE=FQ","FILING_STATUS=MR","Sort=A","Dates=H","DateFormat=P","Fill=—","Direction=H","UseDPDF=Y")</f>
        <v>5.3781999999999996</v>
      </c>
      <c r="X13" s="14">
        <f>_xll.BDH("GILD US Equity","RR_DIL_EPS_CONT_OPS_GROWTH","FQ1 2024","FQ1 2024","Currency=USD","Period=FQ","BEST_FPERIOD_OVERRIDE=FQ","FILING_STATUS=MR","Sort=A","Dates=H","DateFormat=P","Fill=—","Direction=H","UseDPDF=Y")</f>
        <v>-30.4102</v>
      </c>
      <c r="Y13" s="14">
        <f>_xll.BDH("GILD US Equity","RR_DIL_EPS_CONT_OPS_GROWTH","FQ2 2024","FQ2 2024","Currency=USD","Period=FQ","BEST_FPERIOD_OVERRIDE=FQ","FILING_STATUS=MR","Sort=A","Dates=H","DateFormat=P","Fill=—","Direction=H","UseDPDF=Y")</f>
        <v>44.4084</v>
      </c>
      <c r="Z13" s="14">
        <f>_xll.BDH("GILD US Equity","RR_DIL_EPS_CONT_OPS_GROWTH","FQ3 2024","FQ3 2024","Currency=USD","Period=FQ","BEST_FPERIOD_OVERRIDE=FQ","FILING_STATUS=MR","Sort=A","Dates=H","DateFormat=P","Fill=—","Direction=H","UseDPDF=Y")</f>
        <v>-0.2671</v>
      </c>
      <c r="AA13" s="14">
        <f>_xll.BDH("GILD US Equity","RR_DIL_EPS_CONT_OPS_GROWTH","FQ4 2024","FQ4 2024","Currency=USD","Period=FQ","BEST_FPERIOD_OVERRIDE=FQ","FILING_STATUS=MR","Sort=A","Dates=H","DateFormat=P","Fill=—","Direction=H","UseDPDF=Y")</f>
        <v>-2.7048999999999999</v>
      </c>
    </row>
    <row r="14" spans="1:27" x14ac:dyDescent="0.25">
      <c r="A14" s="10" t="s">
        <v>1519</v>
      </c>
      <c r="B14" s="10" t="s">
        <v>1520</v>
      </c>
      <c r="C14" s="14">
        <f>_xll.BDH("GILD US Equity","DIVIDEND_PER_SHARE_1_YEAR_GROWTH","FQ4 2018","FQ4 2018","Currency=USD","Period=FQ","BEST_FPERIOD_OVERRIDE=FQ","FILING_STATUS=MR","Sort=A","Dates=H","DateFormat=P","Fill=—","Direction=H","UseDPDF=Y")</f>
        <v>9.6153999999999993</v>
      </c>
      <c r="D14" s="14">
        <f>_xll.BDH("GILD US Equity","DIVIDEND_PER_SHARE_1_YEAR_GROWTH","FQ1 2019","FQ1 2019","Currency=USD","Period=FQ","BEST_FPERIOD_OVERRIDE=FQ","FILING_STATUS=MR","Sort=A","Dates=H","DateFormat=P","Fill=—","Direction=H","UseDPDF=Y")</f>
        <v>10.526300000000001</v>
      </c>
      <c r="E14" s="14">
        <f>_xll.BDH("GILD US Equity","DIVIDEND_PER_SHARE_1_YEAR_GROWTH","FQ2 2019","FQ2 2019","Currency=USD","Period=FQ","BEST_FPERIOD_OVERRIDE=FQ","FILING_STATUS=MR","Sort=A","Dates=H","DateFormat=P","Fill=—","Direction=H","UseDPDF=Y")</f>
        <v>10.526300000000001</v>
      </c>
      <c r="F14" s="14">
        <f>_xll.BDH("GILD US Equity","DIVIDEND_PER_SHARE_1_YEAR_GROWTH","FQ3 2019","FQ3 2019","Currency=USD","Period=FQ","BEST_FPERIOD_OVERRIDE=FQ","FILING_STATUS=MR","Sort=A","Dates=H","DateFormat=P","Fill=—","Direction=H","UseDPDF=Y")</f>
        <v>10.526300000000001</v>
      </c>
      <c r="G14" s="14">
        <f>_xll.BDH("GILD US Equity","DIVIDEND_PER_SHARE_1_YEAR_GROWTH","FQ4 2019","FQ4 2019","Currency=USD","Period=FQ","BEST_FPERIOD_OVERRIDE=FQ","FILING_STATUS=MR","Sort=A","Dates=H","DateFormat=P","Fill=—","Direction=H","UseDPDF=Y")</f>
        <v>10.526300000000001</v>
      </c>
      <c r="H14" s="14">
        <f>_xll.BDH("GILD US Equity","DIVIDEND_PER_SHARE_1_YEAR_GROWTH","FQ1 2020","FQ1 2020","Currency=USD","Period=FQ","BEST_FPERIOD_OVERRIDE=FQ","FILING_STATUS=MR","Sort=A","Dates=H","DateFormat=P","Fill=—","Direction=H","UseDPDF=Y")</f>
        <v>7.9364999999999997</v>
      </c>
      <c r="I14" s="14">
        <f>_xll.BDH("GILD US Equity","DIVIDEND_PER_SHARE_1_YEAR_GROWTH","FQ2 2020","FQ2 2020","Currency=USD","Period=FQ","BEST_FPERIOD_OVERRIDE=FQ","FILING_STATUS=MR","Sort=A","Dates=H","DateFormat=P","Fill=—","Direction=H","UseDPDF=Y")</f>
        <v>7.9364999999999997</v>
      </c>
      <c r="J14" s="14">
        <f>_xll.BDH("GILD US Equity","DIVIDEND_PER_SHARE_1_YEAR_GROWTH","FQ3 2020","FQ3 2020","Currency=USD","Period=FQ","BEST_FPERIOD_OVERRIDE=FQ","FILING_STATUS=MR","Sort=A","Dates=H","DateFormat=P","Fill=—","Direction=H","UseDPDF=Y")</f>
        <v>7.9364999999999997</v>
      </c>
      <c r="K14" s="14">
        <f>_xll.BDH("GILD US Equity","DIVIDEND_PER_SHARE_1_YEAR_GROWTH","FQ4 2020","FQ4 2020","Currency=USD","Period=FQ","BEST_FPERIOD_OVERRIDE=FQ","FILING_STATUS=MR","Sort=A","Dates=H","DateFormat=P","Fill=—","Direction=H","UseDPDF=Y")</f>
        <v>7.9364999999999997</v>
      </c>
      <c r="L14" s="14">
        <f>_xll.BDH("GILD US Equity","DIVIDEND_PER_SHARE_1_YEAR_GROWTH","FQ1 2021","FQ1 2021","Currency=USD","Period=FQ","BEST_FPERIOD_OVERRIDE=FQ","FILING_STATUS=MR","Sort=A","Dates=H","DateFormat=P","Fill=—","Direction=H","UseDPDF=Y")</f>
        <v>4.4118000000000004</v>
      </c>
      <c r="M14" s="14">
        <f>_xll.BDH("GILD US Equity","DIVIDEND_PER_SHARE_1_YEAR_GROWTH","FQ2 2021","FQ2 2021","Currency=USD","Period=FQ","BEST_FPERIOD_OVERRIDE=FQ","FILING_STATUS=MR","Sort=A","Dates=H","DateFormat=P","Fill=—","Direction=H","UseDPDF=Y")</f>
        <v>4.4118000000000004</v>
      </c>
      <c r="N14" s="14">
        <f>_xll.BDH("GILD US Equity","DIVIDEND_PER_SHARE_1_YEAR_GROWTH","FQ3 2021","FQ3 2021","Currency=USD","Period=FQ","BEST_FPERIOD_OVERRIDE=FQ","FILING_STATUS=MR","Sort=A","Dates=H","DateFormat=P","Fill=—","Direction=H","UseDPDF=Y")</f>
        <v>4.4118000000000004</v>
      </c>
      <c r="O14" s="14">
        <f>_xll.BDH("GILD US Equity","DIVIDEND_PER_SHARE_1_YEAR_GROWTH","FQ4 2021","FQ4 2021","Currency=USD","Period=FQ","BEST_FPERIOD_OVERRIDE=FQ","FILING_STATUS=MR","Sort=A","Dates=H","DateFormat=P","Fill=—","Direction=H","UseDPDF=Y")</f>
        <v>4.4118000000000004</v>
      </c>
      <c r="P14" s="14">
        <f>_xll.BDH("GILD US Equity","DIVIDEND_PER_SHARE_1_YEAR_GROWTH","FQ1 2022","FQ1 2022","Currency=USD","Period=FQ","BEST_FPERIOD_OVERRIDE=FQ","FILING_STATUS=MR","Sort=A","Dates=H","DateFormat=P","Fill=—","Direction=H","UseDPDF=Y")</f>
        <v>2.8169</v>
      </c>
      <c r="Q14" s="14">
        <f>_xll.BDH("GILD US Equity","DIVIDEND_PER_SHARE_1_YEAR_GROWTH","FQ2 2022","FQ2 2022","Currency=USD","Period=FQ","BEST_FPERIOD_OVERRIDE=FQ","FILING_STATUS=MR","Sort=A","Dates=H","DateFormat=P","Fill=—","Direction=H","UseDPDF=Y")</f>
        <v>2.8169</v>
      </c>
      <c r="R14" s="14">
        <f>_xll.BDH("GILD US Equity","DIVIDEND_PER_SHARE_1_YEAR_GROWTH","FQ3 2022","FQ3 2022","Currency=USD","Period=FQ","BEST_FPERIOD_OVERRIDE=FQ","FILING_STATUS=MR","Sort=A","Dates=H","DateFormat=P","Fill=—","Direction=H","UseDPDF=Y")</f>
        <v>2.8169</v>
      </c>
      <c r="S14" s="14">
        <f>_xll.BDH("GILD US Equity","DIVIDEND_PER_SHARE_1_YEAR_GROWTH","FQ4 2022","FQ4 2022","Currency=USD","Period=FQ","BEST_FPERIOD_OVERRIDE=FQ","FILING_STATUS=MR","Sort=A","Dates=H","DateFormat=P","Fill=—","Direction=H","UseDPDF=Y")</f>
        <v>2.8169</v>
      </c>
      <c r="T14" s="14">
        <f>_xll.BDH("GILD US Equity","DIVIDEND_PER_SHARE_1_YEAR_GROWTH","FQ1 2023","FQ1 2023","Currency=USD","Period=FQ","BEST_FPERIOD_OVERRIDE=FQ","FILING_STATUS=MR","Sort=A","Dates=H","DateFormat=P","Fill=—","Direction=H","UseDPDF=Y")</f>
        <v>2.7397</v>
      </c>
      <c r="U14" s="14">
        <f>_xll.BDH("GILD US Equity","DIVIDEND_PER_SHARE_1_YEAR_GROWTH","FQ2 2023","FQ2 2023","Currency=USD","Period=FQ","BEST_FPERIOD_OVERRIDE=FQ","FILING_STATUS=MR","Sort=A","Dates=H","DateFormat=P","Fill=—","Direction=H","UseDPDF=Y")</f>
        <v>2.7397</v>
      </c>
      <c r="V14" s="14">
        <f>_xll.BDH("GILD US Equity","DIVIDEND_PER_SHARE_1_YEAR_GROWTH","FQ3 2023","FQ3 2023","Currency=USD","Period=FQ","BEST_FPERIOD_OVERRIDE=FQ","FILING_STATUS=MR","Sort=A","Dates=H","DateFormat=P","Fill=—","Direction=H","UseDPDF=Y")</f>
        <v>2.7397</v>
      </c>
      <c r="W14" s="14">
        <f>_xll.BDH("GILD US Equity","DIVIDEND_PER_SHARE_1_YEAR_GROWTH","FQ4 2023","FQ4 2023","Currency=USD","Period=FQ","BEST_FPERIOD_OVERRIDE=FQ","FILING_STATUS=MR","Sort=A","Dates=H","DateFormat=P","Fill=—","Direction=H","UseDPDF=Y")</f>
        <v>2.7397</v>
      </c>
      <c r="X14" s="14">
        <f>_xll.BDH("GILD US Equity","DIVIDEND_PER_SHARE_1_YEAR_GROWTH","FQ1 2024","FQ1 2024","Currency=USD","Period=FQ","BEST_FPERIOD_OVERRIDE=FQ","FILING_STATUS=MR","Sort=A","Dates=H","DateFormat=P","Fill=—","Direction=H","UseDPDF=Y")</f>
        <v>2.6667000000000001</v>
      </c>
      <c r="Y14" s="14">
        <f>_xll.BDH("GILD US Equity","DIVIDEND_PER_SHARE_1_YEAR_GROWTH","FQ2 2024","FQ2 2024","Currency=USD","Period=FQ","BEST_FPERIOD_OVERRIDE=FQ","FILING_STATUS=MR","Sort=A","Dates=H","DateFormat=P","Fill=—","Direction=H","UseDPDF=Y")</f>
        <v>2.6667000000000001</v>
      </c>
      <c r="Z14" s="14">
        <f>_xll.BDH("GILD US Equity","DIVIDEND_PER_SHARE_1_YEAR_GROWTH","FQ3 2024","FQ3 2024","Currency=USD","Period=FQ","BEST_FPERIOD_OVERRIDE=FQ","FILING_STATUS=MR","Sort=A","Dates=H","DateFormat=P","Fill=—","Direction=H","UseDPDF=Y")</f>
        <v>2.6667000000000001</v>
      </c>
      <c r="AA14" s="14">
        <f>_xll.BDH("GILD US Equity","DIVIDEND_PER_SHARE_1_YEAR_GROWTH","FQ4 2024","FQ4 2024","Currency=USD","Period=FQ","BEST_FPERIOD_OVERRIDE=FQ","FILING_STATUS=MR","Sort=A","Dates=H","DateFormat=P","Fill=—","Direction=H","UseDPDF=Y")</f>
        <v>2.6667000000000001</v>
      </c>
    </row>
    <row r="15" spans="1:27" x14ac:dyDescent="0.25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5">
      <c r="A16" s="10" t="s">
        <v>1521</v>
      </c>
      <c r="B16" s="10" t="s">
        <v>1522</v>
      </c>
      <c r="C16" s="14">
        <f>_xll.BDH("GILD US Equity","ACCOUNTS_RECEIVABLE_GROWTH","FQ4 2018","FQ4 2018","Currency=USD","Period=FQ","BEST_FPERIOD_OVERRIDE=FQ","FILING_STATUS=MR","Sort=A","Dates=H","DateFormat=P","Fill=—","Direction=H","UseDPDF=Y")</f>
        <v>-13.6069</v>
      </c>
      <c r="D16" s="14">
        <f>_xll.BDH("GILD US Equity","ACCOUNTS_RECEIVABLE_GROWTH","FQ1 2019","FQ1 2019","Currency=USD","Period=FQ","BEST_FPERIOD_OVERRIDE=FQ","FILING_STATUS=MR","Sort=A","Dates=H","DateFormat=P","Fill=—","Direction=H","UseDPDF=Y")</f>
        <v>-13.033099999999999</v>
      </c>
      <c r="E16" s="14">
        <f>_xll.BDH("GILD US Equity","ACCOUNTS_RECEIVABLE_GROWTH","FQ2 2019","FQ2 2019","Currency=USD","Period=FQ","BEST_FPERIOD_OVERRIDE=FQ","FILING_STATUS=MR","Sort=A","Dates=H","DateFormat=P","Fill=—","Direction=H","UseDPDF=Y")</f>
        <v>-4.0949</v>
      </c>
      <c r="F16" s="14">
        <f>_xll.BDH("GILD US Equity","ACCOUNTS_RECEIVABLE_GROWTH","FQ3 2019","FQ3 2019","Currency=USD","Period=FQ","BEST_FPERIOD_OVERRIDE=FQ","FILING_STATUS=MR","Sort=A","Dates=H","DateFormat=P","Fill=—","Direction=H","UseDPDF=Y")</f>
        <v>-4.3289999999999997</v>
      </c>
      <c r="G16" s="14">
        <f>_xll.BDH("GILD US Equity","ACCOUNTS_RECEIVABLE_GROWTH","FQ4 2019","FQ4 2019","Currency=USD","Period=FQ","BEST_FPERIOD_OVERRIDE=FQ","FILING_STATUS=MR","Sort=A","Dates=H","DateFormat=P","Fill=—","Direction=H","UseDPDF=Y")</f>
        <v>7.6646000000000001</v>
      </c>
      <c r="H16" s="14">
        <f>_xll.BDH("GILD US Equity","ACCOUNTS_RECEIVABLE_GROWTH","FQ1 2020","FQ1 2020","Currency=USD","Period=FQ","BEST_FPERIOD_OVERRIDE=FQ","FILING_STATUS=MR","Sort=A","Dates=H","DateFormat=P","Fill=—","Direction=H","UseDPDF=Y")</f>
        <v>19.007000000000001</v>
      </c>
      <c r="I16" s="14">
        <f>_xll.BDH("GILD US Equity","ACCOUNTS_RECEIVABLE_GROWTH","FQ2 2020","FQ2 2020","Currency=USD","Period=FQ","BEST_FPERIOD_OVERRIDE=FQ","FILING_STATUS=MR","Sort=A","Dates=H","DateFormat=P","Fill=—","Direction=H","UseDPDF=Y")</f>
        <v>-5.9481999999999999</v>
      </c>
      <c r="J16" s="14">
        <f>_xll.BDH("GILD US Equity","ACCOUNTS_RECEIVABLE_GROWTH","FQ3 2020","FQ3 2020","Currency=USD","Period=FQ","BEST_FPERIOD_OVERRIDE=FQ","FILING_STATUS=MR","Sort=A","Dates=H","DateFormat=P","Fill=—","Direction=H","UseDPDF=Y")</f>
        <v>18.039200000000001</v>
      </c>
      <c r="K16" s="14">
        <f>_xll.BDH("GILD US Equity","ACCOUNTS_RECEIVABLE_GROWTH","FQ4 2020","FQ4 2020","Currency=USD","Period=FQ","BEST_FPERIOD_OVERRIDE=FQ","FILING_STATUS=MR","Sort=A","Dates=H","DateFormat=P","Fill=—","Direction=H","UseDPDF=Y")</f>
        <v>36.5717</v>
      </c>
      <c r="L16" s="14">
        <f>_xll.BDH("GILD US Equity","ACCOUNTS_RECEIVABLE_GROWTH","FQ1 2021","FQ1 2021","Currency=USD","Period=FQ","BEST_FPERIOD_OVERRIDE=FQ","FILING_STATUS=MR","Sort=A","Dates=H","DateFormat=P","Fill=—","Direction=H","UseDPDF=Y")</f>
        <v>0.4607</v>
      </c>
      <c r="M16" s="14">
        <f>_xll.BDH("GILD US Equity","ACCOUNTS_RECEIVABLE_GROWTH","FQ2 2021","FQ2 2021","Currency=USD","Period=FQ","BEST_FPERIOD_OVERRIDE=FQ","FILING_STATUS=MR","Sort=A","Dates=H","DateFormat=P","Fill=—","Direction=H","UseDPDF=Y")</f>
        <v>29.899799999999999</v>
      </c>
      <c r="N16" s="14">
        <f>_xll.BDH("GILD US Equity","ACCOUNTS_RECEIVABLE_GROWTH","FQ3 2021","FQ3 2021","Currency=USD","Period=FQ","BEST_FPERIOD_OVERRIDE=FQ","FILING_STATUS=MR","Sort=A","Dates=H","DateFormat=P","Fill=—","Direction=H","UseDPDF=Y")</f>
        <v>16.687999999999999</v>
      </c>
      <c r="O16" s="14">
        <f>_xll.BDH("GILD US Equity","ACCOUNTS_RECEIVABLE_GROWTH","FQ4 2021","FQ4 2021","Currency=USD","Period=FQ","BEST_FPERIOD_OVERRIDE=FQ","FILING_STATUS=MR","Sort=A","Dates=H","DateFormat=P","Fill=—","Direction=H","UseDPDF=Y")</f>
        <v>-8.1562000000000001</v>
      </c>
      <c r="P16" s="14">
        <f>_xll.BDH("GILD US Equity","ACCOUNTS_RECEIVABLE_GROWTH","FQ1 2022","FQ1 2022","Currency=USD","Period=FQ","BEST_FPERIOD_OVERRIDE=FQ","FILING_STATUS=MR","Sort=A","Dates=H","DateFormat=P","Fill=—","Direction=H","UseDPDF=Y")</f>
        <v>-3.5158999999999998</v>
      </c>
      <c r="Q16" s="14">
        <f>_xll.BDH("GILD US Equity","ACCOUNTS_RECEIVABLE_GROWTH","FQ2 2022","FQ2 2022","Currency=USD","Period=FQ","BEST_FPERIOD_OVERRIDE=FQ","FILING_STATUS=MR","Sort=A","Dates=H","DateFormat=P","Fill=—","Direction=H","UseDPDF=Y")</f>
        <v>-0.74719999999999998</v>
      </c>
      <c r="R16" s="14">
        <f>_xll.BDH("GILD US Equity","ACCOUNTS_RECEIVABLE_GROWTH","FQ3 2022","FQ3 2022","Currency=USD","Period=FQ","BEST_FPERIOD_OVERRIDE=FQ","FILING_STATUS=MR","Sort=A","Dates=H","DateFormat=P","Fill=—","Direction=H","UseDPDF=Y")</f>
        <v>-4.6429999999999998</v>
      </c>
      <c r="S16" s="14">
        <f>_xll.BDH("GILD US Equity","ACCOUNTS_RECEIVABLE_GROWTH","FQ4 2022","FQ4 2022","Currency=USD","Period=FQ","BEST_FPERIOD_OVERRIDE=FQ","FILING_STATUS=MR","Sort=A","Dates=H","DateFormat=P","Fill=—","Direction=H","UseDPDF=Y")</f>
        <v>6.3209</v>
      </c>
      <c r="T16" s="14">
        <f>_xll.BDH("GILD US Equity","ACCOUNTS_RECEIVABLE_GROWTH","FQ1 2023","FQ1 2023","Currency=USD","Period=FQ","BEST_FPERIOD_OVERRIDE=FQ","FILING_STATUS=MR","Sort=A","Dates=H","DateFormat=P","Fill=—","Direction=H","UseDPDF=Y")</f>
        <v>9.9023000000000003</v>
      </c>
      <c r="U16" s="14">
        <f>_xll.BDH("GILD US Equity","ACCOUNTS_RECEIVABLE_GROWTH","FQ2 2023","FQ2 2023","Currency=USD","Period=FQ","BEST_FPERIOD_OVERRIDE=FQ","FILING_STATUS=MR","Sort=A","Dates=H","DateFormat=P","Fill=—","Direction=H","UseDPDF=Y")</f>
        <v>2.6955</v>
      </c>
      <c r="V16" s="14">
        <f>_xll.BDH("GILD US Equity","ACCOUNTS_RECEIVABLE_GROWTH","FQ3 2023","FQ3 2023","Currency=USD","Period=FQ","BEST_FPERIOD_OVERRIDE=FQ","FILING_STATUS=MR","Sort=A","Dates=H","DateFormat=P","Fill=—","Direction=H","UseDPDF=Y")</f>
        <v>10.0138</v>
      </c>
      <c r="W16" s="14">
        <f>_xll.BDH("GILD US Equity","ACCOUNTS_RECEIVABLE_GROWTH","FQ4 2023","FQ4 2023","Currency=USD","Period=FQ","BEST_FPERIOD_OVERRIDE=FQ","FILING_STATUS=MR","Sort=A","Dates=H","DateFormat=P","Fill=—","Direction=H","UseDPDF=Y")</f>
        <v>-2.4491999999999998</v>
      </c>
      <c r="X16" s="14">
        <f>_xll.BDH("GILD US Equity","ACCOUNTS_RECEIVABLE_GROWTH","FQ1 2024","FQ1 2024","Currency=USD","Period=FQ","BEST_FPERIOD_OVERRIDE=FQ","FILING_STATUS=MR","Sort=A","Dates=H","DateFormat=P","Fill=—","Direction=H","UseDPDF=Y")</f>
        <v>12.1816</v>
      </c>
      <c r="Y16" s="14">
        <f>_xll.BDH("GILD US Equity","ACCOUNTS_RECEIVABLE_GROWTH","FQ2 2024","FQ2 2024","Currency=USD","Period=FQ","BEST_FPERIOD_OVERRIDE=FQ","FILING_STATUS=MR","Sort=A","Dates=H","DateFormat=P","Fill=—","Direction=H","UseDPDF=Y")</f>
        <v>10.262499999999999</v>
      </c>
      <c r="Z16" s="14">
        <f>_xll.BDH("GILD US Equity","ACCOUNTS_RECEIVABLE_GROWTH","FQ3 2024","FQ3 2024","Currency=USD","Period=FQ","BEST_FPERIOD_OVERRIDE=FQ","FILING_STATUS=MR","Sort=A","Dates=H","DateFormat=P","Fill=—","Direction=H","UseDPDF=Y")</f>
        <v>-4.2380000000000004</v>
      </c>
      <c r="AA16" s="14">
        <f>_xll.BDH("GILD US Equity","ACCOUNTS_RECEIVABLE_GROWTH","FQ4 2024","FQ4 2024","Currency=USD","Period=FQ","BEST_FPERIOD_OVERRIDE=FQ","FILING_STATUS=MR","Sort=A","Dates=H","DateFormat=P","Fill=—","Direction=H","UseDPDF=Y")</f>
        <v>-5.1501999999999999</v>
      </c>
    </row>
    <row r="17" spans="1:27" x14ac:dyDescent="0.25">
      <c r="A17" s="10" t="s">
        <v>1523</v>
      </c>
      <c r="B17" s="10" t="s">
        <v>1524</v>
      </c>
      <c r="C17" s="14">
        <f>_xll.BDH("GILD US Equity","INVENTORY_GROWTH","FQ4 2018","FQ4 2018","Currency=USD","Period=FQ","BEST_FPERIOD_OVERRIDE=FQ","FILING_STATUS=MR","Sort=A","Dates=H","DateFormat=P","Fill=—","Direction=H","UseDPDF=Y")</f>
        <v>1.623</v>
      </c>
      <c r="D17" s="14">
        <f>_xll.BDH("GILD US Equity","INVENTORY_GROWTH","FQ1 2019","FQ1 2019","Currency=USD","Period=FQ","BEST_FPERIOD_OVERRIDE=FQ","FILING_STATUS=MR","Sort=A","Dates=H","DateFormat=P","Fill=—","Direction=H","UseDPDF=Y")</f>
        <v>1.4689000000000001</v>
      </c>
      <c r="E17" s="14">
        <f>_xll.BDH("GILD US Equity","INVENTORY_GROWTH","FQ2 2019","FQ2 2019","Currency=USD","Period=FQ","BEST_FPERIOD_OVERRIDE=FQ","FILING_STATUS=MR","Sort=A","Dates=H","DateFormat=P","Fill=—","Direction=H","UseDPDF=Y")</f>
        <v>2.9104000000000001</v>
      </c>
      <c r="F17" s="14">
        <f>_xll.BDH("GILD US Equity","INVENTORY_GROWTH","FQ3 2019","FQ3 2019","Currency=USD","Period=FQ","BEST_FPERIOD_OVERRIDE=FQ","FILING_STATUS=MR","Sort=A","Dates=H","DateFormat=P","Fill=—","Direction=H","UseDPDF=Y")</f>
        <v>8.0882000000000005</v>
      </c>
      <c r="G17" s="14">
        <f>_xll.BDH("GILD US Equity","INVENTORY_GROWTH","FQ4 2019","FQ4 2019","Currency=USD","Period=FQ","BEST_FPERIOD_OVERRIDE=FQ","FILING_STATUS=MR","Sort=A","Dates=H","DateFormat=P","Fill=—","Direction=H","UseDPDF=Y")</f>
        <v>13.267799999999999</v>
      </c>
      <c r="H17" s="14">
        <f>_xll.BDH("GILD US Equity","INVENTORY_GROWTH","FQ1 2020","FQ1 2020","Currency=USD","Period=FQ","BEST_FPERIOD_OVERRIDE=FQ","FILING_STATUS=MR","Sort=A","Dates=H","DateFormat=P","Fill=—","Direction=H","UseDPDF=Y")</f>
        <v>9.7995999999999999</v>
      </c>
      <c r="I17" s="14">
        <f>_xll.BDH("GILD US Equity","INVENTORY_GROWTH","FQ2 2020","FQ2 2020","Currency=USD","Period=FQ","BEST_FPERIOD_OVERRIDE=FQ","FILING_STATUS=MR","Sort=A","Dates=H","DateFormat=P","Fill=—","Direction=H","UseDPDF=Y")</f>
        <v>19.0045</v>
      </c>
      <c r="J17" s="14">
        <f>_xll.BDH("GILD US Equity","INVENTORY_GROWTH","FQ3 2020","FQ3 2020","Currency=USD","Period=FQ","BEST_FPERIOD_OVERRIDE=FQ","FILING_STATUS=MR","Sort=A","Dates=H","DateFormat=P","Fill=—","Direction=H","UseDPDF=Y")</f>
        <v>14.2857</v>
      </c>
      <c r="K17" s="14">
        <f>_xll.BDH("GILD US Equity","INVENTORY_GROWTH","FQ4 2020","FQ4 2020","Currency=USD","Period=FQ","BEST_FPERIOD_OVERRIDE=FQ","FILING_STATUS=MR","Sort=A","Dates=H","DateFormat=P","Fill=—","Direction=H","UseDPDF=Y")</f>
        <v>82.537999999999997</v>
      </c>
      <c r="L17" s="14">
        <f>_xll.BDH("GILD US Equity","INVENTORY_GROWTH","FQ1 2021","FQ1 2021","Currency=USD","Period=FQ","BEST_FPERIOD_OVERRIDE=FQ","FILING_STATUS=MR","Sort=A","Dates=H","DateFormat=P","Fill=—","Direction=H","UseDPDF=Y")</f>
        <v>80.426000000000002</v>
      </c>
      <c r="M17" s="14">
        <f>_xll.BDH("GILD US Equity","INVENTORY_GROWTH","FQ2 2021","FQ2 2021","Currency=USD","Period=FQ","BEST_FPERIOD_OVERRIDE=FQ","FILING_STATUS=MR","Sort=A","Dates=H","DateFormat=P","Fill=—","Direction=H","UseDPDF=Y")</f>
        <v>68.441100000000006</v>
      </c>
      <c r="N17" s="14">
        <f>_xll.BDH("GILD US Equity","INVENTORY_GROWTH","FQ3 2021","FQ3 2021","Currency=USD","Period=FQ","BEST_FPERIOD_OVERRIDE=FQ","FILING_STATUS=MR","Sort=A","Dates=H","DateFormat=P","Fill=—","Direction=H","UseDPDF=Y")</f>
        <v>66.269800000000004</v>
      </c>
      <c r="O17" s="14">
        <f>_xll.BDH("GILD US Equity","INVENTORY_GROWTH","FQ4 2021","FQ4 2021","Currency=USD","Period=FQ","BEST_FPERIOD_OVERRIDE=FQ","FILING_STATUS=MR","Sort=A","Dates=H","DateFormat=P","Fill=—","Direction=H","UseDPDF=Y")</f>
        <v>-3.8622000000000001</v>
      </c>
      <c r="P17" s="14">
        <f>_xll.BDH("GILD US Equity","INVENTORY_GROWTH","FQ1 2022","FQ1 2022","Currency=USD","Period=FQ","BEST_FPERIOD_OVERRIDE=FQ","FILING_STATUS=MR","Sort=A","Dates=H","DateFormat=P","Fill=—","Direction=H","UseDPDF=Y")</f>
        <v>-16.694800000000001</v>
      </c>
      <c r="Q17" s="14">
        <f>_xll.BDH("GILD US Equity","INVENTORY_GROWTH","FQ2 2022","FQ2 2022","Currency=USD","Period=FQ","BEST_FPERIOD_OVERRIDE=FQ","FILING_STATUS=MR","Sort=A","Dates=H","DateFormat=P","Fill=—","Direction=H","UseDPDF=Y")</f>
        <v>-15.744899999999999</v>
      </c>
      <c r="R17" s="14">
        <f>_xll.BDH("GILD US Equity","INVENTORY_GROWTH","FQ3 2022","FQ3 2022","Currency=USD","Period=FQ","BEST_FPERIOD_OVERRIDE=FQ","FILING_STATUS=MR","Sort=A","Dates=H","DateFormat=P","Fill=—","Direction=H","UseDPDF=Y")</f>
        <v>-12.7088</v>
      </c>
      <c r="S17" s="14">
        <f>_xll.BDH("GILD US Equity","INVENTORY_GROWTH","FQ4 2022","FQ4 2022","Currency=USD","Period=FQ","BEST_FPERIOD_OVERRIDE=FQ","FILING_STATUS=MR","Sort=A","Dates=H","DateFormat=P","Fill=—","Direction=H","UseDPDF=Y")</f>
        <v>-6.8602999999999996</v>
      </c>
      <c r="T17" s="14">
        <f>_xll.BDH("GILD US Equity","INVENTORY_GROWTH","FQ1 2023","FQ1 2023","Currency=USD","Period=FQ","BEST_FPERIOD_OVERRIDE=FQ","FILING_STATUS=MR","Sort=A","Dates=H","DateFormat=P","Fill=—","Direction=H","UseDPDF=Y")</f>
        <v>6.3428000000000004</v>
      </c>
      <c r="U17" s="14">
        <f>_xll.BDH("GILD US Equity","INVENTORY_GROWTH","FQ2 2023","FQ2 2023","Currency=USD","Period=FQ","BEST_FPERIOD_OVERRIDE=FQ","FILING_STATUS=MR","Sort=A","Dates=H","DateFormat=P","Fill=—","Direction=H","UseDPDF=Y")</f>
        <v>9.3771000000000004</v>
      </c>
      <c r="V17" s="14">
        <f>_xll.BDH("GILD US Equity","INVENTORY_GROWTH","FQ3 2023","FQ3 2023","Currency=USD","Period=FQ","BEST_FPERIOD_OVERRIDE=FQ","FILING_STATUS=MR","Sort=A","Dates=H","DateFormat=P","Fill=—","Direction=H","UseDPDF=Y")</f>
        <v>13.738899999999999</v>
      </c>
      <c r="W17" s="14">
        <f>_xll.BDH("GILD US Equity","INVENTORY_GROWTH","FQ4 2023","FQ4 2023","Currency=USD","Period=FQ","BEST_FPERIOD_OVERRIDE=FQ","FILING_STATUS=MR","Sort=A","Dates=H","DateFormat=P","Fill=—","Direction=H","UseDPDF=Y")</f>
        <v>18.579999999999998</v>
      </c>
      <c r="X17" s="14">
        <f>_xll.BDH("GILD US Equity","INVENTORY_GROWTH","FQ1 2024","FQ1 2024","Currency=USD","Period=FQ","BEST_FPERIOD_OVERRIDE=FQ","FILING_STATUS=MR","Sort=A","Dates=H","DateFormat=P","Fill=—","Direction=H","UseDPDF=Y")</f>
        <v>17.5761</v>
      </c>
      <c r="Y17" s="14">
        <f>_xll.BDH("GILD US Equity","INVENTORY_GROWTH","FQ2 2024","FQ2 2024","Currency=USD","Period=FQ","BEST_FPERIOD_OVERRIDE=FQ","FILING_STATUS=MR","Sort=A","Dates=H","DateFormat=P","Fill=—","Direction=H","UseDPDF=Y")</f>
        <v>24.066099999999999</v>
      </c>
      <c r="Z17" s="14">
        <f>_xll.BDH("GILD US Equity","INVENTORY_GROWTH","FQ3 2024","FQ3 2024","Currency=USD","Period=FQ","BEST_FPERIOD_OVERRIDE=FQ","FILING_STATUS=MR","Sort=A","Dates=H","DateFormat=P","Fill=—","Direction=H","UseDPDF=Y")</f>
        <v>12.319699999999999</v>
      </c>
      <c r="AA17" s="14">
        <f>_xll.BDH("GILD US Equity","INVENTORY_GROWTH","FQ4 2024","FQ4 2024","Currency=USD","Period=FQ","BEST_FPERIOD_OVERRIDE=FQ","FILING_STATUS=MR","Sort=A","Dates=H","DateFormat=P","Fill=—","Direction=H","UseDPDF=Y")</f>
        <v>-4.3089000000000004</v>
      </c>
    </row>
    <row r="18" spans="1:27" x14ac:dyDescent="0.25">
      <c r="A18" s="10" t="s">
        <v>1525</v>
      </c>
      <c r="B18" s="10" t="s">
        <v>1526</v>
      </c>
      <c r="C18" s="14">
        <f>_xll.BDH("GILD US Equity","NET_FIXED_ASSETS_1_YEAR_GROWTH","FQ4 2018","FQ4 2018","Currency=USD","Period=FQ","BEST_FPERIOD_OVERRIDE=FQ","FILING_STATUS=MR","Sort=A","Dates=H","DateFormat=P","Fill=—","Direction=H","UseDPDF=Y")</f>
        <v>21.578099999999999</v>
      </c>
      <c r="D18" s="14">
        <f>_xll.BDH("GILD US Equity","NET_FIXED_ASSETS_1_YEAR_GROWTH","FQ1 2019","FQ1 2019","Currency=USD","Period=FQ","BEST_FPERIOD_OVERRIDE=FQ","FILING_STATUS=MR","Sort=A","Dates=H","DateFormat=P","Fill=—","Direction=H","UseDPDF=Y")</f>
        <v>33.850700000000003</v>
      </c>
      <c r="E18" s="14">
        <f>_xll.BDH("GILD US Equity","NET_FIXED_ASSETS_1_YEAR_GROWTH","FQ2 2019","FQ2 2019","Currency=USD","Period=FQ","BEST_FPERIOD_OVERRIDE=FQ","FILING_STATUS=MR","Sort=A","Dates=H","DateFormat=P","Fill=—","Direction=H","UseDPDF=Y")</f>
        <v>29.898900000000001</v>
      </c>
      <c r="F18" s="14">
        <f>_xll.BDH("GILD US Equity","NET_FIXED_ASSETS_1_YEAR_GROWTH","FQ3 2019","FQ3 2019","Currency=USD","Period=FQ","BEST_FPERIOD_OVERRIDE=FQ","FILING_STATUS=MR","Sort=A","Dates=H","DateFormat=P","Fill=—","Direction=H","UseDPDF=Y")</f>
        <v>32.8673</v>
      </c>
      <c r="G18" s="14">
        <f>_xll.BDH("GILD US Equity","NET_FIXED_ASSETS_1_YEAR_GROWTH","FQ4 2019","FQ4 2019","Currency=USD","Period=FQ","BEST_FPERIOD_OVERRIDE=FQ","FILING_STATUS=MR","Sort=A","Dates=H","DateFormat=P","Fill=—","Direction=H","UseDPDF=Y")</f>
        <v>29.0564</v>
      </c>
      <c r="H18" s="14">
        <f>_xll.BDH("GILD US Equity","NET_FIXED_ASSETS_1_YEAR_GROWTH","FQ1 2020","FQ1 2020","Currency=USD","Period=FQ","BEST_FPERIOD_OVERRIDE=FQ","FILING_STATUS=MR","Sort=A","Dates=H","DateFormat=P","Fill=—","Direction=H","UseDPDF=Y")</f>
        <v>-0.15310000000000001</v>
      </c>
      <c r="I18" s="14">
        <f>_xll.BDH("GILD US Equity","NET_FIXED_ASSETS_1_YEAR_GROWTH","FQ2 2020","FQ2 2020","Currency=USD","Period=FQ","BEST_FPERIOD_OVERRIDE=FQ","FILING_STATUS=MR","Sort=A","Dates=H","DateFormat=P","Fill=—","Direction=H","UseDPDF=Y")</f>
        <v>-2.1038999999999999</v>
      </c>
      <c r="J18" s="14">
        <f>_xll.BDH("GILD US Equity","NET_FIXED_ASSETS_1_YEAR_GROWTH","FQ3 2020","FQ3 2020","Currency=USD","Period=FQ","BEST_FPERIOD_OVERRIDE=FQ","FILING_STATUS=MR","Sort=A","Dates=H","DateFormat=P","Fill=—","Direction=H","UseDPDF=Y")</f>
        <v>-4.5067000000000004</v>
      </c>
      <c r="K18" s="14">
        <f>_xll.BDH("GILD US Equity","NET_FIXED_ASSETS_1_YEAR_GROWTH","FQ4 2020","FQ4 2020","Currency=USD","Period=FQ","BEST_FPERIOD_OVERRIDE=FQ","FILING_STATUS=MR","Sort=A","Dates=H","DateFormat=P","Fill=—","Direction=H","UseDPDF=Y")</f>
        <v>8.5686999999999998</v>
      </c>
      <c r="L18" s="14">
        <f>_xll.BDH("GILD US Equity","NET_FIXED_ASSETS_1_YEAR_GROWTH","FQ1 2021","FQ1 2021","Currency=USD","Period=FQ","BEST_FPERIOD_OVERRIDE=FQ","FILING_STATUS=MR","Sort=A","Dates=H","DateFormat=P","Fill=—","Direction=H","UseDPDF=Y")</f>
        <v>9.3338999999999999</v>
      </c>
      <c r="M18" s="14">
        <f>_xll.BDH("GILD US Equity","NET_FIXED_ASSETS_1_YEAR_GROWTH","FQ2 2021","FQ2 2021","Currency=USD","Period=FQ","BEST_FPERIOD_OVERRIDE=FQ","FILING_STATUS=MR","Sort=A","Dates=H","DateFormat=P","Fill=—","Direction=H","UseDPDF=Y")</f>
        <v>7.3715999999999999</v>
      </c>
      <c r="N18" s="14">
        <f>_xll.BDH("GILD US Equity","NET_FIXED_ASSETS_1_YEAR_GROWTH","FQ3 2021","FQ3 2021","Currency=USD","Period=FQ","BEST_FPERIOD_OVERRIDE=FQ","FILING_STATUS=MR","Sort=A","Dates=H","DateFormat=P","Fill=—","Direction=H","UseDPDF=Y")</f>
        <v>4.7192999999999996</v>
      </c>
      <c r="O18" s="14">
        <f>_xll.BDH("GILD US Equity","NET_FIXED_ASSETS_1_YEAR_GROWTH","FQ4 2021","FQ4 2021","Currency=USD","Period=FQ","BEST_FPERIOD_OVERRIDE=FQ","FILING_STATUS=MR","Sort=A","Dates=H","DateFormat=P","Fill=—","Direction=H","UseDPDF=Y")</f>
        <v>0.89080000000000004</v>
      </c>
      <c r="P18" s="14">
        <f>_xll.BDH("GILD US Equity","NET_FIXED_ASSETS_1_YEAR_GROWTH","FQ1 2022","FQ1 2022","Currency=USD","Period=FQ","BEST_FPERIOD_OVERRIDE=FQ","FILING_STATUS=MR","Sort=A","Dates=H","DateFormat=P","Fill=—","Direction=H","UseDPDF=Y")</f>
        <v>5.2705000000000002</v>
      </c>
      <c r="Q18" s="14">
        <f>_xll.BDH("GILD US Equity","NET_FIXED_ASSETS_1_YEAR_GROWTH","FQ2 2022","FQ2 2022","Currency=USD","Period=FQ","BEST_FPERIOD_OVERRIDE=FQ","FILING_STATUS=MR","Sort=A","Dates=H","DateFormat=P","Fill=—","Direction=H","UseDPDF=Y")</f>
        <v>6.0648999999999997</v>
      </c>
      <c r="R18" s="14">
        <f>_xll.BDH("GILD US Equity","NET_FIXED_ASSETS_1_YEAR_GROWTH","FQ3 2022","FQ3 2022","Currency=USD","Period=FQ","BEST_FPERIOD_OVERRIDE=FQ","FILING_STATUS=MR","Sort=A","Dates=H","DateFormat=P","Fill=—","Direction=H","UseDPDF=Y")</f>
        <v>6.1942000000000004</v>
      </c>
      <c r="S18" s="14">
        <f>_xll.BDH("GILD US Equity","NET_FIXED_ASSETS_1_YEAR_GROWTH","FQ4 2022","FQ4 2022","Currency=USD","Period=FQ","BEST_FPERIOD_OVERRIDE=FQ","FILING_STATUS=MR","Sort=A","Dates=H","DateFormat=P","Fill=—","Direction=H","UseDPDF=Y")</f>
        <v>5.5976999999999997</v>
      </c>
      <c r="T18" s="14">
        <f>_xll.BDH("GILD US Equity","NET_FIXED_ASSETS_1_YEAR_GROWTH","FQ1 2023","FQ1 2023","Currency=USD","Period=FQ","BEST_FPERIOD_OVERRIDE=FQ","FILING_STATUS=MR","Sort=A","Dates=H","DateFormat=P","Fill=—","Direction=H","UseDPDF=Y")</f>
        <v>4.3022999999999998</v>
      </c>
      <c r="U18" s="14">
        <f>_xll.BDH("GILD US Equity","NET_FIXED_ASSETS_1_YEAR_GROWTH","FQ2 2023","FQ2 2023","Currency=USD","Period=FQ","BEST_FPERIOD_OVERRIDE=FQ","FILING_STATUS=MR","Sort=A","Dates=H","DateFormat=P","Fill=—","Direction=H","UseDPDF=Y")</f>
        <v>4.548</v>
      </c>
      <c r="V18" s="14">
        <f>_xll.BDH("GILD US Equity","NET_FIXED_ASSETS_1_YEAR_GROWTH","FQ3 2023","FQ3 2023","Currency=USD","Period=FQ","BEST_FPERIOD_OVERRIDE=FQ","FILING_STATUS=MR","Sort=A","Dates=H","DateFormat=P","Fill=—","Direction=H","UseDPDF=Y")</f>
        <v>4.1689999999999996</v>
      </c>
      <c r="W18" s="14">
        <f>_xll.BDH("GILD US Equity","NET_FIXED_ASSETS_1_YEAR_GROWTH","FQ4 2023","FQ4 2023","Currency=USD","Period=FQ","BEST_FPERIOD_OVERRIDE=FQ","FILING_STATUS=MR","Sort=A","Dates=H","DateFormat=P","Fill=—","Direction=H","UseDPDF=Y")</f>
        <v>-1.3712</v>
      </c>
      <c r="X18" s="14">
        <f>_xll.BDH("GILD US Equity","NET_FIXED_ASSETS_1_YEAR_GROWTH","FQ1 2024","FQ1 2024","Currency=USD","Period=FQ","BEST_FPERIOD_OVERRIDE=FQ","FILING_STATUS=MR","Sort=A","Dates=H","DateFormat=P","Fill=—","Direction=H","UseDPDF=Y")</f>
        <v>-2.8837000000000002</v>
      </c>
      <c r="Y18" s="14">
        <f>_xll.BDH("GILD US Equity","NET_FIXED_ASSETS_1_YEAR_GROWTH","FQ2 2024","FQ2 2024","Currency=USD","Period=FQ","BEST_FPERIOD_OVERRIDE=FQ","FILING_STATUS=MR","Sort=A","Dates=H","DateFormat=P","Fill=—","Direction=H","UseDPDF=Y")</f>
        <v>-3.5017999999999998</v>
      </c>
      <c r="Z18" s="14">
        <f>_xll.BDH("GILD US Equity","NET_FIXED_ASSETS_1_YEAR_GROWTH","FQ3 2024","FQ3 2024","Currency=USD","Period=FQ","BEST_FPERIOD_OVERRIDE=FQ","FILING_STATUS=MR","Sort=A","Dates=H","DateFormat=P","Fill=—","Direction=H","UseDPDF=Y")</f>
        <v>-3.2484000000000002</v>
      </c>
      <c r="AA18" s="14">
        <f>_xll.BDH("GILD US Equity","NET_FIXED_ASSETS_1_YEAR_GROWTH","FQ4 2024","FQ4 2024","Currency=USD","Period=FQ","BEST_FPERIOD_OVERRIDE=FQ","FILING_STATUS=MR","Sort=A","Dates=H","DateFormat=P","Fill=—","Direction=H","UseDPDF=Y")</f>
        <v>0.50860000000000005</v>
      </c>
    </row>
    <row r="19" spans="1:27" x14ac:dyDescent="0.25">
      <c r="A19" s="10" t="s">
        <v>112</v>
      </c>
      <c r="B19" s="10" t="s">
        <v>1527</v>
      </c>
      <c r="C19" s="14">
        <f>_xll.BDH("GILD US Equity","ASSET_GROWTH","FQ4 2018","FQ4 2018","Currency=USD","Period=FQ","BEST_FPERIOD_OVERRIDE=FQ","FILING_STATUS=MR","Sort=A","Dates=H","DateFormat=P","Fill=—","Direction=H","UseDPDF=Y")</f>
        <v>-9.4019999999999992</v>
      </c>
      <c r="D19" s="14">
        <f>_xll.BDH("GILD US Equity","ASSET_GROWTH","FQ1 2019","FQ1 2019","Currency=USD","Period=FQ","BEST_FPERIOD_OVERRIDE=FQ","FILING_STATUS=MR","Sort=A","Dates=H","DateFormat=P","Fill=—","Direction=H","UseDPDF=Y")</f>
        <v>-3.891</v>
      </c>
      <c r="E19" s="14">
        <f>_xll.BDH("GILD US Equity","ASSET_GROWTH","FQ2 2019","FQ2 2019","Currency=USD","Period=FQ","BEST_FPERIOD_OVERRIDE=FQ","FILING_STATUS=MR","Sort=A","Dates=H","DateFormat=P","Fill=—","Direction=H","UseDPDF=Y")</f>
        <v>-3.2820999999999998</v>
      </c>
      <c r="F19" s="14">
        <f>_xll.BDH("GILD US Equity","ASSET_GROWTH","FQ3 2019","FQ3 2019","Currency=USD","Period=FQ","BEST_FPERIOD_OVERRIDE=FQ","FILING_STATUS=MR","Sort=A","Dates=H","DateFormat=P","Fill=—","Direction=H","UseDPDF=Y")</f>
        <v>-8.0227000000000004</v>
      </c>
      <c r="G19" s="14">
        <f>_xll.BDH("GILD US Equity","ASSET_GROWTH","FQ4 2019","FQ4 2019","Currency=USD","Period=FQ","BEST_FPERIOD_OVERRIDE=FQ","FILING_STATUS=MR","Sort=A","Dates=H","DateFormat=P","Fill=—","Direction=H","UseDPDF=Y")</f>
        <v>-3.2162999999999999</v>
      </c>
      <c r="H19" s="14">
        <f>_xll.BDH("GILD US Equity","ASSET_GROWTH","FQ1 2020","FQ1 2020","Currency=USD","Period=FQ","BEST_FPERIOD_OVERRIDE=FQ","FILING_STATUS=MR","Sort=A","Dates=H","DateFormat=P","Fill=—","Direction=H","UseDPDF=Y")</f>
        <v>-4.9269999999999996</v>
      </c>
      <c r="I19" s="14">
        <f>_xll.BDH("GILD US Equity","ASSET_GROWTH","FQ2 2020","FQ2 2020","Currency=USD","Period=FQ","BEST_FPERIOD_OVERRIDE=FQ","FILING_STATUS=MR","Sort=A","Dates=H","DateFormat=P","Fill=—","Direction=H","UseDPDF=Y")</f>
        <v>-11.5108</v>
      </c>
      <c r="J19" s="14">
        <f>_xll.BDH("GILD US Equity","ASSET_GROWTH","FQ3 2020","FQ3 2020","Currency=USD","Period=FQ","BEST_FPERIOD_OVERRIDE=FQ","FILING_STATUS=MR","Sort=A","Dates=H","DateFormat=P","Fill=—","Direction=H","UseDPDF=Y")</f>
        <v>2.9283000000000001</v>
      </c>
      <c r="K19" s="14">
        <f>_xll.BDH("GILD US Equity","ASSET_GROWTH","FQ4 2020","FQ4 2020","Currency=USD","Period=FQ","BEST_FPERIOD_OVERRIDE=FQ","FILING_STATUS=MR","Sort=A","Dates=H","DateFormat=P","Fill=—","Direction=H","UseDPDF=Y")</f>
        <v>11.0017</v>
      </c>
      <c r="L19" s="14">
        <f>_xll.BDH("GILD US Equity","ASSET_GROWTH","FQ1 2021","FQ1 2021","Currency=USD","Period=FQ","BEST_FPERIOD_OVERRIDE=FQ","FILING_STATUS=MR","Sort=A","Dates=H","DateFormat=P","Fill=—","Direction=H","UseDPDF=Y")</f>
        <v>12.974299999999999</v>
      </c>
      <c r="M19" s="14">
        <f>_xll.BDH("GILD US Equity","ASSET_GROWTH","FQ2 2021","FQ2 2021","Currency=USD","Period=FQ","BEST_FPERIOD_OVERRIDE=FQ","FILING_STATUS=MR","Sort=A","Dates=H","DateFormat=P","Fill=—","Direction=H","UseDPDF=Y")</f>
        <v>21.543199999999999</v>
      </c>
      <c r="N19" s="14">
        <f>_xll.BDH("GILD US Equity","ASSET_GROWTH","FQ3 2021","FQ3 2021","Currency=USD","Period=FQ","BEST_FPERIOD_OVERRIDE=FQ","FILING_STATUS=MR","Sort=A","Dates=H","DateFormat=P","Fill=—","Direction=H","UseDPDF=Y")</f>
        <v>10.2172</v>
      </c>
      <c r="O19" s="14">
        <f>_xll.BDH("GILD US Equity","ASSET_GROWTH","FQ4 2021","FQ4 2021","Currency=USD","Period=FQ","BEST_FPERIOD_OVERRIDE=FQ","FILING_STATUS=MR","Sort=A","Dates=H","DateFormat=P","Fill=—","Direction=H","UseDPDF=Y")</f>
        <v>-0.66510000000000002</v>
      </c>
      <c r="P19" s="14">
        <f>_xll.BDH("GILD US Equity","ASSET_GROWTH","FQ1 2022","FQ1 2022","Currency=USD","Period=FQ","BEST_FPERIOD_OVERRIDE=FQ","FILING_STATUS=MR","Sort=A","Dates=H","DateFormat=P","Fill=—","Direction=H","UseDPDF=Y")</f>
        <v>-6.5370999999999997</v>
      </c>
      <c r="Q19" s="14">
        <f>_xll.BDH("GILD US Equity","ASSET_GROWTH","FQ2 2022","FQ2 2022","Currency=USD","Period=FQ","BEST_FPERIOD_OVERRIDE=FQ","FILING_STATUS=MR","Sort=A","Dates=H","DateFormat=P","Fill=—","Direction=H","UseDPDF=Y")</f>
        <v>-7.5224000000000002</v>
      </c>
      <c r="R19" s="14">
        <f>_xll.BDH("GILD US Equity","ASSET_GROWTH","FQ3 2022","FQ3 2022","Currency=USD","Period=FQ","BEST_FPERIOD_OVERRIDE=FQ","FILING_STATUS=MR","Sort=A","Dates=H","DateFormat=P","Fill=—","Direction=H","UseDPDF=Y")</f>
        <v>-6.7676999999999996</v>
      </c>
      <c r="S19" s="14">
        <f>_xll.BDH("GILD US Equity","ASSET_GROWTH","FQ4 2022","FQ4 2022","Currency=USD","Period=FQ","BEST_FPERIOD_OVERRIDE=FQ","FILING_STATUS=MR","Sort=A","Dates=H","DateFormat=P","Fill=—","Direction=H","UseDPDF=Y")</f>
        <v>-7.0358000000000001</v>
      </c>
      <c r="T19" s="14">
        <f>_xll.BDH("GILD US Equity","ASSET_GROWTH","FQ1 2023","FQ1 2023","Currency=USD","Period=FQ","BEST_FPERIOD_OVERRIDE=FQ","FILING_STATUS=MR","Sort=A","Dates=H","DateFormat=P","Fill=—","Direction=H","UseDPDF=Y")</f>
        <v>-1.9087000000000001</v>
      </c>
      <c r="U19" s="14">
        <f>_xll.BDH("GILD US Equity","ASSET_GROWTH","FQ2 2023","FQ2 2023","Currency=USD","Period=FQ","BEST_FPERIOD_OVERRIDE=FQ","FILING_STATUS=MR","Sort=A","Dates=H","DateFormat=P","Fill=—","Direction=H","UseDPDF=Y")</f>
        <v>-0.8478</v>
      </c>
      <c r="V19" s="14">
        <f>_xll.BDH("GILD US Equity","ASSET_GROWTH","FQ3 2023","FQ3 2023","Currency=USD","Period=FQ","BEST_FPERIOD_OVERRIDE=FQ","FILING_STATUS=MR","Sort=A","Dates=H","DateFormat=P","Fill=—","Direction=H","UseDPDF=Y")</f>
        <v>-0.29409999999999997</v>
      </c>
      <c r="W19" s="14">
        <f>_xll.BDH("GILD US Equity","ASSET_GROWTH","FQ4 2023","FQ4 2023","Currency=USD","Period=FQ","BEST_FPERIOD_OVERRIDE=FQ","FILING_STATUS=MR","Sort=A","Dates=H","DateFormat=P","Fill=—","Direction=H","UseDPDF=Y")</f>
        <v>-1.6557999999999999</v>
      </c>
      <c r="X19" s="14">
        <f>_xll.BDH("GILD US Equity","ASSET_GROWTH","FQ1 2024","FQ1 2024","Currency=USD","Period=FQ","BEST_FPERIOD_OVERRIDE=FQ","FILING_STATUS=MR","Sort=A","Dates=H","DateFormat=P","Fill=—","Direction=H","UseDPDF=Y")</f>
        <v>-9.0244999999999997</v>
      </c>
      <c r="Y19" s="14">
        <f>_xll.BDH("GILD US Equity","ASSET_GROWTH","FQ2 2024","FQ2 2024","Currency=USD","Period=FQ","BEST_FPERIOD_OVERRIDE=FQ","FILING_STATUS=MR","Sort=A","Dates=H","DateFormat=P","Fill=—","Direction=H","UseDPDF=Y")</f>
        <v>-14.0494</v>
      </c>
      <c r="Z19" s="14">
        <f>_xll.BDH("GILD US Equity","ASSET_GROWTH","FQ3 2024","FQ3 2024","Currency=USD","Period=FQ","BEST_FPERIOD_OVERRIDE=FQ","FILING_STATUS=MR","Sort=A","Dates=H","DateFormat=P","Fill=—","Direction=H","UseDPDF=Y")</f>
        <v>-12.5824</v>
      </c>
      <c r="AA19" s="14">
        <f>_xll.BDH("GILD US Equity","ASSET_GROWTH","FQ4 2024","FQ4 2024","Currency=USD","Period=FQ","BEST_FPERIOD_OVERRIDE=FQ","FILING_STATUS=MR","Sort=A","Dates=H","DateFormat=P","Fill=—","Direction=H","UseDPDF=Y")</f>
        <v>-5.0381999999999998</v>
      </c>
    </row>
    <row r="20" spans="1:27" x14ac:dyDescent="0.25">
      <c r="A20" s="10" t="s">
        <v>1528</v>
      </c>
      <c r="B20" s="10" t="s">
        <v>1529</v>
      </c>
      <c r="C20" s="14">
        <f>_xll.BDH("GILD US Equity","MODIFIED_WORK_CAP_GROWTH","FQ4 2018","FQ4 2018","Currency=USD","Period=FQ","BEST_FPERIOD_OVERRIDE=FQ","FILING_STATUS=MR","Sort=A","Dates=H","DateFormat=P","Fill=—","Direction=H","UseDPDF=Y")</f>
        <v>-12.6889</v>
      </c>
      <c r="D20" s="14">
        <f>_xll.BDH("GILD US Equity","MODIFIED_WORK_CAP_GROWTH","FQ1 2019","FQ1 2019","Currency=USD","Period=FQ","BEST_FPERIOD_OVERRIDE=FQ","FILING_STATUS=MR","Sort=A","Dates=H","DateFormat=P","Fill=—","Direction=H","UseDPDF=Y")</f>
        <v>-8.7363999999999997</v>
      </c>
      <c r="E20" s="14">
        <f>_xll.BDH("GILD US Equity","MODIFIED_WORK_CAP_GROWTH","FQ2 2019","FQ2 2019","Currency=USD","Period=FQ","BEST_FPERIOD_OVERRIDE=FQ","FILING_STATUS=MR","Sort=A","Dates=H","DateFormat=P","Fill=—","Direction=H","UseDPDF=Y")</f>
        <v>-3.0183</v>
      </c>
      <c r="F20" s="14">
        <f>_xll.BDH("GILD US Equity","MODIFIED_WORK_CAP_GROWTH","FQ3 2019","FQ3 2019","Currency=USD","Period=FQ","BEST_FPERIOD_OVERRIDE=FQ","FILING_STATUS=MR","Sort=A","Dates=H","DateFormat=P","Fill=—","Direction=H","UseDPDF=Y")</f>
        <v>-3.6747000000000001</v>
      </c>
      <c r="G20" s="14">
        <f>_xll.BDH("GILD US Equity","MODIFIED_WORK_CAP_GROWTH","FQ4 2019","FQ4 2019","Currency=USD","Period=FQ","BEST_FPERIOD_OVERRIDE=FQ","FILING_STATUS=MR","Sort=A","Dates=H","DateFormat=P","Fill=—","Direction=H","UseDPDF=Y")</f>
        <v>13.1304</v>
      </c>
      <c r="H20" s="14">
        <f>_xll.BDH("GILD US Equity","MODIFIED_WORK_CAP_GROWTH","FQ1 2020","FQ1 2020","Currency=USD","Period=FQ","BEST_FPERIOD_OVERRIDE=FQ","FILING_STATUS=MR","Sort=A","Dates=H","DateFormat=P","Fill=—","Direction=H","UseDPDF=Y")</f>
        <v>19.395099999999999</v>
      </c>
      <c r="I20" s="14">
        <f>_xll.BDH("GILD US Equity","MODIFIED_WORK_CAP_GROWTH","FQ2 2020","FQ2 2020","Currency=USD","Period=FQ","BEST_FPERIOD_OVERRIDE=FQ","FILING_STATUS=MR","Sort=A","Dates=H","DateFormat=P","Fill=—","Direction=H","UseDPDF=Y")</f>
        <v>1.3923000000000001</v>
      </c>
      <c r="J20" s="14">
        <f>_xll.BDH("GILD US Equity","MODIFIED_WORK_CAP_GROWTH","FQ3 2020","FQ3 2020","Currency=USD","Period=FQ","BEST_FPERIOD_OVERRIDE=FQ","FILING_STATUS=MR","Sort=A","Dates=H","DateFormat=P","Fill=—","Direction=H","UseDPDF=Y")</f>
        <v>23.253900000000002</v>
      </c>
      <c r="K20" s="14">
        <f>_xll.BDH("GILD US Equity","MODIFIED_WORK_CAP_GROWTH","FQ4 2020","FQ4 2020","Currency=USD","Period=FQ","BEST_FPERIOD_OVERRIDE=FQ","FILING_STATUS=MR","Sort=A","Dates=H","DateFormat=P","Fill=—","Direction=H","UseDPDF=Y")</f>
        <v>51.1738</v>
      </c>
      <c r="L20" s="14">
        <f>_xll.BDH("GILD US Equity","MODIFIED_WORK_CAP_GROWTH","FQ1 2021","FQ1 2021","Currency=USD","Period=FQ","BEST_FPERIOD_OVERRIDE=FQ","FILING_STATUS=MR","Sort=A","Dates=H","DateFormat=P","Fill=—","Direction=H","UseDPDF=Y")</f>
        <v>19.312100000000001</v>
      </c>
      <c r="M20" s="14">
        <f>_xll.BDH("GILD US Equity","MODIFIED_WORK_CAP_GROWTH","FQ2 2021","FQ2 2021","Currency=USD","Period=FQ","BEST_FPERIOD_OVERRIDE=FQ","FILING_STATUS=MR","Sort=A","Dates=H","DateFormat=P","Fill=—","Direction=H","UseDPDF=Y")</f>
        <v>43.0533</v>
      </c>
      <c r="N20" s="14">
        <f>_xll.BDH("GILD US Equity","MODIFIED_WORK_CAP_GROWTH","FQ3 2021","FQ3 2021","Currency=USD","Period=FQ","BEST_FPERIOD_OVERRIDE=FQ","FILING_STATUS=MR","Sort=A","Dates=H","DateFormat=P","Fill=—","Direction=H","UseDPDF=Y")</f>
        <v>28.7437</v>
      </c>
      <c r="O20" s="14">
        <f>_xll.BDH("GILD US Equity","MODIFIED_WORK_CAP_GROWTH","FQ4 2021","FQ4 2021","Currency=USD","Period=FQ","BEST_FPERIOD_OVERRIDE=FQ","FILING_STATUS=MR","Sort=A","Dates=H","DateFormat=P","Fill=—","Direction=H","UseDPDF=Y")</f>
        <v>-5.6708999999999996</v>
      </c>
      <c r="P20" s="14">
        <f>_xll.BDH("GILD US Equity","MODIFIED_WORK_CAP_GROWTH","FQ1 2022","FQ1 2022","Currency=USD","Period=FQ","BEST_FPERIOD_OVERRIDE=FQ","FILING_STATUS=MR","Sort=A","Dates=H","DateFormat=P","Fill=—","Direction=H","UseDPDF=Y")</f>
        <v>-8.7261000000000006</v>
      </c>
      <c r="Q20" s="14">
        <f>_xll.BDH("GILD US Equity","MODIFIED_WORK_CAP_GROWTH","FQ2 2022","FQ2 2022","Currency=USD","Period=FQ","BEST_FPERIOD_OVERRIDE=FQ","FILING_STATUS=MR","Sort=A","Dates=H","DateFormat=P","Fill=—","Direction=H","UseDPDF=Y")</f>
        <v>-5.0254000000000003</v>
      </c>
      <c r="R20" s="14">
        <f>_xll.BDH("GILD US Equity","MODIFIED_WORK_CAP_GROWTH","FQ3 2022","FQ3 2022","Currency=USD","Period=FQ","BEST_FPERIOD_OVERRIDE=FQ","FILING_STATUS=MR","Sort=A","Dates=H","DateFormat=P","Fill=—","Direction=H","UseDPDF=Y")</f>
        <v>-8.0254999999999992</v>
      </c>
      <c r="S20" s="14">
        <f>_xll.BDH("GILD US Equity","MODIFIED_WORK_CAP_GROWTH","FQ4 2022","FQ4 2022","Currency=USD","Period=FQ","BEST_FPERIOD_OVERRIDE=FQ","FILING_STATUS=MR","Sort=A","Dates=H","DateFormat=P","Fill=—","Direction=H","UseDPDF=Y")</f>
        <v>-0.49940000000000001</v>
      </c>
      <c r="T20" s="14">
        <f>_xll.BDH("GILD US Equity","MODIFIED_WORK_CAP_GROWTH","FQ1 2023","FQ1 2023","Currency=USD","Period=FQ","BEST_FPERIOD_OVERRIDE=FQ","FILING_STATUS=MR","Sort=A","Dates=H","DateFormat=P","Fill=—","Direction=H","UseDPDF=Y")</f>
        <v>9.0695999999999994</v>
      </c>
      <c r="U20" s="14">
        <f>_xll.BDH("GILD US Equity","MODIFIED_WORK_CAP_GROWTH","FQ2 2023","FQ2 2023","Currency=USD","Period=FQ","BEST_FPERIOD_OVERRIDE=FQ","FILING_STATUS=MR","Sort=A","Dates=H","DateFormat=P","Fill=—","Direction=H","UseDPDF=Y")</f>
        <v>3.8445999999999998</v>
      </c>
      <c r="V20" s="14">
        <f>_xll.BDH("GILD US Equity","MODIFIED_WORK_CAP_GROWTH","FQ3 2023","FQ3 2023","Currency=USD","Period=FQ","BEST_FPERIOD_OVERRIDE=FQ","FILING_STATUS=MR","Sort=A","Dates=H","DateFormat=P","Fill=—","Direction=H","UseDPDF=Y")</f>
        <v>12.7811</v>
      </c>
      <c r="W20" s="14">
        <f>_xll.BDH("GILD US Equity","MODIFIED_WORK_CAP_GROWTH","FQ4 2023","FQ4 2023","Currency=USD","Period=FQ","BEST_FPERIOD_OVERRIDE=FQ","FILING_STATUS=MR","Sort=A","Dates=H","DateFormat=P","Fill=—","Direction=H","UseDPDF=Y")</f>
        <v>9.6300000000000008</v>
      </c>
      <c r="X20" s="14">
        <f>_xll.BDH("GILD US Equity","MODIFIED_WORK_CAP_GROWTH","FQ1 2024","FQ1 2024","Currency=USD","Period=FQ","BEST_FPERIOD_OVERRIDE=FQ","FILING_STATUS=MR","Sort=A","Dates=H","DateFormat=P","Fill=—","Direction=H","UseDPDF=Y")</f>
        <v>15.4373</v>
      </c>
      <c r="Y20" s="14">
        <f>_xll.BDH("GILD US Equity","MODIFIED_WORK_CAP_GROWTH","FQ2 2024","FQ2 2024","Currency=USD","Period=FQ","BEST_FPERIOD_OVERRIDE=FQ","FILING_STATUS=MR","Sort=A","Dates=H","DateFormat=P","Fill=—","Direction=H","UseDPDF=Y")</f>
        <v>17.404599999999999</v>
      </c>
      <c r="Z20" s="14">
        <f>_xll.BDH("GILD US Equity","MODIFIED_WORK_CAP_GROWTH","FQ3 2024","FQ3 2024","Currency=USD","Period=FQ","BEST_FPERIOD_OVERRIDE=FQ","FILING_STATUS=MR","Sort=A","Dates=H","DateFormat=P","Fill=—","Direction=H","UseDPDF=Y")</f>
        <v>-5.3681000000000001</v>
      </c>
      <c r="AA20" s="14">
        <f>_xll.BDH("GILD US Equity","MODIFIED_WORK_CAP_GROWTH","FQ4 2024","FQ4 2024","Currency=USD","Period=FQ","BEST_FPERIOD_OVERRIDE=FQ","FILING_STATUS=MR","Sort=A","Dates=H","DateFormat=P","Fill=—","Direction=H","UseDPDF=Y")</f>
        <v>-10.1747</v>
      </c>
    </row>
    <row r="21" spans="1:27" x14ac:dyDescent="0.25">
      <c r="A21" s="10" t="s">
        <v>1530</v>
      </c>
      <c r="B21" s="10" t="s">
        <v>1531</v>
      </c>
      <c r="C21" s="14">
        <f>_xll.BDH("GILD US Equity","WORK_CAP_GROWTH","FQ4 2018","FQ4 2018","Currency=USD","Period=FQ","BEST_FPERIOD_OVERRIDE=FQ","FILING_STATUS=MR","Sort=A","Dates=H","DateFormat=P","Fill=—","Direction=H","UseDPDF=Y")</f>
        <v>24.9802</v>
      </c>
      <c r="D21" s="14">
        <f>_xll.BDH("GILD US Equity","WORK_CAP_GROWTH","FQ1 2019","FQ1 2019","Currency=USD","Period=FQ","BEST_FPERIOD_OVERRIDE=FQ","FILING_STATUS=MR","Sort=A","Dates=H","DateFormat=P","Fill=—","Direction=H","UseDPDF=Y")</f>
        <v>25.724900000000002</v>
      </c>
      <c r="E21" s="14">
        <f>_xll.BDH("GILD US Equity","WORK_CAP_GROWTH","FQ2 2019","FQ2 2019","Currency=USD","Period=FQ","BEST_FPERIOD_OVERRIDE=FQ","FILING_STATUS=MR","Sort=A","Dates=H","DateFormat=P","Fill=—","Direction=H","UseDPDF=Y")</f>
        <v>13.5222</v>
      </c>
      <c r="F21" s="14">
        <f>_xll.BDH("GILD US Equity","WORK_CAP_GROWTH","FQ3 2019","FQ3 2019","Currency=USD","Period=FQ","BEST_FPERIOD_OVERRIDE=FQ","FILING_STATUS=MR","Sort=A","Dates=H","DateFormat=P","Fill=—","Direction=H","UseDPDF=Y")</f>
        <v>-24.2239</v>
      </c>
      <c r="G21" s="14">
        <f>_xll.BDH("GILD US Equity","WORK_CAP_GROWTH","FQ4 2019","FQ4 2019","Currency=USD","Period=FQ","BEST_FPERIOD_OVERRIDE=FQ","FILING_STATUS=MR","Sort=A","Dates=H","DateFormat=P","Fill=—","Direction=H","UseDPDF=Y")</f>
        <v>-18.604099999999999</v>
      </c>
      <c r="H21" s="14">
        <f>_xll.BDH("GILD US Equity","WORK_CAP_GROWTH","FQ1 2020","FQ1 2020","Currency=USD","Period=FQ","BEST_FPERIOD_OVERRIDE=FQ","FILING_STATUS=MR","Sort=A","Dates=H","DateFormat=P","Fill=—","Direction=H","UseDPDF=Y")</f>
        <v>-26.621200000000002</v>
      </c>
      <c r="I21" s="14">
        <f>_xll.BDH("GILD US Equity","WORK_CAP_GROWTH","FQ2 2020","FQ2 2020","Currency=USD","Period=FQ","BEST_FPERIOD_OVERRIDE=FQ","FILING_STATUS=MR","Sort=A","Dates=H","DateFormat=P","Fill=—","Direction=H","UseDPDF=Y")</f>
        <v>-43.151899999999998</v>
      </c>
      <c r="J21" s="14">
        <f>_xll.BDH("GILD US Equity","WORK_CAP_GROWTH","FQ3 2020","FQ3 2020","Currency=USD","Period=FQ","BEST_FPERIOD_OVERRIDE=FQ","FILING_STATUS=MR","Sort=A","Dates=H","DateFormat=P","Fill=—","Direction=H","UseDPDF=Y")</f>
        <v>13.9566</v>
      </c>
      <c r="K21" s="14">
        <f>_xll.BDH("GILD US Equity","WORK_CAP_GROWTH","FQ4 2020","FQ4 2020","Currency=USD","Period=FQ","BEST_FPERIOD_OVERRIDE=FQ","FILING_STATUS=MR","Sort=A","Dates=H","DateFormat=P","Fill=—","Direction=H","UseDPDF=Y")</f>
        <v>-77.606300000000005</v>
      </c>
      <c r="L21" s="14">
        <f>_xll.BDH("GILD US Equity","WORK_CAP_GROWTH","FQ1 2021","FQ1 2021","Currency=USD","Period=FQ","BEST_FPERIOD_OVERRIDE=FQ","FILING_STATUS=MR","Sort=A","Dates=H","DateFormat=P","Fill=—","Direction=H","UseDPDF=Y")</f>
        <v>-80.227999999999994</v>
      </c>
      <c r="M21" s="14">
        <f>_xll.BDH("GILD US Equity","WORK_CAP_GROWTH","FQ2 2021","FQ2 2021","Currency=USD","Period=FQ","BEST_FPERIOD_OVERRIDE=FQ","FILING_STATUS=MR","Sort=A","Dates=H","DateFormat=P","Fill=—","Direction=H","UseDPDF=Y")</f>
        <v>-73.641599999999997</v>
      </c>
      <c r="N21" s="14">
        <f>_xll.BDH("GILD US Equity","WORK_CAP_GROWTH","FQ3 2021","FQ3 2021","Currency=USD","Period=FQ","BEST_FPERIOD_OVERRIDE=FQ","FILING_STATUS=MR","Sort=A","Dates=H","DateFormat=P","Fill=—","Direction=H","UseDPDF=Y")</f>
        <v>-82.509200000000007</v>
      </c>
      <c r="O21" s="14">
        <f>_xll.BDH("GILD US Equity","WORK_CAP_GROWTH","FQ4 2021","FQ4 2021","Currency=USD","Period=FQ","BEST_FPERIOD_OVERRIDE=FQ","FILING_STATUS=MR","Sort=A","Dates=H","DateFormat=P","Fill=—","Direction=H","UseDPDF=Y")</f>
        <v>-31.245899999999999</v>
      </c>
      <c r="P21" s="14">
        <f>_xll.BDH("GILD US Equity","WORK_CAP_GROWTH","FQ1 2022","FQ1 2022","Currency=USD","Period=FQ","BEST_FPERIOD_OVERRIDE=FQ","FILING_STATUS=MR","Sort=A","Dates=H","DateFormat=P","Fill=—","Direction=H","UseDPDF=Y")</f>
        <v>13.937900000000001</v>
      </c>
      <c r="Q21" s="14">
        <f>_xll.BDH("GILD US Equity","WORK_CAP_GROWTH","FQ2 2022","FQ2 2022","Currency=USD","Period=FQ","BEST_FPERIOD_OVERRIDE=FQ","FILING_STATUS=MR","Sort=A","Dates=H","DateFormat=P","Fill=—","Direction=H","UseDPDF=Y")</f>
        <v>6.5750000000000002</v>
      </c>
      <c r="R21" s="14">
        <f>_xll.BDH("GILD US Equity","WORK_CAP_GROWTH","FQ3 2022","FQ3 2022","Currency=USD","Period=FQ","BEST_FPERIOD_OVERRIDE=FQ","FILING_STATUS=MR","Sort=A","Dates=H","DateFormat=P","Fill=—","Direction=H","UseDPDF=Y")</f>
        <v>-16.4175</v>
      </c>
      <c r="S21" s="14">
        <f>_xll.BDH("GILD US Equity","WORK_CAP_GROWTH","FQ4 2022","FQ4 2022","Currency=USD","Period=FQ","BEST_FPERIOD_OVERRIDE=FQ","FILING_STATUS=MR","Sort=A","Dates=H","DateFormat=P","Fill=—","Direction=H","UseDPDF=Y")</f>
        <v>1.3915</v>
      </c>
      <c r="T21" s="14">
        <f>_xll.BDH("GILD US Equity","WORK_CAP_GROWTH","FQ1 2023","FQ1 2023","Currency=USD","Period=FQ","BEST_FPERIOD_OVERRIDE=FQ","FILING_STATUS=MR","Sort=A","Dates=H","DateFormat=P","Fill=—","Direction=H","UseDPDF=Y")</f>
        <v>-28.076599999999999</v>
      </c>
      <c r="U21" s="14">
        <f>_xll.BDH("GILD US Equity","WORK_CAP_GROWTH","FQ2 2023","FQ2 2023","Currency=USD","Period=FQ","BEST_FPERIOD_OVERRIDE=FQ","FILING_STATUS=MR","Sort=A","Dates=H","DateFormat=P","Fill=—","Direction=H","UseDPDF=Y")</f>
        <v>-91.833100000000002</v>
      </c>
      <c r="V21" s="14">
        <f>_xll.BDH("GILD US Equity","WORK_CAP_GROWTH","FQ3 2023","FQ3 2023","Currency=USD","Period=FQ","BEST_FPERIOD_OVERRIDE=FQ","FILING_STATUS=MR","Sort=A","Dates=H","DateFormat=P","Fill=—","Direction=H","UseDPDF=Y")</f>
        <v>28.872599999999998</v>
      </c>
      <c r="W21" s="14">
        <f>_xll.BDH("GILD US Equity","WORK_CAP_GROWTH","FQ4 2023","FQ4 2023","Currency=USD","Period=FQ","BEST_FPERIOD_OVERRIDE=FQ","FILING_STATUS=MR","Sort=A","Dates=H","DateFormat=P","Fill=—","Direction=H","UseDPDF=Y")</f>
        <v>49.8752</v>
      </c>
      <c r="X21" s="14">
        <f>_xll.BDH("GILD US Equity","WORK_CAP_GROWTH","FQ1 2024","FQ1 2024","Currency=USD","Period=FQ","BEST_FPERIOD_OVERRIDE=FQ","FILING_STATUS=MR","Sort=A","Dates=H","DateFormat=P","Fill=—","Direction=H","UseDPDF=Y")</f>
        <v>-64.959000000000003</v>
      </c>
      <c r="Y21" s="14">
        <f>_xll.BDH("GILD US Equity","WORK_CAP_GROWTH","FQ2 2024","FQ2 2024","Currency=USD","Period=FQ","BEST_FPERIOD_OVERRIDE=FQ","FILING_STATUS=MR","Sort=A","Dates=H","DateFormat=P","Fill=—","Direction=H","UseDPDF=Y")</f>
        <v>375.54180000000002</v>
      </c>
      <c r="Z21" s="14">
        <f>_xll.BDH("GILD US Equity","WORK_CAP_GROWTH","FQ3 2024","FQ3 2024","Currency=USD","Period=FQ","BEST_FPERIOD_OVERRIDE=FQ","FILING_STATUS=MR","Sort=A","Dates=H","DateFormat=P","Fill=—","Direction=H","UseDPDF=Y")</f>
        <v>-24.3123</v>
      </c>
      <c r="AA21" s="14">
        <f>_xll.BDH("GILD US Equity","WORK_CAP_GROWTH","FQ4 2024","FQ4 2024","Currency=USD","Period=FQ","BEST_FPERIOD_OVERRIDE=FQ","FILING_STATUS=MR","Sort=A","Dates=H","DateFormat=P","Fill=—","Direction=H","UseDPDF=Y")</f>
        <v>49.198799999999999</v>
      </c>
    </row>
    <row r="22" spans="1:27" x14ac:dyDescent="0.25">
      <c r="A22" s="10" t="s">
        <v>1532</v>
      </c>
      <c r="B22" s="10" t="s">
        <v>1533</v>
      </c>
      <c r="C22" s="14">
        <f>_xll.BDH("GILD US Equity","EMPL_GROWTH","FQ4 2018","FQ4 2018","Currency=USD","Period=FQ","BEST_FPERIOD_OVERRIDE=FQ","FILING_STATUS=MR","Sort=A","Dates=H","DateFormat=P","Fill=—","Direction=H","UseDPDF=Y")</f>
        <v>10</v>
      </c>
      <c r="D22" s="14" t="str">
        <f>_xll.BDH("GILD US Equity","EMPL_GROWTH","FQ1 2019","FQ1 2019","Currency=USD","Period=FQ","BEST_FPERIOD_OVERRIDE=FQ","FILING_STATUS=MR","Sort=A","Dates=H","DateFormat=P","Fill=—","Direction=H","UseDPDF=Y")</f>
        <v>—</v>
      </c>
      <c r="E22" s="14" t="str">
        <f>_xll.BDH("GILD US Equity","EMPL_GROWTH","FQ2 2019","FQ2 2019","Currency=USD","Period=FQ","BEST_FPERIOD_OVERRIDE=FQ","FILING_STATUS=MR","Sort=A","Dates=H","DateFormat=P","Fill=—","Direction=H","UseDPDF=Y")</f>
        <v>—</v>
      </c>
      <c r="F22" s="14" t="str">
        <f>_xll.BDH("GILD US Equity","EMPL_GROWTH","FQ3 2019","FQ3 2019","Currency=USD","Period=FQ","BEST_FPERIOD_OVERRIDE=FQ","FILING_STATUS=MR","Sort=A","Dates=H","DateFormat=P","Fill=—","Direction=H","UseDPDF=Y")</f>
        <v>—</v>
      </c>
      <c r="G22" s="14">
        <f>_xll.BDH("GILD US Equity","EMPL_GROWTH","FQ4 2019","FQ4 2019","Currency=USD","Period=FQ","BEST_FPERIOD_OVERRIDE=FQ","FILING_STATUS=MR","Sort=A","Dates=H","DateFormat=P","Fill=—","Direction=H","UseDPDF=Y")</f>
        <v>7.2727000000000004</v>
      </c>
      <c r="H22" s="14" t="str">
        <f>_xll.BDH("GILD US Equity","EMPL_GROWTH","FQ1 2020","FQ1 2020","Currency=USD","Period=FQ","BEST_FPERIOD_OVERRIDE=FQ","FILING_STATUS=MR","Sort=A","Dates=H","DateFormat=P","Fill=—","Direction=H","UseDPDF=Y")</f>
        <v>—</v>
      </c>
      <c r="I22" s="14" t="str">
        <f>_xll.BDH("GILD US Equity","EMPL_GROWTH","FQ2 2020","FQ2 2020","Currency=USD","Period=FQ","BEST_FPERIOD_OVERRIDE=FQ","FILING_STATUS=MR","Sort=A","Dates=H","DateFormat=P","Fill=—","Direction=H","UseDPDF=Y")</f>
        <v>—</v>
      </c>
      <c r="J22" s="14" t="str">
        <f>_xll.BDH("GILD US Equity","EMPL_GROWTH","FQ3 2020","FQ3 2020","Currency=USD","Period=FQ","BEST_FPERIOD_OVERRIDE=FQ","FILING_STATUS=MR","Sort=A","Dates=H","DateFormat=P","Fill=—","Direction=H","UseDPDF=Y")</f>
        <v>—</v>
      </c>
      <c r="K22" s="14">
        <f>_xll.BDH("GILD US Equity","EMPL_GROWTH","FQ4 2020","FQ4 2020","Currency=USD","Period=FQ","BEST_FPERIOD_OVERRIDE=FQ","FILING_STATUS=MR","Sort=A","Dates=H","DateFormat=P","Fill=—","Direction=H","UseDPDF=Y")</f>
        <v>15.254200000000001</v>
      </c>
      <c r="L22" s="14" t="str">
        <f>_xll.BDH("GILD US Equity","EMPL_GROWTH","FQ1 2021","FQ1 2021","Currency=USD","Period=FQ","BEST_FPERIOD_OVERRIDE=FQ","FILING_STATUS=MR","Sort=A","Dates=H","DateFormat=P","Fill=—","Direction=H","UseDPDF=Y")</f>
        <v>—</v>
      </c>
      <c r="M22" s="14" t="str">
        <f>_xll.BDH("GILD US Equity","EMPL_GROWTH","FQ2 2021","FQ2 2021","Currency=USD","Period=FQ","BEST_FPERIOD_OVERRIDE=FQ","FILING_STATUS=MR","Sort=A","Dates=H","DateFormat=P","Fill=—","Direction=H","UseDPDF=Y")</f>
        <v>—</v>
      </c>
      <c r="N22" s="14" t="str">
        <f>_xll.BDH("GILD US Equity","EMPL_GROWTH","FQ3 2021","FQ3 2021","Currency=USD","Period=FQ","BEST_FPERIOD_OVERRIDE=FQ","FILING_STATUS=MR","Sort=A","Dates=H","DateFormat=P","Fill=—","Direction=H","UseDPDF=Y")</f>
        <v>—</v>
      </c>
      <c r="O22" s="14">
        <f>_xll.BDH("GILD US Equity","EMPL_GROWTH","FQ4 2021","FQ4 2021","Currency=USD","Period=FQ","BEST_FPERIOD_OVERRIDE=FQ","FILING_STATUS=MR","Sort=A","Dates=H","DateFormat=P","Fill=—","Direction=H","UseDPDF=Y")</f>
        <v>5.8823999999999996</v>
      </c>
      <c r="P22" s="14" t="str">
        <f>_xll.BDH("GILD US Equity","EMPL_GROWTH","FQ1 2022","FQ1 2022","Currency=USD","Period=FQ","BEST_FPERIOD_OVERRIDE=FQ","FILING_STATUS=MR","Sort=A","Dates=H","DateFormat=P","Fill=—","Direction=H","UseDPDF=Y")</f>
        <v>—</v>
      </c>
      <c r="Q22" s="14" t="str">
        <f>_xll.BDH("GILD US Equity","EMPL_GROWTH","FQ2 2022","FQ2 2022","Currency=USD","Period=FQ","BEST_FPERIOD_OVERRIDE=FQ","FILING_STATUS=MR","Sort=A","Dates=H","DateFormat=P","Fill=—","Direction=H","UseDPDF=Y")</f>
        <v>—</v>
      </c>
      <c r="R22" s="14" t="str">
        <f>_xll.BDH("GILD US Equity","EMPL_GROWTH","FQ3 2022","FQ3 2022","Currency=USD","Period=FQ","BEST_FPERIOD_OVERRIDE=FQ","FILING_STATUS=MR","Sort=A","Dates=H","DateFormat=P","Fill=—","Direction=H","UseDPDF=Y")</f>
        <v>—</v>
      </c>
      <c r="S22" s="14">
        <f>_xll.BDH("GILD US Equity","EMPL_GROWTH","FQ4 2022","FQ4 2022","Currency=USD","Period=FQ","BEST_FPERIOD_OVERRIDE=FQ","FILING_STATUS=MR","Sort=A","Dates=H","DateFormat=P","Fill=—","Direction=H","UseDPDF=Y")</f>
        <v>18.055599999999998</v>
      </c>
      <c r="T22" s="14" t="str">
        <f>_xll.BDH("GILD US Equity","EMPL_GROWTH","FQ1 2023","FQ1 2023","Currency=USD","Period=FQ","BEST_FPERIOD_OVERRIDE=FQ","FILING_STATUS=MR","Sort=A","Dates=H","DateFormat=P","Fill=—","Direction=H","UseDPDF=Y")</f>
        <v>—</v>
      </c>
      <c r="U22" s="14" t="str">
        <f>_xll.BDH("GILD US Equity","EMPL_GROWTH","FQ2 2023","FQ2 2023","Currency=USD","Period=FQ","BEST_FPERIOD_OVERRIDE=FQ","FILING_STATUS=MR","Sort=A","Dates=H","DateFormat=P","Fill=—","Direction=H","UseDPDF=Y")</f>
        <v>—</v>
      </c>
      <c r="V22" s="14" t="str">
        <f>_xll.BDH("GILD US Equity","EMPL_GROWTH","FQ3 2023","FQ3 2023","Currency=USD","Period=FQ","BEST_FPERIOD_OVERRIDE=FQ","FILING_STATUS=MR","Sort=A","Dates=H","DateFormat=P","Fill=—","Direction=H","UseDPDF=Y")</f>
        <v>—</v>
      </c>
      <c r="W22" s="14">
        <f>_xll.BDH("GILD US Equity","EMPL_GROWTH","FQ4 2023","FQ4 2023","Currency=USD","Period=FQ","BEST_FPERIOD_OVERRIDE=FQ","FILING_STATUS=MR","Sort=A","Dates=H","DateFormat=P","Fill=—","Direction=H","UseDPDF=Y")</f>
        <v>5.8823999999999996</v>
      </c>
      <c r="X22" s="14" t="str">
        <f>_xll.BDH("GILD US Equity","EMPL_GROWTH","FQ1 2024","FQ1 2024","Currency=USD","Period=FQ","BEST_FPERIOD_OVERRIDE=FQ","FILING_STATUS=MR","Sort=A","Dates=H","DateFormat=P","Fill=—","Direction=H","UseDPDF=Y")</f>
        <v>—</v>
      </c>
      <c r="Y22" s="14" t="str">
        <f>_xll.BDH("GILD US Equity","EMPL_GROWTH","FQ2 2024","FQ2 2024","Currency=USD","Period=FQ","BEST_FPERIOD_OVERRIDE=FQ","FILING_STATUS=MR","Sort=A","Dates=H","DateFormat=P","Fill=—","Direction=H","UseDPDF=Y")</f>
        <v>—</v>
      </c>
      <c r="Z22" s="14" t="str">
        <f>_xll.BDH("GILD US Equity","EMPL_GROWTH","FQ3 2024","FQ3 2024","Currency=USD","Period=FQ","BEST_FPERIOD_OVERRIDE=FQ","FILING_STATUS=MR","Sort=A","Dates=H","DateFormat=P","Fill=—","Direction=H","UseDPDF=Y")</f>
        <v>—</v>
      </c>
      <c r="AA22" s="14">
        <f>_xll.BDH("GILD US Equity","EMPL_GROWTH","FQ4 2024","FQ4 2024","Currency=USD","Period=FQ","BEST_FPERIOD_OVERRIDE=FQ","FILING_STATUS=MR","Sort=A","Dates=H","DateFormat=P","Fill=—","Direction=H","UseDPDF=Y")</f>
        <v>-2.2222</v>
      </c>
    </row>
    <row r="23" spans="1:27" x14ac:dyDescent="0.25">
      <c r="A23" s="10" t="s">
        <v>1534</v>
      </c>
      <c r="B23" s="10" t="s">
        <v>1535</v>
      </c>
      <c r="C23" s="14">
        <f>_xll.BDH("GILD US Equity","ACCOUNTS_PAYABLE_GROWTH_1YR","FQ4 2018","FQ4 2018","Currency=USD","Period=FQ","BEST_FPERIOD_OVERRIDE=FQ","FILING_STATUS=MR","Sort=A","Dates=H","DateFormat=P","Fill=—","Direction=H","UseDPDF=Y")</f>
        <v>-2.9483999999999999</v>
      </c>
      <c r="D23" s="14">
        <f>_xll.BDH("GILD US Equity","ACCOUNTS_PAYABLE_GROWTH_1YR","FQ1 2019","FQ1 2019","Currency=USD","Period=FQ","BEST_FPERIOD_OVERRIDE=FQ","FILING_STATUS=MR","Sort=A","Dates=H","DateFormat=P","Fill=—","Direction=H","UseDPDF=Y")</f>
        <v>-18.846699999999998</v>
      </c>
      <c r="E23" s="14">
        <f>_xll.BDH("GILD US Equity","ACCOUNTS_PAYABLE_GROWTH_1YR","FQ2 2019","FQ2 2019","Currency=USD","Period=FQ","BEST_FPERIOD_OVERRIDE=FQ","FILING_STATUS=MR","Sort=A","Dates=H","DateFormat=P","Fill=—","Direction=H","UseDPDF=Y")</f>
        <v>-0.96309999999999996</v>
      </c>
      <c r="F23" s="14">
        <f>_xll.BDH("GILD US Equity","ACCOUNTS_PAYABLE_GROWTH_1YR","FQ3 2019","FQ3 2019","Currency=USD","Period=FQ","BEST_FPERIOD_OVERRIDE=FQ","FILING_STATUS=MR","Sort=A","Dates=H","DateFormat=P","Fill=—","Direction=H","UseDPDF=Y")</f>
        <v>8.9655000000000005</v>
      </c>
      <c r="G23" s="14">
        <f>_xll.BDH("GILD US Equity","ACCOUNTS_PAYABLE_GROWTH_1YR","FQ4 2019","FQ4 2019","Currency=USD","Period=FQ","BEST_FPERIOD_OVERRIDE=FQ","FILING_STATUS=MR","Sort=A","Dates=H","DateFormat=P","Fill=—","Direction=H","UseDPDF=Y")</f>
        <v>-9.7468000000000004</v>
      </c>
      <c r="H23" s="14">
        <f>_xll.BDH("GILD US Equity","ACCOUNTS_PAYABLE_GROWTH_1YR","FQ1 2020","FQ1 2020","Currency=USD","Period=FQ","BEST_FPERIOD_OVERRIDE=FQ","FILING_STATUS=MR","Sort=A","Dates=H","DateFormat=P","Fill=—","Direction=H","UseDPDF=Y")</f>
        <v>2.2530000000000001</v>
      </c>
      <c r="I23" s="14">
        <f>_xll.BDH("GILD US Equity","ACCOUNTS_PAYABLE_GROWTH_1YR","FQ2 2020","FQ2 2020","Currency=USD","Period=FQ","BEST_FPERIOD_OVERRIDE=FQ","FILING_STATUS=MR","Sort=A","Dates=H","DateFormat=P","Fill=—","Direction=H","UseDPDF=Y")</f>
        <v>-13.776300000000001</v>
      </c>
      <c r="J23" s="14">
        <f>_xll.BDH("GILD US Equity","ACCOUNTS_PAYABLE_GROWTH_1YR","FQ3 2020","FQ3 2020","Currency=USD","Period=FQ","BEST_FPERIOD_OVERRIDE=FQ","FILING_STATUS=MR","Sort=A","Dates=H","DateFormat=P","Fill=—","Direction=H","UseDPDF=Y")</f>
        <v>-16.613900000000001</v>
      </c>
      <c r="K23" s="14">
        <f>_xll.BDH("GILD US Equity","ACCOUNTS_PAYABLE_GROWTH_1YR","FQ4 2020","FQ4 2020","Currency=USD","Period=FQ","BEST_FPERIOD_OVERRIDE=FQ","FILING_STATUS=MR","Sort=A","Dates=H","DateFormat=P","Fill=—","Direction=H","UseDPDF=Y")</f>
        <v>18.373100000000001</v>
      </c>
      <c r="L23" s="14">
        <f>_xll.BDH("GILD US Equity","ACCOUNTS_PAYABLE_GROWTH_1YR","FQ1 2021","FQ1 2021","Currency=USD","Period=FQ","BEST_FPERIOD_OVERRIDE=FQ","FILING_STATUS=MR","Sort=A","Dates=H","DateFormat=P","Fill=—","Direction=H","UseDPDF=Y")</f>
        <v>-3.3898000000000001</v>
      </c>
      <c r="M23" s="14">
        <f>_xll.BDH("GILD US Equity","ACCOUNTS_PAYABLE_GROWTH_1YR","FQ2 2021","FQ2 2021","Currency=USD","Period=FQ","BEST_FPERIOD_OVERRIDE=FQ","FILING_STATUS=MR","Sort=A","Dates=H","DateFormat=P","Fill=—","Direction=H","UseDPDF=Y")</f>
        <v>14.2857</v>
      </c>
      <c r="N23" s="14">
        <f>_xll.BDH("GILD US Equity","ACCOUNTS_PAYABLE_GROWTH_1YR","FQ3 2021","FQ3 2021","Currency=USD","Period=FQ","BEST_FPERIOD_OVERRIDE=FQ","FILING_STATUS=MR","Sort=A","Dates=H","DateFormat=P","Fill=—","Direction=H","UseDPDF=Y")</f>
        <v>11.005699999999999</v>
      </c>
      <c r="O23" s="14">
        <f>_xll.BDH("GILD US Equity","ACCOUNTS_PAYABLE_GROWTH_1YR","FQ4 2021","FQ4 2021","Currency=USD","Period=FQ","BEST_FPERIOD_OVERRIDE=FQ","FILING_STATUS=MR","Sort=A","Dates=H","DateFormat=P","Fill=—","Direction=H","UseDPDF=Y")</f>
        <v>-16.469200000000001</v>
      </c>
      <c r="P23" s="14">
        <f>_xll.BDH("GILD US Equity","ACCOUNTS_PAYABLE_GROWTH_1YR","FQ1 2022","FQ1 2022","Currency=USD","Period=FQ","BEST_FPERIOD_OVERRIDE=FQ","FILING_STATUS=MR","Sort=A","Dates=H","DateFormat=P","Fill=—","Direction=H","UseDPDF=Y")</f>
        <v>2.2806999999999999</v>
      </c>
      <c r="Q23" s="14">
        <f>_xll.BDH("GILD US Equity","ACCOUNTS_PAYABLE_GROWTH_1YR","FQ2 2022","FQ2 2022","Currency=USD","Period=FQ","BEST_FPERIOD_OVERRIDE=FQ","FILING_STATUS=MR","Sort=A","Dates=H","DateFormat=P","Fill=—","Direction=H","UseDPDF=Y")</f>
        <v>-7.0724</v>
      </c>
      <c r="R23" s="14">
        <f>_xll.BDH("GILD US Equity","ACCOUNTS_PAYABLE_GROWTH_1YR","FQ3 2022","FQ3 2022","Currency=USD","Period=FQ","BEST_FPERIOD_OVERRIDE=FQ","FILING_STATUS=MR","Sort=A","Dates=H","DateFormat=P","Fill=—","Direction=H","UseDPDF=Y")</f>
        <v>4.9573</v>
      </c>
      <c r="S23" s="14">
        <f>_xll.BDH("GILD US Equity","ACCOUNTS_PAYABLE_GROWTH_1YR","FQ4 2022","FQ4 2022","Currency=USD","Period=FQ","BEST_FPERIOD_OVERRIDE=FQ","FILING_STATUS=MR","Sort=A","Dates=H","DateFormat=P","Fill=—","Direction=H","UseDPDF=Y")</f>
        <v>28.3688</v>
      </c>
      <c r="T23" s="14">
        <f>_xll.BDH("GILD US Equity","ACCOUNTS_PAYABLE_GROWTH_1YR","FQ1 2023","FQ1 2023","Currency=USD","Period=FQ","BEST_FPERIOD_OVERRIDE=FQ","FILING_STATUS=MR","Sort=A","Dates=H","DateFormat=P","Fill=—","Direction=H","UseDPDF=Y")</f>
        <v>7.5472000000000001</v>
      </c>
      <c r="U23" s="14">
        <f>_xll.BDH("GILD US Equity","ACCOUNTS_PAYABLE_GROWTH_1YR","FQ2 2023","FQ2 2023","Currency=USD","Period=FQ","BEST_FPERIOD_OVERRIDE=FQ","FILING_STATUS=MR","Sort=A","Dates=H","DateFormat=P","Fill=—","Direction=H","UseDPDF=Y")</f>
        <v>10.0885</v>
      </c>
      <c r="V23" s="14">
        <f>_xll.BDH("GILD US Equity","ACCOUNTS_PAYABLE_GROWTH_1YR","FQ3 2023","FQ3 2023","Currency=USD","Period=FQ","BEST_FPERIOD_OVERRIDE=FQ","FILING_STATUS=MR","Sort=A","Dates=H","DateFormat=P","Fill=—","Direction=H","UseDPDF=Y")</f>
        <v>-4.5602999999999998</v>
      </c>
      <c r="W23" s="14">
        <f>_xll.BDH("GILD US Equity","ACCOUNTS_PAYABLE_GROWTH_1YR","FQ4 2023","FQ4 2023","Currency=USD","Period=FQ","BEST_FPERIOD_OVERRIDE=FQ","FILING_STATUS=MR","Sort=A","Dates=H","DateFormat=P","Fill=—","Direction=H","UseDPDF=Y")</f>
        <v>-39.226500000000001</v>
      </c>
      <c r="X23" s="14">
        <f>_xll.BDH("GILD US Equity","ACCOUNTS_PAYABLE_GROWTH_1YR","FQ1 2024","FQ1 2024","Currency=USD","Period=FQ","BEST_FPERIOD_OVERRIDE=FQ","FILING_STATUS=MR","Sort=A","Dates=H","DateFormat=P","Fill=—","Direction=H","UseDPDF=Y")</f>
        <v>-0.7974</v>
      </c>
      <c r="Y23" s="14">
        <f>_xll.BDH("GILD US Equity","ACCOUNTS_PAYABLE_GROWTH_1YR","FQ2 2024","FQ2 2024","Currency=USD","Period=FQ","BEST_FPERIOD_OVERRIDE=FQ","FILING_STATUS=MR","Sort=A","Dates=H","DateFormat=P","Fill=—","Direction=H","UseDPDF=Y")</f>
        <v>-13.6656</v>
      </c>
      <c r="Z23" s="14">
        <f>_xll.BDH("GILD US Equity","ACCOUNTS_PAYABLE_GROWTH_1YR","FQ3 2024","FQ3 2024","Currency=USD","Period=FQ","BEST_FPERIOD_OVERRIDE=FQ","FILING_STATUS=MR","Sort=A","Dates=H","DateFormat=P","Fill=—","Direction=H","UseDPDF=Y")</f>
        <v>54.095599999999997</v>
      </c>
      <c r="AA23" s="14">
        <f>_xll.BDH("GILD US Equity","ACCOUNTS_PAYABLE_GROWTH_1YR","FQ4 2024","FQ4 2024","Currency=USD","Period=FQ","BEST_FPERIOD_OVERRIDE=FQ","FILING_STATUS=MR","Sort=A","Dates=H","DateFormat=P","Fill=—","Direction=H","UseDPDF=Y")</f>
        <v>51.454500000000003</v>
      </c>
    </row>
    <row r="24" spans="1:27" x14ac:dyDescent="0.25">
      <c r="A24" s="10" t="s">
        <v>1536</v>
      </c>
      <c r="B24" s="10" t="s">
        <v>1537</v>
      </c>
      <c r="C24" s="14">
        <f>_xll.BDH("GILD US Equity","SHORT_TERM_DEBT_1_YEAR_GROWTH","FQ4 2018","FQ4 2018","Currency=USD","Period=FQ","BEST_FPERIOD_OVERRIDE=FQ","FILING_STATUS=MR","Sort=A","Dates=H","DateFormat=P","Fill=—","Direction=H","UseDPDF=Y")</f>
        <v>3.6400000000000002E-2</v>
      </c>
      <c r="D24" s="14">
        <f>_xll.BDH("GILD US Equity","SHORT_TERM_DEBT_1_YEAR_GROWTH","FQ1 2019","FQ1 2019","Currency=USD","Period=FQ","BEST_FPERIOD_OVERRIDE=FQ","FILING_STATUS=MR","Sort=A","Dates=H","DateFormat=P","Fill=—","Direction=H","UseDPDF=Y")</f>
        <v>3.0436999999999999</v>
      </c>
      <c r="E24" s="14">
        <f>_xll.BDH("GILD US Equity","SHORT_TERM_DEBT_1_YEAR_GROWTH","FQ2 2019","FQ2 2019","Currency=USD","Period=FQ","BEST_FPERIOD_OVERRIDE=FQ","FILING_STATUS=MR","Sort=A","Dates=H","DateFormat=P","Fill=—","Direction=H","UseDPDF=Y")</f>
        <v>-30.8873</v>
      </c>
      <c r="F24" s="14">
        <f>_xll.BDH("GILD US Equity","SHORT_TERM_DEBT_1_YEAR_GROWTH","FQ3 2019","FQ3 2019","Currency=USD","Period=FQ","BEST_FPERIOD_OVERRIDE=FQ","FILING_STATUS=MR","Sort=A","Dates=H","DateFormat=P","Fill=—","Direction=H","UseDPDF=Y")</f>
        <v>-5.6788999999999996</v>
      </c>
      <c r="G24" s="14">
        <f>_xll.BDH("GILD US Equity","SHORT_TERM_DEBT_1_YEAR_GROWTH","FQ4 2019","FQ4 2019","Currency=USD","Period=FQ","BEST_FPERIOD_OVERRIDE=FQ","FILING_STATUS=MR","Sort=A","Dates=H","DateFormat=P","Fill=—","Direction=H","UseDPDF=Y")</f>
        <v>-5.4584999999999999</v>
      </c>
      <c r="H24" s="14">
        <f>_xll.BDH("GILD US Equity","SHORT_TERM_DEBT_1_YEAR_GROWTH","FQ1 2020","FQ1 2020","Currency=USD","Period=FQ","BEST_FPERIOD_OVERRIDE=FQ","FILING_STATUS=MR","Sort=A","Dates=H","DateFormat=P","Fill=—","Direction=H","UseDPDF=Y")</f>
        <v>-22.308599999999998</v>
      </c>
      <c r="I24" s="14">
        <f>_xll.BDH("GILD US Equity","SHORT_TERM_DEBT_1_YEAR_GROWTH","FQ2 2020","FQ2 2020","Currency=USD","Period=FQ","BEST_FPERIOD_OVERRIDE=FQ","FILING_STATUS=MR","Sort=A","Dates=H","DateFormat=P","Fill=—","Direction=H","UseDPDF=Y")</f>
        <v>44.739400000000003</v>
      </c>
      <c r="J24" s="14">
        <f>_xll.BDH("GILD US Equity","SHORT_TERM_DEBT_1_YEAR_GROWTH","FQ3 2020","FQ3 2020","Currency=USD","Period=FQ","BEST_FPERIOD_OVERRIDE=FQ","FILING_STATUS=MR","Sort=A","Dates=H","DateFormat=P","Fill=—","Direction=H","UseDPDF=Y")</f>
        <v>-42.1845</v>
      </c>
      <c r="K24" s="14">
        <f>_xll.BDH("GILD US Equity","SHORT_TERM_DEBT_1_YEAR_GROWTH","FQ4 2020","FQ4 2020","Currency=USD","Period=FQ","BEST_FPERIOD_OVERRIDE=FQ","FILING_STATUS=MR","Sort=A","Dates=H","DateFormat=P","Fill=—","Direction=H","UseDPDF=Y")</f>
        <v>10.2386</v>
      </c>
      <c r="L24" s="14">
        <f>_xll.BDH("GILD US Equity","SHORT_TERM_DEBT_1_YEAR_GROWTH","FQ1 2021","FQ1 2021","Currency=USD","Period=FQ","BEST_FPERIOD_OVERRIDE=FQ","FILING_STATUS=MR","Sort=A","Dates=H","DateFormat=P","Fill=—","Direction=H","UseDPDF=Y")</f>
        <v>13.006500000000001</v>
      </c>
      <c r="M24" s="14">
        <f>_xll.BDH("GILD US Equity","SHORT_TERM_DEBT_1_YEAR_GROWTH","FQ2 2021","FQ2 2021","Currency=USD","Period=FQ","BEST_FPERIOD_OVERRIDE=FQ","FILING_STATUS=MR","Sort=A","Dates=H","DateFormat=P","Fill=—","Direction=H","UseDPDF=Y")</f>
        <v>-24.6082</v>
      </c>
      <c r="N24" s="14">
        <f>_xll.BDH("GILD US Equity","SHORT_TERM_DEBT_1_YEAR_GROWTH","FQ3 2021","FQ3 2021","Currency=USD","Period=FQ","BEST_FPERIOD_OVERRIDE=FQ","FILING_STATUS=MR","Sort=A","Dates=H","DateFormat=P","Fill=—","Direction=H","UseDPDF=Y")</f>
        <v>67.623500000000007</v>
      </c>
      <c r="O24" s="14">
        <f>_xll.BDH("GILD US Equity","SHORT_TERM_DEBT_1_YEAR_GROWTH","FQ4 2021","FQ4 2021","Currency=USD","Period=FQ","BEST_FPERIOD_OVERRIDE=FQ","FILING_STATUS=MR","Sort=A","Dates=H","DateFormat=P","Fill=—","Direction=H","UseDPDF=Y")</f>
        <v>-43.540500000000002</v>
      </c>
      <c r="P24" s="14">
        <f>_xll.BDH("GILD US Equity","SHORT_TERM_DEBT_1_YEAR_GROWTH","FQ1 2022","FQ1 2022","Currency=USD","Period=FQ","BEST_FPERIOD_OVERRIDE=FQ","FILING_STATUS=MR","Sort=A","Dates=H","DateFormat=P","Fill=—","Direction=H","UseDPDF=Y")</f>
        <v>-54.625900000000001</v>
      </c>
      <c r="Q24" s="14">
        <f>_xll.BDH("GILD US Equity","SHORT_TERM_DEBT_1_YEAR_GROWTH","FQ2 2022","FQ2 2022","Currency=USD","Period=FQ","BEST_FPERIOD_OVERRIDE=FQ","FILING_STATUS=MR","Sort=A","Dates=H","DateFormat=P","Fill=—","Direction=H","UseDPDF=Y")</f>
        <v>-54.843000000000004</v>
      </c>
      <c r="R24" s="14">
        <f>_xll.BDH("GILD US Equity","SHORT_TERM_DEBT_1_YEAR_GROWTH","FQ3 2022","FQ3 2022","Currency=USD","Period=FQ","BEST_FPERIOD_OVERRIDE=FQ","FILING_STATUS=MR","Sort=A","Dates=H","DateFormat=P","Fill=—","Direction=H","UseDPDF=Y")</f>
        <v>-9.5977999999999994</v>
      </c>
      <c r="S24" s="14">
        <f>_xll.BDH("GILD US Equity","SHORT_TERM_DEBT_1_YEAR_GROWTH","FQ4 2022","FQ4 2022","Currency=USD","Period=FQ","BEST_FPERIOD_OVERRIDE=FQ","FILING_STATUS=MR","Sort=A","Dates=H","DateFormat=P","Fill=—","Direction=H","UseDPDF=Y")</f>
        <v>47.433500000000002</v>
      </c>
      <c r="T24" s="14">
        <f>_xll.BDH("GILD US Equity","SHORT_TERM_DEBT_1_YEAR_GROWTH","FQ1 2023","FQ1 2023","Currency=USD","Period=FQ","BEST_FPERIOD_OVERRIDE=FQ","FILING_STATUS=MR","Sort=A","Dates=H","DateFormat=P","Fill=—","Direction=H","UseDPDF=Y")</f>
        <v>122.7317</v>
      </c>
      <c r="U24" s="14">
        <f>_xll.BDH("GILD US Equity","SHORT_TERM_DEBT_1_YEAR_GROWTH","FQ2 2023","FQ2 2023","Currency=USD","Period=FQ","BEST_FPERIOD_OVERRIDE=FQ","FILING_STATUS=MR","Sort=A","Dates=H","DateFormat=P","Fill=—","Direction=H","UseDPDF=Y")</f>
        <v>295.39670000000001</v>
      </c>
      <c r="V24" s="14">
        <f>_xll.BDH("GILD US Equity","SHORT_TERM_DEBT_1_YEAR_GROWTH","FQ3 2023","FQ3 2023","Currency=USD","Period=FQ","BEST_FPERIOD_OVERRIDE=FQ","FILING_STATUS=MR","Sort=A","Dates=H","DateFormat=P","Fill=—","Direction=H","UseDPDF=Y")</f>
        <v>-21.013200000000001</v>
      </c>
      <c r="W24" s="14">
        <f>_xll.BDH("GILD US Equity","SHORT_TERM_DEBT_1_YEAR_GROWTH","FQ4 2023","FQ4 2023","Currency=USD","Period=FQ","BEST_FPERIOD_OVERRIDE=FQ","FILING_STATUS=MR","Sort=A","Dates=H","DateFormat=P","Fill=—","Direction=H","UseDPDF=Y")</f>
        <v>-19.337199999999999</v>
      </c>
      <c r="X24" s="14">
        <f>_xll.BDH("GILD US Equity","SHORT_TERM_DEBT_1_YEAR_GROWTH","FQ1 2024","FQ1 2024","Currency=USD","Period=FQ","BEST_FPERIOD_OVERRIDE=FQ","FILING_STATUS=MR","Sort=A","Dates=H","DateFormat=P","Fill=—","Direction=H","UseDPDF=Y")</f>
        <v>60.622</v>
      </c>
      <c r="Y24" s="14">
        <f>_xll.BDH("GILD US Equity","SHORT_TERM_DEBT_1_YEAR_GROWTH","FQ2 2024","FQ2 2024","Currency=USD","Period=FQ","BEST_FPERIOD_OVERRIDE=FQ","FILING_STATUS=MR","Sort=A","Dates=H","DateFormat=P","Fill=—","Direction=H","UseDPDF=Y")</f>
        <v>-55.164700000000003</v>
      </c>
      <c r="Z24" s="14">
        <f>_xll.BDH("GILD US Equity","SHORT_TERM_DEBT_1_YEAR_GROWTH","FQ3 2024","FQ3 2024","Currency=USD","Period=FQ","BEST_FPERIOD_OVERRIDE=FQ","FILING_STATUS=MR","Sort=A","Dates=H","DateFormat=P","Fill=—","Direction=H","UseDPDF=Y")</f>
        <v>1.0597000000000001</v>
      </c>
      <c r="AA24" s="14">
        <f>_xll.BDH("GILD US Equity","SHORT_TERM_DEBT_1_YEAR_GROWTH","FQ4 2024","FQ4 2024","Currency=USD","Period=FQ","BEST_FPERIOD_OVERRIDE=FQ","FILING_STATUS=MR","Sort=A","Dates=H","DateFormat=P","Fill=—","Direction=H","UseDPDF=Y")</f>
        <v>0.26</v>
      </c>
    </row>
    <row r="25" spans="1:27" x14ac:dyDescent="0.25">
      <c r="A25" s="10" t="s">
        <v>1538</v>
      </c>
      <c r="B25" s="10" t="s">
        <v>1539</v>
      </c>
      <c r="C25" s="14">
        <f>_xll.BDH("GILD US Equity","TOTAL_DEBT_1_YEAR_GROWTH","FQ4 2018","FQ4 2018","Currency=USD","Period=FQ","BEST_FPERIOD_OVERRIDE=FQ","FILING_STATUS=MR","Sort=A","Dates=H","DateFormat=P","Fill=—","Direction=H","UseDPDF=Y")</f>
        <v>-18.543900000000001</v>
      </c>
      <c r="D25" s="14">
        <f>_xll.BDH("GILD US Equity","TOTAL_DEBT_1_YEAR_GROWTH","FQ1 2019","FQ1 2019","Currency=USD","Period=FQ","BEST_FPERIOD_OVERRIDE=FQ","FILING_STATUS=MR","Sort=A","Dates=H","DateFormat=P","Fill=—","Direction=H","UseDPDF=Y")</f>
        <v>-6.7873999999999999</v>
      </c>
      <c r="E25" s="14">
        <f>_xll.BDH("GILD US Equity","TOTAL_DEBT_1_YEAR_GROWTH","FQ2 2019","FQ2 2019","Currency=USD","Period=FQ","BEST_FPERIOD_OVERRIDE=FQ","FILING_STATUS=MR","Sort=A","Dates=H","DateFormat=P","Fill=—","Direction=H","UseDPDF=Y")</f>
        <v>-8.3378999999999994</v>
      </c>
      <c r="F25" s="14">
        <f>_xll.BDH("GILD US Equity","TOTAL_DEBT_1_YEAR_GROWTH","FQ3 2019","FQ3 2019","Currency=USD","Period=FQ","BEST_FPERIOD_OVERRIDE=FQ","FILING_STATUS=MR","Sort=A","Dates=H","DateFormat=P","Fill=—","Direction=H","UseDPDF=Y")</f>
        <v>-7.3837000000000002</v>
      </c>
      <c r="G25" s="14">
        <f>_xll.BDH("GILD US Equity","TOTAL_DEBT_1_YEAR_GROWTH","FQ4 2019","FQ4 2019","Currency=USD","Period=FQ","BEST_FPERIOD_OVERRIDE=FQ","FILING_STATUS=MR","Sort=A","Dates=H","DateFormat=P","Fill=—","Direction=H","UseDPDF=Y")</f>
        <v>-7.3346999999999998</v>
      </c>
      <c r="H25" s="14">
        <f>_xll.BDH("GILD US Equity","TOTAL_DEBT_1_YEAR_GROWTH","FQ1 2020","FQ1 2020","Currency=USD","Period=FQ","BEST_FPERIOD_OVERRIDE=FQ","FILING_STATUS=MR","Sort=A","Dates=H","DateFormat=P","Fill=—","Direction=H","UseDPDF=Y")</f>
        <v>-11.0221</v>
      </c>
      <c r="I25" s="14">
        <f>_xll.BDH("GILD US Equity","TOTAL_DEBT_1_YEAR_GROWTH","FQ2 2020","FQ2 2020","Currency=USD","Period=FQ","BEST_FPERIOD_OVERRIDE=FQ","FILING_STATUS=MR","Sort=A","Dates=H","DateFormat=P","Fill=—","Direction=H","UseDPDF=Y")</f>
        <v>-9.5167999999999999</v>
      </c>
      <c r="J25" s="14">
        <f>_xll.BDH("GILD US Equity","TOTAL_DEBT_1_YEAR_GROWTH","FQ3 2020","FQ3 2020","Currency=USD","Period=FQ","BEST_FPERIOD_OVERRIDE=FQ","FILING_STATUS=MR","Sort=A","Dates=H","DateFormat=P","Fill=—","Direction=H","UseDPDF=Y")</f>
        <v>15.770799999999999</v>
      </c>
      <c r="K25" s="14">
        <f>_xll.BDH("GILD US Equity","TOTAL_DEBT_1_YEAR_GROWTH","FQ4 2020","FQ4 2020","Currency=USD","Period=FQ","BEST_FPERIOD_OVERRIDE=FQ","FILING_STATUS=MR","Sort=A","Dates=H","DateFormat=P","Fill=—","Direction=H","UseDPDF=Y")</f>
        <v>26.854399999999998</v>
      </c>
      <c r="L25" s="14">
        <f>_xll.BDH("GILD US Equity","TOTAL_DEBT_1_YEAR_GROWTH","FQ1 2021","FQ1 2021","Currency=USD","Period=FQ","BEST_FPERIOD_OVERRIDE=FQ","FILING_STATUS=MR","Sort=A","Dates=H","DateFormat=P","Fill=—","Direction=H","UseDPDF=Y")</f>
        <v>25.185700000000001</v>
      </c>
      <c r="M25" s="14">
        <f>_xll.BDH("GILD US Equity","TOTAL_DEBT_1_YEAR_GROWTH","FQ2 2021","FQ2 2021","Currency=USD","Period=FQ","BEST_FPERIOD_OVERRIDE=FQ","FILING_STATUS=MR","Sort=A","Dates=H","DateFormat=P","Fill=—","Direction=H","UseDPDF=Y")</f>
        <v>25.197099999999999</v>
      </c>
      <c r="N25" s="14">
        <f>_xll.BDH("GILD US Equity","TOTAL_DEBT_1_YEAR_GROWTH","FQ3 2021","FQ3 2021","Currency=USD","Period=FQ","BEST_FPERIOD_OVERRIDE=FQ","FILING_STATUS=MR","Sort=A","Dates=H","DateFormat=P","Fill=—","Direction=H","UseDPDF=Y")</f>
        <v>-5.4763000000000002</v>
      </c>
      <c r="O25" s="14">
        <f>_xll.BDH("GILD US Equity","TOTAL_DEBT_1_YEAR_GROWTH","FQ4 2021","FQ4 2021","Currency=USD","Period=FQ","BEST_FPERIOD_OVERRIDE=FQ","FILING_STATUS=MR","Sort=A","Dates=H","DateFormat=P","Fill=—","Direction=H","UseDPDF=Y")</f>
        <v>-15.045</v>
      </c>
      <c r="P25" s="14">
        <f>_xll.BDH("GILD US Equity","TOTAL_DEBT_1_YEAR_GROWTH","FQ1 2022","FQ1 2022","Currency=USD","Period=FQ","BEST_FPERIOD_OVERRIDE=FQ","FILING_STATUS=MR","Sort=A","Dates=H","DateFormat=P","Fill=—","Direction=H","UseDPDF=Y")</f>
        <v>-13.120699999999999</v>
      </c>
      <c r="Q25" s="14">
        <f>_xll.BDH("GILD US Equity","TOTAL_DEBT_1_YEAR_GROWTH","FQ2 2022","FQ2 2022","Currency=USD","Period=FQ","BEST_FPERIOD_OVERRIDE=FQ","FILING_STATUS=MR","Sort=A","Dates=H","DateFormat=P","Fill=—","Direction=H","UseDPDF=Y")</f>
        <v>-13.120100000000001</v>
      </c>
      <c r="R25" s="14">
        <f>_xll.BDH("GILD US Equity","TOTAL_DEBT_1_YEAR_GROWTH","FQ3 2022","FQ3 2022","Currency=USD","Period=FQ","BEST_FPERIOD_OVERRIDE=FQ","FILING_STATUS=MR","Sort=A","Dates=H","DateFormat=P","Fill=—","Direction=H","UseDPDF=Y")</f>
        <v>-8.8962000000000003</v>
      </c>
      <c r="S25" s="14">
        <f>_xll.BDH("GILD US Equity","TOTAL_DEBT_1_YEAR_GROWTH","FQ4 2022","FQ4 2022","Currency=USD","Period=FQ","BEST_FPERIOD_OVERRIDE=FQ","FILING_STATUS=MR","Sort=A","Dates=H","DateFormat=P","Fill=—","Direction=H","UseDPDF=Y")</f>
        <v>-5.4131999999999998</v>
      </c>
      <c r="T25" s="14">
        <f>_xll.BDH("GILD US Equity","TOTAL_DEBT_1_YEAR_GROWTH","FQ1 2023","FQ1 2023","Currency=USD","Period=FQ","BEST_FPERIOD_OVERRIDE=FQ","FILING_STATUS=MR","Sort=A","Dates=H","DateFormat=P","Fill=—","Direction=H","UseDPDF=Y")</f>
        <v>-3.6972999999999998</v>
      </c>
      <c r="U25" s="14">
        <f>_xll.BDH("GILD US Equity","TOTAL_DEBT_1_YEAR_GROWTH","FQ2 2023","FQ2 2023","Currency=USD","Period=FQ","BEST_FPERIOD_OVERRIDE=FQ","FILING_STATUS=MR","Sort=A","Dates=H","DateFormat=P","Fill=—","Direction=H","UseDPDF=Y")</f>
        <v>-3.7</v>
      </c>
      <c r="V25" s="14">
        <f>_xll.BDH("GILD US Equity","TOTAL_DEBT_1_YEAR_GROWTH","FQ3 2023","FQ3 2023","Currency=USD","Period=FQ","BEST_FPERIOD_OVERRIDE=FQ","FILING_STATUS=MR","Sort=A","Dates=H","DateFormat=P","Fill=—","Direction=H","UseDPDF=Y")</f>
        <v>-0.95550000000000002</v>
      </c>
      <c r="W25" s="14">
        <f>_xll.BDH("GILD US Equity","TOTAL_DEBT_1_YEAR_GROWTH","FQ4 2023","FQ4 2023","Currency=USD","Period=FQ","BEST_FPERIOD_OVERRIDE=FQ","FILING_STATUS=MR","Sort=A","Dates=H","DateFormat=P","Fill=—","Direction=H","UseDPDF=Y")</f>
        <v>-0.58120000000000005</v>
      </c>
      <c r="X25" s="14">
        <f>_xll.BDH("GILD US Equity","TOTAL_DEBT_1_YEAR_GROWTH","FQ1 2024","FQ1 2024","Currency=USD","Period=FQ","BEST_FPERIOD_OVERRIDE=FQ","FILING_STATUS=MR","Sort=A","Dates=H","DateFormat=P","Fill=—","Direction=H","UseDPDF=Y")</f>
        <v>-0.17829999999999999</v>
      </c>
      <c r="Y25" s="14">
        <f>_xll.BDH("GILD US Equity","TOTAL_DEBT_1_YEAR_GROWTH","FQ2 2024","FQ2 2024","Currency=USD","Period=FQ","BEST_FPERIOD_OVERRIDE=FQ","FILING_STATUS=MR","Sort=A","Dates=H","DateFormat=P","Fill=—","Direction=H","UseDPDF=Y")</f>
        <v>-7.5101000000000004</v>
      </c>
      <c r="Z25" s="14">
        <f>_xll.BDH("GILD US Equity","TOTAL_DEBT_1_YEAR_GROWTH","FQ3 2024","FQ3 2024","Currency=USD","Period=FQ","BEST_FPERIOD_OVERRIDE=FQ","FILING_STATUS=MR","Sort=A","Dates=H","DateFormat=P","Fill=—","Direction=H","UseDPDF=Y")</f>
        <v>-6.9370000000000003</v>
      </c>
      <c r="AA25" s="14">
        <f>_xll.BDH("GILD US Equity","TOTAL_DEBT_1_YEAR_GROWTH","FQ4 2024","FQ4 2024","Currency=USD","Period=FQ","BEST_FPERIOD_OVERRIDE=FQ","FILING_STATUS=MR","Sort=A","Dates=H","DateFormat=P","Fill=—","Direction=H","UseDPDF=Y")</f>
        <v>6.4852999999999996</v>
      </c>
    </row>
    <row r="26" spans="1:27" x14ac:dyDescent="0.25">
      <c r="A26" s="10" t="s">
        <v>118</v>
      </c>
      <c r="B26" s="10" t="s">
        <v>1540</v>
      </c>
      <c r="C26" s="14">
        <f>_xll.BDH("GILD US Equity","TOTAL_EQUITY_1_YEAR_GROWTH","FQ4 2018","FQ4 2018","Currency=USD","Period=FQ","BEST_FPERIOD_OVERRIDE=FQ","FILING_STATUS=MR","Sort=A","Dates=H","DateFormat=P","Fill=—","Direction=H","UseDPDF=Y")</f>
        <v>5.0388000000000002</v>
      </c>
      <c r="D26" s="14">
        <f>_xll.BDH("GILD US Equity","TOTAL_EQUITY_1_YEAR_GROWTH","FQ1 2019","FQ1 2019","Currency=USD","Period=FQ","BEST_FPERIOD_OVERRIDE=FQ","FILING_STATUS=MR","Sort=A","Dates=H","DateFormat=P","Fill=—","Direction=H","UseDPDF=Y")</f>
        <v>6.9729999999999999</v>
      </c>
      <c r="E26" s="14">
        <f>_xll.BDH("GILD US Equity","TOTAL_EQUITY_1_YEAR_GROWTH","FQ2 2019","FQ2 2019","Currency=USD","Period=FQ","BEST_FPERIOD_OVERRIDE=FQ","FILING_STATUS=MR","Sort=A","Dates=H","DateFormat=P","Fill=—","Direction=H","UseDPDF=Y")</f>
        <v>4.6792999999999996</v>
      </c>
      <c r="F26" s="14">
        <f>_xll.BDH("GILD US Equity","TOTAL_EQUITY_1_YEAR_GROWTH","FQ3 2019","FQ3 2019","Currency=USD","Period=FQ","BEST_FPERIOD_OVERRIDE=FQ","FILING_STATUS=MR","Sort=A","Dates=H","DateFormat=P","Fill=—","Direction=H","UseDPDF=Y")</f>
        <v>-9.8709000000000007</v>
      </c>
      <c r="G26" s="14">
        <f>_xll.BDH("GILD US Equity","TOTAL_EQUITY_1_YEAR_GROWTH","FQ4 2019","FQ4 2019","Currency=USD","Period=FQ","BEST_FPERIOD_OVERRIDE=FQ","FILING_STATUS=MR","Sort=A","Dates=H","DateFormat=P","Fill=—","Direction=H","UseDPDF=Y")</f>
        <v>5.1825000000000001</v>
      </c>
      <c r="H26" s="14">
        <f>_xll.BDH("GILD US Equity","TOTAL_EQUITY_1_YEAR_GROWTH","FQ1 2020","FQ1 2020","Currency=USD","Period=FQ","BEST_FPERIOD_OVERRIDE=FQ","FILING_STATUS=MR","Sort=A","Dates=H","DateFormat=P","Fill=—","Direction=H","UseDPDF=Y")</f>
        <v>0.39839999999999998</v>
      </c>
      <c r="I26" s="14">
        <f>_xll.BDH("GILD US Equity","TOTAL_EQUITY_1_YEAR_GROWTH","FQ2 2020","FQ2 2020","Currency=USD","Period=FQ","BEST_FPERIOD_OVERRIDE=FQ","FILING_STATUS=MR","Sort=A","Dates=H","DateFormat=P","Fill=—","Direction=H","UseDPDF=Y")</f>
        <v>-20.258500000000002</v>
      </c>
      <c r="J26" s="14">
        <f>_xll.BDH("GILD US Equity","TOTAL_EQUITY_1_YEAR_GROWTH","FQ3 2020","FQ3 2020","Currency=USD","Period=FQ","BEST_FPERIOD_OVERRIDE=FQ","FILING_STATUS=MR","Sort=A","Dates=H","DateFormat=P","Fill=—","Direction=H","UseDPDF=Y")</f>
        <v>-15.7456</v>
      </c>
      <c r="K26" s="14">
        <f>_xll.BDH("GILD US Equity","TOTAL_EQUITY_1_YEAR_GROWTH","FQ4 2020","FQ4 2020","Currency=USD","Period=FQ","BEST_FPERIOD_OVERRIDE=FQ","FILING_STATUS=MR","Sort=A","Dates=H","DateFormat=P","Fill=—","Direction=H","UseDPDF=Y")</f>
        <v>-19.554099999999998</v>
      </c>
      <c r="L26" s="14">
        <f>_xll.BDH("GILD US Equity","TOTAL_EQUITY_1_YEAR_GROWTH","FQ1 2021","FQ1 2021","Currency=USD","Period=FQ","BEST_FPERIOD_OVERRIDE=FQ","FILING_STATUS=MR","Sort=A","Dates=H","DateFormat=P","Fill=—","Direction=H","UseDPDF=Y")</f>
        <v>-14.495699999999999</v>
      </c>
      <c r="M26" s="14">
        <f>_xll.BDH("GILD US Equity","TOTAL_EQUITY_1_YEAR_GROWTH","FQ2 2021","FQ2 2021","Currency=USD","Period=FQ","BEST_FPERIOD_OVERRIDE=FQ","FILING_STATUS=MR","Sort=A","Dates=H","DateFormat=P","Fill=—","Direction=H","UseDPDF=Y")</f>
        <v>8.6428999999999991</v>
      </c>
      <c r="N26" s="14">
        <f>_xll.BDH("GILD US Equity","TOTAL_EQUITY_1_YEAR_GROWTH","FQ3 2021","FQ3 2021","Currency=USD","Period=FQ","BEST_FPERIOD_OVERRIDE=FQ","FILING_STATUS=MR","Sort=A","Dates=H","DateFormat=P","Fill=—","Direction=H","UseDPDF=Y")</f>
        <v>22.895099999999999</v>
      </c>
      <c r="O26" s="14">
        <f>_xll.BDH("GILD US Equity","TOTAL_EQUITY_1_YEAR_GROWTH","FQ4 2021","FQ4 2021","Currency=USD","Period=FQ","BEST_FPERIOD_OVERRIDE=FQ","FILING_STATUS=MR","Sort=A","Dates=H","DateFormat=P","Fill=—","Direction=H","UseDPDF=Y")</f>
        <v>15.6029</v>
      </c>
      <c r="P26" s="14">
        <f>_xll.BDH("GILD US Equity","TOTAL_EQUITY_1_YEAR_GROWTH","FQ1 2022","FQ1 2022","Currency=USD","Period=FQ","BEST_FPERIOD_OVERRIDE=FQ","FILING_STATUS=MR","Sort=A","Dates=H","DateFormat=P","Fill=—","Direction=H","UseDPDF=Y")</f>
        <v>5.0148000000000001</v>
      </c>
      <c r="Q26" s="14">
        <f>_xll.BDH("GILD US Equity","TOTAL_EQUITY_1_YEAR_GROWTH","FQ2 2022","FQ2 2022","Currency=USD","Period=FQ","BEST_FPERIOD_OVERRIDE=FQ","FILING_STATUS=MR","Sort=A","Dates=H","DateFormat=P","Fill=—","Direction=H","UseDPDF=Y")</f>
        <v>2.5621999999999998</v>
      </c>
      <c r="R26" s="14">
        <f>_xll.BDH("GILD US Equity","TOTAL_EQUITY_1_YEAR_GROWTH","FQ3 2022","FQ3 2022","Currency=USD","Period=FQ","BEST_FPERIOD_OVERRIDE=FQ","FILING_STATUS=MR","Sort=A","Dates=H","DateFormat=P","Fill=—","Direction=H","UseDPDF=Y")</f>
        <v>-1.9281999999999999</v>
      </c>
      <c r="S26" s="14">
        <f>_xll.BDH("GILD US Equity","TOTAL_EQUITY_1_YEAR_GROWTH","FQ4 2022","FQ4 2022","Currency=USD","Period=FQ","BEST_FPERIOD_OVERRIDE=FQ","FILING_STATUS=MR","Sort=A","Dates=H","DateFormat=P","Fill=—","Direction=H","UseDPDF=Y")</f>
        <v>0.68840000000000001</v>
      </c>
      <c r="T26" s="14">
        <f>_xll.BDH("GILD US Equity","TOTAL_EQUITY_1_YEAR_GROWTH","FQ1 2023","FQ1 2023","Currency=USD","Period=FQ","BEST_FPERIOD_OVERRIDE=FQ","FILING_STATUS=MR","Sort=A","Dates=H","DateFormat=P","Fill=—","Direction=H","UseDPDF=Y")</f>
        <v>5.1418999999999997</v>
      </c>
      <c r="U26" s="14">
        <f>_xll.BDH("GILD US Equity","TOTAL_EQUITY_1_YEAR_GROWTH","FQ2 2023","FQ2 2023","Currency=USD","Period=FQ","BEST_FPERIOD_OVERRIDE=FQ","FILING_STATUS=MR","Sort=A","Dates=H","DateFormat=P","Fill=—","Direction=H","UseDPDF=Y")</f>
        <v>4.3483000000000001</v>
      </c>
      <c r="V26" s="14">
        <f>_xll.BDH("GILD US Equity","TOTAL_EQUITY_1_YEAR_GROWTH","FQ3 2023","FQ3 2023","Currency=USD","Period=FQ","BEST_FPERIOD_OVERRIDE=FQ","FILING_STATUS=MR","Sort=A","Dates=H","DateFormat=P","Fill=—","Direction=H","UseDPDF=Y")</f>
        <v>5.6322999999999999</v>
      </c>
      <c r="W26" s="14">
        <f>_xll.BDH("GILD US Equity","TOTAL_EQUITY_1_YEAR_GROWTH","FQ4 2023","FQ4 2023","Currency=USD","Period=FQ","BEST_FPERIOD_OVERRIDE=FQ","FILING_STATUS=MR","Sort=A","Dates=H","DateFormat=P","Fill=—","Direction=H","UseDPDF=Y")</f>
        <v>7.2610999999999999</v>
      </c>
      <c r="X26" s="14">
        <f>_xll.BDH("GILD US Equity","TOTAL_EQUITY_1_YEAR_GROWTH","FQ1 2024","FQ1 2024","Currency=USD","Period=FQ","BEST_FPERIOD_OVERRIDE=FQ","FILING_STATUS=MR","Sort=A","Dates=H","DateFormat=P","Fill=—","Direction=H","UseDPDF=Y")</f>
        <v>-16.6388</v>
      </c>
      <c r="Y26" s="14">
        <f>_xll.BDH("GILD US Equity","TOTAL_EQUITY_1_YEAR_GROWTH","FQ2 2024","FQ2 2024","Currency=USD","Period=FQ","BEST_FPERIOD_OVERRIDE=FQ","FILING_STATUS=MR","Sort=A","Dates=H","DateFormat=P","Fill=—","Direction=H","UseDPDF=Y")</f>
        <v>-13.7338</v>
      </c>
      <c r="Z26" s="14">
        <f>_xll.BDH("GILD US Equity","TOTAL_EQUITY_1_YEAR_GROWTH","FQ3 2024","FQ3 2024","Currency=USD","Period=FQ","BEST_FPERIOD_OVERRIDE=FQ","FILING_STATUS=MR","Sort=A","Dates=H","DateFormat=P","Fill=—","Direction=H","UseDPDF=Y")</f>
        <v>-17.322299999999998</v>
      </c>
      <c r="AA26" s="14">
        <f>_xll.BDH("GILD US Equity","TOTAL_EQUITY_1_YEAR_GROWTH","FQ4 2024","FQ4 2024","Currency=USD","Period=FQ","BEST_FPERIOD_OVERRIDE=FQ","FILING_STATUS=MR","Sort=A","Dates=H","DateFormat=P","Fill=—","Direction=H","UseDPDF=Y")</f>
        <v>-15.3985</v>
      </c>
    </row>
    <row r="27" spans="1:27" x14ac:dyDescent="0.25">
      <c r="A27" s="10" t="s">
        <v>1541</v>
      </c>
      <c r="B27" s="10" t="s">
        <v>1542</v>
      </c>
      <c r="C27" s="14">
        <f>_xll.BDH("GILD US Equity","GROWTH_IN_CAP","FQ4 2018","FQ4 2018","Currency=USD","Period=FQ","BEST_FPERIOD_OVERRIDE=FQ","FILING_STATUS=MR","Sort=A","Dates=H","DateFormat=P","Fill=—","Direction=H","UseDPDF=Y")</f>
        <v>-9.5978999999999992</v>
      </c>
      <c r="D27" s="14">
        <f>_xll.BDH("GILD US Equity","GROWTH_IN_CAP","FQ1 2019","FQ1 2019","Currency=USD","Period=FQ","BEST_FPERIOD_OVERRIDE=FQ","FILING_STATUS=MR","Sort=A","Dates=H","DateFormat=P","Fill=—","Direction=H","UseDPDF=Y")</f>
        <v>-1.0703</v>
      </c>
      <c r="E27" s="14">
        <f>_xll.BDH("GILD US Equity","GROWTH_IN_CAP","FQ2 2019","FQ2 2019","Currency=USD","Period=FQ","BEST_FPERIOD_OVERRIDE=FQ","FILING_STATUS=MR","Sort=A","Dates=H","DateFormat=P","Fill=—","Direction=H","UseDPDF=Y")</f>
        <v>-2.7679999999999998</v>
      </c>
      <c r="F27" s="14">
        <f>_xll.BDH("GILD US Equity","GROWTH_IN_CAP","FQ3 2019","FQ3 2019","Currency=USD","Period=FQ","BEST_FPERIOD_OVERRIDE=FQ","FILING_STATUS=MR","Sort=A","Dates=H","DateFormat=P","Fill=—","Direction=H","UseDPDF=Y")</f>
        <v>-8.5207999999999995</v>
      </c>
      <c r="G27" s="14">
        <f>_xll.BDH("GILD US Equity","GROWTH_IN_CAP","FQ4 2019","FQ4 2019","Currency=USD","Period=FQ","BEST_FPERIOD_OVERRIDE=FQ","FILING_STATUS=MR","Sort=A","Dates=H","DateFormat=P","Fill=—","Direction=H","UseDPDF=Y")</f>
        <v>-1.8176000000000001</v>
      </c>
      <c r="H27" s="14">
        <f>_xll.BDH("GILD US Equity","GROWTH_IN_CAP","FQ1 2020","FQ1 2020","Currency=USD","Period=FQ","BEST_FPERIOD_OVERRIDE=FQ","FILING_STATUS=MR","Sort=A","Dates=H","DateFormat=P","Fill=—","Direction=H","UseDPDF=Y")</f>
        <v>-5.8914</v>
      </c>
      <c r="I27" s="14">
        <f>_xll.BDH("GILD US Equity","GROWTH_IN_CAP","FQ2 2020","FQ2 2020","Currency=USD","Period=FQ","BEST_FPERIOD_OVERRIDE=FQ","FILING_STATUS=MR","Sort=A","Dates=H","DateFormat=P","Fill=—","Direction=H","UseDPDF=Y")</f>
        <v>-14.4651</v>
      </c>
      <c r="J27" s="14">
        <f>_xll.BDH("GILD US Equity","GROWTH_IN_CAP","FQ3 2020","FQ3 2020","Currency=USD","Period=FQ","BEST_FPERIOD_OVERRIDE=FQ","FILING_STATUS=MR","Sort=A","Dates=H","DateFormat=P","Fill=—","Direction=H","UseDPDF=Y")</f>
        <v>1.5749</v>
      </c>
      <c r="K27" s="14">
        <f>_xll.BDH("GILD US Equity","GROWTH_IN_CAP","FQ4 2020","FQ4 2020","Currency=USD","Period=FQ","BEST_FPERIOD_OVERRIDE=FQ","FILING_STATUS=MR","Sort=A","Dates=H","DateFormat=P","Fill=—","Direction=H","UseDPDF=Y")</f>
        <v>4.9408000000000003</v>
      </c>
      <c r="L27" s="14">
        <f>_xll.BDH("GILD US Equity","GROWTH_IN_CAP","FQ1 2021","FQ1 2021","Currency=USD","Period=FQ","BEST_FPERIOD_OVERRIDE=FQ","FILING_STATUS=MR","Sort=A","Dates=H","DateFormat=P","Fill=—","Direction=H","UseDPDF=Y")</f>
        <v>6.1673</v>
      </c>
      <c r="M27" s="14">
        <f>_xll.BDH("GILD US Equity","GROWTH_IN_CAP","FQ2 2021","FQ2 2021","Currency=USD","Period=FQ","BEST_FPERIOD_OVERRIDE=FQ","FILING_STATUS=MR","Sort=A","Dates=H","DateFormat=P","Fill=—","Direction=H","UseDPDF=Y")</f>
        <v>18.087800000000001</v>
      </c>
      <c r="N27" s="14">
        <f>_xll.BDH("GILD US Equity","GROWTH_IN_CAP","FQ3 2021","FQ3 2021","Currency=USD","Period=FQ","BEST_FPERIOD_OVERRIDE=FQ","FILING_STATUS=MR","Sort=A","Dates=H","DateFormat=P","Fill=—","Direction=H","UseDPDF=Y")</f>
        <v>5.1238999999999999</v>
      </c>
      <c r="O27" s="14">
        <f>_xll.BDH("GILD US Equity","GROWTH_IN_CAP","FQ4 2021","FQ4 2021","Currency=USD","Period=FQ","BEST_FPERIOD_OVERRIDE=FQ","FILING_STATUS=MR","Sort=A","Dates=H","DateFormat=P","Fill=—","Direction=H","UseDPDF=Y")</f>
        <v>-3.9512999999999998</v>
      </c>
      <c r="P27" s="14">
        <f>_xll.BDH("GILD US Equity","GROWTH_IN_CAP","FQ1 2022","FQ1 2022","Currency=USD","Period=FQ","BEST_FPERIOD_OVERRIDE=FQ","FILING_STATUS=MR","Sort=A","Dates=H","DateFormat=P","Fill=—","Direction=H","UseDPDF=Y")</f>
        <v>-6.1204999999999998</v>
      </c>
      <c r="Q27" s="14">
        <f>_xll.BDH("GILD US Equity","GROWTH_IN_CAP","FQ2 2022","FQ2 2022","Currency=USD","Period=FQ","BEST_FPERIOD_OVERRIDE=FQ","FILING_STATUS=MR","Sort=A","Dates=H","DateFormat=P","Fill=—","Direction=H","UseDPDF=Y")</f>
        <v>-6.9238999999999997</v>
      </c>
      <c r="R27" s="14">
        <f>_xll.BDH("GILD US Equity","GROWTH_IN_CAP","FQ3 2022","FQ3 2022","Currency=USD","Period=FQ","BEST_FPERIOD_OVERRIDE=FQ","FILING_STATUS=MR","Sort=A","Dates=H","DateFormat=P","Fill=—","Direction=H","UseDPDF=Y")</f>
        <v>-5.8526999999999996</v>
      </c>
      <c r="S27" s="14">
        <f>_xll.BDH("GILD US Equity","GROWTH_IN_CAP","FQ4 2022","FQ4 2022","Currency=USD","Period=FQ","BEST_FPERIOD_OVERRIDE=FQ","FILING_STATUS=MR","Sort=A","Dates=H","DateFormat=P","Fill=—","Direction=H","UseDPDF=Y")</f>
        <v>-2.7549999999999999</v>
      </c>
      <c r="T27" s="14">
        <f>_xll.BDH("GILD US Equity","GROWTH_IN_CAP","FQ1 2023","FQ1 2023","Currency=USD","Period=FQ","BEST_FPERIOD_OVERRIDE=FQ","FILING_STATUS=MR","Sort=A","Dates=H","DateFormat=P","Fill=—","Direction=H","UseDPDF=Y")</f>
        <v>0.1192</v>
      </c>
      <c r="U27" s="14">
        <f>_xll.BDH("GILD US Equity","GROWTH_IN_CAP","FQ2 2023","FQ2 2023","Currency=USD","Period=FQ","BEST_FPERIOD_OVERRIDE=FQ","FILING_STATUS=MR","Sort=A","Dates=H","DateFormat=P","Fill=—","Direction=H","UseDPDF=Y")</f>
        <v>-0.19600000000000001</v>
      </c>
      <c r="V27" s="14">
        <f>_xll.BDH("GILD US Equity","GROWTH_IN_CAP","FQ3 2023","FQ3 2023","Currency=USD","Period=FQ","BEST_FPERIOD_OVERRIDE=FQ","FILING_STATUS=MR","Sort=A","Dates=H","DateFormat=P","Fill=—","Direction=H","UseDPDF=Y")</f>
        <v>2.0419</v>
      </c>
      <c r="W27" s="14">
        <f>_xll.BDH("GILD US Equity","GROWTH_IN_CAP","FQ4 2023","FQ4 2023","Currency=USD","Period=FQ","BEST_FPERIOD_OVERRIDE=FQ","FILING_STATUS=MR","Sort=A","Dates=H","DateFormat=P","Fill=—","Direction=H","UseDPDF=Y")</f>
        <v>2.9563999999999999</v>
      </c>
      <c r="X27" s="14">
        <f>_xll.BDH("GILD US Equity","GROWTH_IN_CAP","FQ1 2024","FQ1 2024","Currency=USD","Period=FQ","BEST_FPERIOD_OVERRIDE=FQ","FILING_STATUS=MR","Sort=A","Dates=H","DateFormat=P","Fill=—","Direction=H","UseDPDF=Y")</f>
        <v>-7.6421999999999999</v>
      </c>
      <c r="Y27" s="14">
        <f>_xll.BDH("GILD US Equity","GROWTH_IN_CAP","FQ2 2024","FQ2 2024","Currency=USD","Period=FQ","BEST_FPERIOD_OVERRIDE=FQ","FILING_STATUS=MR","Sort=A","Dates=H","DateFormat=P","Fill=—","Direction=H","UseDPDF=Y")</f>
        <v>-10.3431</v>
      </c>
      <c r="Z27" s="14">
        <f>_xll.BDH("GILD US Equity","GROWTH_IN_CAP","FQ3 2024","FQ3 2024","Currency=USD","Period=FQ","BEST_FPERIOD_OVERRIDE=FQ","FILING_STATUS=MR","Sort=A","Dates=H","DateFormat=P","Fill=—","Direction=H","UseDPDF=Y")</f>
        <v>-11.8285</v>
      </c>
      <c r="AA27" s="14">
        <f>_xll.BDH("GILD US Equity","GROWTH_IN_CAP","FQ4 2024","FQ4 2024","Currency=USD","Period=FQ","BEST_FPERIOD_OVERRIDE=FQ","FILING_STATUS=MR","Sort=A","Dates=H","DateFormat=P","Fill=—","Direction=H","UseDPDF=Y")</f>
        <v>-3.7989999999999999</v>
      </c>
    </row>
    <row r="28" spans="1:27" x14ac:dyDescent="0.25">
      <c r="A28" s="10" t="s">
        <v>1543</v>
      </c>
      <c r="B28" s="10" t="s">
        <v>1544</v>
      </c>
      <c r="C28" s="14">
        <f>_xll.BDH("GILD US Equity","BVPS_GROWTH","FQ4 2018","FQ4 2018","Currency=USD","Period=FQ","BEST_FPERIOD_OVERRIDE=FQ","FILING_STATUS=MR","Sort=A","Dates=H","DateFormat=P","Fill=—","Direction=H","UseDPDF=Y")</f>
        <v>6.7446999999999999</v>
      </c>
      <c r="D28" s="14">
        <f>_xll.BDH("GILD US Equity","BVPS_GROWTH","FQ1 2019","FQ1 2019","Currency=USD","Period=FQ","BEST_FPERIOD_OVERRIDE=FQ","FILING_STATUS=MR","Sort=A","Dates=H","DateFormat=P","Fill=—","Direction=H","UseDPDF=Y")</f>
        <v>8.7804000000000002</v>
      </c>
      <c r="E28" s="14">
        <f>_xll.BDH("GILD US Equity","BVPS_GROWTH","FQ2 2019","FQ2 2019","Currency=USD","Period=FQ","BEST_FPERIOD_OVERRIDE=FQ","FILING_STATUS=MR","Sort=A","Dates=H","DateFormat=P","Fill=—","Direction=H","UseDPDF=Y")</f>
        <v>6.7443999999999997</v>
      </c>
      <c r="F28" s="14">
        <f>_xll.BDH("GILD US Equity","BVPS_GROWTH","FQ3 2019","FQ3 2019","Currency=USD","Period=FQ","BEST_FPERIOD_OVERRIDE=FQ","FILING_STATUS=MR","Sort=A","Dates=H","DateFormat=P","Fill=—","Direction=H","UseDPDF=Y")</f>
        <v>-7.8794000000000004</v>
      </c>
      <c r="G28" s="14">
        <f>_xll.BDH("GILD US Equity","BVPS_GROWTH","FQ4 2019","FQ4 2019","Currency=USD","Period=FQ","BEST_FPERIOD_OVERRIDE=FQ","FILING_STATUS=MR","Sort=A","Dates=H","DateFormat=P","Fill=—","Direction=H","UseDPDF=Y")</f>
        <v>6.6520999999999999</v>
      </c>
      <c r="H28" s="14">
        <f>_xll.BDH("GILD US Equity","BVPS_GROWTH","FQ1 2020","FQ1 2020","Currency=USD","Period=FQ","BEST_FPERIOD_OVERRIDE=FQ","FILING_STATUS=MR","Sort=A","Dates=H","DateFormat=P","Fill=—","Direction=H","UseDPDF=Y")</f>
        <v>2.1318000000000001</v>
      </c>
      <c r="I28" s="14">
        <f>_xll.BDH("GILD US Equity","BVPS_GROWTH","FQ2 2020","FQ2 2020","Currency=USD","Period=FQ","BEST_FPERIOD_OVERRIDE=FQ","FILING_STATUS=MR","Sort=A","Dates=H","DateFormat=P","Fill=—","Direction=H","UseDPDF=Y")</f>
        <v>-19.464600000000001</v>
      </c>
      <c r="J28" s="14">
        <f>_xll.BDH("GILD US Equity","BVPS_GROWTH","FQ3 2020","FQ3 2020","Currency=USD","Period=FQ","BEST_FPERIOD_OVERRIDE=FQ","FILING_STATUS=MR","Sort=A","Dates=H","DateFormat=P","Fill=—","Direction=H","UseDPDF=Y")</f>
        <v>-14.4535</v>
      </c>
      <c r="K28" s="14">
        <f>_xll.BDH("GILD US Equity","BVPS_GROWTH","FQ4 2020","FQ4 2020","Currency=USD","Period=FQ","BEST_FPERIOD_OVERRIDE=FQ","FILING_STATUS=MR","Sort=A","Dates=H","DateFormat=P","Fill=—","Direction=H","UseDPDF=Y")</f>
        <v>-18.418700000000001</v>
      </c>
      <c r="L28" s="14">
        <f>_xll.BDH("GILD US Equity","BVPS_GROWTH","FQ1 2021","FQ1 2021","Currency=USD","Period=FQ","BEST_FPERIOD_OVERRIDE=FQ","FILING_STATUS=MR","Sort=A","Dates=H","DateFormat=P","Fill=—","Direction=H","UseDPDF=Y")</f>
        <v>-14.116099999999999</v>
      </c>
      <c r="M28" s="14">
        <f>_xll.BDH("GILD US Equity","BVPS_GROWTH","FQ2 2021","FQ2 2021","Currency=USD","Period=FQ","BEST_FPERIOD_OVERRIDE=FQ","FILING_STATUS=MR","Sort=A","Dates=H","DateFormat=P","Fill=—","Direction=H","UseDPDF=Y")</f>
        <v>9.2972000000000001</v>
      </c>
      <c r="N28" s="14">
        <f>_xll.BDH("GILD US Equity","BVPS_GROWTH","FQ3 2021","FQ3 2021","Currency=USD","Period=FQ","BEST_FPERIOD_OVERRIDE=FQ","FILING_STATUS=MR","Sort=A","Dates=H","DateFormat=P","Fill=—","Direction=H","UseDPDF=Y")</f>
        <v>22.8764</v>
      </c>
      <c r="O28" s="14">
        <f>_xll.BDH("GILD US Equity","BVPS_GROWTH","FQ4 2021","FQ4 2021","Currency=USD","Period=FQ","BEST_FPERIOD_OVERRIDE=FQ","FILING_STATUS=MR","Sort=A","Dates=H","DateFormat=P","Fill=—","Direction=H","UseDPDF=Y")</f>
        <v>15.750999999999999</v>
      </c>
      <c r="P28" s="14">
        <f>_xll.BDH("GILD US Equity","BVPS_GROWTH","FQ1 2022","FQ1 2022","Currency=USD","Period=FQ","BEST_FPERIOD_OVERRIDE=FQ","FILING_STATUS=MR","Sort=A","Dates=H","DateFormat=P","Fill=—","Direction=H","UseDPDF=Y")</f>
        <v>5.0608000000000004</v>
      </c>
      <c r="Q28" s="14">
        <f>_xll.BDH("GILD US Equity","BVPS_GROWTH","FQ2 2022","FQ2 2022","Currency=USD","Period=FQ","BEST_FPERIOD_OVERRIDE=FQ","FILING_STATUS=MR","Sort=A","Dates=H","DateFormat=P","Fill=—","Direction=H","UseDPDF=Y")</f>
        <v>2.7052</v>
      </c>
      <c r="R28" s="14">
        <f>_xll.BDH("GILD US Equity","BVPS_GROWTH","FQ3 2022","FQ3 2022","Currency=USD","Period=FQ","BEST_FPERIOD_OVERRIDE=FQ","FILING_STATUS=MR","Sort=A","Dates=H","DateFormat=P","Fill=—","Direction=H","UseDPDF=Y")</f>
        <v>-1.7335</v>
      </c>
      <c r="S28" s="14">
        <f>_xll.BDH("GILD US Equity","BVPS_GROWTH","FQ4 2022","FQ4 2022","Currency=USD","Period=FQ","BEST_FPERIOD_OVERRIDE=FQ","FILING_STATUS=MR","Sort=A","Dates=H","DateFormat=P","Fill=—","Direction=H","UseDPDF=Y")</f>
        <v>1.3774999999999999</v>
      </c>
      <c r="T28" s="14">
        <f>_xll.BDH("GILD US Equity","BVPS_GROWTH","FQ1 2023","FQ1 2023","Currency=USD","Period=FQ","BEST_FPERIOD_OVERRIDE=FQ","FILING_STATUS=MR","Sort=A","Dates=H","DateFormat=P","Fill=—","Direction=H","UseDPDF=Y")</f>
        <v>5.9606000000000003</v>
      </c>
      <c r="U28" s="14">
        <f>_xll.BDH("GILD US Equity","BVPS_GROWTH","FQ2 2023","FQ2 2023","Currency=USD","Period=FQ","BEST_FPERIOD_OVERRIDE=FQ","FILING_STATUS=MR","Sort=A","Dates=H","DateFormat=P","Fill=—","Direction=H","UseDPDF=Y")</f>
        <v>5.1432000000000002</v>
      </c>
      <c r="V28" s="14">
        <f>_xll.BDH("GILD US Equity","BVPS_GROWTH","FQ3 2023","FQ3 2023","Currency=USD","Period=FQ","BEST_FPERIOD_OVERRIDE=FQ","FILING_STATUS=MR","Sort=A","Dates=H","DateFormat=P","Fill=—","Direction=H","UseDPDF=Y")</f>
        <v>6.4478</v>
      </c>
      <c r="W28" s="14">
        <f>_xll.BDH("GILD US Equity","BVPS_GROWTH","FQ4 2023","FQ4 2023","Currency=USD","Period=FQ","BEST_FPERIOD_OVERRIDE=FQ","FILING_STATUS=MR","Sort=A","Dates=H","DateFormat=P","Fill=—","Direction=H","UseDPDF=Y")</f>
        <v>7.5862999999999996</v>
      </c>
      <c r="X28" s="14">
        <f>_xll.BDH("GILD US Equity","BVPS_GROWTH","FQ1 2024","FQ1 2024","Currency=USD","Period=FQ","BEST_FPERIOD_OVERRIDE=FQ","FILING_STATUS=MR","Sort=A","Dates=H","DateFormat=P","Fill=—","Direction=H","UseDPDF=Y")</f>
        <v>-16.334900000000001</v>
      </c>
      <c r="Y28" s="14">
        <f>_xll.BDH("GILD US Equity","BVPS_GROWTH","FQ2 2024","FQ2 2024","Currency=USD","Period=FQ","BEST_FPERIOD_OVERRIDE=FQ","FILING_STATUS=MR","Sort=A","Dates=H","DateFormat=P","Fill=—","Direction=H","UseDPDF=Y")</f>
        <v>-13.5283</v>
      </c>
      <c r="Z28" s="14">
        <f>_xll.BDH("GILD US Equity","BVPS_GROWTH","FQ3 2024","FQ3 2024","Currency=USD","Period=FQ","BEST_FPERIOD_OVERRIDE=FQ","FILING_STATUS=MR","Sort=A","Dates=H","DateFormat=P","Fill=—","Direction=H","UseDPDF=Y")</f>
        <v>-17.1462</v>
      </c>
      <c r="AA28" s="14">
        <f>_xll.BDH("GILD US Equity","BVPS_GROWTH","FQ4 2024","FQ4 2024","Currency=USD","Period=FQ","BEST_FPERIOD_OVERRIDE=FQ","FILING_STATUS=MR","Sort=A","Dates=H","DateFormat=P","Fill=—","Direction=H","UseDPDF=Y")</f>
        <v>-15.341799999999999</v>
      </c>
    </row>
    <row r="29" spans="1:27" x14ac:dyDescent="0.25">
      <c r="A29" s="10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5">
      <c r="A30" s="10" t="s">
        <v>124</v>
      </c>
      <c r="B30" s="10" t="s">
        <v>1545</v>
      </c>
      <c r="C30" s="14">
        <f>_xll.BDH("GILD US Equity","CASH_FLOW_GROWTH","FQ4 2018","FQ4 2018","Currency=USD","Period=FQ","BEST_FPERIOD_OVERRIDE=FQ","FILING_STATUS=MR","Sort=A","Dates=H","DateFormat=P","Fill=—","Direction=H","UseDPDF=Y")</f>
        <v>-14.8202</v>
      </c>
      <c r="D30" s="14">
        <f>_xll.BDH("GILD US Equity","CASH_FLOW_GROWTH","FQ1 2019","FQ1 2019","Currency=USD","Period=FQ","BEST_FPERIOD_OVERRIDE=FQ","FILING_STATUS=MR","Sort=A","Dates=H","DateFormat=P","Fill=—","Direction=H","UseDPDF=Y")</f>
        <v>-36.387700000000002</v>
      </c>
      <c r="E30" s="14">
        <f>_xll.BDH("GILD US Equity","CASH_FLOW_GROWTH","FQ2 2019","FQ2 2019","Currency=USD","Period=FQ","BEST_FPERIOD_OVERRIDE=FQ","FILING_STATUS=MR","Sort=A","Dates=H","DateFormat=P","Fill=—","Direction=H","UseDPDF=Y")</f>
        <v>48.887500000000003</v>
      </c>
      <c r="F30" s="14">
        <f>_xll.BDH("GILD US Equity","CASH_FLOW_GROWTH","FQ3 2019","FQ3 2019","Currency=USD","Period=FQ","BEST_FPERIOD_OVERRIDE=FQ","FILING_STATUS=MR","Sort=A","Dates=H","DateFormat=P","Fill=—","Direction=H","UseDPDF=Y")</f>
        <v>31.0579</v>
      </c>
      <c r="G30" s="14">
        <f>_xll.BDH("GILD US Equity","CASH_FLOW_GROWTH","FQ4 2019","FQ4 2019","Currency=USD","Period=FQ","BEST_FPERIOD_OVERRIDE=FQ","FILING_STATUS=MR","Sort=A","Dates=H","DateFormat=P","Fill=—","Direction=H","UseDPDF=Y")</f>
        <v>10.0213</v>
      </c>
      <c r="H30" s="14">
        <f>_xll.BDH("GILD US Equity","CASH_FLOW_GROWTH","FQ1 2020","FQ1 2020","Currency=USD","Period=FQ","BEST_FPERIOD_OVERRIDE=FQ","FILING_STATUS=MR","Sort=A","Dates=H","DateFormat=P","Fill=—","Direction=H","UseDPDF=Y")</f>
        <v>-0.55400000000000005</v>
      </c>
      <c r="I30" s="14">
        <f>_xll.BDH("GILD US Equity","CASH_FLOW_GROWTH","FQ2 2020","FQ2 2020","Currency=USD","Period=FQ","BEST_FPERIOD_OVERRIDE=FQ","FILING_STATUS=MR","Sort=A","Dates=H","DateFormat=P","Fill=—","Direction=H","UseDPDF=Y")</f>
        <v>9.5645000000000007</v>
      </c>
      <c r="J30" s="14">
        <f>_xll.BDH("GILD US Equity","CASH_FLOW_GROWTH","FQ3 2020","FQ3 2020","Currency=USD","Period=FQ","BEST_FPERIOD_OVERRIDE=FQ","FILING_STATUS=MR","Sort=A","Dates=H","DateFormat=P","Fill=—","Direction=H","UseDPDF=Y")</f>
        <v>-22.387</v>
      </c>
      <c r="K30" s="14">
        <f>_xll.BDH("GILD US Equity","CASH_FLOW_GROWTH","FQ4 2020","FQ4 2020","Currency=USD","Period=FQ","BEST_FPERIOD_OVERRIDE=FQ","FILING_STATUS=MR","Sort=A","Dates=H","DateFormat=P","Fill=—","Direction=H","UseDPDF=Y")</f>
        <v>-25.7364</v>
      </c>
      <c r="L30" s="14">
        <f>_xll.BDH("GILD US Equity","CASH_FLOW_GROWTH","FQ1 2021","FQ1 2021","Currency=USD","Period=FQ","BEST_FPERIOD_OVERRIDE=FQ","FILING_STATUS=MR","Sort=A","Dates=H","DateFormat=P","Fill=—","Direction=H","UseDPDF=Y")</f>
        <v>81.754900000000006</v>
      </c>
      <c r="M30" s="14">
        <f>_xll.BDH("GILD US Equity","CASH_FLOW_GROWTH","FQ2 2021","FQ2 2021","Currency=USD","Period=FQ","BEST_FPERIOD_OVERRIDE=FQ","FILING_STATUS=MR","Sort=A","Dates=H","DateFormat=P","Fill=—","Direction=H","UseDPDF=Y")</f>
        <v>-9.7428000000000008</v>
      </c>
      <c r="N30" s="14">
        <f>_xll.BDH("GILD US Equity","CASH_FLOW_GROWTH","FQ3 2021","FQ3 2021","Currency=USD","Period=FQ","BEST_FPERIOD_OVERRIDE=FQ","FILING_STATUS=MR","Sort=A","Dates=H","DateFormat=P","Fill=—","Direction=H","UseDPDF=Y")</f>
        <v>44.577800000000003</v>
      </c>
      <c r="O30" s="14">
        <f>_xll.BDH("GILD US Equity","CASH_FLOW_GROWTH","FQ4 2021","FQ4 2021","Currency=USD","Period=FQ","BEST_FPERIOD_OVERRIDE=FQ","FILING_STATUS=MR","Sort=A","Dates=H","DateFormat=P","Fill=—","Direction=H","UseDPDF=Y")</f>
        <v>67.275599999999997</v>
      </c>
      <c r="P30" s="14">
        <f>_xll.BDH("GILD US Equity","CASH_FLOW_GROWTH","FQ1 2022","FQ1 2022","Currency=USD","Period=FQ","BEST_FPERIOD_OVERRIDE=FQ","FILING_STATUS=MR","Sort=A","Dates=H","DateFormat=P","Fill=—","Direction=H","UseDPDF=Y")</f>
        <v>-29.501899999999999</v>
      </c>
      <c r="Q30" s="14">
        <f>_xll.BDH("GILD US Equity","CASH_FLOW_GROWTH","FQ2 2022","FQ2 2022","Currency=USD","Period=FQ","BEST_FPERIOD_OVERRIDE=FQ","FILING_STATUS=MR","Sort=A","Dates=H","DateFormat=P","Fill=—","Direction=H","UseDPDF=Y")</f>
        <v>-22.1934</v>
      </c>
      <c r="R30" s="14">
        <f>_xll.BDH("GILD US Equity","CASH_FLOW_GROWTH","FQ3 2022","FQ3 2022","Currency=USD","Period=FQ","BEST_FPERIOD_OVERRIDE=FQ","FILING_STATUS=MR","Sort=A","Dates=H","DateFormat=P","Fill=—","Direction=H","UseDPDF=Y")</f>
        <v>-11.988899999999999</v>
      </c>
      <c r="S30" s="14">
        <f>_xll.BDH("GILD US Equity","CASH_FLOW_GROWTH","FQ4 2022","FQ4 2022","Currency=USD","Period=FQ","BEST_FPERIOD_OVERRIDE=FQ","FILING_STATUS=MR","Sort=A","Dates=H","DateFormat=P","Fill=—","Direction=H","UseDPDF=Y")</f>
        <v>-19.906400000000001</v>
      </c>
      <c r="T30" s="14">
        <f>_xll.BDH("GILD US Equity","CASH_FLOW_GROWTH","FQ1 2023","FQ1 2023","Currency=USD","Period=FQ","BEST_FPERIOD_OVERRIDE=FQ","FILING_STATUS=MR","Sort=A","Dates=H","DateFormat=P","Fill=—","Direction=H","UseDPDF=Y")</f>
        <v>-5.2173999999999996</v>
      </c>
      <c r="U30" s="14">
        <f>_xll.BDH("GILD US Equity","CASH_FLOW_GROWTH","FQ2 2023","FQ2 2023","Currency=USD","Period=FQ","BEST_FPERIOD_OVERRIDE=FQ","FILING_STATUS=MR","Sort=A","Dates=H","DateFormat=P","Fill=—","Direction=H","UseDPDF=Y")</f>
        <v>29.744700000000002</v>
      </c>
      <c r="V30" s="14">
        <f>_xll.BDH("GILD US Equity","CASH_FLOW_GROWTH","FQ3 2023","FQ3 2023","Currency=USD","Period=FQ","BEST_FPERIOD_OVERRIDE=FQ","FILING_STATUS=MR","Sort=A","Dates=H","DateFormat=P","Fill=—","Direction=H","UseDPDF=Y")</f>
        <v>-38.700699999999998</v>
      </c>
      <c r="W30" s="14">
        <f>_xll.BDH("GILD US Equity","CASH_FLOW_GROWTH","FQ4 2023","FQ4 2023","Currency=USD","Period=FQ","BEST_FPERIOD_OVERRIDE=FQ","FILING_STATUS=MR","Sort=A","Dates=H","DateFormat=P","Fill=—","Direction=H","UseDPDF=Y")</f>
        <v>-15.5045</v>
      </c>
      <c r="X30" s="14">
        <f>_xll.BDH("GILD US Equity","CASH_FLOW_GROWTH","FQ1 2024","FQ1 2024","Currency=USD","Period=FQ","BEST_FPERIOD_OVERRIDE=FQ","FILING_STATUS=MR","Sort=A","Dates=H","DateFormat=P","Fill=—","Direction=H","UseDPDF=Y")</f>
        <v>27.2362</v>
      </c>
      <c r="Y30" s="14">
        <f>_xll.BDH("GILD US Equity","CASH_FLOW_GROWTH","FQ2 2024","FQ2 2024","Currency=USD","Period=FQ","BEST_FPERIOD_OVERRIDE=FQ","FILING_STATUS=MR","Sort=A","Dates=H","DateFormat=P","Fill=—","Direction=H","UseDPDF=Y")</f>
        <v>-43.327599999999997</v>
      </c>
      <c r="Z30" s="14">
        <f>_xll.BDH("GILD US Equity","CASH_FLOW_GROWTH","FQ3 2024","FQ3 2024","Currency=USD","Period=FQ","BEST_FPERIOD_OVERRIDE=FQ","FILING_STATUS=MR","Sort=A","Dates=H","DateFormat=P","Fill=—","Direction=H","UseDPDF=Y")</f>
        <v>145.52709999999999</v>
      </c>
      <c r="AA30" s="14">
        <f>_xll.BDH("GILD US Equity","CASH_FLOW_GROWTH","FQ4 2024","FQ4 2024","Currency=USD","Period=FQ","BEST_FPERIOD_OVERRIDE=FQ","FILING_STATUS=MR","Sort=A","Dates=H","DateFormat=P","Fill=—","Direction=H","UseDPDF=Y")</f>
        <v>37.159999999999997</v>
      </c>
    </row>
    <row r="31" spans="1:27" x14ac:dyDescent="0.25">
      <c r="A31" s="10" t="s">
        <v>86</v>
      </c>
      <c r="B31" s="10" t="s">
        <v>1546</v>
      </c>
      <c r="C31" s="14">
        <f>_xll.BDH("GILD US Equity","TOT_CAP_EXPEND_GROWTH","FQ4 2018","FQ4 2018","Currency=USD","Period=FQ","BEST_FPERIOD_OVERRIDE=FQ","FILING_STATUS=MR","Sort=A","Dates=H","DateFormat=P","Fill=—","Direction=H","UseDPDF=Y")</f>
        <v>12.7273</v>
      </c>
      <c r="D31" s="14">
        <f>_xll.BDH("GILD US Equity","TOT_CAP_EXPEND_GROWTH","FQ1 2019","FQ1 2019","Currency=USD","Period=FQ","BEST_FPERIOD_OVERRIDE=FQ","FILING_STATUS=MR","Sort=A","Dates=H","DateFormat=P","Fill=—","Direction=H","UseDPDF=Y")</f>
        <v>11.7925</v>
      </c>
      <c r="E31" s="14">
        <f>_xll.BDH("GILD US Equity","TOT_CAP_EXPEND_GROWTH","FQ2 2019","FQ2 2019","Currency=USD","Period=FQ","BEST_FPERIOD_OVERRIDE=FQ","FILING_STATUS=MR","Sort=A","Dates=H","DateFormat=P","Fill=—","Direction=H","UseDPDF=Y")</f>
        <v>-37.7104</v>
      </c>
      <c r="F31" s="14">
        <f>_xll.BDH("GILD US Equity","TOT_CAP_EXPEND_GROWTH","FQ3 2019","FQ3 2019","Currency=USD","Period=FQ","BEST_FPERIOD_OVERRIDE=FQ","FILING_STATUS=MR","Sort=A","Dates=H","DateFormat=P","Fill=—","Direction=H","UseDPDF=Y")</f>
        <v>19.7605</v>
      </c>
      <c r="G31" s="14">
        <f>_xll.BDH("GILD US Equity","TOT_CAP_EXPEND_GROWTH","FQ4 2019","FQ4 2019","Currency=USD","Period=FQ","BEST_FPERIOD_OVERRIDE=FQ","FILING_STATUS=MR","Sort=A","Dates=H","DateFormat=P","Fill=—","Direction=H","UseDPDF=Y")</f>
        <v>-18.145199999999999</v>
      </c>
      <c r="H31" s="14">
        <f>_xll.BDH("GILD US Equity","TOT_CAP_EXPEND_GROWTH","FQ1 2020","FQ1 2020","Currency=USD","Period=FQ","BEST_FPERIOD_OVERRIDE=FQ","FILING_STATUS=MR","Sort=A","Dates=H","DateFormat=P","Fill=—","Direction=H","UseDPDF=Y")</f>
        <v>-27.848099999999999</v>
      </c>
      <c r="I31" s="14">
        <f>_xll.BDH("GILD US Equity","TOT_CAP_EXPEND_GROWTH","FQ2 2020","FQ2 2020","Currency=USD","Period=FQ","BEST_FPERIOD_OVERRIDE=FQ","FILING_STATUS=MR","Sort=A","Dates=H","DateFormat=P","Fill=—","Direction=H","UseDPDF=Y")</f>
        <v>-22.7027</v>
      </c>
      <c r="J31" s="14">
        <f>_xll.BDH("GILD US Equity","TOT_CAP_EXPEND_GROWTH","FQ3 2020","FQ3 2020","Currency=USD","Period=FQ","BEST_FPERIOD_OVERRIDE=FQ","FILING_STATUS=MR","Sort=A","Dates=H","DateFormat=P","Fill=—","Direction=H","UseDPDF=Y")</f>
        <v>-22.5</v>
      </c>
      <c r="K31" s="14">
        <f>_xll.BDH("GILD US Equity","TOT_CAP_EXPEND_GROWTH","FQ4 2020","FQ4 2020","Currency=USD","Period=FQ","BEST_FPERIOD_OVERRIDE=FQ","FILING_STATUS=MR","Sort=A","Dates=H","DateFormat=P","Fill=—","Direction=H","UseDPDF=Y")</f>
        <v>-10.837400000000001</v>
      </c>
      <c r="L31" s="14">
        <f>_xll.BDH("GILD US Equity","TOT_CAP_EXPEND_GROWTH","FQ1 2021","FQ1 2021","Currency=USD","Period=FQ","BEST_FPERIOD_OVERRIDE=FQ","FILING_STATUS=MR","Sort=A","Dates=H","DateFormat=P","Fill=—","Direction=H","UseDPDF=Y")</f>
        <v>-3.5087999999999999</v>
      </c>
      <c r="M31" s="14">
        <f>_xll.BDH("GILD US Equity","TOT_CAP_EXPEND_GROWTH","FQ2 2021","FQ2 2021","Currency=USD","Period=FQ","BEST_FPERIOD_OVERRIDE=FQ","FILING_STATUS=MR","Sort=A","Dates=H","DateFormat=P","Fill=—","Direction=H","UseDPDF=Y")</f>
        <v>-16.783200000000001</v>
      </c>
      <c r="N31" s="14">
        <f>_xll.BDH("GILD US Equity","TOT_CAP_EXPEND_GROWTH","FQ3 2021","FQ3 2021","Currency=USD","Period=FQ","BEST_FPERIOD_OVERRIDE=FQ","FILING_STATUS=MR","Sort=A","Dates=H","DateFormat=P","Fill=—","Direction=H","UseDPDF=Y")</f>
        <v>-10.3226</v>
      </c>
      <c r="O31" s="14">
        <f>_xll.BDH("GILD US Equity","TOT_CAP_EXPEND_GROWTH","FQ4 2021","FQ4 2021","Currency=USD","Period=FQ","BEST_FPERIOD_OVERRIDE=FQ","FILING_STATUS=MR","Sort=A","Dates=H","DateFormat=P","Fill=—","Direction=H","UseDPDF=Y")</f>
        <v>-13.812200000000001</v>
      </c>
      <c r="P31" s="14">
        <f>_xll.BDH("GILD US Equity","TOT_CAP_EXPEND_GROWTH","FQ1 2022","FQ1 2022","Currency=USD","Period=FQ","BEST_FPERIOD_OVERRIDE=FQ","FILING_STATUS=MR","Sort=A","Dates=H","DateFormat=P","Fill=—","Direction=H","UseDPDF=Y")</f>
        <v>49.697000000000003</v>
      </c>
      <c r="Q31" s="14">
        <f>_xll.BDH("GILD US Equity","TOT_CAP_EXPEND_GROWTH","FQ2 2022","FQ2 2022","Currency=USD","Period=FQ","BEST_FPERIOD_OVERRIDE=FQ","FILING_STATUS=MR","Sort=A","Dates=H","DateFormat=P","Fill=—","Direction=H","UseDPDF=Y")</f>
        <v>20.168099999999999</v>
      </c>
      <c r="R31" s="14">
        <f>_xll.BDH("GILD US Equity","TOT_CAP_EXPEND_GROWTH","FQ3 2022","FQ3 2022","Currency=USD","Period=FQ","BEST_FPERIOD_OVERRIDE=FQ","FILING_STATUS=MR","Sort=A","Dates=H","DateFormat=P","Fill=—","Direction=H","UseDPDF=Y")</f>
        <v>12.9496</v>
      </c>
      <c r="S31" s="14">
        <f>_xll.BDH("GILD US Equity","TOT_CAP_EXPEND_GROWTH","FQ4 2022","FQ4 2022","Currency=USD","Period=FQ","BEST_FPERIOD_OVERRIDE=FQ","FILING_STATUS=MR","Sort=A","Dates=H","DateFormat=P","Fill=—","Direction=H","UseDPDF=Y")</f>
        <v>16.025600000000001</v>
      </c>
      <c r="T31" s="14">
        <f>_xll.BDH("GILD US Equity","TOT_CAP_EXPEND_GROWTH","FQ1 2023","FQ1 2023","Currency=USD","Period=FQ","BEST_FPERIOD_OVERRIDE=FQ","FILING_STATUS=MR","Sort=A","Dates=H","DateFormat=P","Fill=—","Direction=H","UseDPDF=Y")</f>
        <v>-55.870399999999997</v>
      </c>
      <c r="U31" s="14">
        <f>_xll.BDH("GILD US Equity","TOT_CAP_EXPEND_GROWTH","FQ2 2023","FQ2 2023","Currency=USD","Period=FQ","BEST_FPERIOD_OVERRIDE=FQ","FILING_STATUS=MR","Sort=A","Dates=H","DateFormat=P","Fill=—","Direction=H","UseDPDF=Y")</f>
        <v>-2.7972000000000001</v>
      </c>
      <c r="V31" s="14">
        <f>_xll.BDH("GILD US Equity","TOT_CAP_EXPEND_GROWTH","FQ3 2023","FQ3 2023","Currency=USD","Period=FQ","BEST_FPERIOD_OVERRIDE=FQ","FILING_STATUS=MR","Sort=A","Dates=H","DateFormat=P","Fill=—","Direction=H","UseDPDF=Y")</f>
        <v>-22.292999999999999</v>
      </c>
      <c r="W31" s="14">
        <f>_xll.BDH("GILD US Equity","TOT_CAP_EXPEND_GROWTH","FQ4 2023","FQ4 2023","Currency=USD","Period=FQ","BEST_FPERIOD_OVERRIDE=FQ","FILING_STATUS=MR","Sort=A","Dates=H","DateFormat=P","Fill=—","Direction=H","UseDPDF=Y")</f>
        <v>18.784500000000001</v>
      </c>
      <c r="X31" s="14">
        <f>_xll.BDH("GILD US Equity","TOT_CAP_EXPEND_GROWTH","FQ1 2024","FQ1 2024","Currency=USD","Period=FQ","BEST_FPERIOD_OVERRIDE=FQ","FILING_STATUS=MR","Sort=A","Dates=H","DateFormat=P","Fill=—","Direction=H","UseDPDF=Y")</f>
        <v>-3.6697000000000002</v>
      </c>
      <c r="Y31" s="14">
        <f>_xll.BDH("GILD US Equity","TOT_CAP_EXPEND_GROWTH","FQ2 2024","FQ2 2024","Currency=USD","Period=FQ","BEST_FPERIOD_OVERRIDE=FQ","FILING_STATUS=MR","Sort=A","Dates=H","DateFormat=P","Fill=—","Direction=H","UseDPDF=Y")</f>
        <v>-6.4748000000000001</v>
      </c>
      <c r="Z31" s="14">
        <f>_xll.BDH("GILD US Equity","TOT_CAP_EXPEND_GROWTH","FQ3 2024","FQ3 2024","Currency=USD","Period=FQ","BEST_FPERIOD_OVERRIDE=FQ","FILING_STATUS=MR","Sort=A","Dates=H","DateFormat=P","Fill=—","Direction=H","UseDPDF=Y")</f>
        <v>15.5738</v>
      </c>
      <c r="AA31" s="14">
        <f>_xll.BDH("GILD US Equity","TOT_CAP_EXPEND_GROWTH","FQ4 2024","FQ4 2024","Currency=USD","Period=FQ","BEST_FPERIOD_OVERRIDE=FQ","FILING_STATUS=MR","Sort=A","Dates=H","DateFormat=P","Fill=—","Direction=H","UseDPDF=Y")</f>
        <v>-31.6279</v>
      </c>
    </row>
    <row r="32" spans="1:27" x14ac:dyDescent="0.25">
      <c r="A32" s="10" t="s">
        <v>1468</v>
      </c>
      <c r="B32" s="10" t="s">
        <v>1547</v>
      </c>
      <c r="C32" s="14" t="str">
        <f>_xll.BDH("GILD US Equity","NET_CHANGE_IN_CASH_1_YEAR_GROWTH","FQ4 2018","FQ4 2018","Currency=USD","Period=FQ","BEST_FPERIOD_OVERRIDE=FQ","FILING_STATUS=MR","Sort=A","Dates=H","DateFormat=P","Fill=—","Direction=H","UseDPDF=Y")</f>
        <v>—</v>
      </c>
      <c r="D32" s="14" t="str">
        <f>_xll.BDH("GILD US Equity","NET_CHANGE_IN_CASH_1_YEAR_GROWTH","FQ1 2019","FQ1 2019","Currency=USD","Period=FQ","BEST_FPERIOD_OVERRIDE=FQ","FILING_STATUS=MR","Sort=A","Dates=H","DateFormat=P","Fill=—","Direction=H","UseDPDF=Y")</f>
        <v>—</v>
      </c>
      <c r="E32" s="14" t="str">
        <f>_xll.BDH("GILD US Equity","NET_CHANGE_IN_CASH_1_YEAR_GROWTH","FQ2 2019","FQ2 2019","Currency=USD","Period=FQ","BEST_FPERIOD_OVERRIDE=FQ","FILING_STATUS=MR","Sort=A","Dates=H","DateFormat=P","Fill=—","Direction=H","UseDPDF=Y")</f>
        <v>—</v>
      </c>
      <c r="F32" s="14" t="str">
        <f>_xll.BDH("GILD US Equity","NET_CHANGE_IN_CASH_1_YEAR_GROWTH","FQ3 2019","FQ3 2019","Currency=USD","Period=FQ","BEST_FPERIOD_OVERRIDE=FQ","FILING_STATUS=MR","Sort=A","Dates=H","DateFormat=P","Fill=—","Direction=H","UseDPDF=Y")</f>
        <v>—</v>
      </c>
      <c r="G32" s="14">
        <f>_xll.BDH("GILD US Equity","NET_CHANGE_IN_CASH_1_YEAR_GROWTH","FQ4 2019","FQ4 2019","Currency=USD","Period=FQ","BEST_FPERIOD_OVERRIDE=FQ","FILING_STATUS=MR","Sort=A","Dates=H","DateFormat=P","Fill=—","Direction=H","UseDPDF=Y")</f>
        <v>-36.013100000000001</v>
      </c>
      <c r="H32" s="14">
        <f>_xll.BDH("GILD US Equity","NET_CHANGE_IN_CASH_1_YEAR_GROWTH","FQ1 2020","FQ1 2020","Currency=USD","Period=FQ","BEST_FPERIOD_OVERRIDE=FQ","FILING_STATUS=MR","Sort=A","Dates=H","DateFormat=P","Fill=—","Direction=H","UseDPDF=Y")</f>
        <v>-55.9724</v>
      </c>
      <c r="I32" s="14">
        <f>_xll.BDH("GILD US Equity","NET_CHANGE_IN_CASH_1_YEAR_GROWTH","FQ2 2020","FQ2 2020","Currency=USD","Period=FQ","BEST_FPERIOD_OVERRIDE=FQ","FILING_STATUS=MR","Sort=A","Dates=H","DateFormat=P","Fill=—","Direction=H","UseDPDF=Y")</f>
        <v>41.884999999999998</v>
      </c>
      <c r="J32" s="14" t="str">
        <f>_xll.BDH("GILD US Equity","NET_CHANGE_IN_CASH_1_YEAR_GROWTH","FQ3 2020","FQ3 2020","Currency=USD","Period=FQ","BEST_FPERIOD_OVERRIDE=FQ","FILING_STATUS=MR","Sort=A","Dates=H","DateFormat=P","Fill=—","Direction=H","UseDPDF=Y")</f>
        <v>—</v>
      </c>
      <c r="K32" s="14" t="str">
        <f>_xll.BDH("GILD US Equity","NET_CHANGE_IN_CASH_1_YEAR_GROWTH","FQ4 2020","FQ4 2020","Currency=USD","Period=FQ","BEST_FPERIOD_OVERRIDE=FQ","FILING_STATUS=MR","Sort=A","Dates=H","DateFormat=P","Fill=—","Direction=H","UseDPDF=Y")</f>
        <v>—</v>
      </c>
      <c r="L32" s="14">
        <f>_xll.BDH("GILD US Equity","NET_CHANGE_IN_CASH_1_YEAR_GROWTH","FQ1 2021","FQ1 2021","Currency=USD","Period=FQ","BEST_FPERIOD_OVERRIDE=FQ","FILING_STATUS=MR","Sort=A","Dates=H","DateFormat=P","Fill=—","Direction=H","UseDPDF=Y")</f>
        <v>-22.278500000000001</v>
      </c>
      <c r="M32" s="14" t="str">
        <f>_xll.BDH("GILD US Equity","NET_CHANGE_IN_CASH_1_YEAR_GROWTH","FQ2 2021","FQ2 2021","Currency=USD","Period=FQ","BEST_FPERIOD_OVERRIDE=FQ","FILING_STATUS=MR","Sort=A","Dates=H","DateFormat=P","Fill=—","Direction=H","UseDPDF=Y")</f>
        <v>—</v>
      </c>
      <c r="N32" s="14" t="str">
        <f>_xll.BDH("GILD US Equity","NET_CHANGE_IN_CASH_1_YEAR_GROWTH","FQ3 2021","FQ3 2021","Currency=USD","Period=FQ","BEST_FPERIOD_OVERRIDE=FQ","FILING_STATUS=MR","Sort=A","Dates=H","DateFormat=P","Fill=—","Direction=H","UseDPDF=Y")</f>
        <v>—</v>
      </c>
      <c r="O32" s="14" t="str">
        <f>_xll.BDH("GILD US Equity","NET_CHANGE_IN_CASH_1_YEAR_GROWTH","FQ4 2021","FQ4 2021","Currency=USD","Period=FQ","BEST_FPERIOD_OVERRIDE=FQ","FILING_STATUS=MR","Sort=A","Dates=H","DateFormat=P","Fill=—","Direction=H","UseDPDF=Y")</f>
        <v>—</v>
      </c>
      <c r="P32" s="14">
        <f>_xll.BDH("GILD US Equity","NET_CHANGE_IN_CASH_1_YEAR_GROWTH","FQ1 2022","FQ1 2022","Currency=USD","Period=FQ","BEST_FPERIOD_OVERRIDE=FQ","FILING_STATUS=MR","Sort=A","Dates=H","DateFormat=P","Fill=—","Direction=H","UseDPDF=Y")</f>
        <v>46.066299999999998</v>
      </c>
      <c r="Q32" s="14">
        <f>_xll.BDH("GILD US Equity","NET_CHANGE_IN_CASH_1_YEAR_GROWTH","FQ2 2022","FQ2 2022","Currency=USD","Period=FQ","BEST_FPERIOD_OVERRIDE=FQ","FILING_STATUS=MR","Sort=A","Dates=H","DateFormat=P","Fill=—","Direction=H","UseDPDF=Y")</f>
        <v>-46.497599999999998</v>
      </c>
      <c r="R32" s="14">
        <f>_xll.BDH("GILD US Equity","NET_CHANGE_IN_CASH_1_YEAR_GROWTH","FQ3 2022","FQ3 2022","Currency=USD","Period=FQ","BEST_FPERIOD_OVERRIDE=FQ","FILING_STATUS=MR","Sort=A","Dates=H","DateFormat=P","Fill=—","Direction=H","UseDPDF=Y")</f>
        <v>92.466999999999999</v>
      </c>
      <c r="S32" s="14">
        <f>_xll.BDH("GILD US Equity","NET_CHANGE_IN_CASH_1_YEAR_GROWTH","FQ4 2022","FQ4 2022","Currency=USD","Period=FQ","BEST_FPERIOD_OVERRIDE=FQ","FILING_STATUS=MR","Sort=A","Dates=H","DateFormat=P","Fill=—","Direction=H","UseDPDF=Y")</f>
        <v>-26.9467</v>
      </c>
      <c r="T32" s="14">
        <f>_xll.BDH("GILD US Equity","NET_CHANGE_IN_CASH_1_YEAR_GROWTH","FQ1 2023","FQ1 2023","Currency=USD","Period=FQ","BEST_FPERIOD_OVERRIDE=FQ","FILING_STATUS=MR","Sort=A","Dates=H","DateFormat=P","Fill=—","Direction=H","UseDPDF=Y")</f>
        <v>54.318600000000004</v>
      </c>
      <c r="U32" s="14">
        <f>_xll.BDH("GILD US Equity","NET_CHANGE_IN_CASH_1_YEAR_GROWTH","FQ2 2023","FQ2 2023","Currency=USD","Period=FQ","BEST_FPERIOD_OVERRIDE=FQ","FILING_STATUS=MR","Sort=A","Dates=H","DateFormat=P","Fill=—","Direction=H","UseDPDF=Y")</f>
        <v>73.363399999999999</v>
      </c>
      <c r="V32" s="14" t="str">
        <f>_xll.BDH("GILD US Equity","NET_CHANGE_IN_CASH_1_YEAR_GROWTH","FQ3 2023","FQ3 2023","Currency=USD","Period=FQ","BEST_FPERIOD_OVERRIDE=FQ","FILING_STATUS=MR","Sort=A","Dates=H","DateFormat=P","Fill=—","Direction=H","UseDPDF=Y")</f>
        <v>—</v>
      </c>
      <c r="W32" s="14">
        <f>_xll.BDH("GILD US Equity","NET_CHANGE_IN_CASH_1_YEAR_GROWTH","FQ4 2023","FQ4 2023","Currency=USD","Period=FQ","BEST_FPERIOD_OVERRIDE=FQ","FILING_STATUS=MR","Sort=A","Dates=H","DateFormat=P","Fill=—","Direction=H","UseDPDF=Y")</f>
        <v>-46.704099999999997</v>
      </c>
      <c r="X32" s="14">
        <f>_xll.BDH("GILD US Equity","NET_CHANGE_IN_CASH_1_YEAR_GROWTH","FQ1 2024","FQ1 2024","Currency=USD","Period=FQ","BEST_FPERIOD_OVERRIDE=FQ","FILING_STATUS=MR","Sort=A","Dates=H","DateFormat=P","Fill=—","Direction=H","UseDPDF=Y")</f>
        <v>-187.1849</v>
      </c>
      <c r="Y32" s="14" t="str">
        <f>_xll.BDH("GILD US Equity","NET_CHANGE_IN_CASH_1_YEAR_GROWTH","FQ2 2024","FQ2 2024","Currency=USD","Period=FQ","BEST_FPERIOD_OVERRIDE=FQ","FILING_STATUS=MR","Sort=A","Dates=H","DateFormat=P","Fill=—","Direction=H","UseDPDF=Y")</f>
        <v>—</v>
      </c>
      <c r="Z32" s="14">
        <f>_xll.BDH("GILD US Equity","NET_CHANGE_IN_CASH_1_YEAR_GROWTH","FQ3 2024","FQ3 2024","Currency=USD","Period=FQ","BEST_FPERIOD_OVERRIDE=FQ","FILING_STATUS=MR","Sort=A","Dates=H","DateFormat=P","Fill=—","Direction=H","UseDPDF=Y")</f>
        <v>226300</v>
      </c>
      <c r="AA32" s="14">
        <f>_xll.BDH("GILD US Equity","NET_CHANGE_IN_CASH_1_YEAR_GROWTH","FQ4 2024","FQ4 2024","Currency=USD","Period=FQ","BEST_FPERIOD_OVERRIDE=FQ","FILING_STATUS=MR","Sort=A","Dates=H","DateFormat=P","Fill=—","Direction=H","UseDPDF=Y")</f>
        <v>1203.9474</v>
      </c>
    </row>
    <row r="33" spans="1:27" x14ac:dyDescent="0.25">
      <c r="A33" s="10" t="s">
        <v>88</v>
      </c>
      <c r="B33" s="10" t="s">
        <v>1548</v>
      </c>
      <c r="C33" s="14">
        <f>_xll.BDH("GILD US Equity","FREE_CASH_FLOW_1_YEAR_GROWTH","FQ4 2018","FQ4 2018","Currency=USD","Period=FQ","BEST_FPERIOD_OVERRIDE=FQ","FILING_STATUS=MR","Sort=A","Dates=H","DateFormat=P","Fill=—","Direction=H","UseDPDF=Y")</f>
        <v>-17.212800000000001</v>
      </c>
      <c r="D33" s="14">
        <f>_xll.BDH("GILD US Equity","FREE_CASH_FLOW_1_YEAR_GROWTH","FQ1 2019","FQ1 2019","Currency=USD","Period=FQ","BEST_FPERIOD_OVERRIDE=FQ","FILING_STATUS=MR","Sort=A","Dates=H","DateFormat=P","Fill=—","Direction=H","UseDPDF=Y")</f>
        <v>-41.3508</v>
      </c>
      <c r="E33" s="14">
        <f>_xll.BDH("GILD US Equity","FREE_CASH_FLOW_1_YEAR_GROWTH","FQ2 2019","FQ2 2019","Currency=USD","Period=FQ","BEST_FPERIOD_OVERRIDE=FQ","FILING_STATUS=MR","Sort=A","Dates=H","DateFormat=P","Fill=—","Direction=H","UseDPDF=Y")</f>
        <v>69.043899999999994</v>
      </c>
      <c r="F33" s="14">
        <f>_xll.BDH("GILD US Equity","FREE_CASH_FLOW_1_YEAR_GROWTH","FQ3 2019","FQ3 2019","Currency=USD","Period=FQ","BEST_FPERIOD_OVERRIDE=FQ","FILING_STATUS=MR","Sort=A","Dates=H","DateFormat=P","Fill=—","Direction=H","UseDPDF=Y")</f>
        <v>31.980399999999999</v>
      </c>
      <c r="G33" s="14">
        <f>_xll.BDH("GILD US Equity","FREE_CASH_FLOW_1_YEAR_GROWTH","FQ4 2019","FQ4 2019","Currency=USD","Period=FQ","BEST_FPERIOD_OVERRIDE=FQ","FILING_STATUS=MR","Sort=A","Dates=H","DateFormat=P","Fill=—","Direction=H","UseDPDF=Y")</f>
        <v>13.352399999999999</v>
      </c>
      <c r="H33" s="14">
        <f>_xll.BDH("GILD US Equity","FREE_CASH_FLOW_1_YEAR_GROWTH","FQ1 2020","FQ1 2020","Currency=USD","Period=FQ","BEST_FPERIOD_OVERRIDE=FQ","FILING_STATUS=MR","Sort=A","Dates=H","DateFormat=P","Fill=—","Direction=H","UseDPDF=Y")</f>
        <v>4.8052999999999999</v>
      </c>
      <c r="I33" s="14">
        <f>_xll.BDH("GILD US Equity","FREE_CASH_FLOW_1_YEAR_GROWTH","FQ2 2020","FQ2 2020","Currency=USD","Period=FQ","BEST_FPERIOD_OVERRIDE=FQ","FILING_STATUS=MR","Sort=A","Dates=H","DateFormat=P","Fill=—","Direction=H","UseDPDF=Y")</f>
        <v>12.331899999999999</v>
      </c>
      <c r="J33" s="14">
        <f>_xll.BDH("GILD US Equity","FREE_CASH_FLOW_1_YEAR_GROWTH","FQ3 2020","FQ3 2020","Currency=USD","Period=FQ","BEST_FPERIOD_OVERRIDE=FQ","FILING_STATUS=MR","Sort=A","Dates=H","DateFormat=P","Fill=—","Direction=H","UseDPDF=Y")</f>
        <v>-22.378699999999998</v>
      </c>
      <c r="K33" s="14">
        <f>_xll.BDH("GILD US Equity","FREE_CASH_FLOW_1_YEAR_GROWTH","FQ4 2020","FQ4 2020","Currency=USD","Period=FQ","BEST_FPERIOD_OVERRIDE=FQ","FILING_STATUS=MR","Sort=A","Dates=H","DateFormat=P","Fill=—","Direction=H","UseDPDF=Y")</f>
        <v>-27.008800000000001</v>
      </c>
      <c r="L33" s="14">
        <f>_xll.BDH("GILD US Equity","FREE_CASH_FLOW_1_YEAR_GROWTH","FQ1 2021","FQ1 2021","Currency=USD","Period=FQ","BEST_FPERIOD_OVERRIDE=FQ","FILING_STATUS=MR","Sort=A","Dates=H","DateFormat=P","Fill=—","Direction=H","UseDPDF=Y")</f>
        <v>93.280600000000007</v>
      </c>
      <c r="M33" s="14">
        <f>_xll.BDH("GILD US Equity","FREE_CASH_FLOW_1_YEAR_GROWTH","FQ2 2021","FQ2 2021","Currency=USD","Period=FQ","BEST_FPERIOD_OVERRIDE=FQ","FILING_STATUS=MR","Sort=A","Dates=H","DateFormat=P","Fill=—","Direction=H","UseDPDF=Y")</f>
        <v>-9.3272999999999993</v>
      </c>
      <c r="N33" s="14">
        <f>_xll.BDH("GILD US Equity","FREE_CASH_FLOW_1_YEAR_GROWTH","FQ3 2021","FQ3 2021","Currency=USD","Period=FQ","BEST_FPERIOD_OVERRIDE=FQ","FILING_STATUS=MR","Sort=A","Dates=H","DateFormat=P","Fill=—","Direction=H","UseDPDF=Y")</f>
        <v>48.639600000000002</v>
      </c>
      <c r="O33" s="14">
        <f>_xll.BDH("GILD US Equity","FREE_CASH_FLOW_1_YEAR_GROWTH","FQ4 2021","FQ4 2021","Currency=USD","Period=FQ","BEST_FPERIOD_OVERRIDE=FQ","FILING_STATUS=MR","Sort=A","Dates=H","DateFormat=P","Fill=—","Direction=H","UseDPDF=Y")</f>
        <v>75.734899999999996</v>
      </c>
      <c r="P33" s="14">
        <f>_xll.BDH("GILD US Equity","FREE_CASH_FLOW_1_YEAR_GROWTH","FQ1 2022","FQ1 2022","Currency=USD","Period=FQ","BEST_FPERIOD_OVERRIDE=FQ","FILING_STATUS=MR","Sort=A","Dates=H","DateFormat=P","Fill=—","Direction=H","UseDPDF=Y")</f>
        <v>-34.846600000000002</v>
      </c>
      <c r="Q33" s="14">
        <f>_xll.BDH("GILD US Equity","FREE_CASH_FLOW_1_YEAR_GROWTH","FQ2 2022","FQ2 2022","Currency=USD","Period=FQ","BEST_FPERIOD_OVERRIDE=FQ","FILING_STATUS=MR","Sort=A","Dates=H","DateFormat=P","Fill=—","Direction=H","UseDPDF=Y")</f>
        <v>-24.4879</v>
      </c>
      <c r="R33" s="14">
        <f>_xll.BDH("GILD US Equity","FREE_CASH_FLOW_1_YEAR_GROWTH","FQ3 2022","FQ3 2022","Currency=USD","Period=FQ","BEST_FPERIOD_OVERRIDE=FQ","FILING_STATUS=MR","Sort=A","Dates=H","DateFormat=P","Fill=—","Direction=H","UseDPDF=Y")</f>
        <v>-13.1021</v>
      </c>
      <c r="S33" s="14">
        <f>_xll.BDH("GILD US Equity","FREE_CASH_FLOW_1_YEAR_GROWTH","FQ4 2022","FQ4 2022","Currency=USD","Period=FQ","BEST_FPERIOD_OVERRIDE=FQ","FILING_STATUS=MR","Sort=A","Dates=H","DateFormat=P","Fill=—","Direction=H","UseDPDF=Y")</f>
        <v>-21.744800000000001</v>
      </c>
      <c r="T33" s="14">
        <f>_xll.BDH("GILD US Equity","FREE_CASH_FLOW_1_YEAR_GROWTH","FQ1 2023","FQ1 2023","Currency=USD","Period=FQ","BEST_FPERIOD_OVERRIDE=FQ","FILING_STATUS=MR","Sort=A","Dates=H","DateFormat=P","Fill=—","Direction=H","UseDPDF=Y")</f>
        <v>2.6364999999999998</v>
      </c>
      <c r="U33" s="14">
        <f>_xll.BDH("GILD US Equity","FREE_CASH_FLOW_1_YEAR_GROWTH","FQ2 2023","FQ2 2023","Currency=USD","Period=FQ","BEST_FPERIOD_OVERRIDE=FQ","FILING_STATUS=MR","Sort=A","Dates=H","DateFormat=P","Fill=—","Direction=H","UseDPDF=Y")</f>
        <v>32.549700000000001</v>
      </c>
      <c r="V33" s="14">
        <f>_xll.BDH("GILD US Equity","FREE_CASH_FLOW_1_YEAR_GROWTH","FQ3 2023","FQ3 2023","Currency=USD","Period=FQ","BEST_FPERIOD_OVERRIDE=FQ","FILING_STATUS=MR","Sort=A","Dates=H","DateFormat=P","Fill=—","Direction=H","UseDPDF=Y")</f>
        <v>-39.6526</v>
      </c>
      <c r="W33" s="14">
        <f>_xll.BDH("GILD US Equity","FREE_CASH_FLOW_1_YEAR_GROWTH","FQ4 2023","FQ4 2023","Currency=USD","Period=FQ","BEST_FPERIOD_OVERRIDE=FQ","FILING_STATUS=MR","Sort=A","Dates=H","DateFormat=P","Fill=—","Direction=H","UseDPDF=Y")</f>
        <v>-18.105599999999999</v>
      </c>
      <c r="X33" s="14">
        <f>_xll.BDH("GILD US Equity","FREE_CASH_FLOW_1_YEAR_GROWTH","FQ1 2024","FQ1 2024","Currency=USD","Period=FQ","BEST_FPERIOD_OVERRIDE=FQ","FILING_STATUS=MR","Sort=A","Dates=H","DateFormat=P","Fill=—","Direction=H","UseDPDF=Y")</f>
        <v>29.296600000000002</v>
      </c>
      <c r="Y33" s="14">
        <f>_xll.BDH("GILD US Equity","FREE_CASH_FLOW_1_YEAR_GROWTH","FQ2 2024","FQ2 2024","Currency=USD","Period=FQ","BEST_FPERIOD_OVERRIDE=FQ","FILING_STATUS=MR","Sort=A","Dates=H","DateFormat=P","Fill=—","Direction=H","UseDPDF=Y")</f>
        <v>-45.6571</v>
      </c>
      <c r="Z33" s="14">
        <f>_xll.BDH("GILD US Equity","FREE_CASH_FLOW_1_YEAR_GROWTH","FQ3 2024","FQ3 2024","Currency=USD","Period=FQ","BEST_FPERIOD_OVERRIDE=FQ","FILING_STATUS=MR","Sort=A","Dates=H","DateFormat=P","Fill=—","Direction=H","UseDPDF=Y")</f>
        <v>155.23580000000001</v>
      </c>
      <c r="AA33" s="14">
        <f>_xll.BDH("GILD US Equity","FREE_CASH_FLOW_1_YEAR_GROWTH","FQ4 2024","FQ4 2024","Currency=USD","Period=FQ","BEST_FPERIOD_OVERRIDE=FQ","FILING_STATUS=MR","Sort=A","Dates=H","DateFormat=P","Fill=—","Direction=H","UseDPDF=Y")</f>
        <v>44.7288</v>
      </c>
    </row>
    <row r="34" spans="1:27" x14ac:dyDescent="0.25">
      <c r="A34" s="10" t="s">
        <v>1549</v>
      </c>
      <c r="B34" s="10" t="s">
        <v>1550</v>
      </c>
      <c r="C34" s="14">
        <f>_xll.BDH("GILD US Equity","CASH_FLOW_TO_FIRM_1_YEAR_GROWTH","FQ4 2018","FQ4 2018","Currency=USD","Period=FQ","BEST_FPERIOD_OVERRIDE=FQ","FILING_STATUS=MR","FA_ADJUSTED=GAAP","Sort=A","Dates=H","DateFormat=P","Fill=—","Direction=H","UseDPDF=Y")</f>
        <v>5.8022999999999998</v>
      </c>
      <c r="D34" s="14">
        <f>_xll.BDH("GILD US Equity","CASH_FLOW_TO_FIRM_1_YEAR_GROWTH","FQ1 2019","FQ1 2019","Currency=USD","Period=FQ","BEST_FPERIOD_OVERRIDE=FQ","FILING_STATUS=MR","FA_ADJUSTED=GAAP","Sort=A","Dates=H","DateFormat=P","Fill=—","Direction=H","UseDPDF=Y")</f>
        <v>-33.4529</v>
      </c>
      <c r="E34" s="14">
        <f>_xll.BDH("GILD US Equity","CASH_FLOW_TO_FIRM_1_YEAR_GROWTH","FQ2 2019","FQ2 2019","Currency=USD","Period=FQ","BEST_FPERIOD_OVERRIDE=FQ","FILING_STATUS=MR","FA_ADJUSTED=GAAP","Sort=A","Dates=H","DateFormat=P","Fill=—","Direction=H","UseDPDF=Y")</f>
        <v>40.443899999999999</v>
      </c>
      <c r="F34" s="14">
        <f>_xll.BDH("GILD US Equity","CASH_FLOW_TO_FIRM_1_YEAR_GROWTH","FQ3 2019","FQ3 2019","Currency=USD","Period=FQ","BEST_FPERIOD_OVERRIDE=FQ","FILING_STATUS=MR","FA_ADJUSTED=GAAP","Sort=A","Dates=H","DateFormat=P","Fill=—","Direction=H","UseDPDF=Y")</f>
        <v>26.264299999999999</v>
      </c>
      <c r="G34" s="14" t="str">
        <f>_xll.BDH("GILD US Equity","CASH_FLOW_TO_FIRM_1_YEAR_GROWTH","FQ4 2019","FQ4 2019","Currency=USD","Period=FQ","BEST_FPERIOD_OVERRIDE=FQ","FILING_STATUS=MR","FA_ADJUSTED=GAAP","Sort=A","Dates=H","DateFormat=P","Fill=—","Direction=H","UseDPDF=Y")</f>
        <v>—</v>
      </c>
      <c r="H34" s="14">
        <f>_xll.BDH("GILD US Equity","CASH_FLOW_TO_FIRM_1_YEAR_GROWTH","FQ1 2020","FQ1 2020","Currency=USD","Period=FQ","BEST_FPERIOD_OVERRIDE=FQ","FILING_STATUS=MR","FA_ADJUSTED=GAAP","Sort=A","Dates=H","DateFormat=P","Fill=—","Direction=H","UseDPDF=Y")</f>
        <v>-2.1524999999999999</v>
      </c>
      <c r="I34" s="14" t="str">
        <f>_xll.BDH("GILD US Equity","CASH_FLOW_TO_FIRM_1_YEAR_GROWTH","FQ2 2020","FQ2 2020","Currency=USD","Period=FQ","BEST_FPERIOD_OVERRIDE=FQ","FILING_STATUS=MR","FA_ADJUSTED=GAAP","Sort=A","Dates=H","DateFormat=P","Fill=—","Direction=H","UseDPDF=Y")</f>
        <v>—</v>
      </c>
      <c r="J34" s="14">
        <f>_xll.BDH("GILD US Equity","CASH_FLOW_TO_FIRM_1_YEAR_GROWTH","FQ3 2020","FQ3 2020","Currency=USD","Period=FQ","BEST_FPERIOD_OVERRIDE=FQ","FILING_STATUS=MR","FA_ADJUSTED=GAAP","Sort=A","Dates=H","DateFormat=P","Fill=—","Direction=H","UseDPDF=Y")</f>
        <v>-23.060199999999998</v>
      </c>
      <c r="K34" s="14" t="str">
        <f>_xll.BDH("GILD US Equity","CASH_FLOW_TO_FIRM_1_YEAR_GROWTH","FQ4 2020","FQ4 2020","Currency=USD","Period=FQ","BEST_FPERIOD_OVERRIDE=FQ","FILING_STATUS=MR","FA_ADJUSTED=GAAP","Sort=A","Dates=H","DateFormat=P","Fill=—","Direction=H","UseDPDF=Y")</f>
        <v>—</v>
      </c>
      <c r="L34" s="14">
        <f>_xll.BDH("GILD US Equity","CASH_FLOW_TO_FIRM_1_YEAR_GROWTH","FQ1 2021","FQ1 2021","Currency=USD","Period=FQ","BEST_FPERIOD_OVERRIDE=FQ","FILING_STATUS=MR","FA_ADJUSTED=GAAP","Sort=A","Dates=H","DateFormat=P","Fill=—","Direction=H","UseDPDF=Y")</f>
        <v>73.065100000000001</v>
      </c>
      <c r="M34" s="14" t="str">
        <f>_xll.BDH("GILD US Equity","CASH_FLOW_TO_FIRM_1_YEAR_GROWTH","FQ2 2021","FQ2 2021","Currency=USD","Period=FQ","BEST_FPERIOD_OVERRIDE=FQ","FILING_STATUS=MR","FA_ADJUSTED=GAAP","Sort=A","Dates=H","DateFormat=P","Fill=—","Direction=H","UseDPDF=Y")</f>
        <v>—</v>
      </c>
      <c r="N34" s="14">
        <f>_xll.BDH("GILD US Equity","CASH_FLOW_TO_FIRM_1_YEAR_GROWTH","FQ3 2021","FQ3 2021","Currency=USD","Period=FQ","BEST_FPERIOD_OVERRIDE=FQ","FILING_STATUS=MR","FA_ADJUSTED=GAAP","Sort=A","Dates=H","DateFormat=P","Fill=—","Direction=H","UseDPDF=Y")</f>
        <v>46.366500000000002</v>
      </c>
      <c r="O34" s="14">
        <f>_xll.BDH("GILD US Equity","CASH_FLOW_TO_FIRM_1_YEAR_GROWTH","FQ4 2021","FQ4 2021","Currency=USD","Period=FQ","BEST_FPERIOD_OVERRIDE=FQ","FILING_STATUS=MR","FA_ADJUSTED=GAAP","Sort=A","Dates=H","DateFormat=P","Fill=—","Direction=H","UseDPDF=Y")</f>
        <v>55.039700000000003</v>
      </c>
      <c r="P34" s="14">
        <f>_xll.BDH("GILD US Equity","CASH_FLOW_TO_FIRM_1_YEAR_GROWTH","FQ1 2022","FQ1 2022","Currency=USD","Period=FQ","BEST_FPERIOD_OVERRIDE=FQ","FILING_STATUS=MR","FA_ADJUSTED=GAAP","Sort=A","Dates=H","DateFormat=P","Fill=—","Direction=H","UseDPDF=Y")</f>
        <v>-27.9146</v>
      </c>
      <c r="Q34" s="14">
        <f>_xll.BDH("GILD US Equity","CASH_FLOW_TO_FIRM_1_YEAR_GROWTH","FQ2 2022","FQ2 2022","Currency=USD","Period=FQ","BEST_FPERIOD_OVERRIDE=FQ","FILING_STATUS=MR","FA_ADJUSTED=GAAP","Sort=A","Dates=H","DateFormat=P","Fill=—","Direction=H","UseDPDF=Y")</f>
        <v>-21.543199999999999</v>
      </c>
      <c r="R34" s="14">
        <f>_xll.BDH("GILD US Equity","CASH_FLOW_TO_FIRM_1_YEAR_GROWTH","FQ3 2022","FQ3 2022","Currency=USD","Period=FQ","BEST_FPERIOD_OVERRIDE=FQ","FILING_STATUS=MR","FA_ADJUSTED=GAAP","Sort=A","Dates=H","DateFormat=P","Fill=—","Direction=H","UseDPDF=Y")</f>
        <v>-11.911300000000001</v>
      </c>
      <c r="S34" s="14">
        <f>_xll.BDH("GILD US Equity","CASH_FLOW_TO_FIRM_1_YEAR_GROWTH","FQ4 2022","FQ4 2022","Currency=USD","Period=FQ","BEST_FPERIOD_OVERRIDE=FQ","FILING_STATUS=MR","FA_ADJUSTED=GAAP","Sort=A","Dates=H","DateFormat=P","Fill=—","Direction=H","UseDPDF=Y")</f>
        <v>-17.255600000000001</v>
      </c>
      <c r="T34" s="14">
        <f>_xll.BDH("GILD US Equity","CASH_FLOW_TO_FIRM_1_YEAR_GROWTH","FQ1 2023","FQ1 2023","Currency=USD","Period=FQ","BEST_FPERIOD_OVERRIDE=FQ","FILING_STATUS=MR","FA_ADJUSTED=GAAP","Sort=A","Dates=H","DateFormat=P","Fill=—","Direction=H","UseDPDF=Y")</f>
        <v>-5.1547000000000001</v>
      </c>
      <c r="U34" s="14">
        <f>_xll.BDH("GILD US Equity","CASH_FLOW_TO_FIRM_1_YEAR_GROWTH","FQ2 2023","FQ2 2023","Currency=USD","Period=FQ","BEST_FPERIOD_OVERRIDE=FQ","FILING_STATUS=MR","FA_ADJUSTED=GAAP","Sort=A","Dates=H","DateFormat=P","Fill=—","Direction=H","UseDPDF=Y")</f>
        <v>25.380400000000002</v>
      </c>
      <c r="V34" s="14">
        <f>_xll.BDH("GILD US Equity","CASH_FLOW_TO_FIRM_1_YEAR_GROWTH","FQ3 2023","FQ3 2023","Currency=USD","Period=FQ","BEST_FPERIOD_OVERRIDE=FQ","FILING_STATUS=MR","FA_ADJUSTED=GAAP","Sort=A","Dates=H","DateFormat=P","Fill=—","Direction=H","UseDPDF=Y")</f>
        <v>-34.929699999999997</v>
      </c>
      <c r="W34" s="14">
        <f>_xll.BDH("GILD US Equity","CASH_FLOW_TO_FIRM_1_YEAR_GROWTH","FQ4 2023","FQ4 2023","Currency=USD","Period=FQ","BEST_FPERIOD_OVERRIDE=FQ","FILING_STATUS=MR","FA_ADJUSTED=GAAP","Sort=A","Dates=H","DateFormat=P","Fill=—","Direction=H","UseDPDF=Y")</f>
        <v>-13.2567</v>
      </c>
      <c r="X34" s="14">
        <f>_xll.BDH("GILD US Equity","CASH_FLOW_TO_FIRM_1_YEAR_GROWTH","FQ1 2024","FQ1 2024","Currency=USD","Period=FQ","BEST_FPERIOD_OVERRIDE=FQ","FILING_STATUS=MR","FA_ADJUSTED=GAAP","Sort=A","Dates=H","DateFormat=P","Fill=—","Direction=H","UseDPDF=Y")</f>
        <v>21.347300000000001</v>
      </c>
      <c r="Y34" s="14">
        <f>_xll.BDH("GILD US Equity","CASH_FLOW_TO_FIRM_1_YEAR_GROWTH","FQ2 2024","FQ2 2024","Currency=USD","Period=FQ","BEST_FPERIOD_OVERRIDE=FQ","FILING_STATUS=MR","FA_ADJUSTED=GAAP","Sort=A","Dates=H","DateFormat=P","Fill=—","Direction=H","UseDPDF=Y")</f>
        <v>-39.298999999999999</v>
      </c>
      <c r="Z34" s="14">
        <f>_xll.BDH("GILD US Equity","CASH_FLOW_TO_FIRM_1_YEAR_GROWTH","FQ3 2024","FQ3 2024","Currency=USD","Period=FQ","BEST_FPERIOD_OVERRIDE=FQ","FILING_STATUS=MR","FA_ADJUSTED=GAAP","Sort=A","Dates=H","DateFormat=P","Fill=—","Direction=H","UseDPDF=Y")</f>
        <v>126.2813</v>
      </c>
      <c r="AA34" s="14">
        <f>_xll.BDH("GILD US Equity","CASH_FLOW_TO_FIRM_1_YEAR_GROWTH","FQ4 2024","FQ4 2024","Currency=USD","Period=FQ","BEST_FPERIOD_OVERRIDE=FQ","FILING_STATUS=MR","FA_ADJUSTED=GAAP","Sort=A","Dates=H","DateFormat=P","Fill=—","Direction=H","UseDPDF=Y")</f>
        <v>33.288499999999999</v>
      </c>
    </row>
    <row r="35" spans="1:27" x14ac:dyDescent="0.25">
      <c r="A35" s="10" t="s">
        <v>1397</v>
      </c>
      <c r="B35" s="10" t="s">
        <v>1551</v>
      </c>
      <c r="C35" s="14">
        <f>_xll.BDH("GILD US Equity","FCF_TO_FIRM_1_YEAR_GROWTH","FQ4 2018","FQ4 2018","Currency=USD","Period=FQ","BEST_FPERIOD_OVERRIDE=FQ","FILING_STATUS=MR","FA_ADJUSTED=GAAP","Sort=A","Dates=H","DateFormat=P","Fill=—","Direction=H","UseDPDF=Y")</f>
        <v>5.0395000000000003</v>
      </c>
      <c r="D35" s="14">
        <f>_xll.BDH("GILD US Equity","FCF_TO_FIRM_1_YEAR_GROWTH","FQ1 2019","FQ1 2019","Currency=USD","Period=FQ","BEST_FPERIOD_OVERRIDE=FQ","FILING_STATUS=MR","FA_ADJUSTED=GAAP","Sort=A","Dates=H","DateFormat=P","Fill=—","Direction=H","UseDPDF=Y")</f>
        <v>-37.664499999999997</v>
      </c>
      <c r="E35" s="14">
        <f>_xll.BDH("GILD US Equity","FCF_TO_FIRM_1_YEAR_GROWTH","FQ2 2019","FQ2 2019","Currency=USD","Period=FQ","BEST_FPERIOD_OVERRIDE=FQ","FILING_STATUS=MR","FA_ADJUSTED=GAAP","Sort=A","Dates=H","DateFormat=P","Fill=—","Direction=H","UseDPDF=Y")</f>
        <v>55.836799999999997</v>
      </c>
      <c r="F35" s="14">
        <f>_xll.BDH("GILD US Equity","FCF_TO_FIRM_1_YEAR_GROWTH","FQ3 2019","FQ3 2019","Currency=USD","Period=FQ","BEST_FPERIOD_OVERRIDE=FQ","FILING_STATUS=MR","FA_ADJUSTED=GAAP","Sort=A","Dates=H","DateFormat=P","Fill=—","Direction=H","UseDPDF=Y")</f>
        <v>26.746400000000001</v>
      </c>
      <c r="G35" s="14" t="str">
        <f>_xll.BDH("GILD US Equity","FCF_TO_FIRM_1_YEAR_GROWTH","FQ4 2019","FQ4 2019","Currency=USD","Period=FQ","BEST_FPERIOD_OVERRIDE=FQ","FILING_STATUS=MR","FA_ADJUSTED=GAAP","Sort=A","Dates=H","DateFormat=P","Fill=—","Direction=H","UseDPDF=Y")</f>
        <v>—</v>
      </c>
      <c r="H35" s="14">
        <f>_xll.BDH("GILD US Equity","FCF_TO_FIRM_1_YEAR_GROWTH","FQ1 2020","FQ1 2020","Currency=USD","Period=FQ","BEST_FPERIOD_OVERRIDE=FQ","FILING_STATUS=MR","FA_ADJUSTED=GAAP","Sort=A","Dates=H","DateFormat=P","Fill=—","Direction=H","UseDPDF=Y")</f>
        <v>2.137</v>
      </c>
      <c r="I35" s="14" t="str">
        <f>_xll.BDH("GILD US Equity","FCF_TO_FIRM_1_YEAR_GROWTH","FQ2 2020","FQ2 2020","Currency=USD","Period=FQ","BEST_FPERIOD_OVERRIDE=FQ","FILING_STATUS=MR","FA_ADJUSTED=GAAP","Sort=A","Dates=H","DateFormat=P","Fill=—","Direction=H","UseDPDF=Y")</f>
        <v>—</v>
      </c>
      <c r="J35" s="14">
        <f>_xll.BDH("GILD US Equity","FCF_TO_FIRM_1_YEAR_GROWTH","FQ3 2020","FQ3 2020","Currency=USD","Period=FQ","BEST_FPERIOD_OVERRIDE=FQ","FILING_STATUS=MR","FA_ADJUSTED=GAAP","Sort=A","Dates=H","DateFormat=P","Fill=—","Direction=H","UseDPDF=Y")</f>
        <v>-23.099399999999999</v>
      </c>
      <c r="K35" s="14" t="str">
        <f>_xll.BDH("GILD US Equity","FCF_TO_FIRM_1_YEAR_GROWTH","FQ4 2020","FQ4 2020","Currency=USD","Period=FQ","BEST_FPERIOD_OVERRIDE=FQ","FILING_STATUS=MR","FA_ADJUSTED=GAAP","Sort=A","Dates=H","DateFormat=P","Fill=—","Direction=H","UseDPDF=Y")</f>
        <v>—</v>
      </c>
      <c r="L35" s="14">
        <f>_xll.BDH("GILD US Equity","FCF_TO_FIRM_1_YEAR_GROWTH","FQ1 2021","FQ1 2021","Currency=USD","Period=FQ","BEST_FPERIOD_OVERRIDE=FQ","FILING_STATUS=MR","FA_ADJUSTED=GAAP","Sort=A","Dates=H","DateFormat=P","Fill=—","Direction=H","UseDPDF=Y")</f>
        <v>82.095200000000006</v>
      </c>
      <c r="M35" s="14" t="str">
        <f>_xll.BDH("GILD US Equity","FCF_TO_FIRM_1_YEAR_GROWTH","FQ2 2021","FQ2 2021","Currency=USD","Period=FQ","BEST_FPERIOD_OVERRIDE=FQ","FILING_STATUS=MR","FA_ADJUSTED=GAAP","Sort=A","Dates=H","DateFormat=P","Fill=—","Direction=H","UseDPDF=Y")</f>
        <v>—</v>
      </c>
      <c r="N35" s="14">
        <f>_xll.BDH("GILD US Equity","FCF_TO_FIRM_1_YEAR_GROWTH","FQ3 2021","FQ3 2021","Currency=USD","Period=FQ","BEST_FPERIOD_OVERRIDE=FQ","FILING_STATUS=MR","FA_ADJUSTED=GAAP","Sort=A","Dates=H","DateFormat=P","Fill=—","Direction=H","UseDPDF=Y")</f>
        <v>50.367800000000003</v>
      </c>
      <c r="O35" s="14">
        <f>_xll.BDH("GILD US Equity","FCF_TO_FIRM_1_YEAR_GROWTH","FQ4 2021","FQ4 2021","Currency=USD","Period=FQ","BEST_FPERIOD_OVERRIDE=FQ","FILING_STATUS=MR","FA_ADJUSTED=GAAP","Sort=A","Dates=H","DateFormat=P","Fill=—","Direction=H","UseDPDF=Y")</f>
        <v>61.390599999999999</v>
      </c>
      <c r="P35" s="14">
        <f>_xll.BDH("GILD US Equity","FCF_TO_FIRM_1_YEAR_GROWTH","FQ1 2022","FQ1 2022","Currency=USD","Period=FQ","BEST_FPERIOD_OVERRIDE=FQ","FILING_STATUS=MR","FA_ADJUSTED=GAAP","Sort=A","Dates=H","DateFormat=P","Fill=—","Direction=H","UseDPDF=Y")</f>
        <v>-32.764499999999998</v>
      </c>
      <c r="Q35" s="14">
        <f>_xll.BDH("GILD US Equity","FCF_TO_FIRM_1_YEAR_GROWTH","FQ2 2022","FQ2 2022","Currency=USD","Period=FQ","BEST_FPERIOD_OVERRIDE=FQ","FILING_STATUS=MR","FA_ADJUSTED=GAAP","Sort=A","Dates=H","DateFormat=P","Fill=—","Direction=H","UseDPDF=Y")</f>
        <v>-23.6021</v>
      </c>
      <c r="R35" s="14">
        <f>_xll.BDH("GILD US Equity","FCF_TO_FIRM_1_YEAR_GROWTH","FQ3 2022","FQ3 2022","Currency=USD","Period=FQ","BEST_FPERIOD_OVERRIDE=FQ","FILING_STATUS=MR","FA_ADJUSTED=GAAP","Sort=A","Dates=H","DateFormat=P","Fill=—","Direction=H","UseDPDF=Y")</f>
        <v>-12.957800000000001</v>
      </c>
      <c r="S35" s="14">
        <f>_xll.BDH("GILD US Equity","FCF_TO_FIRM_1_YEAR_GROWTH","FQ4 2022","FQ4 2022","Currency=USD","Period=FQ","BEST_FPERIOD_OVERRIDE=FQ","FILING_STATUS=MR","FA_ADJUSTED=GAAP","Sort=A","Dates=H","DateFormat=P","Fill=—","Direction=H","UseDPDF=Y")</f>
        <v>-18.895</v>
      </c>
      <c r="T35" s="14">
        <f>_xll.BDH("GILD US Equity","FCF_TO_FIRM_1_YEAR_GROWTH","FQ1 2023","FQ1 2023","Currency=USD","Period=FQ","BEST_FPERIOD_OVERRIDE=FQ","FILING_STATUS=MR","FA_ADJUSTED=GAAP","Sort=A","Dates=H","DateFormat=P","Fill=—","Direction=H","UseDPDF=Y")</f>
        <v>1.9014</v>
      </c>
      <c r="U35" s="14">
        <f>_xll.BDH("GILD US Equity","FCF_TO_FIRM_1_YEAR_GROWTH","FQ2 2023","FQ2 2023","Currency=USD","Period=FQ","BEST_FPERIOD_OVERRIDE=FQ","FILING_STATUS=MR","FA_ADJUSTED=GAAP","Sort=A","Dates=H","DateFormat=P","Fill=—","Direction=H","UseDPDF=Y")</f>
        <v>27.568200000000001</v>
      </c>
      <c r="V35" s="14">
        <f>_xll.BDH("GILD US Equity","FCF_TO_FIRM_1_YEAR_GROWTH","FQ3 2023","FQ3 2023","Currency=USD","Period=FQ","BEST_FPERIOD_OVERRIDE=FQ","FILING_STATUS=MR","FA_ADJUSTED=GAAP","Sort=A","Dates=H","DateFormat=P","Fill=—","Direction=H","UseDPDF=Y")</f>
        <v>-35.619900000000001</v>
      </c>
      <c r="W35" s="14">
        <f>_xll.BDH("GILD US Equity","FCF_TO_FIRM_1_YEAR_GROWTH","FQ4 2023","FQ4 2023","Currency=USD","Period=FQ","BEST_FPERIOD_OVERRIDE=FQ","FILING_STATUS=MR","FA_ADJUSTED=GAAP","Sort=A","Dates=H","DateFormat=P","Fill=—","Direction=H","UseDPDF=Y")</f>
        <v>-15.5146</v>
      </c>
      <c r="X35" s="14">
        <f>_xll.BDH("GILD US Equity","FCF_TO_FIRM_1_YEAR_GROWTH","FQ1 2024","FQ1 2024","Currency=USD","Period=FQ","BEST_FPERIOD_OVERRIDE=FQ","FILING_STATUS=MR","FA_ADJUSTED=GAAP","Sort=A","Dates=H","DateFormat=P","Fill=—","Direction=H","UseDPDF=Y")</f>
        <v>22.854600000000001</v>
      </c>
      <c r="Y35" s="14">
        <f>_xll.BDH("GILD US Equity","FCF_TO_FIRM_1_YEAR_GROWTH","FQ2 2024","FQ2 2024","Currency=USD","Period=FQ","BEST_FPERIOD_OVERRIDE=FQ","FILING_STATUS=MR","FA_ADJUSTED=GAAP","Sort=A","Dates=H","DateFormat=P","Fill=—","Direction=H","UseDPDF=Y")</f>
        <v>-41.240900000000003</v>
      </c>
      <c r="Z35" s="14">
        <f>_xll.BDH("GILD US Equity","FCF_TO_FIRM_1_YEAR_GROWTH","FQ3 2024","FQ3 2024","Currency=USD","Period=FQ","BEST_FPERIOD_OVERRIDE=FQ","FILING_STATUS=MR","FA_ADJUSTED=GAAP","Sort=A","Dates=H","DateFormat=P","Fill=—","Direction=H","UseDPDF=Y")</f>
        <v>133.5805</v>
      </c>
      <c r="AA35" s="14">
        <f>_xll.BDH("GILD US Equity","FCF_TO_FIRM_1_YEAR_GROWTH","FQ4 2024","FQ4 2024","Currency=USD","Period=FQ","BEST_FPERIOD_OVERRIDE=FQ","FILING_STATUS=MR","FA_ADJUSTED=GAAP","Sort=A","Dates=H","DateFormat=P","Fill=—","Direction=H","UseDPDF=Y")</f>
        <v>39.720199999999998</v>
      </c>
    </row>
    <row r="36" spans="1:27" x14ac:dyDescent="0.25">
      <c r="A36" s="10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5">
      <c r="A37" s="6" t="s">
        <v>1552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x14ac:dyDescent="0.25">
      <c r="A38" s="10" t="s">
        <v>0</v>
      </c>
      <c r="B38" s="10" t="s">
        <v>1553</v>
      </c>
      <c r="C38" s="14">
        <f>_xll.BDH("GILD US Equity","GEO_GROW_NET_SALES","FQ4 2018","FQ4 2018","Currency=USD","Period=FQ","BEST_FPERIOD_OVERRIDE=FQ","FILING_STATUS=MR","FA_ADJUSTED=GAAP","Sort=A","Dates=H","DateFormat=P","Fill=—","Direction=H","UseDPDF=Y")</f>
        <v>13.182600000000001</v>
      </c>
      <c r="D38" s="14">
        <f>_xll.BDH("GILD US Equity","GEO_GROW_NET_SALES","FQ1 2019","FQ1 2019","Currency=USD","Period=FQ","BEST_FPERIOD_OVERRIDE=FQ","FILING_STATUS=MR","FA_ADJUSTED=GAAP","Sort=A","Dates=H","DateFormat=P","Fill=—","Direction=H","UseDPDF=Y")</f>
        <v>1.1037999999999999</v>
      </c>
      <c r="E38" s="14">
        <f>_xll.BDH("GILD US Equity","GEO_GROW_NET_SALES","FQ2 2019","FQ2 2019","Currency=USD","Period=FQ","BEST_FPERIOD_OVERRIDE=FQ","FILING_STATUS=MR","FA_ADJUSTED=GAAP","Sort=A","Dates=H","DateFormat=P","Fill=—","Direction=H","UseDPDF=Y")</f>
        <v>-2.7482000000000002</v>
      </c>
      <c r="F38" s="14">
        <f>_xll.BDH("GILD US Equity","GEO_GROW_NET_SALES","FQ3 2019","FQ3 2019","Currency=USD","Period=FQ","BEST_FPERIOD_OVERRIDE=FQ","FILING_STATUS=MR","FA_ADJUSTED=GAAP","Sort=A","Dates=H","DateFormat=P","Fill=—","Direction=H","UseDPDF=Y")</f>
        <v>-1.4933000000000001</v>
      </c>
      <c r="G38" s="14">
        <f>_xll.BDH("GILD US Equity","GEO_GROW_NET_SALES","FQ4 2019","FQ4 2019","Currency=USD","Period=FQ","BEST_FPERIOD_OVERRIDE=FQ","FILING_STATUS=MR","FA_ADJUSTED=GAAP","Sort=A","Dates=H","DateFormat=P","Fill=—","Direction=H","UseDPDF=Y")</f>
        <v>-4.274</v>
      </c>
      <c r="H38" s="14">
        <f>_xll.BDH("GILD US Equity","GEO_GROW_NET_SALES","FQ1 2020","FQ1 2020","Currency=USD","Period=FQ","BEST_FPERIOD_OVERRIDE=FQ","FILING_STATUS=MR","FA_ADJUSTED=GAAP","Sort=A","Dates=H","DateFormat=P","Fill=—","Direction=H","UseDPDF=Y")</f>
        <v>-6.0853999999999999</v>
      </c>
      <c r="I38" s="14">
        <f>_xll.BDH("GILD US Equity","GEO_GROW_NET_SALES","FQ2 2020","FQ2 2020","Currency=USD","Period=FQ","BEST_FPERIOD_OVERRIDE=FQ","FILING_STATUS=MR","FA_ADJUSTED=GAAP","Sort=A","Dates=H","DateFormat=P","Fill=—","Direction=H","UseDPDF=Y")</f>
        <v>-9.0053999999999998</v>
      </c>
      <c r="J38" s="14">
        <f>_xll.BDH("GILD US Equity","GEO_GROW_NET_SALES","FQ3 2020","FQ3 2020","Currency=USD","Period=FQ","BEST_FPERIOD_OVERRIDE=FQ","FILING_STATUS=MR","FA_ADJUSTED=GAAP","Sort=A","Dates=H","DateFormat=P","Fill=—","Direction=H","UseDPDF=Y")</f>
        <v>-4.5354000000000001</v>
      </c>
      <c r="K38" s="14">
        <f>_xll.BDH("GILD US Equity","GEO_GROW_NET_SALES","FQ4 2020","FQ4 2020","Currency=USD","Period=FQ","BEST_FPERIOD_OVERRIDE=FQ","FILING_STATUS=MR","FA_ADJUSTED=GAAP","Sort=A","Dates=H","DateFormat=P","Fill=—","Direction=H","UseDPDF=Y")</f>
        <v>-2.6922999999999999</v>
      </c>
      <c r="L38" s="14">
        <f>_xll.BDH("GILD US Equity","GEO_GROW_NET_SALES","FQ1 2021","FQ1 2021","Currency=USD","Period=FQ","BEST_FPERIOD_OVERRIDE=FQ","FILING_STATUS=MR","FA_ADJUSTED=GAAP","Sort=A","Dates=H","DateFormat=P","Fill=—","Direction=H","UseDPDF=Y")</f>
        <v>-3.7955000000000001</v>
      </c>
      <c r="M38" s="14">
        <f>_xll.BDH("GILD US Equity","GEO_GROW_NET_SALES","FQ2 2021","FQ2 2021","Currency=USD","Period=FQ","BEST_FPERIOD_OVERRIDE=FQ","FILING_STATUS=MR","FA_ADJUSTED=GAAP","Sort=A","Dates=H","DateFormat=P","Fill=—","Direction=H","UseDPDF=Y")</f>
        <v>-4.3764000000000003</v>
      </c>
      <c r="N38" s="14">
        <f>_xll.BDH("GILD US Equity","GEO_GROW_NET_SALES","FQ3 2021","FQ3 2021","Currency=USD","Period=FQ","BEST_FPERIOD_OVERRIDE=FQ","FILING_STATUS=MR","FA_ADJUSTED=GAAP","Sort=A","Dates=H","DateFormat=P","Fill=—","Direction=H","UseDPDF=Y")</f>
        <v>-0.21160000000000001</v>
      </c>
      <c r="O38" s="14">
        <f>_xll.BDH("GILD US Equity","GEO_GROW_NET_SALES","FQ4 2021","FQ4 2021","Currency=USD","Period=FQ","BEST_FPERIOD_OVERRIDE=FQ","FILING_STATUS=MR","FA_ADJUSTED=GAAP","Sort=A","Dates=H","DateFormat=P","Fill=—","Direction=H","UseDPDF=Y")</f>
        <v>-0.20849999999999999</v>
      </c>
      <c r="P38" s="14">
        <f>_xll.BDH("GILD US Equity","GEO_GROW_NET_SALES","FQ1 2022","FQ1 2022","Currency=USD","Period=FQ","BEST_FPERIOD_OVERRIDE=FQ","FILING_STATUS=MR","FA_ADJUSTED=GAAP","Sort=A","Dates=H","DateFormat=P","Fill=—","Direction=H","UseDPDF=Y")</f>
        <v>0.26</v>
      </c>
      <c r="Q38" s="14">
        <f>_xll.BDH("GILD US Equity","GEO_GROW_NET_SALES","FQ2 2022","FQ2 2022","Currency=USD","Period=FQ","BEST_FPERIOD_OVERRIDE=FQ","FILING_STATUS=MR","FA_ADJUSTED=GAAP","Sort=A","Dates=H","DateFormat=P","Fill=—","Direction=H","UseDPDF=Y")</f>
        <v>-2.5991</v>
      </c>
      <c r="R38" s="14">
        <f>_xll.BDH("GILD US Equity","GEO_GROW_NET_SALES","FQ3 2022","FQ3 2022","Currency=USD","Period=FQ","BEST_FPERIOD_OVERRIDE=FQ","FILING_STATUS=MR","FA_ADJUSTED=GAAP","Sort=A","Dates=H","DateFormat=P","Fill=—","Direction=H","UseDPDF=Y")</f>
        <v>1.5771999999999999</v>
      </c>
      <c r="S38" s="14">
        <f>_xll.BDH("GILD US Equity","GEO_GROW_NET_SALES","FQ4 2022","FQ4 2022","Currency=USD","Period=FQ","BEST_FPERIOD_OVERRIDE=FQ","FILING_STATUS=MR","FA_ADJUSTED=GAAP","Sort=A","Dates=H","DateFormat=P","Fill=—","Direction=H","UseDPDF=Y")</f>
        <v>4.4306999999999999</v>
      </c>
      <c r="T38" s="14">
        <f>_xll.BDH("GILD US Equity","GEO_GROW_NET_SALES","FQ1 2023","FQ1 2023","Currency=USD","Period=FQ","BEST_FPERIOD_OVERRIDE=FQ","FILING_STATUS=MR","FA_ADJUSTED=GAAP","Sort=A","Dates=H","DateFormat=P","Fill=—","Direction=H","UseDPDF=Y")</f>
        <v>4.5376000000000003</v>
      </c>
      <c r="U38" s="14">
        <f>_xll.BDH("GILD US Equity","GEO_GROW_NET_SALES","FQ2 2023","FQ2 2023","Currency=USD","Period=FQ","BEST_FPERIOD_OVERRIDE=FQ","FILING_STATUS=MR","FA_ADJUSTED=GAAP","Sort=A","Dates=H","DateFormat=P","Fill=—","Direction=H","UseDPDF=Y")</f>
        <v>3.1613000000000002</v>
      </c>
      <c r="V38" s="14">
        <f>_xll.BDH("GILD US Equity","GEO_GROW_NET_SALES","FQ3 2023","FQ3 2023","Currency=USD","Period=FQ","BEST_FPERIOD_OVERRIDE=FQ","FILING_STATUS=MR","FA_ADJUSTED=GAAP","Sort=A","Dates=H","DateFormat=P","Fill=—","Direction=H","UseDPDF=Y")</f>
        <v>4.7308000000000003</v>
      </c>
      <c r="W38" s="14">
        <f>_xll.BDH("GILD US Equity","GEO_GROW_NET_SALES","FQ4 2023","FQ4 2023","Currency=USD","Period=FQ","BEST_FPERIOD_OVERRIDE=FQ","FILING_STATUS=MR","FA_ADJUSTED=GAAP","Sort=A","Dates=H","DateFormat=P","Fill=—","Direction=H","UseDPDF=Y")</f>
        <v>4.1896000000000004</v>
      </c>
      <c r="X38" s="14">
        <f>_xll.BDH("GILD US Equity","GEO_GROW_NET_SALES","FQ1 2024","FQ1 2024","Currency=USD","Period=FQ","BEST_FPERIOD_OVERRIDE=FQ","FILING_STATUS=MR","FA_ADJUSTED=GAAP","Sort=A","Dates=H","DateFormat=P","Fill=—","Direction=H","UseDPDF=Y")</f>
        <v>4.8311000000000002</v>
      </c>
      <c r="Y38" s="14">
        <f>_xll.BDH("GILD US Equity","GEO_GROW_NET_SALES","FQ2 2024","FQ2 2024","Currency=USD","Period=FQ","BEST_FPERIOD_OVERRIDE=FQ","FILING_STATUS=MR","FA_ADJUSTED=GAAP","Sort=A","Dates=H","DateFormat=P","Fill=—","Direction=H","UseDPDF=Y")</f>
        <v>4.109</v>
      </c>
      <c r="Z38" s="14">
        <f>_xll.BDH("GILD US Equity","GEO_GROW_NET_SALES","FQ3 2024","FQ3 2024","Currency=USD","Period=FQ","BEST_FPERIOD_OVERRIDE=FQ","FILING_STATUS=MR","FA_ADJUSTED=GAAP","Sort=A","Dates=H","DateFormat=P","Fill=—","Direction=H","UseDPDF=Y")</f>
        <v>6.1284999999999998</v>
      </c>
      <c r="AA38" s="14">
        <f>_xll.BDH("GILD US Equity","GEO_GROW_NET_SALES","FQ4 2024","FQ4 2024","Currency=USD","Period=FQ","BEST_FPERIOD_OVERRIDE=FQ","FILING_STATUS=MR","FA_ADJUSTED=GAAP","Sort=A","Dates=H","DateFormat=P","Fill=—","Direction=H","UseDPDF=Y")</f>
        <v>5.1833999999999998</v>
      </c>
    </row>
    <row r="39" spans="1:27" x14ac:dyDescent="0.25">
      <c r="A39" s="10" t="s">
        <v>78</v>
      </c>
      <c r="B39" s="10" t="s">
        <v>1554</v>
      </c>
      <c r="C39" s="14">
        <f>_xll.BDH("GILD US Equity","GEO_GROW_EBITDA","FQ4 2018","FQ4 2018","Currency=USD","Period=FQ","BEST_FPERIOD_OVERRIDE=FQ","FILING_STATUS=MR","FA_ADJUSTED=GAAP","Sort=A","Dates=H","DateFormat=P","Fill=—","Direction=H","UseDPDF=Y")</f>
        <v>2.5354999999999999</v>
      </c>
      <c r="D39" s="14">
        <f>_xll.BDH("GILD US Equity","GEO_GROW_EBITDA","FQ1 2019","FQ1 2019","Currency=USD","Period=FQ","BEST_FPERIOD_OVERRIDE=FQ","FILING_STATUS=MR","FA_ADJUSTED=GAAP","Sort=A","Dates=H","DateFormat=P","Fill=—","Direction=H","UseDPDF=Y")</f>
        <v>-4.3280000000000003</v>
      </c>
      <c r="E39" s="14">
        <f>_xll.BDH("GILD US Equity","GEO_GROW_EBITDA","FQ2 2019","FQ2 2019","Currency=USD","Period=FQ","BEST_FPERIOD_OVERRIDE=FQ","FILING_STATUS=MR","FA_ADJUSTED=GAAP","Sort=A","Dates=H","DateFormat=P","Fill=—","Direction=H","UseDPDF=Y")</f>
        <v>-9.6593</v>
      </c>
      <c r="F39" s="14" t="str">
        <f>_xll.BDH("GILD US Equity","GEO_GROW_EBITDA","FQ3 2019","FQ3 2019","Currency=USD","Period=FQ","BEST_FPERIOD_OVERRIDE=FQ","FILING_STATUS=MR","FA_ADJUSTED=GAAP","Sort=A","Dates=H","DateFormat=P","Fill=—","Direction=H","UseDPDF=Y")</f>
        <v>—</v>
      </c>
      <c r="G39" s="14">
        <f>_xll.BDH("GILD US Equity","GEO_GROW_EBITDA","FQ4 2019","FQ4 2019","Currency=USD","Period=FQ","BEST_FPERIOD_OVERRIDE=FQ","FILING_STATUS=MR","FA_ADJUSTED=GAAP","Sort=A","Dates=H","DateFormat=P","Fill=—","Direction=H","UseDPDF=Y")</f>
        <v>-20.235600000000002</v>
      </c>
      <c r="H39" s="14">
        <f>_xll.BDH("GILD US Equity","GEO_GROW_EBITDA","FQ1 2020","FQ1 2020","Currency=USD","Period=FQ","BEST_FPERIOD_OVERRIDE=FQ","FILING_STATUS=MR","FA_ADJUSTED=GAAP","Sort=A","Dates=H","DateFormat=P","Fill=—","Direction=H","UseDPDF=Y")</f>
        <v>-13.3752</v>
      </c>
      <c r="I39" s="14" t="str">
        <f>_xll.BDH("GILD US Equity","GEO_GROW_EBITDA","FQ2 2020","FQ2 2020","Currency=USD","Period=FQ","BEST_FPERIOD_OVERRIDE=FQ","FILING_STATUS=MR","FA_ADJUSTED=GAAP","Sort=A","Dates=H","DateFormat=P","Fill=—","Direction=H","UseDPDF=Y")</f>
        <v>—</v>
      </c>
      <c r="J39" s="14">
        <f>_xll.BDH("GILD US Equity","GEO_GROW_EBITDA","FQ3 2020","FQ3 2020","Currency=USD","Period=FQ","BEST_FPERIOD_OVERRIDE=FQ","FILING_STATUS=MR","FA_ADJUSTED=GAAP","Sort=A","Dates=H","DateFormat=P","Fill=—","Direction=H","UseDPDF=Y")</f>
        <v>-16.668099999999999</v>
      </c>
      <c r="K39" s="14">
        <f>_xll.BDH("GILD US Equity","GEO_GROW_EBITDA","FQ4 2020","FQ4 2020","Currency=USD","Period=FQ","BEST_FPERIOD_OVERRIDE=FQ","FILING_STATUS=MR","FA_ADJUSTED=GAAP","Sort=A","Dates=H","DateFormat=P","Fill=—","Direction=H","UseDPDF=Y")</f>
        <v>-12.199299999999999</v>
      </c>
      <c r="L39" s="14">
        <f>_xll.BDH("GILD US Equity","GEO_GROW_EBITDA","FQ1 2021","FQ1 2021","Currency=USD","Period=FQ","BEST_FPERIOD_OVERRIDE=FQ","FILING_STATUS=MR","FA_ADJUSTED=GAAP","Sort=A","Dates=H","DateFormat=P","Fill=—","Direction=H","UseDPDF=Y")</f>
        <v>-7.3798000000000004</v>
      </c>
      <c r="M39" s="14">
        <f>_xll.BDH("GILD US Equity","GEO_GROW_EBITDA","FQ2 2021","FQ2 2021","Currency=USD","Period=FQ","BEST_FPERIOD_OVERRIDE=FQ","FILING_STATUS=MR","FA_ADJUSTED=GAAP","Sort=A","Dates=H","DateFormat=P","Fill=—","Direction=H","UseDPDF=Y")</f>
        <v>-10.5267</v>
      </c>
      <c r="N39" s="14">
        <f>_xll.BDH("GILD US Equity","GEO_GROW_EBITDA","FQ3 2021","FQ3 2021","Currency=USD","Period=FQ","BEST_FPERIOD_OVERRIDE=FQ","FILING_STATUS=MR","FA_ADJUSTED=GAAP","Sort=A","Dates=H","DateFormat=P","Fill=—","Direction=H","UseDPDF=Y")</f>
        <v>-1.4596</v>
      </c>
      <c r="O39" s="14">
        <f>_xll.BDH("GILD US Equity","GEO_GROW_EBITDA","FQ4 2021","FQ4 2021","Currency=USD","Period=FQ","BEST_FPERIOD_OVERRIDE=FQ","FILING_STATUS=MR","FA_ADJUSTED=GAAP","Sort=A","Dates=H","DateFormat=P","Fill=—","Direction=H","UseDPDF=Y")</f>
        <v>-19.402699999999999</v>
      </c>
      <c r="P39" s="14">
        <f>_xll.BDH("GILD US Equity","GEO_GROW_EBITDA","FQ1 2022","FQ1 2022","Currency=USD","Period=FQ","BEST_FPERIOD_OVERRIDE=FQ","FILING_STATUS=MR","FA_ADJUSTED=GAAP","Sort=A","Dates=H","DateFormat=P","Fill=—","Direction=H","UseDPDF=Y")</f>
        <v>-29.208500000000001</v>
      </c>
      <c r="Q39" s="14">
        <f>_xll.BDH("GILD US Equity","GEO_GROW_EBITDA","FQ2 2022","FQ2 2022","Currency=USD","Period=FQ","BEST_FPERIOD_OVERRIDE=FQ","FILING_STATUS=MR","FA_ADJUSTED=GAAP","Sort=A","Dates=H","DateFormat=P","Fill=—","Direction=H","UseDPDF=Y")</f>
        <v>-10.9152</v>
      </c>
      <c r="R39" s="14">
        <f>_xll.BDH("GILD US Equity","GEO_GROW_EBITDA","FQ3 2022","FQ3 2022","Currency=USD","Period=FQ","BEST_FPERIOD_OVERRIDE=FQ","FILING_STATUS=MR","FA_ADJUSTED=GAAP","Sort=A","Dates=H","DateFormat=P","Fill=—","Direction=H","UseDPDF=Y")</f>
        <v>-3.9333999999999998</v>
      </c>
      <c r="S39" s="14">
        <f>_xll.BDH("GILD US Equity","GEO_GROW_EBITDA","FQ4 2022","FQ4 2022","Currency=USD","Period=FQ","BEST_FPERIOD_OVERRIDE=FQ","FILING_STATUS=MR","FA_ADJUSTED=GAAP","Sort=A","Dates=H","DateFormat=P","Fill=—","Direction=H","UseDPDF=Y")</f>
        <v>0.78369999999999995</v>
      </c>
      <c r="T39" s="14">
        <f>_xll.BDH("GILD US Equity","GEO_GROW_EBITDA","FQ1 2023","FQ1 2023","Currency=USD","Period=FQ","BEST_FPERIOD_OVERRIDE=FQ","FILING_STATUS=MR","FA_ADJUSTED=GAAP","Sort=A","Dates=H","DateFormat=P","Fill=—","Direction=H","UseDPDF=Y")</f>
        <v>-1.3507</v>
      </c>
      <c r="U39" s="14">
        <f>_xll.BDH("GILD US Equity","GEO_GROW_EBITDA","FQ2 2023","FQ2 2023","Currency=USD","Period=FQ","BEST_FPERIOD_OVERRIDE=FQ","FILING_STATUS=MR","FA_ADJUSTED=GAAP","Sort=A","Dates=H","DateFormat=P","Fill=—","Direction=H","UseDPDF=Y")</f>
        <v>-2.3041</v>
      </c>
      <c r="V39" s="14">
        <f>_xll.BDH("GILD US Equity","GEO_GROW_EBITDA","FQ3 2023","FQ3 2023","Currency=USD","Period=FQ","BEST_FPERIOD_OVERRIDE=FQ","FILING_STATUS=MR","FA_ADJUSTED=GAAP","Sort=A","Dates=H","DateFormat=P","Fill=—","Direction=H","UseDPDF=Y")</f>
        <v>2.0973000000000002</v>
      </c>
      <c r="W39" s="14">
        <f>_xll.BDH("GILD US Equity","GEO_GROW_EBITDA","FQ4 2023","FQ4 2023","Currency=USD","Period=FQ","BEST_FPERIOD_OVERRIDE=FQ","FILING_STATUS=MR","FA_ADJUSTED=GAAP","Sort=A","Dates=H","DateFormat=P","Fill=—","Direction=H","UseDPDF=Y")</f>
        <v>8.8958999999999993</v>
      </c>
      <c r="X39" s="14" t="str">
        <f>_xll.BDH("GILD US Equity","GEO_GROW_EBITDA","FQ1 2024","FQ1 2024","Currency=USD","Period=FQ","BEST_FPERIOD_OVERRIDE=FQ","FILING_STATUS=MR","FA_ADJUSTED=GAAP","Sort=A","Dates=H","DateFormat=P","Fill=—","Direction=H","UseDPDF=Y")</f>
        <v>—</v>
      </c>
      <c r="Y39" s="14">
        <f>_xll.BDH("GILD US Equity","GEO_GROW_EBITDA","FQ2 2024","FQ2 2024","Currency=USD","Period=FQ","BEST_FPERIOD_OVERRIDE=FQ","FILING_STATUS=MR","FA_ADJUSTED=GAAP","Sort=A","Dates=H","DateFormat=P","Fill=—","Direction=H","UseDPDF=Y")</f>
        <v>3.4596</v>
      </c>
      <c r="Z39" s="14" t="str">
        <f>_xll.BDH("GILD US Equity","GEO_GROW_EBITDA","FQ3 2024","FQ3 2024","Currency=USD","Period=FQ","BEST_FPERIOD_OVERRIDE=FQ","FILING_STATUS=MR","FA_ADJUSTED=GAAP","Sort=A","Dates=H","DateFormat=P","Fill=—","Direction=H","UseDPDF=Y")</f>
        <v>—</v>
      </c>
      <c r="AA39" s="14">
        <f>_xll.BDH("GILD US Equity","GEO_GROW_EBITDA","FQ4 2024","FQ4 2024","Currency=USD","Period=FQ","BEST_FPERIOD_OVERRIDE=FQ","FILING_STATUS=MR","FA_ADJUSTED=GAAP","Sort=A","Dates=H","DateFormat=P","Fill=—","Direction=H","UseDPDF=Y")</f>
        <v>16.154</v>
      </c>
    </row>
    <row r="40" spans="1:27" x14ac:dyDescent="0.25">
      <c r="A40" s="10" t="s">
        <v>98</v>
      </c>
      <c r="B40" s="10" t="s">
        <v>1555</v>
      </c>
      <c r="C40" s="14">
        <f>_xll.BDH("GILD US Equity","GEO_GROW_OPER_INC","FQ4 2018","FQ4 2018","Currency=USD","Period=FQ","BEST_FPERIOD_OVERRIDE=FQ","FILING_STATUS=MR","FA_ADJUSTED=GAAP","Sort=A","Dates=H","DateFormat=P","Fill=—","Direction=H","UseDPDF=Y")</f>
        <v>-0.90169999999999995</v>
      </c>
      <c r="D40" s="14">
        <f>_xll.BDH("GILD US Equity","GEO_GROW_OPER_INC","FQ1 2019","FQ1 2019","Currency=USD","Period=FQ","BEST_FPERIOD_OVERRIDE=FQ","FILING_STATUS=MR","FA_ADJUSTED=GAAP","Sort=A","Dates=H","DateFormat=P","Fill=—","Direction=H","UseDPDF=Y")</f>
        <v>-5.9664999999999999</v>
      </c>
      <c r="E40" s="14">
        <f>_xll.BDH("GILD US Equity","GEO_GROW_OPER_INC","FQ2 2019","FQ2 2019","Currency=USD","Period=FQ","BEST_FPERIOD_OVERRIDE=FQ","FILING_STATUS=MR","FA_ADJUSTED=GAAP","Sort=A","Dates=H","DateFormat=P","Fill=—","Direction=H","UseDPDF=Y")</f>
        <v>-11.2478</v>
      </c>
      <c r="F40" s="14" t="str">
        <f>_xll.BDH("GILD US Equity","GEO_GROW_OPER_INC","FQ3 2019","FQ3 2019","Currency=USD","Period=FQ","BEST_FPERIOD_OVERRIDE=FQ","FILING_STATUS=MR","FA_ADJUSTED=GAAP","Sort=A","Dates=H","DateFormat=P","Fill=—","Direction=H","UseDPDF=Y")</f>
        <v>—</v>
      </c>
      <c r="G40" s="14">
        <f>_xll.BDH("GILD US Equity","GEO_GROW_OPER_INC","FQ4 2019","FQ4 2019","Currency=USD","Period=FQ","BEST_FPERIOD_OVERRIDE=FQ","FILING_STATUS=MR","FA_ADJUSTED=GAAP","Sort=A","Dates=H","DateFormat=P","Fill=—","Direction=H","UseDPDF=Y")</f>
        <v>-24.067699999999999</v>
      </c>
      <c r="H40" s="14">
        <f>_xll.BDH("GILD US Equity","GEO_GROW_OPER_INC","FQ1 2020","FQ1 2020","Currency=USD","Period=FQ","BEST_FPERIOD_OVERRIDE=FQ","FILING_STATUS=MR","FA_ADJUSTED=GAAP","Sort=A","Dates=H","DateFormat=P","Fill=—","Direction=H","UseDPDF=Y")</f>
        <v>-14.8659</v>
      </c>
      <c r="I40" s="14" t="str">
        <f>_xll.BDH("GILD US Equity","GEO_GROW_OPER_INC","FQ2 2020","FQ2 2020","Currency=USD","Period=FQ","BEST_FPERIOD_OVERRIDE=FQ","FILING_STATUS=MR","FA_ADJUSTED=GAAP","Sort=A","Dates=H","DateFormat=P","Fill=—","Direction=H","UseDPDF=Y")</f>
        <v>—</v>
      </c>
      <c r="J40" s="14">
        <f>_xll.BDH("GILD US Equity","GEO_GROW_OPER_INC","FQ3 2020","FQ3 2020","Currency=USD","Period=FQ","BEST_FPERIOD_OVERRIDE=FQ","FILING_STATUS=MR","FA_ADJUSTED=GAAP","Sort=A","Dates=H","DateFormat=P","Fill=—","Direction=H","UseDPDF=Y")</f>
        <v>-18.558700000000002</v>
      </c>
      <c r="K40" s="14">
        <f>_xll.BDH("GILD US Equity","GEO_GROW_OPER_INC","FQ4 2020","FQ4 2020","Currency=USD","Period=FQ","BEST_FPERIOD_OVERRIDE=FQ","FILING_STATUS=MR","FA_ADJUSTED=GAAP","Sort=A","Dates=H","DateFormat=P","Fill=—","Direction=H","UseDPDF=Y")</f>
        <v>-13.956300000000001</v>
      </c>
      <c r="L40" s="14">
        <f>_xll.BDH("GILD US Equity","GEO_GROW_OPER_INC","FQ1 2021","FQ1 2021","Currency=USD","Period=FQ","BEST_FPERIOD_OVERRIDE=FQ","FILING_STATUS=MR","FA_ADJUSTED=GAAP","Sort=A","Dates=H","DateFormat=P","Fill=—","Direction=H","UseDPDF=Y")</f>
        <v>-9.0777000000000001</v>
      </c>
      <c r="M40" s="14">
        <f>_xll.BDH("GILD US Equity","GEO_GROW_OPER_INC","FQ2 2021","FQ2 2021","Currency=USD","Period=FQ","BEST_FPERIOD_OVERRIDE=FQ","FILING_STATUS=MR","FA_ADJUSTED=GAAP","Sort=A","Dates=H","DateFormat=P","Fill=—","Direction=H","UseDPDF=Y")</f>
        <v>-13.122199999999999</v>
      </c>
      <c r="N40" s="14">
        <f>_xll.BDH("GILD US Equity","GEO_GROW_OPER_INC","FQ3 2021","FQ3 2021","Currency=USD","Period=FQ","BEST_FPERIOD_OVERRIDE=FQ","FILING_STATUS=MR","FA_ADJUSTED=GAAP","Sort=A","Dates=H","DateFormat=P","Fill=—","Direction=H","UseDPDF=Y")</f>
        <v>-2.6714000000000002</v>
      </c>
      <c r="O40" s="14">
        <f>_xll.BDH("GILD US Equity","GEO_GROW_OPER_INC","FQ4 2021","FQ4 2021","Currency=USD","Period=FQ","BEST_FPERIOD_OVERRIDE=FQ","FILING_STATUS=MR","FA_ADJUSTED=GAAP","Sort=A","Dates=H","DateFormat=P","Fill=—","Direction=H","UseDPDF=Y")</f>
        <v>-25.313500000000001</v>
      </c>
      <c r="P40" s="14">
        <f>_xll.BDH("GILD US Equity","GEO_GROW_OPER_INC","FQ1 2022","FQ1 2022","Currency=USD","Period=FQ","BEST_FPERIOD_OVERRIDE=FQ","FILING_STATUS=MR","FA_ADJUSTED=GAAP","Sort=A","Dates=H","DateFormat=P","Fill=—","Direction=H","UseDPDF=Y")</f>
        <v>-44.576500000000003</v>
      </c>
      <c r="Q40" s="14">
        <f>_xll.BDH("GILD US Equity","GEO_GROW_OPER_INC","FQ2 2022","FQ2 2022","Currency=USD","Period=FQ","BEST_FPERIOD_OVERRIDE=FQ","FILING_STATUS=MR","FA_ADJUSTED=GAAP","Sort=A","Dates=H","DateFormat=P","Fill=—","Direction=H","UseDPDF=Y")</f>
        <v>-13.7624</v>
      </c>
      <c r="R40" s="14">
        <f>_xll.BDH("GILD US Equity","GEO_GROW_OPER_INC","FQ3 2022","FQ3 2022","Currency=USD","Period=FQ","BEST_FPERIOD_OVERRIDE=FQ","FILING_STATUS=MR","FA_ADJUSTED=GAAP","Sort=A","Dates=H","DateFormat=P","Fill=—","Direction=H","UseDPDF=Y")</f>
        <v>-5.7370000000000001</v>
      </c>
      <c r="S40" s="14">
        <f>_xll.BDH("GILD US Equity","GEO_GROW_OPER_INC","FQ4 2022","FQ4 2022","Currency=USD","Period=FQ","BEST_FPERIOD_OVERRIDE=FQ","FILING_STATUS=MR","FA_ADJUSTED=GAAP","Sort=A","Dates=H","DateFormat=P","Fill=—","Direction=H","UseDPDF=Y")</f>
        <v>-0.2104</v>
      </c>
      <c r="T40" s="14">
        <f>_xll.BDH("GILD US Equity","GEO_GROW_OPER_INC","FQ1 2023","FQ1 2023","Currency=USD","Period=FQ","BEST_FPERIOD_OVERRIDE=FQ","FILING_STATUS=MR","FA_ADJUSTED=GAAP","Sort=A","Dates=H","DateFormat=P","Fill=—","Direction=H","UseDPDF=Y")</f>
        <v>-4.5587999999999997</v>
      </c>
      <c r="U40" s="14">
        <f>_xll.BDH("GILD US Equity","GEO_GROW_OPER_INC","FQ2 2023","FQ2 2023","Currency=USD","Period=FQ","BEST_FPERIOD_OVERRIDE=FQ","FILING_STATUS=MR","FA_ADJUSTED=GAAP","Sort=A","Dates=H","DateFormat=P","Fill=—","Direction=H","UseDPDF=Y")</f>
        <v>-6.0934999999999997</v>
      </c>
      <c r="V40" s="14">
        <f>_xll.BDH("GILD US Equity","GEO_GROW_OPER_INC","FQ3 2023","FQ3 2023","Currency=USD","Period=FQ","BEST_FPERIOD_OVERRIDE=FQ","FILING_STATUS=MR","FA_ADJUSTED=GAAP","Sort=A","Dates=H","DateFormat=P","Fill=—","Direction=H","UseDPDF=Y")</f>
        <v>0</v>
      </c>
      <c r="W40" s="14">
        <f>_xll.BDH("GILD US Equity","GEO_GROW_OPER_INC","FQ4 2023","FQ4 2023","Currency=USD","Period=FQ","BEST_FPERIOD_OVERRIDE=FQ","FILING_STATUS=MR","FA_ADJUSTED=GAAP","Sort=A","Dates=H","DateFormat=P","Fill=—","Direction=H","UseDPDF=Y")</f>
        <v>7.0995999999999997</v>
      </c>
      <c r="X40" s="14" t="str">
        <f>_xll.BDH("GILD US Equity","GEO_GROW_OPER_INC","FQ1 2024","FQ1 2024","Currency=USD","Period=FQ","BEST_FPERIOD_OVERRIDE=FQ","FILING_STATUS=MR","FA_ADJUSTED=GAAP","Sort=A","Dates=H","DateFormat=P","Fill=—","Direction=H","UseDPDF=Y")</f>
        <v>—</v>
      </c>
      <c r="Y40" s="14">
        <f>_xll.BDH("GILD US Equity","GEO_GROW_OPER_INC","FQ2 2024","FQ2 2024","Currency=USD","Period=FQ","BEST_FPERIOD_OVERRIDE=FQ","FILING_STATUS=MR","FA_ADJUSTED=GAAP","Sort=A","Dates=H","DateFormat=P","Fill=—","Direction=H","UseDPDF=Y")</f>
        <v>1.7023999999999999</v>
      </c>
      <c r="Z40" s="14" t="str">
        <f>_xll.BDH("GILD US Equity","GEO_GROW_OPER_INC","FQ3 2024","FQ3 2024","Currency=USD","Period=FQ","BEST_FPERIOD_OVERRIDE=FQ","FILING_STATUS=MR","FA_ADJUSTED=GAAP","Sort=A","Dates=H","DateFormat=P","Fill=—","Direction=H","UseDPDF=Y")</f>
        <v>—</v>
      </c>
      <c r="AA40" s="14">
        <f>_xll.BDH("GILD US Equity","GEO_GROW_OPER_INC","FQ4 2024","FQ4 2024","Currency=USD","Period=FQ","BEST_FPERIOD_OVERRIDE=FQ","FILING_STATUS=MR","FA_ADJUSTED=GAAP","Sort=A","Dates=H","DateFormat=P","Fill=—","Direction=H","UseDPDF=Y")</f>
        <v>17.5289</v>
      </c>
    </row>
    <row r="41" spans="1:27" x14ac:dyDescent="0.25">
      <c r="A41" s="10" t="s">
        <v>100</v>
      </c>
      <c r="B41" s="10" t="s">
        <v>1556</v>
      </c>
      <c r="C41" s="14">
        <f>_xll.BDH("GILD US Equity","NET_INCOME_TO_COMMON_5_YR_GROWTH","FQ4 2018","FQ4 2018","Currency=USD","Period=FQ","BEST_FPERIOD_OVERRIDE=FQ","FILING_STATUS=MR","FA_ADJUSTED=GAAP","Sort=A","Dates=H","DateFormat=P","Fill=—","Direction=H","UseDPDF=Y")</f>
        <v>-67.206400000000002</v>
      </c>
      <c r="D41" s="14">
        <f>_xll.BDH("GILD US Equity","NET_INCOME_TO_COMMON_5_YR_GROWTH","FQ1 2019","FQ1 2019","Currency=USD","Period=FQ","BEST_FPERIOD_OVERRIDE=FQ","FILING_STATUS=MR","FA_ADJUSTED=GAAP","Sort=A","Dates=H","DateFormat=P","Fill=—","Direction=H","UseDPDF=Y")</f>
        <v>-2.3767</v>
      </c>
      <c r="E41" s="14">
        <f>_xll.BDH("GILD US Equity","NET_INCOME_TO_COMMON_5_YR_GROWTH","FQ2 2019","FQ2 2019","Currency=USD","Period=FQ","BEST_FPERIOD_OVERRIDE=FQ","FILING_STATUS=MR","FA_ADJUSTED=GAAP","Sort=A","Dates=H","DateFormat=P","Fill=—","Direction=H","UseDPDF=Y")</f>
        <v>-12.4533</v>
      </c>
      <c r="F41" s="14" t="str">
        <f>_xll.BDH("GILD US Equity","NET_INCOME_TO_COMMON_5_YR_GROWTH","FQ3 2019","FQ3 2019","Currency=USD","Period=FQ","BEST_FPERIOD_OVERRIDE=FQ","FILING_STATUS=MR","FA_ADJUSTED=GAAP","Sort=A","Dates=H","DateFormat=P","Fill=—","Direction=H","UseDPDF=Y")</f>
        <v>—</v>
      </c>
      <c r="G41" s="14">
        <f>_xll.BDH("GILD US Equity","NET_INCOME_TO_COMMON_5_YR_GROWTH","FQ4 2019","FQ4 2019","Currency=USD","Period=FQ","BEST_FPERIOD_OVERRIDE=FQ","FILING_STATUS=MR","FA_ADJUSTED=GAAP","Sort=A","Dates=H","DateFormat=P","Fill=—","Direction=H","UseDPDF=Y")</f>
        <v>-5.0152999999999999</v>
      </c>
      <c r="H41" s="14">
        <f>_xll.BDH("GILD US Equity","NET_INCOME_TO_COMMON_5_YR_GROWTH","FQ1 2020","FQ1 2020","Currency=USD","Period=FQ","BEST_FPERIOD_OVERRIDE=FQ","FILING_STATUS=MR","FA_ADJUSTED=GAAP","Sort=A","Dates=H","DateFormat=P","Fill=—","Direction=H","UseDPDF=Y")</f>
        <v>-18.573699999999999</v>
      </c>
      <c r="I41" s="14" t="str">
        <f>_xll.BDH("GILD US Equity","NET_INCOME_TO_COMMON_5_YR_GROWTH","FQ2 2020","FQ2 2020","Currency=USD","Period=FQ","BEST_FPERIOD_OVERRIDE=FQ","FILING_STATUS=MR","FA_ADJUSTED=GAAP","Sort=A","Dates=H","DateFormat=P","Fill=—","Direction=H","UseDPDF=Y")</f>
        <v>—</v>
      </c>
      <c r="J41" s="14">
        <f>_xll.BDH("GILD US Equity","NET_INCOME_TO_COMMON_5_YR_GROWTH","FQ3 2020","FQ3 2020","Currency=USD","Period=FQ","BEST_FPERIOD_OVERRIDE=FQ","FILING_STATUS=MR","FA_ADJUSTED=GAAP","Sort=A","Dates=H","DateFormat=P","Fill=—","Direction=H","UseDPDF=Y")</f>
        <v>-39.922899999999998</v>
      </c>
      <c r="K41" s="14">
        <f>_xll.BDH("GILD US Equity","NET_INCOME_TO_COMMON_5_YR_GROWTH","FQ4 2020","FQ4 2020","Currency=USD","Period=FQ","BEST_FPERIOD_OVERRIDE=FQ","FILING_STATUS=MR","FA_ADJUSTED=GAAP","Sort=A","Dates=H","DateFormat=P","Fill=—","Direction=H","UseDPDF=Y")</f>
        <v>-19.829000000000001</v>
      </c>
      <c r="L41" s="14">
        <f>_xll.BDH("GILD US Equity","NET_INCOME_TO_COMMON_5_YR_GROWTH","FQ1 2021","FQ1 2021","Currency=USD","Period=FQ","BEST_FPERIOD_OVERRIDE=FQ","FILING_STATUS=MR","FA_ADJUSTED=GAAP","Sort=A","Dates=H","DateFormat=P","Fill=—","Direction=H","UseDPDF=Y")</f>
        <v>-13.4788</v>
      </c>
      <c r="M41" s="14">
        <f>_xll.BDH("GILD US Equity","NET_INCOME_TO_COMMON_5_YR_GROWTH","FQ2 2021","FQ2 2021","Currency=USD","Period=FQ","BEST_FPERIOD_OVERRIDE=FQ","FILING_STATUS=MR","FA_ADJUSTED=GAAP","Sort=A","Dates=H","DateFormat=P","Fill=—","Direction=H","UseDPDF=Y")</f>
        <v>-15.327199999999999</v>
      </c>
      <c r="N41" s="14">
        <f>_xll.BDH("GILD US Equity","NET_INCOME_TO_COMMON_5_YR_GROWTH","FQ3 2021","FQ3 2021","Currency=USD","Period=FQ","BEST_FPERIOD_OVERRIDE=FQ","FILING_STATUS=MR","FA_ADJUSTED=GAAP","Sort=A","Dates=H","DateFormat=P","Fill=—","Direction=H","UseDPDF=Y")</f>
        <v>-4.8874000000000004</v>
      </c>
      <c r="O41" s="14">
        <f>_xll.BDH("GILD US Equity","NET_INCOME_TO_COMMON_5_YR_GROWTH","FQ4 2021","FQ4 2021","Currency=USD","Period=FQ","BEST_FPERIOD_OVERRIDE=FQ","FILING_STATUS=MR","FA_ADJUSTED=GAAP","Sort=A","Dates=H","DateFormat=P","Fill=—","Direction=H","UseDPDF=Y")</f>
        <v>-34.246899999999997</v>
      </c>
      <c r="P41" s="14">
        <f>_xll.BDH("GILD US Equity","NET_INCOME_TO_COMMON_5_YR_GROWTH","FQ1 2022","FQ1 2022","Currency=USD","Period=FQ","BEST_FPERIOD_OVERRIDE=FQ","FILING_STATUS=MR","FA_ADJUSTED=GAAP","Sort=A","Dates=H","DateFormat=P","Fill=—","Direction=H","UseDPDF=Y")</f>
        <v>-62.896599999999999</v>
      </c>
      <c r="Q41" s="14">
        <f>_xll.BDH("GILD US Equity","NET_INCOME_TO_COMMON_5_YR_GROWTH","FQ2 2022","FQ2 2022","Currency=USD","Period=FQ","BEST_FPERIOD_OVERRIDE=FQ","FILING_STATUS=MR","FA_ADJUSTED=GAAP","Sort=A","Dates=H","DateFormat=P","Fill=—","Direction=H","UseDPDF=Y")</f>
        <v>-17.932200000000002</v>
      </c>
      <c r="R41" s="14">
        <f>_xll.BDH("GILD US Equity","NET_INCOME_TO_COMMON_5_YR_GROWTH","FQ3 2022","FQ3 2022","Currency=USD","Period=FQ","BEST_FPERIOD_OVERRIDE=FQ","FILING_STATUS=MR","FA_ADJUSTED=GAAP","Sort=A","Dates=H","DateFormat=P","Fill=—","Direction=H","UseDPDF=Y")</f>
        <v>-8.0244999999999997</v>
      </c>
      <c r="S41" s="14" t="str">
        <f>_xll.BDH("GILD US Equity","NET_INCOME_TO_COMMON_5_YR_GROWTH","FQ4 2022","FQ4 2022","Currency=USD","Period=FQ","BEST_FPERIOD_OVERRIDE=FQ","FILING_STATUS=MR","FA_ADJUSTED=GAAP","Sort=A","Dates=H","DateFormat=P","Fill=—","Direction=H","UseDPDF=Y")</f>
        <v>—</v>
      </c>
      <c r="T41" s="14">
        <f>_xll.BDH("GILD US Equity","NET_INCOME_TO_COMMON_5_YR_GROWTH","FQ1 2023","FQ1 2023","Currency=USD","Period=FQ","BEST_FPERIOD_OVERRIDE=FQ","FILING_STATUS=MR","FA_ADJUSTED=GAAP","Sort=A","Dates=H","DateFormat=P","Fill=—","Direction=H","UseDPDF=Y")</f>
        <v>-8.0667000000000009</v>
      </c>
      <c r="U41" s="14">
        <f>_xll.BDH("GILD US Equity","NET_INCOME_TO_COMMON_5_YR_GROWTH","FQ2 2023","FQ2 2023","Currency=USD","Period=FQ","BEST_FPERIOD_OVERRIDE=FQ","FILING_STATUS=MR","FA_ADJUSTED=GAAP","Sort=A","Dates=H","DateFormat=P","Fill=—","Direction=H","UseDPDF=Y")</f>
        <v>-10.4734</v>
      </c>
      <c r="V41" s="14">
        <f>_xll.BDH("GILD US Equity","NET_INCOME_TO_COMMON_5_YR_GROWTH","FQ3 2023","FQ3 2023","Currency=USD","Period=FQ","BEST_FPERIOD_OVERRIDE=FQ","FILING_STATUS=MR","FA_ADJUSTED=GAAP","Sort=A","Dates=H","DateFormat=P","Fill=—","Direction=H","UseDPDF=Y")</f>
        <v>0.77939999999999998</v>
      </c>
      <c r="W41" s="14">
        <f>_xll.BDH("GILD US Equity","NET_INCOME_TO_COMMON_5_YR_GROWTH","FQ4 2023","FQ4 2023","Currency=USD","Period=FQ","BEST_FPERIOD_OVERRIDE=FQ","FILING_STATUS=MR","FA_ADJUSTED=GAAP","Sort=A","Dates=H","DateFormat=P","Fill=—","Direction=H","UseDPDF=Y")</f>
        <v>243.2276</v>
      </c>
      <c r="X41" s="14" t="str">
        <f>_xll.BDH("GILD US Equity","NET_INCOME_TO_COMMON_5_YR_GROWTH","FQ1 2024","FQ1 2024","Currency=USD","Period=FQ","BEST_FPERIOD_OVERRIDE=FQ","FILING_STATUS=MR","FA_ADJUSTED=GAAP","Sort=A","Dates=H","DateFormat=P","Fill=—","Direction=H","UseDPDF=Y")</f>
        <v>—</v>
      </c>
      <c r="Y41" s="14">
        <f>_xll.BDH("GILD US Equity","NET_INCOME_TO_COMMON_5_YR_GROWTH","FQ2 2024","FQ2 2024","Currency=USD","Period=FQ","BEST_FPERIOD_OVERRIDE=FQ","FILING_STATUS=MR","FA_ADJUSTED=GAAP","Sort=A","Dates=H","DateFormat=P","Fill=—","Direction=H","UseDPDF=Y")</f>
        <v>-3.0049999999999999</v>
      </c>
      <c r="Z41" s="14" t="str">
        <f>_xll.BDH("GILD US Equity","NET_INCOME_TO_COMMON_5_YR_GROWTH","FQ3 2024","FQ3 2024","Currency=USD","Period=FQ","BEST_FPERIOD_OVERRIDE=FQ","FILING_STATUS=MR","FA_ADJUSTED=GAAP","Sort=A","Dates=H","DateFormat=P","Fill=—","Direction=H","UseDPDF=Y")</f>
        <v>—</v>
      </c>
      <c r="AA41" s="14">
        <f>_xll.BDH("GILD US Equity","NET_INCOME_TO_COMMON_5_YR_GROWTH","FQ4 2024","FQ4 2024","Currency=USD","Period=FQ","BEST_FPERIOD_OVERRIDE=FQ","FILING_STATUS=MR","FA_ADJUSTED=GAAP","Sort=A","Dates=H","DateFormat=P","Fill=—","Direction=H","UseDPDF=Y")</f>
        <v>-7.9367999999999999</v>
      </c>
    </row>
    <row r="42" spans="1:27" x14ac:dyDescent="0.25">
      <c r="A42" s="10" t="s">
        <v>1514</v>
      </c>
      <c r="B42" s="10" t="s">
        <v>1557</v>
      </c>
      <c r="C42" s="14">
        <f>_xll.BDH("GILD US Equity","5Y_GEO_GROWTH_DILUTED_EPS","FQ4 2018","FQ4 2018","Currency=USD","Period=FQ","BEST_FPERIOD_OVERRIDE=FQ","FILING_STATUS=MR","FA_ADJUSTED=GAAP","Sort=A","Dates=H","DateFormat=P","Fill=—","Direction=H","UseDPDF=Y")</f>
        <v>-100</v>
      </c>
      <c r="D42" s="14">
        <f>_xll.BDH("GILD US Equity","5Y_GEO_GROWTH_DILUTED_EPS","FQ1 2019","FQ1 2019","Currency=USD","Period=FQ","BEST_FPERIOD_OVERRIDE=FQ","FILING_STATUS=MR","FA_ADJUSTED=GAAP","Sort=A","Dates=H","DateFormat=P","Fill=—","Direction=H","UseDPDF=Y")</f>
        <v>2.9754999999999998</v>
      </c>
      <c r="E42" s="14">
        <f>_xll.BDH("GILD US Equity","5Y_GEO_GROWTH_DILUTED_EPS","FQ2 2019","FQ2 2019","Currency=USD","Period=FQ","BEST_FPERIOD_OVERRIDE=FQ","FILING_STATUS=MR","FA_ADJUSTED=GAAP","Sort=A","Dates=H","DateFormat=P","Fill=—","Direction=H","UseDPDF=Y")</f>
        <v>-7.7473000000000001</v>
      </c>
      <c r="F42" s="14" t="str">
        <f>_xll.BDH("GILD US Equity","5Y_GEO_GROWTH_DILUTED_EPS","FQ3 2019","FQ3 2019","Currency=USD","Period=FQ","BEST_FPERIOD_OVERRIDE=FQ","FILING_STATUS=MR","FA_ADJUSTED=GAAP","Sort=A","Dates=H","DateFormat=P","Fill=—","Direction=H","UseDPDF=Y")</f>
        <v>—</v>
      </c>
      <c r="G42" s="14">
        <f>_xll.BDH("GILD US Equity","5Y_GEO_GROWTH_DILUTED_EPS","FQ4 2019","FQ4 2019","Currency=USD","Period=FQ","BEST_FPERIOD_OVERRIDE=FQ","FILING_STATUS=MR","FA_ADJUSTED=GAAP","Sort=A","Dates=H","DateFormat=P","Fill=—","Direction=H","UseDPDF=Y")</f>
        <v>-0.55659999999999998</v>
      </c>
      <c r="H42" s="14">
        <f>_xll.BDH("GILD US Equity","5Y_GEO_GROWTH_DILUTED_EPS","FQ1 2020","FQ1 2020","Currency=USD","Period=FQ","BEST_FPERIOD_OVERRIDE=FQ","FILING_STATUS=MR","FA_ADJUSTED=GAAP","Sort=A","Dates=H","DateFormat=P","Fill=—","Direction=H","UseDPDF=Y")</f>
        <v>-15.064299999999999</v>
      </c>
      <c r="I42" s="14" t="str">
        <f>_xll.BDH("GILD US Equity","5Y_GEO_GROWTH_DILUTED_EPS","FQ2 2020","FQ2 2020","Currency=USD","Period=FQ","BEST_FPERIOD_OVERRIDE=FQ","FILING_STATUS=MR","FA_ADJUSTED=GAAP","Sort=A","Dates=H","DateFormat=P","Fill=—","Direction=H","UseDPDF=Y")</f>
        <v>—</v>
      </c>
      <c r="J42" s="14">
        <f>_xll.BDH("GILD US Equity","5Y_GEO_GROWTH_DILUTED_EPS","FQ3 2020","FQ3 2020","Currency=USD","Period=FQ","BEST_FPERIOD_OVERRIDE=FQ","FILING_STATUS=MR","FA_ADJUSTED=GAAP","Sort=A","Dates=H","DateFormat=P","Fill=—","Direction=H","UseDPDF=Y")</f>
        <v>-37.578299999999999</v>
      </c>
      <c r="K42" s="14">
        <f>_xll.BDH("GILD US Equity","5Y_GEO_GROWTH_DILUTED_EPS","FQ4 2020","FQ4 2020","Currency=USD","Period=FQ","BEST_FPERIOD_OVERRIDE=FQ","FILING_STATUS=MR","FA_ADJUSTED=GAAP","Sort=A","Dates=H","DateFormat=P","Fill=—","Direction=H","UseDPDF=Y")</f>
        <v>-17.3019</v>
      </c>
      <c r="L42" s="14">
        <f>_xll.BDH("GILD US Equity","5Y_GEO_GROWTH_DILUTED_EPS","FQ1 2021","FQ1 2021","Currency=USD","Period=FQ","BEST_FPERIOD_OVERRIDE=FQ","FILING_STATUS=MR","FA_ADJUSTED=GAAP","Sort=A","Dates=H","DateFormat=P","Fill=—","Direction=H","UseDPDF=Y")</f>
        <v>-11.545500000000001</v>
      </c>
      <c r="M42" s="14">
        <f>_xll.BDH("GILD US Equity","5Y_GEO_GROWTH_DILUTED_EPS","FQ2 2021","FQ2 2021","Currency=USD","Period=FQ","BEST_FPERIOD_OVERRIDE=FQ","FILING_STATUS=MR","FA_ADJUSTED=GAAP","Sort=A","Dates=H","DateFormat=P","Fill=—","Direction=H","UseDPDF=Y")</f>
        <v>-14.0525</v>
      </c>
      <c r="N42" s="14">
        <f>_xll.BDH("GILD US Equity","5Y_GEO_GROWTH_DILUTED_EPS","FQ3 2021","FQ3 2021","Currency=USD","Period=FQ","BEST_FPERIOD_OVERRIDE=FQ","FILING_STATUS=MR","FA_ADJUSTED=GAAP","Sort=A","Dates=H","DateFormat=P","Fill=—","Direction=H","UseDPDF=Y")</f>
        <v>-3.8142</v>
      </c>
      <c r="O42" s="14">
        <f>_xll.BDH("GILD US Equity","5Y_GEO_GROWTH_DILUTED_EPS","FQ4 2021","FQ4 2021","Currency=USD","Period=FQ","BEST_FPERIOD_OVERRIDE=FQ","FILING_STATUS=MR","FA_ADJUSTED=GAAP","Sort=A","Dates=H","DateFormat=P","Fill=—","Direction=H","UseDPDF=Y")</f>
        <v>-33.689700000000002</v>
      </c>
      <c r="P42" s="14">
        <f>_xll.BDH("GILD US Equity","5Y_GEO_GROWTH_DILUTED_EPS","FQ1 2022","FQ1 2022","Currency=USD","Period=FQ","BEST_FPERIOD_OVERRIDE=FQ","FILING_STATUS=MR","FA_ADJUSTED=GAAP","Sort=A","Dates=H","DateFormat=P","Fill=—","Direction=H","UseDPDF=Y")</f>
        <v>-60.385399999999997</v>
      </c>
      <c r="Q42" s="14">
        <f>_xll.BDH("GILD US Equity","5Y_GEO_GROWTH_DILUTED_EPS","FQ2 2022","FQ2 2022","Currency=USD","Period=FQ","BEST_FPERIOD_OVERRIDE=FQ","FILING_STATUS=MR","FA_ADJUSTED=GAAP","Sort=A","Dates=H","DateFormat=P","Fill=—","Direction=H","UseDPDF=Y")</f>
        <v>-17.141500000000001</v>
      </c>
      <c r="R42" s="14">
        <f>_xll.BDH("GILD US Equity","5Y_GEO_GROWTH_DILUTED_EPS","FQ3 2022","FQ3 2022","Currency=USD","Period=FQ","BEST_FPERIOD_OVERRIDE=FQ","FILING_STATUS=MR","FA_ADJUSTED=GAAP","Sort=A","Dates=H","DateFormat=P","Fill=—","Direction=H","UseDPDF=Y")</f>
        <v>-7.1708999999999996</v>
      </c>
      <c r="S42" s="14" t="str">
        <f>_xll.BDH("GILD US Equity","5Y_GEO_GROWTH_DILUTED_EPS","FQ4 2022","FQ4 2022","Currency=USD","Period=FQ","BEST_FPERIOD_OVERRIDE=FQ","FILING_STATUS=MR","FA_ADJUSTED=GAAP","Sort=A","Dates=H","DateFormat=P","Fill=—","Direction=H","UseDPDF=Y")</f>
        <v>—</v>
      </c>
      <c r="T42" s="14">
        <f>_xll.BDH("GILD US Equity","5Y_GEO_GROWTH_DILUTED_EPS","FQ1 2023","FQ1 2023","Currency=USD","Period=FQ","BEST_FPERIOD_OVERRIDE=FQ","FILING_STATUS=MR","FA_ADJUSTED=GAAP","Sort=A","Dates=H","DateFormat=P","Fill=—","Direction=H","UseDPDF=Y")</f>
        <v>-7.3211000000000004</v>
      </c>
      <c r="U42" s="14">
        <f>_xll.BDH("GILD US Equity","5Y_GEO_GROWTH_DILUTED_EPS","FQ2 2023","FQ2 2023","Currency=USD","Period=FQ","BEST_FPERIOD_OVERRIDE=FQ","FILING_STATUS=MR","FA_ADJUSTED=GAAP","Sort=A","Dates=H","DateFormat=P","Fill=—","Direction=H","UseDPDF=Y")</f>
        <v>-9.7987000000000002</v>
      </c>
      <c r="V42" s="14">
        <f>_xll.BDH("GILD US Equity","5Y_GEO_GROWTH_DILUTED_EPS","FQ3 2023","FQ3 2023","Currency=USD","Period=FQ","BEST_FPERIOD_OVERRIDE=FQ","FILING_STATUS=MR","FA_ADJUSTED=GAAP","Sort=A","Dates=H","DateFormat=P","Fill=—","Direction=H","UseDPDF=Y")</f>
        <v>1.5746</v>
      </c>
      <c r="W42" s="14" t="str">
        <f>_xll.BDH("GILD US Equity","5Y_GEO_GROWTH_DILUTED_EPS","FQ4 2023","FQ4 2023","Currency=USD","Period=FQ","BEST_FPERIOD_OVERRIDE=FQ","FILING_STATUS=MR","FA_ADJUSTED=GAAP","Sort=A","Dates=H","DateFormat=P","Fill=—","Direction=H","UseDPDF=Y")</f>
        <v>—</v>
      </c>
      <c r="X42" s="14" t="str">
        <f>_xll.BDH("GILD US Equity","5Y_GEO_GROWTH_DILUTED_EPS","FQ1 2024","FQ1 2024","Currency=USD","Period=FQ","BEST_FPERIOD_OVERRIDE=FQ","FILING_STATUS=MR","FA_ADJUSTED=GAAP","Sort=A","Dates=H","DateFormat=P","Fill=—","Direction=H","UseDPDF=Y")</f>
        <v>—</v>
      </c>
      <c r="Y42" s="14">
        <f>_xll.BDH("GILD US Equity","5Y_GEO_GROWTH_DILUTED_EPS","FQ2 2024","FQ2 2024","Currency=USD","Period=FQ","BEST_FPERIOD_OVERRIDE=FQ","FILING_STATUS=MR","FA_ADJUSTED=GAAP","Sort=A","Dates=H","DateFormat=P","Fill=—","Direction=H","UseDPDF=Y")</f>
        <v>-2.5785999999999998</v>
      </c>
      <c r="Z42" s="14" t="str">
        <f>_xll.BDH("GILD US Equity","5Y_GEO_GROWTH_DILUTED_EPS","FQ3 2024","FQ3 2024","Currency=USD","Period=FQ","BEST_FPERIOD_OVERRIDE=FQ","FILING_STATUS=MR","FA_ADJUSTED=GAAP","Sort=A","Dates=H","DateFormat=P","Fill=—","Direction=H","UseDPDF=Y")</f>
        <v>—</v>
      </c>
      <c r="AA42" s="14">
        <f>_xll.BDH("GILD US Equity","5Y_GEO_GROWTH_DILUTED_EPS","FQ4 2024","FQ4 2024","Currency=USD","Period=FQ","BEST_FPERIOD_OVERRIDE=FQ","FILING_STATUS=MR","FA_ADJUSTED=GAAP","Sort=A","Dates=H","DateFormat=P","Fill=—","Direction=H","UseDPDF=Y")</f>
        <v>-7.7023999999999999</v>
      </c>
    </row>
    <row r="43" spans="1:27" x14ac:dyDescent="0.25">
      <c r="A43" s="10" t="s">
        <v>1515</v>
      </c>
      <c r="B43" s="10" t="s">
        <v>1558</v>
      </c>
      <c r="C43" s="14">
        <f>_xll.BDH("GILD US Equity","5Y_GEO_GROWTH_DILUTED_EPS_BEF_XO","FQ4 2018","FQ4 2018","Currency=USD","Period=FQ","BEST_FPERIOD_OVERRIDE=FQ","FILING_STATUS=MR","Sort=A","Dates=H","DateFormat=P","Fill=—","Direction=H","UseDPDF=Y")</f>
        <v>-100</v>
      </c>
      <c r="D43" s="14">
        <f>_xll.BDH("GILD US Equity","5Y_GEO_GROWTH_DILUTED_EPS_BEF_XO","FQ1 2019","FQ1 2019","Currency=USD","Period=FQ","BEST_FPERIOD_OVERRIDE=FQ","FILING_STATUS=MR","Sort=A","Dates=H","DateFormat=P","Fill=—","Direction=H","UseDPDF=Y")</f>
        <v>2.9754999999999998</v>
      </c>
      <c r="E43" s="14">
        <f>_xll.BDH("GILD US Equity","5Y_GEO_GROWTH_DILUTED_EPS_BEF_XO","FQ2 2019","FQ2 2019","Currency=USD","Period=FQ","BEST_FPERIOD_OVERRIDE=FQ","FILING_STATUS=MR","Sort=A","Dates=H","DateFormat=P","Fill=—","Direction=H","UseDPDF=Y")</f>
        <v>-7.7473000000000001</v>
      </c>
      <c r="F43" s="14" t="str">
        <f>_xll.BDH("GILD US Equity","5Y_GEO_GROWTH_DILUTED_EPS_BEF_XO","FQ3 2019","FQ3 2019","Currency=USD","Period=FQ","BEST_FPERIOD_OVERRIDE=FQ","FILING_STATUS=MR","Sort=A","Dates=H","DateFormat=P","Fill=—","Direction=H","UseDPDF=Y")</f>
        <v>—</v>
      </c>
      <c r="G43" s="14">
        <f>_xll.BDH("GILD US Equity","5Y_GEO_GROWTH_DILUTED_EPS_BEF_XO","FQ4 2019","FQ4 2019","Currency=USD","Period=FQ","BEST_FPERIOD_OVERRIDE=FQ","FILING_STATUS=MR","Sort=A","Dates=H","DateFormat=P","Fill=—","Direction=H","UseDPDF=Y")</f>
        <v>-0.55659999999999998</v>
      </c>
      <c r="H43" s="14">
        <f>_xll.BDH("GILD US Equity","5Y_GEO_GROWTH_DILUTED_EPS_BEF_XO","FQ1 2020","FQ1 2020","Currency=USD","Period=FQ","BEST_FPERIOD_OVERRIDE=FQ","FILING_STATUS=MR","Sort=A","Dates=H","DateFormat=P","Fill=—","Direction=H","UseDPDF=Y")</f>
        <v>-15.064299999999999</v>
      </c>
      <c r="I43" s="14" t="str">
        <f>_xll.BDH("GILD US Equity","5Y_GEO_GROWTH_DILUTED_EPS_BEF_XO","FQ2 2020","FQ2 2020","Currency=USD","Period=FQ","BEST_FPERIOD_OVERRIDE=FQ","FILING_STATUS=MR","Sort=A","Dates=H","DateFormat=P","Fill=—","Direction=H","UseDPDF=Y")</f>
        <v>—</v>
      </c>
      <c r="J43" s="14">
        <f>_xll.BDH("GILD US Equity","5Y_GEO_GROWTH_DILUTED_EPS_BEF_XO","FQ3 2020","FQ3 2020","Currency=USD","Period=FQ","BEST_FPERIOD_OVERRIDE=FQ","FILING_STATUS=MR","Sort=A","Dates=H","DateFormat=P","Fill=—","Direction=H","UseDPDF=Y")</f>
        <v>-37.578299999999999</v>
      </c>
      <c r="K43" s="14">
        <f>_xll.BDH("GILD US Equity","5Y_GEO_GROWTH_DILUTED_EPS_BEF_XO","FQ4 2020","FQ4 2020","Currency=USD","Period=FQ","BEST_FPERIOD_OVERRIDE=FQ","FILING_STATUS=MR","Sort=A","Dates=H","DateFormat=P","Fill=—","Direction=H","UseDPDF=Y")</f>
        <v>-17.3019</v>
      </c>
      <c r="L43" s="14">
        <f>_xll.BDH("GILD US Equity","5Y_GEO_GROWTH_DILUTED_EPS_BEF_XO","FQ1 2021","FQ1 2021","Currency=USD","Period=FQ","BEST_FPERIOD_OVERRIDE=FQ","FILING_STATUS=MR","Sort=A","Dates=H","DateFormat=P","Fill=—","Direction=H","UseDPDF=Y")</f>
        <v>-11.545500000000001</v>
      </c>
      <c r="M43" s="14">
        <f>_xll.BDH("GILD US Equity","5Y_GEO_GROWTH_DILUTED_EPS_BEF_XO","FQ2 2021","FQ2 2021","Currency=USD","Period=FQ","BEST_FPERIOD_OVERRIDE=FQ","FILING_STATUS=MR","Sort=A","Dates=H","DateFormat=P","Fill=—","Direction=H","UseDPDF=Y")</f>
        <v>-14.0525</v>
      </c>
      <c r="N43" s="14">
        <f>_xll.BDH("GILD US Equity","5Y_GEO_GROWTH_DILUTED_EPS_BEF_XO","FQ3 2021","FQ3 2021","Currency=USD","Period=FQ","BEST_FPERIOD_OVERRIDE=FQ","FILING_STATUS=MR","Sort=A","Dates=H","DateFormat=P","Fill=—","Direction=H","UseDPDF=Y")</f>
        <v>-3.8142</v>
      </c>
      <c r="O43" s="14">
        <f>_xll.BDH("GILD US Equity","5Y_GEO_GROWTH_DILUTED_EPS_BEF_XO","FQ4 2021","FQ4 2021","Currency=USD","Period=FQ","BEST_FPERIOD_OVERRIDE=FQ","FILING_STATUS=MR","Sort=A","Dates=H","DateFormat=P","Fill=—","Direction=H","UseDPDF=Y")</f>
        <v>-33.689700000000002</v>
      </c>
      <c r="P43" s="14">
        <f>_xll.BDH("GILD US Equity","5Y_GEO_GROWTH_DILUTED_EPS_BEF_XO","FQ1 2022","FQ1 2022","Currency=USD","Period=FQ","BEST_FPERIOD_OVERRIDE=FQ","FILING_STATUS=MR","Sort=A","Dates=H","DateFormat=P","Fill=—","Direction=H","UseDPDF=Y")</f>
        <v>-60.385399999999997</v>
      </c>
      <c r="Q43" s="14">
        <f>_xll.BDH("GILD US Equity","5Y_GEO_GROWTH_DILUTED_EPS_BEF_XO","FQ2 2022","FQ2 2022","Currency=USD","Period=FQ","BEST_FPERIOD_OVERRIDE=FQ","FILING_STATUS=MR","Sort=A","Dates=H","DateFormat=P","Fill=—","Direction=H","UseDPDF=Y")</f>
        <v>-17.141500000000001</v>
      </c>
      <c r="R43" s="14">
        <f>_xll.BDH("GILD US Equity","5Y_GEO_GROWTH_DILUTED_EPS_BEF_XO","FQ3 2022","FQ3 2022","Currency=USD","Period=FQ","BEST_FPERIOD_OVERRIDE=FQ","FILING_STATUS=MR","Sort=A","Dates=H","DateFormat=P","Fill=—","Direction=H","UseDPDF=Y")</f>
        <v>-7.1708999999999996</v>
      </c>
      <c r="S43" s="14" t="str">
        <f>_xll.BDH("GILD US Equity","5Y_GEO_GROWTH_DILUTED_EPS_BEF_XO","FQ4 2022","FQ4 2022","Currency=USD","Period=FQ","BEST_FPERIOD_OVERRIDE=FQ","FILING_STATUS=MR","Sort=A","Dates=H","DateFormat=P","Fill=—","Direction=H","UseDPDF=Y")</f>
        <v>—</v>
      </c>
      <c r="T43" s="14">
        <f>_xll.BDH("GILD US Equity","5Y_GEO_GROWTH_DILUTED_EPS_BEF_XO","FQ1 2023","FQ1 2023","Currency=USD","Period=FQ","BEST_FPERIOD_OVERRIDE=FQ","FILING_STATUS=MR","Sort=A","Dates=H","DateFormat=P","Fill=—","Direction=H","UseDPDF=Y")</f>
        <v>-7.3211000000000004</v>
      </c>
      <c r="U43" s="14">
        <f>_xll.BDH("GILD US Equity","5Y_GEO_GROWTH_DILUTED_EPS_BEF_XO","FQ2 2023","FQ2 2023","Currency=USD","Period=FQ","BEST_FPERIOD_OVERRIDE=FQ","FILING_STATUS=MR","Sort=A","Dates=H","DateFormat=P","Fill=—","Direction=H","UseDPDF=Y")</f>
        <v>-9.7987000000000002</v>
      </c>
      <c r="V43" s="14">
        <f>_xll.BDH("GILD US Equity","5Y_GEO_GROWTH_DILUTED_EPS_BEF_XO","FQ3 2023","FQ3 2023","Currency=USD","Period=FQ","BEST_FPERIOD_OVERRIDE=FQ","FILING_STATUS=MR","Sort=A","Dates=H","DateFormat=P","Fill=—","Direction=H","UseDPDF=Y")</f>
        <v>1.5746</v>
      </c>
      <c r="W43" s="14" t="str">
        <f>_xll.BDH("GILD US Equity","5Y_GEO_GROWTH_DILUTED_EPS_BEF_XO","FQ4 2023","FQ4 2023","Currency=USD","Period=FQ","BEST_FPERIOD_OVERRIDE=FQ","FILING_STATUS=MR","Sort=A","Dates=H","DateFormat=P","Fill=—","Direction=H","UseDPDF=Y")</f>
        <v>—</v>
      </c>
      <c r="X43" s="14" t="str">
        <f>_xll.BDH("GILD US Equity","5Y_GEO_GROWTH_DILUTED_EPS_BEF_XO","FQ1 2024","FQ1 2024","Currency=USD","Period=FQ","BEST_FPERIOD_OVERRIDE=FQ","FILING_STATUS=MR","Sort=A","Dates=H","DateFormat=P","Fill=—","Direction=H","UseDPDF=Y")</f>
        <v>—</v>
      </c>
      <c r="Y43" s="14">
        <f>_xll.BDH("GILD US Equity","5Y_GEO_GROWTH_DILUTED_EPS_BEF_XO","FQ2 2024","FQ2 2024","Currency=USD","Period=FQ","BEST_FPERIOD_OVERRIDE=FQ","FILING_STATUS=MR","Sort=A","Dates=H","DateFormat=P","Fill=—","Direction=H","UseDPDF=Y")</f>
        <v>-2.5785999999999998</v>
      </c>
      <c r="Z43" s="14" t="str">
        <f>_xll.BDH("GILD US Equity","5Y_GEO_GROWTH_DILUTED_EPS_BEF_XO","FQ3 2024","FQ3 2024","Currency=USD","Period=FQ","BEST_FPERIOD_OVERRIDE=FQ","FILING_STATUS=MR","Sort=A","Dates=H","DateFormat=P","Fill=—","Direction=H","UseDPDF=Y")</f>
        <v>—</v>
      </c>
      <c r="AA43" s="14">
        <f>_xll.BDH("GILD US Equity","5Y_GEO_GROWTH_DILUTED_EPS_BEF_XO","FQ4 2024","FQ4 2024","Currency=USD","Period=FQ","BEST_FPERIOD_OVERRIDE=FQ","FILING_STATUS=MR","Sort=A","Dates=H","DateFormat=P","Fill=—","Direction=H","UseDPDF=Y")</f>
        <v>-7.7023999999999999</v>
      </c>
    </row>
    <row r="44" spans="1:27" x14ac:dyDescent="0.25">
      <c r="A44" s="10" t="s">
        <v>1517</v>
      </c>
      <c r="B44" s="10" t="s">
        <v>1559</v>
      </c>
      <c r="C44" s="14">
        <f>_xll.BDH("GILD US Equity","GEO_GROW_DILUTED_EPS_CONT_OPS","FQ4 2018","FQ4 2018","Currency=USD","Period=FQ","BEST_FPERIOD_OVERRIDE=FQ","FILING_STATUS=MR","Sort=A","Dates=H","DateFormat=P","Fill=—","Direction=H","UseDPDF=Y")</f>
        <v>18.625900000000001</v>
      </c>
      <c r="D44" s="14">
        <f>_xll.BDH("GILD US Equity","GEO_GROW_DILUTED_EPS_CONT_OPS","FQ1 2019","FQ1 2019","Currency=USD","Period=FQ","BEST_FPERIOD_OVERRIDE=FQ","FILING_STATUS=MR","Sort=A","Dates=H","DateFormat=P","Fill=—","Direction=H","UseDPDF=Y")</f>
        <v>1.9614</v>
      </c>
      <c r="E44" s="14">
        <f>_xll.BDH("GILD US Equity","GEO_GROW_DILUTED_EPS_CONT_OPS","FQ2 2019","FQ2 2019","Currency=USD","Period=FQ","BEST_FPERIOD_OVERRIDE=FQ","FILING_STATUS=MR","Sort=A","Dates=H","DateFormat=P","Fill=—","Direction=H","UseDPDF=Y")</f>
        <v>-7.1532</v>
      </c>
      <c r="F44" s="14">
        <f>_xll.BDH("GILD US Equity","GEO_GROW_DILUTED_EPS_CONT_OPS","FQ3 2019","FQ3 2019","Currency=USD","Period=FQ","BEST_FPERIOD_OVERRIDE=FQ","FILING_STATUS=MR","Sort=A","Dates=H","DateFormat=P","Fill=—","Direction=H","UseDPDF=Y")</f>
        <v>-2.7463000000000002</v>
      </c>
      <c r="G44" s="14">
        <f>_xll.BDH("GILD US Equity","GEO_GROW_DILUTED_EPS_CONT_OPS","FQ4 2019","FQ4 2019","Currency=USD","Period=FQ","BEST_FPERIOD_OVERRIDE=FQ","FILING_STATUS=MR","Sort=A","Dates=H","DateFormat=P","Fill=—","Direction=H","UseDPDF=Y")</f>
        <v>-16.502099999999999</v>
      </c>
      <c r="H44" s="14">
        <f>_xll.BDH("GILD US Equity","GEO_GROW_DILUTED_EPS_CONT_OPS","FQ1 2020","FQ1 2020","Currency=USD","Period=FQ","BEST_FPERIOD_OVERRIDE=FQ","FILING_STATUS=MR","Sort=A","Dates=H","DateFormat=P","Fill=—","Direction=H","UseDPDF=Y")</f>
        <v>-9.4237000000000002</v>
      </c>
      <c r="I44" s="14">
        <f>_xll.BDH("GILD US Equity","GEO_GROW_DILUTED_EPS_CONT_OPS","FQ2 2020","FQ2 2020","Currency=USD","Period=FQ","BEST_FPERIOD_OVERRIDE=FQ","FILING_STATUS=MR","Sort=A","Dates=H","DateFormat=P","Fill=—","Direction=H","UseDPDF=Y")</f>
        <v>-20.5931</v>
      </c>
      <c r="J44" s="14">
        <f>_xll.BDH("GILD US Equity","GEO_GROW_DILUTED_EPS_CONT_OPS","FQ3 2020","FQ3 2020","Currency=USD","Period=FQ","BEST_FPERIOD_OVERRIDE=FQ","FILING_STATUS=MR","Sort=A","Dates=H","DateFormat=P","Fill=—","Direction=H","UseDPDF=Y")</f>
        <v>-8.7423000000000002</v>
      </c>
      <c r="K44" s="14">
        <f>_xll.BDH("GILD US Equity","GEO_GROW_DILUTED_EPS_CONT_OPS","FQ4 2020","FQ4 2020","Currency=USD","Period=FQ","BEST_FPERIOD_OVERRIDE=FQ","FILING_STATUS=MR","Sort=A","Dates=H","DateFormat=P","Fill=—","Direction=H","UseDPDF=Y")</f>
        <v>-9.25</v>
      </c>
      <c r="L44" s="14">
        <f>_xll.BDH("GILD US Equity","GEO_GROW_DILUTED_EPS_CONT_OPS","FQ1 2021","FQ1 2021","Currency=USD","Period=FQ","BEST_FPERIOD_OVERRIDE=FQ","FILING_STATUS=MR","Sort=A","Dates=H","DateFormat=P","Fill=—","Direction=H","UseDPDF=Y")</f>
        <v>-4.8718000000000004</v>
      </c>
      <c r="M44" s="14">
        <f>_xll.BDH("GILD US Equity","GEO_GROW_DILUTED_EPS_CONT_OPS","FQ2 2021","FQ2 2021","Currency=USD","Period=FQ","BEST_FPERIOD_OVERRIDE=FQ","FILING_STATUS=MR","Sort=A","Dates=H","DateFormat=P","Fill=—","Direction=H","UseDPDF=Y")</f>
        <v>-12.052199999999999</v>
      </c>
      <c r="N44" s="14">
        <f>_xll.BDH("GILD US Equity","GEO_GROW_DILUTED_EPS_CONT_OPS","FQ3 2021","FQ3 2021","Currency=USD","Period=FQ","BEST_FPERIOD_OVERRIDE=FQ","FILING_STATUS=MR","Sort=A","Dates=H","DateFormat=P","Fill=—","Direction=H","UseDPDF=Y")</f>
        <v>-1.9699</v>
      </c>
      <c r="O44" s="14">
        <f>_xll.BDH("GILD US Equity","GEO_GROW_DILUTED_EPS_CONT_OPS","FQ4 2021","FQ4 2021","Currency=USD","Period=FQ","BEST_FPERIOD_OVERRIDE=FQ","FILING_STATUS=MR","Sort=A","Dates=H","DateFormat=P","Fill=—","Direction=H","UseDPDF=Y")</f>
        <v>-21.2896</v>
      </c>
      <c r="P44" s="14">
        <f>_xll.BDH("GILD US Equity","GEO_GROW_DILUTED_EPS_CONT_OPS","FQ1 2022","FQ1 2022","Currency=USD","Period=FQ","BEST_FPERIOD_OVERRIDE=FQ","FILING_STATUS=MR","Sort=A","Dates=H","DateFormat=P","Fill=—","Direction=H","UseDPDF=Y")</f>
        <v>-3.4085000000000001</v>
      </c>
      <c r="Q44" s="14">
        <f>_xll.BDH("GILD US Equity","GEO_GROW_DILUTED_EPS_CONT_OPS","FQ2 2022","FQ2 2022","Currency=USD","Period=FQ","BEST_FPERIOD_OVERRIDE=FQ","FILING_STATUS=MR","Sort=A","Dates=H","DateFormat=P","Fill=—","Direction=H","UseDPDF=Y")</f>
        <v>-9.4785000000000004</v>
      </c>
      <c r="R44" s="14">
        <f>_xll.BDH("GILD US Equity","GEO_GROW_DILUTED_EPS_CONT_OPS","FQ3 2022","FQ3 2022","Currency=USD","Period=FQ","BEST_FPERIOD_OVERRIDE=FQ","FILING_STATUS=MR","Sort=A","Dates=H","DateFormat=P","Fill=—","Direction=H","UseDPDF=Y")</f>
        <v>0.87849999999999995</v>
      </c>
      <c r="S44" s="14">
        <f>_xll.BDH("GILD US Equity","GEO_GROW_DILUTED_EPS_CONT_OPS","FQ4 2022","FQ4 2022","Currency=USD","Period=FQ","BEST_FPERIOD_OVERRIDE=FQ","FILING_STATUS=MR","Sort=A","Dates=H","DateFormat=P","Fill=—","Direction=H","UseDPDF=Y")</f>
        <v>0.69850000000000001</v>
      </c>
      <c r="T44" s="14">
        <f>_xll.BDH("GILD US Equity","GEO_GROW_DILUTED_EPS_CONT_OPS","FQ1 2023","FQ1 2023","Currency=USD","Period=FQ","BEST_FPERIOD_OVERRIDE=FQ","FILING_STATUS=MR","Sort=A","Dates=H","DateFormat=P","Fill=—","Direction=H","UseDPDF=Y")</f>
        <v>3.0084</v>
      </c>
      <c r="U44" s="14">
        <f>_xll.BDH("GILD US Equity","GEO_GROW_DILUTED_EPS_CONT_OPS","FQ2 2023","FQ2 2023","Currency=USD","Period=FQ","BEST_FPERIOD_OVERRIDE=FQ","FILING_STATUS=MR","Sort=A","Dates=H","DateFormat=P","Fill=—","Direction=H","UseDPDF=Y")</f>
        <v>-5.5321999999999996</v>
      </c>
      <c r="V44" s="14">
        <f>_xll.BDH("GILD US Equity","GEO_GROW_DILUTED_EPS_CONT_OPS","FQ3 2023","FQ3 2023","Currency=USD","Period=FQ","BEST_FPERIOD_OVERRIDE=FQ","FILING_STATUS=MR","Sort=A","Dates=H","DateFormat=P","Fill=—","Direction=H","UseDPDF=Y")</f>
        <v>5.9804000000000004</v>
      </c>
      <c r="W44" s="14">
        <f>_xll.BDH("GILD US Equity","GEO_GROW_DILUTED_EPS_CONT_OPS","FQ4 2023","FQ4 2023","Currency=USD","Period=FQ","BEST_FPERIOD_OVERRIDE=FQ","FILING_STATUS=MR","Sort=A","Dates=H","DateFormat=P","Fill=—","Direction=H","UseDPDF=Y")</f>
        <v>7.056</v>
      </c>
      <c r="X44" s="14">
        <f>_xll.BDH("GILD US Equity","GEO_GROW_DILUTED_EPS_CONT_OPS","FQ1 2024","FQ1 2024","Currency=USD","Period=FQ","BEST_FPERIOD_OVERRIDE=FQ","FILING_STATUS=MR","Sort=A","Dates=H","DateFormat=P","Fill=—","Direction=H","UseDPDF=Y")</f>
        <v>-8.6813000000000002</v>
      </c>
      <c r="Y44" s="14">
        <f>_xll.BDH("GILD US Equity","GEO_GROW_DILUTED_EPS_CONT_OPS","FQ2 2024","FQ2 2024","Currency=USD","Period=FQ","BEST_FPERIOD_OVERRIDE=FQ","FILING_STATUS=MR","Sort=A","Dates=H","DateFormat=P","Fill=—","Direction=H","UseDPDF=Y")</f>
        <v>1.9145000000000001</v>
      </c>
      <c r="Z44" s="14">
        <f>_xll.BDH("GILD US Equity","GEO_GROW_DILUTED_EPS_CONT_OPS","FQ3 2024","FQ3 2024","Currency=USD","Period=FQ","BEST_FPERIOD_OVERRIDE=FQ","FILING_STATUS=MR","Sort=A","Dates=H","DateFormat=P","Fill=—","Direction=H","UseDPDF=Y")</f>
        <v>6.2629000000000001</v>
      </c>
      <c r="AA44" s="14">
        <f>_xll.BDH("GILD US Equity","GEO_GROW_DILUTED_EPS_CONT_OPS","FQ4 2024","FQ4 2024","Currency=USD","Period=FQ","BEST_FPERIOD_OVERRIDE=FQ","FILING_STATUS=MR","Sort=A","Dates=H","DateFormat=P","Fill=—","Direction=H","UseDPDF=Y")</f>
        <v>11.0229</v>
      </c>
    </row>
    <row r="45" spans="1:27" x14ac:dyDescent="0.25">
      <c r="A45" s="10" t="s">
        <v>1519</v>
      </c>
      <c r="B45" s="10" t="s">
        <v>1560</v>
      </c>
      <c r="C45" s="14" t="str">
        <f>_xll.BDH("GILD US Equity","GEO_GROW_DVD_PER_SH","FQ4 2018","FQ4 2018","Currency=USD","Period=FQ","BEST_FPERIOD_OVERRIDE=FQ","FILING_STATUS=MR","Sort=A","Dates=H","DateFormat=P","Fill=—","Direction=H","UseDPDF=Y")</f>
        <v>—</v>
      </c>
      <c r="D45" s="14" t="str">
        <f>_xll.BDH("GILD US Equity","GEO_GROW_DVD_PER_SH","FQ1 2019","FQ1 2019","Currency=USD","Period=FQ","BEST_FPERIOD_OVERRIDE=FQ","FILING_STATUS=MR","Sort=A","Dates=H","DateFormat=P","Fill=—","Direction=H","UseDPDF=Y")</f>
        <v>—</v>
      </c>
      <c r="E45" s="14" t="str">
        <f>_xll.BDH("GILD US Equity","GEO_GROW_DVD_PER_SH","FQ2 2019","FQ2 2019","Currency=USD","Period=FQ","BEST_FPERIOD_OVERRIDE=FQ","FILING_STATUS=MR","Sort=A","Dates=H","DateFormat=P","Fill=—","Direction=H","UseDPDF=Y")</f>
        <v>—</v>
      </c>
      <c r="F45" s="14" t="str">
        <f>_xll.BDH("GILD US Equity","GEO_GROW_DVD_PER_SH","FQ3 2019","FQ3 2019","Currency=USD","Period=FQ","BEST_FPERIOD_OVERRIDE=FQ","FILING_STATUS=MR","Sort=A","Dates=H","DateFormat=P","Fill=—","Direction=H","UseDPDF=Y")</f>
        <v>—</v>
      </c>
      <c r="G45" s="14" t="str">
        <f>_xll.BDH("GILD US Equity","GEO_GROW_DVD_PER_SH","FQ4 2019","FQ4 2019","Currency=USD","Period=FQ","BEST_FPERIOD_OVERRIDE=FQ","FILING_STATUS=MR","Sort=A","Dates=H","DateFormat=P","Fill=—","Direction=H","UseDPDF=Y")</f>
        <v>—</v>
      </c>
      <c r="H45" s="14" t="str">
        <f>_xll.BDH("GILD US Equity","GEO_GROW_DVD_PER_SH","FQ1 2020","FQ1 2020","Currency=USD","Period=FQ","BEST_FPERIOD_OVERRIDE=FQ","FILING_STATUS=MR","Sort=A","Dates=H","DateFormat=P","Fill=—","Direction=H","UseDPDF=Y")</f>
        <v>—</v>
      </c>
      <c r="I45" s="14">
        <f>_xll.BDH("GILD US Equity","GEO_GROW_DVD_PER_SH","FQ2 2020","FQ2 2020","Currency=USD","Period=FQ","BEST_FPERIOD_OVERRIDE=FQ","FILING_STATUS=MR","Sort=A","Dates=H","DateFormat=P","Fill=—","Direction=H","UseDPDF=Y")</f>
        <v>9.5993999999999993</v>
      </c>
      <c r="J45" s="14">
        <f>_xll.BDH("GILD US Equity","GEO_GROW_DVD_PER_SH","FQ3 2020","FQ3 2020","Currency=USD","Period=FQ","BEST_FPERIOD_OVERRIDE=FQ","FILING_STATUS=MR","Sort=A","Dates=H","DateFormat=P","Fill=—","Direction=H","UseDPDF=Y")</f>
        <v>9.5993999999999993</v>
      </c>
      <c r="K45" s="14">
        <f>_xll.BDH("GILD US Equity","GEO_GROW_DVD_PER_SH","FQ4 2020","FQ4 2020","Currency=USD","Period=FQ","BEST_FPERIOD_OVERRIDE=FQ","FILING_STATUS=MR","Sort=A","Dates=H","DateFormat=P","Fill=—","Direction=H","UseDPDF=Y")</f>
        <v>9.5993999999999993</v>
      </c>
      <c r="L45" s="14">
        <f>_xll.BDH("GILD US Equity","GEO_GROW_DVD_PER_SH","FQ1 2021","FQ1 2021","Currency=USD","Period=FQ","BEST_FPERIOD_OVERRIDE=FQ","FILING_STATUS=MR","Sort=A","Dates=H","DateFormat=P","Fill=—","Direction=H","UseDPDF=Y")</f>
        <v>10.549799999999999</v>
      </c>
      <c r="M45" s="14">
        <f>_xll.BDH("GILD US Equity","GEO_GROW_DVD_PER_SH","FQ2 2021","FQ2 2021","Currency=USD","Period=FQ","BEST_FPERIOD_OVERRIDE=FQ","FILING_STATUS=MR","Sort=A","Dates=H","DateFormat=P","Fill=—","Direction=H","UseDPDF=Y")</f>
        <v>8.6006</v>
      </c>
      <c r="N45" s="14">
        <f>_xll.BDH("GILD US Equity","GEO_GROW_DVD_PER_SH","FQ3 2021","FQ3 2021","Currency=USD","Period=FQ","BEST_FPERIOD_OVERRIDE=FQ","FILING_STATUS=MR","Sort=A","Dates=H","DateFormat=P","Fill=—","Direction=H","UseDPDF=Y")</f>
        <v>8.6006</v>
      </c>
      <c r="O45" s="14">
        <f>_xll.BDH("GILD US Equity","GEO_GROW_DVD_PER_SH","FQ4 2021","FQ4 2021","Currency=USD","Period=FQ","BEST_FPERIOD_OVERRIDE=FQ","FILING_STATUS=MR","Sort=A","Dates=H","DateFormat=P","Fill=—","Direction=H","UseDPDF=Y")</f>
        <v>8.6006</v>
      </c>
      <c r="P45" s="14">
        <f>_xll.BDH("GILD US Equity","GEO_GROW_DVD_PER_SH","FQ1 2022","FQ1 2022","Currency=USD","Period=FQ","BEST_FPERIOD_OVERRIDE=FQ","FILING_STATUS=MR","Sort=A","Dates=H","DateFormat=P","Fill=—","Direction=H","UseDPDF=Y")</f>
        <v>7.0197000000000003</v>
      </c>
      <c r="Q45" s="14">
        <f>_xll.BDH("GILD US Equity","GEO_GROW_DVD_PER_SH","FQ2 2022","FQ2 2022","Currency=USD","Period=FQ","BEST_FPERIOD_OVERRIDE=FQ","FILING_STATUS=MR","Sort=A","Dates=H","DateFormat=P","Fill=—","Direction=H","UseDPDF=Y")</f>
        <v>7.0197000000000003</v>
      </c>
      <c r="R45" s="14">
        <f>_xll.BDH("GILD US Equity","GEO_GROW_DVD_PER_SH","FQ3 2022","FQ3 2022","Currency=USD","Period=FQ","BEST_FPERIOD_OVERRIDE=FQ","FILING_STATUS=MR","Sort=A","Dates=H","DateFormat=P","Fill=—","Direction=H","UseDPDF=Y")</f>
        <v>7.0197000000000003</v>
      </c>
      <c r="S45" s="14">
        <f>_xll.BDH("GILD US Equity","GEO_GROW_DVD_PER_SH","FQ4 2022","FQ4 2022","Currency=USD","Period=FQ","BEST_FPERIOD_OVERRIDE=FQ","FILING_STATUS=MR","Sort=A","Dates=H","DateFormat=P","Fill=—","Direction=H","UseDPDF=Y")</f>
        <v>7.0197000000000003</v>
      </c>
      <c r="T45" s="14">
        <f>_xll.BDH("GILD US Equity","GEO_GROW_DVD_PER_SH","FQ1 2023","FQ1 2023","Currency=USD","Period=FQ","BEST_FPERIOD_OVERRIDE=FQ","FILING_STATUS=MR","Sort=A","Dates=H","DateFormat=P","Fill=—","Direction=H","UseDPDF=Y")</f>
        <v>5.6421999999999999</v>
      </c>
      <c r="U45" s="14">
        <f>_xll.BDH("GILD US Equity","GEO_GROW_DVD_PER_SH","FQ2 2023","FQ2 2023","Currency=USD","Period=FQ","BEST_FPERIOD_OVERRIDE=FQ","FILING_STATUS=MR","Sort=A","Dates=H","DateFormat=P","Fill=—","Direction=H","UseDPDF=Y")</f>
        <v>5.6421999999999999</v>
      </c>
      <c r="V45" s="14">
        <f>_xll.BDH("GILD US Equity","GEO_GROW_DVD_PER_SH","FQ3 2023","FQ3 2023","Currency=USD","Period=FQ","BEST_FPERIOD_OVERRIDE=FQ","FILING_STATUS=MR","Sort=A","Dates=H","DateFormat=P","Fill=—","Direction=H","UseDPDF=Y")</f>
        <v>5.6421999999999999</v>
      </c>
      <c r="W45" s="14">
        <f>_xll.BDH("GILD US Equity","GEO_GROW_DVD_PER_SH","FQ4 2023","FQ4 2023","Currency=USD","Period=FQ","BEST_FPERIOD_OVERRIDE=FQ","FILING_STATUS=MR","Sort=A","Dates=H","DateFormat=P","Fill=—","Direction=H","UseDPDF=Y")</f>
        <v>5.6421999999999999</v>
      </c>
      <c r="X45" s="14">
        <f>_xll.BDH("GILD US Equity","GEO_GROW_DVD_PER_SH","FQ1 2024","FQ1 2024","Currency=USD","Period=FQ","BEST_FPERIOD_OVERRIDE=FQ","FILING_STATUS=MR","Sort=A","Dates=H","DateFormat=P","Fill=—","Direction=H","UseDPDF=Y")</f>
        <v>4.0949999999999998</v>
      </c>
      <c r="Y45" s="14">
        <f>_xll.BDH("GILD US Equity","GEO_GROW_DVD_PER_SH","FQ2 2024","FQ2 2024","Currency=USD","Period=FQ","BEST_FPERIOD_OVERRIDE=FQ","FILING_STATUS=MR","Sort=A","Dates=H","DateFormat=P","Fill=—","Direction=H","UseDPDF=Y")</f>
        <v>4.0949999999999998</v>
      </c>
      <c r="Z45" s="14">
        <f>_xll.BDH("GILD US Equity","GEO_GROW_DVD_PER_SH","FQ3 2024","FQ3 2024","Currency=USD","Period=FQ","BEST_FPERIOD_OVERRIDE=FQ","FILING_STATUS=MR","Sort=A","Dates=H","DateFormat=P","Fill=—","Direction=H","UseDPDF=Y")</f>
        <v>4.0949999999999998</v>
      </c>
      <c r="AA45" s="14">
        <f>_xll.BDH("GILD US Equity","GEO_GROW_DVD_PER_SH","FQ4 2024","FQ4 2024","Currency=USD","Period=FQ","BEST_FPERIOD_OVERRIDE=FQ","FILING_STATUS=MR","Sort=A","Dates=H","DateFormat=P","Fill=—","Direction=H","UseDPDF=Y")</f>
        <v>4.0949999999999998</v>
      </c>
    </row>
    <row r="46" spans="1:27" x14ac:dyDescent="0.25">
      <c r="A46" s="10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25">
      <c r="A47" s="10" t="s">
        <v>1521</v>
      </c>
      <c r="B47" s="10" t="s">
        <v>1561</v>
      </c>
      <c r="C47" s="14">
        <f>_xll.BDH("GILD US Equity","ACCOUNTS_RECEIVABLE_5_YR_GROWTH","FQ4 2018","FQ4 2018","Currency=USD","Period=FQ","BEST_FPERIOD_OVERRIDE=FQ","FILING_STATUS=MR","Sort=A","Dates=H","DateFormat=P","Fill=—","Direction=H","UseDPDF=Y")</f>
        <v>8.8026999999999997</v>
      </c>
      <c r="D47" s="14">
        <f>_xll.BDH("GILD US Equity","ACCOUNTS_RECEIVABLE_5_YR_GROWTH","FQ1 2019","FQ1 2019","Currency=USD","Period=FQ","BEST_FPERIOD_OVERRIDE=FQ","FILING_STATUS=MR","Sort=A","Dates=H","DateFormat=P","Fill=—","Direction=H","UseDPDF=Y")</f>
        <v>0.28760000000000002</v>
      </c>
      <c r="E47" s="14">
        <f>_xll.BDH("GILD US Equity","ACCOUNTS_RECEIVABLE_5_YR_GROWTH","FQ2 2019","FQ2 2019","Currency=USD","Period=FQ","BEST_FPERIOD_OVERRIDE=FQ","FILING_STATUS=MR","Sort=A","Dates=H","DateFormat=P","Fill=—","Direction=H","UseDPDF=Y")</f>
        <v>-0.23799999999999999</v>
      </c>
      <c r="F47" s="14">
        <f>_xll.BDH("GILD US Equity","ACCOUNTS_RECEIVABLE_5_YR_GROWTH","FQ3 2019","FQ3 2019","Currency=USD","Period=FQ","BEST_FPERIOD_OVERRIDE=FQ","FILING_STATUS=MR","Sort=A","Dates=H","DateFormat=P","Fill=—","Direction=H","UseDPDF=Y")</f>
        <v>3.0663</v>
      </c>
      <c r="G47" s="14">
        <f>_xll.BDH("GILD US Equity","ACCOUNTS_RECEIVABLE_5_YR_GROWTH","FQ4 2019","FQ4 2019","Currency=USD","Period=FQ","BEST_FPERIOD_OVERRIDE=FQ","FILING_STATUS=MR","Sort=A","Dates=H","DateFormat=P","Fill=—","Direction=H","UseDPDF=Y")</f>
        <v>-5.0236999999999998</v>
      </c>
      <c r="H47" s="14">
        <f>_xll.BDH("GILD US Equity","ACCOUNTS_RECEIVABLE_5_YR_GROWTH","FQ1 2020","FQ1 2020","Currency=USD","Period=FQ","BEST_FPERIOD_OVERRIDE=FQ","FILING_STATUS=MR","Sort=A","Dates=H","DateFormat=P","Fill=—","Direction=H","UseDPDF=Y")</f>
        <v>-4.1726999999999999</v>
      </c>
      <c r="I47" s="14">
        <f>_xll.BDH("GILD US Equity","ACCOUNTS_RECEIVABLE_5_YR_GROWTH","FQ2 2020","FQ2 2020","Currency=USD","Period=FQ","BEST_FPERIOD_OVERRIDE=FQ","FILING_STATUS=MR","Sort=A","Dates=H","DateFormat=P","Fill=—","Direction=H","UseDPDF=Y")</f>
        <v>-9.7378999999999998</v>
      </c>
      <c r="J47" s="14">
        <f>_xll.BDH("GILD US Equity","ACCOUNTS_RECEIVABLE_5_YR_GROWTH","FQ3 2020","FQ3 2020","Currency=USD","Period=FQ","BEST_FPERIOD_OVERRIDE=FQ","FILING_STATUS=MR","Sort=A","Dates=H","DateFormat=P","Fill=—","Direction=H","UseDPDF=Y")</f>
        <v>-8.5119000000000007</v>
      </c>
      <c r="K47" s="14">
        <f>_xll.BDH("GILD US Equity","ACCOUNTS_RECEIVABLE_5_YR_GROWTH","FQ4 2020","FQ4 2020","Currency=USD","Period=FQ","BEST_FPERIOD_OVERRIDE=FQ","FILING_STATUS=MR","Sort=A","Dates=H","DateFormat=P","Fill=—","Direction=H","UseDPDF=Y")</f>
        <v>-3.5268000000000002</v>
      </c>
      <c r="L47" s="14">
        <f>_xll.BDH("GILD US Equity","ACCOUNTS_RECEIVABLE_5_YR_GROWTH","FQ1 2021","FQ1 2021","Currency=USD","Period=FQ","BEST_FPERIOD_OVERRIDE=FQ","FILING_STATUS=MR","Sort=A","Dates=H","DateFormat=P","Fill=—","Direction=H","UseDPDF=Y")</f>
        <v>-8.6288</v>
      </c>
      <c r="M47" s="14">
        <f>_xll.BDH("GILD US Equity","ACCOUNTS_RECEIVABLE_5_YR_GROWTH","FQ2 2021","FQ2 2021","Currency=USD","Period=FQ","BEST_FPERIOD_OVERRIDE=FQ","FILING_STATUS=MR","Sort=A","Dates=H","DateFormat=P","Fill=—","Direction=H","UseDPDF=Y")</f>
        <v>-6.3247</v>
      </c>
      <c r="N47" s="14">
        <f>_xll.BDH("GILD US Equity","ACCOUNTS_RECEIVABLE_5_YR_GROWTH","FQ3 2021","FQ3 2021","Currency=USD","Period=FQ","BEST_FPERIOD_OVERRIDE=FQ","FILING_STATUS=MR","Sort=A","Dates=H","DateFormat=P","Fill=—","Direction=H","UseDPDF=Y")</f>
        <v>-2.0916000000000001</v>
      </c>
      <c r="O47" s="14">
        <f>_xll.BDH("GILD US Equity","ACCOUNTS_RECEIVABLE_5_YR_GROWTH","FQ4 2021","FQ4 2021","Currency=USD","Period=FQ","BEST_FPERIOD_OVERRIDE=FQ","FILING_STATUS=MR","Sort=A","Dates=H","DateFormat=P","Fill=—","Direction=H","UseDPDF=Y")</f>
        <v>-9.3200000000000005E-2</v>
      </c>
      <c r="P47" s="14">
        <f>_xll.BDH("GILD US Equity","ACCOUNTS_RECEIVABLE_5_YR_GROWTH","FQ1 2022","FQ1 2022","Currency=USD","Period=FQ","BEST_FPERIOD_OVERRIDE=FQ","FILING_STATUS=MR","Sort=A","Dates=H","DateFormat=P","Fill=—","Direction=H","UseDPDF=Y")</f>
        <v>-1.2557</v>
      </c>
      <c r="Q47" s="14">
        <f>_xll.BDH("GILD US Equity","ACCOUNTS_RECEIVABLE_5_YR_GROWTH","FQ2 2022","FQ2 2022","Currency=USD","Period=FQ","BEST_FPERIOD_OVERRIDE=FQ","FILING_STATUS=MR","Sort=A","Dates=H","DateFormat=P","Fill=—","Direction=H","UseDPDF=Y")</f>
        <v>-1.6621999999999999</v>
      </c>
      <c r="R47" s="14">
        <f>_xll.BDH("GILD US Equity","ACCOUNTS_RECEIVABLE_5_YR_GROWTH","FQ3 2022","FQ3 2022","Currency=USD","Period=FQ","BEST_FPERIOD_OVERRIDE=FQ","FILING_STATUS=MR","Sort=A","Dates=H","DateFormat=P","Fill=—","Direction=H","UseDPDF=Y")</f>
        <v>1.1011</v>
      </c>
      <c r="S47" s="14">
        <f>_xll.BDH("GILD US Equity","ACCOUNTS_RECEIVABLE_5_YR_GROWTH","FQ4 2022","FQ4 2022","Currency=USD","Period=FQ","BEST_FPERIOD_OVERRIDE=FQ","FILING_STATUS=MR","Sort=A","Dates=H","DateFormat=P","Fill=—","Direction=H","UseDPDF=Y")</f>
        <v>4.4038000000000004</v>
      </c>
      <c r="T47" s="14">
        <f>_xll.BDH("GILD US Equity","ACCOUNTS_RECEIVABLE_5_YR_GROWTH","FQ1 2023","FQ1 2023","Currency=USD","Period=FQ","BEST_FPERIOD_OVERRIDE=FQ","FILING_STATUS=MR","Sort=A","Dates=H","DateFormat=P","Fill=—","Direction=H","UseDPDF=Y")</f>
        <v>1.9711000000000001</v>
      </c>
      <c r="U47" s="14">
        <f>_xll.BDH("GILD US Equity","ACCOUNTS_RECEIVABLE_5_YR_GROWTH","FQ2 2023","FQ2 2023","Currency=USD","Period=FQ","BEST_FPERIOD_OVERRIDE=FQ","FILING_STATUS=MR","Sort=A","Dates=H","DateFormat=P","Fill=—","Direction=H","UseDPDF=Y")</f>
        <v>3.6149</v>
      </c>
      <c r="V47" s="14">
        <f>_xll.BDH("GILD US Equity","ACCOUNTS_RECEIVABLE_5_YR_GROWTH","FQ3 2023","FQ3 2023","Currency=USD","Period=FQ","BEST_FPERIOD_OVERRIDE=FQ","FILING_STATUS=MR","Sort=A","Dates=H","DateFormat=P","Fill=—","Direction=H","UseDPDF=Y")</f>
        <v>6.6906999999999996</v>
      </c>
      <c r="W47" s="14">
        <f>_xll.BDH("GILD US Equity","ACCOUNTS_RECEIVABLE_5_YR_GROWTH","FQ4 2023","FQ4 2023","Currency=USD","Period=FQ","BEST_FPERIOD_OVERRIDE=FQ","FILING_STATUS=MR","Sort=A","Dates=H","DateFormat=P","Fill=—","Direction=H","UseDPDF=Y")</f>
        <v>6.9710999999999999</v>
      </c>
      <c r="X47" s="14">
        <f>_xll.BDH("GILD US Equity","ACCOUNTS_RECEIVABLE_5_YR_GROWTH","FQ1 2024","FQ1 2024","Currency=USD","Period=FQ","BEST_FPERIOD_OVERRIDE=FQ","FILING_STATUS=MR","Sort=A","Dates=H","DateFormat=P","Fill=—","Direction=H","UseDPDF=Y")</f>
        <v>7.2976999999999999</v>
      </c>
      <c r="Y47" s="14">
        <f>_xll.BDH("GILD US Equity","ACCOUNTS_RECEIVABLE_5_YR_GROWTH","FQ2 2024","FQ2 2024","Currency=USD","Period=FQ","BEST_FPERIOD_OVERRIDE=FQ","FILING_STATUS=MR","Sort=A","Dates=H","DateFormat=P","Fill=—","Direction=H","UseDPDF=Y")</f>
        <v>6.5465999999999998</v>
      </c>
      <c r="Z47" s="14">
        <f>_xll.BDH("GILD US Equity","ACCOUNTS_RECEIVABLE_5_YR_GROWTH","FQ3 2024","FQ3 2024","Currency=USD","Period=FQ","BEST_FPERIOD_OVERRIDE=FQ","FILING_STATUS=MR","Sort=A","Dates=H","DateFormat=P","Fill=—","Direction=H","UseDPDF=Y")</f>
        <v>6.7110000000000003</v>
      </c>
      <c r="AA47" s="14">
        <f>_xll.BDH("GILD US Equity","ACCOUNTS_RECEIVABLE_5_YR_GROWTH","FQ4 2024","FQ4 2024","Currency=USD","Period=FQ","BEST_FPERIOD_OVERRIDE=FQ","FILING_STATUS=MR","Sort=A","Dates=H","DateFormat=P","Fill=—","Direction=H","UseDPDF=Y")</f>
        <v>4.2939999999999996</v>
      </c>
    </row>
    <row r="48" spans="1:27" x14ac:dyDescent="0.25">
      <c r="A48" s="10" t="s">
        <v>1523</v>
      </c>
      <c r="B48" s="10" t="s">
        <v>1562</v>
      </c>
      <c r="C48" s="14">
        <f>_xll.BDH("GILD US Equity","INVENTORY_5_YEAR_GROWTH","FQ4 2018","FQ4 2018","Currency=USD","Period=FQ","BEST_FPERIOD_OVERRIDE=FQ","FILING_STATUS=MR","Sort=A","Dates=H","DateFormat=P","Fill=—","Direction=H","UseDPDF=Y")</f>
        <v>-13.6647</v>
      </c>
      <c r="D48" s="14">
        <f>_xll.BDH("GILD US Equity","INVENTORY_5_YEAR_GROWTH","FQ1 2019","FQ1 2019","Currency=USD","Period=FQ","BEST_FPERIOD_OVERRIDE=FQ","FILING_STATUS=MR","Sort=A","Dates=H","DateFormat=P","Fill=—","Direction=H","UseDPDF=Y")</f>
        <v>-15.9451</v>
      </c>
      <c r="E48" s="14">
        <f>_xll.BDH("GILD US Equity","INVENTORY_5_YEAR_GROWTH","FQ2 2019","FQ2 2019","Currency=USD","Period=FQ","BEST_FPERIOD_OVERRIDE=FQ","FILING_STATUS=MR","Sort=A","Dates=H","DateFormat=P","Fill=—","Direction=H","UseDPDF=Y")</f>
        <v>-15.637600000000001</v>
      </c>
      <c r="F48" s="14">
        <f>_xll.BDH("GILD US Equity","INVENTORY_5_YEAR_GROWTH","FQ3 2019","FQ3 2019","Currency=USD","Period=FQ","BEST_FPERIOD_OVERRIDE=FQ","FILING_STATUS=MR","Sort=A","Dates=H","DateFormat=P","Fill=—","Direction=H","UseDPDF=Y")</f>
        <v>-14.3148</v>
      </c>
      <c r="G48" s="14">
        <f>_xll.BDH("GILD US Equity","INVENTORY_5_YEAR_GROWTH","FQ4 2019","FQ4 2019","Currency=USD","Period=FQ","BEST_FPERIOD_OVERRIDE=FQ","FILING_STATUS=MR","Sort=A","Dates=H","DateFormat=P","Fill=—","Direction=H","UseDPDF=Y")</f>
        <v>-7.8292000000000002</v>
      </c>
      <c r="H48" s="14">
        <f>_xll.BDH("GILD US Equity","INVENTORY_5_YEAR_GROWTH","FQ1 2020","FQ1 2020","Currency=USD","Period=FQ","BEST_FPERIOD_OVERRIDE=FQ","FILING_STATUS=MR","Sort=A","Dates=H","DateFormat=P","Fill=—","Direction=H","UseDPDF=Y")</f>
        <v>-12.368600000000001</v>
      </c>
      <c r="I48" s="14">
        <f>_xll.BDH("GILD US Equity","INVENTORY_5_YEAR_GROWTH","FQ2 2020","FQ2 2020","Currency=USD","Period=FQ","BEST_FPERIOD_OVERRIDE=FQ","FILING_STATUS=MR","Sort=A","Dates=H","DateFormat=P","Fill=—","Direction=H","UseDPDF=Y")</f>
        <v>-12.3969</v>
      </c>
      <c r="J48" s="14">
        <f>_xll.BDH("GILD US Equity","INVENTORY_5_YEAR_GROWTH","FQ3 2020","FQ3 2020","Currency=USD","Period=FQ","BEST_FPERIOD_OVERRIDE=FQ","FILING_STATUS=MR","Sort=A","Dates=H","DateFormat=P","Fill=—","Direction=H","UseDPDF=Y")</f>
        <v>-12.7011</v>
      </c>
      <c r="K48" s="14">
        <f>_xll.BDH("GILD US Equity","INVENTORY_5_YEAR_GROWTH","FQ4 2020","FQ4 2020","Currency=USD","Period=FQ","BEST_FPERIOD_OVERRIDE=FQ","FILING_STATUS=MR","Sort=A","Dates=H","DateFormat=P","Fill=—","Direction=H","UseDPDF=Y")</f>
        <v>-2.9518</v>
      </c>
      <c r="L48" s="14">
        <f>_xll.BDH("GILD US Equity","INVENTORY_5_YEAR_GROWTH","FQ1 2021","FQ1 2021","Currency=USD","Period=FQ","BEST_FPERIOD_OVERRIDE=FQ","FILING_STATUS=MR","Sort=A","Dates=H","DateFormat=P","Fill=—","Direction=H","UseDPDF=Y")</f>
        <v>-1.0983000000000001</v>
      </c>
      <c r="M48" s="14">
        <f>_xll.BDH("GILD US Equity","INVENTORY_5_YEAR_GROWTH","FQ2 2021","FQ2 2021","Currency=USD","Period=FQ","BEST_FPERIOD_OVERRIDE=FQ","FILING_STATUS=MR","Sort=A","Dates=H","DateFormat=P","Fill=—","Direction=H","UseDPDF=Y")</f>
        <v>-0.98599999999999999</v>
      </c>
      <c r="N48" s="14">
        <f>_xll.BDH("GILD US Equity","INVENTORY_5_YEAR_GROWTH","FQ3 2021","FQ3 2021","Currency=USD","Period=FQ","BEST_FPERIOD_OVERRIDE=FQ","FILING_STATUS=MR","Sort=A","Dates=H","DateFormat=P","Fill=—","Direction=H","UseDPDF=Y")</f>
        <v>-2.4777</v>
      </c>
      <c r="O48" s="14">
        <f>_xll.BDH("GILD US Equity","INVENTORY_5_YEAR_GROWTH","FQ4 2021","FQ4 2021","Currency=USD","Period=FQ","BEST_FPERIOD_OVERRIDE=FQ","FILING_STATUS=MR","Sort=A","Dates=H","DateFormat=P","Fill=—","Direction=H","UseDPDF=Y")</f>
        <v>0.38769999999999999</v>
      </c>
      <c r="P48" s="14">
        <f>_xll.BDH("GILD US Equity","INVENTORY_5_YEAR_GROWTH","FQ1 2022","FQ1 2022","Currency=USD","Period=FQ","BEST_FPERIOD_OVERRIDE=FQ","FILING_STATUS=MR","Sort=A","Dates=H","DateFormat=P","Fill=—","Direction=H","UseDPDF=Y")</f>
        <v>0.10829999999999999</v>
      </c>
      <c r="Q48" s="14">
        <f>_xll.BDH("GILD US Equity","INVENTORY_5_YEAR_GROWTH","FQ2 2022","FQ2 2022","Currency=USD","Period=FQ","BEST_FPERIOD_OVERRIDE=FQ","FILING_STATUS=MR","Sort=A","Dates=H","DateFormat=P","Fill=—","Direction=H","UseDPDF=Y")</f>
        <v>1.1792</v>
      </c>
      <c r="R48" s="14">
        <f>_xll.BDH("GILD US Equity","INVENTORY_5_YEAR_GROWTH","FQ3 2022","FQ3 2022","Currency=USD","Period=FQ","BEST_FPERIOD_OVERRIDE=FQ","FILING_STATUS=MR","Sort=A","Dates=H","DateFormat=P","Fill=—","Direction=H","UseDPDF=Y")</f>
        <v>5.0422000000000002</v>
      </c>
      <c r="S48" s="14">
        <f>_xll.BDH("GILD US Equity","INVENTORY_5_YEAR_GROWTH","FQ4 2022","FQ4 2022","Currency=USD","Period=FQ","BEST_FPERIOD_OVERRIDE=FQ","FILING_STATUS=MR","Sort=A","Dates=H","DateFormat=P","Fill=—","Direction=H","UseDPDF=Y")</f>
        <v>13.4739</v>
      </c>
      <c r="T48" s="14">
        <f>_xll.BDH("GILD US Equity","INVENTORY_5_YEAR_GROWTH","FQ1 2023","FQ1 2023","Currency=USD","Period=FQ","BEST_FPERIOD_OVERRIDE=FQ","FILING_STATUS=MR","Sort=A","Dates=H","DateFormat=P","Fill=—","Direction=H","UseDPDF=Y")</f>
        <v>12.233499999999999</v>
      </c>
      <c r="U48" s="14">
        <f>_xll.BDH("GILD US Equity","INVENTORY_5_YEAR_GROWTH","FQ2 2023","FQ2 2023","Currency=USD","Period=FQ","BEST_FPERIOD_OVERRIDE=FQ","FILING_STATUS=MR","Sort=A","Dates=H","DateFormat=P","Fill=—","Direction=H","UseDPDF=Y")</f>
        <v>13.71</v>
      </c>
      <c r="V48" s="14">
        <f>_xll.BDH("GILD US Equity","INVENTORY_5_YEAR_GROWTH","FQ3 2023","FQ3 2023","Currency=USD","Period=FQ","BEST_FPERIOD_OVERRIDE=FQ","FILING_STATUS=MR","Sort=A","Dates=H","DateFormat=P","Fill=—","Direction=H","UseDPDF=Y")</f>
        <v>15.316800000000001</v>
      </c>
      <c r="W48" s="14">
        <f>_xll.BDH("GILD US Equity","INVENTORY_5_YEAR_GROWTH","FQ4 2023","FQ4 2023","Currency=USD","Period=FQ","BEST_FPERIOD_OVERRIDE=FQ","FILING_STATUS=MR","Sort=A","Dates=H","DateFormat=P","Fill=—","Direction=H","UseDPDF=Y")</f>
        <v>17.030799999999999</v>
      </c>
      <c r="X48" s="14">
        <f>_xll.BDH("GILD US Equity","INVENTORY_5_YEAR_GROWTH","FQ1 2024","FQ1 2024","Currency=USD","Period=FQ","BEST_FPERIOD_OVERRIDE=FQ","FILING_STATUS=MR","Sort=A","Dates=H","DateFormat=P","Fill=—","Direction=H","UseDPDF=Y")</f>
        <v>15.5899</v>
      </c>
      <c r="Y48" s="14">
        <f>_xll.BDH("GILD US Equity","INVENTORY_5_YEAR_GROWTH","FQ2 2024","FQ2 2024","Currency=USD","Period=FQ","BEST_FPERIOD_OVERRIDE=FQ","FILING_STATUS=MR","Sort=A","Dates=H","DateFormat=P","Fill=—","Direction=H","UseDPDF=Y")</f>
        <v>18.042200000000001</v>
      </c>
      <c r="Z48" s="14">
        <f>_xll.BDH("GILD US Equity","INVENTORY_5_YEAR_GROWTH","FQ3 2024","FQ3 2024","Currency=USD","Period=FQ","BEST_FPERIOD_OVERRIDE=FQ","FILING_STATUS=MR","Sort=A","Dates=H","DateFormat=P","Fill=—","Direction=H","UseDPDF=Y")</f>
        <v>16.2059</v>
      </c>
      <c r="AA48" s="14">
        <f>_xll.BDH("GILD US Equity","INVENTORY_5_YEAR_GROWTH","FQ4 2024","FQ4 2024","Currency=USD","Period=FQ","BEST_FPERIOD_OVERRIDE=FQ","FILING_STATUS=MR","Sort=A","Dates=H","DateFormat=P","Fill=—","Direction=H","UseDPDF=Y")</f>
        <v>13.1496</v>
      </c>
    </row>
    <row r="49" spans="1:27" x14ac:dyDescent="0.25">
      <c r="A49" s="10" t="s">
        <v>1525</v>
      </c>
      <c r="B49" s="10" t="s">
        <v>1563</v>
      </c>
      <c r="C49" s="14">
        <f>_xll.BDH("GILD US Equity","NET_FIXED_ASSETS_5_YEAR_GROWTH","FQ4 2018","FQ4 2018","Currency=USD","Period=FQ","BEST_FPERIOD_OVERRIDE=FQ","FILING_STATUS=MR","Sort=A","Dates=H","DateFormat=P","Fill=—","Direction=H","UseDPDF=Y")</f>
        <v>27.997800000000002</v>
      </c>
      <c r="D49" s="14">
        <f>_xll.BDH("GILD US Equity","NET_FIXED_ASSETS_5_YEAR_GROWTH","FQ1 2019","FQ1 2019","Currency=USD","Period=FQ","BEST_FPERIOD_OVERRIDE=FQ","FILING_STATUS=MR","Sort=A","Dates=H","DateFormat=P","Fill=—","Direction=H","UseDPDF=Y")</f>
        <v>28.532</v>
      </c>
      <c r="E49" s="14">
        <f>_xll.BDH("GILD US Equity","NET_FIXED_ASSETS_5_YEAR_GROWTH","FQ2 2019","FQ2 2019","Currency=USD","Period=FQ","BEST_FPERIOD_OVERRIDE=FQ","FILING_STATUS=MR","Sort=A","Dates=H","DateFormat=P","Fill=—","Direction=H","UseDPDF=Y")</f>
        <v>28.046900000000001</v>
      </c>
      <c r="F49" s="14">
        <f>_xll.BDH("GILD US Equity","NET_FIXED_ASSETS_5_YEAR_GROWTH","FQ3 2019","FQ3 2019","Currency=USD","Period=FQ","BEST_FPERIOD_OVERRIDE=FQ","FILING_STATUS=MR","Sort=A","Dates=H","DateFormat=P","Fill=—","Direction=H","UseDPDF=Y")</f>
        <v>27.247900000000001</v>
      </c>
      <c r="G49" s="14">
        <f>_xll.BDH("GILD US Equity","NET_FIXED_ASSETS_5_YEAR_GROWTH","FQ4 2019","FQ4 2019","Currency=USD","Period=FQ","BEST_FPERIOD_OVERRIDE=FQ","FILING_STATUS=MR","Sort=A","Dates=H","DateFormat=P","Fill=—","Direction=H","UseDPDF=Y")</f>
        <v>25.2988</v>
      </c>
      <c r="H49" s="14">
        <f>_xll.BDH("GILD US Equity","NET_FIXED_ASSETS_5_YEAR_GROWTH","FQ1 2020","FQ1 2020","Currency=USD","Period=FQ","BEST_FPERIOD_OVERRIDE=FQ","FILING_STATUS=MR","Sort=A","Dates=H","DateFormat=P","Fill=—","Direction=H","UseDPDF=Y")</f>
        <v>20.926100000000002</v>
      </c>
      <c r="I49" s="14">
        <f>_xll.BDH("GILD US Equity","NET_FIXED_ASSETS_5_YEAR_GROWTH","FQ2 2020","FQ2 2020","Currency=USD","Period=FQ","BEST_FPERIOD_OVERRIDE=FQ","FILING_STATUS=MR","Sort=A","Dates=H","DateFormat=P","Fill=—","Direction=H","UseDPDF=Y")</f>
        <v>19.630400000000002</v>
      </c>
      <c r="J49" s="14">
        <f>_xll.BDH("GILD US Equity","NET_FIXED_ASSETS_5_YEAR_GROWTH","FQ3 2020","FQ3 2020","Currency=USD","Period=FQ","BEST_FPERIOD_OVERRIDE=FQ","FILING_STATUS=MR","Sort=A","Dates=H","DateFormat=P","Fill=—","Direction=H","UseDPDF=Y")</f>
        <v>17.5505</v>
      </c>
      <c r="K49" s="14">
        <f>_xll.BDH("GILD US Equity","NET_FIXED_ASSETS_5_YEAR_GROWTH","FQ4 2020","FQ4 2020","Currency=USD","Period=FQ","BEST_FPERIOD_OVERRIDE=FQ","FILING_STATUS=MR","Sort=A","Dates=H","DateFormat=P","Fill=—","Direction=H","UseDPDF=Y")</f>
        <v>19.785599999999999</v>
      </c>
      <c r="L49" s="14">
        <f>_xll.BDH("GILD US Equity","NET_FIXED_ASSETS_5_YEAR_GROWTH","FQ1 2021","FQ1 2021","Currency=USD","Period=FQ","BEST_FPERIOD_OVERRIDE=FQ","FILING_STATUS=MR","Sort=A","Dates=H","DateFormat=P","Fill=—","Direction=H","UseDPDF=Y")</f>
        <v>15.468400000000001</v>
      </c>
      <c r="M49" s="14">
        <f>_xll.BDH("GILD US Equity","NET_FIXED_ASSETS_5_YEAR_GROWTH","FQ2 2021","FQ2 2021","Currency=USD","Period=FQ","BEST_FPERIOD_OVERRIDE=FQ","FILING_STATUS=MR","Sort=A","Dates=H","DateFormat=P","Fill=—","Direction=H","UseDPDF=Y")</f>
        <v>13.9628</v>
      </c>
      <c r="N49" s="14">
        <f>_xll.BDH("GILD US Equity","NET_FIXED_ASSETS_5_YEAR_GROWTH","FQ3 2021","FQ3 2021","Currency=USD","Period=FQ","BEST_FPERIOD_OVERRIDE=FQ","FILING_STATUS=MR","Sort=A","Dates=H","DateFormat=P","Fill=—","Direction=H","UseDPDF=Y")</f>
        <v>13.165100000000001</v>
      </c>
      <c r="O49" s="14">
        <f>_xll.BDH("GILD US Equity","NET_FIXED_ASSETS_5_YEAR_GROWTH","FQ4 2021","FQ4 2021","Currency=USD","Period=FQ","BEST_FPERIOD_OVERRIDE=FQ","FILING_STATUS=MR","Sort=A","Dates=H","DateFormat=P","Fill=—","Direction=H","UseDPDF=Y")</f>
        <v>14.5999</v>
      </c>
      <c r="P49" s="14">
        <f>_xll.BDH("GILD US Equity","NET_FIXED_ASSETS_5_YEAR_GROWTH","FQ1 2022","FQ1 2022","Currency=USD","Period=FQ","BEST_FPERIOD_OVERRIDE=FQ","FILING_STATUS=MR","Sort=A","Dates=H","DateFormat=P","Fill=—","Direction=H","UseDPDF=Y")</f>
        <v>12.446400000000001</v>
      </c>
      <c r="Q49" s="14">
        <f>_xll.BDH("GILD US Equity","NET_FIXED_ASSETS_5_YEAR_GROWTH","FQ2 2022","FQ2 2022","Currency=USD","Period=FQ","BEST_FPERIOD_OVERRIDE=FQ","FILING_STATUS=MR","Sort=A","Dates=H","DateFormat=P","Fill=—","Direction=H","UseDPDF=Y")</f>
        <v>11.9613</v>
      </c>
      <c r="R49" s="14">
        <f>_xll.BDH("GILD US Equity","NET_FIXED_ASSETS_5_YEAR_GROWTH","FQ3 2022","FQ3 2022","Currency=USD","Period=FQ","BEST_FPERIOD_OVERRIDE=FQ","FILING_STATUS=MR","Sort=A","Dates=H","DateFormat=P","Fill=—","Direction=H","UseDPDF=Y")</f>
        <v>11.5276</v>
      </c>
      <c r="S49" s="14">
        <f>_xll.BDH("GILD US Equity","NET_FIXED_ASSETS_5_YEAR_GROWTH","FQ4 2022","FQ4 2022","Currency=USD","Period=FQ","BEST_FPERIOD_OVERRIDE=FQ","FILING_STATUS=MR","Sort=A","Dates=H","DateFormat=P","Fill=—","Direction=H","UseDPDF=Y")</f>
        <v>12.659800000000001</v>
      </c>
      <c r="T49" s="14">
        <f>_xll.BDH("GILD US Equity","NET_FIXED_ASSETS_5_YEAR_GROWTH","FQ1 2023","FQ1 2023","Currency=USD","Period=FQ","BEST_FPERIOD_OVERRIDE=FQ","FILING_STATUS=MR","Sort=A","Dates=H","DateFormat=P","Fill=—","Direction=H","UseDPDF=Y")</f>
        <v>9.9162999999999997</v>
      </c>
      <c r="U49" s="14">
        <f>_xll.BDH("GILD US Equity","NET_FIXED_ASSETS_5_YEAR_GROWTH","FQ2 2023","FQ2 2023","Currency=USD","Period=FQ","BEST_FPERIOD_OVERRIDE=FQ","FILING_STATUS=MR","Sort=A","Dates=H","DateFormat=P","Fill=—","Direction=H","UseDPDF=Y")</f>
        <v>8.6499000000000006</v>
      </c>
      <c r="V49" s="14">
        <f>_xll.BDH("GILD US Equity","NET_FIXED_ASSETS_5_YEAR_GROWTH","FQ3 2023","FQ3 2023","Currency=USD","Period=FQ","BEST_FPERIOD_OVERRIDE=FQ","FILING_STATUS=MR","Sort=A","Dates=H","DateFormat=P","Fill=—","Direction=H","UseDPDF=Y")</f>
        <v>8.0068999999999999</v>
      </c>
      <c r="W49" s="14">
        <f>_xll.BDH("GILD US Equity","NET_FIXED_ASSETS_5_YEAR_GROWTH","FQ4 2023","FQ4 2023","Currency=USD","Period=FQ","BEST_FPERIOD_OVERRIDE=FQ","FILING_STATUS=MR","Sort=A","Dates=H","DateFormat=P","Fill=—","Direction=H","UseDPDF=Y")</f>
        <v>8.0434999999999999</v>
      </c>
      <c r="X49" s="14">
        <f>_xll.BDH("GILD US Equity","NET_FIXED_ASSETS_5_YEAR_GROWTH","FQ1 2024","FQ1 2024","Currency=USD","Period=FQ","BEST_FPERIOD_OVERRIDE=FQ","FILING_STATUS=MR","Sort=A","Dates=H","DateFormat=P","Fill=—","Direction=H","UseDPDF=Y")</f>
        <v>3.0851999999999999</v>
      </c>
      <c r="Y49" s="14">
        <f>_xll.BDH("GILD US Equity","NET_FIXED_ASSETS_5_YEAR_GROWTH","FQ2 2024","FQ2 2024","Currency=USD","Period=FQ","BEST_FPERIOD_OVERRIDE=FQ","FILING_STATUS=MR","Sort=A","Dates=H","DateFormat=P","Fill=—","Direction=H","UseDPDF=Y")</f>
        <v>2.3793000000000002</v>
      </c>
      <c r="Z49" s="14">
        <f>_xll.BDH("GILD US Equity","NET_FIXED_ASSETS_5_YEAR_GROWTH","FQ3 2024","FQ3 2024","Currency=USD","Period=FQ","BEST_FPERIOD_OVERRIDE=FQ","FILING_STATUS=MR","Sort=A","Dates=H","DateFormat=P","Fill=—","Direction=H","UseDPDF=Y")</f>
        <v>1.3676999999999999</v>
      </c>
      <c r="AA49" s="14">
        <f>_xll.BDH("GILD US Equity","NET_FIXED_ASSETS_5_YEAR_GROWTH","FQ4 2024","FQ4 2024","Currency=USD","Period=FQ","BEST_FPERIOD_OVERRIDE=FQ","FILING_STATUS=MR","Sort=A","Dates=H","DateFormat=P","Fill=—","Direction=H","UseDPDF=Y")</f>
        <v>2.7740999999999998</v>
      </c>
    </row>
    <row r="50" spans="1:27" x14ac:dyDescent="0.25">
      <c r="A50" s="10" t="s">
        <v>112</v>
      </c>
      <c r="B50" s="10" t="s">
        <v>1564</v>
      </c>
      <c r="C50" s="14">
        <f>_xll.BDH("GILD US Equity","GEO_GROW_TOT_ASSET","FQ4 2018","FQ4 2018","Currency=USD","Period=FQ","BEST_FPERIOD_OVERRIDE=FQ","FILING_STATUS=MR","Sort=A","Dates=H","DateFormat=P","Fill=—","Direction=H","UseDPDF=Y")</f>
        <v>23.041799999999999</v>
      </c>
      <c r="D50" s="14">
        <f>_xll.BDH("GILD US Equity","GEO_GROW_TOT_ASSET","FQ1 2019","FQ1 2019","Currency=USD","Period=FQ","BEST_FPERIOD_OVERRIDE=FQ","FILING_STATUS=MR","Sort=A","Dates=H","DateFormat=P","Fill=—","Direction=H","UseDPDF=Y")</f>
        <v>17.4819</v>
      </c>
      <c r="E50" s="14">
        <f>_xll.BDH("GILD US Equity","GEO_GROW_TOT_ASSET","FQ2 2019","FQ2 2019","Currency=USD","Period=FQ","BEST_FPERIOD_OVERRIDE=FQ","FILING_STATUS=MR","Sort=A","Dates=H","DateFormat=P","Fill=—","Direction=H","UseDPDF=Y")</f>
        <v>15.162000000000001</v>
      </c>
      <c r="F50" s="14">
        <f>_xll.BDH("GILD US Equity","GEO_GROW_TOT_ASSET","FQ3 2019","FQ3 2019","Currency=USD","Period=FQ","BEST_FPERIOD_OVERRIDE=FQ","FILING_STATUS=MR","Sort=A","Dates=H","DateFormat=P","Fill=—","Direction=H","UseDPDF=Y")</f>
        <v>15.4444</v>
      </c>
      <c r="G50" s="14">
        <f>_xll.BDH("GILD US Equity","GEO_GROW_TOT_ASSET","FQ4 2019","FQ4 2019","Currency=USD","Period=FQ","BEST_FPERIOD_OVERRIDE=FQ","FILING_STATUS=MR","Sort=A","Dates=H","DateFormat=P","Fill=—","Direction=H","UseDPDF=Y")</f>
        <v>12.196300000000001</v>
      </c>
      <c r="H50" s="14">
        <f>_xll.BDH("GILD US Equity","GEO_GROW_TOT_ASSET","FQ1 2020","FQ1 2020","Currency=USD","Period=FQ","BEST_FPERIOD_OVERRIDE=FQ","FILING_STATUS=MR","Sort=A","Dates=H","DateFormat=P","Fill=—","Direction=H","UseDPDF=Y")</f>
        <v>9.2866999999999997</v>
      </c>
      <c r="I50" s="14">
        <f>_xll.BDH("GILD US Equity","GEO_GROW_TOT_ASSET","FQ2 2020","FQ2 2020","Currency=USD","Period=FQ","BEST_FPERIOD_OVERRIDE=FQ","FILING_STATUS=MR","Sort=A","Dates=H","DateFormat=P","Fill=—","Direction=H","UseDPDF=Y")</f>
        <v>7.3868999999999998</v>
      </c>
      <c r="J50" s="14">
        <f>_xll.BDH("GILD US Equity","GEO_GROW_TOT_ASSET","FQ3 2020","FQ3 2020","Currency=USD","Period=FQ","BEST_FPERIOD_OVERRIDE=FQ","FILING_STATUS=MR","Sort=A","Dates=H","DateFormat=P","Fill=—","Direction=H","UseDPDF=Y")</f>
        <v>3.7524999999999999</v>
      </c>
      <c r="K50" s="14">
        <f>_xll.BDH("GILD US Equity","GEO_GROW_TOT_ASSET","FQ4 2020","FQ4 2020","Currency=USD","Period=FQ","BEST_FPERIOD_OVERRIDE=FQ","FILING_STATUS=MR","Sort=A","Dates=H","DateFormat=P","Fill=—","Direction=H","UseDPDF=Y")</f>
        <v>5.7535999999999996</v>
      </c>
      <c r="L50" s="14">
        <f>_xll.BDH("GILD US Equity","GEO_GROW_TOT_ASSET","FQ1 2021","FQ1 2021","Currency=USD","Period=FQ","BEST_FPERIOD_OVERRIDE=FQ","FILING_STATUS=MR","Sort=A","Dates=H","DateFormat=P","Fill=—","Direction=H","UseDPDF=Y")</f>
        <v>7.1589999999999998</v>
      </c>
      <c r="M50" s="14">
        <f>_xll.BDH("GILD US Equity","GEO_GROW_TOT_ASSET","FQ2 2021","FQ2 2021","Currency=USD","Period=FQ","BEST_FPERIOD_OVERRIDE=FQ","FILING_STATUS=MR","Sort=A","Dates=H","DateFormat=P","Fill=—","Direction=H","UseDPDF=Y")</f>
        <v>6.3461999999999996</v>
      </c>
      <c r="N50" s="14">
        <f>_xll.BDH("GILD US Equity","GEO_GROW_TOT_ASSET","FQ3 2021","FQ3 2021","Currency=USD","Period=FQ","BEST_FPERIOD_OVERRIDE=FQ","FILING_STATUS=MR","Sort=A","Dates=H","DateFormat=P","Fill=—","Direction=H","UseDPDF=Y")</f>
        <v>3.4582000000000002</v>
      </c>
      <c r="O50" s="14">
        <f>_xll.BDH("GILD US Equity","GEO_GROW_TOT_ASSET","FQ4 2021","FQ4 2021","Currency=USD","Period=FQ","BEST_FPERIOD_OVERRIDE=FQ","FILING_STATUS=MR","Sort=A","Dates=H","DateFormat=P","Fill=—","Direction=H","UseDPDF=Y")</f>
        <v>3.5859000000000001</v>
      </c>
      <c r="P50" s="14">
        <f>_xll.BDH("GILD US Equity","GEO_GROW_TOT_ASSET","FQ1 2022","FQ1 2022","Currency=USD","Period=FQ","BEST_FPERIOD_OVERRIDE=FQ","FILING_STATUS=MR","Sort=A","Dates=H","DateFormat=P","Fill=—","Direction=H","UseDPDF=Y")</f>
        <v>1.7986</v>
      </c>
      <c r="Q50" s="14">
        <f>_xll.BDH("GILD US Equity","GEO_GROW_TOT_ASSET","FQ2 2022","FQ2 2022","Currency=USD","Period=FQ","BEST_FPERIOD_OVERRIDE=FQ","FILING_STATUS=MR","Sort=A","Dates=H","DateFormat=P","Fill=—","Direction=H","UseDPDF=Y")</f>
        <v>0.85060000000000002</v>
      </c>
      <c r="R50" s="14">
        <f>_xll.BDH("GILD US Equity","GEO_GROW_TOT_ASSET","FQ3 2022","FQ3 2022","Currency=USD","Period=FQ","BEST_FPERIOD_OVERRIDE=FQ","FILING_STATUS=MR","Sort=A","Dates=H","DateFormat=P","Fill=—","Direction=H","UseDPDF=Y")</f>
        <v>-0.65969999999999995</v>
      </c>
      <c r="S50" s="14">
        <f>_xll.BDH("GILD US Equity","GEO_GROW_TOT_ASSET","FQ4 2022","FQ4 2022","Currency=USD","Period=FQ","BEST_FPERIOD_OVERRIDE=FQ","FILING_STATUS=MR","Sort=A","Dates=H","DateFormat=P","Fill=—","Direction=H","UseDPDF=Y")</f>
        <v>-2.1111</v>
      </c>
      <c r="T50" s="14">
        <f>_xll.BDH("GILD US Equity","GEO_GROW_TOT_ASSET","FQ1 2023","FQ1 2023","Currency=USD","Period=FQ","BEST_FPERIOD_OVERRIDE=FQ","FILING_STATUS=MR","Sort=A","Dates=H","DateFormat=P","Fill=—","Direction=H","UseDPDF=Y")</f>
        <v>-1.0959000000000001</v>
      </c>
      <c r="U50" s="14">
        <f>_xll.BDH("GILD US Equity","GEO_GROW_TOT_ASSET","FQ2 2023","FQ2 2023","Currency=USD","Period=FQ","BEST_FPERIOD_OVERRIDE=FQ","FILING_STATUS=MR","Sort=A","Dates=H","DateFormat=P","Fill=—","Direction=H","UseDPDF=Y")</f>
        <v>-0.94110000000000005</v>
      </c>
      <c r="V50" s="14">
        <f>_xll.BDH("GILD US Equity","GEO_GROW_TOT_ASSET","FQ3 2023","FQ3 2023","Currency=USD","Period=FQ","BEST_FPERIOD_OVERRIDE=FQ","FILING_STATUS=MR","Sort=A","Dates=H","DateFormat=P","Fill=—","Direction=H","UseDPDF=Y")</f>
        <v>-0.60819999999999996</v>
      </c>
      <c r="W50" s="14">
        <f>_xll.BDH("GILD US Equity","GEO_GROW_TOT_ASSET","FQ4 2023","FQ4 2023","Currency=USD","Period=FQ","BEST_FPERIOD_OVERRIDE=FQ","FILING_STATUS=MR","Sort=A","Dates=H","DateFormat=P","Fill=—","Direction=H","UseDPDF=Y")</f>
        <v>-0.49170000000000003</v>
      </c>
      <c r="X50" s="14">
        <f>_xll.BDH("GILD US Equity","GEO_GROW_TOT_ASSET","FQ1 2024","FQ1 2024","Currency=USD","Period=FQ","BEST_FPERIOD_OVERRIDE=FQ","FILING_STATUS=MR","Sort=A","Dates=H","DateFormat=P","Fill=—","Direction=H","UseDPDF=Y")</f>
        <v>-2.1758000000000002</v>
      </c>
      <c r="Y50" s="14">
        <f>_xll.BDH("GILD US Equity","GEO_GROW_TOT_ASSET","FQ2 2024","FQ2 2024","Currency=USD","Period=FQ","BEST_FPERIOD_OVERRIDE=FQ","FILING_STATUS=MR","Sort=A","Dates=H","DateFormat=P","Fill=—","Direction=H","UseDPDF=Y")</f>
        <v>-3.2521</v>
      </c>
      <c r="Z50" s="14">
        <f>_xll.BDH("GILD US Equity","GEO_GROW_TOT_ASSET","FQ3 2024","FQ3 2024","Currency=USD","Period=FQ","BEST_FPERIOD_OVERRIDE=FQ","FILING_STATUS=MR","Sort=A","Dates=H","DateFormat=P","Fill=—","Direction=H","UseDPDF=Y")</f>
        <v>-1.6137999999999999</v>
      </c>
      <c r="AA50" s="14">
        <f>_xll.BDH("GILD US Equity","GEO_GROW_TOT_ASSET","FQ4 2024","FQ4 2024","Currency=USD","Period=FQ","BEST_FPERIOD_OVERRIDE=FQ","FILING_STATUS=MR","Sort=A","Dates=H","DateFormat=P","Fill=—","Direction=H","UseDPDF=Y")</f>
        <v>-0.86909999999999998</v>
      </c>
    </row>
    <row r="51" spans="1:27" x14ac:dyDescent="0.25">
      <c r="A51" s="10" t="s">
        <v>1528</v>
      </c>
      <c r="B51" s="10" t="s">
        <v>1565</v>
      </c>
      <c r="C51" s="14">
        <f>_xll.BDH("GILD US Equity","MODIFIED_WORKING_CPTL_5YR_GRWTH","FQ4 2018","FQ4 2018","Currency=USD","Period=FQ","BEST_FPERIOD_OVERRIDE=FQ","FILING_STATUS=MR","Sort=A","Dates=H","DateFormat=P","Fill=—","Direction=H","UseDPDF=Y")</f>
        <v>5.0208000000000004</v>
      </c>
      <c r="D51" s="14">
        <f>_xll.BDH("GILD US Equity","MODIFIED_WORKING_CPTL_5YR_GRWTH","FQ1 2019","FQ1 2019","Currency=USD","Period=FQ","BEST_FPERIOD_OVERRIDE=FQ","FILING_STATUS=MR","Sort=A","Dates=H","DateFormat=P","Fill=—","Direction=H","UseDPDF=Y")</f>
        <v>-2.7439</v>
      </c>
      <c r="E51" s="14">
        <f>_xll.BDH("GILD US Equity","MODIFIED_WORKING_CPTL_5YR_GRWTH","FQ2 2019","FQ2 2019","Currency=USD","Period=FQ","BEST_FPERIOD_OVERRIDE=FQ","FILING_STATUS=MR","Sort=A","Dates=H","DateFormat=P","Fill=—","Direction=H","UseDPDF=Y")</f>
        <v>-3.3490000000000002</v>
      </c>
      <c r="F51" s="14">
        <f>_xll.BDH("GILD US Equity","MODIFIED_WORKING_CPTL_5YR_GRWTH","FQ3 2019","FQ3 2019","Currency=USD","Period=FQ","BEST_FPERIOD_OVERRIDE=FQ","FILING_STATUS=MR","Sort=A","Dates=H","DateFormat=P","Fill=—","Direction=H","UseDPDF=Y")</f>
        <v>-6.7400000000000002E-2</v>
      </c>
      <c r="G51" s="14">
        <f>_xll.BDH("GILD US Equity","MODIFIED_WORKING_CPTL_5YR_GRWTH","FQ4 2019","FQ4 2019","Currency=USD","Period=FQ","BEST_FPERIOD_OVERRIDE=FQ","FILING_STATUS=MR","Sort=A","Dates=H","DateFormat=P","Fill=—","Direction=H","UseDPDF=Y")</f>
        <v>-5.6334999999999997</v>
      </c>
      <c r="H51" s="14">
        <f>_xll.BDH("GILD US Equity","MODIFIED_WORKING_CPTL_5YR_GRWTH","FQ1 2020","FQ1 2020","Currency=USD","Period=FQ","BEST_FPERIOD_OVERRIDE=FQ","FILING_STATUS=MR","Sort=A","Dates=H","DateFormat=P","Fill=—","Direction=H","UseDPDF=Y")</f>
        <v>-5.5736999999999997</v>
      </c>
      <c r="I51" s="14">
        <f>_xll.BDH("GILD US Equity","MODIFIED_WORKING_CPTL_5YR_GRWTH","FQ2 2020","FQ2 2020","Currency=USD","Period=FQ","BEST_FPERIOD_OVERRIDE=FQ","FILING_STATUS=MR","Sort=A","Dates=H","DateFormat=P","Fill=—","Direction=H","UseDPDF=Y")</f>
        <v>-8.5259999999999998</v>
      </c>
      <c r="J51" s="14">
        <f>_xll.BDH("GILD US Equity","MODIFIED_WORKING_CPTL_5YR_GRWTH","FQ3 2020","FQ3 2020","Currency=USD","Period=FQ","BEST_FPERIOD_OVERRIDE=FQ","FILING_STATUS=MR","Sort=A","Dates=H","DateFormat=P","Fill=—","Direction=H","UseDPDF=Y")</f>
        <v>-8.5079999999999991</v>
      </c>
      <c r="K51" s="14">
        <f>_xll.BDH("GILD US Equity","MODIFIED_WORKING_CPTL_5YR_GRWTH","FQ4 2020","FQ4 2020","Currency=USD","Period=FQ","BEST_FPERIOD_OVERRIDE=FQ","FILING_STATUS=MR","Sort=A","Dates=H","DateFormat=P","Fill=—","Direction=H","UseDPDF=Y")</f>
        <v>-2.8752</v>
      </c>
      <c r="L51" s="14">
        <f>_xll.BDH("GILD US Equity","MODIFIED_WORKING_CPTL_5YR_GRWTH","FQ1 2021","FQ1 2021","Currency=USD","Period=FQ","BEST_FPERIOD_OVERRIDE=FQ","FILING_STATUS=MR","Sort=A","Dates=H","DateFormat=P","Fill=—","Direction=H","UseDPDF=Y")</f>
        <v>-6.2732000000000001</v>
      </c>
      <c r="M51" s="14">
        <f>_xll.BDH("GILD US Equity","MODIFIED_WORKING_CPTL_5YR_GRWTH","FQ2 2021","FQ2 2021","Currency=USD","Period=FQ","BEST_FPERIOD_OVERRIDE=FQ","FILING_STATUS=MR","Sort=A","Dates=H","DateFormat=P","Fill=—","Direction=H","UseDPDF=Y")</f>
        <v>-3.9289999999999998</v>
      </c>
      <c r="N51" s="14">
        <f>_xll.BDH("GILD US Equity","MODIFIED_WORKING_CPTL_5YR_GRWTH","FQ3 2021","FQ3 2021","Currency=USD","Period=FQ","BEST_FPERIOD_OVERRIDE=FQ","FILING_STATUS=MR","Sort=A","Dates=H","DateFormat=P","Fill=—","Direction=H","UseDPDF=Y")</f>
        <v>-0.91479999999999995</v>
      </c>
      <c r="O51" s="14">
        <f>_xll.BDH("GILD US Equity","MODIFIED_WORKING_CPTL_5YR_GRWTH","FQ4 2021","FQ4 2021","Currency=USD","Period=FQ","BEST_FPERIOD_OVERRIDE=FQ","FILING_STATUS=MR","Sort=A","Dates=H","DateFormat=P","Fill=—","Direction=H","UseDPDF=Y")</f>
        <v>2.0057999999999998</v>
      </c>
      <c r="P51" s="14">
        <f>_xll.BDH("GILD US Equity","MODIFIED_WORKING_CPTL_5YR_GRWTH","FQ1 2022","FQ1 2022","Currency=USD","Period=FQ","BEST_FPERIOD_OVERRIDE=FQ","FILING_STATUS=MR","Sort=A","Dates=H","DateFormat=P","Fill=—","Direction=H","UseDPDF=Y")</f>
        <v>0.52900000000000003</v>
      </c>
      <c r="Q51" s="14">
        <f>_xll.BDH("GILD US Equity","MODIFIED_WORKING_CPTL_5YR_GRWTH","FQ2 2022","FQ2 2022","Currency=USD","Period=FQ","BEST_FPERIOD_OVERRIDE=FQ","FILING_STATUS=MR","Sort=A","Dates=H","DateFormat=P","Fill=—","Direction=H","UseDPDF=Y")</f>
        <v>-8.3000000000000004E-2</v>
      </c>
      <c r="R51" s="14">
        <f>_xll.BDH("GILD US Equity","MODIFIED_WORKING_CPTL_5YR_GRWTH","FQ3 2022","FQ3 2022","Currency=USD","Period=FQ","BEST_FPERIOD_OVERRIDE=FQ","FILING_STATUS=MR","Sort=A","Dates=H","DateFormat=P","Fill=—","Direction=H","UseDPDF=Y")</f>
        <v>2.6284000000000001</v>
      </c>
      <c r="S51" s="14">
        <f>_xll.BDH("GILD US Equity","MODIFIED_WORKING_CPTL_5YR_GRWTH","FQ4 2022","FQ4 2022","Currency=USD","Period=FQ","BEST_FPERIOD_OVERRIDE=FQ","FILING_STATUS=MR","Sort=A","Dates=H","DateFormat=P","Fill=—","Direction=H","UseDPDF=Y")</f>
        <v>6.9840999999999998</v>
      </c>
      <c r="T51" s="14">
        <f>_xll.BDH("GILD US Equity","MODIFIED_WORKING_CPTL_5YR_GRWTH","FQ1 2023","FQ1 2023","Currency=USD","Period=FQ","BEST_FPERIOD_OVERRIDE=FQ","FILING_STATUS=MR","Sort=A","Dates=H","DateFormat=P","Fill=—","Direction=H","UseDPDF=Y")</f>
        <v>5.2939999999999996</v>
      </c>
      <c r="U51" s="14">
        <f>_xll.BDH("GILD US Equity","MODIFIED_WORKING_CPTL_5YR_GRWTH","FQ2 2023","FQ2 2023","Currency=USD","Period=FQ","BEST_FPERIOD_OVERRIDE=FQ","FILING_STATUS=MR","Sort=A","Dates=H","DateFormat=P","Fill=—","Direction=H","UseDPDF=Y")</f>
        <v>6.7670000000000003</v>
      </c>
      <c r="V51" s="14">
        <f>_xll.BDH("GILD US Equity","MODIFIED_WORKING_CPTL_5YR_GRWTH","FQ3 2023","FQ3 2023","Currency=USD","Period=FQ","BEST_FPERIOD_OVERRIDE=FQ","FILING_STATUS=MR","Sort=A","Dates=H","DateFormat=P","Fill=—","Direction=H","UseDPDF=Y")</f>
        <v>9.6564999999999994</v>
      </c>
      <c r="W51" s="14">
        <f>_xll.BDH("GILD US Equity","MODIFIED_WORKING_CPTL_5YR_GRWTH","FQ4 2023","FQ4 2023","Currency=USD","Period=FQ","BEST_FPERIOD_OVERRIDE=FQ","FILING_STATUS=MR","Sort=A","Dates=H","DateFormat=P","Fill=—","Direction=H","UseDPDF=Y")</f>
        <v>11.9673</v>
      </c>
      <c r="X51" s="14">
        <f>_xll.BDH("GILD US Equity","MODIFIED_WORKING_CPTL_5YR_GRWTH","FQ1 2024","FQ1 2024","Currency=USD","Period=FQ","BEST_FPERIOD_OVERRIDE=FQ","FILING_STATUS=MR","Sort=A","Dates=H","DateFormat=P","Fill=—","Direction=H","UseDPDF=Y")</f>
        <v>10.3604</v>
      </c>
      <c r="Y51" s="14">
        <f>_xll.BDH("GILD US Equity","MODIFIED_WORKING_CPTL_5YR_GRWTH","FQ2 2024","FQ2 2024","Currency=USD","Period=FQ","BEST_FPERIOD_OVERRIDE=FQ","FILING_STATUS=MR","Sort=A","Dates=H","DateFormat=P","Fill=—","Direction=H","UseDPDF=Y")</f>
        <v>10.926600000000001</v>
      </c>
      <c r="Z51" s="14">
        <f>_xll.BDH("GILD US Equity","MODIFIED_WORKING_CPTL_5YR_GRWTH","FQ3 2024","FQ3 2024","Currency=USD","Period=FQ","BEST_FPERIOD_OVERRIDE=FQ","FILING_STATUS=MR","Sort=A","Dates=H","DateFormat=P","Fill=—","Direction=H","UseDPDF=Y")</f>
        <v>9.2682000000000002</v>
      </c>
      <c r="AA51" s="14">
        <f>_xll.BDH("GILD US Equity","MODIFIED_WORKING_CPTL_5YR_GRWTH","FQ4 2024","FQ4 2024","Currency=USD","Period=FQ","BEST_FPERIOD_OVERRIDE=FQ","FILING_STATUS=MR","Sort=A","Dates=H","DateFormat=P","Fill=—","Direction=H","UseDPDF=Y")</f>
        <v>6.9191000000000003</v>
      </c>
    </row>
    <row r="52" spans="1:27" x14ac:dyDescent="0.25">
      <c r="A52" s="10" t="s">
        <v>1530</v>
      </c>
      <c r="B52" s="10" t="s">
        <v>1566</v>
      </c>
      <c r="C52" s="14">
        <f>_xll.BDH("GILD US Equity","WORKING_CAPITAL_5_YEAR_GROWTH","FQ4 2018","FQ4 2018","Currency=USD","Period=FQ","BEST_FPERIOD_OVERRIDE=FQ","FILING_STATUS=MR","Sort=A","Dates=H","DateFormat=P","Fill=—","Direction=H","UseDPDF=Y")</f>
        <v>111.9417</v>
      </c>
      <c r="D52" s="14">
        <f>_xll.BDH("GILD US Equity","WORKING_CAPITAL_5_YEAR_GROWTH","FQ1 2019","FQ1 2019","Currency=USD","Period=FQ","BEST_FPERIOD_OVERRIDE=FQ","FILING_STATUS=MR","Sort=A","Dates=H","DateFormat=P","Fill=—","Direction=H","UseDPDF=Y")</f>
        <v>28.402200000000001</v>
      </c>
      <c r="E52" s="14">
        <f>_xll.BDH("GILD US Equity","WORKING_CAPITAL_5_YEAR_GROWTH","FQ2 2019","FQ2 2019","Currency=USD","Period=FQ","BEST_FPERIOD_OVERRIDE=FQ","FILING_STATUS=MR","Sort=A","Dates=H","DateFormat=P","Fill=—","Direction=H","UseDPDF=Y")</f>
        <v>21.714600000000001</v>
      </c>
      <c r="F52" s="14">
        <f>_xll.BDH("GILD US Equity","WORKING_CAPITAL_5_YEAR_GROWTH","FQ3 2019","FQ3 2019","Currency=USD","Period=FQ","BEST_FPERIOD_OVERRIDE=FQ","FILING_STATUS=MR","Sort=A","Dates=H","DateFormat=P","Fill=—","Direction=H","UseDPDF=Y")</f>
        <v>23.630800000000001</v>
      </c>
      <c r="G52" s="14">
        <f>_xll.BDH("GILD US Equity","WORKING_CAPITAL_5_YEAR_GROWTH","FQ4 2019","FQ4 2019","Currency=USD","Period=FQ","BEST_FPERIOD_OVERRIDE=FQ","FILING_STATUS=MR","Sort=A","Dates=H","DateFormat=P","Fill=—","Direction=H","UseDPDF=Y")</f>
        <v>11.432499999999999</v>
      </c>
      <c r="H52" s="14">
        <f>_xll.BDH("GILD US Equity","WORKING_CAPITAL_5_YEAR_GROWTH","FQ1 2020","FQ1 2020","Currency=USD","Period=FQ","BEST_FPERIOD_OVERRIDE=FQ","FILING_STATUS=MR","Sort=A","Dates=H","DateFormat=P","Fill=—","Direction=H","UseDPDF=Y")</f>
        <v>7.4207999999999998</v>
      </c>
      <c r="I52" s="14">
        <f>_xll.BDH("GILD US Equity","WORKING_CAPITAL_5_YEAR_GROWTH","FQ2 2020","FQ2 2020","Currency=USD","Period=FQ","BEST_FPERIOD_OVERRIDE=FQ","FILING_STATUS=MR","Sort=A","Dates=H","DateFormat=P","Fill=—","Direction=H","UseDPDF=Y")</f>
        <v>8.9581</v>
      </c>
      <c r="J52" s="14">
        <f>_xll.BDH("GILD US Equity","WORKING_CAPITAL_5_YEAR_GROWTH","FQ3 2020","FQ3 2020","Currency=USD","Period=FQ","BEST_FPERIOD_OVERRIDE=FQ","FILING_STATUS=MR","Sort=A","Dates=H","DateFormat=P","Fill=—","Direction=H","UseDPDF=Y")</f>
        <v>5.2911999999999999</v>
      </c>
      <c r="K52" s="14">
        <f>_xll.BDH("GILD US Equity","WORKING_CAPITAL_5_YEAR_GROWTH","FQ4 2020","FQ4 2020","Currency=USD","Period=FQ","BEST_FPERIOD_OVERRIDE=FQ","FILING_STATUS=MR","Sort=A","Dates=H","DateFormat=P","Fill=—","Direction=H","UseDPDF=Y")</f>
        <v>-20.921399999999998</v>
      </c>
      <c r="L52" s="14">
        <f>_xll.BDH("GILD US Equity","WORKING_CAPITAL_5_YEAR_GROWTH","FQ1 2021","FQ1 2021","Currency=USD","Period=FQ","BEST_FPERIOD_OVERRIDE=FQ","FILING_STATUS=MR","Sort=A","Dates=H","DateFormat=P","Fill=—","Direction=H","UseDPDF=Y")</f>
        <v>-15.628399999999999</v>
      </c>
      <c r="M52" s="14">
        <f>_xll.BDH("GILD US Equity","WORKING_CAPITAL_5_YEAR_GROWTH","FQ2 2021","FQ2 2021","Currency=USD","Period=FQ","BEST_FPERIOD_OVERRIDE=FQ","FILING_STATUS=MR","Sort=A","Dates=H","DateFormat=P","Fill=—","Direction=H","UseDPDF=Y")</f>
        <v>-14.044499999999999</v>
      </c>
      <c r="N52" s="14">
        <f>_xll.BDH("GILD US Equity","WORKING_CAPITAL_5_YEAR_GROWTH","FQ3 2021","FQ3 2021","Currency=USD","Period=FQ","BEST_FPERIOD_OVERRIDE=FQ","FILING_STATUS=MR","Sort=A","Dates=H","DateFormat=P","Fill=—","Direction=H","UseDPDF=Y")</f>
        <v>-18.3965</v>
      </c>
      <c r="O52" s="14">
        <f>_xll.BDH("GILD US Equity","WORKING_CAPITAL_5_YEAR_GROWTH","FQ4 2021","FQ4 2021","Currency=USD","Period=FQ","BEST_FPERIOD_OVERRIDE=FQ","FILING_STATUS=MR","Sort=A","Dates=H","DateFormat=P","Fill=—","Direction=H","UseDPDF=Y")</f>
        <v>-21.143699999999999</v>
      </c>
      <c r="P52" s="14">
        <f>_xll.BDH("GILD US Equity","WORKING_CAPITAL_5_YEAR_GROWTH","FQ1 2022","FQ1 2022","Currency=USD","Period=FQ","BEST_FPERIOD_OVERRIDE=FQ","FILING_STATUS=MR","Sort=A","Dates=H","DateFormat=P","Fill=—","Direction=H","UseDPDF=Y")</f>
        <v>-20.894300000000001</v>
      </c>
      <c r="Q52" s="14">
        <f>_xll.BDH("GILD US Equity","WORKING_CAPITAL_5_YEAR_GROWTH","FQ2 2022","FQ2 2022","Currency=USD","Period=FQ","BEST_FPERIOD_OVERRIDE=FQ","FILING_STATUS=MR","Sort=A","Dates=H","DateFormat=P","Fill=—","Direction=H","UseDPDF=Y")</f>
        <v>-27.757899999999999</v>
      </c>
      <c r="R52" s="14">
        <f>_xll.BDH("GILD US Equity","WORKING_CAPITAL_5_YEAR_GROWTH","FQ3 2022","FQ3 2022","Currency=USD","Period=FQ","BEST_FPERIOD_OVERRIDE=FQ","FILING_STATUS=MR","Sort=A","Dates=H","DateFormat=P","Fill=—","Direction=H","UseDPDF=Y")</f>
        <v>-34.372999999999998</v>
      </c>
      <c r="S52" s="14">
        <f>_xll.BDH("GILD US Equity","WORKING_CAPITAL_5_YEAR_GROWTH","FQ4 2022","FQ4 2022","Currency=USD","Period=FQ","BEST_FPERIOD_OVERRIDE=FQ","FILING_STATUS=MR","Sort=A","Dates=H","DateFormat=P","Fill=—","Direction=H","UseDPDF=Y")</f>
        <v>-30.789200000000001</v>
      </c>
      <c r="T52" s="14">
        <f>_xll.BDH("GILD US Equity","WORKING_CAPITAL_5_YEAR_GROWTH","FQ1 2023","FQ1 2023","Currency=USD","Period=FQ","BEST_FPERIOD_OVERRIDE=FQ","FILING_STATUS=MR","Sort=A","Dates=H","DateFormat=P","Fill=—","Direction=H","UseDPDF=Y")</f>
        <v>-31.622</v>
      </c>
      <c r="U52" s="14">
        <f>_xll.BDH("GILD US Equity","WORKING_CAPITAL_5_YEAR_GROWTH","FQ2 2023","FQ2 2023","Currency=USD","Period=FQ","BEST_FPERIOD_OVERRIDE=FQ","FILING_STATUS=MR","Sort=A","Dates=H","DateFormat=P","Fill=—","Direction=H","UseDPDF=Y")</f>
        <v>-56.938899999999997</v>
      </c>
      <c r="V52" s="14">
        <f>_xll.BDH("GILD US Equity","WORKING_CAPITAL_5_YEAR_GROWTH","FQ3 2023","FQ3 2023","Currency=USD","Period=FQ","BEST_FPERIOD_OVERRIDE=FQ","FILING_STATUS=MR","Sort=A","Dates=H","DateFormat=P","Fill=—","Direction=H","UseDPDF=Y")</f>
        <v>-30.4541</v>
      </c>
      <c r="W52" s="14">
        <f>_xll.BDH("GILD US Equity","WORKING_CAPITAL_5_YEAR_GROWTH","FQ4 2023","FQ4 2023","Currency=USD","Period=FQ","BEST_FPERIOD_OVERRIDE=FQ","FILING_STATUS=MR","Sort=A","Dates=H","DateFormat=P","Fill=—","Direction=H","UseDPDF=Y")</f>
        <v>-28.2285</v>
      </c>
      <c r="X52" s="14">
        <f>_xll.BDH("GILD US Equity","WORKING_CAPITAL_5_YEAR_GROWTH","FQ1 2024","FQ1 2024","Currency=USD","Period=FQ","BEST_FPERIOD_OVERRIDE=FQ","FILING_STATUS=MR","Sort=A","Dates=H","DateFormat=P","Fill=—","Direction=H","UseDPDF=Y")</f>
        <v>-47.040100000000002</v>
      </c>
      <c r="Y52" s="14">
        <f>_xll.BDH("GILD US Equity","WORKING_CAPITAL_5_YEAR_GROWTH","FQ2 2024","FQ2 2024","Currency=USD","Period=FQ","BEST_FPERIOD_OVERRIDE=FQ","FILING_STATUS=MR","Sort=A","Dates=H","DateFormat=P","Fill=—","Direction=H","UseDPDF=Y")</f>
        <v>-42.653500000000001</v>
      </c>
      <c r="Z52" s="14">
        <f>_xll.BDH("GILD US Equity","WORKING_CAPITAL_5_YEAR_GROWTH","FQ3 2024","FQ3 2024","Currency=USD","Period=FQ","BEST_FPERIOD_OVERRIDE=FQ","FILING_STATUS=MR","Sort=A","Dates=H","DateFormat=P","Fill=—","Direction=H","UseDPDF=Y")</f>
        <v>-30.470400000000001</v>
      </c>
      <c r="AA52" s="14">
        <f>_xll.BDH("GILD US Equity","WORKING_CAPITAL_5_YEAR_GROWTH","FQ4 2024","FQ4 2024","Currency=USD","Period=FQ","BEST_FPERIOD_OVERRIDE=FQ","FILING_STATUS=MR","Sort=A","Dates=H","DateFormat=P","Fill=—","Direction=H","UseDPDF=Y")</f>
        <v>-18.9815</v>
      </c>
    </row>
    <row r="53" spans="1:27" x14ac:dyDescent="0.25">
      <c r="A53" s="10" t="s">
        <v>1532</v>
      </c>
      <c r="B53" s="10" t="s">
        <v>1567</v>
      </c>
      <c r="C53" s="14">
        <f>_xll.BDH("GILD US Equity","EMPLOYEES_5_YEAR_GROWTH","FQ4 2018","FQ4 2018","Currency=USD","Period=FQ","BEST_FPERIOD_OVERRIDE=FQ","FILING_STATUS=MR","Sort=A","Dates=H","DateFormat=P","Fill=—","Direction=H","UseDPDF=Y")</f>
        <v>12.515599999999999</v>
      </c>
      <c r="D53" s="14" t="str">
        <f>_xll.BDH("GILD US Equity","EMPLOYEES_5_YEAR_GROWTH","FQ1 2019","FQ1 2019","Currency=USD","Period=FQ","BEST_FPERIOD_OVERRIDE=FQ","FILING_STATUS=MR","Sort=A","Dates=H","DateFormat=P","Fill=—","Direction=H","UseDPDF=Y")</f>
        <v>—</v>
      </c>
      <c r="E53" s="14" t="str">
        <f>_xll.BDH("GILD US Equity","EMPLOYEES_5_YEAR_GROWTH","FQ2 2019","FQ2 2019","Currency=USD","Period=FQ","BEST_FPERIOD_OVERRIDE=FQ","FILING_STATUS=MR","Sort=A","Dates=H","DateFormat=P","Fill=—","Direction=H","UseDPDF=Y")</f>
        <v>—</v>
      </c>
      <c r="F53" s="14" t="str">
        <f>_xll.BDH("GILD US Equity","EMPLOYEES_5_YEAR_GROWTH","FQ3 2019","FQ3 2019","Currency=USD","Period=FQ","BEST_FPERIOD_OVERRIDE=FQ","FILING_STATUS=MR","Sort=A","Dates=H","DateFormat=P","Fill=—","Direction=H","UseDPDF=Y")</f>
        <v>—</v>
      </c>
      <c r="G53" s="14">
        <f>_xll.BDH("GILD US Equity","EMPLOYEES_5_YEAR_GROWTH","FQ4 2019","FQ4 2019","Currency=USD","Period=FQ","BEST_FPERIOD_OVERRIDE=FQ","FILING_STATUS=MR","Sort=A","Dates=H","DateFormat=P","Fill=—","Direction=H","UseDPDF=Y")</f>
        <v>11.008599999999999</v>
      </c>
      <c r="H53" s="14" t="str">
        <f>_xll.BDH("GILD US Equity","EMPLOYEES_5_YEAR_GROWTH","FQ1 2020","FQ1 2020","Currency=USD","Period=FQ","BEST_FPERIOD_OVERRIDE=FQ","FILING_STATUS=MR","Sort=A","Dates=H","DateFormat=P","Fill=—","Direction=H","UseDPDF=Y")</f>
        <v>—</v>
      </c>
      <c r="I53" s="14" t="str">
        <f>_xll.BDH("GILD US Equity","EMPLOYEES_5_YEAR_GROWTH","FQ2 2020","FQ2 2020","Currency=USD","Period=FQ","BEST_FPERIOD_OVERRIDE=FQ","FILING_STATUS=MR","Sort=A","Dates=H","DateFormat=P","Fill=—","Direction=H","UseDPDF=Y")</f>
        <v>—</v>
      </c>
      <c r="J53" s="14" t="str">
        <f>_xll.BDH("GILD US Equity","EMPLOYEES_5_YEAR_GROWTH","FQ3 2020","FQ3 2020","Currency=USD","Period=FQ","BEST_FPERIOD_OVERRIDE=FQ","FILING_STATUS=MR","Sort=A","Dates=H","DateFormat=P","Fill=—","Direction=H","UseDPDF=Y")</f>
        <v>—</v>
      </c>
      <c r="K53" s="14">
        <f>_xll.BDH("GILD US Equity","EMPLOYEES_5_YEAR_GROWTH","FQ4 2020","FQ4 2020","Currency=USD","Period=FQ","BEST_FPERIOD_OVERRIDE=FQ","FILING_STATUS=MR","Sort=A","Dates=H","DateFormat=P","Fill=—","Direction=H","UseDPDF=Y")</f>
        <v>11.196199999999999</v>
      </c>
      <c r="L53" s="14" t="str">
        <f>_xll.BDH("GILD US Equity","EMPLOYEES_5_YEAR_GROWTH","FQ1 2021","FQ1 2021","Currency=USD","Period=FQ","BEST_FPERIOD_OVERRIDE=FQ","FILING_STATUS=MR","Sort=A","Dates=H","DateFormat=P","Fill=—","Direction=H","UseDPDF=Y")</f>
        <v>—</v>
      </c>
      <c r="M53" s="14" t="str">
        <f>_xll.BDH("GILD US Equity","EMPLOYEES_5_YEAR_GROWTH","FQ2 2021","FQ2 2021","Currency=USD","Period=FQ","BEST_FPERIOD_OVERRIDE=FQ","FILING_STATUS=MR","Sort=A","Dates=H","DateFormat=P","Fill=—","Direction=H","UseDPDF=Y")</f>
        <v>—</v>
      </c>
      <c r="N53" s="14" t="str">
        <f>_xll.BDH("GILD US Equity","EMPLOYEES_5_YEAR_GROWTH","FQ3 2021","FQ3 2021","Currency=USD","Period=FQ","BEST_FPERIOD_OVERRIDE=FQ","FILING_STATUS=MR","Sort=A","Dates=H","DateFormat=P","Fill=—","Direction=H","UseDPDF=Y")</f>
        <v>—</v>
      </c>
      <c r="O53" s="14">
        <f>_xll.BDH("GILD US Equity","EMPLOYEES_5_YEAR_GROWTH","FQ4 2021","FQ4 2021","Currency=USD","Period=FQ","BEST_FPERIOD_OVERRIDE=FQ","FILING_STATUS=MR","Sort=A","Dates=H","DateFormat=P","Fill=—","Direction=H","UseDPDF=Y")</f>
        <v>9.8560999999999996</v>
      </c>
      <c r="P53" s="14" t="str">
        <f>_xll.BDH("GILD US Equity","EMPLOYEES_5_YEAR_GROWTH","FQ1 2022","FQ1 2022","Currency=USD","Period=FQ","BEST_FPERIOD_OVERRIDE=FQ","FILING_STATUS=MR","Sort=A","Dates=H","DateFormat=P","Fill=—","Direction=H","UseDPDF=Y")</f>
        <v>—</v>
      </c>
      <c r="Q53" s="14" t="str">
        <f>_xll.BDH("GILD US Equity","EMPLOYEES_5_YEAR_GROWTH","FQ2 2022","FQ2 2022","Currency=USD","Period=FQ","BEST_FPERIOD_OVERRIDE=FQ","FILING_STATUS=MR","Sort=A","Dates=H","DateFormat=P","Fill=—","Direction=H","UseDPDF=Y")</f>
        <v>—</v>
      </c>
      <c r="R53" s="14" t="str">
        <f>_xll.BDH("GILD US Equity","EMPLOYEES_5_YEAR_GROWTH","FQ3 2022","FQ3 2022","Currency=USD","Period=FQ","BEST_FPERIOD_OVERRIDE=FQ","FILING_STATUS=MR","Sort=A","Dates=H","DateFormat=P","Fill=—","Direction=H","UseDPDF=Y")</f>
        <v>—</v>
      </c>
      <c r="S53" s="14">
        <f>_xll.BDH("GILD US Equity","EMPLOYEES_5_YEAR_GROWTH","FQ4 2022","FQ4 2022","Currency=USD","Period=FQ","BEST_FPERIOD_OVERRIDE=FQ","FILING_STATUS=MR","Sort=A","Dates=H","DateFormat=P","Fill=—","Direction=H","UseDPDF=Y")</f>
        <v>11.196199999999999</v>
      </c>
      <c r="T53" s="14" t="str">
        <f>_xll.BDH("GILD US Equity","EMPLOYEES_5_YEAR_GROWTH","FQ1 2023","FQ1 2023","Currency=USD","Period=FQ","BEST_FPERIOD_OVERRIDE=FQ","FILING_STATUS=MR","Sort=A","Dates=H","DateFormat=P","Fill=—","Direction=H","UseDPDF=Y")</f>
        <v>—</v>
      </c>
      <c r="U53" s="14" t="str">
        <f>_xll.BDH("GILD US Equity","EMPLOYEES_5_YEAR_GROWTH","FQ2 2023","FQ2 2023","Currency=USD","Period=FQ","BEST_FPERIOD_OVERRIDE=FQ","FILING_STATUS=MR","Sort=A","Dates=H","DateFormat=P","Fill=—","Direction=H","UseDPDF=Y")</f>
        <v>—</v>
      </c>
      <c r="V53" s="14" t="str">
        <f>_xll.BDH("GILD US Equity","EMPLOYEES_5_YEAR_GROWTH","FQ3 2023","FQ3 2023","Currency=USD","Period=FQ","BEST_FPERIOD_OVERRIDE=FQ","FILING_STATUS=MR","Sort=A","Dates=H","DateFormat=P","Fill=—","Direction=H","UseDPDF=Y")</f>
        <v>—</v>
      </c>
      <c r="W53" s="14">
        <f>_xll.BDH("GILD US Equity","EMPLOYEES_5_YEAR_GROWTH","FQ4 2023","FQ4 2023","Currency=USD","Period=FQ","BEST_FPERIOD_OVERRIDE=FQ","FILING_STATUS=MR","Sort=A","Dates=H","DateFormat=P","Fill=—","Direction=H","UseDPDF=Y")</f>
        <v>10.350899999999999</v>
      </c>
      <c r="X53" s="14" t="str">
        <f>_xll.BDH("GILD US Equity","EMPLOYEES_5_YEAR_GROWTH","FQ1 2024","FQ1 2024","Currency=USD","Period=FQ","BEST_FPERIOD_OVERRIDE=FQ","FILING_STATUS=MR","Sort=A","Dates=H","DateFormat=P","Fill=—","Direction=H","UseDPDF=Y")</f>
        <v>—</v>
      </c>
      <c r="Y53" s="14" t="str">
        <f>_xll.BDH("GILD US Equity","EMPLOYEES_5_YEAR_GROWTH","FQ2 2024","FQ2 2024","Currency=USD","Period=FQ","BEST_FPERIOD_OVERRIDE=FQ","FILING_STATUS=MR","Sort=A","Dates=H","DateFormat=P","Fill=—","Direction=H","UseDPDF=Y")</f>
        <v>—</v>
      </c>
      <c r="Z53" s="14" t="str">
        <f>_xll.BDH("GILD US Equity","EMPLOYEES_5_YEAR_GROWTH","FQ3 2024","FQ3 2024","Currency=USD","Period=FQ","BEST_FPERIOD_OVERRIDE=FQ","FILING_STATUS=MR","Sort=A","Dates=H","DateFormat=P","Fill=—","Direction=H","UseDPDF=Y")</f>
        <v>—</v>
      </c>
      <c r="AA53" s="14">
        <f>_xll.BDH("GILD US Equity","EMPLOYEES_5_YEAR_GROWTH","FQ4 2024","FQ4 2024","Currency=USD","Period=FQ","BEST_FPERIOD_OVERRIDE=FQ","FILING_STATUS=MR","Sort=A","Dates=H","DateFormat=P","Fill=—","Direction=H","UseDPDF=Y")</f>
        <v>8.3244000000000007</v>
      </c>
    </row>
    <row r="54" spans="1:27" x14ac:dyDescent="0.25">
      <c r="A54" s="10" t="s">
        <v>1534</v>
      </c>
      <c r="B54" s="10" t="s">
        <v>1568</v>
      </c>
      <c r="C54" s="14">
        <f>_xll.BDH("GILD US Equity","ACCOUNTS_PAYABLE_5_YEAR_GROWTH","FQ4 2018","FQ4 2018","Currency=USD","Period=FQ","BEST_FPERIOD_OVERRIDE=FQ","FILING_STATUS=MR","Sort=A","Dates=H","DateFormat=P","Fill=—","Direction=H","UseDPDF=Y")</f>
        <v>-8.8560999999999996</v>
      </c>
      <c r="D54" s="14">
        <f>_xll.BDH("GILD US Equity","ACCOUNTS_PAYABLE_5_YEAR_GROWTH","FQ1 2019","FQ1 2019","Currency=USD","Period=FQ","BEST_FPERIOD_OVERRIDE=FQ","FILING_STATUS=MR","Sort=A","Dates=H","DateFormat=P","Fill=—","Direction=H","UseDPDF=Y")</f>
        <v>-14.1112</v>
      </c>
      <c r="E54" s="14">
        <f>_xll.BDH("GILD US Equity","ACCOUNTS_PAYABLE_5_YEAR_GROWTH","FQ2 2019","FQ2 2019","Currency=USD","Period=FQ","BEST_FPERIOD_OVERRIDE=FQ","FILING_STATUS=MR","Sort=A","Dates=H","DateFormat=P","Fill=—","Direction=H","UseDPDF=Y")</f>
        <v>-11.896599999999999</v>
      </c>
      <c r="F54" s="14">
        <f>_xll.BDH("GILD US Equity","ACCOUNTS_PAYABLE_5_YEAR_GROWTH","FQ3 2019","FQ3 2019","Currency=USD","Period=FQ","BEST_FPERIOD_OVERRIDE=FQ","FILING_STATUS=MR","Sort=A","Dates=H","DateFormat=P","Fill=—","Direction=H","UseDPDF=Y")</f>
        <v>-11.7829</v>
      </c>
      <c r="G54" s="14">
        <f>_xll.BDH("GILD US Equity","ACCOUNTS_PAYABLE_5_YEAR_GROWTH","FQ4 2019","FQ4 2019","Currency=USD","Period=FQ","BEST_FPERIOD_OVERRIDE=FQ","FILING_STATUS=MR","Sort=A","Dates=H","DateFormat=P","Fill=—","Direction=H","UseDPDF=Y")</f>
        <v>-5.6771000000000003</v>
      </c>
      <c r="H54" s="14">
        <f>_xll.BDH("GILD US Equity","ACCOUNTS_PAYABLE_5_YEAR_GROWTH","FQ1 2020","FQ1 2020","Currency=USD","Period=FQ","BEST_FPERIOD_OVERRIDE=FQ","FILING_STATUS=MR","Sort=A","Dates=H","DateFormat=P","Fill=—","Direction=H","UseDPDF=Y")</f>
        <v>-10.211600000000001</v>
      </c>
      <c r="I54" s="14">
        <f>_xll.BDH("GILD US Equity","ACCOUNTS_PAYABLE_5_YEAR_GROWTH","FQ2 2020","FQ2 2020","Currency=USD","Period=FQ","BEST_FPERIOD_OVERRIDE=FQ","FILING_STATUS=MR","Sort=A","Dates=H","DateFormat=P","Fill=—","Direction=H","UseDPDF=Y")</f>
        <v>-19.472000000000001</v>
      </c>
      <c r="J54" s="14">
        <f>_xll.BDH("GILD US Equity","ACCOUNTS_PAYABLE_5_YEAR_GROWTH","FQ3 2020","FQ3 2020","Currency=USD","Period=FQ","BEST_FPERIOD_OVERRIDE=FQ","FILING_STATUS=MR","Sort=A","Dates=H","DateFormat=P","Fill=—","Direction=H","UseDPDF=Y")</f>
        <v>-15.7155</v>
      </c>
      <c r="K54" s="14">
        <f>_xll.BDH("GILD US Equity","ACCOUNTS_PAYABLE_5_YEAR_GROWTH","FQ4 2020","FQ4 2020","Currency=USD","Period=FQ","BEST_FPERIOD_OVERRIDE=FQ","FILING_STATUS=MR","Sort=A","Dates=H","DateFormat=P","Fill=—","Direction=H","UseDPDF=Y")</f>
        <v>-6.4508999999999999</v>
      </c>
      <c r="L54" s="14">
        <f>_xll.BDH("GILD US Equity","ACCOUNTS_PAYABLE_5_YEAR_GROWTH","FQ1 2021","FQ1 2021","Currency=USD","Period=FQ","BEST_FPERIOD_OVERRIDE=FQ","FILING_STATUS=MR","Sort=A","Dates=H","DateFormat=P","Fill=—","Direction=H","UseDPDF=Y")</f>
        <v>-9.6166</v>
      </c>
      <c r="M54" s="14">
        <f>_xll.BDH("GILD US Equity","ACCOUNTS_PAYABLE_5_YEAR_GROWTH","FQ2 2021","FQ2 2021","Currency=USD","Period=FQ","BEST_FPERIOD_OVERRIDE=FQ","FILING_STATUS=MR","Sort=A","Dates=H","DateFormat=P","Fill=—","Direction=H","UseDPDF=Y")</f>
        <v>-11.5328</v>
      </c>
      <c r="N54" s="14">
        <f>_xll.BDH("GILD US Equity","ACCOUNTS_PAYABLE_5_YEAR_GROWTH","FQ3 2021","FQ3 2021","Currency=USD","Period=FQ","BEST_FPERIOD_OVERRIDE=FQ","FILING_STATUS=MR","Sort=A","Dates=H","DateFormat=P","Fill=—","Direction=H","UseDPDF=Y")</f>
        <v>-11.0741</v>
      </c>
      <c r="O54" s="14">
        <f>_xll.BDH("GILD US Equity","ACCOUNTS_PAYABLE_5_YEAR_GROWTH","FQ4 2021","FQ4 2021","Currency=USD","Period=FQ","BEST_FPERIOD_OVERRIDE=FQ","FILING_STATUS=MR","Sort=A","Dates=H","DateFormat=P","Fill=—","Direction=H","UseDPDF=Y")</f>
        <v>-10.180999999999999</v>
      </c>
      <c r="P54" s="14">
        <f>_xll.BDH("GILD US Equity","ACCOUNTS_PAYABLE_5_YEAR_GROWTH","FQ1 2022","FQ1 2022","Currency=USD","Period=FQ","BEST_FPERIOD_OVERRIDE=FQ","FILING_STATUS=MR","Sort=A","Dates=H","DateFormat=P","Fill=—","Direction=H","UseDPDF=Y")</f>
        <v>-9.1888000000000005</v>
      </c>
      <c r="Q54" s="14">
        <f>_xll.BDH("GILD US Equity","ACCOUNTS_PAYABLE_5_YEAR_GROWTH","FQ2 2022","FQ2 2022","Currency=USD","Period=FQ","BEST_FPERIOD_OVERRIDE=FQ","FILING_STATUS=MR","Sort=A","Dates=H","DateFormat=P","Fill=—","Direction=H","UseDPDF=Y")</f>
        <v>-7.1562000000000001</v>
      </c>
      <c r="R54" s="14">
        <f>_xll.BDH("GILD US Equity","ACCOUNTS_PAYABLE_5_YEAR_GROWTH","FQ3 2022","FQ3 2022","Currency=USD","Period=FQ","BEST_FPERIOD_OVERRIDE=FQ","FILING_STATUS=MR","Sort=A","Dates=H","DateFormat=P","Fill=—","Direction=H","UseDPDF=Y")</f>
        <v>-2.4759000000000002</v>
      </c>
      <c r="S54" s="14">
        <f>_xll.BDH("GILD US Equity","ACCOUNTS_PAYABLE_5_YEAR_GROWTH","FQ4 2022","FQ4 2022","Currency=USD","Period=FQ","BEST_FPERIOD_OVERRIDE=FQ","FILING_STATUS=MR","Sort=A","Dates=H","DateFormat=P","Fill=—","Direction=H","UseDPDF=Y")</f>
        <v>2.1421000000000001</v>
      </c>
      <c r="T54" s="14">
        <f>_xll.BDH("GILD US Equity","ACCOUNTS_PAYABLE_5_YEAR_GROWTH","FQ1 2023","FQ1 2023","Currency=USD","Period=FQ","BEST_FPERIOD_OVERRIDE=FQ","FILING_STATUS=MR","Sort=A","Dates=H","DateFormat=P","Fill=—","Direction=H","UseDPDF=Y")</f>
        <v>-2.4832000000000001</v>
      </c>
      <c r="U54" s="14">
        <f>_xll.BDH("GILD US Equity","ACCOUNTS_PAYABLE_5_YEAR_GROWTH","FQ2 2023","FQ2 2023","Currency=USD","Period=FQ","BEST_FPERIOD_OVERRIDE=FQ","FILING_STATUS=MR","Sort=A","Dates=H","DateFormat=P","Fill=—","Direction=H","UseDPDF=Y")</f>
        <v>-3.2099999999999997E-2</v>
      </c>
      <c r="V54" s="14">
        <f>_xll.BDH("GILD US Equity","ACCOUNTS_PAYABLE_5_YEAR_GROWTH","FQ3 2023","FQ3 2023","Currency=USD","Period=FQ","BEST_FPERIOD_OVERRIDE=FQ","FILING_STATUS=MR","Sort=A","Dates=H","DateFormat=P","Fill=—","Direction=H","UseDPDF=Y")</f>
        <v>0.20599999999999999</v>
      </c>
      <c r="W54" s="14">
        <f>_xll.BDH("GILD US Equity","ACCOUNTS_PAYABLE_5_YEAR_GROWTH","FQ4 2023","FQ4 2023","Currency=USD","Period=FQ","BEST_FPERIOD_OVERRIDE=FQ","FILING_STATUS=MR","Sort=A","Dates=H","DateFormat=P","Fill=—","Direction=H","UseDPDF=Y")</f>
        <v>-6.9863</v>
      </c>
      <c r="X54" s="14">
        <f>_xll.BDH("GILD US Equity","ACCOUNTS_PAYABLE_5_YEAR_GROWTH","FQ1 2024","FQ1 2024","Currency=USD","Period=FQ","BEST_FPERIOD_OVERRIDE=FQ","FILING_STATUS=MR","Sort=A","Dates=H","DateFormat=P","Fill=—","Direction=H","UseDPDF=Y")</f>
        <v>1.5133000000000001</v>
      </c>
      <c r="Y54" s="14">
        <f>_xll.BDH("GILD US Equity","ACCOUNTS_PAYABLE_5_YEAR_GROWTH","FQ2 2024","FQ2 2024","Currency=USD","Period=FQ","BEST_FPERIOD_OVERRIDE=FQ","FILING_STATUS=MR","Sort=A","Dates=H","DateFormat=P","Fill=—","Direction=H","UseDPDF=Y")</f>
        <v>-2.7391999999999999</v>
      </c>
      <c r="Z54" s="14">
        <f>_xll.BDH("GILD US Equity","ACCOUNTS_PAYABLE_5_YEAR_GROWTH","FQ3 2024","FQ3 2024","Currency=USD","Period=FQ","BEST_FPERIOD_OVERRIDE=FQ","FILING_STATUS=MR","Sort=A","Dates=H","DateFormat=P","Fill=—","Direction=H","UseDPDF=Y")</f>
        <v>7.3975</v>
      </c>
      <c r="AA54" s="14">
        <f>_xll.BDH("GILD US Equity","ACCOUNTS_PAYABLE_5_YEAR_GROWTH","FQ4 2024","FQ4 2024","Currency=USD","Period=FQ","BEST_FPERIOD_OVERRIDE=FQ","FILING_STATUS=MR","Sort=A","Dates=H","DateFormat=P","Fill=—","Direction=H","UseDPDF=Y")</f>
        <v>3.1598999999999999</v>
      </c>
    </row>
    <row r="55" spans="1:27" x14ac:dyDescent="0.25">
      <c r="A55" s="10" t="s">
        <v>1536</v>
      </c>
      <c r="B55" s="10" t="s">
        <v>1569</v>
      </c>
      <c r="C55" s="14">
        <f>_xll.BDH("GILD US Equity","SHORT_TERM_DEBT_5_YEAR_GROWTH","FQ4 2018","FQ4 2018","Currency=USD","Period=FQ","BEST_FPERIOD_OVERRIDE=FQ","FILING_STATUS=MR","Sort=A","Dates=H","DateFormat=P","Fill=—","Direction=H","UseDPDF=Y")</f>
        <v>0.37540000000000001</v>
      </c>
      <c r="D55" s="14">
        <f>_xll.BDH("GILD US Equity","SHORT_TERM_DEBT_5_YEAR_GROWTH","FQ1 2019","FQ1 2019","Currency=USD","Period=FQ","BEST_FPERIOD_OVERRIDE=FQ","FILING_STATUS=MR","Sort=A","Dates=H","DateFormat=P","Fill=—","Direction=H","UseDPDF=Y")</f>
        <v>6.5701000000000001</v>
      </c>
      <c r="E55" s="14">
        <f>_xll.BDH("GILD US Equity","SHORT_TERM_DEBT_5_YEAR_GROWTH","FQ2 2019","FQ2 2019","Currency=USD","Period=FQ","BEST_FPERIOD_OVERRIDE=FQ","FILING_STATUS=MR","Sort=A","Dates=H","DateFormat=P","Fill=—","Direction=H","UseDPDF=Y")</f>
        <v>5.6776</v>
      </c>
      <c r="F55" s="14">
        <f>_xll.BDH("GILD US Equity","SHORT_TERM_DEBT_5_YEAR_GROWTH","FQ3 2019","FQ3 2019","Currency=USD","Period=FQ","BEST_FPERIOD_OVERRIDE=FQ","FILING_STATUS=MR","Sort=A","Dates=H","DateFormat=P","Fill=—","Direction=H","UseDPDF=Y")</f>
        <v>11.8955</v>
      </c>
      <c r="G55" s="14">
        <f>_xll.BDH("GILD US Equity","SHORT_TERM_DEBT_5_YEAR_GROWTH","FQ4 2019","FQ4 2019","Currency=USD","Period=FQ","BEST_FPERIOD_OVERRIDE=FQ","FILING_STATUS=MR","Sort=A","Dates=H","DateFormat=P","Fill=—","Direction=H","UseDPDF=Y")</f>
        <v>40.003300000000003</v>
      </c>
      <c r="H55" s="14">
        <f>_xll.BDH("GILD US Equity","SHORT_TERM_DEBT_5_YEAR_GROWTH","FQ1 2020","FQ1 2020","Currency=USD","Period=FQ","BEST_FPERIOD_OVERRIDE=FQ","FILING_STATUS=MR","Sort=A","Dates=H","DateFormat=P","Fill=—","Direction=H","UseDPDF=Y")</f>
        <v>35.2316</v>
      </c>
      <c r="I55" s="14">
        <f>_xll.BDH("GILD US Equity","SHORT_TERM_DEBT_5_YEAR_GROWTH","FQ2 2020","FQ2 2020","Currency=USD","Period=FQ","BEST_FPERIOD_OVERRIDE=FQ","FILING_STATUS=MR","Sort=A","Dates=H","DateFormat=P","Fill=—","Direction=H","UseDPDF=Y")</f>
        <v>53.492400000000004</v>
      </c>
      <c r="J55" s="14">
        <f>_xll.BDH("GILD US Equity","SHORT_TERM_DEBT_5_YEAR_GROWTH","FQ3 2020","FQ3 2020","Currency=USD","Period=FQ","BEST_FPERIOD_OVERRIDE=FQ","FILING_STATUS=MR","Sort=A","Dates=H","DateFormat=P","Fill=—","Direction=H","UseDPDF=Y")</f>
        <v>35.2498</v>
      </c>
      <c r="K55" s="14">
        <f>_xll.BDH("GILD US Equity","SHORT_TERM_DEBT_5_YEAR_GROWTH","FQ4 2020","FQ4 2020","Currency=USD","Period=FQ","BEST_FPERIOD_OVERRIDE=FQ","FILING_STATUS=MR","Sort=A","Dates=H","DateFormat=P","Fill=—","Direction=H","UseDPDF=Y")</f>
        <v>23.8718</v>
      </c>
      <c r="L55" s="14">
        <f>_xll.BDH("GILD US Equity","SHORT_TERM_DEBT_5_YEAR_GROWTH","FQ1 2021","FQ1 2021","Currency=USD","Period=FQ","BEST_FPERIOD_OVERRIDE=FQ","FILING_STATUS=MR","Sort=A","Dates=H","DateFormat=P","Fill=—","Direction=H","UseDPDF=Y")</f>
        <v>5.2990000000000004</v>
      </c>
      <c r="M55" s="14">
        <f>_xll.BDH("GILD US Equity","SHORT_TERM_DEBT_5_YEAR_GROWTH","FQ2 2021","FQ2 2021","Currency=USD","Period=FQ","BEST_FPERIOD_OVERRIDE=FQ","FILING_STATUS=MR","Sort=A","Dates=H","DateFormat=P","Fill=—","Direction=H","UseDPDF=Y")</f>
        <v>26.427199999999999</v>
      </c>
      <c r="N55" s="14">
        <f>_xll.BDH("GILD US Equity","SHORT_TERM_DEBT_5_YEAR_GROWTH","FQ3 2021","FQ3 2021","Currency=USD","Period=FQ","BEST_FPERIOD_OVERRIDE=FQ","FILING_STATUS=MR","Sort=A","Dates=H","DateFormat=P","Fill=—","Direction=H","UseDPDF=Y")</f>
        <v>29.106999999999999</v>
      </c>
      <c r="O55" s="14" t="str">
        <f>_xll.BDH("GILD US Equity","SHORT_TERM_DEBT_5_YEAR_GROWTH","FQ4 2021","FQ4 2021","Currency=USD","Period=FQ","BEST_FPERIOD_OVERRIDE=FQ","FILING_STATUS=MR","Sort=A","Dates=H","DateFormat=P","Fill=—","Direction=H","UseDPDF=Y")</f>
        <v>—</v>
      </c>
      <c r="P55" s="14" t="str">
        <f>_xll.BDH("GILD US Equity","SHORT_TERM_DEBT_5_YEAR_GROWTH","FQ1 2022","FQ1 2022","Currency=USD","Period=FQ","BEST_FPERIOD_OVERRIDE=FQ","FILING_STATUS=MR","Sort=A","Dates=H","DateFormat=P","Fill=—","Direction=H","UseDPDF=Y")</f>
        <v>—</v>
      </c>
      <c r="Q55" s="14" t="str">
        <f>_xll.BDH("GILD US Equity","SHORT_TERM_DEBT_5_YEAR_GROWTH","FQ2 2022","FQ2 2022","Currency=USD","Period=FQ","BEST_FPERIOD_OVERRIDE=FQ","FILING_STATUS=MR","Sort=A","Dates=H","DateFormat=P","Fill=—","Direction=H","UseDPDF=Y")</f>
        <v>—</v>
      </c>
      <c r="R55" s="14">
        <f>_xll.BDH("GILD US Equity","SHORT_TERM_DEBT_5_YEAR_GROWTH","FQ3 2022","FQ3 2022","Currency=USD","Period=FQ","BEST_FPERIOD_OVERRIDE=FQ","FILING_STATUS=MR","Sort=A","Dates=H","DateFormat=P","Fill=—","Direction=H","UseDPDF=Y")</f>
        <v>5.3772000000000002</v>
      </c>
      <c r="S55" s="14">
        <f>_xll.BDH("GILD US Equity","SHORT_TERM_DEBT_5_YEAR_GROWTH","FQ4 2022","FQ4 2022","Currency=USD","Period=FQ","BEST_FPERIOD_OVERRIDE=FQ","FILING_STATUS=MR","Sort=A","Dates=H","DateFormat=P","Fill=—","Direction=H","UseDPDF=Y")</f>
        <v>-2.7948</v>
      </c>
      <c r="T55" s="14">
        <f>_xll.BDH("GILD US Equity","SHORT_TERM_DEBT_5_YEAR_GROWTH","FQ1 2023","FQ1 2023","Currency=USD","Period=FQ","BEST_FPERIOD_OVERRIDE=FQ","FILING_STATUS=MR","Sort=A","Dates=H","DateFormat=P","Fill=—","Direction=H","UseDPDF=Y")</f>
        <v>-1.776</v>
      </c>
      <c r="U55" s="14">
        <f>_xll.BDH("GILD US Equity","SHORT_TERM_DEBT_5_YEAR_GROWTH","FQ2 2023","FQ2 2023","Currency=USD","Period=FQ","BEST_FPERIOD_OVERRIDE=FQ","FILING_STATUS=MR","Sort=A","Dates=H","DateFormat=P","Fill=—","Direction=H","UseDPDF=Y")</f>
        <v>6.1318000000000001</v>
      </c>
      <c r="V55" s="14">
        <f>_xll.BDH("GILD US Equity","SHORT_TERM_DEBT_5_YEAR_GROWTH","FQ3 2023","FQ3 2023","Currency=USD","Period=FQ","BEST_FPERIOD_OVERRIDE=FQ","FILING_STATUS=MR","Sort=A","Dates=H","DateFormat=P","Fill=—","Direction=H","UseDPDF=Y")</f>
        <v>-8.1784999999999997</v>
      </c>
      <c r="W55" s="14">
        <f>_xll.BDH("GILD US Equity","SHORT_TERM_DEBT_5_YEAR_GROWTH","FQ4 2023","FQ4 2023","Currency=USD","Period=FQ","BEST_FPERIOD_OVERRIDE=FQ","FILING_STATUS=MR","Sort=A","Dates=H","DateFormat=P","Fill=—","Direction=H","UseDPDF=Y")</f>
        <v>-6.8907999999999996</v>
      </c>
      <c r="X55" s="14">
        <f>_xll.BDH("GILD US Equity","SHORT_TERM_DEBT_5_YEAR_GROWTH","FQ1 2024","FQ1 2024","Currency=USD","Period=FQ","BEST_FPERIOD_OVERRIDE=FQ","FILING_STATUS=MR","Sort=A","Dates=H","DateFormat=P","Fill=—","Direction=H","UseDPDF=Y")</f>
        <v>7.3430999999999997</v>
      </c>
      <c r="Y55" s="14">
        <f>_xll.BDH("GILD US Equity","SHORT_TERM_DEBT_5_YEAR_GROWTH","FQ2 2024","FQ2 2024","Currency=USD","Period=FQ","BEST_FPERIOD_OVERRIDE=FQ","FILING_STATUS=MR","Sort=A","Dates=H","DateFormat=P","Fill=—","Direction=H","UseDPDF=Y")</f>
        <v>-2.6675</v>
      </c>
      <c r="Z55" s="14">
        <f>_xll.BDH("GILD US Equity","SHORT_TERM_DEBT_5_YEAR_GROWTH","FQ3 2024","FQ3 2024","Currency=USD","Period=FQ","BEST_FPERIOD_OVERRIDE=FQ","FILING_STATUS=MR","Sort=A","Dates=H","DateFormat=P","Fill=—","Direction=H","UseDPDF=Y")</f>
        <v>-6.9024999999999999</v>
      </c>
      <c r="AA55" s="14">
        <f>_xll.BDH("GILD US Equity","SHORT_TERM_DEBT_5_YEAR_GROWTH","FQ4 2024","FQ4 2024","Currency=USD","Period=FQ","BEST_FPERIOD_OVERRIDE=FQ","FILING_STATUS=MR","Sort=A","Dates=H","DateFormat=P","Fill=—","Direction=H","UseDPDF=Y")</f>
        <v>-5.7907000000000002</v>
      </c>
    </row>
    <row r="56" spans="1:27" x14ac:dyDescent="0.25">
      <c r="A56" s="10" t="s">
        <v>1538</v>
      </c>
      <c r="B56" s="10" t="s">
        <v>1570</v>
      </c>
      <c r="C56" s="14">
        <f>_xll.BDH("GILD US Equity","TOTAL_DEBT_5_YEAR_GROWTH","FQ4 2018","FQ4 2018","Currency=USD","Period=FQ","BEST_FPERIOD_OVERRIDE=FQ","FILING_STATUS=MR","Sort=A","Dates=H","DateFormat=P","Fill=—","Direction=H","UseDPDF=Y")</f>
        <v>32.715400000000002</v>
      </c>
      <c r="D56" s="14">
        <f>_xll.BDH("GILD US Equity","TOTAL_DEBT_5_YEAR_GROWTH","FQ1 2019","FQ1 2019","Currency=USD","Period=FQ","BEST_FPERIOD_OVERRIDE=FQ","FILING_STATUS=MR","Sort=A","Dates=H","DateFormat=P","Fill=—","Direction=H","UseDPDF=Y")</f>
        <v>22.534099999999999</v>
      </c>
      <c r="E56" s="14">
        <f>_xll.BDH("GILD US Equity","TOTAL_DEBT_5_YEAR_GROWTH","FQ2 2019","FQ2 2019","Currency=USD","Period=FQ","BEST_FPERIOD_OVERRIDE=FQ","FILING_STATUS=MR","Sort=A","Dates=H","DateFormat=P","Fill=—","Direction=H","UseDPDF=Y")</f>
        <v>22.7956</v>
      </c>
      <c r="F56" s="14">
        <f>_xll.BDH("GILD US Equity","TOTAL_DEBT_5_YEAR_GROWTH","FQ3 2019","FQ3 2019","Currency=USD","Period=FQ","BEST_FPERIOD_OVERRIDE=FQ","FILING_STATUS=MR","Sort=A","Dates=H","DateFormat=P","Fill=—","Direction=H","UseDPDF=Y")</f>
        <v>21.872299999999999</v>
      </c>
      <c r="G56" s="14">
        <f>_xll.BDH("GILD US Equity","TOTAL_DEBT_5_YEAR_GROWTH","FQ4 2019","FQ4 2019","Currency=USD","Period=FQ","BEST_FPERIOD_OVERRIDE=FQ","FILING_STATUS=MR","Sort=A","Dates=H","DateFormat=P","Fill=—","Direction=H","UseDPDF=Y")</f>
        <v>15.3383</v>
      </c>
      <c r="H56" s="14">
        <f>_xll.BDH("GILD US Equity","TOTAL_DEBT_5_YEAR_GROWTH","FQ1 2020","FQ1 2020","Currency=USD","Period=FQ","BEST_FPERIOD_OVERRIDE=FQ","FILING_STATUS=MR","Sort=A","Dates=H","DateFormat=P","Fill=—","Direction=H","UseDPDF=Y")</f>
        <v>14.259</v>
      </c>
      <c r="I56" s="14">
        <f>_xll.BDH("GILD US Equity","TOTAL_DEBT_5_YEAR_GROWTH","FQ2 2020","FQ2 2020","Currency=USD","Period=FQ","BEST_FPERIOD_OVERRIDE=FQ","FILING_STATUS=MR","Sort=A","Dates=H","DateFormat=P","Fill=—","Direction=H","UseDPDF=Y")</f>
        <v>14.436299999999999</v>
      </c>
      <c r="J56" s="14">
        <f>_xll.BDH("GILD US Equity","TOTAL_DEBT_5_YEAR_GROWTH","FQ3 2020","FQ3 2020","Currency=USD","Period=FQ","BEST_FPERIOD_OVERRIDE=FQ","FILING_STATUS=MR","Sort=A","Dates=H","DateFormat=P","Fill=—","Direction=H","UseDPDF=Y")</f>
        <v>5.6719999999999997</v>
      </c>
      <c r="K56" s="14">
        <f>_xll.BDH("GILD US Equity","TOTAL_DEBT_5_YEAR_GROWTH","FQ4 2020","FQ4 2020","Currency=USD","Period=FQ","BEST_FPERIOD_OVERRIDE=FQ","FILING_STATUS=MR","Sort=A","Dates=H","DateFormat=P","Fill=—","Direction=H","UseDPDF=Y")</f>
        <v>7.8047000000000004</v>
      </c>
      <c r="L56" s="14">
        <f>_xll.BDH("GILD US Equity","TOTAL_DEBT_5_YEAR_GROWTH","FQ1 2021","FQ1 2021","Currency=USD","Period=FQ","BEST_FPERIOD_OVERRIDE=FQ","FILING_STATUS=MR","Sort=A","Dates=H","DateFormat=P","Fill=—","Direction=H","UseDPDF=Y")</f>
        <v>5.7384000000000004</v>
      </c>
      <c r="M56" s="14">
        <f>_xll.BDH("GILD US Equity","TOTAL_DEBT_5_YEAR_GROWTH","FQ2 2021","FQ2 2021","Currency=USD","Period=FQ","BEST_FPERIOD_OVERRIDE=FQ","FILING_STATUS=MR","Sort=A","Dates=H","DateFormat=P","Fill=—","Direction=H","UseDPDF=Y")</f>
        <v>6.4008000000000003</v>
      </c>
      <c r="N56" s="14">
        <f>_xll.BDH("GILD US Equity","TOTAL_DEBT_5_YEAR_GROWTH","FQ3 2021","FQ3 2021","Currency=USD","Period=FQ","BEST_FPERIOD_OVERRIDE=FQ","FILING_STATUS=MR","Sort=A","Dates=H","DateFormat=P","Fill=—","Direction=H","UseDPDF=Y")</f>
        <v>0.45029999999999998</v>
      </c>
      <c r="O56" s="14">
        <f>_xll.BDH("GILD US Equity","TOTAL_DEBT_5_YEAR_GROWTH","FQ4 2021","FQ4 2021","Currency=USD","Period=FQ","BEST_FPERIOD_OVERRIDE=FQ","FILING_STATUS=MR","Sort=A","Dates=H","DateFormat=P","Fill=—","Direction=H","UseDPDF=Y")</f>
        <v>0.70289999999999997</v>
      </c>
      <c r="P56" s="14">
        <f>_xll.BDH("GILD US Equity","TOTAL_DEBT_5_YEAR_GROWTH","FQ1 2022","FQ1 2022","Currency=USD","Period=FQ","BEST_FPERIOD_OVERRIDE=FQ","FILING_STATUS=MR","Sort=A","Dates=H","DateFormat=P","Fill=—","Direction=H","UseDPDF=Y")</f>
        <v>-8.5999999999999993E-2</v>
      </c>
      <c r="Q56" s="14">
        <f>_xll.BDH("GILD US Equity","TOTAL_DEBT_5_YEAR_GROWTH","FQ2 2022","FQ2 2022","Currency=USD","Period=FQ","BEST_FPERIOD_OVERRIDE=FQ","FILING_STATUS=MR","Sort=A","Dates=H","DateFormat=P","Fill=—","Direction=H","UseDPDF=Y")</f>
        <v>-6.0900000000000003E-2</v>
      </c>
      <c r="R56" s="14">
        <f>_xll.BDH("GILD US Equity","TOTAL_DEBT_5_YEAR_GROWTH","FQ3 2022","FQ3 2022","Currency=USD","Period=FQ","BEST_FPERIOD_OVERRIDE=FQ","FILING_STATUS=MR","Sort=A","Dates=H","DateFormat=P","Fill=—","Direction=H","UseDPDF=Y")</f>
        <v>-2.927</v>
      </c>
      <c r="S56" s="14">
        <f>_xll.BDH("GILD US Equity","TOTAL_DEBT_5_YEAR_GROWTH","FQ4 2022","FQ4 2022","Currency=USD","Period=FQ","BEST_FPERIOD_OVERRIDE=FQ","FILING_STATUS=MR","Sort=A","Dates=H","DateFormat=P","Fill=—","Direction=H","UseDPDF=Y")</f>
        <v>-5.1071999999999997</v>
      </c>
      <c r="T56" s="14">
        <f>_xll.BDH("GILD US Equity","TOTAL_DEBT_5_YEAR_GROWTH","FQ1 2023","FQ1 2023","Currency=USD","Period=FQ","BEST_FPERIOD_OVERRIDE=FQ","FILING_STATUS=MR","Sort=A","Dates=H","DateFormat=P","Fill=—","Direction=H","UseDPDF=Y")</f>
        <v>-2.7761</v>
      </c>
      <c r="U56" s="14">
        <f>_xll.BDH("GILD US Equity","TOTAL_DEBT_5_YEAR_GROWTH","FQ2 2023","FQ2 2023","Currency=USD","Period=FQ","BEST_FPERIOD_OVERRIDE=FQ","FILING_STATUS=MR","Sort=A","Dates=H","DateFormat=P","Fill=—","Direction=H","UseDPDF=Y")</f>
        <v>-2.7747000000000002</v>
      </c>
      <c r="V56" s="14">
        <f>_xll.BDH("GILD US Equity","TOTAL_DEBT_5_YEAR_GROWTH","FQ3 2023","FQ3 2023","Currency=USD","Period=FQ","BEST_FPERIOD_OVERRIDE=FQ","FILING_STATUS=MR","Sort=A","Dates=H","DateFormat=P","Fill=—","Direction=H","UseDPDF=Y")</f>
        <v>-1.7712000000000001</v>
      </c>
      <c r="W56" s="14">
        <f>_xll.BDH("GILD US Equity","TOTAL_DEBT_5_YEAR_GROWTH","FQ4 2023","FQ4 2023","Currency=USD","Period=FQ","BEST_FPERIOD_OVERRIDE=FQ","FILING_STATUS=MR","Sort=A","Dates=H","DateFormat=P","Fill=—","Direction=H","UseDPDF=Y")</f>
        <v>-1.2488999999999999</v>
      </c>
      <c r="X56" s="14">
        <f>_xll.BDH("GILD US Equity","TOTAL_DEBT_5_YEAR_GROWTH","FQ1 2024","FQ1 2024","Currency=USD","Period=FQ","BEST_FPERIOD_OVERRIDE=FQ","FILING_STATUS=MR","Sort=A","Dates=H","DateFormat=P","Fill=—","Direction=H","UseDPDF=Y")</f>
        <v>-1.4349000000000001</v>
      </c>
      <c r="Y56" s="14">
        <f>_xll.BDH("GILD US Equity","TOTAL_DEBT_5_YEAR_GROWTH","FQ2 2024","FQ2 2024","Currency=USD","Period=FQ","BEST_FPERIOD_OVERRIDE=FQ","FILING_STATUS=MR","Sort=A","Dates=H","DateFormat=P","Fill=—","Direction=H","UseDPDF=Y")</f>
        <v>-2.5996999999999999</v>
      </c>
      <c r="Z56" s="14">
        <f>_xll.BDH("GILD US Equity","TOTAL_DEBT_5_YEAR_GROWTH","FQ3 2024","FQ3 2024","Currency=USD","Period=FQ","BEST_FPERIOD_OVERRIDE=FQ","FILING_STATUS=MR","Sort=A","Dates=H","DateFormat=P","Fill=—","Direction=H","UseDPDF=Y")</f>
        <v>-1.6766000000000001</v>
      </c>
      <c r="AA56" s="14">
        <f>_xll.BDH("GILD US Equity","TOTAL_DEBT_5_YEAR_GROWTH","FQ4 2024","FQ4 2024","Currency=USD","Period=FQ","BEST_FPERIOD_OVERRIDE=FQ","FILING_STATUS=MR","Sort=A","Dates=H","DateFormat=P","Fill=—","Direction=H","UseDPDF=Y")</f>
        <v>1.5351999999999999</v>
      </c>
    </row>
    <row r="57" spans="1:27" x14ac:dyDescent="0.25">
      <c r="A57" s="10" t="s">
        <v>118</v>
      </c>
      <c r="B57" s="10" t="s">
        <v>1571</v>
      </c>
      <c r="C57" s="14">
        <f>_xll.BDH("GILD US Equity","GEO_GROW_TOT_SHRHLDR_EQY","FQ4 2018","FQ4 2018","Currency=USD","Period=FQ","BEST_FPERIOD_OVERRIDE=FQ","FILING_STATUS=MR","Sort=A","Dates=H","DateFormat=P","Fill=—","Direction=H","UseDPDF=Y")</f>
        <v>12.889699999999999</v>
      </c>
      <c r="D57" s="14">
        <f>_xll.BDH("GILD US Equity","GEO_GROW_TOT_SHRHLDR_EQY","FQ1 2019","FQ1 2019","Currency=USD","Period=FQ","BEST_FPERIOD_OVERRIDE=FQ","FILING_STATUS=MR","Sort=A","Dates=H","DateFormat=P","Fill=—","Direction=H","UseDPDF=Y")</f>
        <v>9.9499999999999993</v>
      </c>
      <c r="E57" s="14">
        <f>_xll.BDH("GILD US Equity","GEO_GROW_TOT_SHRHLDR_EQY","FQ2 2019","FQ2 2019","Currency=USD","Period=FQ","BEST_FPERIOD_OVERRIDE=FQ","FILING_STATUS=MR","Sort=A","Dates=H","DateFormat=P","Fill=—","Direction=H","UseDPDF=Y")</f>
        <v>6.7274000000000003</v>
      </c>
      <c r="F57" s="14">
        <f>_xll.BDH("GILD US Equity","GEO_GROW_TOT_SHRHLDR_EQY","FQ3 2019","FQ3 2019","Currency=USD","Period=FQ","BEST_FPERIOD_OVERRIDE=FQ","FILING_STATUS=MR","Sort=A","Dates=H","DateFormat=P","Fill=—","Direction=H","UseDPDF=Y")</f>
        <v>8.3850999999999996</v>
      </c>
      <c r="G57" s="14">
        <f>_xll.BDH("GILD US Equity","GEO_GROW_TOT_SHRHLDR_EQY","FQ4 2019","FQ4 2019","Currency=USD","Period=FQ","BEST_FPERIOD_OVERRIDE=FQ","FILING_STATUS=MR","Sort=A","Dates=H","DateFormat=P","Fill=—","Direction=H","UseDPDF=Y")</f>
        <v>7.4428999999999998</v>
      </c>
      <c r="H57" s="14">
        <f>_xll.BDH("GILD US Equity","GEO_GROW_TOT_SHRHLDR_EQY","FQ1 2020","FQ1 2020","Currency=USD","Period=FQ","BEST_FPERIOD_OVERRIDE=FQ","FILING_STATUS=MR","Sort=A","Dates=H","DateFormat=P","Fill=—","Direction=H","UseDPDF=Y")</f>
        <v>4.7477999999999998</v>
      </c>
      <c r="I57" s="14">
        <f>_xll.BDH("GILD US Equity","GEO_GROW_TOT_SHRHLDR_EQY","FQ2 2020","FQ2 2020","Currency=USD","Period=FQ","BEST_FPERIOD_OVERRIDE=FQ","FILING_STATUS=MR","Sort=A","Dates=H","DateFormat=P","Fill=—","Direction=H","UseDPDF=Y")</f>
        <v>1.7507999999999999</v>
      </c>
      <c r="J57" s="14">
        <f>_xll.BDH("GILD US Equity","GEO_GROW_TOT_SHRHLDR_EQY","FQ3 2020","FQ3 2020","Currency=USD","Period=FQ","BEST_FPERIOD_OVERRIDE=FQ","FILING_STATUS=MR","Sort=A","Dates=H","DateFormat=P","Fill=—","Direction=H","UseDPDF=Y")</f>
        <v>-0.53280000000000005</v>
      </c>
      <c r="K57" s="14">
        <f>_xll.BDH("GILD US Equity","GEO_GROW_TOT_SHRHLDR_EQY","FQ4 2020","FQ4 2020","Currency=USD","Period=FQ","BEST_FPERIOD_OVERRIDE=FQ","FILING_STATUS=MR","Sort=A","Dates=H","DateFormat=P","Fill=—","Direction=H","UseDPDF=Y")</f>
        <v>-0.95130000000000003</v>
      </c>
      <c r="L57" s="14">
        <f>_xll.BDH("GILD US Equity","GEO_GROW_TOT_SHRHLDR_EQY","FQ1 2021","FQ1 2021","Currency=USD","Period=FQ","BEST_FPERIOD_OVERRIDE=FQ","FILING_STATUS=MR","Sort=A","Dates=H","DateFormat=P","Fill=—","Direction=H","UseDPDF=Y")</f>
        <v>6.2289000000000003</v>
      </c>
      <c r="M57" s="14">
        <f>_xll.BDH("GILD US Equity","GEO_GROW_TOT_SHRHLDR_EQY","FQ2 2021","FQ2 2021","Currency=USD","Period=FQ","BEST_FPERIOD_OVERRIDE=FQ","FILING_STATUS=MR","Sort=A","Dates=H","DateFormat=P","Fill=—","Direction=H","UseDPDF=Y")</f>
        <v>4.1097000000000001</v>
      </c>
      <c r="N57" s="14">
        <f>_xll.BDH("GILD US Equity","GEO_GROW_TOT_SHRHLDR_EQY","FQ3 2021","FQ3 2021","Currency=USD","Period=FQ","BEST_FPERIOD_OVERRIDE=FQ","FILING_STATUS=MR","Sort=A","Dates=H","DateFormat=P","Fill=—","Direction=H","UseDPDF=Y")</f>
        <v>4.3422999999999998</v>
      </c>
      <c r="O57" s="14">
        <f>_xll.BDH("GILD US Equity","GEO_GROW_TOT_SHRHLDR_EQY","FQ4 2021","FQ4 2021","Currency=USD","Period=FQ","BEST_FPERIOD_OVERRIDE=FQ","FILING_STATUS=MR","Sort=A","Dates=H","DateFormat=P","Fill=—","Direction=H","UseDPDF=Y")</f>
        <v>1.6982999999999999</v>
      </c>
      <c r="P57" s="14">
        <f>_xll.BDH("GILD US Equity","GEO_GROW_TOT_SHRHLDR_EQY","FQ1 2022","FQ1 2022","Currency=USD","Period=FQ","BEST_FPERIOD_OVERRIDE=FQ","FILING_STATUS=MR","Sort=A","Dates=H","DateFormat=P","Fill=—","Direction=H","UseDPDF=Y")</f>
        <v>-0.97699999999999998</v>
      </c>
      <c r="Q57" s="14">
        <f>_xll.BDH("GILD US Equity","GEO_GROW_TOT_SHRHLDR_EQY","FQ2 2022","FQ2 2022","Currency=USD","Period=FQ","BEST_FPERIOD_OVERRIDE=FQ","FILING_STATUS=MR","Sort=A","Dates=H","DateFormat=P","Fill=—","Direction=H","UseDPDF=Y")</f>
        <v>-2.6253000000000002</v>
      </c>
      <c r="R57" s="14">
        <f>_xll.BDH("GILD US Equity","GEO_GROW_TOT_SHRHLDR_EQY","FQ3 2022","FQ3 2022","Currency=USD","Period=FQ","BEST_FPERIOD_OVERRIDE=FQ","FILING_STATUS=MR","Sort=A","Dates=H","DateFormat=P","Fill=—","Direction=H","UseDPDF=Y")</f>
        <v>-3.5697999999999999</v>
      </c>
      <c r="S57" s="14">
        <f>_xll.BDH("GILD US Equity","GEO_GROW_TOT_SHRHLDR_EQY","FQ4 2022","FQ4 2022","Currency=USD","Period=FQ","BEST_FPERIOD_OVERRIDE=FQ","FILING_STATUS=MR","Sort=A","Dates=H","DateFormat=P","Fill=—","Direction=H","UseDPDF=Y")</f>
        <v>0.68130000000000002</v>
      </c>
      <c r="T57" s="14">
        <f>_xll.BDH("GILD US Equity","GEO_GROW_TOT_SHRHLDR_EQY","FQ1 2023","FQ1 2023","Currency=USD","Period=FQ","BEST_FPERIOD_OVERRIDE=FQ","FILING_STATUS=MR","Sort=A","Dates=H","DateFormat=P","Fill=—","Direction=H","UseDPDF=Y")</f>
        <v>0.27739999999999998</v>
      </c>
      <c r="U57" s="14">
        <f>_xll.BDH("GILD US Equity","GEO_GROW_TOT_SHRHLDR_EQY","FQ2 2023","FQ2 2023","Currency=USD","Period=FQ","BEST_FPERIOD_OVERRIDE=FQ","FILING_STATUS=MR","Sort=A","Dates=H","DateFormat=P","Fill=—","Direction=H","UseDPDF=Y")</f>
        <v>-0.59599999999999997</v>
      </c>
      <c r="V57" s="14">
        <f>_xll.BDH("GILD US Equity","GEO_GROW_TOT_SHRHLDR_EQY","FQ3 2023","FQ3 2023","Currency=USD","Period=FQ","BEST_FPERIOD_OVERRIDE=FQ","FILING_STATUS=MR","Sort=A","Dates=H","DateFormat=P","Fill=—","Direction=H","UseDPDF=Y")</f>
        <v>-0.67310000000000003</v>
      </c>
      <c r="W57" s="14">
        <f>_xll.BDH("GILD US Equity","GEO_GROW_TOT_SHRHLDR_EQY","FQ4 2023","FQ4 2023","Currency=USD","Period=FQ","BEST_FPERIOD_OVERRIDE=FQ","FILING_STATUS=MR","Sort=A","Dates=H","DateFormat=P","Fill=—","Direction=H","UseDPDF=Y")</f>
        <v>1.1037999999999999</v>
      </c>
      <c r="X57" s="14">
        <f>_xll.BDH("GILD US Equity","GEO_GROW_TOT_SHRHLDR_EQY","FQ1 2024","FQ1 2024","Currency=USD","Period=FQ","BEST_FPERIOD_OVERRIDE=FQ","FILING_STATUS=MR","Sort=A","Dates=H","DateFormat=P","Fill=—","Direction=H","UseDPDF=Y")</f>
        <v>-4.6016000000000004</v>
      </c>
      <c r="Y57" s="14">
        <f>_xll.BDH("GILD US Equity","GEO_GROW_TOT_SHRHLDR_EQY","FQ2 2024","FQ2 2024","Currency=USD","Period=FQ","BEST_FPERIOD_OVERRIDE=FQ","FILING_STATUS=MR","Sort=A","Dates=H","DateFormat=P","Fill=—","Direction=H","UseDPDF=Y")</f>
        <v>-4.3686999999999996</v>
      </c>
      <c r="Z57" s="14">
        <f>_xll.BDH("GILD US Equity","GEO_GROW_TOT_SHRHLDR_EQY","FQ3 2024","FQ3 2024","Currency=USD","Period=FQ","BEST_FPERIOD_OVERRIDE=FQ","FILING_STATUS=MR","Sort=A","Dates=H","DateFormat=P","Fill=—","Direction=H","UseDPDF=Y")</f>
        <v>-2.3727</v>
      </c>
      <c r="AA57" s="14">
        <f>_xll.BDH("GILD US Equity","GEO_GROW_TOT_SHRHLDR_EQY","FQ4 2024","FQ4 2024","Currency=USD","Period=FQ","BEST_FPERIOD_OVERRIDE=FQ","FILING_STATUS=MR","Sort=A","Dates=H","DateFormat=P","Fill=—","Direction=H","UseDPDF=Y")</f>
        <v>-3.2046999999999999</v>
      </c>
    </row>
    <row r="58" spans="1:27" x14ac:dyDescent="0.25">
      <c r="A58" s="10" t="s">
        <v>1572</v>
      </c>
      <c r="B58" s="10" t="s">
        <v>1573</v>
      </c>
      <c r="C58" s="14">
        <f>_xll.BDH("GILD US Equity","TOTAL_CAPITAL_5_YEAR_GROWTH","FQ4 2018","FQ4 2018","Currency=USD","Period=FQ","BEST_FPERIOD_OVERRIDE=FQ","FILING_STATUS=MR","Sort=A","Dates=H","DateFormat=P","Fill=—","Direction=H","UseDPDF=Y")</f>
        <v>21.593299999999999</v>
      </c>
      <c r="D58" s="14">
        <f>_xll.BDH("GILD US Equity","TOTAL_CAPITAL_5_YEAR_GROWTH","FQ1 2019","FQ1 2019","Currency=USD","Period=FQ","BEST_FPERIOD_OVERRIDE=FQ","FILING_STATUS=MR","Sort=A","Dates=H","DateFormat=P","Fill=—","Direction=H","UseDPDF=Y")</f>
        <v>15.8619</v>
      </c>
      <c r="E58" s="14">
        <f>_xll.BDH("GILD US Equity","TOTAL_CAPITAL_5_YEAR_GROWTH","FQ2 2019","FQ2 2019","Currency=USD","Period=FQ","BEST_FPERIOD_OVERRIDE=FQ","FILING_STATUS=MR","Sort=A","Dates=H","DateFormat=P","Fill=—","Direction=H","UseDPDF=Y")</f>
        <v>13.718299999999999</v>
      </c>
      <c r="F58" s="14">
        <f>_xll.BDH("GILD US Equity","TOTAL_CAPITAL_5_YEAR_GROWTH","FQ3 2019","FQ3 2019","Currency=USD","Period=FQ","BEST_FPERIOD_OVERRIDE=FQ","FILING_STATUS=MR","Sort=A","Dates=H","DateFormat=P","Fill=—","Direction=H","UseDPDF=Y")</f>
        <v>14.616300000000001</v>
      </c>
      <c r="G58" s="14">
        <f>_xll.BDH("GILD US Equity","TOTAL_CAPITAL_5_YEAR_GROWTH","FQ4 2019","FQ4 2019","Currency=USD","Period=FQ","BEST_FPERIOD_OVERRIDE=FQ","FILING_STATUS=MR","Sort=A","Dates=H","DateFormat=P","Fill=—","Direction=H","UseDPDF=Y")</f>
        <v>11.191000000000001</v>
      </c>
      <c r="H58" s="14">
        <f>_xll.BDH("GILD US Equity","TOTAL_CAPITAL_5_YEAR_GROWTH","FQ1 2020","FQ1 2020","Currency=USD","Period=FQ","BEST_FPERIOD_OVERRIDE=FQ","FILING_STATUS=MR","Sort=A","Dates=H","DateFormat=P","Fill=—","Direction=H","UseDPDF=Y")</f>
        <v>9.0830000000000002</v>
      </c>
      <c r="I58" s="14">
        <f>_xll.BDH("GILD US Equity","TOTAL_CAPITAL_5_YEAR_GROWTH","FQ2 2020","FQ2 2020","Currency=USD","Period=FQ","BEST_FPERIOD_OVERRIDE=FQ","FILING_STATUS=MR","Sort=A","Dates=H","DateFormat=P","Fill=—","Direction=H","UseDPDF=Y")</f>
        <v>7.8769</v>
      </c>
      <c r="J58" s="14">
        <f>_xll.BDH("GILD US Equity","TOTAL_CAPITAL_5_YEAR_GROWTH","FQ3 2020","FQ3 2020","Currency=USD","Period=FQ","BEST_FPERIOD_OVERRIDE=FQ","FILING_STATUS=MR","Sort=A","Dates=H","DateFormat=P","Fill=—","Direction=H","UseDPDF=Y")</f>
        <v>3.0836999999999999</v>
      </c>
      <c r="K58" s="14">
        <f>_xll.BDH("GILD US Equity","TOTAL_CAPITAL_5_YEAR_GROWTH","FQ4 2020","FQ4 2020","Currency=USD","Period=FQ","BEST_FPERIOD_OVERRIDE=FQ","FILING_STATUS=MR","Sort=A","Dates=H","DateFormat=P","Fill=—","Direction=H","UseDPDF=Y")</f>
        <v>4.1029</v>
      </c>
      <c r="L58" s="14">
        <f>_xll.BDH("GILD US Equity","TOTAL_CAPITAL_5_YEAR_GROWTH","FQ1 2021","FQ1 2021","Currency=USD","Period=FQ","BEST_FPERIOD_OVERRIDE=FQ","FILING_STATUS=MR","Sort=A","Dates=H","DateFormat=P","Fill=—","Direction=H","UseDPDF=Y")</f>
        <v>5.9260999999999999</v>
      </c>
      <c r="M58" s="14">
        <f>_xll.BDH("GILD US Equity","TOTAL_CAPITAL_5_YEAR_GROWTH","FQ2 2021","FQ2 2021","Currency=USD","Period=FQ","BEST_FPERIOD_OVERRIDE=FQ","FILING_STATUS=MR","Sort=A","Dates=H","DateFormat=P","Fill=—","Direction=H","UseDPDF=Y")</f>
        <v>5.4595000000000002</v>
      </c>
      <c r="N58" s="14">
        <f>_xll.BDH("GILD US Equity","TOTAL_CAPITAL_5_YEAR_GROWTH","FQ3 2021","FQ3 2021","Currency=USD","Period=FQ","BEST_FPERIOD_OVERRIDE=FQ","FILING_STATUS=MR","Sort=A","Dates=H","DateFormat=P","Fill=—","Direction=H","UseDPDF=Y")</f>
        <v>2.0421999999999998</v>
      </c>
      <c r="O58" s="14">
        <f>_xll.BDH("GILD US Equity","TOTAL_CAPITAL_5_YEAR_GROWTH","FQ4 2021","FQ4 2021","Currency=USD","Period=FQ","BEST_FPERIOD_OVERRIDE=FQ","FILING_STATUS=MR","Sort=A","Dates=H","DateFormat=P","Fill=—","Direction=H","UseDPDF=Y")</f>
        <v>1.1293</v>
      </c>
      <c r="P58" s="14">
        <f>_xll.BDH("GILD US Equity","TOTAL_CAPITAL_5_YEAR_GROWTH","FQ1 2022","FQ1 2022","Currency=USD","Period=FQ","BEST_FPERIOD_OVERRIDE=FQ","FILING_STATUS=MR","Sort=A","Dates=H","DateFormat=P","Fill=—","Direction=H","UseDPDF=Y")</f>
        <v>-0.47660000000000002</v>
      </c>
      <c r="Q58" s="14">
        <f>_xll.BDH("GILD US Equity","TOTAL_CAPITAL_5_YEAR_GROWTH","FQ2 2022","FQ2 2022","Currency=USD","Period=FQ","BEST_FPERIOD_OVERRIDE=FQ","FILING_STATUS=MR","Sort=A","Dates=H","DateFormat=P","Fill=—","Direction=H","UseDPDF=Y")</f>
        <v>-1.2267999999999999</v>
      </c>
      <c r="R58" s="14">
        <f>_xll.BDH("GILD US Equity","TOTAL_CAPITAL_5_YEAR_GROWTH","FQ3 2022","FQ3 2022","Currency=USD","Period=FQ","BEST_FPERIOD_OVERRIDE=FQ","FILING_STATUS=MR","Sort=A","Dates=H","DateFormat=P","Fill=—","Direction=H","UseDPDF=Y")</f>
        <v>-3.2225999999999999</v>
      </c>
      <c r="S58" s="14">
        <f>_xll.BDH("GILD US Equity","TOTAL_CAPITAL_5_YEAR_GROWTH","FQ4 2022","FQ4 2022","Currency=USD","Period=FQ","BEST_FPERIOD_OVERRIDE=FQ","FILING_STATUS=MR","Sort=A","Dates=H","DateFormat=P","Fill=—","Direction=H","UseDPDF=Y")</f>
        <v>-2.7469999999999999</v>
      </c>
      <c r="T58" s="14">
        <f>_xll.BDH("GILD US Equity","TOTAL_CAPITAL_5_YEAR_GROWTH","FQ1 2023","FQ1 2023","Currency=USD","Period=FQ","BEST_FPERIOD_OVERRIDE=FQ","FILING_STATUS=MR","Sort=A","Dates=H","DateFormat=P","Fill=—","Direction=H","UseDPDF=Y")</f>
        <v>-1.4613</v>
      </c>
      <c r="U58" s="14">
        <f>_xll.BDH("GILD US Equity","TOTAL_CAPITAL_5_YEAR_GROWTH","FQ2 2023","FQ2 2023","Currency=USD","Period=FQ","BEST_FPERIOD_OVERRIDE=FQ","FILING_STATUS=MR","Sort=A","Dates=H","DateFormat=P","Fill=—","Direction=H","UseDPDF=Y")</f>
        <v>-1.8187</v>
      </c>
      <c r="V58" s="14">
        <f>_xll.BDH("GILD US Equity","TOTAL_CAPITAL_5_YEAR_GROWTH","FQ3 2023","FQ3 2023","Currency=USD","Period=FQ","BEST_FPERIOD_OVERRIDE=FQ","FILING_STATUS=MR","Sort=A","Dates=H","DateFormat=P","Fill=—","Direction=H","UseDPDF=Y")</f>
        <v>-1.2630999999999999</v>
      </c>
      <c r="W58" s="14">
        <f>_xll.BDH("GILD US Equity","TOTAL_CAPITAL_5_YEAR_GROWTH","FQ4 2023","FQ4 2023","Currency=USD","Period=FQ","BEST_FPERIOD_OVERRIDE=FQ","FILING_STATUS=MR","Sort=A","Dates=H","DateFormat=P","Fill=—","Direction=H","UseDPDF=Y")</f>
        <v>-0.1845</v>
      </c>
      <c r="X58" s="14">
        <f>_xll.BDH("GILD US Equity","TOTAL_CAPITAL_5_YEAR_GROWTH","FQ1 2024","FQ1 2024","Currency=USD","Period=FQ","BEST_FPERIOD_OVERRIDE=FQ","FILING_STATUS=MR","Sort=A","Dates=H","DateFormat=P","Fill=—","Direction=H","UseDPDF=Y")</f>
        <v>-2.8067000000000002</v>
      </c>
      <c r="Y58" s="14">
        <f>_xll.BDH("GILD US Equity","TOTAL_CAPITAL_5_YEAR_GROWTH","FQ2 2024","FQ2 2024","Currency=USD","Period=FQ","BEST_FPERIOD_OVERRIDE=FQ","FILING_STATUS=MR","Sort=A","Dates=H","DateFormat=P","Fill=—","Direction=H","UseDPDF=Y")</f>
        <v>-3.3984999999999999</v>
      </c>
      <c r="Z58" s="14">
        <f>_xll.BDH("GILD US Equity","TOTAL_CAPITAL_5_YEAR_GROWTH","FQ3 2024","FQ3 2024","Currency=USD","Period=FQ","BEST_FPERIOD_OVERRIDE=FQ","FILING_STATUS=MR","Sort=A","Dates=H","DateFormat=P","Fill=—","Direction=H","UseDPDF=Y")</f>
        <v>-1.9877</v>
      </c>
      <c r="AA58" s="14">
        <f>_xll.BDH("GILD US Equity","TOTAL_CAPITAL_5_YEAR_GROWTH","FQ4 2024","FQ4 2024","Currency=USD","Period=FQ","BEST_FPERIOD_OVERRIDE=FQ","FILING_STATUS=MR","Sort=A","Dates=H","DateFormat=P","Fill=—","Direction=H","UseDPDF=Y")</f>
        <v>-0.5907</v>
      </c>
    </row>
    <row r="59" spans="1:27" x14ac:dyDescent="0.25">
      <c r="A59" s="10" t="s">
        <v>1543</v>
      </c>
      <c r="B59" s="10" t="s">
        <v>1574</v>
      </c>
      <c r="C59" s="14">
        <f>_xll.BDH("GILD US Equity","GEO_GROW_BOOK_VAL","FQ4 2018","FQ4 2018","Currency=USD","Period=FQ","BEST_FPERIOD_OVERRIDE=FQ","FILING_STATUS=MR","Sort=A","Dates=H","DateFormat=P","Fill=—","Direction=H","UseDPDF=Y")</f>
        <v>17.6221</v>
      </c>
      <c r="D59" s="14">
        <f>_xll.BDH("GILD US Equity","GEO_GROW_BOOK_VAL","FQ1 2019","FQ1 2019","Currency=USD","Period=FQ","BEST_FPERIOD_OVERRIDE=FQ","FILING_STATUS=MR","Sort=A","Dates=H","DateFormat=P","Fill=—","Direction=H","UseDPDF=Y")</f>
        <v>14.5494</v>
      </c>
      <c r="E59" s="14">
        <f>_xll.BDH("GILD US Equity","GEO_GROW_BOOK_VAL","FQ2 2019","FQ2 2019","Currency=USD","Period=FQ","BEST_FPERIOD_OVERRIDE=FQ","FILING_STATUS=MR","Sort=A","Dates=H","DateFormat=P","Fill=—","Direction=H","UseDPDF=Y")</f>
        <v>11.103199999999999</v>
      </c>
      <c r="F59" s="14">
        <f>_xll.BDH("GILD US Equity","GEO_GROW_BOOK_VAL","FQ3 2019","FQ3 2019","Currency=USD","Period=FQ","BEST_FPERIOD_OVERRIDE=FQ","FILING_STATUS=MR","Sort=A","Dates=H","DateFormat=P","Fill=—","Direction=H","UseDPDF=Y")</f>
        <v>12.6714</v>
      </c>
      <c r="G59" s="14">
        <f>_xll.BDH("GILD US Equity","GEO_GROW_BOOK_VAL","FQ4 2019","FQ4 2019","Currency=USD","Period=FQ","BEST_FPERIOD_OVERRIDE=FQ","FILING_STATUS=MR","Sort=A","Dates=H","DateFormat=P","Fill=—","Direction=H","UseDPDF=Y")</f>
        <v>11.5722</v>
      </c>
      <c r="H59" s="14">
        <f>_xll.BDH("GILD US Equity","GEO_GROW_BOOK_VAL","FQ1 2020","FQ1 2020","Currency=USD","Period=FQ","BEST_FPERIOD_OVERRIDE=FQ","FILING_STATUS=MR","Sort=A","Dates=H","DateFormat=P","Fill=—","Direction=H","UseDPDF=Y")</f>
        <v>8.6326999999999998</v>
      </c>
      <c r="I59" s="14">
        <f>_xll.BDH("GILD US Equity","GEO_GROW_BOOK_VAL","FQ2 2020","FQ2 2020","Currency=USD","Period=FQ","BEST_FPERIOD_OVERRIDE=FQ","FILING_STATUS=MR","Sort=A","Dates=H","DateFormat=P","Fill=—","Direction=H","UseDPDF=Y")</f>
        <v>5.3895</v>
      </c>
      <c r="J59" s="14">
        <f>_xll.BDH("GILD US Equity","GEO_GROW_BOOK_VAL","FQ3 2020","FQ3 2020","Currency=USD","Period=FQ","BEST_FPERIOD_OVERRIDE=FQ","FILING_STATUS=MR","Sort=A","Dates=H","DateFormat=P","Fill=—","Direction=H","UseDPDF=Y")</f>
        <v>2.9859</v>
      </c>
      <c r="K59" s="14">
        <f>_xll.BDH("GILD US Equity","GEO_GROW_BOOK_VAL","FQ4 2020","FQ4 2020","Currency=USD","Period=FQ","BEST_FPERIOD_OVERRIDE=FQ","FILING_STATUS=MR","Sort=A","Dates=H","DateFormat=P","Fill=—","Direction=H","UseDPDF=Y")</f>
        <v>2.1764000000000001</v>
      </c>
      <c r="L59" s="14">
        <f>_xll.BDH("GILD US Equity","GEO_GROW_BOOK_VAL","FQ1 2021","FQ1 2021","Currency=USD","Period=FQ","BEST_FPERIOD_OVERRIDE=FQ","FILING_STATUS=MR","Sort=A","Dates=H","DateFormat=P","Fill=—","Direction=H","UseDPDF=Y")</f>
        <v>8.7430000000000003</v>
      </c>
      <c r="M59" s="14">
        <f>_xll.BDH("GILD US Equity","GEO_GROW_BOOK_VAL","FQ2 2021","FQ2 2021","Currency=USD","Period=FQ","BEST_FPERIOD_OVERRIDE=FQ","FILING_STATUS=MR","Sort=A","Dates=H","DateFormat=P","Fill=—","Direction=H","UseDPDF=Y")</f>
        <v>6.1242999999999999</v>
      </c>
      <c r="N59" s="14">
        <f>_xll.BDH("GILD US Equity","GEO_GROW_BOOK_VAL","FQ3 2021","FQ3 2021","Currency=USD","Period=FQ","BEST_FPERIOD_OVERRIDE=FQ","FILING_STATUS=MR","Sort=A","Dates=H","DateFormat=P","Fill=—","Direction=H","UseDPDF=Y")</f>
        <v>6.0404</v>
      </c>
      <c r="O59" s="14">
        <f>_xll.BDH("GILD US Equity","GEO_GROW_BOOK_VAL","FQ4 2021","FQ4 2021","Currency=USD","Period=FQ","BEST_FPERIOD_OVERRIDE=FQ","FILING_STATUS=MR","Sort=A","Dates=H","DateFormat=P","Fill=—","Direction=H","UseDPDF=Y")</f>
        <v>3.1076999999999999</v>
      </c>
      <c r="P59" s="14">
        <f>_xll.BDH("GILD US Equity","GEO_GROW_BOOK_VAL","FQ1 2022","FQ1 2022","Currency=USD","Period=FQ","BEST_FPERIOD_OVERRIDE=FQ","FILING_STATUS=MR","Sort=A","Dates=H","DateFormat=P","Fill=—","Direction=H","UseDPDF=Y")</f>
        <v>0.30309999999999998</v>
      </c>
      <c r="Q59" s="14">
        <f>_xll.BDH("GILD US Equity","GEO_GROW_BOOK_VAL","FQ2 2022","FQ2 2022","Currency=USD","Period=FQ","BEST_FPERIOD_OVERRIDE=FQ","FILING_STATUS=MR","Sort=A","Dates=H","DateFormat=P","Fill=—","Direction=H","UseDPDF=Y")</f>
        <v>-1.4544999999999999</v>
      </c>
      <c r="R59" s="14">
        <f>_xll.BDH("GILD US Equity","GEO_GROW_BOOK_VAL","FQ3 2022","FQ3 2022","Currency=USD","Period=FQ","BEST_FPERIOD_OVERRIDE=FQ","FILING_STATUS=MR","Sort=A","Dates=H","DateFormat=P","Fill=—","Direction=H","UseDPDF=Y")</f>
        <v>-2.4278</v>
      </c>
      <c r="S59" s="14">
        <f>_xll.BDH("GILD US Equity","GEO_GROW_BOOK_VAL","FQ4 2022","FQ4 2022","Currency=USD","Period=FQ","BEST_FPERIOD_OVERRIDE=FQ","FILING_STATUS=MR","Sort=A","Dates=H","DateFormat=P","Fill=—","Direction=H","UseDPDF=Y")</f>
        <v>1.736</v>
      </c>
      <c r="T59" s="14">
        <f>_xll.BDH("GILD US Equity","GEO_GROW_BOOK_VAL","FQ1 2023","FQ1 2023","Currency=USD","Period=FQ","BEST_FPERIOD_OVERRIDE=FQ","FILING_STATUS=MR","Sort=A","Dates=H","DateFormat=P","Fill=—","Direction=H","UseDPDF=Y")</f>
        <v>1.2142999999999999</v>
      </c>
      <c r="U59" s="14">
        <f>_xll.BDH("GILD US Equity","GEO_GROW_BOOK_VAL","FQ2 2023","FQ2 2023","Currency=USD","Period=FQ","BEST_FPERIOD_OVERRIDE=FQ","FILING_STATUS=MR","Sort=A","Dates=H","DateFormat=P","Fill=—","Direction=H","UseDPDF=Y")</f>
        <v>0.29120000000000001</v>
      </c>
      <c r="V59" s="14">
        <f>_xll.BDH("GILD US Equity","GEO_GROW_BOOK_VAL","FQ3 2023","FQ3 2023","Currency=USD","Period=FQ","BEST_FPERIOD_OVERRIDE=FQ","FILING_STATUS=MR","Sort=A","Dates=H","DateFormat=P","Fill=—","Direction=H","UseDPDF=Y")</f>
        <v>0.25679999999999997</v>
      </c>
      <c r="W59" s="14">
        <f>_xll.BDH("GILD US Equity","GEO_GROW_BOOK_VAL","FQ4 2023","FQ4 2023","Currency=USD","Period=FQ","BEST_FPERIOD_OVERRIDE=FQ","FILING_STATUS=MR","Sort=A","Dates=H","DateFormat=P","Fill=—","Direction=H","UseDPDF=Y")</f>
        <v>1.8958999999999999</v>
      </c>
      <c r="X59" s="14">
        <f>_xll.BDH("GILD US Equity","GEO_GROW_BOOK_VAL","FQ1 2024","FQ1 2024","Currency=USD","Period=FQ","BEST_FPERIOD_OVERRIDE=FQ","FILING_STATUS=MR","Sort=A","Dates=H","DateFormat=P","Fill=—","Direction=H","UseDPDF=Y")</f>
        <v>-3.9626000000000001</v>
      </c>
      <c r="Y59" s="14">
        <f>_xll.BDH("GILD US Equity","GEO_GROW_BOOK_VAL","FQ2 2024","FQ2 2024","Currency=USD","Period=FQ","BEST_FPERIOD_OVERRIDE=FQ","FILING_STATUS=MR","Sort=A","Dates=H","DateFormat=P","Fill=—","Direction=H","UseDPDF=Y")</f>
        <v>-3.8456999999999999</v>
      </c>
      <c r="Z59" s="14">
        <f>_xll.BDH("GILD US Equity","GEO_GROW_BOOK_VAL","FQ3 2024","FQ3 2024","Currency=USD","Period=FQ","BEST_FPERIOD_OVERRIDE=FQ","FILING_STATUS=MR","Sort=A","Dates=H","DateFormat=P","Fill=—","Direction=H","UseDPDF=Y")</f>
        <v>-1.8467</v>
      </c>
      <c r="AA59" s="14">
        <f>_xll.BDH("GILD US Equity","GEO_GROW_BOOK_VAL","FQ4 2024","FQ4 2024","Currency=USD","Period=FQ","BEST_FPERIOD_OVERRIDE=FQ","FILING_STATUS=MR","Sort=A","Dates=H","DateFormat=P","Fill=—","Direction=H","UseDPDF=Y")</f>
        <v>-2.7037</v>
      </c>
    </row>
    <row r="60" spans="1:27" x14ac:dyDescent="0.25">
      <c r="A60" s="10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x14ac:dyDescent="0.25">
      <c r="A61" s="10" t="s">
        <v>124</v>
      </c>
      <c r="B61" s="10" t="s">
        <v>1575</v>
      </c>
      <c r="C61" s="14">
        <f>_xll.BDH("GILD US Equity","GEO_GROW_CASH_OPER_ACT","FQ4 2018","FQ4 2018","Currency=USD","Period=FQ","BEST_FPERIOD_OVERRIDE=FQ","FILING_STATUS=MR","Sort=A","Dates=H","DateFormat=P","Fill=—","Direction=H","UseDPDF=Y")</f>
        <v>26.3996</v>
      </c>
      <c r="D61" s="14">
        <f>_xll.BDH("GILD US Equity","GEO_GROW_CASH_OPER_ACT","FQ1 2019","FQ1 2019","Currency=USD","Period=FQ","BEST_FPERIOD_OVERRIDE=FQ","FILING_STATUS=MR","Sort=A","Dates=H","DateFormat=P","Fill=—","Direction=H","UseDPDF=Y")</f>
        <v>-1.6344000000000001</v>
      </c>
      <c r="E61" s="14">
        <f>_xll.BDH("GILD US Equity","GEO_GROW_CASH_OPER_ACT","FQ2 2019","FQ2 2019","Currency=USD","Period=FQ","BEST_FPERIOD_OVERRIDE=FQ","FILING_STATUS=MR","Sort=A","Dates=H","DateFormat=P","Fill=—","Direction=H","UseDPDF=Y")</f>
        <v>-10.9627</v>
      </c>
      <c r="F61" s="14">
        <f>_xll.BDH("GILD US Equity","GEO_GROW_CASH_OPER_ACT","FQ3 2019","FQ3 2019","Currency=USD","Period=FQ","BEST_FPERIOD_OVERRIDE=FQ","FILING_STATUS=MR","Sort=A","Dates=H","DateFormat=P","Fill=—","Direction=H","UseDPDF=Y")</f>
        <v>-6.4406999999999996</v>
      </c>
      <c r="G61" s="14">
        <f>_xll.BDH("GILD US Equity","GEO_GROW_CASH_OPER_ACT","FQ4 2019","FQ4 2019","Currency=USD","Period=FQ","BEST_FPERIOD_OVERRIDE=FQ","FILING_STATUS=MR","Sort=A","Dates=H","DateFormat=P","Fill=—","Direction=H","UseDPDF=Y")</f>
        <v>-3.1046</v>
      </c>
      <c r="H61" s="14">
        <f>_xll.BDH("GILD US Equity","GEO_GROW_CASH_OPER_ACT","FQ1 2020","FQ1 2020","Currency=USD","Period=FQ","BEST_FPERIOD_OVERRIDE=FQ","FILING_STATUS=MR","Sort=A","Dates=H","DateFormat=P","Fill=—","Direction=H","UseDPDF=Y")</f>
        <v>-24.100200000000001</v>
      </c>
      <c r="I61" s="14">
        <f>_xll.BDH("GILD US Equity","GEO_GROW_CASH_OPER_ACT","FQ2 2020","FQ2 2020","Currency=USD","Period=FQ","BEST_FPERIOD_OVERRIDE=FQ","FILING_STATUS=MR","Sort=A","Dates=H","DateFormat=P","Fill=—","Direction=H","UseDPDF=Y")</f>
        <v>-14.6274</v>
      </c>
      <c r="J61" s="14">
        <f>_xll.BDH("GILD US Equity","GEO_GROW_CASH_OPER_ACT","FQ3 2020","FQ3 2020","Currency=USD","Period=FQ","BEST_FPERIOD_OVERRIDE=FQ","FILING_STATUS=MR","Sort=A","Dates=H","DateFormat=P","Fill=—","Direction=H","UseDPDF=Y")</f>
        <v>-11.291600000000001</v>
      </c>
      <c r="K61" s="14">
        <f>_xll.BDH("GILD US Equity","GEO_GROW_CASH_OPER_ACT","FQ4 2020","FQ4 2020","Currency=USD","Period=FQ","BEST_FPERIOD_OVERRIDE=FQ","FILING_STATUS=MR","Sort=A","Dates=H","DateFormat=P","Fill=—","Direction=H","UseDPDF=Y")</f>
        <v>-17.0336</v>
      </c>
      <c r="L61" s="14">
        <f>_xll.BDH("GILD US Equity","GEO_GROW_CASH_OPER_ACT","FQ1 2021","FQ1 2021","Currency=USD","Period=FQ","BEST_FPERIOD_OVERRIDE=FQ","FILING_STATUS=MR","Sort=A","Dates=H","DateFormat=P","Fill=—","Direction=H","UseDPDF=Y")</f>
        <v>-8.7698999999999998</v>
      </c>
      <c r="M61" s="14">
        <f>_xll.BDH("GILD US Equity","GEO_GROW_CASH_OPER_ACT","FQ2 2021","FQ2 2021","Currency=USD","Period=FQ","BEST_FPERIOD_OVERRIDE=FQ","FILING_STATUS=MR","Sort=A","Dates=H","DateFormat=P","Fill=—","Direction=H","UseDPDF=Y")</f>
        <v>-14.2143</v>
      </c>
      <c r="N61" s="14">
        <f>_xll.BDH("GILD US Equity","GEO_GROW_CASH_OPER_ACT","FQ3 2021","FQ3 2021","Currency=USD","Period=FQ","BEST_FPERIOD_OVERRIDE=FQ","FILING_STATUS=MR","Sort=A","Dates=H","DateFormat=P","Fill=—","Direction=H","UseDPDF=Y")</f>
        <v>-5.8316999999999997</v>
      </c>
      <c r="O61" s="14">
        <f>_xll.BDH("GILD US Equity","GEO_GROW_CASH_OPER_ACT","FQ4 2021","FQ4 2021","Currency=USD","Period=FQ","BEST_FPERIOD_OVERRIDE=FQ","FILING_STATUS=MR","Sort=A","Dates=H","DateFormat=P","Fill=—","Direction=H","UseDPDF=Y")</f>
        <v>-1.9631000000000001</v>
      </c>
      <c r="P61" s="14">
        <f>_xll.BDH("GILD US Equity","GEO_GROW_CASH_OPER_ACT","FQ1 2022","FQ1 2022","Currency=USD","Period=FQ","BEST_FPERIOD_OVERRIDE=FQ","FILING_STATUS=MR","Sort=A","Dates=H","DateFormat=P","Fill=—","Direction=H","UseDPDF=Y")</f>
        <v>-8.8537999999999997</v>
      </c>
      <c r="Q61" s="14">
        <f>_xll.BDH("GILD US Equity","GEO_GROW_CASH_OPER_ACT","FQ2 2022","FQ2 2022","Currency=USD","Period=FQ","BEST_FPERIOD_OVERRIDE=FQ","FILING_STATUS=MR","Sort=A","Dates=H","DateFormat=P","Fill=—","Direction=H","UseDPDF=Y")</f>
        <v>-12.5632</v>
      </c>
      <c r="R61" s="14">
        <f>_xll.BDH("GILD US Equity","GEO_GROW_CASH_OPER_ACT","FQ3 2022","FQ3 2022","Currency=USD","Period=FQ","BEST_FPERIOD_OVERRIDE=FQ","FILING_STATUS=MR","Sort=A","Dates=H","DateFormat=P","Fill=—","Direction=H","UseDPDF=Y")</f>
        <v>1.2242999999999999</v>
      </c>
      <c r="S61" s="14">
        <f>_xll.BDH("GILD US Equity","GEO_GROW_CASH_OPER_ACT","FQ4 2022","FQ4 2022","Currency=USD","Period=FQ","BEST_FPERIOD_OVERRIDE=FQ","FILING_STATUS=MR","Sort=A","Dates=H","DateFormat=P","Fill=—","Direction=H","UseDPDF=Y")</f>
        <v>-1.3893</v>
      </c>
      <c r="T61" s="14">
        <f>_xll.BDH("GILD US Equity","GEO_GROW_CASH_OPER_ACT","FQ1 2023","FQ1 2023","Currency=USD","Period=FQ","BEST_FPERIOD_OVERRIDE=FQ","FILING_STATUS=MR","Sort=A","Dates=H","DateFormat=P","Fill=—","Direction=H","UseDPDF=Y")</f>
        <v>-5.1353999999999997</v>
      </c>
      <c r="U61" s="14">
        <f>_xll.BDH("GILD US Equity","GEO_GROW_CASH_OPER_ACT","FQ2 2023","FQ2 2023","Currency=USD","Period=FQ","BEST_FPERIOD_OVERRIDE=FQ","FILING_STATUS=MR","Sort=A","Dates=H","DateFormat=P","Fill=—","Direction=H","UseDPDF=Y")</f>
        <v>8.2487999999999992</v>
      </c>
      <c r="V61" s="14">
        <f>_xll.BDH("GILD US Equity","GEO_GROW_CASH_OPER_ACT","FQ3 2023","FQ3 2023","Currency=USD","Period=FQ","BEST_FPERIOD_OVERRIDE=FQ","FILING_STATUS=MR","Sort=A","Dates=H","DateFormat=P","Fill=—","Direction=H","UseDPDF=Y")</f>
        <v>-4.5231000000000003</v>
      </c>
      <c r="W61" s="14">
        <f>_xll.BDH("GILD US Equity","GEO_GROW_CASH_OPER_ACT","FQ4 2023","FQ4 2023","Currency=USD","Period=FQ","BEST_FPERIOD_OVERRIDE=FQ","FILING_STATUS=MR","Sort=A","Dates=H","DateFormat=P","Fill=—","Direction=H","UseDPDF=Y")</f>
        <v>-1.5483</v>
      </c>
      <c r="X61" s="14">
        <f>_xll.BDH("GILD US Equity","GEO_GROW_CASH_OPER_ACT","FQ1 2024","FQ1 2024","Currency=USD","Period=FQ","BEST_FPERIOD_OVERRIDE=FQ","FILING_STATUS=MR","Sort=A","Dates=H","DateFormat=P","Fill=—","Direction=H","UseDPDF=Y")</f>
        <v>8.9727999999999994</v>
      </c>
      <c r="Y61" s="14">
        <f>_xll.BDH("GILD US Equity","GEO_GROW_CASH_OPER_ACT","FQ2 2024","FQ2 2024","Currency=USD","Period=FQ","BEST_FPERIOD_OVERRIDE=FQ","FILING_STATUS=MR","Sort=A","Dates=H","DateFormat=P","Fill=—","Direction=H","UseDPDF=Y")</f>
        <v>-10.7669</v>
      </c>
      <c r="Z61" s="14">
        <f>_xll.BDH("GILD US Equity","GEO_GROW_CASH_OPER_ACT","FQ3 2024","FQ3 2024","Currency=USD","Period=FQ","BEST_FPERIOD_OVERRIDE=FQ","FILING_STATUS=MR","Sort=A","Dates=H","DateFormat=P","Fill=—","Direction=H","UseDPDF=Y")</f>
        <v>8.2493999999999996</v>
      </c>
      <c r="AA61" s="14">
        <f>_xll.BDH("GILD US Equity","GEO_GROW_CASH_OPER_ACT","FQ4 2024","FQ4 2024","Currency=USD","Period=FQ","BEST_FPERIOD_OVERRIDE=FQ","FILING_STATUS=MR","Sort=A","Dates=H","DateFormat=P","Fill=—","Direction=H","UseDPDF=Y")</f>
        <v>2.8900999999999999</v>
      </c>
    </row>
    <row r="62" spans="1:27" x14ac:dyDescent="0.25">
      <c r="A62" s="10" t="s">
        <v>1468</v>
      </c>
      <c r="B62" s="10" t="s">
        <v>1576</v>
      </c>
      <c r="C62" s="14" t="str">
        <f>_xll.BDH("GILD US Equity","NET_CHANGE_IN_CASH_5_YEAR_GROWTH","FQ4 2018","FQ4 2018","Currency=USD","Period=FQ","BEST_FPERIOD_OVERRIDE=FQ","FILING_STATUS=MR","Sort=A","Dates=H","DateFormat=P","Fill=—","Direction=H","UseDPDF=Y")</f>
        <v>—</v>
      </c>
      <c r="D62" s="14" t="str">
        <f>_xll.BDH("GILD US Equity","NET_CHANGE_IN_CASH_5_YEAR_GROWTH","FQ1 2019","FQ1 2019","Currency=USD","Period=FQ","BEST_FPERIOD_OVERRIDE=FQ","FILING_STATUS=MR","Sort=A","Dates=H","DateFormat=P","Fill=—","Direction=H","UseDPDF=Y")</f>
        <v>—</v>
      </c>
      <c r="E62" s="14" t="str">
        <f>_xll.BDH("GILD US Equity","NET_CHANGE_IN_CASH_5_YEAR_GROWTH","FQ2 2019","FQ2 2019","Currency=USD","Period=FQ","BEST_FPERIOD_OVERRIDE=FQ","FILING_STATUS=MR","Sort=A","Dates=H","DateFormat=P","Fill=—","Direction=H","UseDPDF=Y")</f>
        <v>—</v>
      </c>
      <c r="F62" s="14" t="str">
        <f>_xll.BDH("GILD US Equity","NET_CHANGE_IN_CASH_5_YEAR_GROWTH","FQ3 2019","FQ3 2019","Currency=USD","Period=FQ","BEST_FPERIOD_OVERRIDE=FQ","FILING_STATUS=MR","Sort=A","Dates=H","DateFormat=P","Fill=—","Direction=H","UseDPDF=Y")</f>
        <v>—</v>
      </c>
      <c r="G62" s="14" t="str">
        <f>_xll.BDH("GILD US Equity","NET_CHANGE_IN_CASH_5_YEAR_GROWTH","FQ4 2019","FQ4 2019","Currency=USD","Period=FQ","BEST_FPERIOD_OVERRIDE=FQ","FILING_STATUS=MR","Sort=A","Dates=H","DateFormat=P","Fill=—","Direction=H","UseDPDF=Y")</f>
        <v>—</v>
      </c>
      <c r="H62" s="14" t="str">
        <f>_xll.BDH("GILD US Equity","NET_CHANGE_IN_CASH_5_YEAR_GROWTH","FQ1 2020","FQ1 2020","Currency=USD","Period=FQ","BEST_FPERIOD_OVERRIDE=FQ","FILING_STATUS=MR","Sort=A","Dates=H","DateFormat=P","Fill=—","Direction=H","UseDPDF=Y")</f>
        <v>—</v>
      </c>
      <c r="I62" s="14" t="str">
        <f>_xll.BDH("GILD US Equity","NET_CHANGE_IN_CASH_5_YEAR_GROWTH","FQ2 2020","FQ2 2020","Currency=USD","Period=FQ","BEST_FPERIOD_OVERRIDE=FQ","FILING_STATUS=MR","Sort=A","Dates=H","DateFormat=P","Fill=—","Direction=H","UseDPDF=Y")</f>
        <v>—</v>
      </c>
      <c r="J62" s="14">
        <f>_xll.BDH("GILD US Equity","NET_CHANGE_IN_CASH_5_YEAR_GROWTH","FQ3 2020","FQ3 2020","Currency=USD","Period=FQ","BEST_FPERIOD_OVERRIDE=FQ","FILING_STATUS=MR","Sort=A","Dates=H","DateFormat=P","Fill=—","Direction=H","UseDPDF=Y")</f>
        <v>-1.2785</v>
      </c>
      <c r="K62" s="14" t="str">
        <f>_xll.BDH("GILD US Equity","NET_CHANGE_IN_CASH_5_YEAR_GROWTH","FQ4 2020","FQ4 2020","Currency=USD","Period=FQ","BEST_FPERIOD_OVERRIDE=FQ","FILING_STATUS=MR","Sort=A","Dates=H","DateFormat=P","Fill=—","Direction=H","UseDPDF=Y")</f>
        <v>—</v>
      </c>
      <c r="L62" s="14" t="str">
        <f>_xll.BDH("GILD US Equity","NET_CHANGE_IN_CASH_5_YEAR_GROWTH","FQ1 2021","FQ1 2021","Currency=USD","Period=FQ","BEST_FPERIOD_OVERRIDE=FQ","FILING_STATUS=MR","Sort=A","Dates=H","DateFormat=P","Fill=—","Direction=H","UseDPDF=Y")</f>
        <v>—</v>
      </c>
      <c r="M62" s="14" t="str">
        <f>_xll.BDH("GILD US Equity","NET_CHANGE_IN_CASH_5_YEAR_GROWTH","FQ2 2021","FQ2 2021","Currency=USD","Period=FQ","BEST_FPERIOD_OVERRIDE=FQ","FILING_STATUS=MR","Sort=A","Dates=H","DateFormat=P","Fill=—","Direction=H","UseDPDF=Y")</f>
        <v>—</v>
      </c>
      <c r="N62" s="14" t="str">
        <f>_xll.BDH("GILD US Equity","NET_CHANGE_IN_CASH_5_YEAR_GROWTH","FQ3 2021","FQ3 2021","Currency=USD","Period=FQ","BEST_FPERIOD_OVERRIDE=FQ","FILING_STATUS=MR","Sort=A","Dates=H","DateFormat=P","Fill=—","Direction=H","UseDPDF=Y")</f>
        <v>—</v>
      </c>
      <c r="O62" s="14" t="str">
        <f>_xll.BDH("GILD US Equity","NET_CHANGE_IN_CASH_5_YEAR_GROWTH","FQ4 2021","FQ4 2021","Currency=USD","Period=FQ","BEST_FPERIOD_OVERRIDE=FQ","FILING_STATUS=MR","Sort=A","Dates=H","DateFormat=P","Fill=—","Direction=H","UseDPDF=Y")</f>
        <v>—</v>
      </c>
      <c r="P62" s="14" t="str">
        <f>_xll.BDH("GILD US Equity","NET_CHANGE_IN_CASH_5_YEAR_GROWTH","FQ1 2022","FQ1 2022","Currency=USD","Period=FQ","BEST_FPERIOD_OVERRIDE=FQ","FILING_STATUS=MR","Sort=A","Dates=H","DateFormat=P","Fill=—","Direction=H","UseDPDF=Y")</f>
        <v>—</v>
      </c>
      <c r="Q62" s="14" t="str">
        <f>_xll.BDH("GILD US Equity","NET_CHANGE_IN_CASH_5_YEAR_GROWTH","FQ2 2022","FQ2 2022","Currency=USD","Period=FQ","BEST_FPERIOD_OVERRIDE=FQ","FILING_STATUS=MR","Sort=A","Dates=H","DateFormat=P","Fill=—","Direction=H","UseDPDF=Y")</f>
        <v>—</v>
      </c>
      <c r="R62" s="14" t="str">
        <f>_xll.BDH("GILD US Equity","NET_CHANGE_IN_CASH_5_YEAR_GROWTH","FQ3 2022","FQ3 2022","Currency=USD","Period=FQ","BEST_FPERIOD_OVERRIDE=FQ","FILING_STATUS=MR","Sort=A","Dates=H","DateFormat=P","Fill=—","Direction=H","UseDPDF=Y")</f>
        <v>—</v>
      </c>
      <c r="S62" s="14" t="str">
        <f>_xll.BDH("GILD US Equity","NET_CHANGE_IN_CASH_5_YEAR_GROWTH","FQ4 2022","FQ4 2022","Currency=USD","Period=FQ","BEST_FPERIOD_OVERRIDE=FQ","FILING_STATUS=MR","Sort=A","Dates=H","DateFormat=P","Fill=—","Direction=H","UseDPDF=Y")</f>
        <v>—</v>
      </c>
      <c r="T62" s="14" t="str">
        <f>_xll.BDH("GILD US Equity","NET_CHANGE_IN_CASH_5_YEAR_GROWTH","FQ1 2023","FQ1 2023","Currency=USD","Period=FQ","BEST_FPERIOD_OVERRIDE=FQ","FILING_STATUS=MR","Sort=A","Dates=H","DateFormat=P","Fill=—","Direction=H","UseDPDF=Y")</f>
        <v>—</v>
      </c>
      <c r="U62" s="14" t="str">
        <f>_xll.BDH("GILD US Equity","NET_CHANGE_IN_CASH_5_YEAR_GROWTH","FQ2 2023","FQ2 2023","Currency=USD","Period=FQ","BEST_FPERIOD_OVERRIDE=FQ","FILING_STATUS=MR","Sort=A","Dates=H","DateFormat=P","Fill=—","Direction=H","UseDPDF=Y")</f>
        <v>—</v>
      </c>
      <c r="V62" s="14" t="str">
        <f>_xll.BDH("GILD US Equity","NET_CHANGE_IN_CASH_5_YEAR_GROWTH","FQ3 2023","FQ3 2023","Currency=USD","Period=FQ","BEST_FPERIOD_OVERRIDE=FQ","FILING_STATUS=MR","Sort=A","Dates=H","DateFormat=P","Fill=—","Direction=H","UseDPDF=Y")</f>
        <v>—</v>
      </c>
      <c r="W62" s="14">
        <f>_xll.BDH("GILD US Equity","NET_CHANGE_IN_CASH_5_YEAR_GROWTH","FQ4 2023","FQ4 2023","Currency=USD","Period=FQ","BEST_FPERIOD_OVERRIDE=FQ","FILING_STATUS=MR","Sort=A","Dates=H","DateFormat=P","Fill=—","Direction=H","UseDPDF=Y")</f>
        <v>-35.374299999999998</v>
      </c>
      <c r="X62" s="14" t="str">
        <f>_xll.BDH("GILD US Equity","NET_CHANGE_IN_CASH_5_YEAR_GROWTH","FQ1 2024","FQ1 2024","Currency=USD","Period=FQ","BEST_FPERIOD_OVERRIDE=FQ","FILING_STATUS=MR","Sort=A","Dates=H","DateFormat=P","Fill=—","Direction=H","UseDPDF=Y")</f>
        <v>—</v>
      </c>
      <c r="Y62" s="14" t="str">
        <f>_xll.BDH("GILD US Equity","NET_CHANGE_IN_CASH_5_YEAR_GROWTH","FQ2 2024","FQ2 2024","Currency=USD","Period=FQ","BEST_FPERIOD_OVERRIDE=FQ","FILING_STATUS=MR","Sort=A","Dates=H","DateFormat=P","Fill=—","Direction=H","UseDPDF=Y")</f>
        <v>—</v>
      </c>
      <c r="Z62" s="14" t="str">
        <f>_xll.BDH("GILD US Equity","NET_CHANGE_IN_CASH_5_YEAR_GROWTH","FQ3 2024","FQ3 2024","Currency=USD","Period=FQ","BEST_FPERIOD_OVERRIDE=FQ","FILING_STATUS=MR","Sort=A","Dates=H","DateFormat=P","Fill=—","Direction=H","UseDPDF=Y")</f>
        <v>—</v>
      </c>
      <c r="AA62" s="14">
        <f>_xll.BDH("GILD US Equity","NET_CHANGE_IN_CASH_5_YEAR_GROWTH","FQ4 2024","FQ4 2024","Currency=USD","Period=FQ","BEST_FPERIOD_OVERRIDE=FQ","FILING_STATUS=MR","Sort=A","Dates=H","DateFormat=P","Fill=—","Direction=H","UseDPDF=Y")</f>
        <v>18.097000000000001</v>
      </c>
    </row>
    <row r="63" spans="1:27" x14ac:dyDescent="0.25">
      <c r="A63" s="10" t="s">
        <v>88</v>
      </c>
      <c r="B63" s="10" t="s">
        <v>1577</v>
      </c>
      <c r="C63" s="14">
        <f>_xll.BDH("GILD US Equity","FREE_CASH_FLOW_5_YEAR_GROWTH","FQ4 2018","FQ4 2018","Currency=USD","Period=FQ","BEST_FPERIOD_OVERRIDE=FQ","FILING_STATUS=MR","Sort=A","Dates=H","DateFormat=P","Fill=—","Direction=H","UseDPDF=Y")</f>
        <v>26.084</v>
      </c>
      <c r="D63" s="14">
        <f>_xll.BDH("GILD US Equity","FREE_CASH_FLOW_5_YEAR_GROWTH","FQ1 2019","FQ1 2019","Currency=USD","Period=FQ","BEST_FPERIOD_OVERRIDE=FQ","FILING_STATUS=MR","Sort=A","Dates=H","DateFormat=P","Fill=—","Direction=H","UseDPDF=Y")</f>
        <v>-2.9857999999999998</v>
      </c>
      <c r="E63" s="14">
        <f>_xll.BDH("GILD US Equity","FREE_CASH_FLOW_5_YEAR_GROWTH","FQ2 2019","FQ2 2019","Currency=USD","Period=FQ","BEST_FPERIOD_OVERRIDE=FQ","FILING_STATUS=MR","Sort=A","Dates=H","DateFormat=P","Fill=—","Direction=H","UseDPDF=Y")</f>
        <v>-12.030099999999999</v>
      </c>
      <c r="F63" s="14">
        <f>_xll.BDH("GILD US Equity","FREE_CASH_FLOW_5_YEAR_GROWTH","FQ3 2019","FQ3 2019","Currency=USD","Period=FQ","BEST_FPERIOD_OVERRIDE=FQ","FILING_STATUS=MR","Sort=A","Dates=H","DateFormat=P","Fill=—","Direction=H","UseDPDF=Y")</f>
        <v>-7.1401000000000003</v>
      </c>
      <c r="G63" s="14">
        <f>_xll.BDH("GILD US Equity","FREE_CASH_FLOW_5_YEAR_GROWTH","FQ4 2019","FQ4 2019","Currency=USD","Period=FQ","BEST_FPERIOD_OVERRIDE=FQ","FILING_STATUS=MR","Sort=A","Dates=H","DateFormat=P","Fill=—","Direction=H","UseDPDF=Y")</f>
        <v>-3.5863</v>
      </c>
      <c r="H63" s="14">
        <f>_xll.BDH("GILD US Equity","FREE_CASH_FLOW_5_YEAR_GROWTH","FQ1 2020","FQ1 2020","Currency=USD","Period=FQ","BEST_FPERIOD_OVERRIDE=FQ","FILING_STATUS=MR","Sort=A","Dates=H","DateFormat=P","Fill=—","Direction=H","UseDPDF=Y")</f>
        <v>-25.674499999999998</v>
      </c>
      <c r="I63" s="14">
        <f>_xll.BDH("GILD US Equity","FREE_CASH_FLOW_5_YEAR_GROWTH","FQ2 2020","FQ2 2020","Currency=USD","Period=FQ","BEST_FPERIOD_OVERRIDE=FQ","FILING_STATUS=MR","Sort=A","Dates=H","DateFormat=P","Fill=—","Direction=H","UseDPDF=Y")</f>
        <v>-15.081200000000001</v>
      </c>
      <c r="J63" s="14">
        <f>_xll.BDH("GILD US Equity","FREE_CASH_FLOW_5_YEAR_GROWTH","FQ3 2020","FQ3 2020","Currency=USD","Period=FQ","BEST_FPERIOD_OVERRIDE=FQ","FILING_STATUS=MR","Sort=A","Dates=H","DateFormat=P","Fill=—","Direction=H","UseDPDF=Y")</f>
        <v>-11.2738</v>
      </c>
      <c r="K63" s="14">
        <f>_xll.BDH("GILD US Equity","FREE_CASH_FLOW_5_YEAR_GROWTH","FQ4 2020","FQ4 2020","Currency=USD","Period=FQ","BEST_FPERIOD_OVERRIDE=FQ","FILING_STATUS=MR","Sort=A","Dates=H","DateFormat=P","Fill=—","Direction=H","UseDPDF=Y")</f>
        <v>-18.098400000000002</v>
      </c>
      <c r="L63" s="14">
        <f>_xll.BDH("GILD US Equity","FREE_CASH_FLOW_5_YEAR_GROWTH","FQ1 2021","FQ1 2021","Currency=USD","Period=FQ","BEST_FPERIOD_OVERRIDE=FQ","FILING_STATUS=MR","Sort=A","Dates=H","DateFormat=P","Fill=—","Direction=H","UseDPDF=Y")</f>
        <v>-9.1614000000000004</v>
      </c>
      <c r="M63" s="14">
        <f>_xll.BDH("GILD US Equity","FREE_CASH_FLOW_5_YEAR_GROWTH","FQ2 2021","FQ2 2021","Currency=USD","Period=FQ","BEST_FPERIOD_OVERRIDE=FQ","FILING_STATUS=MR","Sort=A","Dates=H","DateFormat=P","Fill=—","Direction=H","UseDPDF=Y")</f>
        <v>-14.4023</v>
      </c>
      <c r="N63" s="14">
        <f>_xll.BDH("GILD US Equity","FREE_CASH_FLOW_5_YEAR_GROWTH","FQ3 2021","FQ3 2021","Currency=USD","Period=FQ","BEST_FPERIOD_OVERRIDE=FQ","FILING_STATUS=MR","Sort=A","Dates=H","DateFormat=P","Fill=—","Direction=H","UseDPDF=Y")</f>
        <v>-5.7855999999999996</v>
      </c>
      <c r="O63" s="14">
        <f>_xll.BDH("GILD US Equity","FREE_CASH_FLOW_5_YEAR_GROWTH","FQ4 2021","FQ4 2021","Currency=USD","Period=FQ","BEST_FPERIOD_OVERRIDE=FQ","FILING_STATUS=MR","Sort=A","Dates=H","DateFormat=P","Fill=—","Direction=H","UseDPDF=Y")</f>
        <v>-1.9821</v>
      </c>
      <c r="P63" s="14">
        <f>_xll.BDH("GILD US Equity","FREE_CASH_FLOW_5_YEAR_GROWTH","FQ1 2022","FQ1 2022","Currency=USD","Period=FQ","BEST_FPERIOD_OVERRIDE=FQ","FILING_STATUS=MR","Sort=A","Dates=H","DateFormat=P","Fill=—","Direction=H","UseDPDF=Y")</f>
        <v>-10.7117</v>
      </c>
      <c r="Q63" s="14">
        <f>_xll.BDH("GILD US Equity","FREE_CASH_FLOW_5_YEAR_GROWTH","FQ2 2022","FQ2 2022","Currency=USD","Period=FQ","BEST_FPERIOD_OVERRIDE=FQ","FILING_STATUS=MR","Sort=A","Dates=H","DateFormat=P","Fill=—","Direction=H","UseDPDF=Y")</f>
        <v>-13.3842</v>
      </c>
      <c r="R63" s="14">
        <f>_xll.BDH("GILD US Equity","FREE_CASH_FLOW_5_YEAR_GROWTH","FQ3 2022","FQ3 2022","Currency=USD","Period=FQ","BEST_FPERIOD_OVERRIDE=FQ","FILING_STATUS=MR","Sort=A","Dates=H","DateFormat=P","Fill=—","Direction=H","UseDPDF=Y")</f>
        <v>1.0760000000000001</v>
      </c>
      <c r="S63" s="14">
        <f>_xll.BDH("GILD US Equity","FREE_CASH_FLOW_5_YEAR_GROWTH","FQ4 2022","FQ4 2022","Currency=USD","Period=FQ","BEST_FPERIOD_OVERRIDE=FQ","FILING_STATUS=MR","Sort=A","Dates=H","DateFormat=P","Fill=—","Direction=H","UseDPDF=Y")</f>
        <v>-1.1886000000000001</v>
      </c>
      <c r="T63" s="14">
        <f>_xll.BDH("GILD US Equity","FREE_CASH_FLOW_5_YEAR_GROWTH","FQ1 2023","FQ1 2023","Currency=USD","Period=FQ","BEST_FPERIOD_OVERRIDE=FQ","FILING_STATUS=MR","Sort=A","Dates=H","DateFormat=P","Fill=—","Direction=H","UseDPDF=Y")</f>
        <v>-4.4976000000000003</v>
      </c>
      <c r="U63" s="14">
        <f>_xll.BDH("GILD US Equity","FREE_CASH_FLOW_5_YEAR_GROWTH","FQ2 2023","FQ2 2023","Currency=USD","Period=FQ","BEST_FPERIOD_OVERRIDE=FQ","FILING_STATUS=MR","Sort=A","Dates=H","DateFormat=P","Fill=—","Direction=H","UseDPDF=Y")</f>
        <v>11.5</v>
      </c>
      <c r="V63" s="14">
        <f>_xll.BDH("GILD US Equity","FREE_CASH_FLOW_5_YEAR_GROWTH","FQ3 2023","FQ3 2023","Currency=USD","Period=FQ","BEST_FPERIOD_OVERRIDE=FQ","FILING_STATUS=MR","Sort=A","Dates=H","DateFormat=P","Fill=—","Direction=H","UseDPDF=Y")</f>
        <v>-4.3997999999999999</v>
      </c>
      <c r="W63" s="14">
        <f>_xll.BDH("GILD US Equity","FREE_CASH_FLOW_5_YEAR_GROWTH","FQ4 2023","FQ4 2023","Currency=USD","Period=FQ","BEST_FPERIOD_OVERRIDE=FQ","FILING_STATUS=MR","Sort=A","Dates=H","DateFormat=P","Fill=—","Direction=H","UseDPDF=Y")</f>
        <v>-1.4027000000000001</v>
      </c>
      <c r="X63" s="14">
        <f>_xll.BDH("GILD US Equity","FREE_CASH_FLOW_5_YEAR_GROWTH","FQ1 2024","FQ1 2024","Currency=USD","Period=FQ","BEST_FPERIOD_OVERRIDE=FQ","FILING_STATUS=MR","Sort=A","Dates=H","DateFormat=P","Fill=—","Direction=H","UseDPDF=Y")</f>
        <v>11.8612</v>
      </c>
      <c r="Y63" s="14">
        <f>_xll.BDH("GILD US Equity","FREE_CASH_FLOW_5_YEAR_GROWTH","FQ2 2024","FQ2 2024","Currency=USD","Period=FQ","BEST_FPERIOD_OVERRIDE=FQ","FILING_STATUS=MR","Sort=A","Dates=H","DateFormat=P","Fill=—","Direction=H","UseDPDF=Y")</f>
        <v>-11.140599999999999</v>
      </c>
      <c r="Z63" s="14">
        <f>_xll.BDH("GILD US Equity","FREE_CASH_FLOW_5_YEAR_GROWTH","FQ3 2024","FQ3 2024","Currency=USD","Period=FQ","BEST_FPERIOD_OVERRIDE=FQ","FILING_STATUS=MR","Sort=A","Dates=H","DateFormat=P","Fill=—","Direction=H","UseDPDF=Y")</f>
        <v>9.08</v>
      </c>
      <c r="AA63" s="14">
        <f>_xll.BDH("GILD US Equity","FREE_CASH_FLOW_5_YEAR_GROWTH","FQ4 2024","FQ4 2024","Currency=USD","Period=FQ","BEST_FPERIOD_OVERRIDE=FQ","FILING_STATUS=MR","Sort=A","Dates=H","DateFormat=P","Fill=—","Direction=H","UseDPDF=Y")</f>
        <v>3.5356999999999998</v>
      </c>
    </row>
    <row r="64" spans="1:27" x14ac:dyDescent="0.25">
      <c r="A64" s="10" t="s">
        <v>1549</v>
      </c>
      <c r="B64" s="10" t="s">
        <v>1578</v>
      </c>
      <c r="C64" s="14">
        <f>_xll.BDH("GILD US Equity","CASH_FLOW_TO_FIRM_5_YEAR_GROWTH","FQ4 2018","FQ4 2018","Currency=USD","Period=FQ","BEST_FPERIOD_OVERRIDE=FQ","FILING_STATUS=MR","FA_ADJUSTED=GAAP","Sort=A","Dates=H","DateFormat=P","Fill=—","Direction=H","UseDPDF=Y")</f>
        <v>24.684999999999999</v>
      </c>
      <c r="D64" s="14">
        <f>_xll.BDH("GILD US Equity","CASH_FLOW_TO_FIRM_5_YEAR_GROWTH","FQ1 2019","FQ1 2019","Currency=USD","Period=FQ","BEST_FPERIOD_OVERRIDE=FQ","FILING_STATUS=MR","FA_ADJUSTED=GAAP","Sort=A","Dates=H","DateFormat=P","Fill=—","Direction=H","UseDPDF=Y")</f>
        <v>0.38100000000000001</v>
      </c>
      <c r="E64" s="14">
        <f>_xll.BDH("GILD US Equity","CASH_FLOW_TO_FIRM_5_YEAR_GROWTH","FQ2 2019","FQ2 2019","Currency=USD","Period=FQ","BEST_FPERIOD_OVERRIDE=FQ","FILING_STATUS=MR","FA_ADJUSTED=GAAP","Sort=A","Dates=H","DateFormat=P","Fill=—","Direction=H","UseDPDF=Y")</f>
        <v>-9.9108000000000001</v>
      </c>
      <c r="F64" s="14">
        <f>_xll.BDH("GILD US Equity","CASH_FLOW_TO_FIRM_5_YEAR_GROWTH","FQ3 2019","FQ3 2019","Currency=USD","Period=FQ","BEST_FPERIOD_OVERRIDE=FQ","FILING_STATUS=MR","FA_ADJUSTED=GAAP","Sort=A","Dates=H","DateFormat=P","Fill=—","Direction=H","UseDPDF=Y")</f>
        <v>-5.8369</v>
      </c>
      <c r="G64" s="14" t="str">
        <f>_xll.BDH("GILD US Equity","CASH_FLOW_TO_FIRM_5_YEAR_GROWTH","FQ4 2019","FQ4 2019","Currency=USD","Period=FQ","BEST_FPERIOD_OVERRIDE=FQ","FILING_STATUS=MR","FA_ADJUSTED=GAAP","Sort=A","Dates=H","DateFormat=P","Fill=—","Direction=H","UseDPDF=Y")</f>
        <v>—</v>
      </c>
      <c r="H64" s="14">
        <f>_xll.BDH("GILD US Equity","CASH_FLOW_TO_FIRM_5_YEAR_GROWTH","FQ1 2020","FQ1 2020","Currency=USD","Period=FQ","BEST_FPERIOD_OVERRIDE=FQ","FILING_STATUS=MR","FA_ADJUSTED=GAAP","Sort=A","Dates=H","DateFormat=P","Fill=—","Direction=H","UseDPDF=Y")</f>
        <v>-22.578299999999999</v>
      </c>
      <c r="I64" s="14" t="str">
        <f>_xll.BDH("GILD US Equity","CASH_FLOW_TO_FIRM_5_YEAR_GROWTH","FQ2 2020","FQ2 2020","Currency=USD","Period=FQ","BEST_FPERIOD_OVERRIDE=FQ","FILING_STATUS=MR","FA_ADJUSTED=GAAP","Sort=A","Dates=H","DateFormat=P","Fill=—","Direction=H","UseDPDF=Y")</f>
        <v>—</v>
      </c>
      <c r="J64" s="14">
        <f>_xll.BDH("GILD US Equity","CASH_FLOW_TO_FIRM_5_YEAR_GROWTH","FQ3 2020","FQ3 2020","Currency=USD","Period=FQ","BEST_FPERIOD_OVERRIDE=FQ","FILING_STATUS=MR","FA_ADJUSTED=GAAP","Sort=A","Dates=H","DateFormat=P","Fill=—","Direction=H","UseDPDF=Y")</f>
        <v>-11.102399999999999</v>
      </c>
      <c r="K64" s="14" t="str">
        <f>_xll.BDH("GILD US Equity","CASH_FLOW_TO_FIRM_5_YEAR_GROWTH","FQ4 2020","FQ4 2020","Currency=USD","Period=FQ","BEST_FPERIOD_OVERRIDE=FQ","FILING_STATUS=MR","FA_ADJUSTED=GAAP","Sort=A","Dates=H","DateFormat=P","Fill=—","Direction=H","UseDPDF=Y")</f>
        <v>—</v>
      </c>
      <c r="L64" s="14">
        <f>_xll.BDH("GILD US Equity","CASH_FLOW_TO_FIRM_5_YEAR_GROWTH","FQ1 2021","FQ1 2021","Currency=USD","Period=FQ","BEST_FPERIOD_OVERRIDE=FQ","FILING_STATUS=MR","FA_ADJUSTED=GAAP","Sort=A","Dates=H","DateFormat=P","Fill=—","Direction=H","UseDPDF=Y")</f>
        <v>-8.2384000000000004</v>
      </c>
      <c r="M64" s="14" t="str">
        <f>_xll.BDH("GILD US Equity","CASH_FLOW_TO_FIRM_5_YEAR_GROWTH","FQ2 2021","FQ2 2021","Currency=USD","Period=FQ","BEST_FPERIOD_OVERRIDE=FQ","FILING_STATUS=MR","FA_ADJUSTED=GAAP","Sort=A","Dates=H","DateFormat=P","Fill=—","Direction=H","UseDPDF=Y")</f>
        <v>—</v>
      </c>
      <c r="N64" s="14">
        <f>_xll.BDH("GILD US Equity","CASH_FLOW_TO_FIRM_5_YEAR_GROWTH","FQ3 2021","FQ3 2021","Currency=USD","Period=FQ","BEST_FPERIOD_OVERRIDE=FQ","FILING_STATUS=MR","FA_ADJUSTED=GAAP","Sort=A","Dates=H","DateFormat=P","Fill=—","Direction=H","UseDPDF=Y")</f>
        <v>-5.5629</v>
      </c>
      <c r="O64" s="14" t="str">
        <f>_xll.BDH("GILD US Equity","CASH_FLOW_TO_FIRM_5_YEAR_GROWTH","FQ4 2021","FQ4 2021","Currency=USD","Period=FQ","BEST_FPERIOD_OVERRIDE=FQ","FILING_STATUS=MR","FA_ADJUSTED=GAAP","Sort=A","Dates=H","DateFormat=P","Fill=—","Direction=H","UseDPDF=Y")</f>
        <v>—</v>
      </c>
      <c r="P64" s="14">
        <f>_xll.BDH("GILD US Equity","CASH_FLOW_TO_FIRM_5_YEAR_GROWTH","FQ1 2022","FQ1 2022","Currency=USD","Period=FQ","BEST_FPERIOD_OVERRIDE=FQ","FILING_STATUS=MR","FA_ADJUSTED=GAAP","Sort=A","Dates=H","DateFormat=P","Fill=—","Direction=H","UseDPDF=Y")</f>
        <v>-8.3048000000000002</v>
      </c>
      <c r="Q64" s="14" t="str">
        <f>_xll.BDH("GILD US Equity","CASH_FLOW_TO_FIRM_5_YEAR_GROWTH","FQ2 2022","FQ2 2022","Currency=USD","Period=FQ","BEST_FPERIOD_OVERRIDE=FQ","FILING_STATUS=MR","FA_ADJUSTED=GAAP","Sort=A","Dates=H","DateFormat=P","Fill=—","Direction=H","UseDPDF=Y")</f>
        <v>—</v>
      </c>
      <c r="R64" s="14">
        <f>_xll.BDH("GILD US Equity","CASH_FLOW_TO_FIRM_5_YEAR_GROWTH","FQ3 2022","FQ3 2022","Currency=USD","Period=FQ","BEST_FPERIOD_OVERRIDE=FQ","FILING_STATUS=MR","FA_ADJUSTED=GAAP","Sort=A","Dates=H","DateFormat=P","Fill=—","Direction=H","UseDPDF=Y")</f>
        <v>0.82630000000000003</v>
      </c>
      <c r="S64" s="14" t="str">
        <f>_xll.BDH("GILD US Equity","CASH_FLOW_TO_FIRM_5_YEAR_GROWTH","FQ4 2022","FQ4 2022","Currency=USD","Period=FQ","BEST_FPERIOD_OVERRIDE=FQ","FILING_STATUS=MR","FA_ADJUSTED=GAAP","Sort=A","Dates=H","DateFormat=P","Fill=—","Direction=H","UseDPDF=Y")</f>
        <v>—</v>
      </c>
      <c r="T64" s="14">
        <f>_xll.BDH("GILD US Equity","CASH_FLOW_TO_FIRM_5_YEAR_GROWTH","FQ1 2023","FQ1 2023","Currency=USD","Period=FQ","BEST_FPERIOD_OVERRIDE=FQ","FILING_STATUS=MR","FA_ADJUSTED=GAAP","Sort=A","Dates=H","DateFormat=P","Fill=—","Direction=H","UseDPDF=Y")</f>
        <v>-5.0815999999999999</v>
      </c>
      <c r="U64" s="14" t="str">
        <f>_xll.BDH("GILD US Equity","CASH_FLOW_TO_FIRM_5_YEAR_GROWTH","FQ2 2023","FQ2 2023","Currency=USD","Period=FQ","BEST_FPERIOD_OVERRIDE=FQ","FILING_STATUS=MR","FA_ADJUSTED=GAAP","Sort=A","Dates=H","DateFormat=P","Fill=—","Direction=H","UseDPDF=Y")</f>
        <v>—</v>
      </c>
      <c r="V64" s="14">
        <f>_xll.BDH("GILD US Equity","CASH_FLOW_TO_FIRM_5_YEAR_GROWTH","FQ3 2023","FQ3 2023","Currency=USD","Period=FQ","BEST_FPERIOD_OVERRIDE=FQ","FILING_STATUS=MR","FA_ADJUSTED=GAAP","Sort=A","Dates=H","DateFormat=P","Fill=—","Direction=H","UseDPDF=Y")</f>
        <v>-4.0079000000000002</v>
      </c>
      <c r="W64" s="14" t="str">
        <f>_xll.BDH("GILD US Equity","CASH_FLOW_TO_FIRM_5_YEAR_GROWTH","FQ4 2023","FQ4 2023","Currency=USD","Period=FQ","BEST_FPERIOD_OVERRIDE=FQ","FILING_STATUS=MR","FA_ADJUSTED=GAAP","Sort=A","Dates=H","DateFormat=P","Fill=—","Direction=H","UseDPDF=Y")</f>
        <v>—</v>
      </c>
      <c r="X64" s="14">
        <f>_xll.BDH("GILD US Equity","CASH_FLOW_TO_FIRM_5_YEAR_GROWTH","FQ1 2024","FQ1 2024","Currency=USD","Period=FQ","BEST_FPERIOD_OVERRIDE=FQ","FILING_STATUS=MR","FA_ADJUSTED=GAAP","Sort=A","Dates=H","DateFormat=P","Fill=—","Direction=H","UseDPDF=Y")</f>
        <v>7.0362</v>
      </c>
      <c r="Y64" s="14" t="str">
        <f>_xll.BDH("GILD US Equity","CASH_FLOW_TO_FIRM_5_YEAR_GROWTH","FQ2 2024","FQ2 2024","Currency=USD","Period=FQ","BEST_FPERIOD_OVERRIDE=FQ","FILING_STATUS=MR","FA_ADJUSTED=GAAP","Sort=A","Dates=H","DateFormat=P","Fill=—","Direction=H","UseDPDF=Y")</f>
        <v>—</v>
      </c>
      <c r="Z64" s="14">
        <f>_xll.BDH("GILD US Equity","CASH_FLOW_TO_FIRM_5_YEAR_GROWTH","FQ3 2024","FQ3 2024","Currency=USD","Period=FQ","BEST_FPERIOD_OVERRIDE=FQ","FILING_STATUS=MR","FA_ADJUSTED=GAAP","Sort=A","Dates=H","DateFormat=P","Fill=—","Direction=H","UseDPDF=Y")</f>
        <v>7.8720999999999997</v>
      </c>
      <c r="AA64" s="14" t="str">
        <f>_xll.BDH("GILD US Equity","CASH_FLOW_TO_FIRM_5_YEAR_GROWTH","FQ4 2024","FQ4 2024","Currency=USD","Period=FQ","BEST_FPERIOD_OVERRIDE=FQ","FILING_STATUS=MR","FA_ADJUSTED=GAAP","Sort=A","Dates=H","DateFormat=P","Fill=—","Direction=H","UseDPDF=Y")</f>
        <v>—</v>
      </c>
    </row>
    <row r="65" spans="1:27" x14ac:dyDescent="0.25">
      <c r="A65" s="10" t="s">
        <v>1397</v>
      </c>
      <c r="B65" s="10" t="s">
        <v>1579</v>
      </c>
      <c r="C65" s="14">
        <f>_xll.BDH("GILD US Equity","FCF_TO_FIRM_5_YEAR_GROWTH","FQ4 2018","FQ4 2018","Currency=USD","Period=FQ","BEST_FPERIOD_OVERRIDE=FQ","FILING_STATUS=MR","FA_ADJUSTED=GAAP","Sort=A","Dates=H","DateFormat=P","Fill=—","Direction=H","UseDPDF=Y")</f>
        <v>24.203199999999999</v>
      </c>
      <c r="D65" s="14">
        <f>_xll.BDH("GILD US Equity","FCF_TO_FIRM_5_YEAR_GROWTH","FQ1 2019","FQ1 2019","Currency=USD","Period=FQ","BEST_FPERIOD_OVERRIDE=FQ","FILING_STATUS=MR","FA_ADJUSTED=GAAP","Sort=A","Dates=H","DateFormat=P","Fill=—","Direction=H","UseDPDF=Y")</f>
        <v>-0.58560000000000001</v>
      </c>
      <c r="E65" s="14">
        <f>_xll.BDH("GILD US Equity","FCF_TO_FIRM_5_YEAR_GROWTH","FQ2 2019","FQ2 2019","Currency=USD","Period=FQ","BEST_FPERIOD_OVERRIDE=FQ","FILING_STATUS=MR","FA_ADJUSTED=GAAP","Sort=A","Dates=H","DateFormat=P","Fill=—","Direction=H","UseDPDF=Y")</f>
        <v>-10.882999999999999</v>
      </c>
      <c r="F65" s="14">
        <f>_xll.BDH("GILD US Equity","FCF_TO_FIRM_5_YEAR_GROWTH","FQ3 2019","FQ3 2019","Currency=USD","Period=FQ","BEST_FPERIOD_OVERRIDE=FQ","FILING_STATUS=MR","FA_ADJUSTED=GAAP","Sort=A","Dates=H","DateFormat=P","Fill=—","Direction=H","UseDPDF=Y")</f>
        <v>-6.4829999999999997</v>
      </c>
      <c r="G65" s="14" t="str">
        <f>_xll.BDH("GILD US Equity","FCF_TO_FIRM_5_YEAR_GROWTH","FQ4 2019","FQ4 2019","Currency=USD","Period=FQ","BEST_FPERIOD_OVERRIDE=FQ","FILING_STATUS=MR","FA_ADJUSTED=GAAP","Sort=A","Dates=H","DateFormat=P","Fill=—","Direction=H","UseDPDF=Y")</f>
        <v>—</v>
      </c>
      <c r="H65" s="14">
        <f>_xll.BDH("GILD US Equity","FCF_TO_FIRM_5_YEAR_GROWTH","FQ1 2020","FQ1 2020","Currency=USD","Period=FQ","BEST_FPERIOD_OVERRIDE=FQ","FILING_STATUS=MR","FA_ADJUSTED=GAAP","Sort=A","Dates=H","DateFormat=P","Fill=—","Direction=H","UseDPDF=Y")</f>
        <v>-23.9589</v>
      </c>
      <c r="I65" s="14" t="str">
        <f>_xll.BDH("GILD US Equity","FCF_TO_FIRM_5_YEAR_GROWTH","FQ2 2020","FQ2 2020","Currency=USD","Period=FQ","BEST_FPERIOD_OVERRIDE=FQ","FILING_STATUS=MR","FA_ADJUSTED=GAAP","Sort=A","Dates=H","DateFormat=P","Fill=—","Direction=H","UseDPDF=Y")</f>
        <v>—</v>
      </c>
      <c r="J65" s="14">
        <f>_xll.BDH("GILD US Equity","FCF_TO_FIRM_5_YEAR_GROWTH","FQ3 2020","FQ3 2020","Currency=USD","Period=FQ","BEST_FPERIOD_OVERRIDE=FQ","FILING_STATUS=MR","FA_ADJUSTED=GAAP","Sort=A","Dates=H","DateFormat=P","Fill=—","Direction=H","UseDPDF=Y")</f>
        <v>-11.0717</v>
      </c>
      <c r="K65" s="14" t="str">
        <f>_xll.BDH("GILD US Equity","FCF_TO_FIRM_5_YEAR_GROWTH","FQ4 2020","FQ4 2020","Currency=USD","Period=FQ","BEST_FPERIOD_OVERRIDE=FQ","FILING_STATUS=MR","FA_ADJUSTED=GAAP","Sort=A","Dates=H","DateFormat=P","Fill=—","Direction=H","UseDPDF=Y")</f>
        <v>—</v>
      </c>
      <c r="L65" s="14">
        <f>_xll.BDH("GILD US Equity","FCF_TO_FIRM_5_YEAR_GROWTH","FQ1 2021","FQ1 2021","Currency=USD","Period=FQ","BEST_FPERIOD_OVERRIDE=FQ","FILING_STATUS=MR","FA_ADJUSTED=GAAP","Sort=A","Dates=H","DateFormat=P","Fill=—","Direction=H","UseDPDF=Y")</f>
        <v>-8.5809999999999995</v>
      </c>
      <c r="M65" s="14" t="str">
        <f>_xll.BDH("GILD US Equity","FCF_TO_FIRM_5_YEAR_GROWTH","FQ2 2021","FQ2 2021","Currency=USD","Period=FQ","BEST_FPERIOD_OVERRIDE=FQ","FILING_STATUS=MR","FA_ADJUSTED=GAAP","Sort=A","Dates=H","DateFormat=P","Fill=—","Direction=H","UseDPDF=Y")</f>
        <v>—</v>
      </c>
      <c r="N65" s="14">
        <f>_xll.BDH("GILD US Equity","FCF_TO_FIRM_5_YEAR_GROWTH","FQ3 2021","FQ3 2021","Currency=USD","Period=FQ","BEST_FPERIOD_OVERRIDE=FQ","FILING_STATUS=MR","FA_ADJUSTED=GAAP","Sort=A","Dates=H","DateFormat=P","Fill=—","Direction=H","UseDPDF=Y")</f>
        <v>-5.5072000000000001</v>
      </c>
      <c r="O65" s="14" t="str">
        <f>_xll.BDH("GILD US Equity","FCF_TO_FIRM_5_YEAR_GROWTH","FQ4 2021","FQ4 2021","Currency=USD","Period=FQ","BEST_FPERIOD_OVERRIDE=FQ","FILING_STATUS=MR","FA_ADJUSTED=GAAP","Sort=A","Dates=H","DateFormat=P","Fill=—","Direction=H","UseDPDF=Y")</f>
        <v>—</v>
      </c>
      <c r="P65" s="14">
        <f>_xll.BDH("GILD US Equity","FCF_TO_FIRM_5_YEAR_GROWTH","FQ1 2022","FQ1 2022","Currency=USD","Period=FQ","BEST_FPERIOD_OVERRIDE=FQ","FILING_STATUS=MR","FA_ADJUSTED=GAAP","Sort=A","Dates=H","DateFormat=P","Fill=—","Direction=H","UseDPDF=Y")</f>
        <v>-9.9712999999999994</v>
      </c>
      <c r="Q65" s="14" t="str">
        <f>_xll.BDH("GILD US Equity","FCF_TO_FIRM_5_YEAR_GROWTH","FQ2 2022","FQ2 2022","Currency=USD","Period=FQ","BEST_FPERIOD_OVERRIDE=FQ","FILING_STATUS=MR","FA_ADJUSTED=GAAP","Sort=A","Dates=H","DateFormat=P","Fill=—","Direction=H","UseDPDF=Y")</f>
        <v>—</v>
      </c>
      <c r="R65" s="14">
        <f>_xll.BDH("GILD US Equity","FCF_TO_FIRM_5_YEAR_GROWTH","FQ3 2022","FQ3 2022","Currency=USD","Period=FQ","BEST_FPERIOD_OVERRIDE=FQ","FILING_STATUS=MR","FA_ADJUSTED=GAAP","Sort=A","Dates=H","DateFormat=P","Fill=—","Direction=H","UseDPDF=Y")</f>
        <v>0.66859999999999997</v>
      </c>
      <c r="S65" s="14" t="str">
        <f>_xll.BDH("GILD US Equity","FCF_TO_FIRM_5_YEAR_GROWTH","FQ4 2022","FQ4 2022","Currency=USD","Period=FQ","BEST_FPERIOD_OVERRIDE=FQ","FILING_STATUS=MR","FA_ADJUSTED=GAAP","Sort=A","Dates=H","DateFormat=P","Fill=—","Direction=H","UseDPDF=Y")</f>
        <v>—</v>
      </c>
      <c r="T65" s="14">
        <f>_xll.BDH("GILD US Equity","FCF_TO_FIRM_5_YEAR_GROWTH","FQ1 2023","FQ1 2023","Currency=USD","Period=FQ","BEST_FPERIOD_OVERRIDE=FQ","FILING_STATUS=MR","FA_ADJUSTED=GAAP","Sort=A","Dates=H","DateFormat=P","Fill=—","Direction=H","UseDPDF=Y")</f>
        <v>-4.5008999999999997</v>
      </c>
      <c r="U65" s="14" t="str">
        <f>_xll.BDH("GILD US Equity","FCF_TO_FIRM_5_YEAR_GROWTH","FQ2 2023","FQ2 2023","Currency=USD","Period=FQ","BEST_FPERIOD_OVERRIDE=FQ","FILING_STATUS=MR","FA_ADJUSTED=GAAP","Sort=A","Dates=H","DateFormat=P","Fill=—","Direction=H","UseDPDF=Y")</f>
        <v>—</v>
      </c>
      <c r="V65" s="14">
        <f>_xll.BDH("GILD US Equity","FCF_TO_FIRM_5_YEAR_GROWTH","FQ3 2023","FQ3 2023","Currency=USD","Period=FQ","BEST_FPERIOD_OVERRIDE=FQ","FILING_STATUS=MR","FA_ADJUSTED=GAAP","Sort=A","Dates=H","DateFormat=P","Fill=—","Direction=H","UseDPDF=Y")</f>
        <v>-3.8609</v>
      </c>
      <c r="W65" s="14" t="str">
        <f>_xll.BDH("GILD US Equity","FCF_TO_FIRM_5_YEAR_GROWTH","FQ4 2023","FQ4 2023","Currency=USD","Period=FQ","BEST_FPERIOD_OVERRIDE=FQ","FILING_STATUS=MR","FA_ADJUSTED=GAAP","Sort=A","Dates=H","DateFormat=P","Fill=—","Direction=H","UseDPDF=Y")</f>
        <v>—</v>
      </c>
      <c r="X65" s="14">
        <f>_xll.BDH("GILD US Equity","FCF_TO_FIRM_5_YEAR_GROWTH","FQ1 2024","FQ1 2024","Currency=USD","Period=FQ","BEST_FPERIOD_OVERRIDE=FQ","FILING_STATUS=MR","FA_ADJUSTED=GAAP","Sort=A","Dates=H","DateFormat=P","Fill=—","Direction=H","UseDPDF=Y")</f>
        <v>9.3780999999999999</v>
      </c>
      <c r="Y65" s="14" t="str">
        <f>_xll.BDH("GILD US Equity","FCF_TO_FIRM_5_YEAR_GROWTH","FQ2 2024","FQ2 2024","Currency=USD","Period=FQ","BEST_FPERIOD_OVERRIDE=FQ","FILING_STATUS=MR","FA_ADJUSTED=GAAP","Sort=A","Dates=H","DateFormat=P","Fill=—","Direction=H","UseDPDF=Y")</f>
        <v>—</v>
      </c>
      <c r="Z65" s="14">
        <f>_xll.BDH("GILD US Equity","FCF_TO_FIRM_5_YEAR_GROWTH","FQ3 2024","FQ3 2024","Currency=USD","Period=FQ","BEST_FPERIOD_OVERRIDE=FQ","FILING_STATUS=MR","FA_ADJUSTED=GAAP","Sort=A","Dates=H","DateFormat=P","Fill=—","Direction=H","UseDPDF=Y")</f>
        <v>8.6426999999999996</v>
      </c>
      <c r="AA65" s="14" t="str">
        <f>_xll.BDH("GILD US Equity","FCF_TO_FIRM_5_YEAR_GROWTH","FQ4 2024","FQ4 2024","Currency=USD","Period=FQ","BEST_FPERIOD_OVERRIDE=FQ","FILING_STATUS=MR","FA_ADJUSTED=GAAP","Sort=A","Dates=H","DateFormat=P","Fill=—","Direction=H","UseDPDF=Y")</f>
        <v>—</v>
      </c>
    </row>
    <row r="66" spans="1:27" x14ac:dyDescent="0.25">
      <c r="A66" s="10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x14ac:dyDescent="0.25">
      <c r="A67" s="6" t="s">
        <v>1580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 x14ac:dyDescent="0.25">
      <c r="A68" s="10" t="s">
        <v>0</v>
      </c>
      <c r="B68" s="10" t="s">
        <v>1581</v>
      </c>
      <c r="C68" s="14">
        <f>_xll.BDH("GILD US Equity","REVENUE_SEQUENTIAL_GROWTH","FQ4 2018","FQ4 2018","Currency=USD","Period=FQ","BEST_FPERIOD_OVERRIDE=FQ","FILING_STATUS=MR","FA_ADJUSTED=GAAP","Sort=A","Dates=H","DateFormat=P","Fill=—","Direction=H","UseDPDF=Y")</f>
        <v>3.5560999999999998</v>
      </c>
      <c r="D68" s="14">
        <f>_xll.BDH("GILD US Equity","REVENUE_SEQUENTIAL_GROWTH","FQ1 2019","FQ1 2019","Currency=USD","Period=FQ","BEST_FPERIOD_OVERRIDE=FQ","FILING_STATUS=MR","FA_ADJUSTED=GAAP","Sort=A","Dates=H","DateFormat=P","Fill=—","Direction=H","UseDPDF=Y")</f>
        <v>-8.8696999999999999</v>
      </c>
      <c r="E68" s="14">
        <f>_xll.BDH("GILD US Equity","REVENUE_SEQUENTIAL_GROWTH","FQ2 2019","FQ2 2019","Currency=USD","Period=FQ","BEST_FPERIOD_OVERRIDE=FQ","FILING_STATUS=MR","FA_ADJUSTED=GAAP","Sort=A","Dates=H","DateFormat=P","Fill=—","Direction=H","UseDPDF=Y")</f>
        <v>7.6501000000000001</v>
      </c>
      <c r="F68" s="14">
        <f>_xll.BDH("GILD US Equity","REVENUE_SEQUENTIAL_GROWTH","FQ3 2019","FQ3 2019","Currency=USD","Period=FQ","BEST_FPERIOD_OVERRIDE=FQ","FILING_STATUS=MR","FA_ADJUSTED=GAAP","Sort=A","Dates=H","DateFormat=P","Fill=—","Direction=H","UseDPDF=Y")</f>
        <v>-1.4248000000000001</v>
      </c>
      <c r="G68" s="14">
        <f>_xll.BDH("GILD US Equity","REVENUE_SEQUENTIAL_GROWTH","FQ4 2019","FQ4 2019","Currency=USD","Period=FQ","BEST_FPERIOD_OVERRIDE=FQ","FILING_STATUS=MR","FA_ADJUSTED=GAAP","Sort=A","Dates=H","DateFormat=P","Fill=—","Direction=H","UseDPDF=Y")</f>
        <v>4.9071999999999996</v>
      </c>
      <c r="H68" s="14">
        <f>_xll.BDH("GILD US Equity","REVENUE_SEQUENTIAL_GROWTH","FQ1 2020","FQ1 2020","Currency=USD","Period=FQ","BEST_FPERIOD_OVERRIDE=FQ","FILING_STATUS=MR","FA_ADJUSTED=GAAP","Sort=A","Dates=H","DateFormat=P","Fill=—","Direction=H","UseDPDF=Y")</f>
        <v>-5.6302000000000003</v>
      </c>
      <c r="I68" s="14">
        <f>_xll.BDH("GILD US Equity","REVENUE_SEQUENTIAL_GROWTH","FQ2 2020","FQ2 2020","Currency=USD","Period=FQ","BEST_FPERIOD_OVERRIDE=FQ","FILING_STATUS=MR","FA_ADJUSTED=GAAP","Sort=A","Dates=H","DateFormat=P","Fill=—","Direction=H","UseDPDF=Y")</f>
        <v>-7.2999000000000001</v>
      </c>
      <c r="J68" s="14">
        <f>_xll.BDH("GILD US Equity","REVENUE_SEQUENTIAL_GROWTH","FQ3 2020","FQ3 2020","Currency=USD","Period=FQ","BEST_FPERIOD_OVERRIDE=FQ","FILING_STATUS=MR","FA_ADJUSTED=GAAP","Sort=A","Dates=H","DateFormat=P","Fill=—","Direction=H","UseDPDF=Y")</f>
        <v>27.8826</v>
      </c>
      <c r="K68" s="14">
        <f>_xll.BDH("GILD US Equity","REVENUE_SEQUENTIAL_GROWTH","FQ4 2020","FQ4 2020","Currency=USD","Period=FQ","BEST_FPERIOD_OVERRIDE=FQ","FILING_STATUS=MR","FA_ADJUSTED=GAAP","Sort=A","Dates=H","DateFormat=P","Fill=—","Direction=H","UseDPDF=Y")</f>
        <v>12.832599999999999</v>
      </c>
      <c r="L68" s="14">
        <f>_xll.BDH("GILD US Equity","REVENUE_SEQUENTIAL_GROWTH","FQ1 2021","FQ1 2021","Currency=USD","Period=FQ","BEST_FPERIOD_OVERRIDE=FQ","FILING_STATUS=MR","FA_ADJUSTED=GAAP","Sort=A","Dates=H","DateFormat=P","Fill=—","Direction=H","UseDPDF=Y")</f>
        <v>-13.4483</v>
      </c>
      <c r="M68" s="14">
        <f>_xll.BDH("GILD US Equity","REVENUE_SEQUENTIAL_GROWTH","FQ2 2021","FQ2 2021","Currency=USD","Period=FQ","BEST_FPERIOD_OVERRIDE=FQ","FILING_STATUS=MR","FA_ADJUSTED=GAAP","Sort=A","Dates=H","DateFormat=P","Fill=—","Direction=H","UseDPDF=Y")</f>
        <v>-3.2071999999999998</v>
      </c>
      <c r="N68" s="14">
        <f>_xll.BDH("GILD US Equity","REVENUE_SEQUENTIAL_GROWTH","FQ3 2021","FQ3 2021","Currency=USD","Period=FQ","BEST_FPERIOD_OVERRIDE=FQ","FILING_STATUS=MR","FA_ADJUSTED=GAAP","Sort=A","Dates=H","DateFormat=P","Fill=—","Direction=H","UseDPDF=Y")</f>
        <v>19.366299999999999</v>
      </c>
      <c r="O68" s="14">
        <f>_xll.BDH("GILD US Equity","REVENUE_SEQUENTIAL_GROWTH","FQ4 2021","FQ4 2021","Currency=USD","Period=FQ","BEST_FPERIOD_OVERRIDE=FQ","FILING_STATUS=MR","FA_ADJUSTED=GAAP","Sort=A","Dates=H","DateFormat=P","Fill=—","Direction=H","UseDPDF=Y")</f>
        <v>-2.3851</v>
      </c>
      <c r="P68" s="14">
        <f>_xll.BDH("GILD US Equity","REVENUE_SEQUENTIAL_GROWTH","FQ1 2022","FQ1 2022","Currency=USD","Period=FQ","BEST_FPERIOD_OVERRIDE=FQ","FILING_STATUS=MR","FA_ADJUSTED=GAAP","Sort=A","Dates=H","DateFormat=P","Fill=—","Direction=H","UseDPDF=Y")</f>
        <v>-9.0282</v>
      </c>
      <c r="Q68" s="14">
        <f>_xll.BDH("GILD US Equity","REVENUE_SEQUENTIAL_GROWTH","FQ2 2022","FQ2 2022","Currency=USD","Period=FQ","BEST_FPERIOD_OVERRIDE=FQ","FILING_STATUS=MR","FA_ADJUSTED=GAAP","Sort=A","Dates=H","DateFormat=P","Fill=—","Direction=H","UseDPDF=Y")</f>
        <v>-5.0076000000000001</v>
      </c>
      <c r="R68" s="14">
        <f>_xll.BDH("GILD US Equity","REVENUE_SEQUENTIAL_GROWTH","FQ3 2022","FQ3 2022","Currency=USD","Period=FQ","BEST_FPERIOD_OVERRIDE=FQ","FILING_STATUS=MR","FA_ADJUSTED=GAAP","Sort=A","Dates=H","DateFormat=P","Fill=—","Direction=H","UseDPDF=Y")</f>
        <v>12.492000000000001</v>
      </c>
      <c r="S68" s="14">
        <f>_xll.BDH("GILD US Equity","REVENUE_SEQUENTIAL_GROWTH","FQ4 2022","FQ4 2022","Currency=USD","Period=FQ","BEST_FPERIOD_OVERRIDE=FQ","FILING_STATUS=MR","FA_ADJUSTED=GAAP","Sort=A","Dates=H","DateFormat=P","Fill=—","Direction=H","UseDPDF=Y")</f>
        <v>4.9276</v>
      </c>
      <c r="T68" s="14">
        <f>_xll.BDH("GILD US Equity","REVENUE_SEQUENTIAL_GROWTH","FQ1 2023","FQ1 2023","Currency=USD","Period=FQ","BEST_FPERIOD_OVERRIDE=FQ","FILING_STATUS=MR","FA_ADJUSTED=GAAP","Sort=A","Dates=H","DateFormat=P","Fill=—","Direction=H","UseDPDF=Y")</f>
        <v>-14.0344</v>
      </c>
      <c r="U68" s="14">
        <f>_xll.BDH("GILD US Equity","REVENUE_SEQUENTIAL_GROWTH","FQ2 2023","FQ2 2023","Currency=USD","Period=FQ","BEST_FPERIOD_OVERRIDE=FQ","FILING_STATUS=MR","FA_ADJUSTED=GAAP","Sort=A","Dates=H","DateFormat=P","Fill=—","Direction=H","UseDPDF=Y")</f>
        <v>3.8885000000000001</v>
      </c>
      <c r="V68" s="14">
        <f>_xll.BDH("GILD US Equity","REVENUE_SEQUENTIAL_GROWTH","FQ3 2023","FQ3 2023","Currency=USD","Period=FQ","BEST_FPERIOD_OVERRIDE=FQ","FILING_STATUS=MR","FA_ADJUSTED=GAAP","Sort=A","Dates=H","DateFormat=P","Fill=—","Direction=H","UseDPDF=Y")</f>
        <v>6.8494999999999999</v>
      </c>
      <c r="W68" s="14">
        <f>_xll.BDH("GILD US Equity","REVENUE_SEQUENTIAL_GROWTH","FQ4 2023","FQ4 2023","Currency=USD","Period=FQ","BEST_FPERIOD_OVERRIDE=FQ","FILING_STATUS=MR","FA_ADJUSTED=GAAP","Sort=A","Dates=H","DateFormat=P","Fill=—","Direction=H","UseDPDF=Y")</f>
        <v>0.90769999999999995</v>
      </c>
      <c r="X68" s="14">
        <f>_xll.BDH("GILD US Equity","REVENUE_SEQUENTIAL_GROWTH","FQ1 2024","FQ1 2024","Currency=USD","Period=FQ","BEST_FPERIOD_OVERRIDE=FQ","FILING_STATUS=MR","FA_ADJUSTED=GAAP","Sort=A","Dates=H","DateFormat=P","Fill=—","Direction=H","UseDPDF=Y")</f>
        <v>-6.0294999999999996</v>
      </c>
      <c r="Y68" s="14">
        <f>_xll.BDH("GILD US Equity","REVENUE_SEQUENTIAL_GROWTH","FQ2 2024","FQ2 2024","Currency=USD","Period=FQ","BEST_FPERIOD_OVERRIDE=FQ","FILING_STATUS=MR","FA_ADJUSTED=GAAP","Sort=A","Dates=H","DateFormat=P","Fill=—","Direction=H","UseDPDF=Y")</f>
        <v>3.9933999999999998</v>
      </c>
      <c r="Z68" s="14">
        <f>_xll.BDH("GILD US Equity","REVENUE_SEQUENTIAL_GROWTH","FQ3 2024","FQ3 2024","Currency=USD","Period=FQ","BEST_FPERIOD_OVERRIDE=FQ","FILING_STATUS=MR","FA_ADJUSTED=GAAP","Sort=A","Dates=H","DateFormat=P","Fill=—","Direction=H","UseDPDF=Y")</f>
        <v>8.5143000000000004</v>
      </c>
      <c r="AA68" s="14">
        <f>_xll.BDH("GILD US Equity","REVENUE_SEQUENTIAL_GROWTH","FQ4 2024","FQ4 2024","Currency=USD","Period=FQ","BEST_FPERIOD_OVERRIDE=FQ","FILING_STATUS=MR","FA_ADJUSTED=GAAP","Sort=A","Dates=H","DateFormat=P","Fill=—","Direction=H","UseDPDF=Y")</f>
        <v>0.31809999999999999</v>
      </c>
    </row>
    <row r="69" spans="1:27" x14ac:dyDescent="0.25">
      <c r="A69" s="10" t="s">
        <v>78</v>
      </c>
      <c r="B69" s="10" t="s">
        <v>1582</v>
      </c>
      <c r="C69" s="14">
        <f>_xll.BDH("GILD US Equity","EBITDA_SEQUENTIAL_GROWTH","FQ4 2018","FQ4 2018","Currency=USD","Period=FQ","BEST_FPERIOD_OVERRIDE=FQ","FILING_STATUS=MR","FA_ADJUSTED=GAAP","Sort=A","Dates=H","DateFormat=P","Fill=—","Direction=H","UseDPDF=Y")</f>
        <v>-49.614199999999997</v>
      </c>
      <c r="D69" s="14">
        <f>_xll.BDH("GILD US Equity","EBITDA_SEQUENTIAL_GROWTH","FQ1 2019","FQ1 2019","Currency=USD","Period=FQ","BEST_FPERIOD_OVERRIDE=FQ","FILING_STATUS=MR","FA_ADJUSTED=GAAP","Sort=A","Dates=H","DateFormat=P","Fill=—","Direction=H","UseDPDF=Y")</f>
        <v>75.233000000000004</v>
      </c>
      <c r="E69" s="14">
        <f>_xll.BDH("GILD US Equity","EBITDA_SEQUENTIAL_GROWTH","FQ2 2019","FQ2 2019","Currency=USD","Period=FQ","BEST_FPERIOD_OVERRIDE=FQ","FILING_STATUS=MR","FA_ADJUSTED=GAAP","Sort=A","Dates=H","DateFormat=P","Fill=—","Direction=H","UseDPDF=Y")</f>
        <v>6.9908999999999999</v>
      </c>
      <c r="F69" s="14">
        <f>_xll.BDH("GILD US Equity","EBITDA_SEQUENTIAL_GROWTH","FQ3 2019","FQ3 2019","Currency=USD","Period=FQ","BEST_FPERIOD_OVERRIDE=FQ","FILING_STATUS=MR","FA_ADJUSTED=GAAP","Sort=A","Dates=H","DateFormat=P","Fill=—","Direction=H","UseDPDF=Y")</f>
        <v>-138.42330000000001</v>
      </c>
      <c r="G69" s="14" t="str">
        <f>_xll.BDH("GILD US Equity","EBITDA_SEQUENTIAL_GROWTH","FQ4 2019","FQ4 2019","Currency=USD","Period=FQ","BEST_FPERIOD_OVERRIDE=FQ","FILING_STATUS=MR","FA_ADJUSTED=GAAP","Sort=A","Dates=H","DateFormat=P","Fill=—","Direction=H","UseDPDF=Y")</f>
        <v>—</v>
      </c>
      <c r="H69" s="14">
        <f>_xll.BDH("GILD US Equity","EBITDA_SEQUENTIAL_GROWTH","FQ1 2020","FQ1 2020","Currency=USD","Period=FQ","BEST_FPERIOD_OVERRIDE=FQ","FILING_STATUS=MR","FA_ADJUSTED=GAAP","Sort=A","Dates=H","DateFormat=P","Fill=—","Direction=H","UseDPDF=Y")</f>
        <v>85.003399999999999</v>
      </c>
      <c r="I69" s="14">
        <f>_xll.BDH("GILD US Equity","EBITDA_SEQUENTIAL_GROWTH","FQ2 2020","FQ2 2020","Currency=USD","Period=FQ","BEST_FPERIOD_OVERRIDE=FQ","FILING_STATUS=MR","FA_ADJUSTED=GAAP","Sort=A","Dates=H","DateFormat=P","Fill=—","Direction=H","UseDPDF=Y")</f>
        <v>-195.74700000000001</v>
      </c>
      <c r="J69" s="14" t="str">
        <f>_xll.BDH("GILD US Equity","EBITDA_SEQUENTIAL_GROWTH","FQ3 2020","FQ3 2020","Currency=USD","Period=FQ","BEST_FPERIOD_OVERRIDE=FQ","FILING_STATUS=MR","FA_ADJUSTED=GAAP","Sort=A","Dates=H","DateFormat=P","Fill=—","Direction=H","UseDPDF=Y")</f>
        <v>—</v>
      </c>
      <c r="K69" s="14">
        <f>_xll.BDH("GILD US Equity","EBITDA_SEQUENTIAL_GROWTH","FQ4 2020","FQ4 2020","Currency=USD","Period=FQ","BEST_FPERIOD_OVERRIDE=FQ","FILING_STATUS=MR","FA_ADJUSTED=GAAP","Sort=A","Dates=H","DateFormat=P","Fill=—","Direction=H","UseDPDF=Y")</f>
        <v>30.645199999999999</v>
      </c>
      <c r="L69" s="14">
        <f>_xll.BDH("GILD US Equity","EBITDA_SEQUENTIAL_GROWTH","FQ1 2021","FQ1 2021","Currency=USD","Period=FQ","BEST_FPERIOD_OVERRIDE=FQ","FILING_STATUS=MR","FA_ADJUSTED=GAAP","Sort=A","Dates=H","DateFormat=P","Fill=—","Direction=H","UseDPDF=Y")</f>
        <v>9.2592999999999996</v>
      </c>
      <c r="M69" s="14">
        <f>_xll.BDH("GILD US Equity","EBITDA_SEQUENTIAL_GROWTH","FQ2 2021","FQ2 2021","Currency=USD","Period=FQ","BEST_FPERIOD_OVERRIDE=FQ","FILING_STATUS=MR","FA_ADJUSTED=GAAP","Sort=A","Dates=H","DateFormat=P","Fill=—","Direction=H","UseDPDF=Y")</f>
        <v>-17.781700000000001</v>
      </c>
      <c r="N69" s="14">
        <f>_xll.BDH("GILD US Equity","EBITDA_SEQUENTIAL_GROWTH","FQ3 2021","FQ3 2021","Currency=USD","Period=FQ","BEST_FPERIOD_OVERRIDE=FQ","FILING_STATUS=MR","FA_ADJUSTED=GAAP","Sort=A","Dates=H","DateFormat=P","Fill=—","Direction=H","UseDPDF=Y")</f>
        <v>57.866199999999999</v>
      </c>
      <c r="O69" s="14">
        <f>_xll.BDH("GILD US Equity","EBITDA_SEQUENTIAL_GROWTH","FQ4 2021","FQ4 2021","Currency=USD","Period=FQ","BEST_FPERIOD_OVERRIDE=FQ","FILING_STATUS=MR","FA_ADJUSTED=GAAP","Sort=A","Dates=H","DateFormat=P","Fill=—","Direction=H","UseDPDF=Y")</f>
        <v>-66.208500000000001</v>
      </c>
      <c r="P69" s="14">
        <f>_xll.BDH("GILD US Equity","EBITDA_SEQUENTIAL_GROWTH","FQ1 2022","FQ1 2022","Currency=USD","Period=FQ","BEST_FPERIOD_OVERRIDE=FQ","FILING_STATUS=MR","FA_ADJUSTED=GAAP","Sort=A","Dates=H","DateFormat=P","Fill=—","Direction=H","UseDPDF=Y")</f>
        <v>-51.050800000000002</v>
      </c>
      <c r="Q69" s="14">
        <f>_xll.BDH("GILD US Equity","EBITDA_SEQUENTIAL_GROWTH","FQ2 2022","FQ2 2022","Currency=USD","Period=FQ","BEST_FPERIOD_OVERRIDE=FQ","FILING_STATUS=MR","FA_ADJUSTED=GAAP","Sort=A","Dates=H","DateFormat=P","Fill=—","Direction=H","UseDPDF=Y")</f>
        <v>253.7396</v>
      </c>
      <c r="R69" s="14">
        <f>_xll.BDH("GILD US Equity","EBITDA_SEQUENTIAL_GROWTH","FQ3 2022","FQ3 2022","Currency=USD","Period=FQ","BEST_FPERIOD_OVERRIDE=FQ","FILING_STATUS=MR","FA_ADJUSTED=GAAP","Sort=A","Dates=H","DateFormat=P","Fill=—","Direction=H","UseDPDF=Y")</f>
        <v>31.636600000000001</v>
      </c>
      <c r="S69" s="14">
        <f>_xll.BDH("GILD US Equity","EBITDA_SEQUENTIAL_GROWTH","FQ4 2022","FQ4 2022","Currency=USD","Period=FQ","BEST_FPERIOD_OVERRIDE=FQ","FILING_STATUS=MR","FA_ADJUSTED=GAAP","Sort=A","Dates=H","DateFormat=P","Fill=—","Direction=H","UseDPDF=Y")</f>
        <v>-16.864999999999998</v>
      </c>
      <c r="T69" s="14">
        <f>_xll.BDH("GILD US Equity","EBITDA_SEQUENTIAL_GROWTH","FQ1 2023","FQ1 2023","Currency=USD","Period=FQ","BEST_FPERIOD_OVERRIDE=FQ","FILING_STATUS=MR","FA_ADJUSTED=GAAP","Sort=A","Dates=H","DateFormat=P","Fill=—","Direction=H","UseDPDF=Y")</f>
        <v>-16.100200000000001</v>
      </c>
      <c r="U69" s="14">
        <f>_xll.BDH("GILD US Equity","EBITDA_SEQUENTIAL_GROWTH","FQ2 2023","FQ2 2023","Currency=USD","Period=FQ","BEST_FPERIOD_OVERRIDE=FQ","FILING_STATUS=MR","FA_ADJUSTED=GAAP","Sort=A","Dates=H","DateFormat=P","Fill=—","Direction=H","UseDPDF=Y")</f>
        <v>4.2599999999999999E-2</v>
      </c>
      <c r="V69" s="14">
        <f>_xll.BDH("GILD US Equity","EBITDA_SEQUENTIAL_GROWTH","FQ3 2023","FQ3 2023","Currency=USD","Period=FQ","BEST_FPERIOD_OVERRIDE=FQ","FILING_STATUS=MR","FA_ADJUSTED=GAAP","Sort=A","Dates=H","DateFormat=P","Fill=—","Direction=H","UseDPDF=Y")</f>
        <v>40.963299999999997</v>
      </c>
      <c r="W69" s="14">
        <f>_xll.BDH("GILD US Equity","EBITDA_SEQUENTIAL_GROWTH","FQ4 2023","FQ4 2023","Currency=USD","Period=FQ","BEST_FPERIOD_OVERRIDE=FQ","FILING_STATUS=MR","FA_ADJUSTED=GAAP","Sort=A","Dates=H","DateFormat=P","Fill=—","Direction=H","UseDPDF=Y")</f>
        <v>-30.450600000000001</v>
      </c>
      <c r="X69" s="14">
        <f>_xll.BDH("GILD US Equity","EBITDA_SEQUENTIAL_GROWTH","FQ1 2024","FQ1 2024","Currency=USD","Period=FQ","BEST_FPERIOD_OVERRIDE=FQ","FILING_STATUS=MR","FA_ADJUSTED=GAAP","Sort=A","Dates=H","DateFormat=P","Fill=—","Direction=H","UseDPDF=Y")</f>
        <v>-257.91300000000001</v>
      </c>
      <c r="Y69" s="14" t="str">
        <f>_xll.BDH("GILD US Equity","EBITDA_SEQUENTIAL_GROWTH","FQ2 2024","FQ2 2024","Currency=USD","Period=FQ","BEST_FPERIOD_OVERRIDE=FQ","FILING_STATUS=MR","FA_ADJUSTED=GAAP","Sort=A","Dates=H","DateFormat=P","Fill=—","Direction=H","UseDPDF=Y")</f>
        <v>—</v>
      </c>
      <c r="Z69" s="14">
        <f>_xll.BDH("GILD US Equity","EBITDA_SEQUENTIAL_GROWTH","FQ3 2024","FQ3 2024","Currency=USD","Period=FQ","BEST_FPERIOD_OVERRIDE=FQ","FILING_STATUS=MR","FA_ADJUSTED=GAAP","Sort=A","Dates=H","DateFormat=P","Fill=—","Direction=H","UseDPDF=Y")</f>
        <v>-52.726199999999999</v>
      </c>
      <c r="AA69" s="14">
        <f>_xll.BDH("GILD US Equity","EBITDA_SEQUENTIAL_GROWTH","FQ4 2024","FQ4 2024","Currency=USD","Period=FQ","BEST_FPERIOD_OVERRIDE=FQ","FILING_STATUS=MR","FA_ADJUSTED=GAAP","Sort=A","Dates=H","DateFormat=P","Fill=—","Direction=H","UseDPDF=Y")</f>
        <v>99.239500000000007</v>
      </c>
    </row>
    <row r="70" spans="1:27" x14ac:dyDescent="0.25">
      <c r="A70" s="10" t="s">
        <v>98</v>
      </c>
      <c r="B70" s="10" t="s">
        <v>1583</v>
      </c>
      <c r="C70" s="14">
        <f>_xll.BDH("GILD US Equity","OPERATING_INCOME_SEQ_GROWTH","FQ4 2018","FQ4 2018","Currency=USD","Period=FQ","BEST_FPERIOD_OVERRIDE=FQ","FILING_STATUS=MR","FA_ADJUSTED=GAAP","Sort=A","Dates=H","DateFormat=P","Fill=—","Direction=H","UseDPDF=Y")</f>
        <v>-56.385800000000003</v>
      </c>
      <c r="D70" s="14">
        <f>_xll.BDH("GILD US Equity","OPERATING_INCOME_SEQ_GROWTH","FQ1 2019","FQ1 2019","Currency=USD","Period=FQ","BEST_FPERIOD_OVERRIDE=FQ","FILING_STATUS=MR","FA_ADJUSTED=GAAP","Sort=A","Dates=H","DateFormat=P","Fill=—","Direction=H","UseDPDF=Y")</f>
        <v>95.542000000000002</v>
      </c>
      <c r="E70" s="14">
        <f>_xll.BDH("GILD US Equity","OPERATING_INCOME_SEQ_GROWTH","FQ2 2019","FQ2 2019","Currency=USD","Period=FQ","BEST_FPERIOD_OVERRIDE=FQ","FILING_STATUS=MR","FA_ADJUSTED=GAAP","Sort=A","Dates=H","DateFormat=P","Fill=—","Direction=H","UseDPDF=Y")</f>
        <v>8.6275999999999993</v>
      </c>
      <c r="F70" s="14">
        <f>_xll.BDH("GILD US Equity","OPERATING_INCOME_SEQ_GROWTH","FQ3 2019","FQ3 2019","Currency=USD","Period=FQ","BEST_FPERIOD_OVERRIDE=FQ","FILING_STATUS=MR","FA_ADJUSTED=GAAP","Sort=A","Dates=H","DateFormat=P","Fill=—","Direction=H","UseDPDF=Y")</f>
        <v>-160.6173</v>
      </c>
      <c r="G70" s="14" t="str">
        <f>_xll.BDH("GILD US Equity","OPERATING_INCOME_SEQ_GROWTH","FQ4 2019","FQ4 2019","Currency=USD","Period=FQ","BEST_FPERIOD_OVERRIDE=FQ","FILING_STATUS=MR","FA_ADJUSTED=GAAP","Sort=A","Dates=H","DateFormat=P","Fill=—","Direction=H","UseDPDF=Y")</f>
        <v>—</v>
      </c>
      <c r="H70" s="14">
        <f>_xll.BDH("GILD US Equity","OPERATING_INCOME_SEQ_GROWTH","FQ1 2020","FQ1 2020","Currency=USD","Period=FQ","BEST_FPERIOD_OVERRIDE=FQ","FILING_STATUS=MR","FA_ADJUSTED=GAAP","Sort=A","Dates=H","DateFormat=P","Fill=—","Direction=H","UseDPDF=Y")</f>
        <v>119.7621</v>
      </c>
      <c r="I70" s="14">
        <f>_xll.BDH("GILD US Equity","OPERATING_INCOME_SEQ_GROWTH","FQ2 2020","FQ2 2020","Currency=USD","Period=FQ","BEST_FPERIOD_OVERRIDE=FQ","FILING_STATUS=MR","FA_ADJUSTED=GAAP","Sort=A","Dates=H","DateFormat=P","Fill=—","Direction=H","UseDPDF=Y")</f>
        <v>-224.18819999999999</v>
      </c>
      <c r="J70" s="14" t="str">
        <f>_xll.BDH("GILD US Equity","OPERATING_INCOME_SEQ_GROWTH","FQ3 2020","FQ3 2020","Currency=USD","Period=FQ","BEST_FPERIOD_OVERRIDE=FQ","FILING_STATUS=MR","FA_ADJUSTED=GAAP","Sort=A","Dates=H","DateFormat=P","Fill=—","Direction=H","UseDPDF=Y")</f>
        <v>—</v>
      </c>
      <c r="K70" s="14">
        <f>_xll.BDH("GILD US Equity","OPERATING_INCOME_SEQ_GROWTH","FQ4 2020","FQ4 2020","Currency=USD","Period=FQ","BEST_FPERIOD_OVERRIDE=FQ","FILING_STATUS=MR","FA_ADJUSTED=GAAP","Sort=A","Dates=H","DateFormat=P","Fill=—","Direction=H","UseDPDF=Y")</f>
        <v>32.483800000000002</v>
      </c>
      <c r="L70" s="14">
        <f>_xll.BDH("GILD US Equity","OPERATING_INCOME_SEQ_GROWTH","FQ1 2021","FQ1 2021","Currency=USD","Period=FQ","BEST_FPERIOD_OVERRIDE=FQ","FILING_STATUS=MR","FA_ADJUSTED=GAAP","Sort=A","Dates=H","DateFormat=P","Fill=—","Direction=H","UseDPDF=Y")</f>
        <v>9.0154999999999994</v>
      </c>
      <c r="M70" s="14">
        <f>_xll.BDH("GILD US Equity","OPERATING_INCOME_SEQ_GROWTH","FQ2 2021","FQ2 2021","Currency=USD","Period=FQ","BEST_FPERIOD_OVERRIDE=FQ","FILING_STATUS=MR","FA_ADJUSTED=GAAP","Sort=A","Dates=H","DateFormat=P","Fill=—","Direction=H","UseDPDF=Y")</f>
        <v>-22.2837</v>
      </c>
      <c r="N70" s="14">
        <f>_xll.BDH("GILD US Equity","OPERATING_INCOME_SEQ_GROWTH","FQ3 2021","FQ3 2021","Currency=USD","Period=FQ","BEST_FPERIOD_OVERRIDE=FQ","FILING_STATUS=MR","FA_ADJUSTED=GAAP","Sort=A","Dates=H","DateFormat=P","Fill=—","Direction=H","UseDPDF=Y")</f>
        <v>71.059700000000007</v>
      </c>
      <c r="O70" s="14">
        <f>_xll.BDH("GILD US Equity","OPERATING_INCOME_SEQ_GROWTH","FQ4 2021","FQ4 2021","Currency=USD","Period=FQ","BEST_FPERIOD_OVERRIDE=FQ","FILING_STATUS=MR","FA_ADJUSTED=GAAP","Sort=A","Dates=H","DateFormat=P","Fill=—","Direction=H","UseDPDF=Y")</f>
        <v>-75.533600000000007</v>
      </c>
      <c r="P70" s="14">
        <f>_xll.BDH("GILD US Equity","OPERATING_INCOME_SEQ_GROWTH","FQ1 2022","FQ1 2022","Currency=USD","Period=FQ","BEST_FPERIOD_OVERRIDE=FQ","FILING_STATUS=MR","FA_ADJUSTED=GAAP","Sort=A","Dates=H","DateFormat=P","Fill=—","Direction=H","UseDPDF=Y")</f>
        <v>-79.042599999999993</v>
      </c>
      <c r="Q70" s="14">
        <f>_xll.BDH("GILD US Equity","OPERATING_INCOME_SEQ_GROWTH","FQ2 2022","FQ2 2022","Currency=USD","Period=FQ","BEST_FPERIOD_OVERRIDE=FQ","FILING_STATUS=MR","FA_ADJUSTED=GAAP","Sort=A","Dates=H","DateFormat=P","Fill=—","Direction=H","UseDPDF=Y")</f>
        <v>929.94920000000002</v>
      </c>
      <c r="R70" s="14">
        <f>_xll.BDH("GILD US Equity","OPERATING_INCOME_SEQ_GROWTH","FQ3 2022","FQ3 2022","Currency=USD","Period=FQ","BEST_FPERIOD_OVERRIDE=FQ","FILING_STATUS=MR","FA_ADJUSTED=GAAP","Sort=A","Dates=H","DateFormat=P","Fill=—","Direction=H","UseDPDF=Y")</f>
        <v>39.822600000000001</v>
      </c>
      <c r="S70" s="14">
        <f>_xll.BDH("GILD US Equity","OPERATING_INCOME_SEQ_GROWTH","FQ4 2022","FQ4 2022","Currency=USD","Period=FQ","BEST_FPERIOD_OVERRIDE=FQ","FILING_STATUS=MR","FA_ADJUSTED=GAAP","Sort=A","Dates=H","DateFormat=P","Fill=—","Direction=H","UseDPDF=Y")</f>
        <v>-20.0916</v>
      </c>
      <c r="T70" s="14">
        <f>_xll.BDH("GILD US Equity","OPERATING_INCOME_SEQ_GROWTH","FQ1 2023","FQ1 2023","Currency=USD","Period=FQ","BEST_FPERIOD_OVERRIDE=FQ","FILING_STATUS=MR","FA_ADJUSTED=GAAP","Sort=A","Dates=H","DateFormat=P","Fill=—","Direction=H","UseDPDF=Y")</f>
        <v>-24.790500000000002</v>
      </c>
      <c r="U70" s="14">
        <f>_xll.BDH("GILD US Equity","OPERATING_INCOME_SEQ_GROWTH","FQ2 2023","FQ2 2023","Currency=USD","Period=FQ","BEST_FPERIOD_OVERRIDE=FQ","FILING_STATUS=MR","FA_ADJUSTED=GAAP","Sort=A","Dates=H","DateFormat=P","Fill=—","Direction=H","UseDPDF=Y")</f>
        <v>-2.3460000000000001</v>
      </c>
      <c r="V70" s="14">
        <f>_xll.BDH("GILD US Equity","OPERATING_INCOME_SEQ_GROWTH","FQ3 2023","FQ3 2023","Currency=USD","Period=FQ","BEST_FPERIOD_OVERRIDE=FQ","FILING_STATUS=MR","FA_ADJUSTED=GAAP","Sort=A","Dates=H","DateFormat=P","Fill=—","Direction=H","UseDPDF=Y")</f>
        <v>57.537500000000001</v>
      </c>
      <c r="W70" s="14">
        <f>_xll.BDH("GILD US Equity","OPERATING_INCOME_SEQ_GROWTH","FQ4 2023","FQ4 2023","Currency=USD","Period=FQ","BEST_FPERIOD_OVERRIDE=FQ","FILING_STATUS=MR","FA_ADJUSTED=GAAP","Sort=A","Dates=H","DateFormat=P","Fill=—","Direction=H","UseDPDF=Y")</f>
        <v>-38.543700000000001</v>
      </c>
      <c r="X70" s="14">
        <f>_xll.BDH("GILD US Equity","OPERATING_INCOME_SEQ_GROWTH","FQ1 2024","FQ1 2024","Currency=USD","Period=FQ","BEST_FPERIOD_OVERRIDE=FQ","FILING_STATUS=MR","FA_ADJUSTED=GAAP","Sort=A","Dates=H","DateFormat=P","Fill=—","Direction=H","UseDPDF=Y")</f>
        <v>-368.11410000000001</v>
      </c>
      <c r="Y70" s="14" t="str">
        <f>_xll.BDH("GILD US Equity","OPERATING_INCOME_SEQ_GROWTH","FQ2 2024","FQ2 2024","Currency=USD","Period=FQ","BEST_FPERIOD_OVERRIDE=FQ","FILING_STATUS=MR","FA_ADJUSTED=GAAP","Sort=A","Dates=H","DateFormat=P","Fill=—","Direction=H","UseDPDF=Y")</f>
        <v>—</v>
      </c>
      <c r="Z70" s="14">
        <f>_xll.BDH("GILD US Equity","OPERATING_INCOME_SEQ_GROWTH","FQ3 2024","FQ3 2024","Currency=USD","Period=FQ","BEST_FPERIOD_OVERRIDE=FQ","FILING_STATUS=MR","FA_ADJUSTED=GAAP","Sort=A","Dates=H","DateFormat=P","Fill=—","Direction=H","UseDPDF=Y")</f>
        <v>-66.414500000000004</v>
      </c>
      <c r="AA70" s="14">
        <f>_xll.BDH("GILD US Equity","OPERATING_INCOME_SEQ_GROWTH","FQ4 2024","FQ4 2024","Currency=USD","Period=FQ","BEST_FPERIOD_OVERRIDE=FQ","FILING_STATUS=MR","FA_ADJUSTED=GAAP","Sort=A","Dates=H","DateFormat=P","Fill=—","Direction=H","UseDPDF=Y")</f>
        <v>176.01349999999999</v>
      </c>
    </row>
    <row r="71" spans="1:27" x14ac:dyDescent="0.25">
      <c r="A71" s="10" t="s">
        <v>100</v>
      </c>
      <c r="B71" s="10" t="s">
        <v>1584</v>
      </c>
      <c r="C71" s="14">
        <f>_xll.BDH("GILD US Equity","NET_INCOME_TO_COMMON_SEQ_GROWTH","FQ4 2018","FQ4 2018","Currency=USD","Period=FQ","BEST_FPERIOD_OVERRIDE=FQ","FILING_STATUS=MR","FA_ADJUSTED=GAAP","Sort=A","Dates=H","DateFormat=P","Fill=—","Direction=H","UseDPDF=Y")</f>
        <v>-99.856899999999996</v>
      </c>
      <c r="D71" s="14">
        <f>_xll.BDH("GILD US Equity","NET_INCOME_TO_COMMON_SEQ_GROWTH","FQ1 2019","FQ1 2019","Currency=USD","Period=FQ","BEST_FPERIOD_OVERRIDE=FQ","FILING_STATUS=MR","FA_ADJUSTED=GAAP","Sort=A","Dates=H","DateFormat=P","Fill=—","Direction=H","UseDPDF=Y")</f>
        <v>65733.333299999998</v>
      </c>
      <c r="E71" s="14">
        <f>_xll.BDH("GILD US Equity","NET_INCOME_TO_COMMON_SEQ_GROWTH","FQ2 2019","FQ2 2019","Currency=USD","Period=FQ","BEST_FPERIOD_OVERRIDE=FQ","FILING_STATUS=MR","FA_ADJUSTED=GAAP","Sort=A","Dates=H","DateFormat=P","Fill=—","Direction=H","UseDPDF=Y")</f>
        <v>-4.8101000000000003</v>
      </c>
      <c r="F71" s="14">
        <f>_xll.BDH("GILD US Equity","NET_INCOME_TO_COMMON_SEQ_GROWTH","FQ3 2019","FQ3 2019","Currency=USD","Period=FQ","BEST_FPERIOD_OVERRIDE=FQ","FILING_STATUS=MR","FA_ADJUSTED=GAAP","Sort=A","Dates=H","DateFormat=P","Fill=—","Direction=H","UseDPDF=Y")</f>
        <v>-161.96809999999999</v>
      </c>
      <c r="G71" s="14" t="str">
        <f>_xll.BDH("GILD US Equity","NET_INCOME_TO_COMMON_SEQ_GROWTH","FQ4 2019","FQ4 2019","Currency=USD","Period=FQ","BEST_FPERIOD_OVERRIDE=FQ","FILING_STATUS=MR","FA_ADJUSTED=GAAP","Sort=A","Dates=H","DateFormat=P","Fill=—","Direction=H","UseDPDF=Y")</f>
        <v>—</v>
      </c>
      <c r="H71" s="14">
        <f>_xll.BDH("GILD US Equity","NET_INCOME_TO_COMMON_SEQ_GROWTH","FQ1 2020","FQ1 2020","Currency=USD","Period=FQ","BEST_FPERIOD_OVERRIDE=FQ","FILING_STATUS=MR","FA_ADJUSTED=GAAP","Sort=A","Dates=H","DateFormat=P","Fill=—","Direction=H","UseDPDF=Y")</f>
        <v>-42.470300000000002</v>
      </c>
      <c r="I71" s="14">
        <f>_xll.BDH("GILD US Equity","NET_INCOME_TO_COMMON_SEQ_GROWTH","FQ2 2020","FQ2 2020","Currency=USD","Period=FQ","BEST_FPERIOD_OVERRIDE=FQ","FILING_STATUS=MR","FA_ADJUSTED=GAAP","Sort=A","Dates=H","DateFormat=P","Fill=—","Direction=H","UseDPDF=Y")</f>
        <v>-315.28050000000002</v>
      </c>
      <c r="J71" s="14" t="str">
        <f>_xll.BDH("GILD US Equity","NET_INCOME_TO_COMMON_SEQ_GROWTH","FQ3 2020","FQ3 2020","Currency=USD","Period=FQ","BEST_FPERIOD_OVERRIDE=FQ","FILING_STATUS=MR","FA_ADJUSTED=GAAP","Sort=A","Dates=H","DateFormat=P","Fill=—","Direction=H","UseDPDF=Y")</f>
        <v>—</v>
      </c>
      <c r="K71" s="14">
        <f>_xll.BDH("GILD US Equity","NET_INCOME_TO_COMMON_SEQ_GROWTH","FQ4 2020","FQ4 2020","Currency=USD","Period=FQ","BEST_FPERIOD_OVERRIDE=FQ","FILING_STATUS=MR","FA_ADJUSTED=GAAP","Sort=A","Dates=H","DateFormat=P","Fill=—","Direction=H","UseDPDF=Y")</f>
        <v>330.83330000000001</v>
      </c>
      <c r="L71" s="14">
        <f>_xll.BDH("GILD US Equity","NET_INCOME_TO_COMMON_SEQ_GROWTH","FQ1 2021","FQ1 2021","Currency=USD","Period=FQ","BEST_FPERIOD_OVERRIDE=FQ","FILING_STATUS=MR","FA_ADJUSTED=GAAP","Sort=A","Dates=H","DateFormat=P","Fill=—","Direction=H","UseDPDF=Y")</f>
        <v>11.4765</v>
      </c>
      <c r="M71" s="14">
        <f>_xll.BDH("GILD US Equity","NET_INCOME_TO_COMMON_SEQ_GROWTH","FQ2 2021","FQ2 2021","Currency=USD","Period=FQ","BEST_FPERIOD_OVERRIDE=FQ","FILING_STATUS=MR","FA_ADJUSTED=GAAP","Sort=A","Dates=H","DateFormat=P","Fill=—","Direction=H","UseDPDF=Y")</f>
        <v>-11.972200000000001</v>
      </c>
      <c r="N71" s="14">
        <f>_xll.BDH("GILD US Equity","NET_INCOME_TO_COMMON_SEQ_GROWTH","FQ3 2021","FQ3 2021","Currency=USD","Period=FQ","BEST_FPERIOD_OVERRIDE=FQ","FILING_STATUS=MR","FA_ADJUSTED=GAAP","Sort=A","Dates=H","DateFormat=P","Fill=—","Direction=H","UseDPDF=Y")</f>
        <v>70.302199999999999</v>
      </c>
      <c r="O71" s="14">
        <f>_xll.BDH("GILD US Equity","NET_INCOME_TO_COMMON_SEQ_GROWTH","FQ4 2021","FQ4 2021","Currency=USD","Period=FQ","BEST_FPERIOD_OVERRIDE=FQ","FILING_STATUS=MR","FA_ADJUSTED=GAAP","Sort=A","Dates=H","DateFormat=P","Fill=—","Direction=H","UseDPDF=Y")</f>
        <v>-85.262299999999996</v>
      </c>
      <c r="P71" s="14">
        <f>_xll.BDH("GILD US Equity","NET_INCOME_TO_COMMON_SEQ_GROWTH","FQ1 2022","FQ1 2022","Currency=USD","Period=FQ","BEST_FPERIOD_OVERRIDE=FQ","FILING_STATUS=MR","FA_ADJUSTED=GAAP","Sort=A","Dates=H","DateFormat=P","Fill=—","Direction=H","UseDPDF=Y")</f>
        <v>-95.026200000000003</v>
      </c>
      <c r="Q71" s="14">
        <f>_xll.BDH("GILD US Equity","NET_INCOME_TO_COMMON_SEQ_GROWTH","FQ2 2022","FQ2 2022","Currency=USD","Period=FQ","BEST_FPERIOD_OVERRIDE=FQ","FILING_STATUS=MR","FA_ADJUSTED=GAAP","Sort=A","Dates=H","DateFormat=P","Fill=—","Direction=H","UseDPDF=Y")</f>
        <v>5921.0526</v>
      </c>
      <c r="R71" s="14">
        <f>_xll.BDH("GILD US Equity","NET_INCOME_TO_COMMON_SEQ_GROWTH","FQ3 2022","FQ3 2022","Currency=USD","Period=FQ","BEST_FPERIOD_OVERRIDE=FQ","FILING_STATUS=MR","FA_ADJUSTED=GAAP","Sort=A","Dates=H","DateFormat=P","Fill=—","Direction=H","UseDPDF=Y")</f>
        <v>56.381100000000004</v>
      </c>
      <c r="S71" s="14">
        <f>_xll.BDH("GILD US Equity","NET_INCOME_TO_COMMON_SEQ_GROWTH","FQ4 2022","FQ4 2022","Currency=USD","Period=FQ","BEST_FPERIOD_OVERRIDE=FQ","FILING_STATUS=MR","FA_ADJUSTED=GAAP","Sort=A","Dates=H","DateFormat=P","Fill=—","Direction=H","UseDPDF=Y")</f>
        <v>-8.3286999999999995</v>
      </c>
      <c r="T71" s="14">
        <f>_xll.BDH("GILD US Equity","NET_INCOME_TO_COMMON_SEQ_GROWTH","FQ1 2023","FQ1 2023","Currency=USD","Period=FQ","BEST_FPERIOD_OVERRIDE=FQ","FILING_STATUS=MR","FA_ADJUSTED=GAAP","Sort=A","Dates=H","DateFormat=P","Fill=—","Direction=H","UseDPDF=Y")</f>
        <v>-38.4146</v>
      </c>
      <c r="U71" s="14">
        <f>_xll.BDH("GILD US Equity","NET_INCOME_TO_COMMON_SEQ_GROWTH","FQ2 2023","FQ2 2023","Currency=USD","Period=FQ","BEST_FPERIOD_OVERRIDE=FQ","FILING_STATUS=MR","FA_ADJUSTED=GAAP","Sort=A","Dates=H","DateFormat=P","Fill=—","Direction=H","UseDPDF=Y")</f>
        <v>3.4653</v>
      </c>
      <c r="V71" s="14">
        <f>_xll.BDH("GILD US Equity","NET_INCOME_TO_COMMON_SEQ_GROWTH","FQ3 2023","FQ3 2023","Currency=USD","Period=FQ","BEST_FPERIOD_OVERRIDE=FQ","FILING_STATUS=MR","FA_ADJUSTED=GAAP","Sort=A","Dates=H","DateFormat=P","Fill=—","Direction=H","UseDPDF=Y")</f>
        <v>108.61239999999999</v>
      </c>
      <c r="W71" s="14">
        <f>_xll.BDH("GILD US Equity","NET_INCOME_TO_COMMON_SEQ_GROWTH","FQ4 2023","FQ4 2023","Currency=USD","Period=FQ","BEST_FPERIOD_OVERRIDE=FQ","FILING_STATUS=MR","FA_ADJUSTED=GAAP","Sort=A","Dates=H","DateFormat=P","Fill=—","Direction=H","UseDPDF=Y")</f>
        <v>-34.4495</v>
      </c>
      <c r="X71" s="14">
        <f>_xll.BDH("GILD US Equity","NET_INCOME_TO_COMMON_SEQ_GROWTH","FQ1 2024","FQ1 2024","Currency=USD","Period=FQ","BEST_FPERIOD_OVERRIDE=FQ","FILING_STATUS=MR","FA_ADJUSTED=GAAP","Sort=A","Dates=H","DateFormat=P","Fill=—","Direction=H","UseDPDF=Y")</f>
        <v>-391.8125</v>
      </c>
      <c r="Y71" s="14" t="str">
        <f>_xll.BDH("GILD US Equity","NET_INCOME_TO_COMMON_SEQ_GROWTH","FQ2 2024","FQ2 2024","Currency=USD","Period=FQ","BEST_FPERIOD_OVERRIDE=FQ","FILING_STATUS=MR","FA_ADJUSTED=GAAP","Sort=A","Dates=H","DateFormat=P","Fill=—","Direction=H","UseDPDF=Y")</f>
        <v>—</v>
      </c>
      <c r="Z71" s="14">
        <f>_xll.BDH("GILD US Equity","NET_INCOME_TO_COMMON_SEQ_GROWTH","FQ3 2024","FQ3 2024","Currency=USD","Period=FQ","BEST_FPERIOD_OVERRIDE=FQ","FILING_STATUS=MR","FA_ADJUSTED=GAAP","Sort=A","Dates=H","DateFormat=P","Fill=—","Direction=H","UseDPDF=Y")</f>
        <v>-22.366800000000001</v>
      </c>
      <c r="AA71" s="14">
        <f>_xll.BDH("GILD US Equity","NET_INCOME_TO_COMMON_SEQ_GROWTH","FQ4 2024","FQ4 2024","Currency=USD","Period=FQ","BEST_FPERIOD_OVERRIDE=FQ","FILING_STATUS=MR","FA_ADJUSTED=GAAP","Sort=A","Dates=H","DateFormat=P","Fill=—","Direction=H","UseDPDF=Y")</f>
        <v>42.298499999999997</v>
      </c>
    </row>
    <row r="72" spans="1:27" x14ac:dyDescent="0.25">
      <c r="A72" s="10" t="s">
        <v>1514</v>
      </c>
      <c r="B72" s="10" t="s">
        <v>1585</v>
      </c>
      <c r="C72" s="14">
        <f>_xll.BDH("GILD US Equity","EPS_DILUTED_SEQUENTIAL_GROWTH","FQ4 2018","FQ4 2018","Currency=USD","Period=FQ","BEST_FPERIOD_OVERRIDE=FQ","FILING_STATUS=MR","FA_ADJUSTED=GAAP","Sort=A","Dates=H","DateFormat=P","Fill=—","Direction=H","UseDPDF=Y")</f>
        <v>-100</v>
      </c>
      <c r="D72" s="14" t="str">
        <f>_xll.BDH("GILD US Equity","EPS_DILUTED_SEQUENTIAL_GROWTH","FQ1 2019","FQ1 2019","Currency=USD","Period=FQ","BEST_FPERIOD_OVERRIDE=FQ","FILING_STATUS=MR","FA_ADJUSTED=GAAP","Sort=A","Dates=H","DateFormat=P","Fill=—","Direction=H","UseDPDF=Y")</f>
        <v>—</v>
      </c>
      <c r="E72" s="14">
        <f>_xll.BDH("GILD US Equity","EPS_DILUTED_SEQUENTIAL_GROWTH","FQ2 2019","FQ2 2019","Currency=USD","Period=FQ","BEST_FPERIOD_OVERRIDE=FQ","FILING_STATUS=MR","FA_ADJUSTED=GAAP","Sort=A","Dates=H","DateFormat=P","Fill=—","Direction=H","UseDPDF=Y")</f>
        <v>-4.5454999999999997</v>
      </c>
      <c r="F72" s="14">
        <f>_xll.BDH("GILD US Equity","EPS_DILUTED_SEQUENTIAL_GROWTH","FQ3 2019","FQ3 2019","Currency=USD","Period=FQ","BEST_FPERIOD_OVERRIDE=FQ","FILING_STATUS=MR","FA_ADJUSTED=GAAP","Sort=A","Dates=H","DateFormat=P","Fill=—","Direction=H","UseDPDF=Y")</f>
        <v>-162.58500000000001</v>
      </c>
      <c r="G72" s="14" t="str">
        <f>_xll.BDH("GILD US Equity","EPS_DILUTED_SEQUENTIAL_GROWTH","FQ4 2019","FQ4 2019","Currency=USD","Period=FQ","BEST_FPERIOD_OVERRIDE=FQ","FILING_STATUS=MR","FA_ADJUSTED=GAAP","Sort=A","Dates=H","DateFormat=P","Fill=—","Direction=H","UseDPDF=Y")</f>
        <v>—</v>
      </c>
      <c r="H72" s="14">
        <f>_xll.BDH("GILD US Equity","EPS_DILUTED_SEQUENTIAL_GROWTH","FQ1 2020","FQ1 2020","Currency=USD","Period=FQ","BEST_FPERIOD_OVERRIDE=FQ","FILING_STATUS=MR","FA_ADJUSTED=GAAP","Sort=A","Dates=H","DateFormat=P","Fill=—","Direction=H","UseDPDF=Y")</f>
        <v>-42.452800000000003</v>
      </c>
      <c r="I72" s="14">
        <f>_xll.BDH("GILD US Equity","EPS_DILUTED_SEQUENTIAL_GROWTH","FQ2 2020","FQ2 2020","Currency=USD","Period=FQ","BEST_FPERIOD_OVERRIDE=FQ","FILING_STATUS=MR","FA_ADJUSTED=GAAP","Sort=A","Dates=H","DateFormat=P","Fill=—","Direction=H","UseDPDF=Y")</f>
        <v>-318.03280000000001</v>
      </c>
      <c r="J72" s="14" t="str">
        <f>_xll.BDH("GILD US Equity","EPS_DILUTED_SEQUENTIAL_GROWTH","FQ3 2020","FQ3 2020","Currency=USD","Period=FQ","BEST_FPERIOD_OVERRIDE=FQ","FILING_STATUS=MR","FA_ADJUSTED=GAAP","Sort=A","Dates=H","DateFormat=P","Fill=—","Direction=H","UseDPDF=Y")</f>
        <v>—</v>
      </c>
      <c r="K72" s="14">
        <f>_xll.BDH("GILD US Equity","EPS_DILUTED_SEQUENTIAL_GROWTH","FQ4 2020","FQ4 2020","Currency=USD","Period=FQ","BEST_FPERIOD_OVERRIDE=FQ","FILING_STATUS=MR","FA_ADJUSTED=GAAP","Sort=A","Dates=H","DateFormat=P","Fill=—","Direction=H","UseDPDF=Y")</f>
        <v>324.1379</v>
      </c>
      <c r="L72" s="14">
        <f>_xll.BDH("GILD US Equity","EPS_DILUTED_SEQUENTIAL_GROWTH","FQ1 2021","FQ1 2021","Currency=USD","Period=FQ","BEST_FPERIOD_OVERRIDE=FQ","FILING_STATUS=MR","FA_ADJUSTED=GAAP","Sort=A","Dates=H","DateFormat=P","Fill=—","Direction=H","UseDPDF=Y")</f>
        <v>11.382099999999999</v>
      </c>
      <c r="M72" s="14">
        <f>_xll.BDH("GILD US Equity","EPS_DILUTED_SEQUENTIAL_GROWTH","FQ2 2021","FQ2 2021","Currency=USD","Period=FQ","BEST_FPERIOD_OVERRIDE=FQ","FILING_STATUS=MR","FA_ADJUSTED=GAAP","Sort=A","Dates=H","DateFormat=P","Fill=—","Direction=H","UseDPDF=Y")</f>
        <v>-11.678800000000001</v>
      </c>
      <c r="N72" s="14">
        <f>_xll.BDH("GILD US Equity","EPS_DILUTED_SEQUENTIAL_GROWTH","FQ3 2021","FQ3 2021","Currency=USD","Period=FQ","BEST_FPERIOD_OVERRIDE=FQ","FILING_STATUS=MR","FA_ADJUSTED=GAAP","Sort=A","Dates=H","DateFormat=P","Fill=—","Direction=H","UseDPDF=Y")</f>
        <v>69.421499999999995</v>
      </c>
      <c r="O72" s="14">
        <f>_xll.BDH("GILD US Equity","EPS_DILUTED_SEQUENTIAL_GROWTH","FQ4 2021","FQ4 2021","Currency=USD","Period=FQ","BEST_FPERIOD_OVERRIDE=FQ","FILING_STATUS=MR","FA_ADJUSTED=GAAP","Sort=A","Dates=H","DateFormat=P","Fill=—","Direction=H","UseDPDF=Y")</f>
        <v>-85.365899999999996</v>
      </c>
      <c r="P72" s="14">
        <f>_xll.BDH("GILD US Equity","EPS_DILUTED_SEQUENTIAL_GROWTH","FQ1 2022","FQ1 2022","Currency=USD","Period=FQ","BEST_FPERIOD_OVERRIDE=FQ","FILING_STATUS=MR","FA_ADJUSTED=GAAP","Sort=A","Dates=H","DateFormat=P","Fill=—","Direction=H","UseDPDF=Y")</f>
        <v>-93.333299999999994</v>
      </c>
      <c r="Q72" s="14">
        <f>_xll.BDH("GILD US Equity","EPS_DILUTED_SEQUENTIAL_GROWTH","FQ2 2022","FQ2 2022","Currency=USD","Period=FQ","BEST_FPERIOD_OVERRIDE=FQ","FILING_STATUS=MR","FA_ADJUSTED=GAAP","Sort=A","Dates=H","DateFormat=P","Fill=—","Direction=H","UseDPDF=Y")</f>
        <v>4450</v>
      </c>
      <c r="R72" s="14">
        <f>_xll.BDH("GILD US Equity","EPS_DILUTED_SEQUENTIAL_GROWTH","FQ3 2022","FQ3 2022","Currency=USD","Period=FQ","BEST_FPERIOD_OVERRIDE=FQ","FILING_STATUS=MR","FA_ADJUSTED=GAAP","Sort=A","Dates=H","DateFormat=P","Fill=—","Direction=H","UseDPDF=Y")</f>
        <v>56.043999999999997</v>
      </c>
      <c r="S72" s="14">
        <f>_xll.BDH("GILD US Equity","EPS_DILUTED_SEQUENTIAL_GROWTH","FQ4 2022","FQ4 2022","Currency=USD","Period=FQ","BEST_FPERIOD_OVERRIDE=FQ","FILING_STATUS=MR","FA_ADJUSTED=GAAP","Sort=A","Dates=H","DateFormat=P","Fill=—","Direction=H","UseDPDF=Y")</f>
        <v>-8.4506999999999994</v>
      </c>
      <c r="T72" s="14">
        <f>_xll.BDH("GILD US Equity","EPS_DILUTED_SEQUENTIAL_GROWTH","FQ1 2023","FQ1 2023","Currency=USD","Period=FQ","BEST_FPERIOD_OVERRIDE=FQ","FILING_STATUS=MR","FA_ADJUSTED=GAAP","Sort=A","Dates=H","DateFormat=P","Fill=—","Direction=H","UseDPDF=Y")</f>
        <v>-38.461500000000001</v>
      </c>
      <c r="U72" s="14">
        <f>_xll.BDH("GILD US Equity","EPS_DILUTED_SEQUENTIAL_GROWTH","FQ2 2023","FQ2 2023","Currency=USD","Period=FQ","BEST_FPERIOD_OVERRIDE=FQ","FILING_STATUS=MR","FA_ADJUSTED=GAAP","Sort=A","Dates=H","DateFormat=P","Fill=—","Direction=H","UseDPDF=Y")</f>
        <v>3.75</v>
      </c>
      <c r="V72" s="14">
        <f>_xll.BDH("GILD US Equity","EPS_DILUTED_SEQUENTIAL_GROWTH","FQ3 2023","FQ3 2023","Currency=USD","Period=FQ","BEST_FPERIOD_OVERRIDE=FQ","FILING_STATUS=MR","FA_ADJUSTED=GAAP","Sort=A","Dates=H","DateFormat=P","Fill=—","Direction=H","UseDPDF=Y")</f>
        <v>108.4337</v>
      </c>
      <c r="W72" s="14">
        <f>_xll.BDH("GILD US Equity","EPS_DILUTED_SEQUENTIAL_GROWTH","FQ4 2023","FQ4 2023","Currency=USD","Period=FQ","BEST_FPERIOD_OVERRIDE=FQ","FILING_STATUS=MR","FA_ADJUSTED=GAAP","Sort=A","Dates=H","DateFormat=P","Fill=—","Direction=H","UseDPDF=Y")</f>
        <v>-34.103999999999999</v>
      </c>
      <c r="X72" s="14">
        <f>_xll.BDH("GILD US Equity","EPS_DILUTED_SEQUENTIAL_GROWTH","FQ1 2024","FQ1 2024","Currency=USD","Period=FQ","BEST_FPERIOD_OVERRIDE=FQ","FILING_STATUS=MR","FA_ADJUSTED=GAAP","Sort=A","Dates=H","DateFormat=P","Fill=—","Direction=H","UseDPDF=Y")</f>
        <v>-392.98250000000002</v>
      </c>
      <c r="Y72" s="14" t="str">
        <f>_xll.BDH("GILD US Equity","EPS_DILUTED_SEQUENTIAL_GROWTH","FQ2 2024","FQ2 2024","Currency=USD","Period=FQ","BEST_FPERIOD_OVERRIDE=FQ","FILING_STATUS=MR","FA_ADJUSTED=GAAP","Sort=A","Dates=H","DateFormat=P","Fill=—","Direction=H","UseDPDF=Y")</f>
        <v>—</v>
      </c>
      <c r="Z72" s="14">
        <f>_xll.BDH("GILD US Equity","EPS_DILUTED_SEQUENTIAL_GROWTH","FQ3 2024","FQ3 2024","Currency=USD","Period=FQ","BEST_FPERIOD_OVERRIDE=FQ","FILING_STATUS=MR","FA_ADJUSTED=GAAP","Sort=A","Dates=H","DateFormat=P","Fill=—","Direction=H","UseDPDF=Y")</f>
        <v>-22.480599999999999</v>
      </c>
      <c r="AA72" s="14">
        <f>_xll.BDH("GILD US Equity","EPS_DILUTED_SEQUENTIAL_GROWTH","FQ4 2024","FQ4 2024","Currency=USD","Period=FQ","BEST_FPERIOD_OVERRIDE=FQ","FILING_STATUS=MR","FA_ADJUSTED=GAAP","Sort=A","Dates=H","DateFormat=P","Fill=—","Direction=H","UseDPDF=Y")</f>
        <v>42</v>
      </c>
    </row>
    <row r="73" spans="1:27" x14ac:dyDescent="0.25">
      <c r="A73" s="10" t="s">
        <v>1515</v>
      </c>
      <c r="B73" s="10" t="s">
        <v>1586</v>
      </c>
      <c r="C73" s="14">
        <f>_xll.BDH("GILD US Equity","EPS_DIL_BEF_EXTRAORD_SEQ_GRWTH","FQ4 2018","FQ4 2018","Currency=USD","Period=FQ","BEST_FPERIOD_OVERRIDE=FQ","FILING_STATUS=MR","Sort=A","Dates=H","DateFormat=P","Fill=—","Direction=H","UseDPDF=Y")</f>
        <v>-100</v>
      </c>
      <c r="D73" s="14" t="str">
        <f>_xll.BDH("GILD US Equity","EPS_DIL_BEF_EXTRAORD_SEQ_GRWTH","FQ1 2019","FQ1 2019","Currency=USD","Period=FQ","BEST_FPERIOD_OVERRIDE=FQ","FILING_STATUS=MR","Sort=A","Dates=H","DateFormat=P","Fill=—","Direction=H","UseDPDF=Y")</f>
        <v>—</v>
      </c>
      <c r="E73" s="14">
        <f>_xll.BDH("GILD US Equity","EPS_DIL_BEF_EXTRAORD_SEQ_GRWTH","FQ2 2019","FQ2 2019","Currency=USD","Period=FQ","BEST_FPERIOD_OVERRIDE=FQ","FILING_STATUS=MR","Sort=A","Dates=H","DateFormat=P","Fill=—","Direction=H","UseDPDF=Y")</f>
        <v>-4.5454999999999997</v>
      </c>
      <c r="F73" s="14">
        <f>_xll.BDH("GILD US Equity","EPS_DIL_BEF_EXTRAORD_SEQ_GRWTH","FQ3 2019","FQ3 2019","Currency=USD","Period=FQ","BEST_FPERIOD_OVERRIDE=FQ","FILING_STATUS=MR","Sort=A","Dates=H","DateFormat=P","Fill=—","Direction=H","UseDPDF=Y")</f>
        <v>-162.58500000000001</v>
      </c>
      <c r="G73" s="14" t="str">
        <f>_xll.BDH("GILD US Equity","EPS_DIL_BEF_EXTRAORD_SEQ_GRWTH","FQ4 2019","FQ4 2019","Currency=USD","Period=FQ","BEST_FPERIOD_OVERRIDE=FQ","FILING_STATUS=MR","Sort=A","Dates=H","DateFormat=P","Fill=—","Direction=H","UseDPDF=Y")</f>
        <v>—</v>
      </c>
      <c r="H73" s="14">
        <f>_xll.BDH("GILD US Equity","EPS_DIL_BEF_EXTRAORD_SEQ_GRWTH","FQ1 2020","FQ1 2020","Currency=USD","Period=FQ","BEST_FPERIOD_OVERRIDE=FQ","FILING_STATUS=MR","Sort=A","Dates=H","DateFormat=P","Fill=—","Direction=H","UseDPDF=Y")</f>
        <v>-42.452800000000003</v>
      </c>
      <c r="I73" s="14">
        <f>_xll.BDH("GILD US Equity","EPS_DIL_BEF_EXTRAORD_SEQ_GRWTH","FQ2 2020","FQ2 2020","Currency=USD","Period=FQ","BEST_FPERIOD_OVERRIDE=FQ","FILING_STATUS=MR","Sort=A","Dates=H","DateFormat=P","Fill=—","Direction=H","UseDPDF=Y")</f>
        <v>-318.03280000000001</v>
      </c>
      <c r="J73" s="14" t="str">
        <f>_xll.BDH("GILD US Equity","EPS_DIL_BEF_EXTRAORD_SEQ_GRWTH","FQ3 2020","FQ3 2020","Currency=USD","Period=FQ","BEST_FPERIOD_OVERRIDE=FQ","FILING_STATUS=MR","Sort=A","Dates=H","DateFormat=P","Fill=—","Direction=H","UseDPDF=Y")</f>
        <v>—</v>
      </c>
      <c r="K73" s="14">
        <f>_xll.BDH("GILD US Equity","EPS_DIL_BEF_EXTRAORD_SEQ_GRWTH","FQ4 2020","FQ4 2020","Currency=USD","Period=FQ","BEST_FPERIOD_OVERRIDE=FQ","FILING_STATUS=MR","Sort=A","Dates=H","DateFormat=P","Fill=—","Direction=H","UseDPDF=Y")</f>
        <v>324.1379</v>
      </c>
      <c r="L73" s="14">
        <f>_xll.BDH("GILD US Equity","EPS_DIL_BEF_EXTRAORD_SEQ_GRWTH","FQ1 2021","FQ1 2021","Currency=USD","Period=FQ","BEST_FPERIOD_OVERRIDE=FQ","FILING_STATUS=MR","Sort=A","Dates=H","DateFormat=P","Fill=—","Direction=H","UseDPDF=Y")</f>
        <v>11.382099999999999</v>
      </c>
      <c r="M73" s="14">
        <f>_xll.BDH("GILD US Equity","EPS_DIL_BEF_EXTRAORD_SEQ_GRWTH","FQ2 2021","FQ2 2021","Currency=USD","Period=FQ","BEST_FPERIOD_OVERRIDE=FQ","FILING_STATUS=MR","Sort=A","Dates=H","DateFormat=P","Fill=—","Direction=H","UseDPDF=Y")</f>
        <v>-11.678800000000001</v>
      </c>
      <c r="N73" s="14">
        <f>_xll.BDH("GILD US Equity","EPS_DIL_BEF_EXTRAORD_SEQ_GRWTH","FQ3 2021","FQ3 2021","Currency=USD","Period=FQ","BEST_FPERIOD_OVERRIDE=FQ","FILING_STATUS=MR","Sort=A","Dates=H","DateFormat=P","Fill=—","Direction=H","UseDPDF=Y")</f>
        <v>69.421499999999995</v>
      </c>
      <c r="O73" s="14">
        <f>_xll.BDH("GILD US Equity","EPS_DIL_BEF_EXTRAORD_SEQ_GRWTH","FQ4 2021","FQ4 2021","Currency=USD","Period=FQ","BEST_FPERIOD_OVERRIDE=FQ","FILING_STATUS=MR","Sort=A","Dates=H","DateFormat=P","Fill=—","Direction=H","UseDPDF=Y")</f>
        <v>-85.365899999999996</v>
      </c>
      <c r="P73" s="14">
        <f>_xll.BDH("GILD US Equity","EPS_DIL_BEF_EXTRAORD_SEQ_GRWTH","FQ1 2022","FQ1 2022","Currency=USD","Period=FQ","BEST_FPERIOD_OVERRIDE=FQ","FILING_STATUS=MR","Sort=A","Dates=H","DateFormat=P","Fill=—","Direction=H","UseDPDF=Y")</f>
        <v>-93.333299999999994</v>
      </c>
      <c r="Q73" s="14">
        <f>_xll.BDH("GILD US Equity","EPS_DIL_BEF_EXTRAORD_SEQ_GRWTH","FQ2 2022","FQ2 2022","Currency=USD","Period=FQ","BEST_FPERIOD_OVERRIDE=FQ","FILING_STATUS=MR","Sort=A","Dates=H","DateFormat=P","Fill=—","Direction=H","UseDPDF=Y")</f>
        <v>4450</v>
      </c>
      <c r="R73" s="14">
        <f>_xll.BDH("GILD US Equity","EPS_DIL_BEF_EXTRAORD_SEQ_GRWTH","FQ3 2022","FQ3 2022","Currency=USD","Period=FQ","BEST_FPERIOD_OVERRIDE=FQ","FILING_STATUS=MR","Sort=A","Dates=H","DateFormat=P","Fill=—","Direction=H","UseDPDF=Y")</f>
        <v>56.043999999999997</v>
      </c>
      <c r="S73" s="14">
        <f>_xll.BDH("GILD US Equity","EPS_DIL_BEF_EXTRAORD_SEQ_GRWTH","FQ4 2022","FQ4 2022","Currency=USD","Period=FQ","BEST_FPERIOD_OVERRIDE=FQ","FILING_STATUS=MR","Sort=A","Dates=H","DateFormat=P","Fill=—","Direction=H","UseDPDF=Y")</f>
        <v>-8.4506999999999994</v>
      </c>
      <c r="T73" s="14">
        <f>_xll.BDH("GILD US Equity","EPS_DIL_BEF_EXTRAORD_SEQ_GRWTH","FQ1 2023","FQ1 2023","Currency=USD","Period=FQ","BEST_FPERIOD_OVERRIDE=FQ","FILING_STATUS=MR","Sort=A","Dates=H","DateFormat=P","Fill=—","Direction=H","UseDPDF=Y")</f>
        <v>-38.461500000000001</v>
      </c>
      <c r="U73" s="14">
        <f>_xll.BDH("GILD US Equity","EPS_DIL_BEF_EXTRAORD_SEQ_GRWTH","FQ2 2023","FQ2 2023","Currency=USD","Period=FQ","BEST_FPERIOD_OVERRIDE=FQ","FILING_STATUS=MR","Sort=A","Dates=H","DateFormat=P","Fill=—","Direction=H","UseDPDF=Y")</f>
        <v>3.75</v>
      </c>
      <c r="V73" s="14">
        <f>_xll.BDH("GILD US Equity","EPS_DIL_BEF_EXTRAORD_SEQ_GRWTH","FQ3 2023","FQ3 2023","Currency=USD","Period=FQ","BEST_FPERIOD_OVERRIDE=FQ","FILING_STATUS=MR","Sort=A","Dates=H","DateFormat=P","Fill=—","Direction=H","UseDPDF=Y")</f>
        <v>108.4337</v>
      </c>
      <c r="W73" s="14">
        <f>_xll.BDH("GILD US Equity","EPS_DIL_BEF_EXTRAORD_SEQ_GRWTH","FQ4 2023","FQ4 2023","Currency=USD","Period=FQ","BEST_FPERIOD_OVERRIDE=FQ","FILING_STATUS=MR","Sort=A","Dates=H","DateFormat=P","Fill=—","Direction=H","UseDPDF=Y")</f>
        <v>-34.103999999999999</v>
      </c>
      <c r="X73" s="14">
        <f>_xll.BDH("GILD US Equity","EPS_DIL_BEF_EXTRAORD_SEQ_GRWTH","FQ1 2024","FQ1 2024","Currency=USD","Period=FQ","BEST_FPERIOD_OVERRIDE=FQ","FILING_STATUS=MR","Sort=A","Dates=H","DateFormat=P","Fill=—","Direction=H","UseDPDF=Y")</f>
        <v>-392.98250000000002</v>
      </c>
      <c r="Y73" s="14" t="str">
        <f>_xll.BDH("GILD US Equity","EPS_DIL_BEF_EXTRAORD_SEQ_GRWTH","FQ2 2024","FQ2 2024","Currency=USD","Period=FQ","BEST_FPERIOD_OVERRIDE=FQ","FILING_STATUS=MR","Sort=A","Dates=H","DateFormat=P","Fill=—","Direction=H","UseDPDF=Y")</f>
        <v>—</v>
      </c>
      <c r="Z73" s="14">
        <f>_xll.BDH("GILD US Equity","EPS_DIL_BEF_EXTRAORD_SEQ_GRWTH","FQ3 2024","FQ3 2024","Currency=USD","Period=FQ","BEST_FPERIOD_OVERRIDE=FQ","FILING_STATUS=MR","Sort=A","Dates=H","DateFormat=P","Fill=—","Direction=H","UseDPDF=Y")</f>
        <v>-22.480599999999999</v>
      </c>
      <c r="AA73" s="14">
        <f>_xll.BDH("GILD US Equity","EPS_DIL_BEF_EXTRAORD_SEQ_GRWTH","FQ4 2024","FQ4 2024","Currency=USD","Period=FQ","BEST_FPERIOD_OVERRIDE=FQ","FILING_STATUS=MR","Sort=A","Dates=H","DateFormat=P","Fill=—","Direction=H","UseDPDF=Y")</f>
        <v>42</v>
      </c>
    </row>
    <row r="74" spans="1:27" x14ac:dyDescent="0.25">
      <c r="A74" s="10" t="s">
        <v>1517</v>
      </c>
      <c r="B74" s="10" t="s">
        <v>1587</v>
      </c>
      <c r="C74" s="14">
        <f>_xll.BDH("GILD US Equity","EPS_DILUTED_BEF_ABNRML_SEQ_GRWTH","FQ4 2018","FQ4 2018","Currency=USD","Period=FQ","BEST_FPERIOD_OVERRIDE=FQ","FILING_STATUS=MR","Sort=A","Dates=H","DateFormat=P","Fill=—","Direction=H","UseDPDF=Y")</f>
        <v>-24.285499999999999</v>
      </c>
      <c r="D74" s="14">
        <f>_xll.BDH("GILD US Equity","EPS_DILUTED_BEF_ABNRML_SEQ_GRWTH","FQ1 2019","FQ1 2019","Currency=USD","Period=FQ","BEST_FPERIOD_OVERRIDE=FQ","FILING_STATUS=MR","Sort=A","Dates=H","DateFormat=P","Fill=—","Direction=H","UseDPDF=Y")</f>
        <v>31.037600000000001</v>
      </c>
      <c r="E74" s="14">
        <f>_xll.BDH("GILD US Equity","EPS_DILUTED_BEF_ABNRML_SEQ_GRWTH","FQ2 2019","FQ2 2019","Currency=USD","Period=FQ","BEST_FPERIOD_OVERRIDE=FQ","FILING_STATUS=MR","Sort=A","Dates=H","DateFormat=P","Fill=—","Direction=H","UseDPDF=Y")</f>
        <v>3.6396000000000002</v>
      </c>
      <c r="F74" s="14">
        <f>_xll.BDH("GILD US Equity","EPS_DILUTED_BEF_ABNRML_SEQ_GRWTH","FQ3 2019","FQ3 2019","Currency=USD","Period=FQ","BEST_FPERIOD_OVERRIDE=FQ","FILING_STATUS=MR","Sort=A","Dates=H","DateFormat=P","Fill=—","Direction=H","UseDPDF=Y")</f>
        <v>-4.2901999999999996</v>
      </c>
      <c r="G74" s="14">
        <f>_xll.BDH("GILD US Equity","EPS_DILUTED_BEF_ABNRML_SEQ_GRWTH","FQ4 2019","FQ4 2019","Currency=USD","Period=FQ","BEST_FPERIOD_OVERRIDE=FQ","FILING_STATUS=MR","Sort=A","Dates=H","DateFormat=P","Fill=—","Direction=H","UseDPDF=Y")</f>
        <v>-37.596899999999998</v>
      </c>
      <c r="H74" s="14">
        <f>_xll.BDH("GILD US Equity","EPS_DILUTED_BEF_ABNRML_SEQ_GRWTH","FQ1 2020","FQ1 2020","Currency=USD","Period=FQ","BEST_FPERIOD_OVERRIDE=FQ","FILING_STATUS=MR","Sort=A","Dates=H","DateFormat=P","Fill=—","Direction=H","UseDPDF=Y")</f>
        <v>85.371300000000005</v>
      </c>
      <c r="I74" s="14">
        <f>_xll.BDH("GILD US Equity","EPS_DILUTED_BEF_ABNRML_SEQ_GRWTH","FQ2 2020","FQ2 2020","Currency=USD","Period=FQ","BEST_FPERIOD_OVERRIDE=FQ","FILING_STATUS=MR","Sort=A","Dates=H","DateFormat=P","Fill=—","Direction=H","UseDPDF=Y")</f>
        <v>-44.322299999999998</v>
      </c>
      <c r="J74" s="14">
        <f>_xll.BDH("GILD US Equity","EPS_DILUTED_BEF_ABNRML_SEQ_GRWTH","FQ3 2020","FQ3 2020","Currency=USD","Period=FQ","BEST_FPERIOD_OVERRIDE=FQ","FILING_STATUS=MR","Sort=A","Dates=H","DateFormat=P","Fill=—","Direction=H","UseDPDF=Y")</f>
        <v>106.2334</v>
      </c>
      <c r="K74" s="14">
        <f>_xll.BDH("GILD US Equity","EPS_DILUTED_BEF_ABNRML_SEQ_GRWTH","FQ4 2020","FQ4 2020","Currency=USD","Period=FQ","BEST_FPERIOD_OVERRIDE=FQ","FILING_STATUS=MR","Sort=A","Dates=H","DateFormat=P","Fill=—","Direction=H","UseDPDF=Y")</f>
        <v>-0.1013</v>
      </c>
      <c r="L74" s="14">
        <f>_xll.BDH("GILD US Equity","EPS_DILUTED_BEF_ABNRML_SEQ_GRWTH","FQ1 2021","FQ1 2021","Currency=USD","Period=FQ","BEST_FPERIOD_OVERRIDE=FQ","FILING_STATUS=MR","Sort=A","Dates=H","DateFormat=P","Fill=—","Direction=H","UseDPDF=Y")</f>
        <v>7.8632999999999997</v>
      </c>
      <c r="M74" s="14">
        <f>_xll.BDH("GILD US Equity","EPS_DILUTED_BEF_ABNRML_SEQ_GRWTH","FQ2 2021","FQ2 2021","Currency=USD","Period=FQ","BEST_FPERIOD_OVERRIDE=FQ","FILING_STATUS=MR","Sort=A","Dates=H","DateFormat=P","Fill=—","Direction=H","UseDPDF=Y")</f>
        <v>-27.2193</v>
      </c>
      <c r="N74" s="14">
        <f>_xll.BDH("GILD US Equity","EPS_DILUTED_BEF_ABNRML_SEQ_GRWTH","FQ3 2021","FQ3 2021","Currency=USD","Period=FQ","BEST_FPERIOD_OVERRIDE=FQ","FILING_STATUS=MR","Sort=A","Dates=H","DateFormat=P","Fill=—","Direction=H","UseDPDF=Y")</f>
        <v>51.9953</v>
      </c>
      <c r="O74" s="14">
        <f>_xll.BDH("GILD US Equity","EPS_DILUTED_BEF_ABNRML_SEQ_GRWTH","FQ4 2021","FQ4 2021","Currency=USD","Period=FQ","BEST_FPERIOD_OVERRIDE=FQ","FILING_STATUS=MR","Sort=A","Dates=H","DateFormat=P","Fill=—","Direction=H","UseDPDF=Y")</f>
        <v>-67.348299999999995</v>
      </c>
      <c r="P74" s="14">
        <f>_xll.BDH("GILD US Equity","EPS_DILUTED_BEF_ABNRML_SEQ_GRWTH","FQ1 2022","FQ1 2022","Currency=USD","Period=FQ","BEST_FPERIOD_OVERRIDE=FQ","FILING_STATUS=MR","Sort=A","Dates=H","DateFormat=P","Fill=—","Direction=H","UseDPDF=Y")</f>
        <v>129.1609</v>
      </c>
      <c r="Q74" s="14">
        <f>_xll.BDH("GILD US Equity","EPS_DILUTED_BEF_ABNRML_SEQ_GRWTH","FQ2 2022","FQ2 2022","Currency=USD","Period=FQ","BEST_FPERIOD_OVERRIDE=FQ","FILING_STATUS=MR","Sort=A","Dates=H","DateFormat=P","Fill=—","Direction=H","UseDPDF=Y")</f>
        <v>-16.8751</v>
      </c>
      <c r="R74" s="14">
        <f>_xll.BDH("GILD US Equity","EPS_DILUTED_BEF_ABNRML_SEQ_GRWTH","FQ3 2022","FQ3 2022","Currency=USD","Period=FQ","BEST_FPERIOD_OVERRIDE=FQ","FILING_STATUS=MR","Sort=A","Dates=H","DateFormat=P","Fill=—","Direction=H","UseDPDF=Y")</f>
        <v>51.973199999999999</v>
      </c>
      <c r="S74" s="14">
        <f>_xll.BDH("GILD US Equity","EPS_DILUTED_BEF_ABNRML_SEQ_GRWTH","FQ4 2022","FQ4 2022","Currency=USD","Period=FQ","BEST_FPERIOD_OVERRIDE=FQ","FILING_STATUS=MR","Sort=A","Dates=H","DateFormat=P","Fill=—","Direction=H","UseDPDF=Y")</f>
        <v>-31.401700000000002</v>
      </c>
      <c r="T74" s="14">
        <f>_xll.BDH("GILD US Equity","EPS_DILUTED_BEF_ABNRML_SEQ_GRWTH","FQ1 2023","FQ1 2023","Currency=USD","Period=FQ","BEST_FPERIOD_OVERRIDE=FQ","FILING_STATUS=MR","Sort=A","Dates=H","DateFormat=P","Fill=—","Direction=H","UseDPDF=Y")</f>
        <v>-10.3926</v>
      </c>
      <c r="U74" s="14">
        <f>_xll.BDH("GILD US Equity","EPS_DILUTED_BEF_ABNRML_SEQ_GRWTH","FQ2 2023","FQ2 2023","Currency=USD","Period=FQ","BEST_FPERIOD_OVERRIDE=FQ","FILING_STATUS=MR","Sort=A","Dates=H","DateFormat=P","Fill=—","Direction=H","UseDPDF=Y")</f>
        <v>-13.530799999999999</v>
      </c>
      <c r="V74" s="14">
        <f>_xll.BDH("GILD US Equity","EPS_DILUTED_BEF_ABNRML_SEQ_GRWTH","FQ3 2023","FQ3 2023","Currency=USD","Period=FQ","BEST_FPERIOD_OVERRIDE=FQ","FILING_STATUS=MR","Sort=A","Dates=H","DateFormat=P","Fill=—","Direction=H","UseDPDF=Y")</f>
        <v>70.780699999999996</v>
      </c>
      <c r="W74" s="14">
        <f>_xll.BDH("GILD US Equity","EPS_DILUTED_BEF_ABNRML_SEQ_GRWTH","FQ4 2023","FQ4 2023","Currency=USD","Period=FQ","BEST_FPERIOD_OVERRIDE=FQ","FILING_STATUS=MR","Sort=A","Dates=H","DateFormat=P","Fill=—","Direction=H","UseDPDF=Y")</f>
        <v>-20.3645</v>
      </c>
      <c r="X74" s="14">
        <f>_xll.BDH("GILD US Equity","EPS_DILUTED_BEF_ABNRML_SEQ_GRWTH","FQ1 2024","FQ1 2024","Currency=USD","Period=FQ","BEST_FPERIOD_OVERRIDE=FQ","FILING_STATUS=MR","Sort=A","Dates=H","DateFormat=P","Fill=—","Direction=H","UseDPDF=Y")</f>
        <v>-40.825000000000003</v>
      </c>
      <c r="Y74" s="14">
        <f>_xll.BDH("GILD US Equity","EPS_DILUTED_BEF_ABNRML_SEQ_GRWTH","FQ2 2024","FQ2 2024","Currency=USD","Period=FQ","BEST_FPERIOD_OVERRIDE=FQ","FILING_STATUS=MR","Sort=A","Dates=H","DateFormat=P","Fill=—","Direction=H","UseDPDF=Y")</f>
        <v>79.435500000000005</v>
      </c>
      <c r="Z74" s="14">
        <f>_xll.BDH("GILD US Equity","EPS_DILUTED_BEF_ABNRML_SEQ_GRWTH","FQ3 2024","FQ3 2024","Currency=USD","Period=FQ","BEST_FPERIOD_OVERRIDE=FQ","FILING_STATUS=MR","Sort=A","Dates=H","DateFormat=P","Fill=—","Direction=H","UseDPDF=Y")</f>
        <v>17.9465</v>
      </c>
      <c r="AA74" s="14">
        <f>_xll.BDH("GILD US Equity","EPS_DILUTED_BEF_ABNRML_SEQ_GRWTH","FQ4 2024","FQ4 2024","Currency=USD","Period=FQ","BEST_FPERIOD_OVERRIDE=FQ","FILING_STATUS=MR","Sort=A","Dates=H","DateFormat=P","Fill=—","Direction=H","UseDPDF=Y")</f>
        <v>-22.311</v>
      </c>
    </row>
    <row r="75" spans="1:27" x14ac:dyDescent="0.25">
      <c r="A75" s="10" t="s">
        <v>1519</v>
      </c>
      <c r="B75" s="10" t="s">
        <v>1588</v>
      </c>
      <c r="C75" s="14">
        <f>_xll.BDH("GILD US Equity","DPS_SEQUENTIAL_GROWTH","FQ4 2018","FQ4 2018","Currency=USD","Period=FQ","BEST_FPERIOD_OVERRIDE=FQ","FILING_STATUS=MR","Sort=A","Dates=H","DateFormat=P","Fill=—","Direction=H","UseDPDF=Y")</f>
        <v>0</v>
      </c>
      <c r="D75" s="14">
        <f>_xll.BDH("GILD US Equity","DPS_SEQUENTIAL_GROWTH","FQ1 2019","FQ1 2019","Currency=USD","Period=FQ","BEST_FPERIOD_OVERRIDE=FQ","FILING_STATUS=MR","Sort=A","Dates=H","DateFormat=P","Fill=—","Direction=H","UseDPDF=Y")</f>
        <v>10.526300000000001</v>
      </c>
      <c r="E75" s="14">
        <f>_xll.BDH("GILD US Equity","DPS_SEQUENTIAL_GROWTH","FQ2 2019","FQ2 2019","Currency=USD","Period=FQ","BEST_FPERIOD_OVERRIDE=FQ","FILING_STATUS=MR","Sort=A","Dates=H","DateFormat=P","Fill=—","Direction=H","UseDPDF=Y")</f>
        <v>0</v>
      </c>
      <c r="F75" s="14">
        <f>_xll.BDH("GILD US Equity","DPS_SEQUENTIAL_GROWTH","FQ3 2019","FQ3 2019","Currency=USD","Period=FQ","BEST_FPERIOD_OVERRIDE=FQ","FILING_STATUS=MR","Sort=A","Dates=H","DateFormat=P","Fill=—","Direction=H","UseDPDF=Y")</f>
        <v>0</v>
      </c>
      <c r="G75" s="14">
        <f>_xll.BDH("GILD US Equity","DPS_SEQUENTIAL_GROWTH","FQ4 2019","FQ4 2019","Currency=USD","Period=FQ","BEST_FPERIOD_OVERRIDE=FQ","FILING_STATUS=MR","Sort=A","Dates=H","DateFormat=P","Fill=—","Direction=H","UseDPDF=Y")</f>
        <v>0</v>
      </c>
      <c r="H75" s="14">
        <f>_xll.BDH("GILD US Equity","DPS_SEQUENTIAL_GROWTH","FQ1 2020","FQ1 2020","Currency=USD","Period=FQ","BEST_FPERIOD_OVERRIDE=FQ","FILING_STATUS=MR","Sort=A","Dates=H","DateFormat=P","Fill=—","Direction=H","UseDPDF=Y")</f>
        <v>7.9364999999999997</v>
      </c>
      <c r="I75" s="14">
        <f>_xll.BDH("GILD US Equity","DPS_SEQUENTIAL_GROWTH","FQ2 2020","FQ2 2020","Currency=USD","Period=FQ","BEST_FPERIOD_OVERRIDE=FQ","FILING_STATUS=MR","Sort=A","Dates=H","DateFormat=P","Fill=—","Direction=H","UseDPDF=Y")</f>
        <v>0</v>
      </c>
      <c r="J75" s="14">
        <f>_xll.BDH("GILD US Equity","DPS_SEQUENTIAL_GROWTH","FQ3 2020","FQ3 2020","Currency=USD","Period=FQ","BEST_FPERIOD_OVERRIDE=FQ","FILING_STATUS=MR","Sort=A","Dates=H","DateFormat=P","Fill=—","Direction=H","UseDPDF=Y")</f>
        <v>0</v>
      </c>
      <c r="K75" s="14">
        <f>_xll.BDH("GILD US Equity","DPS_SEQUENTIAL_GROWTH","FQ4 2020","FQ4 2020","Currency=USD","Period=FQ","BEST_FPERIOD_OVERRIDE=FQ","FILING_STATUS=MR","Sort=A","Dates=H","DateFormat=P","Fill=—","Direction=H","UseDPDF=Y")</f>
        <v>0</v>
      </c>
      <c r="L75" s="14">
        <f>_xll.BDH("GILD US Equity","DPS_SEQUENTIAL_GROWTH","FQ1 2021","FQ1 2021","Currency=USD","Period=FQ","BEST_FPERIOD_OVERRIDE=FQ","FILING_STATUS=MR","Sort=A","Dates=H","DateFormat=P","Fill=—","Direction=H","UseDPDF=Y")</f>
        <v>4.4118000000000004</v>
      </c>
      <c r="M75" s="14">
        <f>_xll.BDH("GILD US Equity","DPS_SEQUENTIAL_GROWTH","FQ2 2021","FQ2 2021","Currency=USD","Period=FQ","BEST_FPERIOD_OVERRIDE=FQ","FILING_STATUS=MR","Sort=A","Dates=H","DateFormat=P","Fill=—","Direction=H","UseDPDF=Y")</f>
        <v>0</v>
      </c>
      <c r="N75" s="14">
        <f>_xll.BDH("GILD US Equity","DPS_SEQUENTIAL_GROWTH","FQ3 2021","FQ3 2021","Currency=USD","Period=FQ","BEST_FPERIOD_OVERRIDE=FQ","FILING_STATUS=MR","Sort=A","Dates=H","DateFormat=P","Fill=—","Direction=H","UseDPDF=Y")</f>
        <v>0</v>
      </c>
      <c r="O75" s="14">
        <f>_xll.BDH("GILD US Equity","DPS_SEQUENTIAL_GROWTH","FQ4 2021","FQ4 2021","Currency=USD","Period=FQ","BEST_FPERIOD_OVERRIDE=FQ","FILING_STATUS=MR","Sort=A","Dates=H","DateFormat=P","Fill=—","Direction=H","UseDPDF=Y")</f>
        <v>0</v>
      </c>
      <c r="P75" s="14">
        <f>_xll.BDH("GILD US Equity","DPS_SEQUENTIAL_GROWTH","FQ1 2022","FQ1 2022","Currency=USD","Period=FQ","BEST_FPERIOD_OVERRIDE=FQ","FILING_STATUS=MR","Sort=A","Dates=H","DateFormat=P","Fill=—","Direction=H","UseDPDF=Y")</f>
        <v>2.8169</v>
      </c>
      <c r="Q75" s="14">
        <f>_xll.BDH("GILD US Equity","DPS_SEQUENTIAL_GROWTH","FQ2 2022","FQ2 2022","Currency=USD","Period=FQ","BEST_FPERIOD_OVERRIDE=FQ","FILING_STATUS=MR","Sort=A","Dates=H","DateFormat=P","Fill=—","Direction=H","UseDPDF=Y")</f>
        <v>0</v>
      </c>
      <c r="R75" s="14">
        <f>_xll.BDH("GILD US Equity","DPS_SEQUENTIAL_GROWTH","FQ3 2022","FQ3 2022","Currency=USD","Period=FQ","BEST_FPERIOD_OVERRIDE=FQ","FILING_STATUS=MR","Sort=A","Dates=H","DateFormat=P","Fill=—","Direction=H","UseDPDF=Y")</f>
        <v>0</v>
      </c>
      <c r="S75" s="14">
        <f>_xll.BDH("GILD US Equity","DPS_SEQUENTIAL_GROWTH","FQ4 2022","FQ4 2022","Currency=USD","Period=FQ","BEST_FPERIOD_OVERRIDE=FQ","FILING_STATUS=MR","Sort=A","Dates=H","DateFormat=P","Fill=—","Direction=H","UseDPDF=Y")</f>
        <v>0</v>
      </c>
      <c r="T75" s="14">
        <f>_xll.BDH("GILD US Equity","DPS_SEQUENTIAL_GROWTH","FQ1 2023","FQ1 2023","Currency=USD","Period=FQ","BEST_FPERIOD_OVERRIDE=FQ","FILING_STATUS=MR","Sort=A","Dates=H","DateFormat=P","Fill=—","Direction=H","UseDPDF=Y")</f>
        <v>2.7397</v>
      </c>
      <c r="U75" s="14">
        <f>_xll.BDH("GILD US Equity","DPS_SEQUENTIAL_GROWTH","FQ2 2023","FQ2 2023","Currency=USD","Period=FQ","BEST_FPERIOD_OVERRIDE=FQ","FILING_STATUS=MR","Sort=A","Dates=H","DateFormat=P","Fill=—","Direction=H","UseDPDF=Y")</f>
        <v>0</v>
      </c>
      <c r="V75" s="14">
        <f>_xll.BDH("GILD US Equity","DPS_SEQUENTIAL_GROWTH","FQ3 2023","FQ3 2023","Currency=USD","Period=FQ","BEST_FPERIOD_OVERRIDE=FQ","FILING_STATUS=MR","Sort=A","Dates=H","DateFormat=P","Fill=—","Direction=H","UseDPDF=Y")</f>
        <v>0</v>
      </c>
      <c r="W75" s="14">
        <f>_xll.BDH("GILD US Equity","DPS_SEQUENTIAL_GROWTH","FQ4 2023","FQ4 2023","Currency=USD","Period=FQ","BEST_FPERIOD_OVERRIDE=FQ","FILING_STATUS=MR","Sort=A","Dates=H","DateFormat=P","Fill=—","Direction=H","UseDPDF=Y")</f>
        <v>0</v>
      </c>
      <c r="X75" s="14">
        <f>_xll.BDH("GILD US Equity","DPS_SEQUENTIAL_GROWTH","FQ1 2024","FQ1 2024","Currency=USD","Period=FQ","BEST_FPERIOD_OVERRIDE=FQ","FILING_STATUS=MR","Sort=A","Dates=H","DateFormat=P","Fill=—","Direction=H","UseDPDF=Y")</f>
        <v>2.6667000000000001</v>
      </c>
      <c r="Y75" s="14">
        <f>_xll.BDH("GILD US Equity","DPS_SEQUENTIAL_GROWTH","FQ2 2024","FQ2 2024","Currency=USD","Period=FQ","BEST_FPERIOD_OVERRIDE=FQ","FILING_STATUS=MR","Sort=A","Dates=H","DateFormat=P","Fill=—","Direction=H","UseDPDF=Y")</f>
        <v>0</v>
      </c>
      <c r="Z75" s="14">
        <f>_xll.BDH("GILD US Equity","DPS_SEQUENTIAL_GROWTH","FQ3 2024","FQ3 2024","Currency=USD","Period=FQ","BEST_FPERIOD_OVERRIDE=FQ","FILING_STATUS=MR","Sort=A","Dates=H","DateFormat=P","Fill=—","Direction=H","UseDPDF=Y")</f>
        <v>0</v>
      </c>
      <c r="AA75" s="14">
        <f>_xll.BDH("GILD US Equity","DPS_SEQUENTIAL_GROWTH","FQ4 2024","FQ4 2024","Currency=USD","Period=FQ","BEST_FPERIOD_OVERRIDE=FQ","FILING_STATUS=MR","Sort=A","Dates=H","DateFormat=P","Fill=—","Direction=H","UseDPDF=Y")</f>
        <v>0</v>
      </c>
    </row>
    <row r="76" spans="1:27" x14ac:dyDescent="0.25">
      <c r="A76" s="10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x14ac:dyDescent="0.25">
      <c r="A77" s="10" t="s">
        <v>1521</v>
      </c>
      <c r="B77" s="10" t="s">
        <v>1589</v>
      </c>
      <c r="C77" s="14">
        <f>_xll.BDH("GILD US Equity","ACCOUNTS_RECEIVABLE_SEQ_GROWTH","FQ4 2018","FQ4 2018","Currency=USD","Period=FQ","BEST_FPERIOD_OVERRIDE=FQ","FILING_STATUS=MR","Sort=A","Dates=H","DateFormat=P","Fill=—","Direction=H","UseDPDF=Y")</f>
        <v>-3.9826999999999999</v>
      </c>
      <c r="D77" s="14">
        <f>_xll.BDH("GILD US Equity","ACCOUNTS_RECEIVABLE_SEQ_GROWTH","FQ1 2019","FQ1 2019","Currency=USD","Period=FQ","BEST_FPERIOD_OVERRIDE=FQ","FILING_STATUS=MR","Sort=A","Dates=H","DateFormat=P","Fill=—","Direction=H","UseDPDF=Y")</f>
        <v>-1.3225</v>
      </c>
      <c r="E77" s="14">
        <f>_xll.BDH("GILD US Equity","ACCOUNTS_RECEIVABLE_SEQ_GROWTH","FQ2 2019","FQ2 2019","Currency=USD","Period=FQ","BEST_FPERIOD_OVERRIDE=FQ","FILING_STATUS=MR","Sort=A","Dates=H","DateFormat=P","Fill=—","Direction=H","UseDPDF=Y")</f>
        <v>3.4420000000000002</v>
      </c>
      <c r="F77" s="14">
        <f>_xll.BDH("GILD US Equity","ACCOUNTS_RECEIVABLE_SEQ_GROWTH","FQ3 2019","FQ3 2019","Currency=USD","Period=FQ","BEST_FPERIOD_OVERRIDE=FQ","FILING_STATUS=MR","Sort=A","Dates=H","DateFormat=P","Fill=—","Direction=H","UseDPDF=Y")</f>
        <v>-2.3852000000000002</v>
      </c>
      <c r="G77" s="14">
        <f>_xll.BDH("GILD US Equity","ACCOUNTS_RECEIVABLE_SEQ_GROWTH","FQ4 2019","FQ4 2019","Currency=USD","Period=FQ","BEST_FPERIOD_OVERRIDE=FQ","FILING_STATUS=MR","Sort=A","Dates=H","DateFormat=P","Fill=—","Direction=H","UseDPDF=Y")</f>
        <v>8.0542999999999996</v>
      </c>
      <c r="H77" s="14">
        <f>_xll.BDH("GILD US Equity","ACCOUNTS_RECEIVABLE_SEQ_GROWTH","FQ1 2020","FQ1 2020","Currency=USD","Period=FQ","BEST_FPERIOD_OVERRIDE=FQ","FILING_STATUS=MR","Sort=A","Dates=H","DateFormat=P","Fill=—","Direction=H","UseDPDF=Y")</f>
        <v>9.0731000000000002</v>
      </c>
      <c r="I77" s="14">
        <f>_xll.BDH("GILD US Equity","ACCOUNTS_RECEIVABLE_SEQ_GROWTH","FQ2 2020","FQ2 2020","Currency=USD","Period=FQ","BEST_FPERIOD_OVERRIDE=FQ","FILING_STATUS=MR","Sort=A","Dates=H","DateFormat=P","Fill=—","Direction=H","UseDPDF=Y")</f>
        <v>-18.249300000000002</v>
      </c>
      <c r="J77" s="14">
        <f>_xll.BDH("GILD US Equity","ACCOUNTS_RECEIVABLE_SEQ_GROWTH","FQ3 2020","FQ3 2020","Currency=USD","Period=FQ","BEST_FPERIOD_OVERRIDE=FQ","FILING_STATUS=MR","Sort=A","Dates=H","DateFormat=P","Fill=—","Direction=H","UseDPDF=Y")</f>
        <v>22.510999999999999</v>
      </c>
      <c r="K77" s="14">
        <f>_xll.BDH("GILD US Equity","ACCOUNTS_RECEIVABLE_SEQ_GROWTH","FQ4 2020","FQ4 2020","Currency=USD","Period=FQ","BEST_FPERIOD_OVERRIDE=FQ","FILING_STATUS=MR","Sort=A","Dates=H","DateFormat=P","Fill=—","Direction=H","UseDPDF=Y")</f>
        <v>25.019200000000001</v>
      </c>
      <c r="L77" s="14">
        <f>_xll.BDH("GILD US Equity","ACCOUNTS_RECEIVABLE_SEQ_GROWTH","FQ1 2021","FQ1 2021","Currency=USD","Period=FQ","BEST_FPERIOD_OVERRIDE=FQ","FILING_STATUS=MR","Sort=A","Dates=H","DateFormat=P","Fill=—","Direction=H","UseDPDF=Y")</f>
        <v>-19.766999999999999</v>
      </c>
      <c r="M77" s="14">
        <f>_xll.BDH("GILD US Equity","ACCOUNTS_RECEIVABLE_SEQ_GROWTH","FQ2 2021","FQ2 2021","Currency=USD","Period=FQ","BEST_FPERIOD_OVERRIDE=FQ","FILING_STATUS=MR","Sort=A","Dates=H","DateFormat=P","Fill=—","Direction=H","UseDPDF=Y")</f>
        <v>5.7069999999999999</v>
      </c>
      <c r="N77" s="14">
        <f>_xll.BDH("GILD US Equity","ACCOUNTS_RECEIVABLE_SEQ_GROWTH","FQ3 2021","FQ3 2021","Currency=USD","Period=FQ","BEST_FPERIOD_OVERRIDE=FQ","FILING_STATUS=MR","Sort=A","Dates=H","DateFormat=P","Fill=—","Direction=H","UseDPDF=Y")</f>
        <v>10.050599999999999</v>
      </c>
      <c r="O77" s="14">
        <f>_xll.BDH("GILD US Equity","ACCOUNTS_RECEIVABLE_SEQ_GROWTH","FQ4 2021","FQ4 2021","Currency=USD","Period=FQ","BEST_FPERIOD_OVERRIDE=FQ","FILING_STATUS=MR","Sort=A","Dates=H","DateFormat=P","Fill=—","Direction=H","UseDPDF=Y")</f>
        <v>-1.5988</v>
      </c>
      <c r="P77" s="14">
        <f>_xll.BDH("GILD US Equity","ACCOUNTS_RECEIVABLE_SEQ_GROWTH","FQ1 2022","FQ1 2022","Currency=USD","Period=FQ","BEST_FPERIOD_OVERRIDE=FQ","FILING_STATUS=MR","Sort=A","Dates=H","DateFormat=P","Fill=—","Direction=H","UseDPDF=Y")</f>
        <v>-15.7133</v>
      </c>
      <c r="Q77" s="14">
        <f>_xll.BDH("GILD US Equity","ACCOUNTS_RECEIVABLE_SEQ_GROWTH","FQ2 2022","FQ2 2022","Currency=USD","Period=FQ","BEST_FPERIOD_OVERRIDE=FQ","FILING_STATUS=MR","Sort=A","Dates=H","DateFormat=P","Fill=—","Direction=H","UseDPDF=Y")</f>
        <v>8.7403999999999993</v>
      </c>
      <c r="R77" s="14">
        <f>_xll.BDH("GILD US Equity","ACCOUNTS_RECEIVABLE_SEQ_GROWTH","FQ3 2022","FQ3 2022","Currency=USD","Period=FQ","BEST_FPERIOD_OVERRIDE=FQ","FILING_STATUS=MR","Sort=A","Dates=H","DateFormat=P","Fill=—","Direction=H","UseDPDF=Y")</f>
        <v>5.7309000000000001</v>
      </c>
      <c r="S77" s="14">
        <f>_xll.BDH("GILD US Equity","ACCOUNTS_RECEIVABLE_SEQ_GROWTH","FQ4 2022","FQ4 2022","Currency=USD","Period=FQ","BEST_FPERIOD_OVERRIDE=FQ","FILING_STATUS=MR","Sort=A","Dates=H","DateFormat=P","Fill=—","Direction=H","UseDPDF=Y")</f>
        <v>9.7151999999999994</v>
      </c>
      <c r="T77" s="14">
        <f>_xll.BDH("GILD US Equity","ACCOUNTS_RECEIVABLE_SEQ_GROWTH","FQ1 2023","FQ1 2023","Currency=USD","Period=FQ","BEST_FPERIOD_OVERRIDE=FQ","FILING_STATUS=MR","Sort=A","Dates=H","DateFormat=P","Fill=—","Direction=H","UseDPDF=Y")</f>
        <v>-12.8742</v>
      </c>
      <c r="U77" s="14">
        <f>_xll.BDH("GILD US Equity","ACCOUNTS_RECEIVABLE_SEQ_GROWTH","FQ2 2023","FQ2 2023","Currency=USD","Period=FQ","BEST_FPERIOD_OVERRIDE=FQ","FILING_STATUS=MR","Sort=A","Dates=H","DateFormat=P","Fill=—","Direction=H","UseDPDF=Y")</f>
        <v>1.6097999999999999</v>
      </c>
      <c r="V77" s="14">
        <f>_xll.BDH("GILD US Equity","ACCOUNTS_RECEIVABLE_SEQ_GROWTH","FQ3 2023","FQ3 2023","Currency=USD","Period=FQ","BEST_FPERIOD_OVERRIDE=FQ","FILING_STATUS=MR","Sort=A","Dates=H","DateFormat=P","Fill=—","Direction=H","UseDPDF=Y")</f>
        <v>13.265499999999999</v>
      </c>
      <c r="W77" s="14">
        <f>_xll.BDH("GILD US Equity","ACCOUNTS_RECEIVABLE_SEQ_GROWTH","FQ4 2023","FQ4 2023","Currency=USD","Period=FQ","BEST_FPERIOD_OVERRIDE=FQ","FILING_STATUS=MR","Sort=A","Dates=H","DateFormat=P","Fill=—","Direction=H","UseDPDF=Y")</f>
        <v>-2.714</v>
      </c>
      <c r="X77" s="14">
        <f>_xll.BDH("GILD US Equity","ACCOUNTS_RECEIVABLE_SEQ_GROWTH","FQ1 2024","FQ1 2024","Currency=USD","Period=FQ","BEST_FPERIOD_OVERRIDE=FQ","FILING_STATUS=MR","Sort=A","Dates=H","DateFormat=P","Fill=—","Direction=H","UseDPDF=Y")</f>
        <v>0.19309999999999999</v>
      </c>
      <c r="Y77" s="14">
        <f>_xll.BDH("GILD US Equity","ACCOUNTS_RECEIVABLE_SEQ_GROWTH","FQ2 2024","FQ2 2024","Currency=USD","Period=FQ","BEST_FPERIOD_OVERRIDE=FQ","FILING_STATUS=MR","Sort=A","Dates=H","DateFormat=P","Fill=—","Direction=H","UseDPDF=Y")</f>
        <v>-0.1285</v>
      </c>
      <c r="Z77" s="14">
        <f>_xll.BDH("GILD US Equity","ACCOUNTS_RECEIVABLE_SEQ_GROWTH","FQ3 2024","FQ3 2024","Currency=USD","Period=FQ","BEST_FPERIOD_OVERRIDE=FQ","FILING_STATUS=MR","Sort=A","Dates=H","DateFormat=P","Fill=—","Direction=H","UseDPDF=Y")</f>
        <v>-1.6298999999999999</v>
      </c>
      <c r="AA77" s="14">
        <f>_xll.BDH("GILD US Equity","ACCOUNTS_RECEIVABLE_SEQ_GROWTH","FQ4 2024","FQ4 2024","Currency=USD","Period=FQ","BEST_FPERIOD_OVERRIDE=FQ","FILING_STATUS=MR","Sort=A","Dates=H","DateFormat=P","Fill=—","Direction=H","UseDPDF=Y")</f>
        <v>-3.6406999999999998</v>
      </c>
    </row>
    <row r="78" spans="1:27" x14ac:dyDescent="0.25">
      <c r="A78" s="10" t="s">
        <v>1523</v>
      </c>
      <c r="B78" s="10" t="s">
        <v>1590</v>
      </c>
      <c r="C78" s="14">
        <f>_xll.BDH("GILD US Equity","INVENTORY_SEQUENTIAL_GROWTH","FQ4 2018","FQ4 2018","Currency=USD","Period=FQ","BEST_FPERIOD_OVERRIDE=FQ","FILING_STATUS=MR","Sort=A","Dates=H","DateFormat=P","Fill=—","Direction=H","UseDPDF=Y")</f>
        <v>-0.24510000000000001</v>
      </c>
      <c r="D78" s="14">
        <f>_xll.BDH("GILD US Equity","INVENTORY_SEQUENTIAL_GROWTH","FQ1 2019","FQ1 2019","Currency=USD","Period=FQ","BEST_FPERIOD_OVERRIDE=FQ","FILING_STATUS=MR","Sort=A","Dates=H","DateFormat=P","Fill=—","Direction=H","UseDPDF=Y")</f>
        <v>10.3194</v>
      </c>
      <c r="E78" s="14">
        <f>_xll.BDH("GILD US Equity","INVENTORY_SEQUENTIAL_GROWTH","FQ2 2019","FQ2 2019","Currency=USD","Period=FQ","BEST_FPERIOD_OVERRIDE=FQ","FILING_STATUS=MR","Sort=A","Dates=H","DateFormat=P","Fill=—","Direction=H","UseDPDF=Y")</f>
        <v>-1.5589999999999999</v>
      </c>
      <c r="F78" s="14">
        <f>_xll.BDH("GILD US Equity","INVENTORY_SEQUENTIAL_GROWTH","FQ3 2019","FQ3 2019","Currency=USD","Period=FQ","BEST_FPERIOD_OVERRIDE=FQ","FILING_STATUS=MR","Sort=A","Dates=H","DateFormat=P","Fill=—","Direction=H","UseDPDF=Y")</f>
        <v>-0.22620000000000001</v>
      </c>
      <c r="G78" s="14">
        <f>_xll.BDH("GILD US Equity","INVENTORY_SEQUENTIAL_GROWTH","FQ4 2019","FQ4 2019","Currency=USD","Period=FQ","BEST_FPERIOD_OVERRIDE=FQ","FILING_STATUS=MR","Sort=A","Dates=H","DateFormat=P","Fill=—","Direction=H","UseDPDF=Y")</f>
        <v>4.5350999999999999</v>
      </c>
      <c r="H78" s="14">
        <f>_xll.BDH("GILD US Equity","INVENTORY_SEQUENTIAL_GROWTH","FQ1 2020","FQ1 2020","Currency=USD","Period=FQ","BEST_FPERIOD_OVERRIDE=FQ","FILING_STATUS=MR","Sort=A","Dates=H","DateFormat=P","Fill=—","Direction=H","UseDPDF=Y")</f>
        <v>6.9413999999999998</v>
      </c>
      <c r="I78" s="14">
        <f>_xll.BDH("GILD US Equity","INVENTORY_SEQUENTIAL_GROWTH","FQ2 2020","FQ2 2020","Currency=USD","Period=FQ","BEST_FPERIOD_OVERRIDE=FQ","FILING_STATUS=MR","Sort=A","Dates=H","DateFormat=P","Fill=—","Direction=H","UseDPDF=Y")</f>
        <v>6.6936999999999998</v>
      </c>
      <c r="J78" s="14">
        <f>_xll.BDH("GILD US Equity","INVENTORY_SEQUENTIAL_GROWTH","FQ3 2020","FQ3 2020","Currency=USD","Period=FQ","BEST_FPERIOD_OVERRIDE=FQ","FILING_STATUS=MR","Sort=A","Dates=H","DateFormat=P","Fill=—","Direction=H","UseDPDF=Y")</f>
        <v>-4.1825000000000001</v>
      </c>
      <c r="K78" s="14">
        <f>_xll.BDH("GILD US Equity","INVENTORY_SEQUENTIAL_GROWTH","FQ4 2020","FQ4 2020","Currency=USD","Period=FQ","BEST_FPERIOD_OVERRIDE=FQ","FILING_STATUS=MR","Sort=A","Dates=H","DateFormat=P","Fill=—","Direction=H","UseDPDF=Y")</f>
        <v>66.964299999999994</v>
      </c>
      <c r="L78" s="14">
        <f>_xll.BDH("GILD US Equity","INVENTORY_SEQUENTIAL_GROWTH","FQ1 2021","FQ1 2021","Currency=USD","Period=FQ","BEST_FPERIOD_OVERRIDE=FQ","FILING_STATUS=MR","Sort=A","Dates=H","DateFormat=P","Fill=—","Direction=H","UseDPDF=Y")</f>
        <v>5.7041000000000004</v>
      </c>
      <c r="M78" s="14">
        <f>_xll.BDH("GILD US Equity","INVENTORY_SEQUENTIAL_GROWTH","FQ2 2021","FQ2 2021","Currency=USD","Period=FQ","BEST_FPERIOD_OVERRIDE=FQ","FILING_STATUS=MR","Sort=A","Dates=H","DateFormat=P","Fill=—","Direction=H","UseDPDF=Y")</f>
        <v>-0.39350000000000002</v>
      </c>
      <c r="N78" s="14">
        <f>_xll.BDH("GILD US Equity","INVENTORY_SEQUENTIAL_GROWTH","FQ3 2021","FQ3 2021","Currency=USD","Period=FQ","BEST_FPERIOD_OVERRIDE=FQ","FILING_STATUS=MR","Sort=A","Dates=H","DateFormat=P","Fill=—","Direction=H","UseDPDF=Y")</f>
        <v>-5.4176000000000002</v>
      </c>
      <c r="O78" s="14">
        <f>_xll.BDH("GILD US Equity","INVENTORY_SEQUENTIAL_GROWTH","FQ4 2021","FQ4 2021","Currency=USD","Period=FQ","BEST_FPERIOD_OVERRIDE=FQ","FILING_STATUS=MR","Sort=A","Dates=H","DateFormat=P","Fill=—","Direction=H","UseDPDF=Y")</f>
        <v>-3.4605999999999999</v>
      </c>
      <c r="P78" s="14">
        <f>_xll.BDH("GILD US Equity","INVENTORY_SEQUENTIAL_GROWTH","FQ1 2022","FQ1 2022","Currency=USD","Period=FQ","BEST_FPERIOD_OVERRIDE=FQ","FILING_STATUS=MR","Sort=A","Dates=H","DateFormat=P","Fill=—","Direction=H","UseDPDF=Y")</f>
        <v>-8.4054000000000002</v>
      </c>
      <c r="Q78" s="14">
        <f>_xll.BDH("GILD US Equity","INVENTORY_SEQUENTIAL_GROWTH","FQ2 2022","FQ2 2022","Currency=USD","Period=FQ","BEST_FPERIOD_OVERRIDE=FQ","FILING_STATUS=MR","Sort=A","Dates=H","DateFormat=P","Fill=—","Direction=H","UseDPDF=Y")</f>
        <v>0.74219999999999997</v>
      </c>
      <c r="R78" s="14">
        <f>_xll.BDH("GILD US Equity","INVENTORY_SEQUENTIAL_GROWTH","FQ3 2022","FQ3 2022","Currency=USD","Period=FQ","BEST_FPERIOD_OVERRIDE=FQ","FILING_STATUS=MR","Sort=A","Dates=H","DateFormat=P","Fill=—","Direction=H","UseDPDF=Y")</f>
        <v>-2.0093999999999999</v>
      </c>
      <c r="S78" s="14">
        <f>_xll.BDH("GILD US Equity","INVENTORY_SEQUENTIAL_GROWTH","FQ4 2022","FQ4 2022","Currency=USD","Period=FQ","BEST_FPERIOD_OVERRIDE=FQ","FILING_STATUS=MR","Sort=A","Dates=H","DateFormat=P","Fill=—","Direction=H","UseDPDF=Y")</f>
        <v>3.0074999999999998</v>
      </c>
      <c r="T78" s="14">
        <f>_xll.BDH("GILD US Equity","INVENTORY_SEQUENTIAL_GROWTH","FQ1 2023","FQ1 2023","Currency=USD","Period=FQ","BEST_FPERIOD_OVERRIDE=FQ","FILING_STATUS=MR","Sort=A","Dates=H","DateFormat=P","Fill=—","Direction=H","UseDPDF=Y")</f>
        <v>4.5785999999999998</v>
      </c>
      <c r="U78" s="14">
        <f>_xll.BDH("GILD US Equity","INVENTORY_SEQUENTIAL_GROWTH","FQ2 2023","FQ2 2023","Currency=USD","Period=FQ","BEST_FPERIOD_OVERRIDE=FQ","FILING_STATUS=MR","Sort=A","Dates=H","DateFormat=P","Fill=—","Direction=H","UseDPDF=Y")</f>
        <v>3.6168</v>
      </c>
      <c r="V78" s="14">
        <f>_xll.BDH("GILD US Equity","INVENTORY_SEQUENTIAL_GROWTH","FQ3 2023","FQ3 2023","Currency=USD","Period=FQ","BEST_FPERIOD_OVERRIDE=FQ","FILING_STATUS=MR","Sort=A","Dates=H","DateFormat=P","Fill=—","Direction=H","UseDPDF=Y")</f>
        <v>1.8983000000000001</v>
      </c>
      <c r="W78" s="14">
        <f>_xll.BDH("GILD US Equity","INVENTORY_SEQUENTIAL_GROWTH","FQ4 2023","FQ4 2023","Currency=USD","Period=FQ","BEST_FPERIOD_OVERRIDE=FQ","FILING_STATUS=MR","Sort=A","Dates=H","DateFormat=P","Fill=—","Direction=H","UseDPDF=Y")</f>
        <v>7.3917999999999999</v>
      </c>
      <c r="X78" s="14">
        <f>_xll.BDH("GILD US Equity","INVENTORY_SEQUENTIAL_GROWTH","FQ1 2024","FQ1 2024","Currency=USD","Period=FQ","BEST_FPERIOD_OVERRIDE=FQ","FILING_STATUS=MR","Sort=A","Dates=H","DateFormat=P","Fill=—","Direction=H","UseDPDF=Y")</f>
        <v>3.6932999999999998</v>
      </c>
      <c r="Y78" s="14">
        <f>_xll.BDH("GILD US Equity","INVENTORY_SEQUENTIAL_GROWTH","FQ2 2024","FQ2 2024","Currency=USD","Period=FQ","BEST_FPERIOD_OVERRIDE=FQ","FILING_STATUS=MR","Sort=A","Dates=H","DateFormat=P","Fill=—","Direction=H","UseDPDF=Y")</f>
        <v>9.3361999999999998</v>
      </c>
      <c r="Z78" s="14">
        <f>_xll.BDH("GILD US Equity","INVENTORY_SEQUENTIAL_GROWTH","FQ3 2024","FQ3 2024","Currency=USD","Period=FQ","BEST_FPERIOD_OVERRIDE=FQ","FILING_STATUS=MR","Sort=A","Dates=H","DateFormat=P","Fill=—","Direction=H","UseDPDF=Y")</f>
        <v>-7.7492999999999999</v>
      </c>
      <c r="AA78" s="14">
        <f>_xll.BDH("GILD US Equity","INVENTORY_SEQUENTIAL_GROWTH","FQ4 2024","FQ4 2024","Currency=USD","Period=FQ","BEST_FPERIOD_OVERRIDE=FQ","FILING_STATUS=MR","Sort=A","Dates=H","DateFormat=P","Fill=—","Direction=H","UseDPDF=Y")</f>
        <v>-8.5071999999999992</v>
      </c>
    </row>
    <row r="79" spans="1:27" x14ac:dyDescent="0.25">
      <c r="A79" s="10" t="s">
        <v>1525</v>
      </c>
      <c r="B79" s="10" t="s">
        <v>1591</v>
      </c>
      <c r="C79" s="14">
        <f>_xll.BDH("GILD US Equity","FIXED_ASSETS_SEQUENTIAL_GROWTH","FQ4 2018","FQ4 2018","Currency=USD","Period=FQ","BEST_FPERIOD_OVERRIDE=FQ","FILING_STATUS=MR","Sort=A","Dates=H","DateFormat=P","Fill=—","Direction=H","UseDPDF=Y")</f>
        <v>5.6712999999999996</v>
      </c>
      <c r="D79" s="14">
        <f>_xll.BDH("GILD US Equity","FIXED_ASSETS_SEQUENTIAL_GROWTH","FQ1 2019","FQ1 2019","Currency=USD","Period=FQ","BEST_FPERIOD_OVERRIDE=FQ","FILING_STATUS=MR","Sort=A","Dates=H","DateFormat=P","Fill=—","Direction=H","UseDPDF=Y")</f>
        <v>14.1038</v>
      </c>
      <c r="E79" s="14">
        <f>_xll.BDH("GILD US Equity","FIXED_ASSETS_SEQUENTIAL_GROWTH","FQ2 2019","FQ2 2019","Currency=USD","Period=FQ","BEST_FPERIOD_OVERRIDE=FQ","FILING_STATUS=MR","Sort=A","Dates=H","DateFormat=P","Fill=—","Direction=H","UseDPDF=Y")</f>
        <v>3.9815999999999998</v>
      </c>
      <c r="F79" s="14">
        <f>_xll.BDH("GILD US Equity","FIXED_ASSETS_SEQUENTIAL_GROWTH","FQ3 2019","FQ3 2019","Currency=USD","Period=FQ","BEST_FPERIOD_OVERRIDE=FQ","FILING_STATUS=MR","Sort=A","Dates=H","DateFormat=P","Fill=—","Direction=H","UseDPDF=Y")</f>
        <v>5.9752000000000001</v>
      </c>
      <c r="G79" s="14">
        <f>_xll.BDH("GILD US Equity","FIXED_ASSETS_SEQUENTIAL_GROWTH","FQ4 2019","FQ4 2019","Currency=USD","Period=FQ","BEST_FPERIOD_OVERRIDE=FQ","FILING_STATUS=MR","Sort=A","Dates=H","DateFormat=P","Fill=—","Direction=H","UseDPDF=Y")</f>
        <v>2.6404999999999998</v>
      </c>
      <c r="H79" s="14">
        <f>_xll.BDH("GILD US Equity","FIXED_ASSETS_SEQUENTIAL_GROWTH","FQ1 2020","FQ1 2020","Currency=USD","Period=FQ","BEST_FPERIOD_OVERRIDE=FQ","FILING_STATUS=MR","Sort=A","Dates=H","DateFormat=P","Fill=—","Direction=H","UseDPDF=Y")</f>
        <v>-11.721500000000001</v>
      </c>
      <c r="I79" s="14">
        <f>_xll.BDH("GILD US Equity","FIXED_ASSETS_SEQUENTIAL_GROWTH","FQ2 2020","FQ2 2020","Currency=USD","Period=FQ","BEST_FPERIOD_OVERRIDE=FQ","FILING_STATUS=MR","Sort=A","Dates=H","DateFormat=P","Fill=—","Direction=H","UseDPDF=Y")</f>
        <v>1.95</v>
      </c>
      <c r="J79" s="14">
        <f>_xll.BDH("GILD US Equity","FIXED_ASSETS_SEQUENTIAL_GROWTH","FQ3 2020","FQ3 2020","Currency=USD","Period=FQ","BEST_FPERIOD_OVERRIDE=FQ","FILING_STATUS=MR","Sort=A","Dates=H","DateFormat=P","Fill=—","Direction=H","UseDPDF=Y")</f>
        <v>3.3742000000000001</v>
      </c>
      <c r="K79" s="14">
        <f>_xll.BDH("GILD US Equity","FIXED_ASSETS_SEQUENTIAL_GROWTH","FQ4 2020","FQ4 2020","Currency=USD","Period=FQ","BEST_FPERIOD_OVERRIDE=FQ","FILING_STATUS=MR","Sort=A","Dates=H","DateFormat=P","Fill=—","Direction=H","UseDPDF=Y")</f>
        <v>16.694400000000002</v>
      </c>
      <c r="L79" s="14">
        <f>_xll.BDH("GILD US Equity","FIXED_ASSETS_SEQUENTIAL_GROWTH","FQ1 2021","FQ1 2021","Currency=USD","Period=FQ","BEST_FPERIOD_OVERRIDE=FQ","FILING_STATUS=MR","Sort=A","Dates=H","DateFormat=P","Fill=—","Direction=H","UseDPDF=Y")</f>
        <v>-11.0992</v>
      </c>
      <c r="M79" s="14">
        <f>_xll.BDH("GILD US Equity","FIXED_ASSETS_SEQUENTIAL_GROWTH","FQ2 2021","FQ2 2021","Currency=USD","Period=FQ","BEST_FPERIOD_OVERRIDE=FQ","FILING_STATUS=MR","Sort=A","Dates=H","DateFormat=P","Fill=—","Direction=H","UseDPDF=Y")</f>
        <v>0.1202</v>
      </c>
      <c r="N79" s="14">
        <f>_xll.BDH("GILD US Equity","FIXED_ASSETS_SEQUENTIAL_GROWTH","FQ3 2021","FQ3 2021","Currency=USD","Period=FQ","BEST_FPERIOD_OVERRIDE=FQ","FILING_STATUS=MR","Sort=A","Dates=H","DateFormat=P","Fill=—","Direction=H","UseDPDF=Y")</f>
        <v>0.82069999999999999</v>
      </c>
      <c r="O79" s="14">
        <f>_xll.BDH("GILD US Equity","FIXED_ASSETS_SEQUENTIAL_GROWTH","FQ4 2021","FQ4 2021","Currency=USD","Period=FQ","BEST_FPERIOD_OVERRIDE=FQ","FILING_STATUS=MR","Sort=A","Dates=H","DateFormat=P","Fill=—","Direction=H","UseDPDF=Y")</f>
        <v>12.428000000000001</v>
      </c>
      <c r="P79" s="14">
        <f>_xll.BDH("GILD US Equity","FIXED_ASSETS_SEQUENTIAL_GROWTH","FQ1 2022","FQ1 2022","Currency=USD","Period=FQ","BEST_FPERIOD_OVERRIDE=FQ","FILING_STATUS=MR","Sort=A","Dates=H","DateFormat=P","Fill=—","Direction=H","UseDPDF=Y")</f>
        <v>-7.24</v>
      </c>
      <c r="Q79" s="14">
        <f>_xll.BDH("GILD US Equity","FIXED_ASSETS_SEQUENTIAL_GROWTH","FQ2 2022","FQ2 2022","Currency=USD","Period=FQ","BEST_FPERIOD_OVERRIDE=FQ","FILING_STATUS=MR","Sort=A","Dates=H","DateFormat=P","Fill=—","Direction=H","UseDPDF=Y")</f>
        <v>0.87570000000000003</v>
      </c>
      <c r="R79" s="14">
        <f>_xll.BDH("GILD US Equity","FIXED_ASSETS_SEQUENTIAL_GROWTH","FQ3 2022","FQ3 2022","Currency=USD","Period=FQ","BEST_FPERIOD_OVERRIDE=FQ","FILING_STATUS=MR","Sort=A","Dates=H","DateFormat=P","Fill=—","Direction=H","UseDPDF=Y")</f>
        <v>0.94359999999999999</v>
      </c>
      <c r="S79" s="14">
        <f>_xll.BDH("GILD US Equity","FIXED_ASSETS_SEQUENTIAL_GROWTH","FQ4 2022","FQ4 2022","Currency=USD","Period=FQ","BEST_FPERIOD_OVERRIDE=FQ","FILING_STATUS=MR","Sort=A","Dates=H","DateFormat=P","Fill=—","Direction=H","UseDPDF=Y")</f>
        <v>11.7966</v>
      </c>
      <c r="T79" s="14">
        <f>_xll.BDH("GILD US Equity","FIXED_ASSETS_SEQUENTIAL_GROWTH","FQ1 2023","FQ1 2023","Currency=USD","Period=FQ","BEST_FPERIOD_OVERRIDE=FQ","FILING_STATUS=MR","Sort=A","Dates=H","DateFormat=P","Fill=—","Direction=H","UseDPDF=Y")</f>
        <v>-8.3779000000000003</v>
      </c>
      <c r="U79" s="14">
        <f>_xll.BDH("GILD US Equity","FIXED_ASSETS_SEQUENTIAL_GROWTH","FQ2 2023","FQ2 2023","Currency=USD","Period=FQ","BEST_FPERIOD_OVERRIDE=FQ","FILING_STATUS=MR","Sort=A","Dates=H","DateFormat=P","Fill=—","Direction=H","UseDPDF=Y")</f>
        <v>1.1133</v>
      </c>
      <c r="V79" s="14">
        <f>_xll.BDH("GILD US Equity","FIXED_ASSETS_SEQUENTIAL_GROWTH","FQ3 2023","FQ3 2023","Currency=USD","Period=FQ","BEST_FPERIOD_OVERRIDE=FQ","FILING_STATUS=MR","Sort=A","Dates=H","DateFormat=P","Fill=—","Direction=H","UseDPDF=Y")</f>
        <v>0.5776</v>
      </c>
      <c r="W79" s="14">
        <f>_xll.BDH("GILD US Equity","FIXED_ASSETS_SEQUENTIAL_GROWTH","FQ4 2023","FQ4 2023","Currency=USD","Period=FQ","BEST_FPERIOD_OVERRIDE=FQ","FILING_STATUS=MR","Sort=A","Dates=H","DateFormat=P","Fill=—","Direction=H","UseDPDF=Y")</f>
        <v>5.8506999999999998</v>
      </c>
      <c r="X79" s="14">
        <f>_xll.BDH("GILD US Equity","FIXED_ASSETS_SEQUENTIAL_GROWTH","FQ1 2024","FQ1 2024","Currency=USD","Period=FQ","BEST_FPERIOD_OVERRIDE=FQ","FILING_STATUS=MR","Sort=A","Dates=H","DateFormat=P","Fill=—","Direction=H","UseDPDF=Y")</f>
        <v>-9.7829999999999995</v>
      </c>
      <c r="Y79" s="14">
        <f>_xll.BDH("GILD US Equity","FIXED_ASSETS_SEQUENTIAL_GROWTH","FQ2 2024","FQ2 2024","Currency=USD","Period=FQ","BEST_FPERIOD_OVERRIDE=FQ","FILING_STATUS=MR","Sort=A","Dates=H","DateFormat=P","Fill=—","Direction=H","UseDPDF=Y")</f>
        <v>0.4698</v>
      </c>
      <c r="Z79" s="14">
        <f>_xll.BDH("GILD US Equity","FIXED_ASSETS_SEQUENTIAL_GROWTH","FQ3 2024","FQ3 2024","Currency=USD","Period=FQ","BEST_FPERIOD_OVERRIDE=FQ","FILING_STATUS=MR","Sort=A","Dates=H","DateFormat=P","Fill=—","Direction=H","UseDPDF=Y")</f>
        <v>0.84179999999999999</v>
      </c>
      <c r="AA79" s="14">
        <f>_xll.BDH("GILD US Equity","FIXED_ASSETS_SEQUENTIAL_GROWTH","FQ4 2024","FQ4 2024","Currency=USD","Period=FQ","BEST_FPERIOD_OVERRIDE=FQ","FILING_STATUS=MR","Sort=A","Dates=H","DateFormat=P","Fill=—","Direction=H","UseDPDF=Y")</f>
        <v>9.9610000000000003</v>
      </c>
    </row>
    <row r="80" spans="1:27" x14ac:dyDescent="0.25">
      <c r="A80" s="10" t="s">
        <v>112</v>
      </c>
      <c r="B80" s="10" t="s">
        <v>1592</v>
      </c>
      <c r="C80" s="14">
        <f>_xll.BDH("GILD US Equity","TOTAL_ASSETS_SEQUENTIAL_GROWTH","FQ4 2018","FQ4 2018","Currency=USD","Period=FQ","BEST_FPERIOD_OVERRIDE=FQ","FILING_STATUS=MR","Sort=A","Dates=H","DateFormat=P","Fill=—","Direction=H","UseDPDF=Y")</f>
        <v>-0.97970000000000002</v>
      </c>
      <c r="D80" s="14">
        <f>_xll.BDH("GILD US Equity","TOTAL_ASSETS_SEQUENTIAL_GROWTH","FQ1 2019","FQ1 2019","Currency=USD","Period=FQ","BEST_FPERIOD_OVERRIDE=FQ","FILING_STATUS=MR","Sort=A","Dates=H","DateFormat=P","Fill=—","Direction=H","UseDPDF=Y")</f>
        <v>-1.3161</v>
      </c>
      <c r="E80" s="14">
        <f>_xll.BDH("GILD US Equity","TOTAL_ASSETS_SEQUENTIAL_GROWTH","FQ2 2019","FQ2 2019","Currency=USD","Period=FQ","BEST_FPERIOD_OVERRIDE=FQ","FILING_STATUS=MR","Sort=A","Dates=H","DateFormat=P","Fill=—","Direction=H","UseDPDF=Y")</f>
        <v>0.59360000000000002</v>
      </c>
      <c r="F80" s="14">
        <f>_xll.BDH("GILD US Equity","TOTAL_ASSETS_SEQUENTIAL_GROWTH","FQ3 2019","FQ3 2019","Currency=USD","Period=FQ","BEST_FPERIOD_OVERRIDE=FQ","FILING_STATUS=MR","Sort=A","Dates=H","DateFormat=P","Fill=—","Direction=H","UseDPDF=Y")</f>
        <v>-6.4294000000000002</v>
      </c>
      <c r="G80" s="14">
        <f>_xll.BDH("GILD US Equity","TOTAL_ASSETS_SEQUENTIAL_GROWTH","FQ4 2019","FQ4 2019","Currency=USD","Period=FQ","BEST_FPERIOD_OVERRIDE=FQ","FILING_STATUS=MR","Sort=A","Dates=H","DateFormat=P","Fill=—","Direction=H","UseDPDF=Y")</f>
        <v>4.1947000000000001</v>
      </c>
      <c r="H80" s="14">
        <f>_xll.BDH("GILD US Equity","TOTAL_ASSETS_SEQUENTIAL_GROWTH","FQ1 2020","FQ1 2020","Currency=USD","Period=FQ","BEST_FPERIOD_OVERRIDE=FQ","FILING_STATUS=MR","Sort=A","Dates=H","DateFormat=P","Fill=—","Direction=H","UseDPDF=Y")</f>
        <v>-3.0602999999999998</v>
      </c>
      <c r="I80" s="14">
        <f>_xll.BDH("GILD US Equity","TOTAL_ASSETS_SEQUENTIAL_GROWTH","FQ2 2020","FQ2 2020","Currency=USD","Period=FQ","BEST_FPERIOD_OVERRIDE=FQ","FILING_STATUS=MR","Sort=A","Dates=H","DateFormat=P","Fill=—","Direction=H","UseDPDF=Y")</f>
        <v>-6.3724999999999996</v>
      </c>
      <c r="J80" s="14">
        <f>_xll.BDH("GILD US Equity","TOTAL_ASSETS_SEQUENTIAL_GROWTH","FQ3 2020","FQ3 2020","Currency=USD","Period=FQ","BEST_FPERIOD_OVERRIDE=FQ","FILING_STATUS=MR","Sort=A","Dates=H","DateFormat=P","Fill=—","Direction=H","UseDPDF=Y")</f>
        <v>8.8390000000000004</v>
      </c>
      <c r="K80" s="14">
        <f>_xll.BDH("GILD US Equity","TOTAL_ASSETS_SEQUENTIAL_GROWTH","FQ4 2020","FQ4 2020","Currency=USD","Period=FQ","BEST_FPERIOD_OVERRIDE=FQ","FILING_STATUS=MR","Sort=A","Dates=H","DateFormat=P","Fill=—","Direction=H","UseDPDF=Y")</f>
        <v>12.3674</v>
      </c>
      <c r="L80" s="14">
        <f>_xll.BDH("GILD US Equity","TOTAL_ASSETS_SEQUENTIAL_GROWTH","FQ1 2021","FQ1 2021","Currency=USD","Period=FQ","BEST_FPERIOD_OVERRIDE=FQ","FILING_STATUS=MR","Sort=A","Dates=H","DateFormat=P","Fill=—","Direction=H","UseDPDF=Y")</f>
        <v>-1.3375999999999999</v>
      </c>
      <c r="M80" s="14">
        <f>_xll.BDH("GILD US Equity","TOTAL_ASSETS_SEQUENTIAL_GROWTH","FQ2 2021","FQ2 2021","Currency=USD","Period=FQ","BEST_FPERIOD_OVERRIDE=FQ","FILING_STATUS=MR","Sort=A","Dates=H","DateFormat=P","Fill=—","Direction=H","UseDPDF=Y")</f>
        <v>0.72899999999999998</v>
      </c>
      <c r="N80" s="14">
        <f>_xll.BDH("GILD US Equity","TOTAL_ASSETS_SEQUENTIAL_GROWTH","FQ3 2021","FQ3 2021","Currency=USD","Period=FQ","BEST_FPERIOD_OVERRIDE=FQ","FILING_STATUS=MR","Sort=A","Dates=H","DateFormat=P","Fill=—","Direction=H","UseDPDF=Y")</f>
        <v>-1.3031999999999999</v>
      </c>
      <c r="O80" s="14">
        <f>_xll.BDH("GILD US Equity","TOTAL_ASSETS_SEQUENTIAL_GROWTH","FQ4 2021","FQ4 2021","Currency=USD","Period=FQ","BEST_FPERIOD_OVERRIDE=FQ","FILING_STATUS=MR","Sort=A","Dates=H","DateFormat=P","Fill=—","Direction=H","UseDPDF=Y")</f>
        <v>1.2727999999999999</v>
      </c>
      <c r="P80" s="14">
        <f>_xll.BDH("GILD US Equity","TOTAL_ASSETS_SEQUENTIAL_GROWTH","FQ1 2022","FQ1 2022","Currency=USD","Period=FQ","BEST_FPERIOD_OVERRIDE=FQ","FILING_STATUS=MR","Sort=A","Dates=H","DateFormat=P","Fill=—","Direction=H","UseDPDF=Y")</f>
        <v>-7.1698000000000004</v>
      </c>
      <c r="Q80" s="14">
        <f>_xll.BDH("GILD US Equity","TOTAL_ASSETS_SEQUENTIAL_GROWTH","FQ2 2022","FQ2 2022","Currency=USD","Period=FQ","BEST_FPERIOD_OVERRIDE=FQ","FILING_STATUS=MR","Sort=A","Dates=H","DateFormat=P","Fill=—","Direction=H","UseDPDF=Y")</f>
        <v>-0.33289999999999997</v>
      </c>
      <c r="R80" s="14">
        <f>_xll.BDH("GILD US Equity","TOTAL_ASSETS_SEQUENTIAL_GROWTH","FQ3 2022","FQ3 2022","Currency=USD","Period=FQ","BEST_FPERIOD_OVERRIDE=FQ","FILING_STATUS=MR","Sort=A","Dates=H","DateFormat=P","Fill=—","Direction=H","UseDPDF=Y")</f>
        <v>-0.49790000000000001</v>
      </c>
      <c r="S80" s="14">
        <f>_xll.BDH("GILD US Equity","TOTAL_ASSETS_SEQUENTIAL_GROWTH","FQ4 2022","FQ4 2022","Currency=USD","Period=FQ","BEST_FPERIOD_OVERRIDE=FQ","FILING_STATUS=MR","Sort=A","Dates=H","DateFormat=P","Fill=—","Direction=H","UseDPDF=Y")</f>
        <v>0.98150000000000004</v>
      </c>
      <c r="T80" s="14">
        <f>_xll.BDH("GILD US Equity","TOTAL_ASSETS_SEQUENTIAL_GROWTH","FQ1 2023","FQ1 2023","Currency=USD","Period=FQ","BEST_FPERIOD_OVERRIDE=FQ","FILING_STATUS=MR","Sort=A","Dates=H","DateFormat=P","Fill=—","Direction=H","UseDPDF=Y")</f>
        <v>-2.0499999999999998</v>
      </c>
      <c r="U80" s="14">
        <f>_xll.BDH("GILD US Equity","TOTAL_ASSETS_SEQUENTIAL_GROWTH","FQ2 2023","FQ2 2023","Currency=USD","Period=FQ","BEST_FPERIOD_OVERRIDE=FQ","FILING_STATUS=MR","Sort=A","Dates=H","DateFormat=P","Fill=—","Direction=H","UseDPDF=Y")</f>
        <v>0.745</v>
      </c>
      <c r="V80" s="14">
        <f>_xll.BDH("GILD US Equity","TOTAL_ASSETS_SEQUENTIAL_GROWTH","FQ3 2023","FQ3 2023","Currency=USD","Period=FQ","BEST_FPERIOD_OVERRIDE=FQ","FILING_STATUS=MR","Sort=A","Dates=H","DateFormat=P","Fill=—","Direction=H","UseDPDF=Y")</f>
        <v>5.7799999999999997E-2</v>
      </c>
      <c r="W80" s="14">
        <f>_xll.BDH("GILD US Equity","TOTAL_ASSETS_SEQUENTIAL_GROWTH","FQ4 2023","FQ4 2023","Currency=USD","Period=FQ","BEST_FPERIOD_OVERRIDE=FQ","FILING_STATUS=MR","Sort=A","Dates=H","DateFormat=P","Fill=—","Direction=H","UseDPDF=Y")</f>
        <v>-0.39760000000000001</v>
      </c>
      <c r="X80" s="14">
        <f>_xll.BDH("GILD US Equity","TOTAL_ASSETS_SEQUENTIAL_GROWTH","FQ1 2024","FQ1 2024","Currency=USD","Period=FQ","BEST_FPERIOD_OVERRIDE=FQ","FILING_STATUS=MR","Sort=A","Dates=H","DateFormat=P","Fill=—","Direction=H","UseDPDF=Y")</f>
        <v>-9.3890999999999991</v>
      </c>
      <c r="Y80" s="14">
        <f>_xll.BDH("GILD US Equity","TOTAL_ASSETS_SEQUENTIAL_GROWTH","FQ2 2024","FQ2 2024","Currency=USD","Period=FQ","BEST_FPERIOD_OVERRIDE=FQ","FILING_STATUS=MR","Sort=A","Dates=H","DateFormat=P","Fill=—","Direction=H","UseDPDF=Y")</f>
        <v>-4.8194999999999997</v>
      </c>
      <c r="Z80" s="14">
        <f>_xll.BDH("GILD US Equity","TOTAL_ASSETS_SEQUENTIAL_GROWTH","FQ3 2024","FQ3 2024","Currency=USD","Period=FQ","BEST_FPERIOD_OVERRIDE=FQ","FILING_STATUS=MR","Sort=A","Dates=H","DateFormat=P","Fill=—","Direction=H","UseDPDF=Y")</f>
        <v>1.7656000000000001</v>
      </c>
      <c r="AA80" s="14">
        <f>_xll.BDH("GILD US Equity","TOTAL_ASSETS_SEQUENTIAL_GROWTH","FQ4 2024","FQ4 2024","Currency=USD","Period=FQ","BEST_FPERIOD_OVERRIDE=FQ","FILING_STATUS=MR","Sort=A","Dates=H","DateFormat=P","Fill=—","Direction=H","UseDPDF=Y")</f>
        <v>8.1981000000000002</v>
      </c>
    </row>
    <row r="81" spans="1:27" x14ac:dyDescent="0.25">
      <c r="A81" s="10" t="s">
        <v>1528</v>
      </c>
      <c r="B81" s="10" t="s">
        <v>1593</v>
      </c>
      <c r="C81" s="14">
        <f>_xll.BDH("GILD US Equity","MODIFIED_WORKING_CPTL_SEQ_GRWTH","FQ4 2018","FQ4 2018","Currency=USD","Period=FQ","BEST_FPERIOD_OVERRIDE=FQ","FILING_STATUS=MR","Sort=A","Dates=H","DateFormat=P","Fill=—","Direction=H","UseDPDF=Y")</f>
        <v>-9.4568999999999992</v>
      </c>
      <c r="D81" s="14">
        <f>_xll.BDH("GILD US Equity","MODIFIED_WORKING_CPTL_SEQ_GRWTH","FQ1 2019","FQ1 2019","Currency=USD","Period=FQ","BEST_FPERIOD_OVERRIDE=FQ","FILING_STATUS=MR","Sort=A","Dates=H","DateFormat=P","Fill=—","Direction=H","UseDPDF=Y")</f>
        <v>7.55</v>
      </c>
      <c r="E81" s="14">
        <f>_xll.BDH("GILD US Equity","MODIFIED_WORKING_CPTL_SEQ_GRWTH","FQ2 2019","FQ2 2019","Currency=USD","Period=FQ","BEST_FPERIOD_OVERRIDE=FQ","FILING_STATUS=MR","Sort=A","Dates=H","DateFormat=P","Fill=—","Direction=H","UseDPDF=Y")</f>
        <v>1.6371</v>
      </c>
      <c r="F81" s="14">
        <f>_xll.BDH("GILD US Equity","MODIFIED_WORKING_CPTL_SEQ_GRWTH","FQ3 2019","FQ3 2019","Currency=USD","Period=FQ","BEST_FPERIOD_OVERRIDE=FQ","FILING_STATUS=MR","Sort=A","Dates=H","DateFormat=P","Fill=—","Direction=H","UseDPDF=Y")</f>
        <v>-2.6753999999999998</v>
      </c>
      <c r="G81" s="14">
        <f>_xll.BDH("GILD US Equity","MODIFIED_WORKING_CPTL_SEQ_GRWTH","FQ4 2019","FQ4 2019","Currency=USD","Period=FQ","BEST_FPERIOD_OVERRIDE=FQ","FILING_STATUS=MR","Sort=A","Dates=H","DateFormat=P","Fill=—","Direction=H","UseDPDF=Y")</f>
        <v>6.3394000000000004</v>
      </c>
      <c r="H81" s="14">
        <f>_xll.BDH("GILD US Equity","MODIFIED_WORKING_CPTL_SEQ_GRWTH","FQ1 2020","FQ1 2020","Currency=USD","Period=FQ","BEST_FPERIOD_OVERRIDE=FQ","FILING_STATUS=MR","Sort=A","Dates=H","DateFormat=P","Fill=—","Direction=H","UseDPDF=Y")</f>
        <v>13.505699999999999</v>
      </c>
      <c r="I81" s="14">
        <f>_xll.BDH("GILD US Equity","MODIFIED_WORKING_CPTL_SEQ_GRWTH","FQ2 2020","FQ2 2020","Currency=USD","Period=FQ","BEST_FPERIOD_OVERRIDE=FQ","FILING_STATUS=MR","Sort=A","Dates=H","DateFormat=P","Fill=—","Direction=H","UseDPDF=Y")</f>
        <v>-13.6881</v>
      </c>
      <c r="J81" s="14">
        <f>_xll.BDH("GILD US Equity","MODIFIED_WORKING_CPTL_SEQ_GRWTH","FQ3 2020","FQ3 2020","Currency=USD","Period=FQ","BEST_FPERIOD_OVERRIDE=FQ","FILING_STATUS=MR","Sort=A","Dates=H","DateFormat=P","Fill=—","Direction=H","UseDPDF=Y")</f>
        <v>18.309100000000001</v>
      </c>
      <c r="K81" s="14">
        <f>_xll.BDH("GILD US Equity","MODIFIED_WORKING_CPTL_SEQ_GRWTH","FQ4 2020","FQ4 2020","Currency=USD","Period=FQ","BEST_FPERIOD_OVERRIDE=FQ","FILING_STATUS=MR","Sort=A","Dates=H","DateFormat=P","Fill=—","Direction=H","UseDPDF=Y")</f>
        <v>30.427900000000001</v>
      </c>
      <c r="L81" s="14">
        <f>_xll.BDH("GILD US Equity","MODIFIED_WORKING_CPTL_SEQ_GRWTH","FQ1 2021","FQ1 2021","Currency=USD","Period=FQ","BEST_FPERIOD_OVERRIDE=FQ","FILING_STATUS=MR","Sort=A","Dates=H","DateFormat=P","Fill=—","Direction=H","UseDPDF=Y")</f>
        <v>-10.417</v>
      </c>
      <c r="M81" s="14">
        <f>_xll.BDH("GILD US Equity","MODIFIED_WORKING_CPTL_SEQ_GRWTH","FQ2 2021","FQ2 2021","Currency=USD","Period=FQ","BEST_FPERIOD_OVERRIDE=FQ","FILING_STATUS=MR","Sort=A","Dates=H","DateFormat=P","Fill=—","Direction=H","UseDPDF=Y")</f>
        <v>3.4866000000000001</v>
      </c>
      <c r="N81" s="14">
        <f>_xll.BDH("GILD US Equity","MODIFIED_WORKING_CPTL_SEQ_GRWTH","FQ3 2021","FQ3 2021","Currency=USD","Period=FQ","BEST_FPERIOD_OVERRIDE=FQ","FILING_STATUS=MR","Sort=A","Dates=H","DateFormat=P","Fill=—","Direction=H","UseDPDF=Y")</f>
        <v>6.4747000000000003</v>
      </c>
      <c r="O81" s="14">
        <f>_xll.BDH("GILD US Equity","MODIFIED_WORKING_CPTL_SEQ_GRWTH","FQ4 2021","FQ4 2021","Currency=USD","Period=FQ","BEST_FPERIOD_OVERRIDE=FQ","FILING_STATUS=MR","Sort=A","Dates=H","DateFormat=P","Fill=—","Direction=H","UseDPDF=Y")</f>
        <v>-4.4370000000000003</v>
      </c>
      <c r="P81" s="14">
        <f>_xll.BDH("GILD US Equity","MODIFIED_WORKING_CPTL_SEQ_GRWTH","FQ1 2022","FQ1 2022","Currency=USD","Period=FQ","BEST_FPERIOD_OVERRIDE=FQ","FILING_STATUS=MR","Sort=A","Dates=H","DateFormat=P","Fill=—","Direction=H","UseDPDF=Y")</f>
        <v>-13.3185</v>
      </c>
      <c r="Q81" s="14">
        <f>_xll.BDH("GILD US Equity","MODIFIED_WORKING_CPTL_SEQ_GRWTH","FQ2 2022","FQ2 2022","Currency=USD","Period=FQ","BEST_FPERIOD_OVERRIDE=FQ","FILING_STATUS=MR","Sort=A","Dates=H","DateFormat=P","Fill=—","Direction=H","UseDPDF=Y")</f>
        <v>7.6825000000000001</v>
      </c>
      <c r="R81" s="14">
        <f>_xll.BDH("GILD US Equity","MODIFIED_WORKING_CPTL_SEQ_GRWTH","FQ3 2022","FQ3 2022","Currency=USD","Period=FQ","BEST_FPERIOD_OVERRIDE=FQ","FILING_STATUS=MR","Sort=A","Dates=H","DateFormat=P","Fill=—","Direction=H","UseDPDF=Y")</f>
        <v>3.1114000000000002</v>
      </c>
      <c r="S81" s="14">
        <f>_xll.BDH("GILD US Equity","MODIFIED_WORKING_CPTL_SEQ_GRWTH","FQ4 2022","FQ4 2022","Currency=USD","Period=FQ","BEST_FPERIOD_OVERRIDE=FQ","FILING_STATUS=MR","Sort=A","Dates=H","DateFormat=P","Fill=—","Direction=H","UseDPDF=Y")</f>
        <v>3.3826999999999998</v>
      </c>
      <c r="T81" s="14">
        <f>_xll.BDH("GILD US Equity","MODIFIED_WORKING_CPTL_SEQ_GRWTH","FQ1 2023","FQ1 2023","Currency=USD","Period=FQ","BEST_FPERIOD_OVERRIDE=FQ","FILING_STATUS=MR","Sort=A","Dates=H","DateFormat=P","Fill=—","Direction=H","UseDPDF=Y")</f>
        <v>-4.9823000000000004</v>
      </c>
      <c r="U81" s="14">
        <f>_xll.BDH("GILD US Equity","MODIFIED_WORKING_CPTL_SEQ_GRWTH","FQ2 2023","FQ2 2023","Currency=USD","Period=FQ","BEST_FPERIOD_OVERRIDE=FQ","FILING_STATUS=MR","Sort=A","Dates=H","DateFormat=P","Fill=—","Direction=H","UseDPDF=Y")</f>
        <v>2.524</v>
      </c>
      <c r="V81" s="14">
        <f>_xll.BDH("GILD US Equity","MODIFIED_WORKING_CPTL_SEQ_GRWTH","FQ3 2023","FQ3 2023","Currency=USD","Period=FQ","BEST_FPERIOD_OVERRIDE=FQ","FILING_STATUS=MR","Sort=A","Dates=H","DateFormat=P","Fill=—","Direction=H","UseDPDF=Y")</f>
        <v>11.9847</v>
      </c>
      <c r="W81" s="14">
        <f>_xll.BDH("GILD US Equity","MODIFIED_WORKING_CPTL_SEQ_GRWTH","FQ4 2023","FQ4 2023","Currency=USD","Period=FQ","BEST_FPERIOD_OVERRIDE=FQ","FILING_STATUS=MR","Sort=A","Dates=H","DateFormat=P","Fill=—","Direction=H","UseDPDF=Y")</f>
        <v>0.49419999999999997</v>
      </c>
      <c r="X81" s="14">
        <f>_xll.BDH("GILD US Equity","MODIFIED_WORKING_CPTL_SEQ_GRWTH","FQ1 2024","FQ1 2024","Currency=USD","Period=FQ","BEST_FPERIOD_OVERRIDE=FQ","FILING_STATUS=MR","Sort=A","Dates=H","DateFormat=P","Fill=—","Direction=H","UseDPDF=Y")</f>
        <v>5.0900000000000001E-2</v>
      </c>
      <c r="Y81" s="14">
        <f>_xll.BDH("GILD US Equity","MODIFIED_WORKING_CPTL_SEQ_GRWTH","FQ2 2024","FQ2 2024","Currency=USD","Period=FQ","BEST_FPERIOD_OVERRIDE=FQ","FILING_STATUS=MR","Sort=A","Dates=H","DateFormat=P","Fill=—","Direction=H","UseDPDF=Y")</f>
        <v>4.2712000000000003</v>
      </c>
      <c r="Z81" s="14">
        <f>_xll.BDH("GILD US Equity","MODIFIED_WORKING_CPTL_SEQ_GRWTH","FQ3 2024","FQ3 2024","Currency=USD","Period=FQ","BEST_FPERIOD_OVERRIDE=FQ","FILING_STATUS=MR","Sort=A","Dates=H","DateFormat=P","Fill=—","Direction=H","UseDPDF=Y")</f>
        <v>-9.7367000000000008</v>
      </c>
      <c r="AA81" s="14">
        <f>_xll.BDH("GILD US Equity","MODIFIED_WORKING_CPTL_SEQ_GRWTH","FQ4 2024","FQ4 2024","Currency=USD","Period=FQ","BEST_FPERIOD_OVERRIDE=FQ","FILING_STATUS=MR","Sort=A","Dates=H","DateFormat=P","Fill=—","Direction=H","UseDPDF=Y")</f>
        <v>-4.6101000000000001</v>
      </c>
    </row>
    <row r="82" spans="1:27" x14ac:dyDescent="0.25">
      <c r="A82" s="10" t="s">
        <v>1530</v>
      </c>
      <c r="B82" s="10" t="s">
        <v>1594</v>
      </c>
      <c r="C82" s="14">
        <f>_xll.BDH("GILD US Equity","WORKING_CAPITAL_SEQ_GROWTH","FQ4 2018","FQ4 2018","Currency=USD","Period=FQ","BEST_FPERIOD_OVERRIDE=FQ","FILING_STATUS=MR","Sort=A","Dates=H","DateFormat=P","Fill=—","Direction=H","UseDPDF=Y")</f>
        <v>1.7297</v>
      </c>
      <c r="D82" s="14">
        <f>_xll.BDH("GILD US Equity","WORKING_CAPITAL_SEQ_GROWTH","FQ1 2019","FQ1 2019","Currency=USD","Period=FQ","BEST_FPERIOD_OVERRIDE=FQ","FILING_STATUS=MR","Sort=A","Dates=H","DateFormat=P","Fill=—","Direction=H","UseDPDF=Y")</f>
        <v>-2.3938999999999999</v>
      </c>
      <c r="E82" s="14">
        <f>_xll.BDH("GILD US Equity","WORKING_CAPITAL_SEQ_GROWTH","FQ2 2019","FQ2 2019","Currency=USD","Period=FQ","BEST_FPERIOD_OVERRIDE=FQ","FILING_STATUS=MR","Sort=A","Dates=H","DateFormat=P","Fill=—","Direction=H","UseDPDF=Y")</f>
        <v>0.56440000000000001</v>
      </c>
      <c r="F82" s="14">
        <f>_xll.BDH("GILD US Equity","WORKING_CAPITAL_SEQ_GROWTH","FQ3 2019","FQ3 2019","Currency=USD","Period=FQ","BEST_FPERIOD_OVERRIDE=FQ","FILING_STATUS=MR","Sort=A","Dates=H","DateFormat=P","Fill=—","Direction=H","UseDPDF=Y")</f>
        <v>-24.113700000000001</v>
      </c>
      <c r="G82" s="14">
        <f>_xll.BDH("GILD US Equity","WORKING_CAPITAL_SEQ_GROWTH","FQ4 2019","FQ4 2019","Currency=USD","Period=FQ","BEST_FPERIOD_OVERRIDE=FQ","FILING_STATUS=MR","Sort=A","Dates=H","DateFormat=P","Fill=—","Direction=H","UseDPDF=Y")</f>
        <v>9.2742000000000004</v>
      </c>
      <c r="H82" s="14">
        <f>_xll.BDH("GILD US Equity","WORKING_CAPITAL_SEQ_GROWTH","FQ1 2020","FQ1 2020","Currency=USD","Period=FQ","BEST_FPERIOD_OVERRIDE=FQ","FILING_STATUS=MR","Sort=A","Dates=H","DateFormat=P","Fill=—","Direction=H","UseDPDF=Y")</f>
        <v>-12.0076</v>
      </c>
      <c r="I82" s="14">
        <f>_xll.BDH("GILD US Equity","WORKING_CAPITAL_SEQ_GROWTH","FQ2 2020","FQ2 2020","Currency=USD","Period=FQ","BEST_FPERIOD_OVERRIDE=FQ","FILING_STATUS=MR","Sort=A","Dates=H","DateFormat=P","Fill=—","Direction=H","UseDPDF=Y")</f>
        <v>-22.090599999999998</v>
      </c>
      <c r="J82" s="14">
        <f>_xll.BDH("GILD US Equity","WORKING_CAPITAL_SEQ_GROWTH","FQ3 2020","FQ3 2020","Currency=USD","Period=FQ","BEST_FPERIOD_OVERRIDE=FQ","FILING_STATUS=MR","Sort=A","Dates=H","DateFormat=P","Fill=—","Direction=H","UseDPDF=Y")</f>
        <v>52.120199999999997</v>
      </c>
      <c r="K82" s="14">
        <f>_xll.BDH("GILD US Equity","WORKING_CAPITAL_SEQ_GROWTH","FQ4 2020","FQ4 2020","Currency=USD","Period=FQ","BEST_FPERIOD_OVERRIDE=FQ","FILING_STATUS=MR","Sort=A","Dates=H","DateFormat=P","Fill=—","Direction=H","UseDPDF=Y")</f>
        <v>-78.526399999999995</v>
      </c>
      <c r="L82" s="14">
        <f>_xll.BDH("GILD US Equity","WORKING_CAPITAL_SEQ_GROWTH","FQ1 2021","FQ1 2021","Currency=USD","Period=FQ","BEST_FPERIOD_OVERRIDE=FQ","FILING_STATUS=MR","Sort=A","Dates=H","DateFormat=P","Fill=—","Direction=H","UseDPDF=Y")</f>
        <v>-22.309200000000001</v>
      </c>
      <c r="M82" s="14">
        <f>_xll.BDH("GILD US Equity","WORKING_CAPITAL_SEQ_GROWTH","FQ2 2021","FQ2 2021","Currency=USD","Period=FQ","BEST_FPERIOD_OVERRIDE=FQ","FILING_STATUS=MR","Sort=A","Dates=H","DateFormat=P","Fill=—","Direction=H","UseDPDF=Y")</f>
        <v>3.8622999999999998</v>
      </c>
      <c r="N82" s="14">
        <f>_xll.BDH("GILD US Equity","WORKING_CAPITAL_SEQ_GROWTH","FQ3 2021","FQ3 2021","Currency=USD","Period=FQ","BEST_FPERIOD_OVERRIDE=FQ","FILING_STATUS=MR","Sort=A","Dates=H","DateFormat=P","Fill=—","Direction=H","UseDPDF=Y")</f>
        <v>0.94310000000000005</v>
      </c>
      <c r="O82" s="14">
        <f>_xll.BDH("GILD US Equity","WORKING_CAPITAL_SEQ_GROWTH","FQ4 2021","FQ4 2021","Currency=USD","Period=FQ","BEST_FPERIOD_OVERRIDE=FQ","FILING_STATUS=MR","Sort=A","Dates=H","DateFormat=P","Fill=—","Direction=H","UseDPDF=Y")</f>
        <v>-15.59</v>
      </c>
      <c r="P82" s="14">
        <f>_xll.BDH("GILD US Equity","WORKING_CAPITAL_SEQ_GROWTH","FQ1 2022","FQ1 2022","Currency=USD","Period=FQ","BEST_FPERIOD_OVERRIDE=FQ","FILING_STATUS=MR","Sort=A","Dates=H","DateFormat=P","Fill=—","Direction=H","UseDPDF=Y")</f>
        <v>28.747599999999998</v>
      </c>
      <c r="Q82" s="14">
        <f>_xll.BDH("GILD US Equity","WORKING_CAPITAL_SEQ_GROWTH","FQ2 2022","FQ2 2022","Currency=USD","Period=FQ","BEST_FPERIOD_OVERRIDE=FQ","FILING_STATUS=MR","Sort=A","Dates=H","DateFormat=P","Fill=—","Direction=H","UseDPDF=Y")</f>
        <v>-2.8494000000000002</v>
      </c>
      <c r="R82" s="14">
        <f>_xll.BDH("GILD US Equity","WORKING_CAPITAL_SEQ_GROWTH","FQ3 2022","FQ3 2022","Currency=USD","Period=FQ","BEST_FPERIOD_OVERRIDE=FQ","FILING_STATUS=MR","Sort=A","Dates=H","DateFormat=P","Fill=—","Direction=H","UseDPDF=Y")</f>
        <v>-20.834399999999999</v>
      </c>
      <c r="S82" s="14">
        <f>_xll.BDH("GILD US Equity","WORKING_CAPITAL_SEQ_GROWTH","FQ4 2022","FQ4 2022","Currency=USD","Period=FQ","BEST_FPERIOD_OVERRIDE=FQ","FILING_STATUS=MR","Sort=A","Dates=H","DateFormat=P","Fill=—","Direction=H","UseDPDF=Y")</f>
        <v>2.3954</v>
      </c>
      <c r="T82" s="14">
        <f>_xll.BDH("GILD US Equity","WORKING_CAPITAL_SEQ_GROWTH","FQ1 2023","FQ1 2023","Currency=USD","Period=FQ","BEST_FPERIOD_OVERRIDE=FQ","FILING_STATUS=MR","Sort=A","Dates=H","DateFormat=P","Fill=—","Direction=H","UseDPDF=Y")</f>
        <v>-8.6712000000000007</v>
      </c>
      <c r="U82" s="14">
        <f>_xll.BDH("GILD US Equity","WORKING_CAPITAL_SEQ_GROWTH","FQ2 2023","FQ2 2023","Currency=USD","Period=FQ","BEST_FPERIOD_OVERRIDE=FQ","FILING_STATUS=MR","Sort=A","Dates=H","DateFormat=P","Fill=—","Direction=H","UseDPDF=Y")</f>
        <v>-88.968599999999995</v>
      </c>
      <c r="V82" s="14">
        <f>_xll.BDH("GILD US Equity","WORKING_CAPITAL_SEQ_GROWTH","FQ3 2023","FQ3 2023","Currency=USD","Period=FQ","BEST_FPERIOD_OVERRIDE=FQ","FILING_STATUS=MR","Sort=A","Dates=H","DateFormat=P","Fill=—","Direction=H","UseDPDF=Y")</f>
        <v>1149.2260000000001</v>
      </c>
      <c r="W82" s="14">
        <f>_xll.BDH("GILD US Equity","WORKING_CAPITAL_SEQ_GROWTH","FQ4 2023","FQ4 2023","Currency=USD","Period=FQ","BEST_FPERIOD_OVERRIDE=FQ","FILING_STATUS=MR","Sort=A","Dates=H","DateFormat=P","Fill=—","Direction=H","UseDPDF=Y")</f>
        <v>19.082999999999998</v>
      </c>
      <c r="X82" s="14">
        <f>_xll.BDH("GILD US Equity","WORKING_CAPITAL_SEQ_GROWTH","FQ1 2024","FQ1 2024","Currency=USD","Period=FQ","BEST_FPERIOD_OVERRIDE=FQ","FILING_STATUS=MR","Sort=A","Dates=H","DateFormat=P","Fill=—","Direction=H","UseDPDF=Y")</f>
        <v>-78.647199999999998</v>
      </c>
      <c r="Y82" s="14">
        <f>_xll.BDH("GILD US Equity","WORKING_CAPITAL_SEQ_GROWTH","FQ2 2024","FQ2 2024","Currency=USD","Period=FQ","BEST_FPERIOD_OVERRIDE=FQ","FILING_STATUS=MR","Sort=A","Dates=H","DateFormat=P","Fill=—","Direction=H","UseDPDF=Y")</f>
        <v>49.707599999999999</v>
      </c>
      <c r="Z82" s="14">
        <f>_xll.BDH("GILD US Equity","WORKING_CAPITAL_SEQ_GROWTH","FQ3 2024","FQ3 2024","Currency=USD","Period=FQ","BEST_FPERIOD_OVERRIDE=FQ","FILING_STATUS=MR","Sort=A","Dates=H","DateFormat=P","Fill=—","Direction=H","UseDPDF=Y")</f>
        <v>98.828100000000006</v>
      </c>
      <c r="AA82" s="14">
        <f>_xll.BDH("GILD US Equity","WORKING_CAPITAL_SEQ_GROWTH","FQ4 2024","FQ4 2024","Currency=USD","Period=FQ","BEST_FPERIOD_OVERRIDE=FQ","FILING_STATUS=MR","Sort=A","Dates=H","DateFormat=P","Fill=—","Direction=H","UseDPDF=Y")</f>
        <v>134.7413</v>
      </c>
    </row>
    <row r="83" spans="1:27" x14ac:dyDescent="0.25">
      <c r="A83" s="10" t="s">
        <v>1534</v>
      </c>
      <c r="B83" s="10" t="s">
        <v>1595</v>
      </c>
      <c r="C83" s="14">
        <f>_xll.BDH("GILD US Equity","ACCOUNTS_PAYABLE_SEQ_GROWTH","FQ4 2018","FQ4 2018","Currency=USD","Period=FQ","BEST_FPERIOD_OVERRIDE=FQ","FILING_STATUS=MR","Sort=A","Dates=H","DateFormat=P","Fill=—","Direction=H","UseDPDF=Y")</f>
        <v>36.206899999999997</v>
      </c>
      <c r="D83" s="14">
        <f>_xll.BDH("GILD US Equity","ACCOUNTS_PAYABLE_SEQ_GROWTH","FQ1 2019","FQ1 2019","Currency=USD","Period=FQ","BEST_FPERIOD_OVERRIDE=FQ","FILING_STATUS=MR","Sort=A","Dates=H","DateFormat=P","Fill=—","Direction=H","UseDPDF=Y")</f>
        <v>-26.962</v>
      </c>
      <c r="E83" s="14">
        <f>_xll.BDH("GILD US Equity","ACCOUNTS_PAYABLE_SEQ_GROWTH","FQ2 2019","FQ2 2019","Currency=USD","Period=FQ","BEST_FPERIOD_OVERRIDE=FQ","FILING_STATUS=MR","Sort=A","Dates=H","DateFormat=P","Fill=—","Direction=H","UseDPDF=Y")</f>
        <v>6.9324000000000003</v>
      </c>
      <c r="F83" s="14">
        <f>_xll.BDH("GILD US Equity","ACCOUNTS_PAYABLE_SEQ_GROWTH","FQ3 2019","FQ3 2019","Currency=USD","Period=FQ","BEST_FPERIOD_OVERRIDE=FQ","FILING_STATUS=MR","Sort=A","Dates=H","DateFormat=P","Fill=—","Direction=H","UseDPDF=Y")</f>
        <v>2.4310999999999998</v>
      </c>
      <c r="G83" s="14">
        <f>_xll.BDH("GILD US Equity","ACCOUNTS_PAYABLE_SEQ_GROWTH","FQ4 2019","FQ4 2019","Currency=USD","Period=FQ","BEST_FPERIOD_OVERRIDE=FQ","FILING_STATUS=MR","Sort=A","Dates=H","DateFormat=P","Fill=—","Direction=H","UseDPDF=Y")</f>
        <v>12.8165</v>
      </c>
      <c r="H83" s="14">
        <f>_xll.BDH("GILD US Equity","ACCOUNTS_PAYABLE_SEQ_GROWTH","FQ1 2020","FQ1 2020","Currency=USD","Period=FQ","BEST_FPERIOD_OVERRIDE=FQ","FILING_STATUS=MR","Sort=A","Dates=H","DateFormat=P","Fill=—","Direction=H","UseDPDF=Y")</f>
        <v>-17.251100000000001</v>
      </c>
      <c r="I83" s="14">
        <f>_xll.BDH("GILD US Equity","ACCOUNTS_PAYABLE_SEQ_GROWTH","FQ2 2020","FQ2 2020","Currency=USD","Period=FQ","BEST_FPERIOD_OVERRIDE=FQ","FILING_STATUS=MR","Sort=A","Dates=H","DateFormat=P","Fill=—","Direction=H","UseDPDF=Y")</f>
        <v>-9.8305000000000007</v>
      </c>
      <c r="J83" s="14">
        <f>_xll.BDH("GILD US Equity","ACCOUNTS_PAYABLE_SEQ_GROWTH","FQ3 2020","FQ3 2020","Currency=USD","Period=FQ","BEST_FPERIOD_OVERRIDE=FQ","FILING_STATUS=MR","Sort=A","Dates=H","DateFormat=P","Fill=—","Direction=H","UseDPDF=Y")</f>
        <v>-0.93979999999999997</v>
      </c>
      <c r="K83" s="14">
        <f>_xll.BDH("GILD US Equity","ACCOUNTS_PAYABLE_SEQ_GROWTH","FQ4 2020","FQ4 2020","Currency=USD","Period=FQ","BEST_FPERIOD_OVERRIDE=FQ","FILING_STATUS=MR","Sort=A","Dates=H","DateFormat=P","Fill=—","Direction=H","UseDPDF=Y")</f>
        <v>60.151800000000001</v>
      </c>
      <c r="L83" s="14">
        <f>_xll.BDH("GILD US Equity","ACCOUNTS_PAYABLE_SEQ_GROWTH","FQ1 2021","FQ1 2021","Currency=USD","Period=FQ","BEST_FPERIOD_OVERRIDE=FQ","FILING_STATUS=MR","Sort=A","Dates=H","DateFormat=P","Fill=—","Direction=H","UseDPDF=Y")</f>
        <v>-32.464500000000001</v>
      </c>
      <c r="M83" s="14">
        <f>_xll.BDH("GILD US Equity","ACCOUNTS_PAYABLE_SEQ_GROWTH","FQ2 2021","FQ2 2021","Currency=USD","Period=FQ","BEST_FPERIOD_OVERRIDE=FQ","FILING_STATUS=MR","Sort=A","Dates=H","DateFormat=P","Fill=—","Direction=H","UseDPDF=Y")</f>
        <v>6.6666999999999996</v>
      </c>
      <c r="N83" s="14">
        <f>_xll.BDH("GILD US Equity","ACCOUNTS_PAYABLE_SEQ_GROWTH","FQ3 2021","FQ3 2021","Currency=USD","Period=FQ","BEST_FPERIOD_OVERRIDE=FQ","FILING_STATUS=MR","Sort=A","Dates=H","DateFormat=P","Fill=—","Direction=H","UseDPDF=Y")</f>
        <v>-3.7829000000000002</v>
      </c>
      <c r="O83" s="14">
        <f>_xll.BDH("GILD US Equity","ACCOUNTS_PAYABLE_SEQ_GROWTH","FQ4 2021","FQ4 2021","Currency=USD","Period=FQ","BEST_FPERIOD_OVERRIDE=FQ","FILING_STATUS=MR","Sort=A","Dates=H","DateFormat=P","Fill=—","Direction=H","UseDPDF=Y")</f>
        <v>20.512799999999999</v>
      </c>
      <c r="P83" s="14">
        <f>_xll.BDH("GILD US Equity","ACCOUNTS_PAYABLE_SEQ_GROWTH","FQ1 2022","FQ1 2022","Currency=USD","Period=FQ","BEST_FPERIOD_OVERRIDE=FQ","FILING_STATUS=MR","Sort=A","Dates=H","DateFormat=P","Fill=—","Direction=H","UseDPDF=Y")</f>
        <v>-17.305</v>
      </c>
      <c r="Q83" s="14">
        <f>_xll.BDH("GILD US Equity","ACCOUNTS_PAYABLE_SEQ_GROWTH","FQ2 2022","FQ2 2022","Currency=USD","Period=FQ","BEST_FPERIOD_OVERRIDE=FQ","FILING_STATUS=MR","Sort=A","Dates=H","DateFormat=P","Fill=—","Direction=H","UseDPDF=Y")</f>
        <v>-3.0874999999999999</v>
      </c>
      <c r="R83" s="14">
        <f>_xll.BDH("GILD US Equity","ACCOUNTS_PAYABLE_SEQ_GROWTH","FQ3 2022","FQ3 2022","Currency=USD","Period=FQ","BEST_FPERIOD_OVERRIDE=FQ","FILING_STATUS=MR","Sort=A","Dates=H","DateFormat=P","Fill=—","Direction=H","UseDPDF=Y")</f>
        <v>8.6725999999999992</v>
      </c>
      <c r="S83" s="14">
        <f>_xll.BDH("GILD US Equity","ACCOUNTS_PAYABLE_SEQ_GROWTH","FQ4 2022","FQ4 2022","Currency=USD","Period=FQ","BEST_FPERIOD_OVERRIDE=FQ","FILING_STATUS=MR","Sort=A","Dates=H","DateFormat=P","Fill=—","Direction=H","UseDPDF=Y")</f>
        <v>47.394100000000002</v>
      </c>
      <c r="T83" s="14">
        <f>_xll.BDH("GILD US Equity","ACCOUNTS_PAYABLE_SEQ_GROWTH","FQ1 2023","FQ1 2023","Currency=USD","Period=FQ","BEST_FPERIOD_OVERRIDE=FQ","FILING_STATUS=MR","Sort=A","Dates=H","DateFormat=P","Fill=—","Direction=H","UseDPDF=Y")</f>
        <v>-30.7182</v>
      </c>
      <c r="U83" s="14">
        <f>_xll.BDH("GILD US Equity","ACCOUNTS_PAYABLE_SEQ_GROWTH","FQ2 2023","FQ2 2023","Currency=USD","Period=FQ","BEST_FPERIOD_OVERRIDE=FQ","FILING_STATUS=MR","Sort=A","Dates=H","DateFormat=P","Fill=—","Direction=H","UseDPDF=Y")</f>
        <v>-0.7974</v>
      </c>
      <c r="V83" s="14">
        <f>_xll.BDH("GILD US Equity","ACCOUNTS_PAYABLE_SEQ_GROWTH","FQ3 2023","FQ3 2023","Currency=USD","Period=FQ","BEST_FPERIOD_OVERRIDE=FQ","FILING_STATUS=MR","Sort=A","Dates=H","DateFormat=P","Fill=—","Direction=H","UseDPDF=Y")</f>
        <v>-5.7877999999999998</v>
      </c>
      <c r="W83" s="14">
        <f>_xll.BDH("GILD US Equity","ACCOUNTS_PAYABLE_SEQ_GROWTH","FQ4 2023","FQ4 2023","Currency=USD","Period=FQ","BEST_FPERIOD_OVERRIDE=FQ","FILING_STATUS=MR","Sort=A","Dates=H","DateFormat=P","Fill=—","Direction=H","UseDPDF=Y")</f>
        <v>-6.1433</v>
      </c>
      <c r="X83" s="14">
        <f>_xll.BDH("GILD US Equity","ACCOUNTS_PAYABLE_SEQ_GROWTH","FQ1 2024","FQ1 2024","Currency=USD","Period=FQ","BEST_FPERIOD_OVERRIDE=FQ","FILING_STATUS=MR","Sort=A","Dates=H","DateFormat=P","Fill=—","Direction=H","UseDPDF=Y")</f>
        <v>13.0909</v>
      </c>
      <c r="Y83" s="14">
        <f>_xll.BDH("GILD US Equity","ACCOUNTS_PAYABLE_SEQ_GROWTH","FQ2 2024","FQ2 2024","Currency=USD","Period=FQ","BEST_FPERIOD_OVERRIDE=FQ","FILING_STATUS=MR","Sort=A","Dates=H","DateFormat=P","Fill=—","Direction=H","UseDPDF=Y")</f>
        <v>-13.6656</v>
      </c>
      <c r="Z83" s="14">
        <f>_xll.BDH("GILD US Equity","ACCOUNTS_PAYABLE_SEQ_GROWTH","FQ3 2024","FQ3 2024","Currency=USD","Period=FQ","BEST_FPERIOD_OVERRIDE=FQ","FILING_STATUS=MR","Sort=A","Dates=H","DateFormat=P","Fill=—","Direction=H","UseDPDF=Y")</f>
        <v>68.156400000000005</v>
      </c>
      <c r="AA83" s="14">
        <f>_xll.BDH("GILD US Equity","ACCOUNTS_PAYABLE_SEQ_GROWTH","FQ4 2024","FQ4 2024","Currency=USD","Period=FQ","BEST_FPERIOD_OVERRIDE=FQ","FILING_STATUS=MR","Sort=A","Dates=H","DateFormat=P","Fill=—","Direction=H","UseDPDF=Y")</f>
        <v>-7.7519</v>
      </c>
    </row>
    <row r="84" spans="1:27" x14ac:dyDescent="0.25">
      <c r="A84" s="10" t="s">
        <v>1536</v>
      </c>
      <c r="B84" s="10" t="s">
        <v>1596</v>
      </c>
      <c r="C84" s="14">
        <f>_xll.BDH("GILD US Equity","ST_DEBT_SEQUENTIAL_GROWTH","FQ4 2018","FQ4 2018","Currency=USD","Period=FQ","BEST_FPERIOD_OVERRIDE=FQ","FILING_STATUS=MR","Sort=A","Dates=H","DateFormat=P","Fill=—","Direction=H","UseDPDF=Y")</f>
        <v>3.6400000000000002E-2</v>
      </c>
      <c r="D84" s="14">
        <f>_xll.BDH("GILD US Equity","ST_DEBT_SEQUENTIAL_GROWTH","FQ1 2019","FQ1 2019","Currency=USD","Period=FQ","BEST_FPERIOD_OVERRIDE=FQ","FILING_STATUS=MR","Sort=A","Dates=H","DateFormat=P","Fill=—","Direction=H","UseDPDF=Y")</f>
        <v>-6.3682999999999996</v>
      </c>
      <c r="E84" s="14">
        <f>_xll.BDH("GILD US Equity","ST_DEBT_SEQUENTIAL_GROWTH","FQ2 2019","FQ2 2019","Currency=USD","Period=FQ","BEST_FPERIOD_OVERRIDE=FQ","FILING_STATUS=MR","Sort=A","Dates=H","DateFormat=P","Fill=—","Direction=H","UseDPDF=Y")</f>
        <v>-19.471399999999999</v>
      </c>
      <c r="F84" s="14">
        <f>_xll.BDH("GILD US Equity","ST_DEBT_SEQUENTIAL_GROWTH","FQ3 2019","FQ3 2019","Currency=USD","Period=FQ","BEST_FPERIOD_OVERRIDE=FQ","FILING_STATUS=MR","Sort=A","Dates=H","DateFormat=P","Fill=—","Direction=H","UseDPDF=Y")</f>
        <v>25.048300000000001</v>
      </c>
      <c r="G84" s="14">
        <f>_xll.BDH("GILD US Equity","ST_DEBT_SEQUENTIAL_GROWTH","FQ4 2019","FQ4 2019","Currency=USD","Period=FQ","BEST_FPERIOD_OVERRIDE=FQ","FILING_STATUS=MR","Sort=A","Dates=H","DateFormat=P","Fill=—","Direction=H","UseDPDF=Y")</f>
        <v>0.2702</v>
      </c>
      <c r="H84" s="14">
        <f>_xll.BDH("GILD US Equity","ST_DEBT_SEQUENTIAL_GROWTH","FQ1 2020","FQ1 2020","Currency=USD","Period=FQ","BEST_FPERIOD_OVERRIDE=FQ","FILING_STATUS=MR","Sort=A","Dates=H","DateFormat=P","Fill=—","Direction=H","UseDPDF=Y")</f>
        <v>-23.0562</v>
      </c>
      <c r="I84" s="14">
        <f>_xll.BDH("GILD US Equity","ST_DEBT_SEQUENTIAL_GROWTH","FQ2 2020","FQ2 2020","Currency=USD","Period=FQ","BEST_FPERIOD_OVERRIDE=FQ","FILING_STATUS=MR","Sort=A","Dates=H","DateFormat=P","Fill=—","Direction=H","UseDPDF=Y")</f>
        <v>50.024999999999999</v>
      </c>
      <c r="J84" s="14">
        <f>_xll.BDH("GILD US Equity","ST_DEBT_SEQUENTIAL_GROWTH","FQ3 2020","FQ3 2020","Currency=USD","Period=FQ","BEST_FPERIOD_OVERRIDE=FQ","FILING_STATUS=MR","Sort=A","Dates=H","DateFormat=P","Fill=—","Direction=H","UseDPDF=Y")</f>
        <v>-50.05</v>
      </c>
      <c r="K84" s="14">
        <f>_xll.BDH("GILD US Equity","ST_DEBT_SEQUENTIAL_GROWTH","FQ4 2020","FQ4 2020","Currency=USD","Period=FQ","BEST_FPERIOD_OVERRIDE=FQ","FILING_STATUS=MR","Sort=A","Dates=H","DateFormat=P","Fill=—","Direction=H","UseDPDF=Y")</f>
        <v>91.188299999999998</v>
      </c>
      <c r="L84" s="14">
        <f>_xll.BDH("GILD US Equity","ST_DEBT_SEQUENTIAL_GROWTH","FQ1 2021","FQ1 2021","Currency=USD","Period=FQ","BEST_FPERIOD_OVERRIDE=FQ","FILING_STATUS=MR","Sort=A","Dates=H","DateFormat=P","Fill=—","Direction=H","UseDPDF=Y")</f>
        <v>-21.124300000000002</v>
      </c>
      <c r="M84" s="14">
        <f>_xll.BDH("GILD US Equity","ST_DEBT_SEQUENTIAL_GROWTH","FQ2 2021","FQ2 2021","Currency=USD","Period=FQ","BEST_FPERIOD_OVERRIDE=FQ","FILING_STATUS=MR","Sort=A","Dates=H","DateFormat=P","Fill=—","Direction=H","UseDPDF=Y")</f>
        <v>8.8499999999999995E-2</v>
      </c>
      <c r="N84" s="14">
        <f>_xll.BDH("GILD US Equity","ST_DEBT_SEQUENTIAL_GROWTH","FQ3 2021","FQ3 2021","Currency=USD","Period=FQ","BEST_FPERIOD_OVERRIDE=FQ","FILING_STATUS=MR","Sort=A","Dates=H","DateFormat=P","Fill=—","Direction=H","UseDPDF=Y")</f>
        <v>11.0571</v>
      </c>
      <c r="O84" s="14">
        <f>_xll.BDH("GILD US Equity","ST_DEBT_SEQUENTIAL_GROWTH","FQ4 2021","FQ4 2021","Currency=USD","Period=FQ","BEST_FPERIOD_OVERRIDE=FQ","FILING_STATUS=MR","Sort=A","Dates=H","DateFormat=P","Fill=—","Direction=H","UseDPDF=Y")</f>
        <v>-35.603299999999997</v>
      </c>
      <c r="P84" s="14">
        <f>_xll.BDH("GILD US Equity","ST_DEBT_SEQUENTIAL_GROWTH","FQ1 2022","FQ1 2022","Currency=USD","Period=FQ","BEST_FPERIOD_OVERRIDE=FQ","FILING_STATUS=MR","Sort=A","Dates=H","DateFormat=P","Fill=—","Direction=H","UseDPDF=Y")</f>
        <v>-36.610999999999997</v>
      </c>
      <c r="Q84" s="14">
        <f>_xll.BDH("GILD US Equity","ST_DEBT_SEQUENTIAL_GROWTH","FQ2 2022","FQ2 2022","Currency=USD","Period=FQ","BEST_FPERIOD_OVERRIDE=FQ","FILING_STATUS=MR","Sort=A","Dates=H","DateFormat=P","Fill=—","Direction=H","UseDPDF=Y")</f>
        <v>-0.39019999999999999</v>
      </c>
      <c r="R84" s="14">
        <f>_xll.BDH("GILD US Equity","ST_DEBT_SEQUENTIAL_GROWTH","FQ3 2022","FQ3 2022","Currency=USD","Period=FQ","BEST_FPERIOD_OVERRIDE=FQ","FILING_STATUS=MR","Sort=A","Dates=H","DateFormat=P","Fill=—","Direction=H","UseDPDF=Y")</f>
        <v>122.331</v>
      </c>
      <c r="S84" s="14">
        <f>_xll.BDH("GILD US Equity","ST_DEBT_SEQUENTIAL_GROWTH","FQ4 2022","FQ4 2022","Currency=USD","Period=FQ","BEST_FPERIOD_OVERRIDE=FQ","FILING_STATUS=MR","Sort=A","Dates=H","DateFormat=P","Fill=—","Direction=H","UseDPDF=Y")</f>
        <v>5.0220000000000002</v>
      </c>
      <c r="T84" s="14">
        <f>_xll.BDH("GILD US Equity","ST_DEBT_SEQUENTIAL_GROWTH","FQ1 2023","FQ1 2023","Currency=USD","Period=FQ","BEST_FPERIOD_OVERRIDE=FQ","FILING_STATUS=MR","Sort=A","Dates=H","DateFormat=P","Fill=—","Direction=H","UseDPDF=Y")</f>
        <v>-4.2366000000000001</v>
      </c>
      <c r="U84" s="14">
        <f>_xll.BDH("GILD US Equity","ST_DEBT_SEQUENTIAL_GROWTH","FQ2 2023","FQ2 2023","Currency=USD","Period=FQ","BEST_FPERIOD_OVERRIDE=FQ","FILING_STATUS=MR","Sort=A","Dates=H","DateFormat=P","Fill=—","Direction=H","UseDPDF=Y")</f>
        <v>76.828699999999998</v>
      </c>
      <c r="V84" s="14">
        <f>_xll.BDH("GILD US Equity","ST_DEBT_SEQUENTIAL_GROWTH","FQ3 2023","FQ3 2023","Currency=USD","Period=FQ","BEST_FPERIOD_OVERRIDE=FQ","FILING_STATUS=MR","Sort=A","Dates=H","DateFormat=P","Fill=—","Direction=H","UseDPDF=Y")</f>
        <v>-55.585799999999999</v>
      </c>
      <c r="W84" s="14">
        <f>_xll.BDH("GILD US Equity","ST_DEBT_SEQUENTIAL_GROWTH","FQ4 2023","FQ4 2023","Currency=USD","Period=FQ","BEST_FPERIOD_OVERRIDE=FQ","FILING_STATUS=MR","Sort=A","Dates=H","DateFormat=P","Fill=—","Direction=H","UseDPDF=Y")</f>
        <v>7.2504</v>
      </c>
      <c r="X84" s="14">
        <f>_xll.BDH("GILD US Equity","ST_DEBT_SEQUENTIAL_GROWTH","FQ1 2024","FQ1 2024","Currency=USD","Period=FQ","BEST_FPERIOD_OVERRIDE=FQ","FILING_STATUS=MR","Sort=A","Dates=H","DateFormat=P","Fill=—","Direction=H","UseDPDF=Y")</f>
        <v>90.691599999999994</v>
      </c>
      <c r="Y84" s="14">
        <f>_xll.BDH("GILD US Equity","ST_DEBT_SEQUENTIAL_GROWTH","FQ2 2024","FQ2 2024","Currency=USD","Period=FQ","BEST_FPERIOD_OVERRIDE=FQ","FILING_STATUS=MR","Sort=A","Dates=H","DateFormat=P","Fill=—","Direction=H","UseDPDF=Y")</f>
        <v>-50.640900000000002</v>
      </c>
      <c r="Z84" s="14">
        <f>_xll.BDH("GILD US Equity","ST_DEBT_SEQUENTIAL_GROWTH","FQ3 2024","FQ3 2024","Currency=USD","Period=FQ","BEST_FPERIOD_OVERRIDE=FQ","FILING_STATUS=MR","Sort=A","Dates=H","DateFormat=P","Fill=—","Direction=H","UseDPDF=Y")</f>
        <v>0.1105</v>
      </c>
      <c r="AA84" s="14">
        <f>_xll.BDH("GILD US Equity","ST_DEBT_SEQUENTIAL_GROWTH","FQ4 2024","FQ4 2024","Currency=USD","Period=FQ","BEST_FPERIOD_OVERRIDE=FQ","FILING_STATUS=MR","Sort=A","Dates=H","DateFormat=P","Fill=—","Direction=H","UseDPDF=Y")</f>
        <v>6.4017999999999997</v>
      </c>
    </row>
    <row r="85" spans="1:27" x14ac:dyDescent="0.25">
      <c r="A85" s="10" t="s">
        <v>1538</v>
      </c>
      <c r="B85" s="10" t="s">
        <v>1597</v>
      </c>
      <c r="C85" s="14">
        <f>_xll.BDH("GILD US Equity","TOTAL_DEBT_SEQUENTIAL_GROWTH","FQ4 2018","FQ4 2018","Currency=USD","Period=FQ","BEST_FPERIOD_OVERRIDE=FQ","FILING_STATUS=MR","Sort=A","Dates=H","DateFormat=P","Fill=—","Direction=H","UseDPDF=Y")</f>
        <v>1.83E-2</v>
      </c>
      <c r="D85" s="14">
        <f>_xll.BDH("GILD US Equity","TOTAL_DEBT_SEQUENTIAL_GROWTH","FQ1 2019","FQ1 2019","Currency=USD","Period=FQ","BEST_FPERIOD_OVERRIDE=FQ","FILING_STATUS=MR","Sort=A","Dates=H","DateFormat=P","Fill=—","Direction=H","UseDPDF=Y")</f>
        <v>-0.87839999999999996</v>
      </c>
      <c r="E85" s="14">
        <f>_xll.BDH("GILD US Equity","TOTAL_DEBT_SEQUENTIAL_GROWTH","FQ2 2019","FQ2 2019","Currency=USD","Period=FQ","BEST_FPERIOD_OVERRIDE=FQ","FILING_STATUS=MR","Sort=A","Dates=H","DateFormat=P","Fill=—","Direction=H","UseDPDF=Y")</f>
        <v>-1.6432</v>
      </c>
      <c r="F85" s="14">
        <f>_xll.BDH("GILD US Equity","TOTAL_DEBT_SEQUENTIAL_GROWTH","FQ3 2019","FQ3 2019","Currency=USD","Period=FQ","BEST_FPERIOD_OVERRIDE=FQ","FILING_STATUS=MR","Sort=A","Dates=H","DateFormat=P","Fill=—","Direction=H","UseDPDF=Y")</f>
        <v>-5.0193000000000003</v>
      </c>
      <c r="G85" s="14">
        <f>_xll.BDH("GILD US Equity","TOTAL_DEBT_SEQUENTIAL_GROWTH","FQ4 2019","FQ4 2019","Currency=USD","Period=FQ","BEST_FPERIOD_OVERRIDE=FQ","FILING_STATUS=MR","Sort=A","Dates=H","DateFormat=P","Fill=—","Direction=H","UseDPDF=Y")</f>
        <v>7.1099999999999997E-2</v>
      </c>
      <c r="H85" s="14">
        <f>_xll.BDH("GILD US Equity","TOTAL_DEBT_SEQUENTIAL_GROWTH","FQ1 2020","FQ1 2020","Currency=USD","Period=FQ","BEST_FPERIOD_OVERRIDE=FQ","FILING_STATUS=MR","Sort=A","Dates=H","DateFormat=P","Fill=—","Direction=H","UseDPDF=Y")</f>
        <v>-4.8227000000000002</v>
      </c>
      <c r="I85" s="14">
        <f>_xll.BDH("GILD US Equity","TOTAL_DEBT_SEQUENTIAL_GROWTH","FQ2 2020","FQ2 2020","Currency=USD","Period=FQ","BEST_FPERIOD_OVERRIDE=FQ","FILING_STATUS=MR","Sort=A","Dates=H","DateFormat=P","Fill=—","Direction=H","UseDPDF=Y")</f>
        <v>2.07E-2</v>
      </c>
      <c r="J85" s="14">
        <f>_xll.BDH("GILD US Equity","TOTAL_DEBT_SEQUENTIAL_GROWTH","FQ3 2020","FQ3 2020","Currency=USD","Period=FQ","BEST_FPERIOD_OVERRIDE=FQ","FILING_STATUS=MR","Sort=A","Dates=H","DateFormat=P","Fill=—","Direction=H","UseDPDF=Y")</f>
        <v>21.525200000000002</v>
      </c>
      <c r="K85" s="14">
        <f>_xll.BDH("GILD US Equity","TOTAL_DEBT_SEQUENTIAL_GROWTH","FQ4 2020","FQ4 2020","Currency=USD","Period=FQ","BEST_FPERIOD_OVERRIDE=FQ","FILING_STATUS=MR","Sort=A","Dates=H","DateFormat=P","Fill=—","Direction=H","UseDPDF=Y")</f>
        <v>9.6517999999999997</v>
      </c>
      <c r="L85" s="14">
        <f>_xll.BDH("GILD US Equity","TOTAL_DEBT_SEQUENTIAL_GROWTH","FQ1 2021","FQ1 2021","Currency=USD","Period=FQ","BEST_FPERIOD_OVERRIDE=FQ","FILING_STATUS=MR","Sort=A","Dates=H","DateFormat=P","Fill=—","Direction=H","UseDPDF=Y")</f>
        <v>-6.0747</v>
      </c>
      <c r="M85" s="14">
        <f>_xll.BDH("GILD US Equity","TOTAL_DEBT_SEQUENTIAL_GROWTH","FQ2 2021","FQ2 2021","Currency=USD","Period=FQ","BEST_FPERIOD_OVERRIDE=FQ","FILING_STATUS=MR","Sort=A","Dates=H","DateFormat=P","Fill=—","Direction=H","UseDPDF=Y")</f>
        <v>2.98E-2</v>
      </c>
      <c r="N85" s="14">
        <f>_xll.BDH("GILD US Equity","TOTAL_DEBT_SEQUENTIAL_GROWTH","FQ3 2021","FQ3 2021","Currency=USD","Period=FQ","BEST_FPERIOD_OVERRIDE=FQ","FILING_STATUS=MR","Sort=A","Dates=H","DateFormat=P","Fill=—","Direction=H","UseDPDF=Y")</f>
        <v>-8.2485999999999997</v>
      </c>
      <c r="O85" s="14">
        <f>_xll.BDH("GILD US Equity","TOTAL_DEBT_SEQUENTIAL_GROWTH","FQ4 2021","FQ4 2021","Currency=USD","Period=FQ","BEST_FPERIOD_OVERRIDE=FQ","FILING_STATUS=MR","Sort=A","Dates=H","DateFormat=P","Fill=—","Direction=H","UseDPDF=Y")</f>
        <v>-1.4483999999999999</v>
      </c>
      <c r="P85" s="14">
        <f>_xll.BDH("GILD US Equity","TOTAL_DEBT_SEQUENTIAL_GROWTH","FQ1 2022","FQ1 2022","Currency=USD","Period=FQ","BEST_FPERIOD_OVERRIDE=FQ","FILING_STATUS=MR","Sort=A","Dates=H","DateFormat=P","Fill=—","Direction=H","UseDPDF=Y")</f>
        <v>-3.9472</v>
      </c>
      <c r="Q85" s="14">
        <f>_xll.BDH("GILD US Equity","TOTAL_DEBT_SEQUENTIAL_GROWTH","FQ2 2022","FQ2 2022","Currency=USD","Period=FQ","BEST_FPERIOD_OVERRIDE=FQ","FILING_STATUS=MR","Sort=A","Dates=H","DateFormat=P","Fill=—","Direction=H","UseDPDF=Y")</f>
        <v>3.0499999999999999E-2</v>
      </c>
      <c r="R85" s="14">
        <f>_xll.BDH("GILD US Equity","TOTAL_DEBT_SEQUENTIAL_GROWTH","FQ3 2022","FQ3 2022","Currency=USD","Period=FQ","BEST_FPERIOD_OVERRIDE=FQ","FILING_STATUS=MR","Sort=A","Dates=H","DateFormat=P","Fill=—","Direction=H","UseDPDF=Y")</f>
        <v>-3.7877999999999998</v>
      </c>
      <c r="S85" s="14">
        <f>_xll.BDH("GILD US Equity","TOTAL_DEBT_SEQUENTIAL_GROWTH","FQ4 2022","FQ4 2022","Currency=USD","Period=FQ","BEST_FPERIOD_OVERRIDE=FQ","FILING_STATUS=MR","Sort=A","Dates=H","DateFormat=P","Fill=—","Direction=H","UseDPDF=Y")</f>
        <v>2.3193000000000001</v>
      </c>
      <c r="T85" s="14">
        <f>_xll.BDH("GILD US Equity","TOTAL_DEBT_SEQUENTIAL_GROWTH","FQ1 2023","FQ1 2023","Currency=USD","Period=FQ","BEST_FPERIOD_OVERRIDE=FQ","FILING_STATUS=MR","Sort=A","Dates=H","DateFormat=P","Fill=—","Direction=H","UseDPDF=Y")</f>
        <v>-2.2046999999999999</v>
      </c>
      <c r="U85" s="14">
        <f>_xll.BDH("GILD US Equity","TOTAL_DEBT_SEQUENTIAL_GROWTH","FQ2 2023","FQ2 2023","Currency=USD","Period=FQ","BEST_FPERIOD_OVERRIDE=FQ","FILING_STATUS=MR","Sort=A","Dates=H","DateFormat=P","Fill=—","Direction=H","UseDPDF=Y")</f>
        <v>2.7699999999999999E-2</v>
      </c>
      <c r="V85" s="14">
        <f>_xll.BDH("GILD US Equity","TOTAL_DEBT_SEQUENTIAL_GROWTH","FQ3 2023","FQ3 2023","Currency=USD","Period=FQ","BEST_FPERIOD_OVERRIDE=FQ","FILING_STATUS=MR","Sort=A","Dates=H","DateFormat=P","Fill=—","Direction=H","UseDPDF=Y")</f>
        <v>-1.0457000000000001</v>
      </c>
      <c r="W85" s="14">
        <f>_xll.BDH("GILD US Equity","TOTAL_DEBT_SEQUENTIAL_GROWTH","FQ4 2023","FQ4 2023","Currency=USD","Period=FQ","BEST_FPERIOD_OVERRIDE=FQ","FILING_STATUS=MR","Sort=A","Dates=H","DateFormat=P","Fill=—","Direction=H","UseDPDF=Y")</f>
        <v>2.7059000000000002</v>
      </c>
      <c r="X85" s="14">
        <f>_xll.BDH("GILD US Equity","TOTAL_DEBT_SEQUENTIAL_GROWTH","FQ1 2024","FQ1 2024","Currency=USD","Period=FQ","BEST_FPERIOD_OVERRIDE=FQ","FILING_STATUS=MR","Sort=A","Dates=H","DateFormat=P","Fill=—","Direction=H","UseDPDF=Y")</f>
        <v>-1.8084</v>
      </c>
      <c r="Y85" s="14">
        <f>_xll.BDH("GILD US Equity","TOTAL_DEBT_SEQUENTIAL_GROWTH","FQ2 2024","FQ2 2024","Currency=USD","Period=FQ","BEST_FPERIOD_OVERRIDE=FQ","FILING_STATUS=MR","Sort=A","Dates=H","DateFormat=P","Fill=—","Direction=H","UseDPDF=Y")</f>
        <v>-7.3192000000000004</v>
      </c>
      <c r="Z85" s="14">
        <f>_xll.BDH("GILD US Equity","TOTAL_DEBT_SEQUENTIAL_GROWTH","FQ3 2024","FQ3 2024","Currency=USD","Period=FQ","BEST_FPERIOD_OVERRIDE=FQ","FILING_STATUS=MR","Sort=A","Dates=H","DateFormat=P","Fill=—","Direction=H","UseDPDF=Y")</f>
        <v>-0.4325</v>
      </c>
      <c r="AA85" s="14">
        <f>_xll.BDH("GILD US Equity","TOTAL_DEBT_SEQUENTIAL_GROWTH","FQ4 2024","FQ4 2024","Currency=USD","Period=FQ","BEST_FPERIOD_OVERRIDE=FQ","FILING_STATUS=MR","Sort=A","Dates=H","DateFormat=P","Fill=—","Direction=H","UseDPDF=Y")</f>
        <v>17.518999999999998</v>
      </c>
    </row>
    <row r="86" spans="1:27" x14ac:dyDescent="0.25">
      <c r="A86" s="10" t="s">
        <v>118</v>
      </c>
      <c r="B86" s="10" t="s">
        <v>1598</v>
      </c>
      <c r="C86" s="14">
        <f>_xll.BDH("GILD US Equity","TOTAL_EQUITY_SEQUENTIAL_GROWTH","FQ4 2018","FQ4 2018","Currency=USD","Period=FQ","BEST_FPERIOD_OVERRIDE=FQ","FILING_STATUS=MR","Sort=A","Dates=H","DateFormat=P","Fill=—","Direction=H","UseDPDF=Y")</f>
        <v>-6.4024000000000001</v>
      </c>
      <c r="D86" s="14">
        <f>_xll.BDH("GILD US Equity","TOTAL_EQUITY_SEQUENTIAL_GROWTH","FQ1 2019","FQ1 2019","Currency=USD","Period=FQ","BEST_FPERIOD_OVERRIDE=FQ","FILING_STATUS=MR","Sort=A","Dates=H","DateFormat=P","Fill=—","Direction=H","UseDPDF=Y")</f>
        <v>2.5865999999999998</v>
      </c>
      <c r="E86" s="14">
        <f>_xll.BDH("GILD US Equity","TOTAL_EQUITY_SEQUENTIAL_GROWTH","FQ2 2019","FQ2 2019","Currency=USD","Period=FQ","BEST_FPERIOD_OVERRIDE=FQ","FILING_STATUS=MR","Sort=A","Dates=H","DateFormat=P","Fill=—","Direction=H","UseDPDF=Y")</f>
        <v>2.9876</v>
      </c>
      <c r="F86" s="14">
        <f>_xll.BDH("GILD US Equity","TOTAL_EQUITY_SEQUENTIAL_GROWTH","FQ3 2019","FQ3 2019","Currency=USD","Period=FQ","BEST_FPERIOD_OVERRIDE=FQ","FILING_STATUS=MR","Sort=A","Dates=H","DateFormat=P","Fill=—","Direction=H","UseDPDF=Y")</f>
        <v>-8.8567999999999998</v>
      </c>
      <c r="G86" s="14">
        <f>_xll.BDH("GILD US Equity","TOTAL_EQUITY_SEQUENTIAL_GROWTH","FQ4 2019","FQ4 2019","Currency=USD","Period=FQ","BEST_FPERIOD_OVERRIDE=FQ","FILING_STATUS=MR","Sort=A","Dates=H","DateFormat=P","Fill=—","Direction=H","UseDPDF=Y")</f>
        <v>9.2302999999999997</v>
      </c>
      <c r="H86" s="14">
        <f>_xll.BDH("GILD US Equity","TOTAL_EQUITY_SEQUENTIAL_GROWTH","FQ1 2020","FQ1 2020","Currency=USD","Period=FQ","BEST_FPERIOD_OVERRIDE=FQ","FILING_STATUS=MR","Sort=A","Dates=H","DateFormat=P","Fill=—","Direction=H","UseDPDF=Y")</f>
        <v>-2.0794999999999999</v>
      </c>
      <c r="I86" s="14">
        <f>_xll.BDH("GILD US Equity","TOTAL_EQUITY_SEQUENTIAL_GROWTH","FQ2 2020","FQ2 2020","Currency=USD","Period=FQ","BEST_FPERIOD_OVERRIDE=FQ","FILING_STATUS=MR","Sort=A","Dates=H","DateFormat=P","Fill=—","Direction=H","UseDPDF=Y")</f>
        <v>-18.201899999999998</v>
      </c>
      <c r="J86" s="14">
        <f>_xll.BDH("GILD US Equity","TOTAL_EQUITY_SEQUENTIAL_GROWTH","FQ3 2020","FQ3 2020","Currency=USD","Period=FQ","BEST_FPERIOD_OVERRIDE=FQ","FILING_STATUS=MR","Sort=A","Dates=H","DateFormat=P","Fill=—","Direction=H","UseDPDF=Y")</f>
        <v>-3.6985999999999999</v>
      </c>
      <c r="K86" s="14">
        <f>_xll.BDH("GILD US Equity","TOTAL_EQUITY_SEQUENTIAL_GROWTH","FQ4 2020","FQ4 2020","Currency=USD","Period=FQ","BEST_FPERIOD_OVERRIDE=FQ","FILING_STATUS=MR","Sort=A","Dates=H","DateFormat=P","Fill=—","Direction=H","UseDPDF=Y")</f>
        <v>4.2927999999999997</v>
      </c>
      <c r="L86" s="14">
        <f>_xll.BDH("GILD US Equity","TOTAL_EQUITY_SEQUENTIAL_GROWTH","FQ1 2021","FQ1 2021","Currency=USD","Period=FQ","BEST_FPERIOD_OVERRIDE=FQ","FILING_STATUS=MR","Sort=A","Dates=H","DateFormat=P","Fill=—","Direction=H","UseDPDF=Y")</f>
        <v>4.0777000000000001</v>
      </c>
      <c r="M86" s="14">
        <f>_xll.BDH("GILD US Equity","TOTAL_EQUITY_SEQUENTIAL_GROWTH","FQ2 2021","FQ2 2021","Currency=USD","Period=FQ","BEST_FPERIOD_OVERRIDE=FQ","FILING_STATUS=MR","Sort=A","Dates=H","DateFormat=P","Fill=—","Direction=H","UseDPDF=Y")</f>
        <v>3.9338000000000002</v>
      </c>
      <c r="N86" s="14">
        <f>_xll.BDH("GILD US Equity","TOTAL_EQUITY_SEQUENTIAL_GROWTH","FQ3 2021","FQ3 2021","Currency=USD","Period=FQ","BEST_FPERIOD_OVERRIDE=FQ","FILING_STATUS=MR","Sort=A","Dates=H","DateFormat=P","Fill=—","Direction=H","UseDPDF=Y")</f>
        <v>8.9345999999999997</v>
      </c>
      <c r="O86" s="14">
        <f>_xll.BDH("GILD US Equity","TOTAL_EQUITY_SEQUENTIAL_GROWTH","FQ4 2021","FQ4 2021","Currency=USD","Period=FQ","BEST_FPERIOD_OVERRIDE=FQ","FILING_STATUS=MR","Sort=A","Dates=H","DateFormat=P","Fill=—","Direction=H","UseDPDF=Y")</f>
        <v>-1.8956</v>
      </c>
      <c r="P86" s="14">
        <f>_xll.BDH("GILD US Equity","TOTAL_EQUITY_SEQUENTIAL_GROWTH","FQ1 2022","FQ1 2022","Currency=USD","Period=FQ","BEST_FPERIOD_OVERRIDE=FQ","FILING_STATUS=MR","Sort=A","Dates=H","DateFormat=P","Fill=—","Direction=H","UseDPDF=Y")</f>
        <v>-5.4547999999999996</v>
      </c>
      <c r="Q86" s="14">
        <f>_xll.BDH("GILD US Equity","TOTAL_EQUITY_SEQUENTIAL_GROWTH","FQ2 2022","FQ2 2022","Currency=USD","Period=FQ","BEST_FPERIOD_OVERRIDE=FQ","FILING_STATUS=MR","Sort=A","Dates=H","DateFormat=P","Fill=—","Direction=H","UseDPDF=Y")</f>
        <v>1.5064</v>
      </c>
      <c r="R86" s="14">
        <f>_xll.BDH("GILD US Equity","TOTAL_EQUITY_SEQUENTIAL_GROWTH","FQ3 2022","FQ3 2022","Currency=USD","Period=FQ","BEST_FPERIOD_OVERRIDE=FQ","FILING_STATUS=MR","Sort=A","Dates=H","DateFormat=P","Fill=—","Direction=H","UseDPDF=Y")</f>
        <v>4.1651999999999996</v>
      </c>
      <c r="S86" s="14">
        <f>_xll.BDH("GILD US Equity","TOTAL_EQUITY_SEQUENTIAL_GROWTH","FQ4 2022","FQ4 2022","Currency=USD","Period=FQ","BEST_FPERIOD_OVERRIDE=FQ","FILING_STATUS=MR","Sort=A","Dates=H","DateFormat=P","Fill=—","Direction=H","UseDPDF=Y")</f>
        <v>0.72189999999999999</v>
      </c>
      <c r="T86" s="14">
        <f>_xll.BDH("GILD US Equity","TOTAL_EQUITY_SEQUENTIAL_GROWTH","FQ1 2023","FQ1 2023","Currency=USD","Period=FQ","BEST_FPERIOD_OVERRIDE=FQ","FILING_STATUS=MR","Sort=A","Dates=H","DateFormat=P","Fill=—","Direction=H","UseDPDF=Y")</f>
        <v>-1.2729999999999999</v>
      </c>
      <c r="U86" s="14">
        <f>_xll.BDH("GILD US Equity","TOTAL_EQUITY_SEQUENTIAL_GROWTH","FQ2 2023","FQ2 2023","Currency=USD","Period=FQ","BEST_FPERIOD_OVERRIDE=FQ","FILING_STATUS=MR","Sort=A","Dates=H","DateFormat=P","Fill=—","Direction=H","UseDPDF=Y")</f>
        <v>0.74019999999999997</v>
      </c>
      <c r="V86" s="14">
        <f>_xll.BDH("GILD US Equity","TOTAL_EQUITY_SEQUENTIAL_GROWTH","FQ3 2023","FQ3 2023","Currency=USD","Period=FQ","BEST_FPERIOD_OVERRIDE=FQ","FILING_STATUS=MR","Sort=A","Dates=H","DateFormat=P","Fill=—","Direction=H","UseDPDF=Y")</f>
        <v>5.4470000000000001</v>
      </c>
      <c r="W86" s="14">
        <f>_xll.BDH("GILD US Equity","TOTAL_EQUITY_SEQUENTIAL_GROWTH","FQ4 2023","FQ4 2023","Currency=USD","Period=FQ","BEST_FPERIOD_OVERRIDE=FQ","FILING_STATUS=MR","Sort=A","Dates=H","DateFormat=P","Fill=—","Direction=H","UseDPDF=Y")</f>
        <v>2.2749000000000001</v>
      </c>
      <c r="X86" s="14">
        <f>_xll.BDH("GILD US Equity","TOTAL_EQUITY_SEQUENTIAL_GROWTH","FQ1 2024","FQ1 2024","Currency=USD","Period=FQ","BEST_FPERIOD_OVERRIDE=FQ","FILING_STATUS=MR","Sort=A","Dates=H","DateFormat=P","Fill=—","Direction=H","UseDPDF=Y")</f>
        <v>-23.2714</v>
      </c>
      <c r="Y86" s="14">
        <f>_xll.BDH("GILD US Equity","TOTAL_EQUITY_SEQUENTIAL_GROWTH","FQ2 2024","FQ2 2024","Currency=USD","Period=FQ","BEST_FPERIOD_OVERRIDE=FQ","FILING_STATUS=MR","Sort=A","Dates=H","DateFormat=P","Fill=—","Direction=H","UseDPDF=Y")</f>
        <v>4.2508999999999997</v>
      </c>
      <c r="Z86" s="14">
        <f>_xll.BDH("GILD US Equity","TOTAL_EQUITY_SEQUENTIAL_GROWTH","FQ3 2024","FQ3 2024","Currency=USD","Period=FQ","BEST_FPERIOD_OVERRIDE=FQ","FILING_STATUS=MR","Sort=A","Dates=H","DateFormat=P","Fill=—","Direction=H","UseDPDF=Y")</f>
        <v>1.0606</v>
      </c>
      <c r="AA86" s="14">
        <f>_xll.BDH("GILD US Equity","TOTAL_EQUITY_SEQUENTIAL_GROWTH","FQ4 2024","FQ4 2024","Currency=USD","Period=FQ","BEST_FPERIOD_OVERRIDE=FQ","FILING_STATUS=MR","Sort=A","Dates=H","DateFormat=P","Fill=—","Direction=H","UseDPDF=Y")</f>
        <v>4.6547000000000001</v>
      </c>
    </row>
    <row r="87" spans="1:27" x14ac:dyDescent="0.25">
      <c r="A87" s="10" t="s">
        <v>1541</v>
      </c>
      <c r="B87" s="10" t="s">
        <v>1599</v>
      </c>
      <c r="C87" s="14">
        <f>_xll.BDH("GILD US Equity","TOTAL_CAPITAL_SEQUENTIAL_GROWTH","FQ4 2018","FQ4 2018","Currency=USD","Period=FQ","BEST_FPERIOD_OVERRIDE=FQ","FILING_STATUS=MR","Sort=A","Dates=H","DateFormat=P","Fill=—","Direction=H","UseDPDF=Y")</f>
        <v>-2.9171</v>
      </c>
      <c r="D87" s="14">
        <f>_xll.BDH("GILD US Equity","TOTAL_CAPITAL_SEQUENTIAL_GROWTH","FQ1 2019","FQ1 2019","Currency=USD","Period=FQ","BEST_FPERIOD_OVERRIDE=FQ","FILING_STATUS=MR","Sort=A","Dates=H","DateFormat=P","Fill=—","Direction=H","UseDPDF=Y")</f>
        <v>0.64880000000000004</v>
      </c>
      <c r="E87" s="14">
        <f>_xll.BDH("GILD US Equity","TOTAL_CAPITAL_SEQUENTIAL_GROWTH","FQ2 2019","FQ2 2019","Currency=USD","Period=FQ","BEST_FPERIOD_OVERRIDE=FQ","FILING_STATUS=MR","Sort=A","Dates=H","DateFormat=P","Fill=—","Direction=H","UseDPDF=Y")</f>
        <v>0.43719999999999998</v>
      </c>
      <c r="F87" s="14">
        <f>_xll.BDH("GILD US Equity","TOTAL_CAPITAL_SEQUENTIAL_GROWTH","FQ3 2019","FQ3 2019","Currency=USD","Period=FQ","BEST_FPERIOD_OVERRIDE=FQ","FILING_STATUS=MR","Sort=A","Dates=H","DateFormat=P","Fill=—","Direction=H","UseDPDF=Y")</f>
        <v>-6.7870999999999997</v>
      </c>
      <c r="G87" s="14">
        <f>_xll.BDH("GILD US Equity","TOTAL_CAPITAL_SEQUENTIAL_GROWTH","FQ4 2019","FQ4 2019","Currency=USD","Period=FQ","BEST_FPERIOD_OVERRIDE=FQ","FILING_STATUS=MR","Sort=A","Dates=H","DateFormat=P","Fill=—","Direction=H","UseDPDF=Y")</f>
        <v>4.1966999999999999</v>
      </c>
      <c r="H87" s="14">
        <f>_xll.BDH("GILD US Equity","TOTAL_CAPITAL_SEQUENTIAL_GROWTH","FQ1 2020","FQ1 2020","Currency=USD","Period=FQ","BEST_FPERIOD_OVERRIDE=FQ","FILING_STATUS=MR","Sort=A","Dates=H","DateFormat=P","Fill=—","Direction=H","UseDPDF=Y")</f>
        <v>-3.5274000000000001</v>
      </c>
      <c r="I87" s="14">
        <f>_xll.BDH("GILD US Equity","TOTAL_CAPITAL_SEQUENTIAL_GROWTH","FQ2 2020","FQ2 2020","Currency=USD","Period=FQ","BEST_FPERIOD_OVERRIDE=FQ","FILING_STATUS=MR","Sort=A","Dates=H","DateFormat=P","Fill=—","Direction=H","UseDPDF=Y")</f>
        <v>-8.7128999999999994</v>
      </c>
      <c r="J87" s="14">
        <f>_xll.BDH("GILD US Equity","TOTAL_CAPITAL_SEQUENTIAL_GROWTH","FQ3 2020","FQ3 2020","Currency=USD","Period=FQ","BEST_FPERIOD_OVERRIDE=FQ","FILING_STATUS=MR","Sort=A","Dates=H","DateFormat=P","Fill=—","Direction=H","UseDPDF=Y")</f>
        <v>10.692600000000001</v>
      </c>
      <c r="K87" s="14">
        <f>_xll.BDH("GILD US Equity","TOTAL_CAPITAL_SEQUENTIAL_GROWTH","FQ4 2020","FQ4 2020","Currency=USD","Period=FQ","BEST_FPERIOD_OVERRIDE=FQ","FILING_STATUS=MR","Sort=A","Dates=H","DateFormat=P","Fill=—","Direction=H","UseDPDF=Y")</f>
        <v>7.6494999999999997</v>
      </c>
      <c r="L87" s="14">
        <f>_xll.BDH("GILD US Equity","TOTAL_CAPITAL_SEQUENTIAL_GROWTH","FQ1 2021","FQ1 2021","Currency=USD","Period=FQ","BEST_FPERIOD_OVERRIDE=FQ","FILING_STATUS=MR","Sort=A","Dates=H","DateFormat=P","Fill=—","Direction=H","UseDPDF=Y")</f>
        <v>-2.3997999999999999</v>
      </c>
      <c r="M87" s="14">
        <f>_xll.BDH("GILD US Equity","TOTAL_CAPITAL_SEQUENTIAL_GROWTH","FQ2 2021","FQ2 2021","Currency=USD","Period=FQ","BEST_FPERIOD_OVERRIDE=FQ","FILING_STATUS=MR","Sort=A","Dates=H","DateFormat=P","Fill=—","Direction=H","UseDPDF=Y")</f>
        <v>1.5367</v>
      </c>
      <c r="N87" s="14">
        <f>_xll.BDH("GILD US Equity","TOTAL_CAPITAL_SEQUENTIAL_GROWTH","FQ3 2021","FQ3 2021","Currency=USD","Period=FQ","BEST_FPERIOD_OVERRIDE=FQ","FILING_STATUS=MR","Sort=A","Dates=H","DateFormat=P","Fill=—","Direction=H","UseDPDF=Y")</f>
        <v>-1.4594</v>
      </c>
      <c r="O87" s="14">
        <f>_xll.BDH("GILD US Equity","TOTAL_CAPITAL_SEQUENTIAL_GROWTH","FQ4 2021","FQ4 2021","Currency=USD","Period=FQ","BEST_FPERIOD_OVERRIDE=FQ","FILING_STATUS=MR","Sort=A","Dates=H","DateFormat=P","Fill=—","Direction=H","UseDPDF=Y")</f>
        <v>-1.6436999999999999</v>
      </c>
      <c r="P87" s="14">
        <f>_xll.BDH("GILD US Equity","TOTAL_CAPITAL_SEQUENTIAL_GROWTH","FQ1 2022","FQ1 2022","Currency=USD","Period=FQ","BEST_FPERIOD_OVERRIDE=FQ","FILING_STATUS=MR","Sort=A","Dates=H","DateFormat=P","Fill=—","Direction=H","UseDPDF=Y")</f>
        <v>-4.6040000000000001</v>
      </c>
      <c r="Q87" s="14">
        <f>_xll.BDH("GILD US Equity","TOTAL_CAPITAL_SEQUENTIAL_GROWTH","FQ2 2022","FQ2 2022","Currency=USD","Period=FQ","BEST_FPERIOD_OVERRIDE=FQ","FILING_STATUS=MR","Sort=A","Dates=H","DateFormat=P","Fill=—","Direction=H","UseDPDF=Y")</f>
        <v>0.66779999999999995</v>
      </c>
      <c r="R87" s="14">
        <f>_xll.BDH("GILD US Equity","TOTAL_CAPITAL_SEQUENTIAL_GROWTH","FQ3 2022","FQ3 2022","Currency=USD","Period=FQ","BEST_FPERIOD_OVERRIDE=FQ","FILING_STATUS=MR","Sort=A","Dates=H","DateFormat=P","Fill=—","Direction=H","UseDPDF=Y")</f>
        <v>-0.32519999999999999</v>
      </c>
      <c r="S87" s="14">
        <f>_xll.BDH("GILD US Equity","TOTAL_CAPITAL_SEQUENTIAL_GROWTH","FQ4 2022","FQ4 2022","Currency=USD","Period=FQ","BEST_FPERIOD_OVERRIDE=FQ","FILING_STATUS=MR","Sort=A","Dates=H","DateFormat=P","Fill=—","Direction=H","UseDPDF=Y")</f>
        <v>1.5925</v>
      </c>
      <c r="T87" s="14">
        <f>_xll.BDH("GILD US Equity","TOTAL_CAPITAL_SEQUENTIAL_GROWTH","FQ1 2023","FQ1 2023","Currency=USD","Period=FQ","BEST_FPERIOD_OVERRIDE=FQ","FILING_STATUS=MR","Sort=A","Dates=H","DateFormat=P","Fill=—","Direction=H","UseDPDF=Y")</f>
        <v>-1.7845</v>
      </c>
      <c r="U87" s="14">
        <f>_xll.BDH("GILD US Equity","TOTAL_CAPITAL_SEQUENTIAL_GROWTH","FQ2 2023","FQ2 2023","Currency=USD","Period=FQ","BEST_FPERIOD_OVERRIDE=FQ","FILING_STATUS=MR","Sort=A","Dates=H","DateFormat=P","Fill=—","Direction=H","UseDPDF=Y")</f>
        <v>0.3508</v>
      </c>
      <c r="V87" s="14">
        <f>_xll.BDH("GILD US Equity","TOTAL_CAPITAL_SEQUENTIAL_GROWTH","FQ3 2023","FQ3 2023","Currency=USD","Period=FQ","BEST_FPERIOD_OVERRIDE=FQ","FILING_STATUS=MR","Sort=A","Dates=H","DateFormat=P","Fill=—","Direction=H","UseDPDF=Y")</f>
        <v>1.9097999999999999</v>
      </c>
      <c r="W87" s="14">
        <f>_xll.BDH("GILD US Equity","TOTAL_CAPITAL_SEQUENTIAL_GROWTH","FQ4 2023","FQ4 2023","Currency=USD","Period=FQ","BEST_FPERIOD_OVERRIDE=FQ","FILING_STATUS=MR","Sort=A","Dates=H","DateFormat=P","Fill=—","Direction=H","UseDPDF=Y")</f>
        <v>2.5028999999999999</v>
      </c>
      <c r="X87" s="14">
        <f>_xll.BDH("GILD US Equity","TOTAL_CAPITAL_SEQUENTIAL_GROWTH","FQ1 2024","FQ1 2024","Currency=USD","Period=FQ","BEST_FPERIOD_OVERRIDE=FQ","FILING_STATUS=MR","Sort=A","Dates=H","DateFormat=P","Fill=—","Direction=H","UseDPDF=Y")</f>
        <v>-11.895</v>
      </c>
      <c r="Y87" s="14">
        <f>_xll.BDH("GILD US Equity","TOTAL_CAPITAL_SEQUENTIAL_GROWTH","FQ2 2024","FQ2 2024","Currency=USD","Period=FQ","BEST_FPERIOD_OVERRIDE=FQ","FILING_STATUS=MR","Sort=A","Dates=H","DateFormat=P","Fill=—","Direction=H","UseDPDF=Y")</f>
        <v>-2.5838999999999999</v>
      </c>
      <c r="Z87" s="14">
        <f>_xll.BDH("GILD US Equity","TOTAL_CAPITAL_SEQUENTIAL_GROWTH","FQ3 2024","FQ3 2024","Currency=USD","Period=FQ","BEST_FPERIOD_OVERRIDE=FQ","FILING_STATUS=MR","Sort=A","Dates=H","DateFormat=P","Fill=—","Direction=H","UseDPDF=Y")</f>
        <v>0.22140000000000001</v>
      </c>
      <c r="AA87" s="14">
        <f>_xll.BDH("GILD US Equity","TOTAL_CAPITAL_SEQUENTIAL_GROWTH","FQ4 2024","FQ4 2024","Currency=USD","Period=FQ","BEST_FPERIOD_OVERRIDE=FQ","FILING_STATUS=MR","Sort=A","Dates=H","DateFormat=P","Fill=—","Direction=H","UseDPDF=Y")</f>
        <v>11.8375</v>
      </c>
    </row>
    <row r="88" spans="1:27" x14ac:dyDescent="0.25">
      <c r="A88" s="10" t="s">
        <v>1543</v>
      </c>
      <c r="B88" s="10" t="s">
        <v>1600</v>
      </c>
      <c r="C88" s="14">
        <f>_xll.BDH("GILD US Equity","BPS_SEQUENTIAL_GROWTH","FQ4 2018","FQ4 2018","Currency=USD","Period=FQ","BEST_FPERIOD_OVERRIDE=FQ","FILING_STATUS=MR","Sort=A","Dates=H","DateFormat=P","Fill=—","Direction=H","UseDPDF=Y")</f>
        <v>-5.5720000000000001</v>
      </c>
      <c r="D88" s="14">
        <f>_xll.BDH("GILD US Equity","BPS_SEQUENTIAL_GROWTH","FQ1 2019","FQ1 2019","Currency=USD","Period=FQ","BEST_FPERIOD_OVERRIDE=FQ","FILING_STATUS=MR","Sort=A","Dates=H","DateFormat=P","Fill=—","Direction=H","UseDPDF=Y")</f>
        <v>3.2816000000000001</v>
      </c>
      <c r="E88" s="14">
        <f>_xll.BDH("GILD US Equity","BPS_SEQUENTIAL_GROWTH","FQ2 2019","FQ2 2019","Currency=USD","Period=FQ","BEST_FPERIOD_OVERRIDE=FQ","FILING_STATUS=MR","Sort=A","Dates=H","DateFormat=P","Fill=—","Direction=H","UseDPDF=Y")</f>
        <v>3.5987</v>
      </c>
      <c r="F88" s="14">
        <f>_xll.BDH("GILD US Equity","BPS_SEQUENTIAL_GROWTH","FQ3 2019","FQ3 2019","Currency=USD","Period=FQ","BEST_FPERIOD_OVERRIDE=FQ","FILING_STATUS=MR","Sort=A","Dates=H","DateFormat=P","Fill=—","Direction=H","UseDPDF=Y")</f>
        <v>-8.8244000000000007</v>
      </c>
      <c r="G88" s="14">
        <f>_xll.BDH("GILD US Equity","BPS_SEQUENTIAL_GROWTH","FQ4 2019","FQ4 2019","Currency=USD","Period=FQ","BEST_FPERIOD_OVERRIDE=FQ","FILING_STATUS=MR","Sort=A","Dates=H","DateFormat=P","Fill=—","Direction=H","UseDPDF=Y")</f>
        <v>9.3233999999999995</v>
      </c>
      <c r="H88" s="14">
        <f>_xll.BDH("GILD US Equity","BPS_SEQUENTIAL_GROWTH","FQ1 2020","FQ1 2020","Currency=USD","Period=FQ","BEST_FPERIOD_OVERRIDE=FQ","FILING_STATUS=MR","Sort=A","Dates=H","DateFormat=P","Fill=—","Direction=H","UseDPDF=Y")</f>
        <v>-1.0958000000000001</v>
      </c>
      <c r="I88" s="14">
        <f>_xll.BDH("GILD US Equity","BPS_SEQUENTIAL_GROWTH","FQ2 2020","FQ2 2020","Currency=USD","Period=FQ","BEST_FPERIOD_OVERRIDE=FQ","FILING_STATUS=MR","Sort=A","Dates=H","DateFormat=P","Fill=—","Direction=H","UseDPDF=Y")</f>
        <v>-18.3079</v>
      </c>
      <c r="J88" s="14">
        <f>_xll.BDH("GILD US Equity","BPS_SEQUENTIAL_GROWTH","FQ3 2020","FQ3 2020","Currency=USD","Period=FQ","BEST_FPERIOD_OVERRIDE=FQ","FILING_STATUS=MR","Sort=A","Dates=H","DateFormat=P","Fill=—","Direction=H","UseDPDF=Y")</f>
        <v>-3.1513</v>
      </c>
      <c r="K88" s="14">
        <f>_xll.BDH("GILD US Equity","BPS_SEQUENTIAL_GROWTH","FQ4 2020","FQ4 2020","Currency=USD","Period=FQ","BEST_FPERIOD_OVERRIDE=FQ","FILING_STATUS=MR","Sort=A","Dates=H","DateFormat=P","Fill=—","Direction=H","UseDPDF=Y")</f>
        <v>4.2561</v>
      </c>
      <c r="L88" s="14">
        <f>_xll.BDH("GILD US Equity","BPS_SEQUENTIAL_GROWTH","FQ1 2021","FQ1 2021","Currency=USD","Period=FQ","BEST_FPERIOD_OVERRIDE=FQ","FILING_STATUS=MR","Sort=A","Dates=H","DateFormat=P","Fill=—","Direction=H","UseDPDF=Y")</f>
        <v>4.1204000000000001</v>
      </c>
      <c r="M88" s="14">
        <f>_xll.BDH("GILD US Equity","BPS_SEQUENTIAL_GROWTH","FQ2 2021","FQ2 2021","Currency=USD","Period=FQ","BEST_FPERIOD_OVERRIDE=FQ","FILING_STATUS=MR","Sort=A","Dates=H","DateFormat=P","Fill=—","Direction=H","UseDPDF=Y")</f>
        <v>3.9626000000000001</v>
      </c>
      <c r="N88" s="14">
        <f>_xll.BDH("GILD US Equity","BPS_SEQUENTIAL_GROWTH","FQ3 2021","FQ3 2021","Currency=USD","Period=FQ","BEST_FPERIOD_OVERRIDE=FQ","FILING_STATUS=MR","Sort=A","Dates=H","DateFormat=P","Fill=—","Direction=H","UseDPDF=Y")</f>
        <v>8.8813999999999993</v>
      </c>
      <c r="O88" s="14">
        <f>_xll.BDH("GILD US Equity","BPS_SEQUENTIAL_GROWTH","FQ4 2021","FQ4 2021","Currency=USD","Period=FQ","BEST_FPERIOD_OVERRIDE=FQ","FILING_STATUS=MR","Sort=A","Dates=H","DateFormat=P","Fill=—","Direction=H","UseDPDF=Y")</f>
        <v>-1.7895000000000001</v>
      </c>
      <c r="P88" s="14">
        <f>_xll.BDH("GILD US Equity","BPS_SEQUENTIAL_GROWTH","FQ1 2022","FQ1 2022","Currency=USD","Period=FQ","BEST_FPERIOD_OVERRIDE=FQ","FILING_STATUS=MR","Sort=A","Dates=H","DateFormat=P","Fill=—","Direction=H","UseDPDF=Y")</f>
        <v>-5.4955999999999996</v>
      </c>
      <c r="Q88" s="14">
        <f>_xll.BDH("GILD US Equity","BPS_SEQUENTIAL_GROWTH","FQ2 2022","FQ2 2022","Currency=USD","Period=FQ","BEST_FPERIOD_OVERRIDE=FQ","FILING_STATUS=MR","Sort=A","Dates=H","DateFormat=P","Fill=—","Direction=H","UseDPDF=Y")</f>
        <v>1.6315999999999999</v>
      </c>
      <c r="R88" s="14">
        <f>_xll.BDH("GILD US Equity","BPS_SEQUENTIAL_GROWTH","FQ3 2022","FQ3 2022","Currency=USD","Period=FQ","BEST_FPERIOD_OVERRIDE=FQ","FILING_STATUS=MR","Sort=A","Dates=H","DateFormat=P","Fill=—","Direction=H","UseDPDF=Y")</f>
        <v>4.1757</v>
      </c>
      <c r="S88" s="14">
        <f>_xll.BDH("GILD US Equity","BPS_SEQUENTIAL_GROWTH","FQ4 2022","FQ4 2022","Currency=USD","Period=FQ","BEST_FPERIOD_OVERRIDE=FQ","FILING_STATUS=MR","Sort=A","Dates=H","DateFormat=P","Fill=—","Direction=H","UseDPDF=Y")</f>
        <v>1.3198000000000001</v>
      </c>
      <c r="T88" s="14">
        <f>_xll.BDH("GILD US Equity","BPS_SEQUENTIAL_GROWTH","FQ1 2023","FQ1 2023","Currency=USD","Period=FQ","BEST_FPERIOD_OVERRIDE=FQ","FILING_STATUS=MR","Sort=A","Dates=H","DateFormat=P","Fill=—","Direction=H","UseDPDF=Y")</f>
        <v>-1.2233000000000001</v>
      </c>
      <c r="U88" s="14">
        <f>_xll.BDH("GILD US Equity","BPS_SEQUENTIAL_GROWTH","FQ2 2023","FQ2 2023","Currency=USD","Period=FQ","BEST_FPERIOD_OVERRIDE=FQ","FILING_STATUS=MR","Sort=A","Dates=H","DateFormat=P","Fill=—","Direction=H","UseDPDF=Y")</f>
        <v>0.84760000000000002</v>
      </c>
      <c r="V88" s="14">
        <f>_xll.BDH("GILD US Equity","BPS_SEQUENTIAL_GROWTH","FQ3 2023","FQ3 2023","Currency=USD","Period=FQ","BEST_FPERIOD_OVERRIDE=FQ","FILING_STATUS=MR","Sort=A","Dates=H","DateFormat=P","Fill=—","Direction=H","UseDPDF=Y")</f>
        <v>5.4683999999999999</v>
      </c>
      <c r="W88" s="14">
        <f>_xll.BDH("GILD US Equity","BPS_SEQUENTIAL_GROWTH","FQ4 2023","FQ4 2023","Currency=USD","Period=FQ","BEST_FPERIOD_OVERRIDE=FQ","FILING_STATUS=MR","Sort=A","Dates=H","DateFormat=P","Fill=—","Direction=H","UseDPDF=Y")</f>
        <v>2.4034</v>
      </c>
      <c r="X88" s="14">
        <f>_xll.BDH("GILD US Equity","BPS_SEQUENTIAL_GROWTH","FQ1 2024","FQ1 2024","Currency=USD","Period=FQ","BEST_FPERIOD_OVERRIDE=FQ","FILING_STATUS=MR","Sort=A","Dates=H","DateFormat=P","Fill=—","Direction=H","UseDPDF=Y")</f>
        <v>-23.185700000000001</v>
      </c>
      <c r="Y88" s="14">
        <f>_xll.BDH("GILD US Equity","BPS_SEQUENTIAL_GROWTH","FQ2 2024","FQ2 2024","Currency=USD","Period=FQ","BEST_FPERIOD_OVERRIDE=FQ","FILING_STATUS=MR","Sort=A","Dates=H","DateFormat=P","Fill=—","Direction=H","UseDPDF=Y")</f>
        <v>4.2305999999999999</v>
      </c>
      <c r="Z88" s="14">
        <f>_xll.BDH("GILD US Equity","BPS_SEQUENTIAL_GROWTH","FQ3 2024","FQ3 2024","Currency=USD","Period=FQ","BEST_FPERIOD_OVERRIDE=FQ","FILING_STATUS=MR","Sort=A","Dates=H","DateFormat=P","Fill=—","Direction=H","UseDPDF=Y")</f>
        <v>1.0557000000000001</v>
      </c>
      <c r="AA88" s="14">
        <f>_xll.BDH("GILD US Equity","BPS_SEQUENTIAL_GROWTH","FQ4 2024","FQ4 2024","Currency=USD","Period=FQ","BEST_FPERIOD_OVERRIDE=FQ","FILING_STATUS=MR","Sort=A","Dates=H","DateFormat=P","Fill=—","Direction=H","UseDPDF=Y")</f>
        <v>4.6334999999999997</v>
      </c>
    </row>
    <row r="89" spans="1:27" x14ac:dyDescent="0.25">
      <c r="A89" s="10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25">
      <c r="A90" s="10" t="s">
        <v>124</v>
      </c>
      <c r="B90" s="10" t="s">
        <v>1601</v>
      </c>
      <c r="C90" s="14">
        <f>_xll.BDH("GILD US Equity","CFO_SEQUENTIAL_GROWTH","FQ4 2018","FQ4 2018","Currency=USD","Period=FQ","BEST_FPERIOD_OVERRIDE=FQ","FILING_STATUS=MR","Sort=A","Dates=H","DateFormat=P","Fill=—","Direction=H","UseDPDF=Y")</f>
        <v>6.0126999999999997</v>
      </c>
      <c r="D90" s="14">
        <f>_xll.BDH("GILD US Equity","CFO_SEQUENTIAL_GROWTH","FQ1 2019","FQ1 2019","Currency=USD","Period=FQ","BEST_FPERIOD_OVERRIDE=FQ","FILING_STATUS=MR","Sort=A","Dates=H","DateFormat=P","Fill=—","Direction=H","UseDPDF=Y")</f>
        <v>-38.422199999999997</v>
      </c>
      <c r="E90" s="14">
        <f>_xll.BDH("GILD US Equity","CFO_SEQUENTIAL_GROWTH","FQ2 2019","FQ2 2019","Currency=USD","Period=FQ","BEST_FPERIOD_OVERRIDE=FQ","FILING_STATUS=MR","Sort=A","Dates=H","DateFormat=P","Fill=—","Direction=H","UseDPDF=Y")</f>
        <v>62.188400000000001</v>
      </c>
      <c r="F90" s="14">
        <f>_xll.BDH("GILD US Equity","CFO_SEQUENTIAL_GROWTH","FQ3 2019","FQ3 2019","Currency=USD","Period=FQ","BEST_FPERIOD_OVERRIDE=FQ","FILING_STATUS=MR","Sort=A","Dates=H","DateFormat=P","Fill=—","Direction=H","UseDPDF=Y")</f>
        <v>23.783100000000001</v>
      </c>
      <c r="G90" s="14">
        <f>_xll.BDH("GILD US Equity","CFO_SEQUENTIAL_GROWTH","FQ4 2019","FQ4 2019","Currency=USD","Period=FQ","BEST_FPERIOD_OVERRIDE=FQ","FILING_STATUS=MR","Sort=A","Dates=H","DateFormat=P","Fill=—","Direction=H","UseDPDF=Y")</f>
        <v>-11.0038</v>
      </c>
      <c r="H90" s="14">
        <f>_xll.BDH("GILD US Equity","CFO_SEQUENTIAL_GROWTH","FQ1 2020","FQ1 2020","Currency=USD","Period=FQ","BEST_FPERIOD_OVERRIDE=FQ","FILING_STATUS=MR","Sort=A","Dates=H","DateFormat=P","Fill=—","Direction=H","UseDPDF=Y")</f>
        <v>-44.341099999999997</v>
      </c>
      <c r="I90" s="14">
        <f>_xll.BDH("GILD US Equity","CFO_SEQUENTIAL_GROWTH","FQ2 2020","FQ2 2020","Currency=USD","Period=FQ","BEST_FPERIOD_OVERRIDE=FQ","FILING_STATUS=MR","Sort=A","Dates=H","DateFormat=P","Fill=—","Direction=H","UseDPDF=Y")</f>
        <v>78.690799999999996</v>
      </c>
      <c r="J90" s="14">
        <f>_xll.BDH("GILD US Equity","CFO_SEQUENTIAL_GROWTH","FQ3 2020","FQ3 2020","Currency=USD","Period=FQ","BEST_FPERIOD_OVERRIDE=FQ","FILING_STATUS=MR","Sort=A","Dates=H","DateFormat=P","Fill=—","Direction=H","UseDPDF=Y")</f>
        <v>-12.3149</v>
      </c>
      <c r="K90" s="14">
        <f>_xll.BDH("GILD US Equity","CFO_SEQUENTIAL_GROWTH","FQ4 2020","FQ4 2020","Currency=USD","Period=FQ","BEST_FPERIOD_OVERRIDE=FQ","FILING_STATUS=MR","Sort=A","Dates=H","DateFormat=P","Fill=—","Direction=H","UseDPDF=Y")</f>
        <v>-14.8444</v>
      </c>
      <c r="L90" s="14">
        <f>_xll.BDH("GILD US Equity","CFO_SEQUENTIAL_GROWTH","FQ1 2021","FQ1 2021","Currency=USD","Period=FQ","BEST_FPERIOD_OVERRIDE=FQ","FILING_STATUS=MR","Sort=A","Dates=H","DateFormat=P","Fill=—","Direction=H","UseDPDF=Y")</f>
        <v>36.221299999999999</v>
      </c>
      <c r="M90" s="14">
        <f>_xll.BDH("GILD US Equity","CFO_SEQUENTIAL_GROWTH","FQ2 2021","FQ2 2021","Currency=USD","Period=FQ","BEST_FPERIOD_OVERRIDE=FQ","FILING_STATUS=MR","Sort=A","Dates=H","DateFormat=P","Fill=—","Direction=H","UseDPDF=Y")</f>
        <v>-11.2644</v>
      </c>
      <c r="N90" s="14">
        <f>_xll.BDH("GILD US Equity","CFO_SEQUENTIAL_GROWTH","FQ3 2021","FQ3 2021","Currency=USD","Period=FQ","BEST_FPERIOD_OVERRIDE=FQ","FILING_STATUS=MR","Sort=A","Dates=H","DateFormat=P","Fill=—","Direction=H","UseDPDF=Y")</f>
        <v>40.457700000000003</v>
      </c>
      <c r="O90" s="14">
        <f>_xll.BDH("GILD US Equity","CFO_SEQUENTIAL_GROWTH","FQ4 2021","FQ4 2021","Currency=USD","Period=FQ","BEST_FPERIOD_OVERRIDE=FQ","FILING_STATUS=MR","Sort=A","Dates=H","DateFormat=P","Fill=—","Direction=H","UseDPDF=Y")</f>
        <v>-1.4756</v>
      </c>
      <c r="P90" s="14">
        <f>_xll.BDH("GILD US Equity","CFO_SEQUENTIAL_GROWTH","FQ1 2022","FQ1 2022","Currency=USD","Period=FQ","BEST_FPERIOD_OVERRIDE=FQ","FILING_STATUS=MR","Sort=A","Dates=H","DateFormat=P","Fill=—","Direction=H","UseDPDF=Y")</f>
        <v>-42.589700000000001</v>
      </c>
      <c r="Q90" s="14">
        <f>_xll.BDH("GILD US Equity","CFO_SEQUENTIAL_GROWTH","FQ2 2022","FQ2 2022","Currency=USD","Period=FQ","BEST_FPERIOD_OVERRIDE=FQ","FILING_STATUS=MR","Sort=A","Dates=H","DateFormat=P","Fill=—","Direction=H","UseDPDF=Y")</f>
        <v>-2.0651999999999999</v>
      </c>
      <c r="R90" s="14">
        <f>_xll.BDH("GILD US Equity","CFO_SEQUENTIAL_GROWTH","FQ3 2022","FQ3 2022","Currency=USD","Period=FQ","BEST_FPERIOD_OVERRIDE=FQ","FILING_STATUS=MR","Sort=A","Dates=H","DateFormat=P","Fill=—","Direction=H","UseDPDF=Y")</f>
        <v>58.878999999999998</v>
      </c>
      <c r="S90" s="14">
        <f>_xll.BDH("GILD US Equity","CFO_SEQUENTIAL_GROWTH","FQ4 2022","FQ4 2022","Currency=USD","Period=FQ","BEST_FPERIOD_OVERRIDE=FQ","FILING_STATUS=MR","Sort=A","Dates=H","DateFormat=P","Fill=—","Direction=H","UseDPDF=Y")</f>
        <v>-10.338800000000001</v>
      </c>
      <c r="T90" s="14">
        <f>_xll.BDH("GILD US Equity","CFO_SEQUENTIAL_GROWTH","FQ1 2023","FQ1 2023","Currency=USD","Period=FQ","BEST_FPERIOD_OVERRIDE=FQ","FILING_STATUS=MR","Sort=A","Dates=H","DateFormat=P","Fill=—","Direction=H","UseDPDF=Y")</f>
        <v>-32.0608</v>
      </c>
      <c r="U90" s="14">
        <f>_xll.BDH("GILD US Equity","CFO_SEQUENTIAL_GROWTH","FQ2 2023","FQ2 2023","Currency=USD","Period=FQ","BEST_FPERIOD_OVERRIDE=FQ","FILING_STATUS=MR","Sort=A","Dates=H","DateFormat=P","Fill=—","Direction=H","UseDPDF=Y")</f>
        <v>34.059600000000003</v>
      </c>
      <c r="V90" s="14">
        <f>_xll.BDH("GILD US Equity","CFO_SEQUENTIAL_GROWTH","FQ3 2023","FQ3 2023","Currency=USD","Period=FQ","BEST_FPERIOD_OVERRIDE=FQ","FILING_STATUS=MR","Sort=A","Dates=H","DateFormat=P","Fill=—","Direction=H","UseDPDF=Y")</f>
        <v>-24.9358</v>
      </c>
      <c r="W90" s="14">
        <f>_xll.BDH("GILD US Equity","CFO_SEQUENTIAL_GROWTH","FQ4 2023","FQ4 2023","Currency=USD","Period=FQ","BEST_FPERIOD_OVERRIDE=FQ","FILING_STATUS=MR","Sort=A","Dates=H","DateFormat=P","Fill=—","Direction=H","UseDPDF=Y")</f>
        <v>23.589700000000001</v>
      </c>
      <c r="X90" s="14">
        <f>_xll.BDH("GILD US Equity","CFO_SEQUENTIAL_GROWTH","FQ1 2024","FQ1 2024","Currency=USD","Period=FQ","BEST_FPERIOD_OVERRIDE=FQ","FILING_STATUS=MR","Sort=A","Dates=H","DateFormat=P","Fill=—","Direction=H","UseDPDF=Y")</f>
        <v>2.3052000000000001</v>
      </c>
      <c r="Y90" s="14">
        <f>_xll.BDH("GILD US Equity","CFO_SEQUENTIAL_GROWTH","FQ2 2024","FQ2 2024","Currency=USD","Period=FQ","BEST_FPERIOD_OVERRIDE=FQ","FILING_STATUS=MR","Sort=A","Dates=H","DateFormat=P","Fill=—","Direction=H","UseDPDF=Y")</f>
        <v>-40.288400000000003</v>
      </c>
      <c r="Z90" s="14">
        <f>_xll.BDH("GILD US Equity","CFO_SEQUENTIAL_GROWTH","FQ3 2024","FQ3 2024","Currency=USD","Period=FQ","BEST_FPERIOD_OVERRIDE=FQ","FILING_STATUS=MR","Sort=A","Dates=H","DateFormat=P","Fill=—","Direction=H","UseDPDF=Y")</f>
        <v>225.20750000000001</v>
      </c>
      <c r="AA90" s="14">
        <f>_xll.BDH("GILD US Equity","CFO_SEQUENTIAL_GROWTH","FQ4 2024","FQ4 2024","Currency=USD","Period=FQ","BEST_FPERIOD_OVERRIDE=FQ","FILING_STATUS=MR","Sort=A","Dates=H","DateFormat=P","Fill=—","Direction=H","UseDPDF=Y")</f>
        <v>-30.958500000000001</v>
      </c>
    </row>
    <row r="91" spans="1:27" x14ac:dyDescent="0.25">
      <c r="A91" s="10" t="s">
        <v>86</v>
      </c>
      <c r="B91" s="10" t="s">
        <v>1602</v>
      </c>
      <c r="C91" s="14">
        <f>_xll.BDH("GILD US Equity","CAPEX_SEQUENTIAL_GROWTH","FQ4 2018","FQ4 2018","Currency=USD","Period=FQ","BEST_FPERIOD_OVERRIDE=FQ","FILING_STATUS=MR","Sort=A","Dates=H","DateFormat=P","Fill=—","Direction=H","UseDPDF=Y")</f>
        <v>48.503</v>
      </c>
      <c r="D91" s="14">
        <f>_xll.BDH("GILD US Equity","CAPEX_SEQUENTIAL_GROWTH","FQ1 2019","FQ1 2019","Currency=USD","Period=FQ","BEST_FPERIOD_OVERRIDE=FQ","FILING_STATUS=MR","Sort=A","Dates=H","DateFormat=P","Fill=—","Direction=H","UseDPDF=Y")</f>
        <v>-4.4355000000000002</v>
      </c>
      <c r="E91" s="14">
        <f>_xll.BDH("GILD US Equity","CAPEX_SEQUENTIAL_GROWTH","FQ2 2019","FQ2 2019","Currency=USD","Period=FQ","BEST_FPERIOD_OVERRIDE=FQ","FILING_STATUS=MR","Sort=A","Dates=H","DateFormat=P","Fill=—","Direction=H","UseDPDF=Y")</f>
        <v>-21.940899999999999</v>
      </c>
      <c r="F91" s="14">
        <f>_xll.BDH("GILD US Equity","CAPEX_SEQUENTIAL_GROWTH","FQ3 2019","FQ3 2019","Currency=USD","Period=FQ","BEST_FPERIOD_OVERRIDE=FQ","FILING_STATUS=MR","Sort=A","Dates=H","DateFormat=P","Fill=—","Direction=H","UseDPDF=Y")</f>
        <v>8.1081000000000003</v>
      </c>
      <c r="G91" s="14">
        <f>_xll.BDH("GILD US Equity","CAPEX_SEQUENTIAL_GROWTH","FQ4 2019","FQ4 2019","Currency=USD","Period=FQ","BEST_FPERIOD_OVERRIDE=FQ","FILING_STATUS=MR","Sort=A","Dates=H","DateFormat=P","Fill=—","Direction=H","UseDPDF=Y")</f>
        <v>1.5</v>
      </c>
      <c r="H91" s="14">
        <f>_xll.BDH("GILD US Equity","CAPEX_SEQUENTIAL_GROWTH","FQ1 2020","FQ1 2020","Currency=USD","Period=FQ","BEST_FPERIOD_OVERRIDE=FQ","FILING_STATUS=MR","Sort=A","Dates=H","DateFormat=P","Fill=—","Direction=H","UseDPDF=Y")</f>
        <v>-15.763500000000001</v>
      </c>
      <c r="I91" s="14">
        <f>_xll.BDH("GILD US Equity","CAPEX_SEQUENTIAL_GROWTH","FQ2 2020","FQ2 2020","Currency=USD","Period=FQ","BEST_FPERIOD_OVERRIDE=FQ","FILING_STATUS=MR","Sort=A","Dates=H","DateFormat=P","Fill=—","Direction=H","UseDPDF=Y")</f>
        <v>-16.374300000000002</v>
      </c>
      <c r="J91" s="14">
        <f>_xll.BDH("GILD US Equity","CAPEX_SEQUENTIAL_GROWTH","FQ3 2020","FQ3 2020","Currency=USD","Period=FQ","BEST_FPERIOD_OVERRIDE=FQ","FILING_STATUS=MR","Sort=A","Dates=H","DateFormat=P","Fill=—","Direction=H","UseDPDF=Y")</f>
        <v>8.3916000000000004</v>
      </c>
      <c r="K91" s="14">
        <f>_xll.BDH("GILD US Equity","CAPEX_SEQUENTIAL_GROWTH","FQ4 2020","FQ4 2020","Currency=USD","Period=FQ","BEST_FPERIOD_OVERRIDE=FQ","FILING_STATUS=MR","Sort=A","Dates=H","DateFormat=P","Fill=—","Direction=H","UseDPDF=Y")</f>
        <v>16.7742</v>
      </c>
      <c r="L91" s="14">
        <f>_xll.BDH("GILD US Equity","CAPEX_SEQUENTIAL_GROWTH","FQ1 2021","FQ1 2021","Currency=USD","Period=FQ","BEST_FPERIOD_OVERRIDE=FQ","FILING_STATUS=MR","Sort=A","Dates=H","DateFormat=P","Fill=—","Direction=H","UseDPDF=Y")</f>
        <v>-8.8398000000000003</v>
      </c>
      <c r="M91" s="14">
        <f>_xll.BDH("GILD US Equity","CAPEX_SEQUENTIAL_GROWTH","FQ2 2021","FQ2 2021","Currency=USD","Period=FQ","BEST_FPERIOD_OVERRIDE=FQ","FILING_STATUS=MR","Sort=A","Dates=H","DateFormat=P","Fill=—","Direction=H","UseDPDF=Y")</f>
        <v>-27.878799999999998</v>
      </c>
      <c r="N91" s="14">
        <f>_xll.BDH("GILD US Equity","CAPEX_SEQUENTIAL_GROWTH","FQ3 2021","FQ3 2021","Currency=USD","Period=FQ","BEST_FPERIOD_OVERRIDE=FQ","FILING_STATUS=MR","Sort=A","Dates=H","DateFormat=P","Fill=—","Direction=H","UseDPDF=Y")</f>
        <v>16.806699999999999</v>
      </c>
      <c r="O91" s="14">
        <f>_xll.BDH("GILD US Equity","CAPEX_SEQUENTIAL_GROWTH","FQ4 2021","FQ4 2021","Currency=USD","Period=FQ","BEST_FPERIOD_OVERRIDE=FQ","FILING_STATUS=MR","Sort=A","Dates=H","DateFormat=P","Fill=—","Direction=H","UseDPDF=Y")</f>
        <v>12.2302</v>
      </c>
      <c r="P91" s="14">
        <f>_xll.BDH("GILD US Equity","CAPEX_SEQUENTIAL_GROWTH","FQ1 2022","FQ1 2022","Currency=USD","Period=FQ","BEST_FPERIOD_OVERRIDE=FQ","FILING_STATUS=MR","Sort=A","Dates=H","DateFormat=P","Fill=—","Direction=H","UseDPDF=Y")</f>
        <v>58.333300000000001</v>
      </c>
      <c r="Q91" s="14">
        <f>_xll.BDH("GILD US Equity","CAPEX_SEQUENTIAL_GROWTH","FQ2 2022","FQ2 2022","Currency=USD","Period=FQ","BEST_FPERIOD_OVERRIDE=FQ","FILING_STATUS=MR","Sort=A","Dates=H","DateFormat=P","Fill=—","Direction=H","UseDPDF=Y")</f>
        <v>-42.1053</v>
      </c>
      <c r="R91" s="14">
        <f>_xll.BDH("GILD US Equity","CAPEX_SEQUENTIAL_GROWTH","FQ3 2022","FQ3 2022","Currency=USD","Period=FQ","BEST_FPERIOD_OVERRIDE=FQ","FILING_STATUS=MR","Sort=A","Dates=H","DateFormat=P","Fill=—","Direction=H","UseDPDF=Y")</f>
        <v>9.7902000000000005</v>
      </c>
      <c r="S91" s="14">
        <f>_xll.BDH("GILD US Equity","CAPEX_SEQUENTIAL_GROWTH","FQ4 2022","FQ4 2022","Currency=USD","Period=FQ","BEST_FPERIOD_OVERRIDE=FQ","FILING_STATUS=MR","Sort=A","Dates=H","DateFormat=P","Fill=—","Direction=H","UseDPDF=Y")</f>
        <v>15.2866</v>
      </c>
      <c r="T91" s="14">
        <f>_xll.BDH("GILD US Equity","CAPEX_SEQUENTIAL_GROWTH","FQ1 2023","FQ1 2023","Currency=USD","Period=FQ","BEST_FPERIOD_OVERRIDE=FQ","FILING_STATUS=MR","Sort=A","Dates=H","DateFormat=P","Fill=—","Direction=H","UseDPDF=Y")</f>
        <v>-39.779000000000003</v>
      </c>
      <c r="U91" s="14">
        <f>_xll.BDH("GILD US Equity","CAPEX_SEQUENTIAL_GROWTH","FQ2 2023","FQ2 2023","Currency=USD","Period=FQ","BEST_FPERIOD_OVERRIDE=FQ","FILING_STATUS=MR","Sort=A","Dates=H","DateFormat=P","Fill=—","Direction=H","UseDPDF=Y")</f>
        <v>27.5229</v>
      </c>
      <c r="V91" s="14">
        <f>_xll.BDH("GILD US Equity","CAPEX_SEQUENTIAL_GROWTH","FQ3 2023","FQ3 2023","Currency=USD","Period=FQ","BEST_FPERIOD_OVERRIDE=FQ","FILING_STATUS=MR","Sort=A","Dates=H","DateFormat=P","Fill=—","Direction=H","UseDPDF=Y")</f>
        <v>-12.2302</v>
      </c>
      <c r="W91" s="14">
        <f>_xll.BDH("GILD US Equity","CAPEX_SEQUENTIAL_GROWTH","FQ4 2023","FQ4 2023","Currency=USD","Period=FQ","BEST_FPERIOD_OVERRIDE=FQ","FILING_STATUS=MR","Sort=A","Dates=H","DateFormat=P","Fill=—","Direction=H","UseDPDF=Y")</f>
        <v>76.229500000000002</v>
      </c>
      <c r="X91" s="14">
        <f>_xll.BDH("GILD US Equity","CAPEX_SEQUENTIAL_GROWTH","FQ1 2024","FQ1 2024","Currency=USD","Period=FQ","BEST_FPERIOD_OVERRIDE=FQ","FILING_STATUS=MR","Sort=A","Dates=H","DateFormat=P","Fill=—","Direction=H","UseDPDF=Y")</f>
        <v>-51.162799999999997</v>
      </c>
      <c r="Y91" s="14">
        <f>_xll.BDH("GILD US Equity","CAPEX_SEQUENTIAL_GROWTH","FQ2 2024","FQ2 2024","Currency=USD","Period=FQ","BEST_FPERIOD_OVERRIDE=FQ","FILING_STATUS=MR","Sort=A","Dates=H","DateFormat=P","Fill=—","Direction=H","UseDPDF=Y")</f>
        <v>23.8095</v>
      </c>
      <c r="Z91" s="14">
        <f>_xll.BDH("GILD US Equity","CAPEX_SEQUENTIAL_GROWTH","FQ3 2024","FQ3 2024","Currency=USD","Period=FQ","BEST_FPERIOD_OVERRIDE=FQ","FILING_STATUS=MR","Sort=A","Dates=H","DateFormat=P","Fill=—","Direction=H","UseDPDF=Y")</f>
        <v>8.4614999999999991</v>
      </c>
      <c r="AA91" s="14">
        <f>_xll.BDH("GILD US Equity","CAPEX_SEQUENTIAL_GROWTH","FQ4 2024","FQ4 2024","Currency=USD","Period=FQ","BEST_FPERIOD_OVERRIDE=FQ","FILING_STATUS=MR","Sort=A","Dates=H","DateFormat=P","Fill=—","Direction=H","UseDPDF=Y")</f>
        <v>4.2553000000000001</v>
      </c>
    </row>
    <row r="92" spans="1:27" x14ac:dyDescent="0.25">
      <c r="A92" s="10" t="s">
        <v>1468</v>
      </c>
      <c r="B92" s="10" t="s">
        <v>1603</v>
      </c>
      <c r="C92" s="14">
        <f>_xll.BDH("GILD US Equity","NET_CHANGE_IN_CASH_SEQ_GROWTH","FQ4 2018","FQ4 2018","Currency=USD","Period=FQ","BEST_FPERIOD_OVERRIDE=FQ","FILING_STATUS=MR","Sort=A","Dates=H","DateFormat=P","Fill=—","Direction=H","UseDPDF=Y")</f>
        <v>152.5094</v>
      </c>
      <c r="D92" s="14">
        <f>_xll.BDH("GILD US Equity","NET_CHANGE_IN_CASH_SEQ_GROWTH","FQ1 2019","FQ1 2019","Currency=USD","Period=FQ","BEST_FPERIOD_OVERRIDE=FQ","FILING_STATUS=MR","Sort=A","Dates=H","DateFormat=P","Fill=—","Direction=H","UseDPDF=Y")</f>
        <v>-130.0504</v>
      </c>
      <c r="E92" s="14" t="str">
        <f>_xll.BDH("GILD US Equity","NET_CHANGE_IN_CASH_SEQ_GROWTH","FQ2 2019","FQ2 2019","Currency=USD","Period=FQ","BEST_FPERIOD_OVERRIDE=FQ","FILING_STATUS=MR","Sort=A","Dates=H","DateFormat=P","Fill=—","Direction=H","UseDPDF=Y")</f>
        <v>—</v>
      </c>
      <c r="F92" s="14" t="str">
        <f>_xll.BDH("GILD US Equity","NET_CHANGE_IN_CASH_SEQ_GROWTH","FQ3 2019","FQ3 2019","Currency=USD","Period=FQ","BEST_FPERIOD_OVERRIDE=FQ","FILING_STATUS=MR","Sort=A","Dates=H","DateFormat=P","Fill=—","Direction=H","UseDPDF=Y")</f>
        <v>—</v>
      </c>
      <c r="G92" s="14" t="str">
        <f>_xll.BDH("GILD US Equity","NET_CHANGE_IN_CASH_SEQ_GROWTH","FQ4 2019","FQ4 2019","Currency=USD","Period=FQ","BEST_FPERIOD_OVERRIDE=FQ","FILING_STATUS=MR","Sort=A","Dates=H","DateFormat=P","Fill=—","Direction=H","UseDPDF=Y")</f>
        <v>—</v>
      </c>
      <c r="H92" s="14">
        <f>_xll.BDH("GILD US Equity","NET_CHANGE_IN_CASH_SEQ_GROWTH","FQ1 2020","FQ1 2020","Currency=USD","Period=FQ","BEST_FPERIOD_OVERRIDE=FQ","FILING_STATUS=MR","Sort=A","Dates=H","DateFormat=P","Fill=—","Direction=H","UseDPDF=Y")</f>
        <v>-173.2499</v>
      </c>
      <c r="I92" s="14" t="str">
        <f>_xll.BDH("GILD US Equity","NET_CHANGE_IN_CASH_SEQ_GROWTH","FQ2 2020","FQ2 2020","Currency=USD","Period=FQ","BEST_FPERIOD_OVERRIDE=FQ","FILING_STATUS=MR","Sort=A","Dates=H","DateFormat=P","Fill=—","Direction=H","UseDPDF=Y")</f>
        <v>—</v>
      </c>
      <c r="J92" s="14" t="str">
        <f>_xll.BDH("GILD US Equity","NET_CHANGE_IN_CASH_SEQ_GROWTH","FQ3 2020","FQ3 2020","Currency=USD","Period=FQ","BEST_FPERIOD_OVERRIDE=FQ","FILING_STATUS=MR","Sort=A","Dates=H","DateFormat=P","Fill=—","Direction=H","UseDPDF=Y")</f>
        <v>—</v>
      </c>
      <c r="K92" s="14">
        <f>_xll.BDH("GILD US Equity","NET_CHANGE_IN_CASH_SEQ_GROWTH","FQ4 2020","FQ4 2020","Currency=USD","Period=FQ","BEST_FPERIOD_OVERRIDE=FQ","FILING_STATUS=MR","Sort=A","Dates=H","DateFormat=P","Fill=—","Direction=H","UseDPDF=Y")</f>
        <v>-212.1987</v>
      </c>
      <c r="L92" s="14" t="str">
        <f>_xll.BDH("GILD US Equity","NET_CHANGE_IN_CASH_SEQ_GROWTH","FQ1 2021","FQ1 2021","Currency=USD","Period=FQ","BEST_FPERIOD_OVERRIDE=FQ","FILING_STATUS=MR","Sort=A","Dates=H","DateFormat=P","Fill=—","Direction=H","UseDPDF=Y")</f>
        <v>—</v>
      </c>
      <c r="M92" s="14" t="str">
        <f>_xll.BDH("GILD US Equity","NET_CHANGE_IN_CASH_SEQ_GROWTH","FQ2 2021","FQ2 2021","Currency=USD","Period=FQ","BEST_FPERIOD_OVERRIDE=FQ","FILING_STATUS=MR","Sort=A","Dates=H","DateFormat=P","Fill=—","Direction=H","UseDPDF=Y")</f>
        <v>—</v>
      </c>
      <c r="N92" s="14">
        <f>_xll.BDH("GILD US Equity","NET_CHANGE_IN_CASH_SEQ_GROWTH","FQ3 2021","FQ3 2021","Currency=USD","Period=FQ","BEST_FPERIOD_OVERRIDE=FQ","FILING_STATUS=MR","Sort=A","Dates=H","DateFormat=P","Fill=—","Direction=H","UseDPDF=Y")</f>
        <v>-164.13040000000001</v>
      </c>
      <c r="O92" s="14" t="str">
        <f>_xll.BDH("GILD US Equity","NET_CHANGE_IN_CASH_SEQ_GROWTH","FQ4 2021","FQ4 2021","Currency=USD","Period=FQ","BEST_FPERIOD_OVERRIDE=FQ","FILING_STATUS=MR","Sort=A","Dates=H","DateFormat=P","Fill=—","Direction=H","UseDPDF=Y")</f>
        <v>—</v>
      </c>
      <c r="P92" s="14">
        <f>_xll.BDH("GILD US Equity","NET_CHANGE_IN_CASH_SEQ_GROWTH","FQ1 2022","FQ1 2022","Currency=USD","Period=FQ","BEST_FPERIOD_OVERRIDE=FQ","FILING_STATUS=MR","Sort=A","Dates=H","DateFormat=P","Fill=—","Direction=H","UseDPDF=Y")</f>
        <v>-206.76230000000001</v>
      </c>
      <c r="Q92" s="14" t="str">
        <f>_xll.BDH("GILD US Equity","NET_CHANGE_IN_CASH_SEQ_GROWTH","FQ2 2022","FQ2 2022","Currency=USD","Period=FQ","BEST_FPERIOD_OVERRIDE=FQ","FILING_STATUS=MR","Sort=A","Dates=H","DateFormat=P","Fill=—","Direction=H","UseDPDF=Y")</f>
        <v>—</v>
      </c>
      <c r="R92" s="14">
        <f>_xll.BDH("GILD US Equity","NET_CHANGE_IN_CASH_SEQ_GROWTH","FQ3 2022","FQ3 2022","Currency=USD","Period=FQ","BEST_FPERIOD_OVERRIDE=FQ","FILING_STATUS=MR","Sort=A","Dates=H","DateFormat=P","Fill=—","Direction=H","UseDPDF=Y")</f>
        <v>-109.02930000000001</v>
      </c>
      <c r="S92" s="14" t="str">
        <f>_xll.BDH("GILD US Equity","NET_CHANGE_IN_CASH_SEQ_GROWTH","FQ4 2022","FQ4 2022","Currency=USD","Period=FQ","BEST_FPERIOD_OVERRIDE=FQ","FILING_STATUS=MR","Sort=A","Dates=H","DateFormat=P","Fill=—","Direction=H","UseDPDF=Y")</f>
        <v>—</v>
      </c>
      <c r="T92" s="14">
        <f>_xll.BDH("GILD US Equity","NET_CHANGE_IN_CASH_SEQ_GROWTH","FQ1 2023","FQ1 2023","Currency=USD","Period=FQ","BEST_FPERIOD_OVERRIDE=FQ","FILING_STATUS=MR","Sort=A","Dates=H","DateFormat=P","Fill=—","Direction=H","UseDPDF=Y")</f>
        <v>-166.7602</v>
      </c>
      <c r="U92" s="14" t="str">
        <f>_xll.BDH("GILD US Equity","NET_CHANGE_IN_CASH_SEQ_GROWTH","FQ2 2023","FQ2 2023","Currency=USD","Period=FQ","BEST_FPERIOD_OVERRIDE=FQ","FILING_STATUS=MR","Sort=A","Dates=H","DateFormat=P","Fill=—","Direction=H","UseDPDF=Y")</f>
        <v>—</v>
      </c>
      <c r="V92" s="14">
        <f>_xll.BDH("GILD US Equity","NET_CHANGE_IN_CASH_SEQ_GROWTH","FQ3 2023","FQ3 2023","Currency=USD","Period=FQ","BEST_FPERIOD_OVERRIDE=FQ","FILING_STATUS=MR","Sort=A","Dates=H","DateFormat=P","Fill=—","Direction=H","UseDPDF=Y")</f>
        <v>-99.869799999999998</v>
      </c>
      <c r="W92" s="14">
        <f>_xll.BDH("GILD US Equity","NET_CHANGE_IN_CASH_SEQ_GROWTH","FQ4 2023","FQ4 2023","Currency=USD","Period=FQ","BEST_FPERIOD_OVERRIDE=FQ","FILING_STATUS=MR","Sort=A","Dates=H","DateFormat=P","Fill=—","Direction=H","UseDPDF=Y")</f>
        <v>37900</v>
      </c>
      <c r="X92" s="14">
        <f>_xll.BDH("GILD US Equity","NET_CHANGE_IN_CASH_SEQ_GROWTH","FQ1 2024","FQ1 2024","Currency=USD","Period=FQ","BEST_FPERIOD_OVERRIDE=FQ","FILING_STATUS=MR","Sort=A","Dates=H","DateFormat=P","Fill=—","Direction=H","UseDPDF=Y")</f>
        <v>-459.73680000000002</v>
      </c>
      <c r="Y92" s="14" t="str">
        <f>_xll.BDH("GILD US Equity","NET_CHANGE_IN_CASH_SEQ_GROWTH","FQ2 2024","FQ2 2024","Currency=USD","Period=FQ","BEST_FPERIOD_OVERRIDE=FQ","FILING_STATUS=MR","Sort=A","Dates=H","DateFormat=P","Fill=—","Direction=H","UseDPDF=Y")</f>
        <v>—</v>
      </c>
      <c r="Z92" s="14" t="str">
        <f>_xll.BDH("GILD US Equity","NET_CHANGE_IN_CASH_SEQ_GROWTH","FQ3 2024","FQ3 2024","Currency=USD","Period=FQ","BEST_FPERIOD_OVERRIDE=FQ","FILING_STATUS=MR","Sort=A","Dates=H","DateFormat=P","Fill=—","Direction=H","UseDPDF=Y")</f>
        <v>—</v>
      </c>
      <c r="AA92" s="14">
        <f>_xll.BDH("GILD US Equity","NET_CHANGE_IN_CASH_SEQ_GROWTH","FQ4 2024","FQ4 2024","Currency=USD","Period=FQ","BEST_FPERIOD_OVERRIDE=FQ","FILING_STATUS=MR","Sort=A","Dates=H","DateFormat=P","Fill=—","Direction=H","UseDPDF=Y")</f>
        <v>118.8604</v>
      </c>
    </row>
    <row r="93" spans="1:27" x14ac:dyDescent="0.25">
      <c r="A93" s="10" t="s">
        <v>88</v>
      </c>
      <c r="B93" s="10" t="s">
        <v>1604</v>
      </c>
      <c r="C93" s="14">
        <f>_xll.BDH("GILD US Equity","FREE_CASH_FLOW_SEQUENTIAL_GROWTH","FQ4 2018","FQ4 2018","Currency=USD","Period=FQ","BEST_FPERIOD_OVERRIDE=FQ","FILING_STATUS=MR","Sort=A","Dates=H","DateFormat=P","Fill=—","Direction=H","UseDPDF=Y")</f>
        <v>2.5428000000000002</v>
      </c>
      <c r="D93" s="14">
        <f>_xll.BDH("GILD US Equity","FREE_CASH_FLOW_SEQUENTIAL_GROWTH","FQ1 2019","FQ1 2019","Currency=USD","Period=FQ","BEST_FPERIOD_OVERRIDE=FQ","FILING_STATUS=MR","Sort=A","Dates=H","DateFormat=P","Fill=—","Direction=H","UseDPDF=Y")</f>
        <v>-42.441600000000001</v>
      </c>
      <c r="E93" s="14">
        <f>_xll.BDH("GILD US Equity","FREE_CASH_FLOW_SEQUENTIAL_GROWTH","FQ2 2019","FQ2 2019","Currency=USD","Period=FQ","BEST_FPERIOD_OVERRIDE=FQ","FILING_STATUS=MR","Sort=A","Dates=H","DateFormat=P","Fill=—","Direction=H","UseDPDF=Y")</f>
        <v>78.707499999999996</v>
      </c>
      <c r="F93" s="14">
        <f>_xll.BDH("GILD US Equity","FREE_CASH_FLOW_SEQUENTIAL_GROWTH","FQ3 2019","FQ3 2019","Currency=USD","Period=FQ","BEST_FPERIOD_OVERRIDE=FQ","FILING_STATUS=MR","Sort=A","Dates=H","DateFormat=P","Fill=—","Direction=H","UseDPDF=Y")</f>
        <v>25.127500000000001</v>
      </c>
      <c r="G93" s="14">
        <f>_xll.BDH("GILD US Equity","FREE_CASH_FLOW_SEQUENTIAL_GROWTH","FQ4 2019","FQ4 2019","Currency=USD","Period=FQ","BEST_FPERIOD_OVERRIDE=FQ","FILING_STATUS=MR","Sort=A","Dates=H","DateFormat=P","Fill=—","Direction=H","UseDPDF=Y")</f>
        <v>-11.930300000000001</v>
      </c>
      <c r="H93" s="14">
        <f>_xll.BDH("GILD US Equity","FREE_CASH_FLOW_SEQUENTIAL_GROWTH","FQ1 2020","FQ1 2020","Currency=USD","Period=FQ","BEST_FPERIOD_OVERRIDE=FQ","FILING_STATUS=MR","Sort=A","Dates=H","DateFormat=P","Fill=—","Direction=H","UseDPDF=Y")</f>
        <v>-46.781700000000001</v>
      </c>
      <c r="I93" s="14">
        <f>_xll.BDH("GILD US Equity","FREE_CASH_FLOW_SEQUENTIAL_GROWTH","FQ2 2020","FQ2 2020","Currency=USD","Period=FQ","BEST_FPERIOD_OVERRIDE=FQ","FILING_STATUS=MR","Sort=A","Dates=H","DateFormat=P","Fill=—","Direction=H","UseDPDF=Y")</f>
        <v>91.541499999999999</v>
      </c>
      <c r="J93" s="14">
        <f>_xll.BDH("GILD US Equity","FREE_CASH_FLOW_SEQUENTIAL_GROWTH","FQ3 2020","FQ3 2020","Currency=USD","Period=FQ","BEST_FPERIOD_OVERRIDE=FQ","FILING_STATUS=MR","Sort=A","Dates=H","DateFormat=P","Fill=—","Direction=H","UseDPDF=Y")</f>
        <v>-13.536899999999999</v>
      </c>
      <c r="K93" s="14">
        <f>_xll.BDH("GILD US Equity","FREE_CASH_FLOW_SEQUENTIAL_GROWTH","FQ4 2020","FQ4 2020","Currency=USD","Period=FQ","BEST_FPERIOD_OVERRIDE=FQ","FILING_STATUS=MR","Sort=A","Dates=H","DateFormat=P","Fill=—","Direction=H","UseDPDF=Y")</f>
        <v>-17.183800000000002</v>
      </c>
      <c r="L93" s="14">
        <f>_xll.BDH("GILD US Equity","FREE_CASH_FLOW_SEQUENTIAL_GROWTH","FQ1 2021","FQ1 2021","Currency=USD","Period=FQ","BEST_FPERIOD_OVERRIDE=FQ","FILING_STATUS=MR","Sort=A","Dates=H","DateFormat=P","Fill=—","Direction=H","UseDPDF=Y")</f>
        <v>40.922199999999997</v>
      </c>
      <c r="M93" s="14">
        <f>_xll.BDH("GILD US Equity","FREE_CASH_FLOW_SEQUENTIAL_GROWTH","FQ2 2021","FQ2 2021","Currency=USD","Period=FQ","BEST_FPERIOD_OVERRIDE=FQ","FILING_STATUS=MR","Sort=A","Dates=H","DateFormat=P","Fill=—","Direction=H","UseDPDF=Y")</f>
        <v>-10.1431</v>
      </c>
      <c r="N93" s="14">
        <f>_xll.BDH("GILD US Equity","FREE_CASH_FLOW_SEQUENTIAL_GROWTH","FQ3 2021","FQ3 2021","Currency=USD","Period=FQ","BEST_FPERIOD_OVERRIDE=FQ","FILING_STATUS=MR","Sort=A","Dates=H","DateFormat=P","Fill=—","Direction=H","UseDPDF=Y")</f>
        <v>41.738700000000001</v>
      </c>
      <c r="O93" s="14">
        <f>_xll.BDH("GILD US Equity","FREE_CASH_FLOW_SEQUENTIAL_GROWTH","FQ4 2021","FQ4 2021","Currency=USD","Period=FQ","BEST_FPERIOD_OVERRIDE=FQ","FILING_STATUS=MR","Sort=A","Dates=H","DateFormat=P","Fill=—","Direction=H","UseDPDF=Y")</f>
        <v>-2.0872999999999999</v>
      </c>
      <c r="P93" s="14">
        <f>_xll.BDH("GILD US Equity","FREE_CASH_FLOW_SEQUENTIAL_GROWTH","FQ1 2022","FQ1 2022","Currency=USD","Period=FQ","BEST_FPERIOD_OVERRIDE=FQ","FILING_STATUS=MR","Sort=A","Dates=H","DateFormat=P","Fill=—","Direction=H","UseDPDF=Y")</f>
        <v>-47.753399999999999</v>
      </c>
      <c r="Q93" s="14">
        <f>_xll.BDH("GILD US Equity","FREE_CASH_FLOW_SEQUENTIAL_GROWTH","FQ2 2022","FQ2 2022","Currency=USD","Period=FQ","BEST_FPERIOD_OVERRIDE=FQ","FILING_STATUS=MR","Sort=A","Dates=H","DateFormat=P","Fill=—","Direction=H","UseDPDF=Y")</f>
        <v>4.1430999999999996</v>
      </c>
      <c r="R93" s="14">
        <f>_xll.BDH("GILD US Equity","FREE_CASH_FLOW_SEQUENTIAL_GROWTH","FQ3 2022","FQ3 2022","Currency=USD","Period=FQ","BEST_FPERIOD_OVERRIDE=FQ","FILING_STATUS=MR","Sort=A","Dates=H","DateFormat=P","Fill=—","Direction=H","UseDPDF=Y")</f>
        <v>63.110300000000002</v>
      </c>
      <c r="S93" s="14">
        <f>_xll.BDH("GILD US Equity","FREE_CASH_FLOW_SEQUENTIAL_GROWTH","FQ4 2022","FQ4 2022","Currency=USD","Period=FQ","BEST_FPERIOD_OVERRIDE=FQ","FILING_STATUS=MR","Sort=A","Dates=H","DateFormat=P","Fill=—","Direction=H","UseDPDF=Y")</f>
        <v>-11.8256</v>
      </c>
      <c r="T93" s="14">
        <f>_xll.BDH("GILD US Equity","FREE_CASH_FLOW_SEQUENTIAL_GROWTH","FQ1 2023","FQ1 2023","Currency=USD","Period=FQ","BEST_FPERIOD_OVERRIDE=FQ","FILING_STATUS=MR","Sort=A","Dates=H","DateFormat=P","Fill=—","Direction=H","UseDPDF=Y")</f>
        <v>-31.475300000000001</v>
      </c>
      <c r="U93" s="14">
        <f>_xll.BDH("GILD US Equity","FREE_CASH_FLOW_SEQUENTIAL_GROWTH","FQ2 2023","FQ2 2023","Currency=USD","Period=FQ","BEST_FPERIOD_OVERRIDE=FQ","FILING_STATUS=MR","Sort=A","Dates=H","DateFormat=P","Fill=—","Direction=H","UseDPDF=Y")</f>
        <v>34.495399999999997</v>
      </c>
      <c r="V93" s="14">
        <f>_xll.BDH("GILD US Equity","FREE_CASH_FLOW_SEQUENTIAL_GROWTH","FQ3 2023","FQ3 2023","Currency=USD","Period=FQ","BEST_FPERIOD_OVERRIDE=FQ","FILING_STATUS=MR","Sort=A","Dates=H","DateFormat=P","Fill=—","Direction=H","UseDPDF=Y")</f>
        <v>-25.739000000000001</v>
      </c>
      <c r="W93" s="14">
        <f>_xll.BDH("GILD US Equity","FREE_CASH_FLOW_SEQUENTIAL_GROWTH","FQ4 2023","FQ4 2023","Currency=USD","Period=FQ","BEST_FPERIOD_OVERRIDE=FQ","FILING_STATUS=MR","Sort=A","Dates=H","DateFormat=P","Fill=—","Direction=H","UseDPDF=Y")</f>
        <v>19.6571</v>
      </c>
      <c r="X93" s="14">
        <f>_xll.BDH("GILD US Equity","FREE_CASH_FLOW_SEQUENTIAL_GROWTH","FQ1 2024","FQ1 2024","Currency=USD","Period=FQ","BEST_FPERIOD_OVERRIDE=FQ","FILING_STATUS=MR","Sort=A","Dates=H","DateFormat=P","Fill=—","Direction=H","UseDPDF=Y")</f>
        <v>8.1882999999999999</v>
      </c>
      <c r="Y93" s="14">
        <f>_xll.BDH("GILD US Equity","FREE_CASH_FLOW_SEQUENTIAL_GROWTH","FQ2 2024","FQ2 2024","Currency=USD","Period=FQ","BEST_FPERIOD_OVERRIDE=FQ","FILING_STATUS=MR","Sort=A","Dates=H","DateFormat=P","Fill=—","Direction=H","UseDPDF=Y")</f>
        <v>-43.472099999999998</v>
      </c>
      <c r="Z93" s="14">
        <f>_xll.BDH("GILD US Equity","FREE_CASH_FLOW_SEQUENTIAL_GROWTH","FQ3 2024","FQ3 2024","Currency=USD","Period=FQ","BEST_FPERIOD_OVERRIDE=FQ","FILING_STATUS=MR","Sort=A","Dates=H","DateFormat=P","Fill=—","Direction=H","UseDPDF=Y")</f>
        <v>248.78659999999999</v>
      </c>
      <c r="AA93" s="14">
        <f>_xll.BDH("GILD US Equity","FREE_CASH_FLOW_SEQUENTIAL_GROWTH","FQ4 2024","FQ4 2024","Currency=USD","Period=FQ","BEST_FPERIOD_OVERRIDE=FQ","FILING_STATUS=MR","Sort=A","Dates=H","DateFormat=P","Fill=—","Direction=H","UseDPDF=Y")</f>
        <v>-32.149700000000003</v>
      </c>
    </row>
    <row r="94" spans="1:27" x14ac:dyDescent="0.25">
      <c r="A94" s="10" t="s">
        <v>1549</v>
      </c>
      <c r="B94" s="10" t="s">
        <v>1605</v>
      </c>
      <c r="C94" s="14">
        <f>_xll.BDH("GILD US Equity","CF_TO_FIRM_SEQUENTIAL_GROWTH","FQ4 2018","FQ4 2018","Currency=USD","Period=FQ","BEST_FPERIOD_OVERRIDE=FQ","FILING_STATUS=MR","FA_ADJUSTED=GAAP","Sort=A","Dates=H","DateFormat=P","Fill=—","Direction=H","UseDPDF=Y")</f>
        <v>-3.0682</v>
      </c>
      <c r="D94" s="14">
        <f>_xll.BDH("GILD US Equity","CF_TO_FIRM_SEQUENTIAL_GROWTH","FQ1 2019","FQ1 2019","Currency=USD","Period=FQ","BEST_FPERIOD_OVERRIDE=FQ","FILING_STATUS=MR","FA_ADJUSTED=GAAP","Sort=A","Dates=H","DateFormat=P","Fill=—","Direction=H","UseDPDF=Y")</f>
        <v>-29.374199999999998</v>
      </c>
      <c r="E94" s="14">
        <f>_xll.BDH("GILD US Equity","CF_TO_FIRM_SEQUENTIAL_GROWTH","FQ2 2019","FQ2 2019","Currency=USD","Period=FQ","BEST_FPERIOD_OVERRIDE=FQ","FILING_STATUS=MR","FA_ADJUSTED=GAAP","Sort=A","Dates=H","DateFormat=P","Fill=—","Direction=H","UseDPDF=Y")</f>
        <v>53.0107</v>
      </c>
      <c r="F94" s="14">
        <f>_xll.BDH("GILD US Equity","CF_TO_FIRM_SEQUENTIAL_GROWTH","FQ3 2019","FQ3 2019","Currency=USD","Period=FQ","BEST_FPERIOD_OVERRIDE=FQ","FILING_STATUS=MR","FA_ADJUSTED=GAAP","Sort=A","Dates=H","DateFormat=P","Fill=—","Direction=H","UseDPDF=Y")</f>
        <v>20.539400000000001</v>
      </c>
      <c r="G94" s="14" t="str">
        <f>_xll.BDH("GILD US Equity","CF_TO_FIRM_SEQUENTIAL_GROWTH","FQ4 2019","FQ4 2019","Currency=USD","Period=FQ","BEST_FPERIOD_OVERRIDE=FQ","FILING_STATUS=MR","FA_ADJUSTED=GAAP","Sort=A","Dates=H","DateFormat=P","Fill=—","Direction=H","UseDPDF=Y")</f>
        <v>—</v>
      </c>
      <c r="H94" s="14" t="str">
        <f>_xll.BDH("GILD US Equity","CF_TO_FIRM_SEQUENTIAL_GROWTH","FQ1 2020","FQ1 2020","Currency=USD","Period=FQ","BEST_FPERIOD_OVERRIDE=FQ","FILING_STATUS=MR","FA_ADJUSTED=GAAP","Sort=A","Dates=H","DateFormat=P","Fill=—","Direction=H","UseDPDF=Y")</f>
        <v>—</v>
      </c>
      <c r="I94" s="14" t="str">
        <f>_xll.BDH("GILD US Equity","CF_TO_FIRM_SEQUENTIAL_GROWTH","FQ2 2020","FQ2 2020","Currency=USD","Period=FQ","BEST_FPERIOD_OVERRIDE=FQ","FILING_STATUS=MR","FA_ADJUSTED=GAAP","Sort=A","Dates=H","DateFormat=P","Fill=—","Direction=H","UseDPDF=Y")</f>
        <v>—</v>
      </c>
      <c r="J94" s="14" t="str">
        <f>_xll.BDH("GILD US Equity","CF_TO_FIRM_SEQUENTIAL_GROWTH","FQ3 2020","FQ3 2020","Currency=USD","Period=FQ","BEST_FPERIOD_OVERRIDE=FQ","FILING_STATUS=MR","FA_ADJUSTED=GAAP","Sort=A","Dates=H","DateFormat=P","Fill=—","Direction=H","UseDPDF=Y")</f>
        <v>—</v>
      </c>
      <c r="K94" s="14">
        <f>_xll.BDH("GILD US Equity","CF_TO_FIRM_SEQUENTIAL_GROWTH","FQ4 2020","FQ4 2020","Currency=USD","Period=FQ","BEST_FPERIOD_OVERRIDE=FQ","FILING_STATUS=MR","FA_ADJUSTED=GAAP","Sort=A","Dates=H","DateFormat=P","Fill=—","Direction=H","UseDPDF=Y")</f>
        <v>-8.8354999999999997</v>
      </c>
      <c r="L94" s="14">
        <f>_xll.BDH("GILD US Equity","CF_TO_FIRM_SEQUENTIAL_GROWTH","FQ1 2021","FQ1 2021","Currency=USD","Period=FQ","BEST_FPERIOD_OVERRIDE=FQ","FILING_STATUS=MR","FA_ADJUSTED=GAAP","Sort=A","Dates=H","DateFormat=P","Fill=—","Direction=H","UseDPDF=Y")</f>
        <v>30.897600000000001</v>
      </c>
      <c r="M94" s="14">
        <f>_xll.BDH("GILD US Equity","CF_TO_FIRM_SEQUENTIAL_GROWTH","FQ2 2021","FQ2 2021","Currency=USD","Period=FQ","BEST_FPERIOD_OVERRIDE=FQ","FILING_STATUS=MR","FA_ADJUSTED=GAAP","Sort=A","Dates=H","DateFormat=P","Fill=—","Direction=H","UseDPDF=Y")</f>
        <v>-9.8286999999999995</v>
      </c>
      <c r="N94" s="14">
        <f>_xll.BDH("GILD US Equity","CF_TO_FIRM_SEQUENTIAL_GROWTH","FQ3 2021","FQ3 2021","Currency=USD","Period=FQ","BEST_FPERIOD_OVERRIDE=FQ","FILING_STATUS=MR","FA_ADJUSTED=GAAP","Sort=A","Dates=H","DateFormat=P","Fill=—","Direction=H","UseDPDF=Y")</f>
        <v>36.024099999999997</v>
      </c>
      <c r="O94" s="14">
        <f>_xll.BDH("GILD US Equity","CF_TO_FIRM_SEQUENTIAL_GROWTH","FQ4 2021","FQ4 2021","Currency=USD","Period=FQ","BEST_FPERIOD_OVERRIDE=FQ","FILING_STATUS=MR","FA_ADJUSTED=GAAP","Sort=A","Dates=H","DateFormat=P","Fill=—","Direction=H","UseDPDF=Y")</f>
        <v>-3.4333</v>
      </c>
      <c r="P94" s="14">
        <f>_xll.BDH("GILD US Equity","CF_TO_FIRM_SEQUENTIAL_GROWTH","FQ1 2022","FQ1 2022","Currency=USD","Period=FQ","BEST_FPERIOD_OVERRIDE=FQ","FILING_STATUS=MR","FA_ADJUSTED=GAAP","Sort=A","Dates=H","DateFormat=P","Fill=—","Direction=H","UseDPDF=Y")</f>
        <v>-39.139400000000002</v>
      </c>
      <c r="Q94" s="14">
        <f>_xll.BDH("GILD US Equity","CF_TO_FIRM_SEQUENTIAL_GROWTH","FQ2 2022","FQ2 2022","Currency=USD","Period=FQ","BEST_FPERIOD_OVERRIDE=FQ","FILING_STATUS=MR","FA_ADJUSTED=GAAP","Sort=A","Dates=H","DateFormat=P","Fill=—","Direction=H","UseDPDF=Y")</f>
        <v>-1.8587</v>
      </c>
      <c r="R94" s="14">
        <f>_xll.BDH("GILD US Equity","CF_TO_FIRM_SEQUENTIAL_GROWTH","FQ3 2022","FQ3 2022","Currency=USD","Period=FQ","BEST_FPERIOD_OVERRIDE=FQ","FILING_STATUS=MR","FA_ADJUSTED=GAAP","Sort=A","Dates=H","DateFormat=P","Fill=—","Direction=H","UseDPDF=Y")</f>
        <v>52.723300000000002</v>
      </c>
      <c r="S94" s="14">
        <f>_xll.BDH("GILD US Equity","CF_TO_FIRM_SEQUENTIAL_GROWTH","FQ4 2022","FQ4 2022","Currency=USD","Period=FQ","BEST_FPERIOD_OVERRIDE=FQ","FILING_STATUS=MR","FA_ADJUSTED=GAAP","Sort=A","Dates=H","DateFormat=P","Fill=—","Direction=H","UseDPDF=Y")</f>
        <v>-9.2919999999999998</v>
      </c>
      <c r="T94" s="14">
        <f>_xll.BDH("GILD US Equity","CF_TO_FIRM_SEQUENTIAL_GROWTH","FQ1 2023","FQ1 2023","Currency=USD","Period=FQ","BEST_FPERIOD_OVERRIDE=FQ","FILING_STATUS=MR","FA_ADJUSTED=GAAP","Sort=A","Dates=H","DateFormat=P","Fill=—","Direction=H","UseDPDF=Y")</f>
        <v>-30.238900000000001</v>
      </c>
      <c r="U94" s="14">
        <f>_xll.BDH("GILD US Equity","CF_TO_FIRM_SEQUENTIAL_GROWTH","FQ2 2023","FQ2 2023","Currency=USD","Period=FQ","BEST_FPERIOD_OVERRIDE=FQ","FILING_STATUS=MR","FA_ADJUSTED=GAAP","Sort=A","Dates=H","DateFormat=P","Fill=—","Direction=H","UseDPDF=Y")</f>
        <v>29.737500000000001</v>
      </c>
      <c r="V94" s="14">
        <f>_xll.BDH("GILD US Equity","CF_TO_FIRM_SEQUENTIAL_GROWTH","FQ3 2023","FQ3 2023","Currency=USD","Period=FQ","BEST_FPERIOD_OVERRIDE=FQ","FILING_STATUS=MR","FA_ADJUSTED=GAAP","Sort=A","Dates=H","DateFormat=P","Fill=—","Direction=H","UseDPDF=Y")</f>
        <v>-20.7392</v>
      </c>
      <c r="W94" s="14">
        <f>_xll.BDH("GILD US Equity","CF_TO_FIRM_SEQUENTIAL_GROWTH","FQ4 2023","FQ4 2023","Currency=USD","Period=FQ","BEST_FPERIOD_OVERRIDE=FQ","FILING_STATUS=MR","FA_ADJUSTED=GAAP","Sort=A","Dates=H","DateFormat=P","Fill=—","Direction=H","UseDPDF=Y")</f>
        <v>20.920200000000001</v>
      </c>
      <c r="X94" s="14">
        <f>_xll.BDH("GILD US Equity","CF_TO_FIRM_SEQUENTIAL_GROWTH","FQ1 2024","FQ1 2024","Currency=USD","Period=FQ","BEST_FPERIOD_OVERRIDE=FQ","FILING_STATUS=MR","FA_ADJUSTED=GAAP","Sort=A","Dates=H","DateFormat=P","Fill=—","Direction=H","UseDPDF=Y")</f>
        <v>-2.4096000000000002</v>
      </c>
      <c r="Y94" s="14">
        <f>_xll.BDH("GILD US Equity","CF_TO_FIRM_SEQUENTIAL_GROWTH","FQ2 2024","FQ2 2024","Currency=USD","Period=FQ","BEST_FPERIOD_OVERRIDE=FQ","FILING_STATUS=MR","FA_ADJUSTED=GAAP","Sort=A","Dates=H","DateFormat=P","Fill=—","Direction=H","UseDPDF=Y")</f>
        <v>-35.101999999999997</v>
      </c>
      <c r="Z94" s="14">
        <f>_xll.BDH("GILD US Equity","CF_TO_FIRM_SEQUENTIAL_GROWTH","FQ3 2024","FQ3 2024","Currency=USD","Period=FQ","BEST_FPERIOD_OVERRIDE=FQ","FILING_STATUS=MR","FA_ADJUSTED=GAAP","Sort=A","Dates=H","DateFormat=P","Fill=—","Direction=H","UseDPDF=Y")</f>
        <v>195.46870000000001</v>
      </c>
      <c r="AA94" s="14">
        <f>_xll.BDH("GILD US Equity","CF_TO_FIRM_SEQUENTIAL_GROWTH","FQ4 2024","FQ4 2024","Currency=USD","Period=FQ","BEST_FPERIOD_OVERRIDE=FQ","FILING_STATUS=MR","FA_ADJUSTED=GAAP","Sort=A","Dates=H","DateFormat=P","Fill=—","Direction=H","UseDPDF=Y")</f>
        <v>-28.773299999999999</v>
      </c>
    </row>
    <row r="95" spans="1:27" x14ac:dyDescent="0.25">
      <c r="A95" s="10" t="s">
        <v>1397</v>
      </c>
      <c r="B95" s="10" t="s">
        <v>1606</v>
      </c>
      <c r="C95" s="14">
        <f>_xll.BDH("GILD US Equity","FCF_TO_FIRM_SEQUENTIAL_GROWTH","FQ4 2018","FQ4 2018","Currency=USD","Period=FQ","BEST_FPERIOD_OVERRIDE=FQ","FILING_STATUS=MR","FA_ADJUSTED=GAAP","Sort=A","Dates=H","DateFormat=P","Fill=—","Direction=H","UseDPDF=Y")</f>
        <v>-6.8907999999999996</v>
      </c>
      <c r="D95" s="14">
        <f>_xll.BDH("GILD US Equity","FCF_TO_FIRM_SEQUENTIAL_GROWTH","FQ1 2019","FQ1 2019","Currency=USD","Period=FQ","BEST_FPERIOD_OVERRIDE=FQ","FILING_STATUS=MR","FA_ADJUSTED=GAAP","Sort=A","Dates=H","DateFormat=P","Fill=—","Direction=H","UseDPDF=Y")</f>
        <v>-32.322499999999998</v>
      </c>
      <c r="E95" s="14">
        <f>_xll.BDH("GILD US Equity","FCF_TO_FIRM_SEQUENTIAL_GROWTH","FQ2 2019","FQ2 2019","Currency=USD","Period=FQ","BEST_FPERIOD_OVERRIDE=FQ","FILING_STATUS=MR","FA_ADJUSTED=GAAP","Sort=A","Dates=H","DateFormat=P","Fill=—","Direction=H","UseDPDF=Y")</f>
        <v>65.522800000000004</v>
      </c>
      <c r="F95" s="14">
        <f>_xll.BDH("GILD US Equity","FCF_TO_FIRM_SEQUENTIAL_GROWTH","FQ3 2019","FQ3 2019","Currency=USD","Period=FQ","BEST_FPERIOD_OVERRIDE=FQ","FILING_STATUS=MR","FA_ADJUSTED=GAAP","Sort=A","Dates=H","DateFormat=P","Fill=—","Direction=H","UseDPDF=Y")</f>
        <v>21.518000000000001</v>
      </c>
      <c r="G95" s="14" t="str">
        <f>_xll.BDH("GILD US Equity","FCF_TO_FIRM_SEQUENTIAL_GROWTH","FQ4 2019","FQ4 2019","Currency=USD","Period=FQ","BEST_FPERIOD_OVERRIDE=FQ","FILING_STATUS=MR","FA_ADJUSTED=GAAP","Sort=A","Dates=H","DateFormat=P","Fill=—","Direction=H","UseDPDF=Y")</f>
        <v>—</v>
      </c>
      <c r="H95" s="14" t="str">
        <f>_xll.BDH("GILD US Equity","FCF_TO_FIRM_SEQUENTIAL_GROWTH","FQ1 2020","FQ1 2020","Currency=USD","Period=FQ","BEST_FPERIOD_OVERRIDE=FQ","FILING_STATUS=MR","FA_ADJUSTED=GAAP","Sort=A","Dates=H","DateFormat=P","Fill=—","Direction=H","UseDPDF=Y")</f>
        <v>—</v>
      </c>
      <c r="I95" s="14" t="str">
        <f>_xll.BDH("GILD US Equity","FCF_TO_FIRM_SEQUENTIAL_GROWTH","FQ2 2020","FQ2 2020","Currency=USD","Period=FQ","BEST_FPERIOD_OVERRIDE=FQ","FILING_STATUS=MR","FA_ADJUSTED=GAAP","Sort=A","Dates=H","DateFormat=P","Fill=—","Direction=H","UseDPDF=Y")</f>
        <v>—</v>
      </c>
      <c r="J95" s="14" t="str">
        <f>_xll.BDH("GILD US Equity","FCF_TO_FIRM_SEQUENTIAL_GROWTH","FQ3 2020","FQ3 2020","Currency=USD","Period=FQ","BEST_FPERIOD_OVERRIDE=FQ","FILING_STATUS=MR","FA_ADJUSTED=GAAP","Sort=A","Dates=H","DateFormat=P","Fill=—","Direction=H","UseDPDF=Y")</f>
        <v>—</v>
      </c>
      <c r="K95" s="14">
        <f>_xll.BDH("GILD US Equity","FCF_TO_FIRM_SEQUENTIAL_GROWTH","FQ4 2020","FQ4 2020","Currency=USD","Period=FQ","BEST_FPERIOD_OVERRIDE=FQ","FILING_STATUS=MR","FA_ADJUSTED=GAAP","Sort=A","Dates=H","DateFormat=P","Fill=—","Direction=H","UseDPDF=Y")</f>
        <v>-10.6431</v>
      </c>
      <c r="L95" s="14">
        <f>_xll.BDH("GILD US Equity","FCF_TO_FIRM_SEQUENTIAL_GROWTH","FQ1 2021","FQ1 2021","Currency=USD","Period=FQ","BEST_FPERIOD_OVERRIDE=FQ","FILING_STATUS=MR","FA_ADJUSTED=GAAP","Sort=A","Dates=H","DateFormat=P","Fill=—","Direction=H","UseDPDF=Y")</f>
        <v>34.563000000000002</v>
      </c>
      <c r="M95" s="14">
        <f>_xll.BDH("GILD US Equity","FCF_TO_FIRM_SEQUENTIAL_GROWTH","FQ2 2021","FQ2 2021","Currency=USD","Period=FQ","BEST_FPERIOD_OVERRIDE=FQ","FILING_STATUS=MR","FA_ADJUSTED=GAAP","Sort=A","Dates=H","DateFormat=P","Fill=—","Direction=H","UseDPDF=Y")</f>
        <v>-8.7007999999999992</v>
      </c>
      <c r="N95" s="14">
        <f>_xll.BDH("GILD US Equity","FCF_TO_FIRM_SEQUENTIAL_GROWTH","FQ3 2021","FQ3 2021","Currency=USD","Period=FQ","BEST_FPERIOD_OVERRIDE=FQ","FILING_STATUS=MR","FA_ADJUSTED=GAAP","Sort=A","Dates=H","DateFormat=P","Fill=—","Direction=H","UseDPDF=Y")</f>
        <v>36.972700000000003</v>
      </c>
      <c r="O95" s="14">
        <f>_xll.BDH("GILD US Equity","FCF_TO_FIRM_SEQUENTIAL_GROWTH","FQ4 2021","FQ4 2021","Currency=USD","Period=FQ","BEST_FPERIOD_OVERRIDE=FQ","FILING_STATUS=MR","FA_ADJUSTED=GAAP","Sort=A","Dates=H","DateFormat=P","Fill=—","Direction=H","UseDPDF=Y")</f>
        <v>-4.0926999999999998</v>
      </c>
      <c r="P95" s="14">
        <f>_xll.BDH("GILD US Equity","FCF_TO_FIRM_SEQUENTIAL_GROWTH","FQ1 2022","FQ1 2022","Currency=USD","Period=FQ","BEST_FPERIOD_OVERRIDE=FQ","FILING_STATUS=MR","FA_ADJUSTED=GAAP","Sort=A","Dates=H","DateFormat=P","Fill=—","Direction=H","UseDPDF=Y")</f>
        <v>-43.940899999999999</v>
      </c>
      <c r="Q95" s="14">
        <f>_xll.BDH("GILD US Equity","FCF_TO_FIRM_SEQUENTIAL_GROWTH","FQ2 2022","FQ2 2022","Currency=USD","Period=FQ","BEST_FPERIOD_OVERRIDE=FQ","FILING_STATUS=MR","FA_ADJUSTED=GAAP","Sort=A","Dates=H","DateFormat=P","Fill=—","Direction=H","UseDPDF=Y")</f>
        <v>3.7408000000000001</v>
      </c>
      <c r="R95" s="14">
        <f>_xll.BDH("GILD US Equity","FCF_TO_FIRM_SEQUENTIAL_GROWTH","FQ3 2022","FQ3 2022","Currency=USD","Period=FQ","BEST_FPERIOD_OVERRIDE=FQ","FILING_STATUS=MR","FA_ADJUSTED=GAAP","Sort=A","Dates=H","DateFormat=P","Fill=—","Direction=H","UseDPDF=Y")</f>
        <v>56.056800000000003</v>
      </c>
      <c r="S95" s="14">
        <f>_xll.BDH("GILD US Equity","FCF_TO_FIRM_SEQUENTIAL_GROWTH","FQ4 2022","FQ4 2022","Currency=USD","Period=FQ","BEST_FPERIOD_OVERRIDE=FQ","FILING_STATUS=MR","FA_ADJUSTED=GAAP","Sort=A","Dates=H","DateFormat=P","Fill=—","Direction=H","UseDPDF=Y")</f>
        <v>-10.634600000000001</v>
      </c>
      <c r="T95" s="14">
        <f>_xll.BDH("GILD US Equity","FCF_TO_FIRM_SEQUENTIAL_GROWTH","FQ1 2023","FQ1 2023","Currency=USD","Period=FQ","BEST_FPERIOD_OVERRIDE=FQ","FILING_STATUS=MR","FA_ADJUSTED=GAAP","Sort=A","Dates=H","DateFormat=P","Fill=—","Direction=H","UseDPDF=Y")</f>
        <v>-29.566600000000001</v>
      </c>
      <c r="U95" s="14">
        <f>_xll.BDH("GILD US Equity","FCF_TO_FIRM_SEQUENTIAL_GROWTH","FQ2 2023","FQ2 2023","Currency=USD","Period=FQ","BEST_FPERIOD_OVERRIDE=FQ","FILING_STATUS=MR","FA_ADJUSTED=GAAP","Sort=A","Dates=H","DateFormat=P","Fill=—","Direction=H","UseDPDF=Y")</f>
        <v>29.870899999999999</v>
      </c>
      <c r="V95" s="14">
        <f>_xll.BDH("GILD US Equity","FCF_TO_FIRM_SEQUENTIAL_GROWTH","FQ3 2023","FQ3 2023","Currency=USD","Period=FQ","BEST_FPERIOD_OVERRIDE=FQ","FILING_STATUS=MR","FA_ADJUSTED=GAAP","Sort=A","Dates=H","DateFormat=P","Fill=—","Direction=H","UseDPDF=Y")</f>
        <v>-21.242599999999999</v>
      </c>
      <c r="W95" s="14">
        <f>_xll.BDH("GILD US Equity","FCF_TO_FIRM_SEQUENTIAL_GROWTH","FQ4 2023","FQ4 2023","Currency=USD","Period=FQ","BEST_FPERIOD_OVERRIDE=FQ","FILING_STATUS=MR","FA_ADJUSTED=GAAP","Sort=A","Dates=H","DateFormat=P","Fill=—","Direction=H","UseDPDF=Y")</f>
        <v>17.273499999999999</v>
      </c>
      <c r="X95" s="14">
        <f>_xll.BDH("GILD US Equity","FCF_TO_FIRM_SEQUENTIAL_GROWTH","FQ1 2024","FQ1 2024","Currency=USD","Period=FQ","BEST_FPERIOD_OVERRIDE=FQ","FILING_STATUS=MR","FA_ADJUSTED=GAAP","Sort=A","Dates=H","DateFormat=P","Fill=—","Direction=H","UseDPDF=Y")</f>
        <v>2.4207999999999998</v>
      </c>
      <c r="Y95" s="14">
        <f>_xll.BDH("GILD US Equity","FCF_TO_FIRM_SEQUENTIAL_GROWTH","FQ2 2024","FQ2 2024","Currency=USD","Period=FQ","BEST_FPERIOD_OVERRIDE=FQ","FILING_STATUS=MR","FA_ADJUSTED=GAAP","Sort=A","Dates=H","DateFormat=P","Fill=—","Direction=H","UseDPDF=Y")</f>
        <v>-37.885199999999998</v>
      </c>
      <c r="Z95" s="14">
        <f>_xll.BDH("GILD US Equity","FCF_TO_FIRM_SEQUENTIAL_GROWTH","FQ3 2024","FQ3 2024","Currency=USD","Period=FQ","BEST_FPERIOD_OVERRIDE=FQ","FILING_STATUS=MR","FA_ADJUSTED=GAAP","Sort=A","Dates=H","DateFormat=P","Fill=—","Direction=H","UseDPDF=Y")</f>
        <v>213.07849999999999</v>
      </c>
      <c r="AA95" s="14">
        <f>_xll.BDH("GILD US Equity","FCF_TO_FIRM_SEQUENTIAL_GROWTH","FQ4 2024","FQ4 2024","Currency=USD","Period=FQ","BEST_FPERIOD_OVERRIDE=FQ","FILING_STATUS=MR","FA_ADJUSTED=GAAP","Sort=A","Dates=H","DateFormat=P","Fill=—","Direction=H","UseDPDF=Y")</f>
        <v>-29.8508</v>
      </c>
    </row>
    <row r="96" spans="1:27" x14ac:dyDescent="0.25">
      <c r="A96" s="7" t="s">
        <v>90</v>
      </c>
      <c r="B96" s="7"/>
      <c r="C96" s="7" t="s">
        <v>5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40"/>
  <sheetViews>
    <sheetView workbookViewId="0">
      <selection activeCell="M26" sqref="M26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1607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195</v>
      </c>
      <c r="B6" s="10" t="s">
        <v>196</v>
      </c>
      <c r="C6" s="12" t="s">
        <v>1608</v>
      </c>
      <c r="D6" s="12" t="s">
        <v>197</v>
      </c>
      <c r="E6" s="12" t="s">
        <v>197</v>
      </c>
      <c r="F6" s="12" t="s">
        <v>197</v>
      </c>
      <c r="G6" s="12" t="s">
        <v>197</v>
      </c>
      <c r="H6" s="12" t="s">
        <v>197</v>
      </c>
      <c r="I6" s="12" t="s">
        <v>197</v>
      </c>
      <c r="J6" s="12" t="s">
        <v>197</v>
      </c>
      <c r="K6" s="12" t="s">
        <v>197</v>
      </c>
      <c r="L6" s="12" t="s">
        <v>197</v>
      </c>
      <c r="M6" s="12" t="s">
        <v>197</v>
      </c>
      <c r="N6" s="12" t="s">
        <v>197</v>
      </c>
      <c r="O6" s="12" t="s">
        <v>197</v>
      </c>
      <c r="P6" s="12" t="s">
        <v>197</v>
      </c>
      <c r="Q6" s="12" t="s">
        <v>197</v>
      </c>
      <c r="R6" s="12" t="s">
        <v>197</v>
      </c>
      <c r="S6" s="12" t="s">
        <v>197</v>
      </c>
      <c r="T6" s="12" t="s">
        <v>197</v>
      </c>
      <c r="U6" s="12" t="s">
        <v>197</v>
      </c>
      <c r="V6" s="12" t="s">
        <v>197</v>
      </c>
      <c r="W6" s="12" t="s">
        <v>197</v>
      </c>
      <c r="X6" s="12" t="s">
        <v>197</v>
      </c>
      <c r="Y6" s="12" t="s">
        <v>197</v>
      </c>
      <c r="Z6" s="12" t="s">
        <v>197</v>
      </c>
      <c r="AA6" s="12" t="s">
        <v>197</v>
      </c>
    </row>
    <row r="7" spans="1:27" x14ac:dyDescent="0.25">
      <c r="A7" s="10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1538</v>
      </c>
      <c r="B8" s="10" t="s">
        <v>67</v>
      </c>
      <c r="C8" s="13">
        <f>_xll.BDH("GILD US Equity","SHORT_AND_LONG_TERM_DEBT","FQ4 2018","FQ4 2018","Currency=USD","Period=FQ","BEST_FPERIOD_OVERRIDE=FQ","FILING_STATUS=MR","SCALING_FORMAT=MLN","Sort=A","Dates=H","DateFormat=P","Fill=—","Direction=H","UseDPDF=Y")</f>
        <v>27322</v>
      </c>
      <c r="D8" s="13">
        <f>_xll.BDH("GILD US Equity","SHORT_AND_LONG_TERM_DEBT","FQ1 2019","FQ1 2019","Currency=USD","Period=FQ","BEST_FPERIOD_OVERRIDE=FQ","FILING_STATUS=MR","SCALING_FORMAT=MLN","Sort=A","Dates=H","DateFormat=P","Fill=—","Direction=H","UseDPDF=Y")</f>
        <v>27082</v>
      </c>
      <c r="E8" s="13">
        <f>_xll.BDH("GILD US Equity","SHORT_AND_LONG_TERM_DEBT","FQ2 2019","FQ2 2019","Currency=USD","Period=FQ","BEST_FPERIOD_OVERRIDE=FQ","FILING_STATUS=MR","SCALING_FORMAT=MLN","Sort=A","Dates=H","DateFormat=P","Fill=—","Direction=H","UseDPDF=Y")</f>
        <v>26637</v>
      </c>
      <c r="F8" s="13">
        <f>_xll.BDH("GILD US Equity","SHORT_AND_LONG_TERM_DEBT","FQ3 2019","FQ3 2019","Currency=USD","Period=FQ","BEST_FPERIOD_OVERRIDE=FQ","FILING_STATUS=MR","SCALING_FORMAT=MLN","Sort=A","Dates=H","DateFormat=P","Fill=—","Direction=H","UseDPDF=Y")</f>
        <v>25300</v>
      </c>
      <c r="G8" s="13">
        <f>_xll.BDH("GILD US Equity","SHORT_AND_LONG_TERM_DEBT","FQ4 2019","FQ4 2019","Currency=USD","Period=FQ","BEST_FPERIOD_OVERRIDE=FQ","FILING_STATUS=MR","SCALING_FORMAT=MLN","Sort=A","Dates=H","DateFormat=P","Fill=—","Direction=H","UseDPDF=Y")</f>
        <v>25318</v>
      </c>
      <c r="H8" s="13">
        <f>_xll.BDH("GILD US Equity","SHORT_AND_LONG_TERM_DEBT","FQ1 2020","FQ1 2020","Currency=USD","Period=FQ","BEST_FPERIOD_OVERRIDE=FQ","FILING_STATUS=MR","SCALING_FORMAT=MLN","Sort=A","Dates=H","DateFormat=P","Fill=—","Direction=H","UseDPDF=Y")</f>
        <v>24097</v>
      </c>
      <c r="I8" s="13">
        <f>_xll.BDH("GILD US Equity","SHORT_AND_LONG_TERM_DEBT","FQ2 2020","FQ2 2020","Currency=USD","Period=FQ","BEST_FPERIOD_OVERRIDE=FQ","FILING_STATUS=MR","SCALING_FORMAT=MLN","Sort=A","Dates=H","DateFormat=P","Fill=—","Direction=H","UseDPDF=Y")</f>
        <v>24102</v>
      </c>
      <c r="J8" s="13">
        <f>_xll.BDH("GILD US Equity","SHORT_AND_LONG_TERM_DEBT","FQ3 2020","FQ3 2020","Currency=USD","Period=FQ","BEST_FPERIOD_OVERRIDE=FQ","FILING_STATUS=MR","SCALING_FORMAT=MLN","Sort=A","Dates=H","DateFormat=P","Fill=—","Direction=H","UseDPDF=Y")</f>
        <v>29290</v>
      </c>
      <c r="K8" s="13">
        <f>_xll.BDH("GILD US Equity","SHORT_AND_LONG_TERM_DEBT","FQ4 2020","FQ4 2020","Currency=USD","Period=FQ","BEST_FPERIOD_OVERRIDE=FQ","FILING_STATUS=MR","SCALING_FORMAT=MLN","Sort=A","Dates=H","DateFormat=P","Fill=—","Direction=H","UseDPDF=Y")</f>
        <v>32117</v>
      </c>
      <c r="L8" s="13">
        <f>_xll.BDH("GILD US Equity","SHORT_AND_LONG_TERM_DEBT","FQ1 2021","FQ1 2021","Currency=USD","Period=FQ","BEST_FPERIOD_OVERRIDE=FQ","FILING_STATUS=MR","SCALING_FORMAT=MLN","Sort=A","Dates=H","DateFormat=P","Fill=—","Direction=H","UseDPDF=Y")</f>
        <v>30166</v>
      </c>
      <c r="M8" s="13">
        <f>_xll.BDH("GILD US Equity","SHORT_AND_LONG_TERM_DEBT","FQ2 2021","FQ2 2021","Currency=USD","Period=FQ","BEST_FPERIOD_OVERRIDE=FQ","FILING_STATUS=MR","SCALING_FORMAT=MLN","Sort=A","Dates=H","DateFormat=P","Fill=—","Direction=H","UseDPDF=Y")</f>
        <v>30175</v>
      </c>
      <c r="N8" s="13">
        <f>_xll.BDH("GILD US Equity","SHORT_AND_LONG_TERM_DEBT","FQ3 2021","FQ3 2021","Currency=USD","Period=FQ","BEST_FPERIOD_OVERRIDE=FQ","FILING_STATUS=MR","SCALING_FORMAT=MLN","Sort=A","Dates=H","DateFormat=P","Fill=—","Direction=H","UseDPDF=Y")</f>
        <v>27686</v>
      </c>
      <c r="O8" s="13">
        <f>_xll.BDH("GILD US Equity","SHORT_AND_LONG_TERM_DEBT","FQ4 2021","FQ4 2021","Currency=USD","Period=FQ","BEST_FPERIOD_OVERRIDE=FQ","FILING_STATUS=MR","SCALING_FORMAT=MLN","Sort=A","Dates=H","DateFormat=P","Fill=—","Direction=H","UseDPDF=Y")</f>
        <v>27285</v>
      </c>
      <c r="P8" s="13">
        <f>_xll.BDH("GILD US Equity","SHORT_AND_LONG_TERM_DEBT","FQ1 2022","FQ1 2022","Currency=USD","Period=FQ","BEST_FPERIOD_OVERRIDE=FQ","FILING_STATUS=MR","SCALING_FORMAT=MLN","Sort=A","Dates=H","DateFormat=P","Fill=—","Direction=H","UseDPDF=Y")</f>
        <v>26208</v>
      </c>
      <c r="Q8" s="13">
        <f>_xll.BDH("GILD US Equity","SHORT_AND_LONG_TERM_DEBT","FQ2 2022","FQ2 2022","Currency=USD","Period=FQ","BEST_FPERIOD_OVERRIDE=FQ","FILING_STATUS=MR","SCALING_FORMAT=MLN","Sort=A","Dates=H","DateFormat=P","Fill=—","Direction=H","UseDPDF=Y")</f>
        <v>26216</v>
      </c>
      <c r="R8" s="13">
        <f>_xll.BDH("GILD US Equity","SHORT_AND_LONG_TERM_DEBT","FQ3 2022","FQ3 2022","Currency=USD","Period=FQ","BEST_FPERIOD_OVERRIDE=FQ","FILING_STATUS=MR","SCALING_FORMAT=MLN","Sort=A","Dates=H","DateFormat=P","Fill=—","Direction=H","UseDPDF=Y")</f>
        <v>25223</v>
      </c>
      <c r="S8" s="13">
        <f>_xll.BDH("GILD US Equity","SHORT_AND_LONG_TERM_DEBT","FQ4 2022","FQ4 2022","Currency=USD","Period=FQ","BEST_FPERIOD_OVERRIDE=FQ","FILING_STATUS=MR","SCALING_FORMAT=MLN","Sort=A","Dates=H","DateFormat=P","Fill=—","Direction=H","UseDPDF=Y")</f>
        <v>25808</v>
      </c>
      <c r="T8" s="13">
        <f>_xll.BDH("GILD US Equity","SHORT_AND_LONG_TERM_DEBT","FQ1 2023","FQ1 2023","Currency=USD","Period=FQ","BEST_FPERIOD_OVERRIDE=FQ","FILING_STATUS=MR","SCALING_FORMAT=MLN","Sort=A","Dates=H","DateFormat=P","Fill=—","Direction=H","UseDPDF=Y")</f>
        <v>25239</v>
      </c>
      <c r="U8" s="13">
        <f>_xll.BDH("GILD US Equity","SHORT_AND_LONG_TERM_DEBT","FQ2 2023","FQ2 2023","Currency=USD","Period=FQ","BEST_FPERIOD_OVERRIDE=FQ","FILING_STATUS=MR","SCALING_FORMAT=MLN","Sort=A","Dates=H","DateFormat=P","Fill=—","Direction=H","UseDPDF=Y")</f>
        <v>25246</v>
      </c>
      <c r="V8" s="13">
        <f>_xll.BDH("GILD US Equity","SHORT_AND_LONG_TERM_DEBT","FQ3 2023","FQ3 2023","Currency=USD","Period=FQ","BEST_FPERIOD_OVERRIDE=FQ","FILING_STATUS=MR","SCALING_FORMAT=MLN","Sort=A","Dates=H","DateFormat=P","Fill=—","Direction=H","UseDPDF=Y")</f>
        <v>24982</v>
      </c>
      <c r="W8" s="13">
        <f>_xll.BDH("GILD US Equity","SHORT_AND_LONG_TERM_DEBT","FQ4 2023","FQ4 2023","Currency=USD","Period=FQ","BEST_FPERIOD_OVERRIDE=FQ","FILING_STATUS=MR","SCALING_FORMAT=MLN","Sort=A","Dates=H","DateFormat=P","Fill=—","Direction=H","UseDPDF=Y")</f>
        <v>25658</v>
      </c>
      <c r="X8" s="13">
        <f>_xll.BDH("GILD US Equity","SHORT_AND_LONG_TERM_DEBT","FQ1 2024","FQ1 2024","Currency=USD","Period=FQ","BEST_FPERIOD_OVERRIDE=FQ","FILING_STATUS=MR","SCALING_FORMAT=MLN","Sort=A","Dates=H","DateFormat=P","Fill=—","Direction=H","UseDPDF=Y")</f>
        <v>25194</v>
      </c>
      <c r="Y8" s="13">
        <f>_xll.BDH("GILD US Equity","SHORT_AND_LONG_TERM_DEBT","FQ2 2024","FQ2 2024","Currency=USD","Period=FQ","BEST_FPERIOD_OVERRIDE=FQ","FILING_STATUS=MR","SCALING_FORMAT=MLN","Sort=A","Dates=H","DateFormat=P","Fill=—","Direction=H","UseDPDF=Y")</f>
        <v>23350</v>
      </c>
      <c r="Z8" s="13">
        <f>_xll.BDH("GILD US Equity","SHORT_AND_LONG_TERM_DEBT","FQ3 2024","FQ3 2024","Currency=USD","Period=FQ","BEST_FPERIOD_OVERRIDE=FQ","FILING_STATUS=MR","SCALING_FORMAT=MLN","Sort=A","Dates=H","DateFormat=P","Fill=—","Direction=H","UseDPDF=Y")</f>
        <v>23249</v>
      </c>
      <c r="AA8" s="13">
        <f>_xll.BDH("GILD US Equity","SHORT_AND_LONG_TERM_DEBT","FQ4 2024","FQ4 2024","Currency=USD","Period=FQ","BEST_FPERIOD_OVERRIDE=FQ","FILING_STATUS=MR","SCALING_FORMAT=MLN","Sort=A","Dates=H","DateFormat=P","Fill=—","Direction=H","UseDPDF=Y")</f>
        <v>27322</v>
      </c>
    </row>
    <row r="9" spans="1:27" x14ac:dyDescent="0.25">
      <c r="A9" s="10" t="s">
        <v>1609</v>
      </c>
      <c r="B9" s="10" t="s">
        <v>810</v>
      </c>
      <c r="C9" s="13">
        <f>_xll.BDH("GILD US Equity","BS_ST_BORROW","FQ4 2018","FQ4 2018","Currency=USD","Period=FQ","BEST_FPERIOD_OVERRIDE=FQ","FILING_STATUS=MR","SCALING_FORMAT=MLN","Sort=A","Dates=H","DateFormat=P","Fill=—","Direction=H","UseDPDF=Y")</f>
        <v>2748</v>
      </c>
      <c r="D9" s="13">
        <f>_xll.BDH("GILD US Equity","BS_ST_BORROW","FQ1 2019","FQ1 2019","Currency=USD","Period=FQ","BEST_FPERIOD_OVERRIDE=FQ","FILING_STATUS=MR","SCALING_FORMAT=MLN","Sort=A","Dates=H","DateFormat=P","Fill=—","Direction=H","UseDPDF=Y")</f>
        <v>2573</v>
      </c>
      <c r="E9" s="13">
        <f>_xll.BDH("GILD US Equity","BS_ST_BORROW","FQ2 2019","FQ2 2019","Currency=USD","Period=FQ","BEST_FPERIOD_OVERRIDE=FQ","FILING_STATUS=MR","SCALING_FORMAT=MLN","Sort=A","Dates=H","DateFormat=P","Fill=—","Direction=H","UseDPDF=Y")</f>
        <v>2072</v>
      </c>
      <c r="F9" s="13">
        <f>_xll.BDH("GILD US Equity","BS_ST_BORROW","FQ3 2019","FQ3 2019","Currency=USD","Period=FQ","BEST_FPERIOD_OVERRIDE=FQ","FILING_STATUS=MR","SCALING_FORMAT=MLN","Sort=A","Dates=H","DateFormat=P","Fill=—","Direction=H","UseDPDF=Y")</f>
        <v>2591</v>
      </c>
      <c r="G9" s="13">
        <f>_xll.BDH("GILD US Equity","BS_ST_BORROW","FQ4 2019","FQ4 2019","Currency=USD","Period=FQ","BEST_FPERIOD_OVERRIDE=FQ","FILING_STATUS=MR","SCALING_FORMAT=MLN","Sort=A","Dates=H","DateFormat=P","Fill=—","Direction=H","UseDPDF=Y")</f>
        <v>2598</v>
      </c>
      <c r="H9" s="13">
        <f>_xll.BDH("GILD US Equity","BS_ST_BORROW","FQ1 2020","FQ1 2020","Currency=USD","Period=FQ","BEST_FPERIOD_OVERRIDE=FQ","FILING_STATUS=MR","SCALING_FORMAT=MLN","Sort=A","Dates=H","DateFormat=P","Fill=—","Direction=H","UseDPDF=Y")</f>
        <v>1999</v>
      </c>
      <c r="I9" s="13">
        <f>_xll.BDH("GILD US Equity","BS_ST_BORROW","FQ2 2020","FQ2 2020","Currency=USD","Period=FQ","BEST_FPERIOD_OVERRIDE=FQ","FILING_STATUS=MR","SCALING_FORMAT=MLN","Sort=A","Dates=H","DateFormat=P","Fill=—","Direction=H","UseDPDF=Y")</f>
        <v>2999</v>
      </c>
      <c r="J9" s="13">
        <f>_xll.BDH("GILD US Equity","BS_ST_BORROW","FQ3 2020","FQ3 2020","Currency=USD","Period=FQ","BEST_FPERIOD_OVERRIDE=FQ","FILING_STATUS=MR","SCALING_FORMAT=MLN","Sort=A","Dates=H","DateFormat=P","Fill=—","Direction=H","UseDPDF=Y")</f>
        <v>1498</v>
      </c>
      <c r="K9" s="13">
        <f>_xll.BDH("GILD US Equity","BS_ST_BORROW","FQ4 2020","FQ4 2020","Currency=USD","Period=FQ","BEST_FPERIOD_OVERRIDE=FQ","FILING_STATUS=MR","SCALING_FORMAT=MLN","Sort=A","Dates=H","DateFormat=P","Fill=—","Direction=H","UseDPDF=Y")</f>
        <v>2864</v>
      </c>
      <c r="L9" s="13">
        <f>_xll.BDH("GILD US Equity","BS_ST_BORROW","FQ1 2021","FQ1 2021","Currency=USD","Period=FQ","BEST_FPERIOD_OVERRIDE=FQ","FILING_STATUS=MR","SCALING_FORMAT=MLN","Sort=A","Dates=H","DateFormat=P","Fill=—","Direction=H","UseDPDF=Y")</f>
        <v>2259</v>
      </c>
      <c r="M9" s="13">
        <f>_xll.BDH("GILD US Equity","BS_ST_BORROW","FQ2 2021","FQ2 2021","Currency=USD","Period=FQ","BEST_FPERIOD_OVERRIDE=FQ","FILING_STATUS=MR","SCALING_FORMAT=MLN","Sort=A","Dates=H","DateFormat=P","Fill=—","Direction=H","UseDPDF=Y")</f>
        <v>2261</v>
      </c>
      <c r="N9" s="13">
        <f>_xll.BDH("GILD US Equity","BS_ST_BORROW","FQ3 2021","FQ3 2021","Currency=USD","Period=FQ","BEST_FPERIOD_OVERRIDE=FQ","FILING_STATUS=MR","SCALING_FORMAT=MLN","Sort=A","Dates=H","DateFormat=P","Fill=—","Direction=H","UseDPDF=Y")</f>
        <v>2511</v>
      </c>
      <c r="O9" s="13">
        <f>_xll.BDH("GILD US Equity","BS_ST_BORROW","FQ4 2021","FQ4 2021","Currency=USD","Period=FQ","BEST_FPERIOD_OVERRIDE=FQ","FILING_STATUS=MR","SCALING_FORMAT=MLN","Sort=A","Dates=H","DateFormat=P","Fill=—","Direction=H","UseDPDF=Y")</f>
        <v>1617</v>
      </c>
      <c r="P9" s="13">
        <f>_xll.BDH("GILD US Equity","BS_ST_BORROW","FQ1 2022","FQ1 2022","Currency=USD","Period=FQ","BEST_FPERIOD_OVERRIDE=FQ","FILING_STATUS=MR","SCALING_FORMAT=MLN","Sort=A","Dates=H","DateFormat=P","Fill=—","Direction=H","UseDPDF=Y")</f>
        <v>1025</v>
      </c>
      <c r="Q9" s="13">
        <f>_xll.BDH("GILD US Equity","BS_ST_BORROW","FQ2 2022","FQ2 2022","Currency=USD","Period=FQ","BEST_FPERIOD_OVERRIDE=FQ","FILING_STATUS=MR","SCALING_FORMAT=MLN","Sort=A","Dates=H","DateFormat=P","Fill=—","Direction=H","UseDPDF=Y")</f>
        <v>1021</v>
      </c>
      <c r="R9" s="13">
        <f>_xll.BDH("GILD US Equity","BS_ST_BORROW","FQ3 2022","FQ3 2022","Currency=USD","Period=FQ","BEST_FPERIOD_OVERRIDE=FQ","FILING_STATUS=MR","SCALING_FORMAT=MLN","Sort=A","Dates=H","DateFormat=P","Fill=—","Direction=H","UseDPDF=Y")</f>
        <v>2270</v>
      </c>
      <c r="S9" s="13">
        <f>_xll.BDH("GILD US Equity","BS_ST_BORROW","FQ4 2022","FQ4 2022","Currency=USD","Period=FQ","BEST_FPERIOD_OVERRIDE=FQ","FILING_STATUS=MR","SCALING_FORMAT=MLN","Sort=A","Dates=H","DateFormat=P","Fill=—","Direction=H","UseDPDF=Y")</f>
        <v>2384</v>
      </c>
      <c r="T9" s="13">
        <f>_xll.BDH("GILD US Equity","BS_ST_BORROW","FQ1 2023","FQ1 2023","Currency=USD","Period=FQ","BEST_FPERIOD_OVERRIDE=FQ","FILING_STATUS=MR","SCALING_FORMAT=MLN","Sort=A","Dates=H","DateFormat=P","Fill=—","Direction=H","UseDPDF=Y")</f>
        <v>2283</v>
      </c>
      <c r="U9" s="13">
        <f>_xll.BDH("GILD US Equity","BS_ST_BORROW","FQ2 2023","FQ2 2023","Currency=USD","Period=FQ","BEST_FPERIOD_OVERRIDE=FQ","FILING_STATUS=MR","SCALING_FORMAT=MLN","Sort=A","Dates=H","DateFormat=P","Fill=—","Direction=H","UseDPDF=Y")</f>
        <v>4037</v>
      </c>
      <c r="V9" s="13">
        <f>_xll.BDH("GILD US Equity","BS_ST_BORROW","FQ3 2023","FQ3 2023","Currency=USD","Period=FQ","BEST_FPERIOD_OVERRIDE=FQ","FILING_STATUS=MR","SCALING_FORMAT=MLN","Sort=A","Dates=H","DateFormat=P","Fill=—","Direction=H","UseDPDF=Y")</f>
        <v>1793</v>
      </c>
      <c r="W9" s="13">
        <f>_xll.BDH("GILD US Equity","BS_ST_BORROW","FQ4 2023","FQ4 2023","Currency=USD","Period=FQ","BEST_FPERIOD_OVERRIDE=FQ","FILING_STATUS=MR","SCALING_FORMAT=MLN","Sort=A","Dates=H","DateFormat=P","Fill=—","Direction=H","UseDPDF=Y")</f>
        <v>1923</v>
      </c>
      <c r="X9" s="13">
        <f>_xll.BDH("GILD US Equity","BS_ST_BORROW","FQ1 2024","FQ1 2024","Currency=USD","Period=FQ","BEST_FPERIOD_OVERRIDE=FQ","FILING_STATUS=MR","SCALING_FORMAT=MLN","Sort=A","Dates=H","DateFormat=P","Fill=—","Direction=H","UseDPDF=Y")</f>
        <v>3667</v>
      </c>
      <c r="Y9" s="13">
        <f>_xll.BDH("GILD US Equity","BS_ST_BORROW","FQ2 2024","FQ2 2024","Currency=USD","Period=FQ","BEST_FPERIOD_OVERRIDE=FQ","FILING_STATUS=MR","SCALING_FORMAT=MLN","Sort=A","Dates=H","DateFormat=P","Fill=—","Direction=H","UseDPDF=Y")</f>
        <v>1810</v>
      </c>
      <c r="Z9" s="13">
        <f>_xll.BDH("GILD US Equity","BS_ST_BORROW","FQ3 2024","FQ3 2024","Currency=USD","Period=FQ","BEST_FPERIOD_OVERRIDE=FQ","FILING_STATUS=MR","SCALING_FORMAT=MLN","Sort=A","Dates=H","DateFormat=P","Fill=—","Direction=H","UseDPDF=Y")</f>
        <v>1812</v>
      </c>
      <c r="AA9" s="13">
        <f>_xll.BDH("GILD US Equity","BS_ST_BORROW","FQ4 2024","FQ4 2024","Currency=USD","Period=FQ","BEST_FPERIOD_OVERRIDE=FQ","FILING_STATUS=MR","SCALING_FORMAT=MLN","Sort=A","Dates=H","DateFormat=P","Fill=—","Direction=H","UseDPDF=Y")</f>
        <v>1928</v>
      </c>
    </row>
    <row r="10" spans="1:27" x14ac:dyDescent="0.25">
      <c r="A10" s="10" t="s">
        <v>1610</v>
      </c>
      <c r="B10" s="10" t="s">
        <v>830</v>
      </c>
      <c r="C10" s="13">
        <f>_xll.BDH("GILD US Equity","BS_LT_BORROW","FQ4 2018","FQ4 2018","Currency=USD","Period=FQ","BEST_FPERIOD_OVERRIDE=FQ","FILING_STATUS=MR","SCALING_FORMAT=MLN","Sort=A","Dates=H","DateFormat=P","Fill=—","Direction=H","UseDPDF=Y")</f>
        <v>24574</v>
      </c>
      <c r="D10" s="13">
        <f>_xll.BDH("GILD US Equity","BS_LT_BORROW","FQ1 2019","FQ1 2019","Currency=USD","Period=FQ","BEST_FPERIOD_OVERRIDE=FQ","FILING_STATUS=MR","SCALING_FORMAT=MLN","Sort=A","Dates=H","DateFormat=P","Fill=—","Direction=H","UseDPDF=Y")</f>
        <v>24509</v>
      </c>
      <c r="E10" s="13">
        <f>_xll.BDH("GILD US Equity","BS_LT_BORROW","FQ2 2019","FQ2 2019","Currency=USD","Period=FQ","BEST_FPERIOD_OVERRIDE=FQ","FILING_STATUS=MR","SCALING_FORMAT=MLN","Sort=A","Dates=H","DateFormat=P","Fill=—","Direction=H","UseDPDF=Y")</f>
        <v>24565</v>
      </c>
      <c r="F10" s="13">
        <f>_xll.BDH("GILD US Equity","BS_LT_BORROW","FQ3 2019","FQ3 2019","Currency=USD","Period=FQ","BEST_FPERIOD_OVERRIDE=FQ","FILING_STATUS=MR","SCALING_FORMAT=MLN","Sort=A","Dates=H","DateFormat=P","Fill=—","Direction=H","UseDPDF=Y")</f>
        <v>22709</v>
      </c>
      <c r="G10" s="13">
        <f>_xll.BDH("GILD US Equity","BS_LT_BORROW","FQ4 2019","FQ4 2019","Currency=USD","Period=FQ","BEST_FPERIOD_OVERRIDE=FQ","FILING_STATUS=MR","SCALING_FORMAT=MLN","Sort=A","Dates=H","DateFormat=P","Fill=—","Direction=H","UseDPDF=Y")</f>
        <v>22720</v>
      </c>
      <c r="H10" s="13">
        <f>_xll.BDH("GILD US Equity","BS_LT_BORROW","FQ1 2020","FQ1 2020","Currency=USD","Period=FQ","BEST_FPERIOD_OVERRIDE=FQ","FILING_STATUS=MR","SCALING_FORMAT=MLN","Sort=A","Dates=H","DateFormat=P","Fill=—","Direction=H","UseDPDF=Y")</f>
        <v>22098</v>
      </c>
      <c r="I10" s="13">
        <f>_xll.BDH("GILD US Equity","BS_LT_BORROW","FQ2 2020","FQ2 2020","Currency=USD","Period=FQ","BEST_FPERIOD_OVERRIDE=FQ","FILING_STATUS=MR","SCALING_FORMAT=MLN","Sort=A","Dates=H","DateFormat=P","Fill=—","Direction=H","UseDPDF=Y")</f>
        <v>21103</v>
      </c>
      <c r="J10" s="13">
        <f>_xll.BDH("GILD US Equity","BS_LT_BORROW","FQ3 2020","FQ3 2020","Currency=USD","Period=FQ","BEST_FPERIOD_OVERRIDE=FQ","FILING_STATUS=MR","SCALING_FORMAT=MLN","Sort=A","Dates=H","DateFormat=P","Fill=—","Direction=H","UseDPDF=Y")</f>
        <v>27792</v>
      </c>
      <c r="K10" s="13">
        <f>_xll.BDH("GILD US Equity","BS_LT_BORROW","FQ4 2020","FQ4 2020","Currency=USD","Period=FQ","BEST_FPERIOD_OVERRIDE=FQ","FILING_STATUS=MR","SCALING_FORMAT=MLN","Sort=A","Dates=H","DateFormat=P","Fill=—","Direction=H","UseDPDF=Y")</f>
        <v>29253</v>
      </c>
      <c r="L10" s="13">
        <f>_xll.BDH("GILD US Equity","BS_LT_BORROW","FQ1 2021","FQ1 2021","Currency=USD","Period=FQ","BEST_FPERIOD_OVERRIDE=FQ","FILING_STATUS=MR","SCALING_FORMAT=MLN","Sort=A","Dates=H","DateFormat=P","Fill=—","Direction=H","UseDPDF=Y")</f>
        <v>27907</v>
      </c>
      <c r="M10" s="13">
        <f>_xll.BDH("GILD US Equity","BS_LT_BORROW","FQ2 2021","FQ2 2021","Currency=USD","Period=FQ","BEST_FPERIOD_OVERRIDE=FQ","FILING_STATUS=MR","SCALING_FORMAT=MLN","Sort=A","Dates=H","DateFormat=P","Fill=—","Direction=H","UseDPDF=Y")</f>
        <v>27914</v>
      </c>
      <c r="N10" s="13">
        <f>_xll.BDH("GILD US Equity","BS_LT_BORROW","FQ3 2021","FQ3 2021","Currency=USD","Period=FQ","BEST_FPERIOD_OVERRIDE=FQ","FILING_STATUS=MR","SCALING_FORMAT=MLN","Sort=A","Dates=H","DateFormat=P","Fill=—","Direction=H","UseDPDF=Y")</f>
        <v>25175</v>
      </c>
      <c r="O10" s="13">
        <f>_xll.BDH("GILD US Equity","BS_LT_BORROW","FQ4 2021","FQ4 2021","Currency=USD","Period=FQ","BEST_FPERIOD_OVERRIDE=FQ","FILING_STATUS=MR","SCALING_FORMAT=MLN","Sort=A","Dates=H","DateFormat=P","Fill=—","Direction=H","UseDPDF=Y")</f>
        <v>25668</v>
      </c>
      <c r="P10" s="13">
        <f>_xll.BDH("GILD US Equity","BS_LT_BORROW","FQ1 2022","FQ1 2022","Currency=USD","Period=FQ","BEST_FPERIOD_OVERRIDE=FQ","FILING_STATUS=MR","SCALING_FORMAT=MLN","Sort=A","Dates=H","DateFormat=P","Fill=—","Direction=H","UseDPDF=Y")</f>
        <v>25183</v>
      </c>
      <c r="Q10" s="13">
        <f>_xll.BDH("GILD US Equity","BS_LT_BORROW","FQ2 2022","FQ2 2022","Currency=USD","Period=FQ","BEST_FPERIOD_OVERRIDE=FQ","FILING_STATUS=MR","SCALING_FORMAT=MLN","Sort=A","Dates=H","DateFormat=P","Fill=—","Direction=H","UseDPDF=Y")</f>
        <v>25195</v>
      </c>
      <c r="R10" s="13">
        <f>_xll.BDH("GILD US Equity","BS_LT_BORROW","FQ3 2022","FQ3 2022","Currency=USD","Period=FQ","BEST_FPERIOD_OVERRIDE=FQ","FILING_STATUS=MR","SCALING_FORMAT=MLN","Sort=A","Dates=H","DateFormat=P","Fill=—","Direction=H","UseDPDF=Y")</f>
        <v>22953</v>
      </c>
      <c r="S10" s="13">
        <f>_xll.BDH("GILD US Equity","BS_LT_BORROW","FQ4 2022","FQ4 2022","Currency=USD","Period=FQ","BEST_FPERIOD_OVERRIDE=FQ","FILING_STATUS=MR","SCALING_FORMAT=MLN","Sort=A","Dates=H","DateFormat=P","Fill=—","Direction=H","UseDPDF=Y")</f>
        <v>23424</v>
      </c>
      <c r="T10" s="13">
        <f>_xll.BDH("GILD US Equity","BS_LT_BORROW","FQ1 2023","FQ1 2023","Currency=USD","Period=FQ","BEST_FPERIOD_OVERRIDE=FQ","FILING_STATUS=MR","SCALING_FORMAT=MLN","Sort=A","Dates=H","DateFormat=P","Fill=—","Direction=H","UseDPDF=Y")</f>
        <v>22956</v>
      </c>
      <c r="U10" s="13">
        <f>_xll.BDH("GILD US Equity","BS_LT_BORROW","FQ2 2023","FQ2 2023","Currency=USD","Period=FQ","BEST_FPERIOD_OVERRIDE=FQ","FILING_STATUS=MR","SCALING_FORMAT=MLN","Sort=A","Dates=H","DateFormat=P","Fill=—","Direction=H","UseDPDF=Y")</f>
        <v>21209</v>
      </c>
      <c r="V10" s="13">
        <f>_xll.BDH("GILD US Equity","BS_LT_BORROW","FQ3 2023","FQ3 2023","Currency=USD","Period=FQ","BEST_FPERIOD_OVERRIDE=FQ","FILING_STATUS=MR","SCALING_FORMAT=MLN","Sort=A","Dates=H","DateFormat=P","Fill=—","Direction=H","UseDPDF=Y")</f>
        <v>23189</v>
      </c>
      <c r="W10" s="13">
        <f>_xll.BDH("GILD US Equity","BS_LT_BORROW","FQ4 2023","FQ4 2023","Currency=USD","Period=FQ","BEST_FPERIOD_OVERRIDE=FQ","FILING_STATUS=MR","SCALING_FORMAT=MLN","Sort=A","Dates=H","DateFormat=P","Fill=—","Direction=H","UseDPDF=Y")</f>
        <v>23735</v>
      </c>
      <c r="X10" s="13">
        <f>_xll.BDH("GILD US Equity","BS_LT_BORROW","FQ1 2024","FQ1 2024","Currency=USD","Period=FQ","BEST_FPERIOD_OVERRIDE=FQ","FILING_STATUS=MR","SCALING_FORMAT=MLN","Sort=A","Dates=H","DateFormat=P","Fill=—","Direction=H","UseDPDF=Y")</f>
        <v>21527</v>
      </c>
      <c r="Y10" s="13">
        <f>_xll.BDH("GILD US Equity","BS_LT_BORROW","FQ2 2024","FQ2 2024","Currency=USD","Period=FQ","BEST_FPERIOD_OVERRIDE=FQ","FILING_STATUS=MR","SCALING_FORMAT=MLN","Sort=A","Dates=H","DateFormat=P","Fill=—","Direction=H","UseDPDF=Y")</f>
        <v>21540</v>
      </c>
      <c r="Z10" s="13">
        <f>_xll.BDH("GILD US Equity","BS_LT_BORROW","FQ3 2024","FQ3 2024","Currency=USD","Period=FQ","BEST_FPERIOD_OVERRIDE=FQ","FILING_STATUS=MR","SCALING_FORMAT=MLN","Sort=A","Dates=H","DateFormat=P","Fill=—","Direction=H","UseDPDF=Y")</f>
        <v>21437</v>
      </c>
      <c r="AA10" s="13">
        <f>_xll.BDH("GILD US Equity","BS_LT_BORROW","FQ4 2024","FQ4 2024","Currency=USD","Period=FQ","BEST_FPERIOD_OVERRIDE=FQ","FILING_STATUS=MR","SCALING_FORMAT=MLN","Sort=A","Dates=H","DateFormat=P","Fill=—","Direction=H","UseDPDF=Y")</f>
        <v>25394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10" t="s">
        <v>1611</v>
      </c>
      <c r="B12" s="10" t="s">
        <v>1612</v>
      </c>
      <c r="C12" s="14">
        <f>_xll.BDH("GILD US Equity","TOT_DEBT_TO_EBITDA","FQ4 2018","FQ4 2018","Currency=USD","Period=FQ","BEST_FPERIOD_OVERRIDE=FQ","FILING_STATUS=MR","FA_ADJUSTED=GAAP","Sort=A","Dates=H","DateFormat=P","Fill=—","Direction=H","UseDPDF=Y")</f>
        <v>2.8374999999999999</v>
      </c>
      <c r="D12" s="14">
        <f>_xll.BDH("GILD US Equity","TOT_DEBT_TO_EBITDA","FQ1 2019","FQ1 2019","Currency=USD","Period=FQ","BEST_FPERIOD_OVERRIDE=FQ","FILING_STATUS=MR","FA_ADJUSTED=GAAP","Sort=A","Dates=H","DateFormat=P","Fill=—","Direction=H","UseDPDF=Y")</f>
        <v>2.7469000000000001</v>
      </c>
      <c r="E12" s="14">
        <f>_xll.BDH("GILD US Equity","TOT_DEBT_TO_EBITDA","FQ2 2019","FQ2 2019","Currency=USD","Period=FQ","BEST_FPERIOD_OVERRIDE=FQ","FILING_STATUS=MR","FA_ADJUSTED=GAAP","Sort=A","Dates=H","DateFormat=P","Fill=—","Direction=H","UseDPDF=Y")</f>
        <v>2.6623999999999999</v>
      </c>
      <c r="F12" s="14">
        <f>_xll.BDH("GILD US Equity","TOT_DEBT_TO_EBITDA","FQ3 2019","FQ3 2019","Currency=USD","Period=FQ","BEST_FPERIOD_OVERRIDE=FQ","FILING_STATUS=MR","FA_ADJUSTED=GAAP","Sort=A","Dates=H","DateFormat=P","Fill=—","Direction=H","UseDPDF=Y")</f>
        <v>4.2827999999999999</v>
      </c>
      <c r="G12" s="14">
        <f>_xll.BDH("GILD US Equity","TOT_DEBT_TO_EBITDA","FQ4 2019","FQ4 2019","Currency=USD","Period=FQ","BEST_FPERIOD_OVERRIDE=FQ","FILING_STATUS=MR","FA_ADJUSTED=GAAP","Sort=A","Dates=H","DateFormat=P","Fill=—","Direction=H","UseDPDF=Y")</f>
        <v>4.3255999999999997</v>
      </c>
      <c r="H12" s="14">
        <f>_xll.BDH("GILD US Equity","TOT_DEBT_TO_EBITDA","FQ1 2020","FQ1 2020","Currency=USD","Period=FQ","BEST_FPERIOD_OVERRIDE=FQ","FILING_STATUS=MR","FA_ADJUSTED=GAAP","Sort=A","Dates=H","DateFormat=P","Fill=—","Direction=H","UseDPDF=Y")</f>
        <v>4.0350000000000001</v>
      </c>
      <c r="I12" s="14">
        <f>_xll.BDH("GILD US Equity","TOT_DEBT_TO_EBITDA","FQ2 2020","FQ2 2020","Currency=USD","Period=FQ","BEST_FPERIOD_OVERRIDE=FQ","FILING_STATUS=MR","FA_ADJUSTED=GAAP","Sort=A","Dates=H","DateFormat=P","Fill=—","Direction=H","UseDPDF=Y")</f>
        <v>46.172400000000003</v>
      </c>
      <c r="J12" s="14">
        <f>_xll.BDH("GILD US Equity","TOT_DEBT_TO_EBITDA","FQ3 2020","FQ3 2020","Currency=USD","Period=FQ","BEST_FPERIOD_OVERRIDE=FQ","FILING_STATUS=MR","FA_ADJUSTED=GAAP","Sort=A","Dates=H","DateFormat=P","Fill=—","Direction=H","UseDPDF=Y")</f>
        <v>7.3964999999999996</v>
      </c>
      <c r="K12" s="14">
        <f>_xll.BDH("GILD US Equity","TOT_DEBT_TO_EBITDA","FQ4 2020","FQ4 2020","Currency=USD","Period=FQ","BEST_FPERIOD_OVERRIDE=FQ","FILING_STATUS=MR","FA_ADJUSTED=GAAP","Sort=A","Dates=H","DateFormat=P","Fill=—","Direction=H","UseDPDF=Y")</f>
        <v>5.7858000000000001</v>
      </c>
      <c r="L12" s="14">
        <f>_xll.BDH("GILD US Equity","TOT_DEBT_TO_EBITDA","FQ1 2021","FQ1 2021","Currency=USD","Period=FQ","BEST_FPERIOD_OVERRIDE=FQ","FILING_STATUS=MR","FA_ADJUSTED=GAAP","Sort=A","Dates=H","DateFormat=P","Fill=—","Direction=H","UseDPDF=Y")</f>
        <v>4.8947000000000003</v>
      </c>
      <c r="M12" s="14">
        <f>_xll.BDH("GILD US Equity","TOT_DEBT_TO_EBITDA","FQ2 2021","FQ2 2021","Currency=USD","Period=FQ","BEST_FPERIOD_OVERRIDE=FQ","FILING_STATUS=MR","FA_ADJUSTED=GAAP","Sort=A","Dates=H","DateFormat=P","Fill=—","Direction=H","UseDPDF=Y")</f>
        <v>2.6097999999999999</v>
      </c>
      <c r="N12" s="14">
        <f>_xll.BDH("GILD US Equity","TOT_DEBT_TO_EBITDA","FQ3 2021","FQ3 2021","Currency=USD","Period=FQ","BEST_FPERIOD_OVERRIDE=FQ","FILING_STATUS=MR","FA_ADJUSTED=GAAP","Sort=A","Dates=H","DateFormat=P","Fill=—","Direction=H","UseDPDF=Y")</f>
        <v>2.0400999999999998</v>
      </c>
      <c r="O12" s="14">
        <f>_xll.BDH("GILD US Equity","TOT_DEBT_TO_EBITDA","FQ4 2021","FQ4 2021","Currency=USD","Period=FQ","BEST_FPERIOD_OVERRIDE=FQ","FILING_STATUS=MR","FA_ADJUSTED=GAAP","Sort=A","Dates=H","DateFormat=P","Fill=—","Direction=H","UseDPDF=Y")</f>
        <v>2.2797999999999998</v>
      </c>
      <c r="P12" s="14">
        <f>_xll.BDH("GILD US Equity","TOT_DEBT_TO_EBITDA","FQ1 2022","FQ1 2022","Currency=USD","Period=FQ","BEST_FPERIOD_OVERRIDE=FQ","FILING_STATUS=MR","FA_ADJUSTED=GAAP","Sort=A","Dates=H","DateFormat=P","Fill=—","Direction=H","UseDPDF=Y")</f>
        <v>2.8098999999999998</v>
      </c>
      <c r="Q12" s="14">
        <f>_xll.BDH("GILD US Equity","TOT_DEBT_TO_EBITDA","FQ2 2022","FQ2 2022","Currency=USD","Period=FQ","BEST_FPERIOD_OVERRIDE=FQ","FILING_STATUS=MR","FA_ADJUSTED=GAAP","Sort=A","Dates=H","DateFormat=P","Fill=—","Direction=H","UseDPDF=Y")</f>
        <v>2.8757999999999999</v>
      </c>
      <c r="R12" s="14">
        <f>_xll.BDH("GILD US Equity","TOT_DEBT_TO_EBITDA","FQ3 2022","FQ3 2022","Currency=USD","Period=FQ","BEST_FPERIOD_OVERRIDE=FQ","FILING_STATUS=MR","FA_ADJUSTED=GAAP","Sort=A","Dates=H","DateFormat=P","Fill=—","Direction=H","UseDPDF=Y")</f>
        <v>3.109</v>
      </c>
      <c r="S12" s="14">
        <f>_xll.BDH("GILD US Equity","TOT_DEBT_TO_EBITDA","FQ4 2022","FQ4 2022","Currency=USD","Period=FQ","BEST_FPERIOD_OVERRIDE=FQ","FILING_STATUS=MR","FA_ADJUSTED=GAAP","Sort=A","Dates=H","DateFormat=P","Fill=—","Direction=H","UseDPDF=Y")</f>
        <v>2.7359</v>
      </c>
      <c r="T12" s="14">
        <f>_xll.BDH("GILD US Equity","TOT_DEBT_TO_EBITDA","FQ1 2023","FQ1 2023","Currency=USD","Period=FQ","BEST_FPERIOD_OVERRIDE=FQ","FILING_STATUS=MR","FA_ADJUSTED=GAAP","Sort=A","Dates=H","DateFormat=P","Fill=—","Direction=H","UseDPDF=Y")</f>
        <v>2.2827999999999999</v>
      </c>
      <c r="U12" s="14">
        <f>_xll.BDH("GILD US Equity","TOT_DEBT_TO_EBITDA","FQ2 2023","FQ2 2023","Currency=USD","Period=FQ","BEST_FPERIOD_OVERRIDE=FQ","FILING_STATUS=MR","FA_ADJUSTED=GAAP","Sort=A","Dates=H","DateFormat=P","Fill=—","Direction=H","UseDPDF=Y")</f>
        <v>2.3271999999999999</v>
      </c>
      <c r="V12" s="14">
        <f>_xll.BDH("GILD US Equity","TOT_DEBT_TO_EBITDA","FQ3 2023","FQ3 2023","Currency=USD","Period=FQ","BEST_FPERIOD_OVERRIDE=FQ","FILING_STATUS=MR","FA_ADJUSTED=GAAP","Sort=A","Dates=H","DateFormat=P","Fill=—","Direction=H","UseDPDF=Y")</f>
        <v>2.3146</v>
      </c>
      <c r="W12" s="14">
        <f>_xll.BDH("GILD US Equity","TOT_DEBT_TO_EBITDA","FQ4 2023","FQ4 2023","Currency=USD","Period=FQ","BEST_FPERIOD_OVERRIDE=FQ","FILING_STATUS=MR","FA_ADJUSTED=GAAP","Sort=A","Dates=H","DateFormat=P","Fill=—","Direction=H","UseDPDF=Y")</f>
        <v>2.4916</v>
      </c>
      <c r="X12" s="14">
        <f>_xll.BDH("GILD US Equity","TOT_DEBT_TO_EBITDA","FQ1 2024","FQ1 2024","Currency=USD","Period=FQ","BEST_FPERIOD_OVERRIDE=FQ","FILING_STATUS=MR","FA_ADJUSTED=GAAP","Sort=A","Dates=H","DateFormat=P","Fill=—","Direction=H","UseDPDF=Y")</f>
        <v>5.8305999999999996</v>
      </c>
      <c r="Y12" s="14">
        <f>_xll.BDH("GILD US Equity","TOT_DEBT_TO_EBITDA","FQ2 2024","FQ2 2024","Currency=USD","Period=FQ","BEST_FPERIOD_OVERRIDE=FQ","FILING_STATUS=MR","FA_ADJUSTED=GAAP","Sort=A","Dates=H","DateFormat=P","Fill=—","Direction=H","UseDPDF=Y")</f>
        <v>4.3948999999999998</v>
      </c>
      <c r="Z12" s="14">
        <f>_xll.BDH("GILD US Equity","TOT_DEBT_TO_EBITDA","FQ3 2024","FQ3 2024","Currency=USD","Period=FQ","BEST_FPERIOD_OVERRIDE=FQ","FILING_STATUS=MR","FA_ADJUSTED=GAAP","Sort=A","Dates=H","DateFormat=P","Fill=—","Direction=H","UseDPDF=Y")</f>
        <v>6.4869000000000003</v>
      </c>
      <c r="AA12" s="14">
        <f>_xll.BDH("GILD US Equity","TOT_DEBT_TO_EBITDA","FQ4 2024","FQ4 2024","Currency=USD","Period=FQ","BEST_FPERIOD_OVERRIDE=FQ","FILING_STATUS=MR","FA_ADJUSTED=GAAP","Sort=A","Dates=H","DateFormat=P","Fill=—","Direction=H","UseDPDF=Y")</f>
        <v>6.1703000000000001</v>
      </c>
    </row>
    <row r="13" spans="1:27" x14ac:dyDescent="0.25">
      <c r="A13" s="10" t="s">
        <v>1613</v>
      </c>
      <c r="B13" s="10" t="s">
        <v>1614</v>
      </c>
      <c r="C13" s="14">
        <f>_xll.BDH("GILD US Equity","NET_DEBT_TO_EBITDA","FQ4 2018","FQ4 2018","Currency=USD","Period=FQ","BEST_FPERIOD_OVERRIDE=FQ","FILING_STATUS=MR","FA_ADJUSTED=GAAP","Sort=A","Dates=H","DateFormat=P","Fill=—","Direction=H","UseDPDF=Y")</f>
        <v>-0.43509999999999999</v>
      </c>
      <c r="D13" s="14">
        <f>_xll.BDH("GILD US Equity","NET_DEBT_TO_EBITDA","FQ1 2019","FQ1 2019","Currency=USD","Period=FQ","BEST_FPERIOD_OVERRIDE=FQ","FILING_STATUS=MR","FA_ADJUSTED=GAAP","Sort=A","Dates=H","DateFormat=P","Fill=—","Direction=H","UseDPDF=Y")</f>
        <v>-0.30869999999999997</v>
      </c>
      <c r="E13" s="14">
        <f>_xll.BDH("GILD US Equity","NET_DEBT_TO_EBITDA","FQ2 2019","FQ2 2019","Currency=USD","Period=FQ","BEST_FPERIOD_OVERRIDE=FQ","FILING_STATUS=MR","FA_ADJUSTED=GAAP","Sort=A","Dates=H","DateFormat=P","Fill=—","Direction=H","UseDPDF=Y")</f>
        <v>-0.35949999999999999</v>
      </c>
      <c r="F13" s="14">
        <f>_xll.BDH("GILD US Equity","NET_DEBT_TO_EBITDA","FQ3 2019","FQ3 2019","Currency=USD","Period=FQ","BEST_FPERIOD_OVERRIDE=FQ","FILING_STATUS=MR","FA_ADJUSTED=GAAP","Sort=A","Dates=H","DateFormat=P","Fill=—","Direction=H","UseDPDF=Y")</f>
        <v>4.2200000000000001E-2</v>
      </c>
      <c r="G13" s="14">
        <f>_xll.BDH("GILD US Equity","NET_DEBT_TO_EBITDA","FQ4 2019","FQ4 2019","Currency=USD","Period=FQ","BEST_FPERIOD_OVERRIDE=FQ","FILING_STATUS=MR","FA_ADJUSTED=GAAP","Sort=A","Dates=H","DateFormat=P","Fill=—","Direction=H","UseDPDF=Y")</f>
        <v>-8.9200000000000002E-2</v>
      </c>
      <c r="H13" s="14">
        <f>_xll.BDH("GILD US Equity","NET_DEBT_TO_EBITDA","FQ1 2020","FQ1 2020","Currency=USD","Period=FQ","BEST_FPERIOD_OVERRIDE=FQ","FILING_STATUS=MR","FA_ADJUSTED=GAAP","Sort=A","Dates=H","DateFormat=P","Fill=—","Direction=H","UseDPDF=Y")</f>
        <v>-3.6299999999999999E-2</v>
      </c>
      <c r="I13" s="14">
        <f>_xll.BDH("GILD US Equity","NET_DEBT_TO_EBITDA","FQ2 2020","FQ2 2020","Currency=USD","Period=FQ","BEST_FPERIOD_OVERRIDE=FQ","FILING_STATUS=MR","FA_ADJUSTED=GAAP","Sort=A","Dates=H","DateFormat=P","Fill=—","Direction=H","UseDPDF=Y")</f>
        <v>5.5785</v>
      </c>
      <c r="J13" s="14">
        <f>_xll.BDH("GILD US Equity","NET_DEBT_TO_EBITDA","FQ3 2020","FQ3 2020","Currency=USD","Period=FQ","BEST_FPERIOD_OVERRIDE=FQ","FILING_STATUS=MR","FA_ADJUSTED=GAAP","Sort=A","Dates=H","DateFormat=P","Fill=—","Direction=H","UseDPDF=Y")</f>
        <v>0.81840000000000002</v>
      </c>
      <c r="K13" s="14">
        <f>_xll.BDH("GILD US Equity","NET_DEBT_TO_EBITDA","FQ4 2020","FQ4 2020","Currency=USD","Period=FQ","BEST_FPERIOD_OVERRIDE=FQ","FILING_STATUS=MR","FA_ADJUSTED=GAAP","Sort=A","Dates=H","DateFormat=P","Fill=—","Direction=H","UseDPDF=Y")</f>
        <v>4.3608000000000002</v>
      </c>
      <c r="L13" s="14">
        <f>_xll.BDH("GILD US Equity","NET_DEBT_TO_EBITDA","FQ1 2021","FQ1 2021","Currency=USD","Period=FQ","BEST_FPERIOD_OVERRIDE=FQ","FILING_STATUS=MR","FA_ADJUSTED=GAAP","Sort=A","Dates=H","DateFormat=P","Fill=—","Direction=H","UseDPDF=Y")</f>
        <v>3.8814000000000002</v>
      </c>
      <c r="M13" s="14">
        <f>_xll.BDH("GILD US Equity","NET_DEBT_TO_EBITDA","FQ2 2021","FQ2 2021","Currency=USD","Period=FQ","BEST_FPERIOD_OVERRIDE=FQ","FILING_STATUS=MR","FA_ADJUSTED=GAAP","Sort=A","Dates=H","DateFormat=P","Fill=—","Direction=H","UseDPDF=Y")</f>
        <v>1.9732000000000001</v>
      </c>
      <c r="N13" s="14">
        <f>_xll.BDH("GILD US Equity","NET_DEBT_TO_EBITDA","FQ3 2021","FQ3 2021","Currency=USD","Period=FQ","BEST_FPERIOD_OVERRIDE=FQ","FILING_STATUS=MR","FA_ADJUSTED=GAAP","Sort=A","Dates=H","DateFormat=P","Fill=—","Direction=H","UseDPDF=Y")</f>
        <v>1.5363</v>
      </c>
      <c r="O13" s="14">
        <f>_xll.BDH("GILD US Equity","NET_DEBT_TO_EBITDA","FQ4 2021","FQ4 2021","Currency=USD","Period=FQ","BEST_FPERIOD_OVERRIDE=FQ","FILING_STATUS=MR","FA_ADJUSTED=GAAP","Sort=A","Dates=H","DateFormat=P","Fill=—","Direction=H","UseDPDF=Y")</f>
        <v>1.6256999999999999</v>
      </c>
      <c r="P13" s="14">
        <f>_xll.BDH("GILD US Equity","NET_DEBT_TO_EBITDA","FQ1 2022","FQ1 2022","Currency=USD","Period=FQ","BEST_FPERIOD_OVERRIDE=FQ","FILING_STATUS=MR","FA_ADJUSTED=GAAP","Sort=A","Dates=H","DateFormat=P","Fill=—","Direction=H","UseDPDF=Y")</f>
        <v>2.0859999999999999</v>
      </c>
      <c r="Q13" s="14">
        <f>_xll.BDH("GILD US Equity","NET_DEBT_TO_EBITDA","FQ2 2022","FQ2 2022","Currency=USD","Period=FQ","BEST_FPERIOD_OVERRIDE=FQ","FILING_STATUS=MR","FA_ADJUSTED=GAAP","Sort=A","Dates=H","DateFormat=P","Fill=—","Direction=H","UseDPDF=Y")</f>
        <v>2.1078999999999999</v>
      </c>
      <c r="R13" s="14">
        <f>_xll.BDH("GILD US Equity","NET_DEBT_TO_EBITDA","FQ3 2022","FQ3 2022","Currency=USD","Period=FQ","BEST_FPERIOD_OVERRIDE=FQ","FILING_STATUS=MR","FA_ADJUSTED=GAAP","Sort=A","Dates=H","DateFormat=P","Fill=—","Direction=H","UseDPDF=Y")</f>
        <v>2.2532999999999999</v>
      </c>
      <c r="S13" s="14">
        <f>_xll.BDH("GILD US Equity","NET_DEBT_TO_EBITDA","FQ4 2022","FQ4 2022","Currency=USD","Period=FQ","BEST_FPERIOD_OVERRIDE=FQ","FILING_STATUS=MR","FA_ADJUSTED=GAAP","Sort=A","Dates=H","DateFormat=P","Fill=—","Direction=H","UseDPDF=Y")</f>
        <v>1.9271</v>
      </c>
      <c r="T13" s="14">
        <f>_xll.BDH("GILD US Equity","NET_DEBT_TO_EBITDA","FQ1 2023","FQ1 2023","Currency=USD","Period=FQ","BEST_FPERIOD_OVERRIDE=FQ","FILING_STATUS=MR","FA_ADJUSTED=GAAP","Sort=A","Dates=H","DateFormat=P","Fill=—","Direction=H","UseDPDF=Y")</f>
        <v>1.6316999999999999</v>
      </c>
      <c r="U13" s="14">
        <f>_xll.BDH("GILD US Equity","NET_DEBT_TO_EBITDA","FQ2 2023","FQ2 2023","Currency=USD","Period=FQ","BEST_FPERIOD_OVERRIDE=FQ","FILING_STATUS=MR","FA_ADJUSTED=GAAP","Sort=A","Dates=H","DateFormat=P","Fill=—","Direction=H","UseDPDF=Y")</f>
        <v>1.5896999999999999</v>
      </c>
      <c r="V13" s="14">
        <f>_xll.BDH("GILD US Equity","NET_DEBT_TO_EBITDA","FQ3 2023","FQ3 2023","Currency=USD","Period=FQ","BEST_FPERIOD_OVERRIDE=FQ","FILING_STATUS=MR","FA_ADJUSTED=GAAP","Sort=A","Dates=H","DateFormat=P","Fill=—","Direction=H","UseDPDF=Y")</f>
        <v>1.5716000000000001</v>
      </c>
      <c r="W13" s="14">
        <f>_xll.BDH("GILD US Equity","NET_DEBT_TO_EBITDA","FQ4 2023","FQ4 2023","Currency=USD","Period=FQ","BEST_FPERIOD_OVERRIDE=FQ","FILING_STATUS=MR","FA_ADJUSTED=GAAP","Sort=A","Dates=H","DateFormat=P","Fill=—","Direction=H","UseDPDF=Y")</f>
        <v>1.6732</v>
      </c>
      <c r="X13" s="14">
        <f>_xll.BDH("GILD US Equity","NET_DEBT_TO_EBITDA","FQ1 2024","FQ1 2024","Currency=USD","Period=FQ","BEST_FPERIOD_OVERRIDE=FQ","FILING_STATUS=MR","FA_ADJUSTED=GAAP","Sort=A","Dates=H","DateFormat=P","Fill=—","Direction=H","UseDPDF=Y")</f>
        <v>4.7386999999999997</v>
      </c>
      <c r="Y13" s="14">
        <f>_xll.BDH("GILD US Equity","NET_DEBT_TO_EBITDA","FQ2 2024","FQ2 2024","Currency=USD","Period=FQ","BEST_FPERIOD_OVERRIDE=FQ","FILING_STATUS=MR","FA_ADJUSTED=GAAP","Sort=A","Dates=H","DateFormat=P","Fill=—","Direction=H","UseDPDF=Y")</f>
        <v>3.8731</v>
      </c>
      <c r="Z13" s="14">
        <f>_xll.BDH("GILD US Equity","NET_DEBT_TO_EBITDA","FQ3 2024","FQ3 2024","Currency=USD","Period=FQ","BEST_FPERIOD_OVERRIDE=FQ","FILING_STATUS=MR","FA_ADJUSTED=GAAP","Sort=A","Dates=H","DateFormat=P","Fill=—","Direction=H","UseDPDF=Y")</f>
        <v>5.0815000000000001</v>
      </c>
      <c r="AA13" s="14">
        <f>_xll.BDH("GILD US Equity","NET_DEBT_TO_EBITDA","FQ4 2024","FQ4 2024","Currency=USD","Period=FQ","BEST_FPERIOD_OVERRIDE=FQ","FILING_STATUS=MR","FA_ADJUSTED=GAAP","Sort=A","Dates=H","DateFormat=P","Fill=—","Direction=H","UseDPDF=Y")</f>
        <v>3.9140000000000001</v>
      </c>
    </row>
    <row r="14" spans="1:27" x14ac:dyDescent="0.25">
      <c r="A14" s="10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10" t="s">
        <v>1615</v>
      </c>
      <c r="B15" s="10" t="s">
        <v>1616</v>
      </c>
      <c r="C15" s="14">
        <f>_xll.BDH("GILD US Equity","TOTAL_DEBT_TO_EBIT","FQ4 2018","FQ4 2018","Currency=USD","Period=FQ","BEST_FPERIOD_OVERRIDE=FQ","FILING_STATUS=MR","FA_ADJUSTED=GAAP","Sort=A","Dates=H","DateFormat=P","Fill=—","Direction=H","UseDPDF=Y")</f>
        <v>3.3319999999999999</v>
      </c>
      <c r="D15" s="14">
        <f>_xll.BDH("GILD US Equity","TOTAL_DEBT_TO_EBIT","FQ1 2019","FQ1 2019","Currency=USD","Period=FQ","BEST_FPERIOD_OVERRIDE=FQ","FILING_STATUS=MR","FA_ADJUSTED=GAAP","Sort=A","Dates=H","DateFormat=P","Fill=—","Direction=H","UseDPDF=Y")</f>
        <v>3.262</v>
      </c>
      <c r="E15" s="14">
        <f>_xll.BDH("GILD US Equity","TOTAL_DEBT_TO_EBIT","FQ2 2019","FQ2 2019","Currency=USD","Period=FQ","BEST_FPERIOD_OVERRIDE=FQ","FILING_STATUS=MR","FA_ADJUSTED=GAAP","Sort=A","Dates=H","DateFormat=P","Fill=—","Direction=H","UseDPDF=Y")</f>
        <v>3.1513</v>
      </c>
      <c r="F15" s="14">
        <f>_xll.BDH("GILD US Equity","TOTAL_DEBT_TO_EBIT","FQ3 2019","FQ3 2019","Currency=USD","Period=FQ","BEST_FPERIOD_OVERRIDE=FQ","FILING_STATUS=MR","FA_ADJUSTED=GAAP","Sort=A","Dates=H","DateFormat=P","Fill=—","Direction=H","UseDPDF=Y")</f>
        <v>5.8057999999999996</v>
      </c>
      <c r="G15" s="14">
        <f>_xll.BDH("GILD US Equity","TOTAL_DEBT_TO_EBIT","FQ4 2019","FQ4 2019","Currency=USD","Period=FQ","BEST_FPERIOD_OVERRIDE=FQ","FILING_STATUS=MR","FA_ADJUSTED=GAAP","Sort=A","Dates=H","DateFormat=P","Fill=—","Direction=H","UseDPDF=Y")</f>
        <v>5.8769</v>
      </c>
      <c r="H15" s="14">
        <f>_xll.BDH("GILD US Equity","TOTAL_DEBT_TO_EBIT","FQ1 2020","FQ1 2020","Currency=USD","Period=FQ","BEST_FPERIOD_OVERRIDE=FQ","FILING_STATUS=MR","FA_ADJUSTED=GAAP","Sort=A","Dates=H","DateFormat=P","Fill=—","Direction=H","UseDPDF=Y")</f>
        <v>5.4126000000000003</v>
      </c>
      <c r="I15" s="14" t="str">
        <f>_xll.BDH("GILD US Equity","TOTAL_DEBT_TO_EBIT","FQ2 2020","FQ2 2020","Currency=USD","Period=FQ","BEST_FPERIOD_OVERRIDE=FQ","FILING_STATUS=MR","FA_ADJUSTED=GAAP","Sort=A","Dates=H","DateFormat=P","Fill=—","Direction=H","UseDPDF=Y")</f>
        <v>—</v>
      </c>
      <c r="J15" s="14">
        <f>_xll.BDH("GILD US Equity","TOTAL_DEBT_TO_EBIT","FQ3 2020","FQ3 2020","Currency=USD","Period=FQ","BEST_FPERIOD_OVERRIDE=FQ","FILING_STATUS=MR","FA_ADJUSTED=GAAP","Sort=A","Dates=H","DateFormat=P","Fill=—","Direction=H","UseDPDF=Y")</f>
        <v>11.6554</v>
      </c>
      <c r="K15" s="14">
        <f>_xll.BDH("GILD US Equity","TOTAL_DEBT_TO_EBIT","FQ4 2020","FQ4 2020","Currency=USD","Period=FQ","BEST_FPERIOD_OVERRIDE=FQ","FILING_STATUS=MR","FA_ADJUSTED=GAAP","Sort=A","Dates=H","DateFormat=P","Fill=—","Direction=H","UseDPDF=Y")</f>
        <v>7.8891999999999998</v>
      </c>
      <c r="L15" s="14">
        <f>_xll.BDH("GILD US Equity","TOTAL_DEBT_TO_EBIT","FQ1 2021","FQ1 2021","Currency=USD","Period=FQ","BEST_FPERIOD_OVERRIDE=FQ","FILING_STATUS=MR","FA_ADJUSTED=GAAP","Sort=A","Dates=H","DateFormat=P","Fill=—","Direction=H","UseDPDF=Y")</f>
        <v>6.6167999999999996</v>
      </c>
      <c r="M15" s="14">
        <f>_xll.BDH("GILD US Equity","TOTAL_DEBT_TO_EBIT","FQ2 2021","FQ2 2021","Currency=USD","Period=FQ","BEST_FPERIOD_OVERRIDE=FQ","FILING_STATUS=MR","FA_ADJUSTED=GAAP","Sort=A","Dates=H","DateFormat=P","Fill=—","Direction=H","UseDPDF=Y")</f>
        <v>3.0829</v>
      </c>
      <c r="N15" s="14">
        <f>_xll.BDH("GILD US Equity","TOTAL_DEBT_TO_EBIT","FQ3 2021","FQ3 2021","Currency=USD","Period=FQ","BEST_FPERIOD_OVERRIDE=FQ","FILING_STATUS=MR","FA_ADJUSTED=GAAP","Sort=A","Dates=H","DateFormat=P","Fill=—","Direction=H","UseDPDF=Y")</f>
        <v>2.3807999999999998</v>
      </c>
      <c r="O15" s="14">
        <f>_xll.BDH("GILD US Equity","TOTAL_DEBT_TO_EBIT","FQ4 2021","FQ4 2021","Currency=USD","Period=FQ","BEST_FPERIOD_OVERRIDE=FQ","FILING_STATUS=MR","FA_ADJUSTED=GAAP","Sort=A","Dates=H","DateFormat=P","Fill=—","Direction=H","UseDPDF=Y")</f>
        <v>2.7511000000000001</v>
      </c>
      <c r="P15" s="14">
        <f>_xll.BDH("GILD US Equity","TOTAL_DEBT_TO_EBIT","FQ1 2022","FQ1 2022","Currency=USD","Period=FQ","BEST_FPERIOD_OVERRIDE=FQ","FILING_STATUS=MR","FA_ADJUSTED=GAAP","Sort=A","Dates=H","DateFormat=P","Fill=—","Direction=H","UseDPDF=Y")</f>
        <v>3.6274000000000002</v>
      </c>
      <c r="Q15" s="14">
        <f>_xll.BDH("GILD US Equity","TOTAL_DEBT_TO_EBIT","FQ2 2022","FQ2 2022","Currency=USD","Period=FQ","BEST_FPERIOD_OVERRIDE=FQ","FILING_STATUS=MR","FA_ADJUSTED=GAAP","Sort=A","Dates=H","DateFormat=P","Fill=—","Direction=H","UseDPDF=Y")</f>
        <v>3.7408999999999999</v>
      </c>
      <c r="R15" s="14">
        <f>_xll.BDH("GILD US Equity","TOTAL_DEBT_TO_EBIT","FQ3 2022","FQ3 2022","Currency=USD","Period=FQ","BEST_FPERIOD_OVERRIDE=FQ","FILING_STATUS=MR","FA_ADJUSTED=GAAP","Sort=A","Dates=H","DateFormat=P","Fill=—","Direction=H","UseDPDF=Y")</f>
        <v>4.2016999999999998</v>
      </c>
      <c r="S15" s="14">
        <f>_xll.BDH("GILD US Equity","TOTAL_DEBT_TO_EBIT","FQ4 2022","FQ4 2022","Currency=USD","Period=FQ","BEST_FPERIOD_OVERRIDE=FQ","FILING_STATUS=MR","FA_ADJUSTED=GAAP","Sort=A","Dates=H","DateFormat=P","Fill=—","Direction=H","UseDPDF=Y")</f>
        <v>3.5209000000000001</v>
      </c>
      <c r="T15" s="14">
        <f>_xll.BDH("GILD US Equity","TOTAL_DEBT_TO_EBIT","FQ1 2023","FQ1 2023","Currency=USD","Period=FQ","BEST_FPERIOD_OVERRIDE=FQ","FILING_STATUS=MR","FA_ADJUSTED=GAAP","Sort=A","Dates=H","DateFormat=P","Fill=—","Direction=H","UseDPDF=Y")</f>
        <v>2.8557000000000001</v>
      </c>
      <c r="U15" s="14">
        <f>_xll.BDH("GILD US Equity","TOTAL_DEBT_TO_EBIT","FQ2 2023","FQ2 2023","Currency=USD","Period=FQ","BEST_FPERIOD_OVERRIDE=FQ","FILING_STATUS=MR","FA_ADJUSTED=GAAP","Sort=A","Dates=H","DateFormat=P","Fill=—","Direction=H","UseDPDF=Y")</f>
        <v>2.9792000000000001</v>
      </c>
      <c r="V15" s="14">
        <f>_xll.BDH("GILD US Equity","TOTAL_DEBT_TO_EBIT","FQ3 2023","FQ3 2023","Currency=USD","Period=FQ","BEST_FPERIOD_OVERRIDE=FQ","FILING_STATUS=MR","FA_ADJUSTED=GAAP","Sort=A","Dates=H","DateFormat=P","Fill=—","Direction=H","UseDPDF=Y")</f>
        <v>3.0245000000000002</v>
      </c>
      <c r="W15" s="14">
        <f>_xll.BDH("GILD US Equity","TOTAL_DEBT_TO_EBIT","FQ4 2023","FQ4 2023","Currency=USD","Period=FQ","BEST_FPERIOD_OVERRIDE=FQ","FILING_STATUS=MR","FA_ADJUSTED=GAAP","Sort=A","Dates=H","DateFormat=P","Fill=—","Direction=H","UseDPDF=Y")</f>
        <v>3.3738000000000001</v>
      </c>
      <c r="X15" s="14">
        <f>_xll.BDH("GILD US Equity","TOTAL_DEBT_TO_EBIT","FQ1 2024","FQ1 2024","Currency=USD","Period=FQ","BEST_FPERIOD_OVERRIDE=FQ","FILING_STATUS=MR","FA_ADJUSTED=GAAP","Sort=A","Dates=H","DateFormat=P","Fill=—","Direction=H","UseDPDF=Y")</f>
        <v>15.9658</v>
      </c>
      <c r="Y15" s="14">
        <f>_xll.BDH("GILD US Equity","TOTAL_DEBT_TO_EBIT","FQ2 2024","FQ2 2024","Currency=USD","Period=FQ","BEST_FPERIOD_OVERRIDE=FQ","FILING_STATUS=MR","FA_ADJUSTED=GAAP","Sort=A","Dates=H","DateFormat=P","Fill=—","Direction=H","UseDPDF=Y")</f>
        <v>9.1318000000000001</v>
      </c>
      <c r="Z15" s="14">
        <f>_xll.BDH("GILD US Equity","TOTAL_DEBT_TO_EBIT","FQ3 2024","FQ3 2024","Currency=USD","Period=FQ","BEST_FPERIOD_OVERRIDE=FQ","FILING_STATUS=MR","FA_ADJUSTED=GAAP","Sort=A","Dates=H","DateFormat=P","Fill=—","Direction=H","UseDPDF=Y")</f>
        <v>28.2835</v>
      </c>
      <c r="AA15" s="14">
        <f>_xll.BDH("GILD US Equity","TOTAL_DEBT_TO_EBIT","FQ4 2024","FQ4 2024","Currency=USD","Period=FQ","BEST_FPERIOD_OVERRIDE=FQ","FILING_STATUS=MR","FA_ADJUSTED=GAAP","Sort=A","Dates=H","DateFormat=P","Fill=—","Direction=H","UseDPDF=Y")</f>
        <v>16.449100000000001</v>
      </c>
    </row>
    <row r="16" spans="1:27" x14ac:dyDescent="0.25">
      <c r="A16" s="10" t="s">
        <v>1617</v>
      </c>
      <c r="B16" s="10" t="s">
        <v>1618</v>
      </c>
      <c r="C16" s="14">
        <f>_xll.BDH("GILD US Equity","NET_DEBT_TO_EBIT","FQ4 2018","FQ4 2018","Currency=USD","Period=FQ","BEST_FPERIOD_OVERRIDE=FQ","FILING_STATUS=MR","FA_ADJUSTED=GAAP","Sort=A","Dates=H","DateFormat=P","Fill=—","Direction=H","UseDPDF=Y")</f>
        <v>-0.51100000000000001</v>
      </c>
      <c r="D16" s="14">
        <f>_xll.BDH("GILD US Equity","NET_DEBT_TO_EBIT","FQ1 2019","FQ1 2019","Currency=USD","Period=FQ","BEST_FPERIOD_OVERRIDE=FQ","FILING_STATUS=MR","FA_ADJUSTED=GAAP","Sort=A","Dates=H","DateFormat=P","Fill=—","Direction=H","UseDPDF=Y")</f>
        <v>-0.36649999999999999</v>
      </c>
      <c r="E16" s="14">
        <f>_xll.BDH("GILD US Equity","NET_DEBT_TO_EBIT","FQ2 2019","FQ2 2019","Currency=USD","Period=FQ","BEST_FPERIOD_OVERRIDE=FQ","FILING_STATUS=MR","FA_ADJUSTED=GAAP","Sort=A","Dates=H","DateFormat=P","Fill=—","Direction=H","UseDPDF=Y")</f>
        <v>-0.42549999999999999</v>
      </c>
      <c r="F16" s="14">
        <f>_xll.BDH("GILD US Equity","NET_DEBT_TO_EBIT","FQ3 2019","FQ3 2019","Currency=USD","Period=FQ","BEST_FPERIOD_OVERRIDE=FQ","FILING_STATUS=MR","FA_ADJUSTED=GAAP","Sort=A","Dates=H","DateFormat=P","Fill=—","Direction=H","UseDPDF=Y")</f>
        <v>5.7099999999999998E-2</v>
      </c>
      <c r="G16" s="14">
        <f>_xll.BDH("GILD US Equity","NET_DEBT_TO_EBIT","FQ4 2019","FQ4 2019","Currency=USD","Period=FQ","BEST_FPERIOD_OVERRIDE=FQ","FILING_STATUS=MR","FA_ADJUSTED=GAAP","Sort=A","Dates=H","DateFormat=P","Fill=—","Direction=H","UseDPDF=Y")</f>
        <v>-0.1212</v>
      </c>
      <c r="H16" s="14">
        <f>_xll.BDH("GILD US Equity","NET_DEBT_TO_EBIT","FQ1 2020","FQ1 2020","Currency=USD","Period=FQ","BEST_FPERIOD_OVERRIDE=FQ","FILING_STATUS=MR","FA_ADJUSTED=GAAP","Sort=A","Dates=H","DateFormat=P","Fill=—","Direction=H","UseDPDF=Y")</f>
        <v>-4.87E-2</v>
      </c>
      <c r="I16" s="14" t="str">
        <f>_xll.BDH("GILD US Equity","NET_DEBT_TO_EBIT","FQ2 2020","FQ2 2020","Currency=USD","Period=FQ","BEST_FPERIOD_OVERRIDE=FQ","FILING_STATUS=MR","FA_ADJUSTED=GAAP","Sort=A","Dates=H","DateFormat=P","Fill=—","Direction=H","UseDPDF=Y")</f>
        <v>—</v>
      </c>
      <c r="J16" s="14">
        <f>_xll.BDH("GILD US Equity","NET_DEBT_TO_EBIT","FQ3 2020","FQ3 2020","Currency=USD","Period=FQ","BEST_FPERIOD_OVERRIDE=FQ","FILING_STATUS=MR","FA_ADJUSTED=GAAP","Sort=A","Dates=H","DateFormat=P","Fill=—","Direction=H","UseDPDF=Y")</f>
        <v>1.2897000000000001</v>
      </c>
      <c r="K16" s="14">
        <f>_xll.BDH("GILD US Equity","NET_DEBT_TO_EBIT","FQ4 2020","FQ4 2020","Currency=USD","Period=FQ","BEST_FPERIOD_OVERRIDE=FQ","FILING_STATUS=MR","FA_ADJUSTED=GAAP","Sort=A","Dates=H","DateFormat=P","Fill=—","Direction=H","UseDPDF=Y")</f>
        <v>5.9462000000000002</v>
      </c>
      <c r="L16" s="14">
        <f>_xll.BDH("GILD US Equity","NET_DEBT_TO_EBIT","FQ1 2021","FQ1 2021","Currency=USD","Period=FQ","BEST_FPERIOD_OVERRIDE=FQ","FILING_STATUS=MR","FA_ADJUSTED=GAAP","Sort=A","Dates=H","DateFormat=P","Fill=—","Direction=H","UseDPDF=Y")</f>
        <v>5.2469999999999999</v>
      </c>
      <c r="M16" s="14">
        <f>_xll.BDH("GILD US Equity","NET_DEBT_TO_EBIT","FQ2 2021","FQ2 2021","Currency=USD","Period=FQ","BEST_FPERIOD_OVERRIDE=FQ","FILING_STATUS=MR","FA_ADJUSTED=GAAP","Sort=A","Dates=H","DateFormat=P","Fill=—","Direction=H","UseDPDF=Y")</f>
        <v>2.3308</v>
      </c>
      <c r="N16" s="14">
        <f>_xll.BDH("GILD US Equity","NET_DEBT_TO_EBIT","FQ3 2021","FQ3 2021","Currency=USD","Period=FQ","BEST_FPERIOD_OVERRIDE=FQ","FILING_STATUS=MR","FA_ADJUSTED=GAAP","Sort=A","Dates=H","DateFormat=P","Fill=—","Direction=H","UseDPDF=Y")</f>
        <v>1.7927999999999999</v>
      </c>
      <c r="O16" s="14">
        <f>_xll.BDH("GILD US Equity","NET_DEBT_TO_EBIT","FQ4 2021","FQ4 2021","Currency=USD","Period=FQ","BEST_FPERIOD_OVERRIDE=FQ","FILING_STATUS=MR","FA_ADJUSTED=GAAP","Sort=A","Dates=H","DateFormat=P","Fill=—","Direction=H","UseDPDF=Y")</f>
        <v>1.9617</v>
      </c>
      <c r="P16" s="14">
        <f>_xll.BDH("GILD US Equity","NET_DEBT_TO_EBIT","FQ1 2022","FQ1 2022","Currency=USD","Period=FQ","BEST_FPERIOD_OVERRIDE=FQ","FILING_STATUS=MR","FA_ADJUSTED=GAAP","Sort=A","Dates=H","DateFormat=P","Fill=—","Direction=H","UseDPDF=Y")</f>
        <v>2.6928999999999998</v>
      </c>
      <c r="Q16" s="14">
        <f>_xll.BDH("GILD US Equity","NET_DEBT_TO_EBIT","FQ2 2022","FQ2 2022","Currency=USD","Period=FQ","BEST_FPERIOD_OVERRIDE=FQ","FILING_STATUS=MR","FA_ADJUSTED=GAAP","Sort=A","Dates=H","DateFormat=P","Fill=—","Direction=H","UseDPDF=Y")</f>
        <v>2.742</v>
      </c>
      <c r="R16" s="14">
        <f>_xll.BDH("GILD US Equity","NET_DEBT_TO_EBIT","FQ3 2022","FQ3 2022","Currency=USD","Period=FQ","BEST_FPERIOD_OVERRIDE=FQ","FILING_STATUS=MR","FA_ADJUSTED=GAAP","Sort=A","Dates=H","DateFormat=P","Fill=—","Direction=H","UseDPDF=Y")</f>
        <v>3.0453000000000001</v>
      </c>
      <c r="S16" s="14">
        <f>_xll.BDH("GILD US Equity","NET_DEBT_TO_EBIT","FQ4 2022","FQ4 2022","Currency=USD","Period=FQ","BEST_FPERIOD_OVERRIDE=FQ","FILING_STATUS=MR","FA_ADJUSTED=GAAP","Sort=A","Dates=H","DateFormat=P","Fill=—","Direction=H","UseDPDF=Y")</f>
        <v>2.4799000000000002</v>
      </c>
      <c r="T16" s="14">
        <f>_xll.BDH("GILD US Equity","NET_DEBT_TO_EBIT","FQ1 2023","FQ1 2023","Currency=USD","Period=FQ","BEST_FPERIOD_OVERRIDE=FQ","FILING_STATUS=MR","FA_ADJUSTED=GAAP","Sort=A","Dates=H","DateFormat=P","Fill=—","Direction=H","UseDPDF=Y")</f>
        <v>2.0411999999999999</v>
      </c>
      <c r="U16" s="14">
        <f>_xll.BDH("GILD US Equity","NET_DEBT_TO_EBIT","FQ2 2023","FQ2 2023","Currency=USD","Period=FQ","BEST_FPERIOD_OVERRIDE=FQ","FILING_STATUS=MR","FA_ADJUSTED=GAAP","Sort=A","Dates=H","DateFormat=P","Fill=—","Direction=H","UseDPDF=Y")</f>
        <v>2.0350000000000001</v>
      </c>
      <c r="V16" s="14">
        <f>_xll.BDH("GILD US Equity","NET_DEBT_TO_EBIT","FQ3 2023","FQ3 2023","Currency=USD","Period=FQ","BEST_FPERIOD_OVERRIDE=FQ","FILING_STATUS=MR","FA_ADJUSTED=GAAP","Sort=A","Dates=H","DateFormat=P","Fill=—","Direction=H","UseDPDF=Y")</f>
        <v>2.0535000000000001</v>
      </c>
      <c r="W16" s="14">
        <f>_xll.BDH("GILD US Equity","NET_DEBT_TO_EBIT","FQ4 2023","FQ4 2023","Currency=USD","Period=FQ","BEST_FPERIOD_OVERRIDE=FQ","FILING_STATUS=MR","FA_ADJUSTED=GAAP","Sort=A","Dates=H","DateFormat=P","Fill=—","Direction=H","UseDPDF=Y")</f>
        <v>2.2656999999999998</v>
      </c>
      <c r="X16" s="14">
        <f>_xll.BDH("GILD US Equity","NET_DEBT_TO_EBIT","FQ1 2024","FQ1 2024","Currency=USD","Period=FQ","BEST_FPERIOD_OVERRIDE=FQ","FILING_STATUS=MR","FA_ADJUSTED=GAAP","Sort=A","Dates=H","DateFormat=P","Fill=—","Direction=H","UseDPDF=Y")</f>
        <v>12.975899999999999</v>
      </c>
      <c r="Y16" s="14">
        <f>_xll.BDH("GILD US Equity","NET_DEBT_TO_EBIT","FQ2 2024","FQ2 2024","Currency=USD","Period=FQ","BEST_FPERIOD_OVERRIDE=FQ","FILING_STATUS=MR","FA_ADJUSTED=GAAP","Sort=A","Dates=H","DateFormat=P","Fill=—","Direction=H","UseDPDF=Y")</f>
        <v>8.0477000000000007</v>
      </c>
      <c r="Z16" s="14">
        <f>_xll.BDH("GILD US Equity","NET_DEBT_TO_EBIT","FQ3 2024","FQ3 2024","Currency=USD","Period=FQ","BEST_FPERIOD_OVERRIDE=FQ","FILING_STATUS=MR","FA_ADJUSTED=GAAP","Sort=A","Dates=H","DateFormat=P","Fill=—","Direction=H","UseDPDF=Y")</f>
        <v>22.1557</v>
      </c>
      <c r="AA16" s="14">
        <f>_xll.BDH("GILD US Equity","NET_DEBT_TO_EBIT","FQ4 2024","FQ4 2024","Currency=USD","Period=FQ","BEST_FPERIOD_OVERRIDE=FQ","FILING_STATUS=MR","FA_ADJUSTED=GAAP","Sort=A","Dates=H","DateFormat=P","Fill=—","Direction=H","UseDPDF=Y")</f>
        <v>10.434100000000001</v>
      </c>
    </row>
    <row r="17" spans="1:27" x14ac:dyDescent="0.25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5">
      <c r="A18" s="10" t="s">
        <v>1619</v>
      </c>
      <c r="B18" s="10" t="s">
        <v>1620</v>
      </c>
      <c r="C18" s="14">
        <f>_xll.BDH("GILD US Equity","EBITDA_TO_INTEREST_EXPN","FQ4 2018","FQ4 2018","Currency=USD","Period=FQ","BEST_FPERIOD_OVERRIDE=FQ","FILING_STATUS=MR","FA_ADJUSTED=GAAP","Sort=A","Dates=H","DateFormat=P","Fill=—","Direction=H","UseDPDF=Y")</f>
        <v>5.8444000000000003</v>
      </c>
      <c r="D18" s="14">
        <f>_xll.BDH("GILD US Equity","EBITDA_TO_INTEREST_EXPN","FQ1 2019","FQ1 2019","Currency=USD","Period=FQ","BEST_FPERIOD_OVERRIDE=FQ","FILING_STATUS=MR","FA_ADJUSTED=GAAP","Sort=A","Dates=H","DateFormat=P","Fill=—","Direction=H","UseDPDF=Y")</f>
        <v>10.3622</v>
      </c>
      <c r="E18" s="14">
        <f>_xll.BDH("GILD US Equity","EBITDA_TO_INTEREST_EXPN","FQ2 2019","FQ2 2019","Currency=USD","Period=FQ","BEST_FPERIOD_OVERRIDE=FQ","FILING_STATUS=MR","FA_ADJUSTED=GAAP","Sort=A","Dates=H","DateFormat=P","Fill=—","Direction=H","UseDPDF=Y")</f>
        <v>11.354799999999999</v>
      </c>
      <c r="F18" s="14">
        <f>_xll.BDH("GILD US Equity","EBITDA_TO_INTEREST_EXPN","FQ3 2019","FQ3 2019","Currency=USD","Period=FQ","BEST_FPERIOD_OVERRIDE=FQ","FILING_STATUS=MR","FA_ADJUSTED=GAAP","Sort=A","Dates=H","DateFormat=P","Fill=—","Direction=H","UseDPDF=Y")</f>
        <v>-4.3280000000000003</v>
      </c>
      <c r="G18" s="14">
        <f>_xll.BDH("GILD US Equity","EBITDA_TO_INTEREST_EXPN","FQ4 2019","FQ4 2019","Currency=USD","Period=FQ","BEST_FPERIOD_OVERRIDE=FQ","FILING_STATUS=MR","FA_ADJUSTED=GAAP","Sort=A","Dates=H","DateFormat=P","Fill=—","Direction=H","UseDPDF=Y")</f>
        <v>6.1193</v>
      </c>
      <c r="H18" s="14">
        <f>_xll.BDH("GILD US Equity","EBITDA_TO_INTEREST_EXPN","FQ1 2020","FQ1 2020","Currency=USD","Period=FQ","BEST_FPERIOD_OVERRIDE=FQ","FILING_STATUS=MR","FA_ADJUSTED=GAAP","Sort=A","Dates=H","DateFormat=P","Fill=—","Direction=H","UseDPDF=Y")</f>
        <v>11.414899999999999</v>
      </c>
      <c r="I18" s="14">
        <f>_xll.BDH("GILD US Equity","EBITDA_TO_INTEREST_EXPN","FQ2 2020","FQ2 2020","Currency=USD","Period=FQ","BEST_FPERIOD_OVERRIDE=FQ","FILING_STATUS=MR","FA_ADJUSTED=GAAP","Sort=A","Dates=H","DateFormat=P","Fill=—","Direction=H","UseDPDF=Y")</f>
        <v>-10.975</v>
      </c>
      <c r="J18" s="14">
        <f>_xll.BDH("GILD US Equity","EBITDA_TO_INTEREST_EXPN","FQ3 2020","FQ3 2020","Currency=USD","Period=FQ","BEST_FPERIOD_OVERRIDE=FQ","FILING_STATUS=MR","FA_ADJUSTED=GAAP","Sort=A","Dates=H","DateFormat=P","Fill=—","Direction=H","UseDPDF=Y")</f>
        <v>9.9831000000000003</v>
      </c>
      <c r="K18" s="14">
        <f>_xll.BDH("GILD US Equity","EBITDA_TO_INTEREST_EXPN","FQ4 2020","FQ4 2020","Currency=USD","Period=FQ","BEST_FPERIOD_OVERRIDE=FQ","FILING_STATUS=MR","FA_ADJUSTED=GAAP","Sort=A","Dates=H","DateFormat=P","Fill=—","Direction=H","UseDPDF=Y")</f>
        <v>11.5281</v>
      </c>
      <c r="L18" s="14">
        <f>_xll.BDH("GILD US Equity","EBITDA_TO_INTEREST_EXPN","FQ1 2021","FQ1 2021","Currency=USD","Period=FQ","BEST_FPERIOD_OVERRIDE=FQ","FILING_STATUS=MR","FA_ADJUSTED=GAAP","Sort=A","Dates=H","DateFormat=P","Fill=—","Direction=H","UseDPDF=Y")</f>
        <v>13.085599999999999</v>
      </c>
      <c r="M18" s="14">
        <f>_xll.BDH("GILD US Equity","EBITDA_TO_INTEREST_EXPN","FQ2 2021","FQ2 2021","Currency=USD","Period=FQ","BEST_FPERIOD_OVERRIDE=FQ","FILING_STATUS=MR","FA_ADJUSTED=GAAP","Sort=A","Dates=H","DateFormat=P","Fill=—","Direction=H","UseDPDF=Y")</f>
        <v>10.800800000000001</v>
      </c>
      <c r="N18" s="14">
        <f>_xll.BDH("GILD US Equity","EBITDA_TO_INTEREST_EXPN","FQ3 2021","FQ3 2021","Currency=USD","Period=FQ","BEST_FPERIOD_OVERRIDE=FQ","FILING_STATUS=MR","FA_ADJUSTED=GAAP","Sort=A","Dates=H","DateFormat=P","Fill=—","Direction=H","UseDPDF=Y")</f>
        <v>17.46</v>
      </c>
      <c r="O18" s="14">
        <f>_xll.BDH("GILD US Equity","EBITDA_TO_INTEREST_EXPN","FQ4 2021","FQ4 2021","Currency=USD","Period=FQ","BEST_FPERIOD_OVERRIDE=FQ","FILING_STATUS=MR","FA_ADJUSTED=GAAP","Sort=A","Dates=H","DateFormat=P","Fill=—","Direction=H","UseDPDF=Y")</f>
        <v>6.1974999999999998</v>
      </c>
      <c r="P18" s="14">
        <f>_xll.BDH("GILD US Equity","EBITDA_TO_INTEREST_EXPN","FQ1 2022","FQ1 2022","Currency=USD","Period=FQ","BEST_FPERIOD_OVERRIDE=FQ","FILING_STATUS=MR","FA_ADJUSTED=GAAP","Sort=A","Dates=H","DateFormat=P","Fill=—","Direction=H","UseDPDF=Y")</f>
        <v>3.0335999999999999</v>
      </c>
      <c r="Q18" s="14">
        <f>_xll.BDH("GILD US Equity","EBITDA_TO_INTEREST_EXPN","FQ2 2022","FQ2 2022","Currency=USD","Period=FQ","BEST_FPERIOD_OVERRIDE=FQ","FILING_STATUS=MR","FA_ADJUSTED=GAAP","Sort=A","Dates=H","DateFormat=P","Fill=—","Direction=H","UseDPDF=Y")</f>
        <v>10.553699999999999</v>
      </c>
      <c r="R18" s="14">
        <f>_xll.BDH("GILD US Equity","EBITDA_TO_INTEREST_EXPN","FQ3 2022","FQ3 2022","Currency=USD","Period=FQ","BEST_FPERIOD_OVERRIDE=FQ","FILING_STATUS=MR","FA_ADJUSTED=GAAP","Sort=A","Dates=H","DateFormat=P","Fill=—","Direction=H","UseDPDF=Y")</f>
        <v>14.6812</v>
      </c>
      <c r="S18" s="14">
        <f>_xll.BDH("GILD US Equity","EBITDA_TO_INTEREST_EXPN","FQ4 2022","FQ4 2022","Currency=USD","Period=FQ","BEST_FPERIOD_OVERRIDE=FQ","FILING_STATUS=MR","FA_ADJUSTED=GAAP","Sort=A","Dates=H","DateFormat=P","Fill=—","Direction=H","UseDPDF=Y")</f>
        <v>12.312799999999999</v>
      </c>
      <c r="T18" s="14">
        <f>_xll.BDH("GILD US Equity","EBITDA_TO_INTEREST_EXPN","FQ1 2023","FQ1 2023","Currency=USD","Period=FQ","BEST_FPERIOD_OVERRIDE=FQ","FILING_STATUS=MR","FA_ADJUSTED=GAAP","Sort=A","Dates=H","DateFormat=P","Fill=—","Direction=H","UseDPDF=Y")</f>
        <v>10.1957</v>
      </c>
      <c r="U18" s="14">
        <f>_xll.BDH("GILD US Equity","EBITDA_TO_INTEREST_EXPN","FQ2 2023","FQ2 2023","Currency=USD","Period=FQ","BEST_FPERIOD_OVERRIDE=FQ","FILING_STATUS=MR","FA_ADJUSTED=GAAP","Sort=A","Dates=H","DateFormat=P","Fill=—","Direction=H","UseDPDF=Y")</f>
        <v>10.199999999999999</v>
      </c>
      <c r="V18" s="14">
        <f>_xll.BDH("GILD US Equity","EBITDA_TO_INTEREST_EXPN","FQ3 2023","FQ3 2023","Currency=USD","Period=FQ","BEST_FPERIOD_OVERRIDE=FQ","FILING_STATUS=MR","FA_ADJUSTED=GAAP","Sort=A","Dates=H","DateFormat=P","Fill=—","Direction=H","UseDPDF=Y")</f>
        <v>14.254300000000001</v>
      </c>
      <c r="W18" s="14">
        <f>_xll.BDH("GILD US Equity","EBITDA_TO_INTEREST_EXPN","FQ4 2023","FQ4 2023","Currency=USD","Period=FQ","BEST_FPERIOD_OVERRIDE=FQ","FILING_STATUS=MR","FA_ADJUSTED=GAAP","Sort=A","Dates=H","DateFormat=P","Fill=—","Direction=H","UseDPDF=Y")</f>
        <v>9.1270000000000007</v>
      </c>
      <c r="X18" s="14">
        <f>_xll.BDH("GILD US Equity","EBITDA_TO_INTEREST_EXPN","FQ1 2024","FQ1 2024","Currency=USD","Period=FQ","BEST_FPERIOD_OVERRIDE=FQ","FILING_STATUS=MR","FA_ADJUSTED=GAAP","Sort=A","Dates=H","DateFormat=P","Fill=—","Direction=H","UseDPDF=Y")</f>
        <v>-14.299200000000001</v>
      </c>
      <c r="Y18" s="14">
        <f>_xll.BDH("GILD US Equity","EBITDA_TO_INTEREST_EXPN","FQ2 2024","FQ2 2024","Currency=USD","Period=FQ","BEST_FPERIOD_OVERRIDE=FQ","FILING_STATUS=MR","FA_ADJUSTED=GAAP","Sort=A","Dates=H","DateFormat=P","Fill=—","Direction=H","UseDPDF=Y")</f>
        <v>14.1441</v>
      </c>
      <c r="Z18" s="14">
        <f>_xll.BDH("GILD US Equity","EBITDA_TO_INTEREST_EXPN","FQ3 2024","FQ3 2024","Currency=USD","Period=FQ","BEST_FPERIOD_OVERRIDE=FQ","FILING_STATUS=MR","FA_ADJUSTED=GAAP","Sort=A","Dates=H","DateFormat=P","Fill=—","Direction=H","UseDPDF=Y")</f>
        <v>6.6303000000000001</v>
      </c>
      <c r="AA18" s="14">
        <f>_xll.BDH("GILD US Equity","EBITDA_TO_INTEREST_EXPN","FQ4 2024","FQ4 2024","Currency=USD","Period=FQ","BEST_FPERIOD_OVERRIDE=FQ","FILING_STATUS=MR","FA_ADJUSTED=GAAP","Sort=A","Dates=H","DateFormat=P","Fill=—","Direction=H","UseDPDF=Y")</f>
        <v>12.6774</v>
      </c>
    </row>
    <row r="19" spans="1:27" x14ac:dyDescent="0.25">
      <c r="A19" s="10" t="s">
        <v>1621</v>
      </c>
      <c r="B19" s="10" t="s">
        <v>1622</v>
      </c>
      <c r="C19" s="14">
        <f>_xll.BDH("GILD US Equity","EBITDA_LES_CAP_EXPEND_TO_INT_EXP","FQ4 2018","FQ4 2018","Currency=USD","Period=FQ","BEST_FPERIOD_OVERRIDE=FQ","FILING_STATUS=MR","FA_ADJUSTED=GAAP","Sort=A","Dates=H","DateFormat=P","Fill=—","Direction=H","UseDPDF=Y")</f>
        <v>4.8794000000000004</v>
      </c>
      <c r="D19" s="14">
        <f>_xll.BDH("GILD US Equity","EBITDA_LES_CAP_EXPEND_TO_INT_EXP","FQ1 2019","FQ1 2019","Currency=USD","Period=FQ","BEST_FPERIOD_OVERRIDE=FQ","FILING_STATUS=MR","FA_ADJUSTED=GAAP","Sort=A","Dates=H","DateFormat=P","Fill=—","Direction=H","UseDPDF=Y")</f>
        <v>9.4291</v>
      </c>
      <c r="E19" s="14">
        <f>_xll.BDH("GILD US Equity","EBITDA_LES_CAP_EXPEND_TO_INT_EXP","FQ2 2019","FQ2 2019","Currency=USD","Period=FQ","BEST_FPERIOD_OVERRIDE=FQ","FILING_STATUS=MR","FA_ADJUSTED=GAAP","Sort=A","Dates=H","DateFormat=P","Fill=—","Direction=H","UseDPDF=Y")</f>
        <v>10.6089</v>
      </c>
      <c r="F19" s="14">
        <f>_xll.BDH("GILD US Equity","EBITDA_LES_CAP_EXPEND_TO_INT_EXP","FQ3 2019","FQ3 2019","Currency=USD","Period=FQ","BEST_FPERIOD_OVERRIDE=FQ","FILING_STATUS=MR","FA_ADJUSTED=GAAP","Sort=A","Dates=H","DateFormat=P","Fill=—","Direction=H","UseDPDF=Y")</f>
        <v>-5.1280000000000001</v>
      </c>
      <c r="G19" s="14">
        <f>_xll.BDH("GILD US Equity","EBITDA_LES_CAP_EXPEND_TO_INT_EXP","FQ4 2019","FQ4 2019","Currency=USD","Period=FQ","BEST_FPERIOD_OVERRIDE=FQ","FILING_STATUS=MR","FA_ADJUSTED=GAAP","Sort=A","Dates=H","DateFormat=P","Fill=—","Direction=H","UseDPDF=Y")</f>
        <v>5.2839999999999998</v>
      </c>
      <c r="H19" s="14">
        <f>_xll.BDH("GILD US Equity","EBITDA_LES_CAP_EXPEND_TO_INT_EXP","FQ1 2020","FQ1 2020","Currency=USD","Period=FQ","BEST_FPERIOD_OVERRIDE=FQ","FILING_STATUS=MR","FA_ADJUSTED=GAAP","Sort=A","Dates=H","DateFormat=P","Fill=—","Direction=H","UseDPDF=Y")</f>
        <v>10.705399999999999</v>
      </c>
      <c r="I19" s="14">
        <f>_xll.BDH("GILD US Equity","EBITDA_LES_CAP_EXPEND_TO_INT_EXP","FQ2 2020","FQ2 2020","Currency=USD","Period=FQ","BEST_FPERIOD_OVERRIDE=FQ","FILING_STATUS=MR","FA_ADJUSTED=GAAP","Sort=A","Dates=H","DateFormat=P","Fill=—","Direction=H","UseDPDF=Y")</f>
        <v>-11.5708</v>
      </c>
      <c r="J19" s="14">
        <f>_xll.BDH("GILD US Equity","EBITDA_LES_CAP_EXPEND_TO_INT_EXP","FQ3 2020","FQ3 2020","Currency=USD","Period=FQ","BEST_FPERIOD_OVERRIDE=FQ","FILING_STATUS=MR","FA_ADJUSTED=GAAP","Sort=A","Dates=H","DateFormat=P","Fill=—","Direction=H","UseDPDF=Y")</f>
        <v>9.3262999999999998</v>
      </c>
      <c r="K19" s="14">
        <f>_xll.BDH("GILD US Equity","EBITDA_LES_CAP_EXPEND_TO_INT_EXP","FQ4 2020","FQ4 2020","Currency=USD","Period=FQ","BEST_FPERIOD_OVERRIDE=FQ","FILING_STATUS=MR","FA_ADJUSTED=GAAP","Sort=A","Dates=H","DateFormat=P","Fill=—","Direction=H","UseDPDF=Y")</f>
        <v>10.850199999999999</v>
      </c>
      <c r="L19" s="14">
        <f>_xll.BDH("GILD US Equity","EBITDA_LES_CAP_EXPEND_TO_INT_EXP","FQ1 2021","FQ1 2021","Currency=USD","Period=FQ","BEST_FPERIOD_OVERRIDE=FQ","FILING_STATUS=MR","FA_ADJUSTED=GAAP","Sort=A","Dates=H","DateFormat=P","Fill=—","Direction=H","UseDPDF=Y")</f>
        <v>12.4436</v>
      </c>
      <c r="M19" s="14">
        <f>_xll.BDH("GILD US Equity","EBITDA_LES_CAP_EXPEND_TO_INT_EXP","FQ2 2021","FQ2 2021","Currency=USD","Period=FQ","BEST_FPERIOD_OVERRIDE=FQ","FILING_STATUS=MR","FA_ADJUSTED=GAAP","Sort=A","Dates=H","DateFormat=P","Fill=—","Direction=H","UseDPDF=Y")</f>
        <v>10.335900000000001</v>
      </c>
      <c r="N19" s="14">
        <f>_xll.BDH("GILD US Equity","EBITDA_LES_CAP_EXPEND_TO_INT_EXP","FQ3 2021","FQ3 2021","Currency=USD","Period=FQ","BEST_FPERIOD_OVERRIDE=FQ","FILING_STATUS=MR","FA_ADJUSTED=GAAP","Sort=A","Dates=H","DateFormat=P","Fill=—","Direction=H","UseDPDF=Y")</f>
        <v>16.904</v>
      </c>
      <c r="O19" s="14">
        <f>_xll.BDH("GILD US Equity","EBITDA_LES_CAP_EXPEND_TO_INT_EXP","FQ4 2021","FQ4 2021","Currency=USD","Period=FQ","BEST_FPERIOD_OVERRIDE=FQ","FILING_STATUS=MR","FA_ADJUSTED=GAAP","Sort=A","Dates=H","DateFormat=P","Fill=—","Direction=H","UseDPDF=Y")</f>
        <v>5.5419999999999998</v>
      </c>
      <c r="P19" s="14">
        <f>_xll.BDH("GILD US Equity","EBITDA_LES_CAP_EXPEND_TO_INT_EXP","FQ1 2022","FQ1 2022","Currency=USD","Period=FQ","BEST_FPERIOD_OVERRIDE=FQ","FILING_STATUS=MR","FA_ADJUSTED=GAAP","Sort=A","Dates=H","DateFormat=P","Fill=—","Direction=H","UseDPDF=Y")</f>
        <v>1.9958</v>
      </c>
      <c r="Q19" s="14">
        <f>_xll.BDH("GILD US Equity","EBITDA_LES_CAP_EXPEND_TO_INT_EXP","FQ2 2022","FQ2 2022","Currency=USD","Period=FQ","BEST_FPERIOD_OVERRIDE=FQ","FILING_STATUS=MR","FA_ADJUSTED=GAAP","Sort=A","Dates=H","DateFormat=P","Fill=—","Direction=H","UseDPDF=Y")</f>
        <v>9.9627999999999997</v>
      </c>
      <c r="R19" s="14">
        <f>_xll.BDH("GILD US Equity","EBITDA_LES_CAP_EXPEND_TO_INT_EXP","FQ3 2022","FQ3 2022","Currency=USD","Period=FQ","BEST_FPERIOD_OVERRIDE=FQ","FILING_STATUS=MR","FA_ADJUSTED=GAAP","Sort=A","Dates=H","DateFormat=P","Fill=—","Direction=H","UseDPDF=Y")</f>
        <v>13.9956</v>
      </c>
      <c r="S19" s="14">
        <f>_xll.BDH("GILD US Equity","EBITDA_LES_CAP_EXPEND_TO_INT_EXP","FQ4 2022","FQ4 2022","Currency=USD","Period=FQ","BEST_FPERIOD_OVERRIDE=FQ","FILING_STATUS=MR","FA_ADJUSTED=GAAP","Sort=A","Dates=H","DateFormat=P","Fill=—","Direction=H","UseDPDF=Y")</f>
        <v>11.5154</v>
      </c>
      <c r="T19" s="14">
        <f>_xll.BDH("GILD US Equity","EBITDA_LES_CAP_EXPEND_TO_INT_EXP","FQ1 2023","FQ1 2023","Currency=USD","Period=FQ","BEST_FPERIOD_OVERRIDE=FQ","FILING_STATUS=MR","FA_ADJUSTED=GAAP","Sort=A","Dates=H","DateFormat=P","Fill=—","Direction=H","UseDPDF=Y")</f>
        <v>9.7217000000000002</v>
      </c>
      <c r="U19" s="14">
        <f>_xll.BDH("GILD US Equity","EBITDA_LES_CAP_EXPEND_TO_INT_EXP","FQ2 2023","FQ2 2023","Currency=USD","Period=FQ","BEST_FPERIOD_OVERRIDE=FQ","FILING_STATUS=MR","FA_ADJUSTED=GAAP","Sort=A","Dates=H","DateFormat=P","Fill=—","Direction=H","UseDPDF=Y")</f>
        <v>9.5957000000000008</v>
      </c>
      <c r="V19" s="14">
        <f>_xll.BDH("GILD US Equity","EBITDA_LES_CAP_EXPEND_TO_INT_EXP","FQ3 2023","FQ3 2023","Currency=USD","Period=FQ","BEST_FPERIOD_OVERRIDE=FQ","FILING_STATUS=MR","FA_ADJUSTED=GAAP","Sort=A","Dates=H","DateFormat=P","Fill=—","Direction=H","UseDPDF=Y")</f>
        <v>13.728400000000001</v>
      </c>
      <c r="W19" s="14">
        <f>_xll.BDH("GILD US Equity","EBITDA_LES_CAP_EXPEND_TO_INT_EXP","FQ4 2023","FQ4 2023","Currency=USD","Period=FQ","BEST_FPERIOD_OVERRIDE=FQ","FILING_STATUS=MR","FA_ADJUSTED=GAAP","Sort=A","Dates=H","DateFormat=P","Fill=—","Direction=H","UseDPDF=Y")</f>
        <v>8.2737999999999996</v>
      </c>
      <c r="X19" s="14">
        <f>_xll.BDH("GILD US Equity","EBITDA_LES_CAP_EXPEND_TO_INT_EXP","FQ1 2024","FQ1 2024","Currency=USD","Period=FQ","BEST_FPERIOD_OVERRIDE=FQ","FILING_STATUS=MR","FA_ADJUSTED=GAAP","Sort=A","Dates=H","DateFormat=P","Fill=—","Direction=H","UseDPDF=Y")</f>
        <v>-14.7126</v>
      </c>
      <c r="Y19" s="14">
        <f>_xll.BDH("GILD US Equity","EBITDA_LES_CAP_EXPEND_TO_INT_EXP","FQ2 2024","FQ2 2024","Currency=USD","Period=FQ","BEST_FPERIOD_OVERRIDE=FQ","FILING_STATUS=MR","FA_ADJUSTED=GAAP","Sort=A","Dates=H","DateFormat=P","Fill=—","Direction=H","UseDPDF=Y")</f>
        <v>13.5932</v>
      </c>
      <c r="Z19" s="14">
        <f>_xll.BDH("GILD US Equity","EBITDA_LES_CAP_EXPEND_TO_INT_EXP","FQ3 2024","FQ3 2024","Currency=USD","Period=FQ","BEST_FPERIOD_OVERRIDE=FQ","FILING_STATUS=MR","FA_ADJUSTED=GAAP","Sort=A","Dates=H","DateFormat=P","Fill=—","Direction=H","UseDPDF=Y")</f>
        <v>6.0377999999999998</v>
      </c>
      <c r="AA19" s="14">
        <f>_xll.BDH("GILD US Equity","EBITDA_LES_CAP_EXPEND_TO_INT_EXP","FQ4 2024","FQ4 2024","Currency=USD","Period=FQ","BEST_FPERIOD_OVERRIDE=FQ","FILING_STATUS=MR","FA_ADJUSTED=GAAP","Sort=A","Dates=H","DateFormat=P","Fill=—","Direction=H","UseDPDF=Y")</f>
        <v>12.0847</v>
      </c>
    </row>
    <row r="20" spans="1:27" x14ac:dyDescent="0.25">
      <c r="A20" s="10" t="s">
        <v>1623</v>
      </c>
      <c r="B20" s="10" t="s">
        <v>1624</v>
      </c>
      <c r="C20" s="14">
        <f>_xll.BDH("GILD US Equity","OPER_INC_TO_INT_EXP","FQ4 2018","FQ4 2018","Currency=USD","Period=FQ","BEST_FPERIOD_OVERRIDE=FQ","FILING_STATUS=MR","FA_ADJUSTED=GAAP","Sort=A","Dates=H","DateFormat=P","Fill=—","Direction=H","UseDPDF=Y")</f>
        <v>4.4513999999999996</v>
      </c>
      <c r="D20" s="14">
        <f>_xll.BDH("GILD US Equity","OPER_INC_TO_INT_EXP","FQ1 2019","FQ1 2019","Currency=USD","Period=FQ","BEST_FPERIOD_OVERRIDE=FQ","FILING_STATUS=MR","FA_ADJUSTED=GAAP","Sort=A","Dates=H","DateFormat=P","Fill=—","Direction=H","UseDPDF=Y")</f>
        <v>8.8071000000000002</v>
      </c>
      <c r="E20" s="14">
        <f>_xll.BDH("GILD US Equity","OPER_INC_TO_INT_EXP","FQ2 2019","FQ2 2019","Currency=USD","Period=FQ","BEST_FPERIOD_OVERRIDE=FQ","FILING_STATUS=MR","FA_ADJUSTED=GAAP","Sort=A","Dates=H","DateFormat=P","Fill=—","Direction=H","UseDPDF=Y")</f>
        <v>9.7984000000000009</v>
      </c>
      <c r="F20" s="14">
        <f>_xll.BDH("GILD US Equity","OPER_INC_TO_INT_EXP","FQ3 2019","FQ3 2019","Currency=USD","Period=FQ","BEST_FPERIOD_OVERRIDE=FQ","FILING_STATUS=MR","FA_ADJUSTED=GAAP","Sort=A","Dates=H","DateFormat=P","Fill=—","Direction=H","UseDPDF=Y")</f>
        <v>-5.8920000000000003</v>
      </c>
      <c r="G20" s="14">
        <f>_xll.BDH("GILD US Equity","OPER_INC_TO_INT_EXP","FQ4 2019","FQ4 2019","Currency=USD","Period=FQ","BEST_FPERIOD_OVERRIDE=FQ","FILING_STATUS=MR","FA_ADJUSTED=GAAP","Sort=A","Dates=H","DateFormat=P","Fill=—","Direction=H","UseDPDF=Y")</f>
        <v>4.4978999999999996</v>
      </c>
      <c r="H20" s="14">
        <f>_xll.BDH("GILD US Equity","OPER_INC_TO_INT_EXP","FQ1 2020","FQ1 2020","Currency=USD","Period=FQ","BEST_FPERIOD_OVERRIDE=FQ","FILING_STATUS=MR","FA_ADJUSTED=GAAP","Sort=A","Dates=H","DateFormat=P","Fill=—","Direction=H","UseDPDF=Y")</f>
        <v>9.9667999999999992</v>
      </c>
      <c r="I20" s="14">
        <f>_xll.BDH("GILD US Equity","OPER_INC_TO_INT_EXP","FQ2 2020","FQ2 2020","Currency=USD","Period=FQ","BEST_FPERIOD_OVERRIDE=FQ","FILING_STATUS=MR","FA_ADJUSTED=GAAP","Sort=A","Dates=H","DateFormat=P","Fill=—","Direction=H","UseDPDF=Y")</f>
        <v>-12.4292</v>
      </c>
      <c r="J20" s="14">
        <f>_xll.BDH("GILD US Equity","OPER_INC_TO_INT_EXP","FQ3 2020","FQ3 2020","Currency=USD","Period=FQ","BEST_FPERIOD_OVERRIDE=FQ","FILING_STATUS=MR","FA_ADJUSTED=GAAP","Sort=A","Dates=H","DateFormat=P","Fill=—","Direction=H","UseDPDF=Y")</f>
        <v>8.4787999999999997</v>
      </c>
      <c r="K20" s="14">
        <f>_xll.BDH("GILD US Equity","OPER_INC_TO_INT_EXP","FQ4 2020","FQ4 2020","Currency=USD","Period=FQ","BEST_FPERIOD_OVERRIDE=FQ","FILING_STATUS=MR","FA_ADJUSTED=GAAP","Sort=A","Dates=H","DateFormat=P","Fill=—","Direction=H","UseDPDF=Y")</f>
        <v>9.9288000000000007</v>
      </c>
      <c r="L20" s="14">
        <f>_xll.BDH("GILD US Equity","OPER_INC_TO_INT_EXP","FQ1 2021","FQ1 2021","Currency=USD","Period=FQ","BEST_FPERIOD_OVERRIDE=FQ","FILING_STATUS=MR","FA_ADJUSTED=GAAP","Sort=A","Dates=H","DateFormat=P","Fill=—","Direction=H","UseDPDF=Y")</f>
        <v>11.245100000000001</v>
      </c>
      <c r="M20" s="14">
        <f>_xll.BDH("GILD US Equity","OPER_INC_TO_INT_EXP","FQ2 2021","FQ2 2021","Currency=USD","Period=FQ","BEST_FPERIOD_OVERRIDE=FQ","FILING_STATUS=MR","FA_ADJUSTED=GAAP","Sort=A","Dates=H","DateFormat=P","Fill=—","Direction=H","UseDPDF=Y")</f>
        <v>8.7734000000000005</v>
      </c>
      <c r="N20" s="14">
        <f>_xll.BDH("GILD US Equity","OPER_INC_TO_INT_EXP","FQ3 2021","FQ3 2021","Currency=USD","Period=FQ","BEST_FPERIOD_OVERRIDE=FQ","FILING_STATUS=MR","FA_ADJUSTED=GAAP","Sort=A","Dates=H","DateFormat=P","Fill=—","Direction=H","UseDPDF=Y")</f>
        <v>15.368</v>
      </c>
      <c r="O20" s="14">
        <f>_xll.BDH("GILD US Equity","OPER_INC_TO_INT_EXP","FQ4 2021","FQ4 2021","Currency=USD","Period=FQ","BEST_FPERIOD_OVERRIDE=FQ","FILING_STATUS=MR","FA_ADJUSTED=GAAP","Sort=A","Dates=H","DateFormat=P","Fill=—","Direction=H","UseDPDF=Y")</f>
        <v>3.9496000000000002</v>
      </c>
      <c r="P20" s="14">
        <f>_xll.BDH("GILD US Equity","OPER_INC_TO_INT_EXP","FQ1 2022","FQ1 2022","Currency=USD","Period=FQ","BEST_FPERIOD_OVERRIDE=FQ","FILING_STATUS=MR","FA_ADJUSTED=GAAP","Sort=A","Dates=H","DateFormat=P","Fill=—","Direction=H","UseDPDF=Y")</f>
        <v>0.82769999999999999</v>
      </c>
      <c r="Q20" s="14">
        <f>_xll.BDH("GILD US Equity","OPER_INC_TO_INT_EXP","FQ2 2022","FQ2 2022","Currency=USD","Period=FQ","BEST_FPERIOD_OVERRIDE=FQ","FILING_STATUS=MR","FA_ADJUSTED=GAAP","Sort=A","Dates=H","DateFormat=P","Fill=—","Direction=H","UseDPDF=Y")</f>
        <v>8.3842999999999996</v>
      </c>
      <c r="R20" s="14">
        <f>_xll.BDH("GILD US Equity","OPER_INC_TO_INT_EXP","FQ3 2022","FQ3 2022","Currency=USD","Period=FQ","BEST_FPERIOD_OVERRIDE=FQ","FILING_STATUS=MR","FA_ADJUSTED=GAAP","Sort=A","Dates=H","DateFormat=P","Fill=—","Direction=H","UseDPDF=Y")</f>
        <v>12.3886</v>
      </c>
      <c r="S20" s="14">
        <f>_xll.BDH("GILD US Equity","OPER_INC_TO_INT_EXP","FQ4 2022","FQ4 2022","Currency=USD","Period=FQ","BEST_FPERIOD_OVERRIDE=FQ","FILING_STATUS=MR","FA_ADJUSTED=GAAP","Sort=A","Dates=H","DateFormat=P","Fill=—","Direction=H","UseDPDF=Y")</f>
        <v>9.9868000000000006</v>
      </c>
      <c r="T20" s="14">
        <f>_xll.BDH("GILD US Equity","OPER_INC_TO_INT_EXP","FQ1 2023","FQ1 2023","Currency=USD","Period=FQ","BEST_FPERIOD_OVERRIDE=FQ","FILING_STATUS=MR","FA_ADJUSTED=GAAP","Sort=A","Dates=H","DateFormat=P","Fill=—","Direction=H","UseDPDF=Y")</f>
        <v>7.4130000000000003</v>
      </c>
      <c r="U20" s="14">
        <f>_xll.BDH("GILD US Equity","OPER_INC_TO_INT_EXP","FQ2 2023","FQ2 2023","Currency=USD","Period=FQ","BEST_FPERIOD_OVERRIDE=FQ","FILING_STATUS=MR","FA_ADJUSTED=GAAP","Sort=A","Dates=H","DateFormat=P","Fill=—","Direction=H","UseDPDF=Y")</f>
        <v>7.2390999999999996</v>
      </c>
      <c r="V20" s="14">
        <f>_xll.BDH("GILD US Equity","OPER_INC_TO_INT_EXP","FQ3 2023","FQ3 2023","Currency=USD","Period=FQ","BEST_FPERIOD_OVERRIDE=FQ","FILING_STATUS=MR","FA_ADJUSTED=GAAP","Sort=A","Dates=H","DateFormat=P","Fill=—","Direction=H","UseDPDF=Y")</f>
        <v>11.305999999999999</v>
      </c>
      <c r="W20" s="14">
        <f>_xll.BDH("GILD US Equity","OPER_INC_TO_INT_EXP","FQ4 2023","FQ4 2023","Currency=USD","Period=FQ","BEST_FPERIOD_OVERRIDE=FQ","FILING_STATUS=MR","FA_ADJUSTED=GAAP","Sort=A","Dates=H","DateFormat=P","Fill=—","Direction=H","UseDPDF=Y")</f>
        <v>6.3967999999999998</v>
      </c>
      <c r="X20" s="14">
        <f>_xll.BDH("GILD US Equity","OPER_INC_TO_INT_EXP","FQ1 2024","FQ1 2024","Currency=USD","Period=FQ","BEST_FPERIOD_OVERRIDE=FQ","FILING_STATUS=MR","FA_ADJUSTED=GAAP","Sort=A","Dates=H","DateFormat=P","Fill=—","Direction=H","UseDPDF=Y")</f>
        <v>-17.015699999999999</v>
      </c>
      <c r="Y20" s="14">
        <f>_xll.BDH("GILD US Equity","OPER_INC_TO_INT_EXP","FQ2 2024","FQ2 2024","Currency=USD","Period=FQ","BEST_FPERIOD_OVERRIDE=FQ","FILING_STATUS=MR","FA_ADJUSTED=GAAP","Sort=A","Dates=H","DateFormat=P","Fill=—","Direction=H","UseDPDF=Y")</f>
        <v>11.2034</v>
      </c>
      <c r="Z20" s="14">
        <f>_xll.BDH("GILD US Equity","OPER_INC_TO_INT_EXP","FQ3 2024","FQ3 2024","Currency=USD","Period=FQ","BEST_FPERIOD_OVERRIDE=FQ","FILING_STATUS=MR","FA_ADJUSTED=GAAP","Sort=A","Dates=H","DateFormat=P","Fill=—","Direction=H","UseDPDF=Y")</f>
        <v>3.7311000000000001</v>
      </c>
      <c r="AA20" s="14">
        <f>_xll.BDH("GILD US Equity","OPER_INC_TO_INT_EXP","FQ4 2024","FQ4 2024","Currency=USD","Period=FQ","BEST_FPERIOD_OVERRIDE=FQ","FILING_STATUS=MR","FA_ADJUSTED=GAAP","Sort=A","Dates=H","DateFormat=P","Fill=—","Direction=H","UseDPDF=Y")</f>
        <v>9.8831000000000007</v>
      </c>
    </row>
    <row r="21" spans="1:27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5">
      <c r="A23" s="10" t="s">
        <v>442</v>
      </c>
      <c r="B23" s="10" t="s">
        <v>337</v>
      </c>
      <c r="C23" s="13">
        <f>_xll.BDH("GILD US Equity","IS_INT_EXPENSE","FQ4 2018","FQ4 2018","Currency=USD","Period=FQ","BEST_FPERIOD_OVERRIDE=FQ","FILING_STATUS=MR","SCALING_FORMAT=MLN","FA_ADJUSTED=GAAP","Sort=A","Dates=H","DateFormat=P","Fill=—","Direction=H","UseDPDF=Y")</f>
        <v>257</v>
      </c>
      <c r="D23" s="13">
        <f>_xll.BDH("GILD US Equity","IS_INT_EXPENSE","FQ1 2019","FQ1 2019","Currency=USD","Period=FQ","BEST_FPERIOD_OVERRIDE=FQ","FILING_STATUS=MR","SCALING_FORMAT=MLN","FA_ADJUSTED=GAAP","Sort=A","Dates=H","DateFormat=P","Fill=—","Direction=H","UseDPDF=Y")</f>
        <v>254</v>
      </c>
      <c r="E23" s="13">
        <f>_xll.BDH("GILD US Equity","IS_INT_EXPENSE","FQ2 2019","FQ2 2019","Currency=USD","Period=FQ","BEST_FPERIOD_OVERRIDE=FQ","FILING_STATUS=MR","SCALING_FORMAT=MLN","FA_ADJUSTED=GAAP","Sort=A","Dates=H","DateFormat=P","Fill=—","Direction=H","UseDPDF=Y")</f>
        <v>248</v>
      </c>
      <c r="F23" s="13">
        <f>_xll.BDH("GILD US Equity","IS_INT_EXPENSE","FQ3 2019","FQ3 2019","Currency=USD","Period=FQ","BEST_FPERIOD_OVERRIDE=FQ","FILING_STATUS=MR","SCALING_FORMAT=MLN","FA_ADJUSTED=GAAP","Sort=A","Dates=H","DateFormat=P","Fill=—","Direction=H","UseDPDF=Y")</f>
        <v>250</v>
      </c>
      <c r="G23" s="13">
        <f>_xll.BDH("GILD US Equity","IS_INT_EXPENSE","FQ4 2019","FQ4 2019","Currency=USD","Period=FQ","BEST_FPERIOD_OVERRIDE=FQ","FILING_STATUS=MR","SCALING_FORMAT=MLN","FA_ADJUSTED=GAAP","Sort=A","Dates=H","DateFormat=P","Fill=—","Direction=H","UseDPDF=Y")</f>
        <v>243</v>
      </c>
      <c r="H23" s="13">
        <f>_xll.BDH("GILD US Equity","IS_INT_EXPENSE","FQ1 2020","FQ1 2020","Currency=USD","Period=FQ","BEST_FPERIOD_OVERRIDE=FQ","FILING_STATUS=MR","SCALING_FORMAT=MLN","FA_ADJUSTED=GAAP","Sort=A","Dates=H","DateFormat=P","Fill=—","Direction=H","UseDPDF=Y")</f>
        <v>241</v>
      </c>
      <c r="I23" s="13">
        <f>_xll.BDH("GILD US Equity","IS_INT_EXPENSE","FQ2 2020","FQ2 2020","Currency=USD","Period=FQ","BEST_FPERIOD_OVERRIDE=FQ","FILING_STATUS=MR","SCALING_FORMAT=MLN","FA_ADJUSTED=GAAP","Sort=A","Dates=H","DateFormat=P","Fill=—","Direction=H","UseDPDF=Y")</f>
        <v>240</v>
      </c>
      <c r="J23" s="13">
        <f>_xll.BDH("GILD US Equity","IS_INT_EXPENSE","FQ3 2020","FQ3 2020","Currency=USD","Period=FQ","BEST_FPERIOD_OVERRIDE=FQ","FILING_STATUS=MR","SCALING_FORMAT=MLN","FA_ADJUSTED=GAAP","Sort=A","Dates=H","DateFormat=P","Fill=—","Direction=H","UseDPDF=Y")</f>
        <v>236</v>
      </c>
      <c r="K23" s="13">
        <f>_xll.BDH("GILD US Equity","IS_INT_EXPENSE","FQ4 2020","FQ4 2020","Currency=USD","Period=FQ","BEST_FPERIOD_OVERRIDE=FQ","FILING_STATUS=MR","SCALING_FORMAT=MLN","FA_ADJUSTED=GAAP","Sort=A","Dates=H","DateFormat=P","Fill=—","Direction=H","UseDPDF=Y")</f>
        <v>267</v>
      </c>
      <c r="L23" s="13">
        <f>_xll.BDH("GILD US Equity","IS_INT_EXPENSE","FQ1 2021","FQ1 2021","Currency=USD","Period=FQ","BEST_FPERIOD_OVERRIDE=FQ","FILING_STATUS=MR","SCALING_FORMAT=MLN","FA_ADJUSTED=GAAP","Sort=A","Dates=H","DateFormat=P","Fill=—","Direction=H","UseDPDF=Y")</f>
        <v>257</v>
      </c>
      <c r="M23" s="13">
        <f>_xll.BDH("GILD US Equity","IS_INT_EXPENSE","FQ2 2021","FQ2 2021","Currency=USD","Period=FQ","BEST_FPERIOD_OVERRIDE=FQ","FILING_STATUS=MR","SCALING_FORMAT=MLN","FA_ADJUSTED=GAAP","Sort=A","Dates=H","DateFormat=P","Fill=—","Direction=H","UseDPDF=Y")</f>
        <v>256</v>
      </c>
      <c r="N23" s="13">
        <f>_xll.BDH("GILD US Equity","IS_INT_EXPENSE","FQ3 2021","FQ3 2021","Currency=USD","Period=FQ","BEST_FPERIOD_OVERRIDE=FQ","FILING_STATUS=MR","SCALING_FORMAT=MLN","FA_ADJUSTED=GAAP","Sort=A","Dates=H","DateFormat=P","Fill=—","Direction=H","UseDPDF=Y")</f>
        <v>250</v>
      </c>
      <c r="O23" s="13">
        <f>_xll.BDH("GILD US Equity","IS_INT_EXPENSE","FQ4 2021","FQ4 2021","Currency=USD","Period=FQ","BEST_FPERIOD_OVERRIDE=FQ","FILING_STATUS=MR","SCALING_FORMAT=MLN","FA_ADJUSTED=GAAP","Sort=A","Dates=H","DateFormat=P","Fill=—","Direction=H","UseDPDF=Y")</f>
        <v>238</v>
      </c>
      <c r="P23" s="13">
        <f>_xll.BDH("GILD US Equity","IS_INT_EXPENSE","FQ1 2022","FQ1 2022","Currency=USD","Period=FQ","BEST_FPERIOD_OVERRIDE=FQ","FILING_STATUS=MR","SCALING_FORMAT=MLN","FA_ADJUSTED=GAAP","Sort=A","Dates=H","DateFormat=P","Fill=—","Direction=H","UseDPDF=Y")</f>
        <v>238</v>
      </c>
      <c r="Q23" s="13">
        <f>_xll.BDH("GILD US Equity","IS_INT_EXPENSE","FQ2 2022","FQ2 2022","Currency=USD","Period=FQ","BEST_FPERIOD_OVERRIDE=FQ","FILING_STATUS=MR","SCALING_FORMAT=MLN","FA_ADJUSTED=GAAP","Sort=A","Dates=H","DateFormat=P","Fill=—","Direction=H","UseDPDF=Y")</f>
        <v>242</v>
      </c>
      <c r="R23" s="13">
        <f>_xll.BDH("GILD US Equity","IS_INT_EXPENSE","FQ3 2022","FQ3 2022","Currency=USD","Period=FQ","BEST_FPERIOD_OVERRIDE=FQ","FILING_STATUS=MR","SCALING_FORMAT=MLN","FA_ADJUSTED=GAAP","Sort=A","Dates=H","DateFormat=P","Fill=—","Direction=H","UseDPDF=Y")</f>
        <v>229</v>
      </c>
      <c r="S23" s="13">
        <f>_xll.BDH("GILD US Equity","IS_INT_EXPENSE","FQ4 2022","FQ4 2022","Currency=USD","Period=FQ","BEST_FPERIOD_OVERRIDE=FQ","FILING_STATUS=MR","SCALING_FORMAT=MLN","FA_ADJUSTED=GAAP","Sort=A","Dates=H","DateFormat=P","Fill=—","Direction=H","UseDPDF=Y")</f>
        <v>227</v>
      </c>
      <c r="T23" s="13">
        <f>_xll.BDH("GILD US Equity","IS_INT_EXPENSE","FQ1 2023","FQ1 2023","Currency=USD","Period=FQ","BEST_FPERIOD_OVERRIDE=FQ","FILING_STATUS=MR","SCALING_FORMAT=MLN","FA_ADJUSTED=GAAP","Sort=A","Dates=H","DateFormat=P","Fill=—","Direction=H","UseDPDF=Y")</f>
        <v>230</v>
      </c>
      <c r="U23" s="13">
        <f>_xll.BDH("GILD US Equity","IS_INT_EXPENSE","FQ2 2023","FQ2 2023","Currency=USD","Period=FQ","BEST_FPERIOD_OVERRIDE=FQ","FILING_STATUS=MR","SCALING_FORMAT=MLN","FA_ADJUSTED=GAAP","Sort=A","Dates=H","DateFormat=P","Fill=—","Direction=H","UseDPDF=Y")</f>
        <v>230</v>
      </c>
      <c r="V23" s="13">
        <f>_xll.BDH("GILD US Equity","IS_INT_EXPENSE","FQ3 2023","FQ3 2023","Currency=USD","Period=FQ","BEST_FPERIOD_OVERRIDE=FQ","FILING_STATUS=MR","SCALING_FORMAT=MLN","FA_ADJUSTED=GAAP","Sort=A","Dates=H","DateFormat=P","Fill=—","Direction=H","UseDPDF=Y")</f>
        <v>232</v>
      </c>
      <c r="W23" s="13">
        <f>_xll.BDH("GILD US Equity","IS_INT_EXPENSE","FQ4 2023","FQ4 2023","Currency=USD","Period=FQ","BEST_FPERIOD_OVERRIDE=FQ","FILING_STATUS=MR","SCALING_FORMAT=MLN","FA_ADJUSTED=GAAP","Sort=A","Dates=H","DateFormat=P","Fill=—","Direction=H","UseDPDF=Y")</f>
        <v>252</v>
      </c>
      <c r="X23" s="13">
        <f>_xll.BDH("GILD US Equity","IS_INT_EXPENSE","FQ1 2024","FQ1 2024","Currency=USD","Period=FQ","BEST_FPERIOD_OVERRIDE=FQ","FILING_STATUS=MR","SCALING_FORMAT=MLN","FA_ADJUSTED=GAAP","Sort=A","Dates=H","DateFormat=P","Fill=—","Direction=H","UseDPDF=Y")</f>
        <v>254</v>
      </c>
      <c r="Y23" s="13">
        <f>_xll.BDH("GILD US Equity","IS_INT_EXPENSE","FQ2 2024","FQ2 2024","Currency=USD","Period=FQ","BEST_FPERIOD_OVERRIDE=FQ","FILING_STATUS=MR","SCALING_FORMAT=MLN","FA_ADJUSTED=GAAP","Sort=A","Dates=H","DateFormat=P","Fill=—","Direction=H","UseDPDF=Y")</f>
        <v>236</v>
      </c>
      <c r="Z23" s="13">
        <f>_xll.BDH("GILD US Equity","IS_INT_EXPENSE","FQ3 2024","FQ3 2024","Currency=USD","Period=FQ","BEST_FPERIOD_OVERRIDE=FQ","FILING_STATUS=MR","SCALING_FORMAT=MLN","FA_ADJUSTED=GAAP","Sort=A","Dates=H","DateFormat=P","Fill=—","Direction=H","UseDPDF=Y")</f>
        <v>238</v>
      </c>
      <c r="AA23" s="13">
        <f>_xll.BDH("GILD US Equity","IS_INT_EXPENSE","FQ4 2024","FQ4 2024","Currency=USD","Period=FQ","BEST_FPERIOD_OVERRIDE=FQ","FILING_STATUS=MR","SCALING_FORMAT=MLN","FA_ADJUSTED=GAAP","Sort=A","Dates=H","DateFormat=P","Fill=—","Direction=H","UseDPDF=Y")</f>
        <v>248</v>
      </c>
    </row>
    <row r="24" spans="1:27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10" t="s">
        <v>1625</v>
      </c>
      <c r="B25" s="10" t="s">
        <v>1626</v>
      </c>
      <c r="C25" s="14">
        <f>_xll.BDH("GILD US Equity","COM_EQY_TO_TOT_ASSET","FQ4 2018","FQ4 2018","Currency=USD","Period=FQ","BEST_FPERIOD_OVERRIDE=FQ","FILING_STATUS=MR","Sort=A","Dates=H","DateFormat=P","Fill=—","Direction=H","UseDPDF=Y")</f>
        <v>33.587800000000001</v>
      </c>
      <c r="D25" s="14">
        <f>_xll.BDH("GILD US Equity","COM_EQY_TO_TOT_ASSET","FQ1 2019","FQ1 2019","Currency=USD","Period=FQ","BEST_FPERIOD_OVERRIDE=FQ","FILING_STATUS=MR","Sort=A","Dates=H","DateFormat=P","Fill=—","Direction=H","UseDPDF=Y")</f>
        <v>34.933199999999999</v>
      </c>
      <c r="E25" s="14">
        <f>_xll.BDH("GILD US Equity","COM_EQY_TO_TOT_ASSET","FQ2 2019","FQ2 2019","Currency=USD","Period=FQ","BEST_FPERIOD_OVERRIDE=FQ","FILING_STATUS=MR","Sort=A","Dates=H","DateFormat=P","Fill=—","Direction=H","UseDPDF=Y")</f>
        <v>35.7791</v>
      </c>
      <c r="F25" s="14">
        <f>_xll.BDH("GILD US Equity","COM_EQY_TO_TOT_ASSET","FQ3 2019","FQ3 2019","Currency=USD","Period=FQ","BEST_FPERIOD_OVERRIDE=FQ","FILING_STATUS=MR","Sort=A","Dates=H","DateFormat=P","Fill=—","Direction=H","UseDPDF=Y")</f>
        <v>34.835799999999999</v>
      </c>
      <c r="G25" s="14">
        <f>_xll.BDH("GILD US Equity","COM_EQY_TO_TOT_ASSET","FQ4 2019","FQ4 2019","Currency=USD","Period=FQ","BEST_FPERIOD_OVERRIDE=FQ","FILING_STATUS=MR","Sort=A","Dates=H","DateFormat=P","Fill=—","Direction=H","UseDPDF=Y")</f>
        <v>36.5505</v>
      </c>
      <c r="H25" s="14">
        <f>_xll.BDH("GILD US Equity","COM_EQY_TO_TOT_ASSET","FQ1 2020","FQ1 2020","Currency=USD","Period=FQ","BEST_FPERIOD_OVERRIDE=FQ","FILING_STATUS=MR","Sort=A","Dates=H","DateFormat=P","Fill=—","Direction=H","UseDPDF=Y")</f>
        <v>36.937800000000003</v>
      </c>
      <c r="I25" s="14">
        <f>_xll.BDH("GILD US Equity","COM_EQY_TO_TOT_ASSET","FQ2 2020","FQ2 2020","Currency=USD","Period=FQ","BEST_FPERIOD_OVERRIDE=FQ","FILING_STATUS=MR","Sort=A","Dates=H","DateFormat=P","Fill=—","Direction=H","UseDPDF=Y")</f>
        <v>32.229100000000003</v>
      </c>
      <c r="J25" s="14">
        <f>_xll.BDH("GILD US Equity","COM_EQY_TO_TOT_ASSET","FQ3 2020","FQ3 2020","Currency=USD","Period=FQ","BEST_FPERIOD_OVERRIDE=FQ","FILING_STATUS=MR","Sort=A","Dates=H","DateFormat=P","Fill=—","Direction=H","UseDPDF=Y")</f>
        <v>28.6557</v>
      </c>
      <c r="K25" s="14">
        <f>_xll.BDH("GILD US Equity","COM_EQY_TO_TOT_ASSET","FQ4 2020","FQ4 2020","Currency=USD","Period=FQ","BEST_FPERIOD_OVERRIDE=FQ","FILING_STATUS=MR","Sort=A","Dates=H","DateFormat=P","Fill=—","Direction=H","UseDPDF=Y")</f>
        <v>26.6084</v>
      </c>
      <c r="L25" s="14">
        <f>_xll.BDH("GILD US Equity","COM_EQY_TO_TOT_ASSET","FQ1 2021","FQ1 2021","Currency=USD","Period=FQ","BEST_FPERIOD_OVERRIDE=FQ","FILING_STATUS=MR","Sort=A","Dates=H","DateFormat=P","Fill=—","Direction=H","UseDPDF=Y")</f>
        <v>28.080400000000001</v>
      </c>
      <c r="M25" s="14">
        <f>_xll.BDH("GILD US Equity","COM_EQY_TO_TOT_ASSET","FQ2 2021","FQ2 2021","Currency=USD","Period=FQ","BEST_FPERIOD_OVERRIDE=FQ","FILING_STATUS=MR","Sort=A","Dates=H","DateFormat=P","Fill=—","Direction=H","UseDPDF=Y")</f>
        <v>28.9818</v>
      </c>
      <c r="N25" s="14">
        <f>_xll.BDH("GILD US Equity","COM_EQY_TO_TOT_ASSET","FQ3 2021","FQ3 2021","Currency=USD","Period=FQ","BEST_FPERIOD_OVERRIDE=FQ","FILING_STATUS=MR","Sort=A","Dates=H","DateFormat=P","Fill=—","Direction=H","UseDPDF=Y")</f>
        <v>31.998000000000001</v>
      </c>
      <c r="O25" s="14">
        <f>_xll.BDH("GILD US Equity","COM_EQY_TO_TOT_ASSET","FQ4 2021","FQ4 2021","Currency=USD","Period=FQ","BEST_FPERIOD_OVERRIDE=FQ","FILING_STATUS=MR","Sort=A","Dates=H","DateFormat=P","Fill=—","Direction=H","UseDPDF=Y")</f>
        <v>31.005700000000001</v>
      </c>
      <c r="P25" s="14">
        <f>_xll.BDH("GILD US Equity","COM_EQY_TO_TOT_ASSET","FQ1 2022","FQ1 2022","Currency=USD","Period=FQ","BEST_FPERIOD_OVERRIDE=FQ","FILING_STATUS=MR","Sort=A","Dates=H","DateFormat=P","Fill=—","Direction=H","UseDPDF=Y")</f>
        <v>31.59</v>
      </c>
      <c r="Q25" s="14">
        <f>_xll.BDH("GILD US Equity","COM_EQY_TO_TOT_ASSET","FQ2 2022","FQ2 2022","Currency=USD","Period=FQ","BEST_FPERIOD_OVERRIDE=FQ","FILING_STATUS=MR","Sort=A","Dates=H","DateFormat=P","Fill=—","Direction=H","UseDPDF=Y")</f>
        <v>32.187100000000001</v>
      </c>
      <c r="R25" s="14">
        <f>_xll.BDH("GILD US Equity","COM_EQY_TO_TOT_ASSET","FQ3 2022","FQ3 2022","Currency=USD","Period=FQ","BEST_FPERIOD_OVERRIDE=FQ","FILING_STATUS=MR","Sort=A","Dates=H","DateFormat=P","Fill=—","Direction=H","UseDPDF=Y")</f>
        <v>33.698900000000002</v>
      </c>
      <c r="S25" s="14">
        <f>_xll.BDH("GILD US Equity","COM_EQY_TO_TOT_ASSET","FQ4 2022","FQ4 2022","Currency=USD","Period=FQ","BEST_FPERIOD_OVERRIDE=FQ","FILING_STATUS=MR","Sort=A","Dates=H","DateFormat=P","Fill=—","Direction=H","UseDPDF=Y")</f>
        <v>33.622999999999998</v>
      </c>
      <c r="T25" s="14">
        <f>_xll.BDH("GILD US Equity","COM_EQY_TO_TOT_ASSET","FQ1 2023","FQ1 2023","Currency=USD","Period=FQ","BEST_FPERIOD_OVERRIDE=FQ","FILING_STATUS=MR","Sort=A","Dates=H","DateFormat=P","Fill=—","Direction=H","UseDPDF=Y")</f>
        <v>33.933999999999997</v>
      </c>
      <c r="U25" s="14">
        <f>_xll.BDH("GILD US Equity","COM_EQY_TO_TOT_ASSET","FQ2 2023","FQ2 2023","Currency=USD","Period=FQ","BEST_FPERIOD_OVERRIDE=FQ","FILING_STATUS=MR","Sort=A","Dates=H","DateFormat=P","Fill=—","Direction=H","UseDPDF=Y")</f>
        <v>33.941299999999998</v>
      </c>
      <c r="V25" s="14">
        <f>_xll.BDH("GILD US Equity","COM_EQY_TO_TOT_ASSET","FQ3 2023","FQ3 2023","Currency=USD","Period=FQ","BEST_FPERIOD_OVERRIDE=FQ","FILING_STATUS=MR","Sort=A","Dates=H","DateFormat=P","Fill=—","Direction=H","UseDPDF=Y")</f>
        <v>35.776699999999998</v>
      </c>
      <c r="W25" s="14">
        <f>_xll.BDH("GILD US Equity","COM_EQY_TO_TOT_ASSET","FQ4 2023","FQ4 2023","Currency=USD","Period=FQ","BEST_FPERIOD_OVERRIDE=FQ","FILING_STATUS=MR","Sort=A","Dates=H","DateFormat=P","Fill=—","Direction=H","UseDPDF=Y")</f>
        <v>36.753300000000003</v>
      </c>
      <c r="X25" s="14">
        <f>_xll.BDH("GILD US Equity","COM_EQY_TO_TOT_ASSET","FQ1 2024","FQ1 2024","Currency=USD","Period=FQ","BEST_FPERIOD_OVERRIDE=FQ","FILING_STATUS=MR","Sort=A","Dates=H","DateFormat=P","Fill=—","Direction=H","UseDPDF=Y")</f>
        <v>31.1572</v>
      </c>
      <c r="Y25" s="14">
        <f>_xll.BDH("GILD US Equity","COM_EQY_TO_TOT_ASSET","FQ2 2024","FQ2 2024","Currency=USD","Period=FQ","BEST_FPERIOD_OVERRIDE=FQ","FILING_STATUS=MR","Sort=A","Dates=H","DateFormat=P","Fill=—","Direction=H","UseDPDF=Y")</f>
        <v>34.119700000000002</v>
      </c>
      <c r="Z25" s="14">
        <f>_xll.BDH("GILD US Equity","COM_EQY_TO_TOT_ASSET","FQ3 2024","FQ3 2024","Currency=USD","Period=FQ","BEST_FPERIOD_OVERRIDE=FQ","FILING_STATUS=MR","Sort=A","Dates=H","DateFormat=P","Fill=—","Direction=H","UseDPDF=Y")</f>
        <v>33.881700000000002</v>
      </c>
      <c r="AA25" s="14">
        <f>_xll.BDH("GILD US Equity","COM_EQY_TO_TOT_ASSET","FQ4 2024","FQ4 2024","Currency=USD","Period=FQ","BEST_FPERIOD_OVERRIDE=FQ","FILING_STATUS=MR","Sort=A","Dates=H","DateFormat=P","Fill=—","Direction=H","UseDPDF=Y")</f>
        <v>32.765500000000003</v>
      </c>
    </row>
    <row r="26" spans="1:27" x14ac:dyDescent="0.25">
      <c r="A26" s="10" t="s">
        <v>1627</v>
      </c>
      <c r="B26" s="10" t="s">
        <v>1628</v>
      </c>
      <c r="C26" s="14">
        <f>_xll.BDH("GILD US Equity","LT_DEBT_TO_TOT_EQY","FQ4 2018","FQ4 2018","Currency=USD","Period=FQ","BEST_FPERIOD_OVERRIDE=FQ","FILING_STATUS=MR","Sort=A","Dates=H","DateFormat=P","Fill=—","Direction=H","UseDPDF=Y")</f>
        <v>114.1172</v>
      </c>
      <c r="D26" s="14">
        <f>_xll.BDH("GILD US Equity","LT_DEBT_TO_TOT_EQY","FQ1 2019","FQ1 2019","Currency=USD","Period=FQ","BEST_FPERIOD_OVERRIDE=FQ","FILING_STATUS=MR","Sort=A","Dates=H","DateFormat=P","Fill=—","Direction=H","UseDPDF=Y")</f>
        <v>110.9456</v>
      </c>
      <c r="E26" s="14">
        <f>_xll.BDH("GILD US Equity","LT_DEBT_TO_TOT_EQY","FQ2 2019","FQ2 2019","Currency=USD","Period=FQ","BEST_FPERIOD_OVERRIDE=FQ","FILING_STATUS=MR","Sort=A","Dates=H","DateFormat=P","Fill=—","Direction=H","UseDPDF=Y")</f>
        <v>107.97329999999999</v>
      </c>
      <c r="F26" s="14">
        <f>_xll.BDH("GILD US Equity","LT_DEBT_TO_TOT_EQY","FQ3 2019","FQ3 2019","Currency=USD","Period=FQ","BEST_FPERIOD_OVERRIDE=FQ","FILING_STATUS=MR","Sort=A","Dates=H","DateFormat=P","Fill=—","Direction=H","UseDPDF=Y")</f>
        <v>109.5149</v>
      </c>
      <c r="G26" s="14">
        <f>_xll.BDH("GILD US Equity","LT_DEBT_TO_TOT_EQY","FQ4 2019","FQ4 2019","Currency=USD","Period=FQ","BEST_FPERIOD_OVERRIDE=FQ","FILING_STATUS=MR","Sort=A","Dates=H","DateFormat=P","Fill=—","Direction=H","UseDPDF=Y")</f>
        <v>100.3091</v>
      </c>
      <c r="H26" s="14">
        <f>_xll.BDH("GILD US Equity","LT_DEBT_TO_TOT_EQY","FQ1 2020","FQ1 2020","Currency=USD","Period=FQ","BEST_FPERIOD_OVERRIDE=FQ","FILING_STATUS=MR","Sort=A","Dates=H","DateFormat=P","Fill=—","Direction=H","UseDPDF=Y")</f>
        <v>99.634799999999998</v>
      </c>
      <c r="I26" s="14">
        <f>_xll.BDH("GILD US Equity","LT_DEBT_TO_TOT_EQY","FQ2 2020","FQ2 2020","Currency=USD","Period=FQ","BEST_FPERIOD_OVERRIDE=FQ","FILING_STATUS=MR","Sort=A","Dates=H","DateFormat=P","Fill=—","Direction=H","UseDPDF=Y")</f>
        <v>116.3212</v>
      </c>
      <c r="J26" s="14">
        <f>_xll.BDH("GILD US Equity","LT_DEBT_TO_TOT_EQY","FQ3 2020","FQ3 2020","Currency=USD","Period=FQ","BEST_FPERIOD_OVERRIDE=FQ","FILING_STATUS=MR","Sort=A","Dates=H","DateFormat=P","Fill=—","Direction=H","UseDPDF=Y")</f>
        <v>159.07499999999999</v>
      </c>
      <c r="K26" s="14">
        <f>_xll.BDH("GILD US Equity","LT_DEBT_TO_TOT_EQY","FQ4 2020","FQ4 2020","Currency=USD","Period=FQ","BEST_FPERIOD_OVERRIDE=FQ","FILING_STATUS=MR","Sort=A","Dates=H","DateFormat=P","Fill=—","Direction=H","UseDPDF=Y")</f>
        <v>160.5455</v>
      </c>
      <c r="L26" s="14">
        <f>_xll.BDH("GILD US Equity","LT_DEBT_TO_TOT_EQY","FQ1 2021","FQ1 2021","Currency=USD","Period=FQ","BEST_FPERIOD_OVERRIDE=FQ","FILING_STATUS=MR","Sort=A","Dates=H","DateFormat=P","Fill=—","Direction=H","UseDPDF=Y")</f>
        <v>147.15780000000001</v>
      </c>
      <c r="M26" s="14">
        <f>_xll.BDH("GILD US Equity","LT_DEBT_TO_TOT_EQY","FQ2 2021","FQ2 2021","Currency=USD","Period=FQ","BEST_FPERIOD_OVERRIDE=FQ","FILING_STATUS=MR","Sort=A","Dates=H","DateFormat=P","Fill=—","Direction=H","UseDPDF=Y")</f>
        <v>141.62350000000001</v>
      </c>
      <c r="N26" s="14">
        <f>_xll.BDH("GILD US Equity","LT_DEBT_TO_TOT_EQY","FQ3 2021","FQ3 2021","Currency=USD","Period=FQ","BEST_FPERIOD_OVERRIDE=FQ","FILING_STATUS=MR","Sort=A","Dates=H","DateFormat=P","Fill=—","Direction=H","UseDPDF=Y")</f>
        <v>117.2512</v>
      </c>
      <c r="O26" s="14">
        <f>_xll.BDH("GILD US Equity","LT_DEBT_TO_TOT_EQY","FQ4 2021","FQ4 2021","Currency=USD","Period=FQ","BEST_FPERIOD_OVERRIDE=FQ","FILING_STATUS=MR","Sort=A","Dates=H","DateFormat=P","Fill=—","Direction=H","UseDPDF=Y")</f>
        <v>121.85720000000001</v>
      </c>
      <c r="P26" s="14">
        <f>_xll.BDH("GILD US Equity","LT_DEBT_TO_TOT_EQY","FQ1 2022","FQ1 2022","Currency=USD","Period=FQ","BEST_FPERIOD_OVERRIDE=FQ","FILING_STATUS=MR","Sort=A","Dates=H","DateFormat=P","Fill=—","Direction=H","UseDPDF=Y")</f>
        <v>126.4524</v>
      </c>
      <c r="Q26" s="14">
        <f>_xll.BDH("GILD US Equity","LT_DEBT_TO_TOT_EQY","FQ2 2022","FQ2 2022","Currency=USD","Period=FQ","BEST_FPERIOD_OVERRIDE=FQ","FILING_STATUS=MR","Sort=A","Dates=H","DateFormat=P","Fill=—","Direction=H","UseDPDF=Y")</f>
        <v>124.6352</v>
      </c>
      <c r="R26" s="14">
        <f>_xll.BDH("GILD US Equity","LT_DEBT_TO_TOT_EQY","FQ3 2022","FQ3 2022","Currency=USD","Period=FQ","BEST_FPERIOD_OVERRIDE=FQ","FILING_STATUS=MR","Sort=A","Dates=H","DateFormat=P","Fill=—","Direction=H","UseDPDF=Y")</f>
        <v>109.00409999999999</v>
      </c>
      <c r="S26" s="14">
        <f>_xll.BDH("GILD US Equity","LT_DEBT_TO_TOT_EQY","FQ4 2022","FQ4 2022","Currency=USD","Period=FQ","BEST_FPERIOD_OVERRIDE=FQ","FILING_STATUS=MR","Sort=A","Dates=H","DateFormat=P","Fill=—","Direction=H","UseDPDF=Y")</f>
        <v>110.44370000000001</v>
      </c>
      <c r="T26" s="14">
        <f>_xll.BDH("GILD US Equity","LT_DEBT_TO_TOT_EQY","FQ1 2023","FQ1 2023","Currency=USD","Period=FQ","BEST_FPERIOD_OVERRIDE=FQ","FILING_STATUS=MR","Sort=A","Dates=H","DateFormat=P","Fill=—","Direction=H","UseDPDF=Y")</f>
        <v>109.6327</v>
      </c>
      <c r="U26" s="14">
        <f>_xll.BDH("GILD US Equity","LT_DEBT_TO_TOT_EQY","FQ2 2023","FQ2 2023","Currency=USD","Period=FQ","BEST_FPERIOD_OVERRIDE=FQ","FILING_STATUS=MR","Sort=A","Dates=H","DateFormat=P","Fill=—","Direction=H","UseDPDF=Y")</f>
        <v>100.54519999999999</v>
      </c>
      <c r="V26" s="14">
        <f>_xll.BDH("GILD US Equity","LT_DEBT_TO_TOT_EQY","FQ3 2023","FQ3 2023","Currency=USD","Period=FQ","BEST_FPERIOD_OVERRIDE=FQ","FILING_STATUS=MR","Sort=A","Dates=H","DateFormat=P","Fill=—","Direction=H","UseDPDF=Y")</f>
        <v>104.253</v>
      </c>
      <c r="W26" s="14">
        <f>_xll.BDH("GILD US Equity","LT_DEBT_TO_TOT_EQY","FQ4 2023","FQ4 2023","Currency=USD","Period=FQ","BEST_FPERIOD_OVERRIDE=FQ","FILING_STATUS=MR","Sort=A","Dates=H","DateFormat=P","Fill=—","Direction=H","UseDPDF=Y")</f>
        <v>104.3343</v>
      </c>
      <c r="X26" s="14">
        <f>_xll.BDH("GILD US Equity","LT_DEBT_TO_TOT_EQY","FQ1 2024","FQ1 2024","Currency=USD","Period=FQ","BEST_FPERIOD_OVERRIDE=FQ","FILING_STATUS=MR","Sort=A","Dates=H","DateFormat=P","Fill=—","Direction=H","UseDPDF=Y")</f>
        <v>123.32859999999999</v>
      </c>
      <c r="Y26" s="14">
        <f>_xll.BDH("GILD US Equity","LT_DEBT_TO_TOT_EQY","FQ2 2024","FQ2 2024","Currency=USD","Period=FQ","BEST_FPERIOD_OVERRIDE=FQ","FILING_STATUS=MR","Sort=A","Dates=H","DateFormat=P","Fill=—","Direction=H","UseDPDF=Y")</f>
        <v>118.3712</v>
      </c>
      <c r="Z26" s="14">
        <f>_xll.BDH("GILD US Equity","LT_DEBT_TO_TOT_EQY","FQ3 2024","FQ3 2024","Currency=USD","Period=FQ","BEST_FPERIOD_OVERRIDE=FQ","FILING_STATUS=MR","Sort=A","Dates=H","DateFormat=P","Fill=—","Direction=H","UseDPDF=Y")</f>
        <v>116.5688</v>
      </c>
      <c r="AA26" s="14">
        <f>_xll.BDH("GILD US Equity","LT_DEBT_TO_TOT_EQY","FQ4 2024","FQ4 2024","Currency=USD","Period=FQ","BEST_FPERIOD_OVERRIDE=FQ","FILING_STATUS=MR","Sort=A","Dates=H","DateFormat=P","Fill=—","Direction=H","UseDPDF=Y")</f>
        <v>131.9443</v>
      </c>
    </row>
    <row r="27" spans="1:27" x14ac:dyDescent="0.25">
      <c r="A27" s="10" t="s">
        <v>1629</v>
      </c>
      <c r="B27" s="10" t="s">
        <v>1630</v>
      </c>
      <c r="C27" s="14">
        <f>_xll.BDH("GILD US Equity","LT_DEBT_TO_TOT_CAP","FQ4 2018","FQ4 2018","Currency=USD","Period=FQ","BEST_FPERIOD_OVERRIDE=FQ","FILING_STATUS=MR","Sort=A","Dates=H","DateFormat=P","Fill=—","Direction=H","UseDPDF=Y")</f>
        <v>50.2988</v>
      </c>
      <c r="D27" s="14">
        <f>_xll.BDH("GILD US Equity","LT_DEBT_TO_TOT_CAP","FQ1 2019","FQ1 2019","Currency=USD","Period=FQ","BEST_FPERIOD_OVERRIDE=FQ","FILING_STATUS=MR","Sort=A","Dates=H","DateFormat=P","Fill=—","Direction=H","UseDPDF=Y")</f>
        <v>49.842399999999998</v>
      </c>
      <c r="E27" s="14">
        <f>_xll.BDH("GILD US Equity","LT_DEBT_TO_TOT_CAP","FQ2 2019","FQ2 2019","Currency=USD","Period=FQ","BEST_FPERIOD_OVERRIDE=FQ","FILING_STATUS=MR","Sort=A","Dates=H","DateFormat=P","Fill=—","Direction=H","UseDPDF=Y")</f>
        <v>49.738799999999998</v>
      </c>
      <c r="F27" s="14">
        <f>_xll.BDH("GILD US Equity","LT_DEBT_TO_TOT_CAP","FQ3 2019","FQ3 2019","Currency=USD","Period=FQ","BEST_FPERIOD_OVERRIDE=FQ","FILING_STATUS=MR","Sort=A","Dates=H","DateFormat=P","Fill=—","Direction=H","UseDPDF=Y")</f>
        <v>49.328800000000001</v>
      </c>
      <c r="G27" s="14">
        <f>_xll.BDH("GILD US Equity","LT_DEBT_TO_TOT_CAP","FQ4 2019","FQ4 2019","Currency=USD","Period=FQ","BEST_FPERIOD_OVERRIDE=FQ","FILING_STATUS=MR","Sort=A","Dates=H","DateFormat=P","Fill=—","Direction=H","UseDPDF=Y")</f>
        <v>47.364899999999999</v>
      </c>
      <c r="H27" s="14">
        <f>_xll.BDH("GILD US Equity","LT_DEBT_TO_TOT_CAP","FQ1 2020","FQ1 2020","Currency=USD","Period=FQ","BEST_FPERIOD_OVERRIDE=FQ","FILING_STATUS=MR","Sort=A","Dates=H","DateFormat=P","Fill=—","Direction=H","UseDPDF=Y")</f>
        <v>47.752600000000001</v>
      </c>
      <c r="I27" s="14">
        <f>_xll.BDH("GILD US Equity","LT_DEBT_TO_TOT_CAP","FQ2 2020","FQ2 2020","Currency=USD","Period=FQ","BEST_FPERIOD_OVERRIDE=FQ","FILING_STATUS=MR","Sort=A","Dates=H","DateFormat=P","Fill=—","Direction=H","UseDPDF=Y")</f>
        <v>49.954999999999998</v>
      </c>
      <c r="J27" s="14">
        <f>_xll.BDH("GILD US Equity","LT_DEBT_TO_TOT_CAP","FQ3 2020","FQ3 2020","Currency=USD","Period=FQ","BEST_FPERIOD_OVERRIDE=FQ","FILING_STATUS=MR","Sort=A","Dates=H","DateFormat=P","Fill=—","Direction=H","UseDPDF=Y")</f>
        <v>59.434100000000001</v>
      </c>
      <c r="K27" s="14">
        <f>_xll.BDH("GILD US Equity","LT_DEBT_TO_TOT_CAP","FQ4 2020","FQ4 2020","Currency=USD","Period=FQ","BEST_FPERIOD_OVERRIDE=FQ","FILING_STATUS=MR","Sort=A","Dates=H","DateFormat=P","Fill=—","Direction=H","UseDPDF=Y")</f>
        <v>58.113199999999999</v>
      </c>
      <c r="L27" s="14">
        <f>_xll.BDH("GILD US Equity","LT_DEBT_TO_TOT_CAP","FQ1 2021","FQ1 2021","Currency=USD","Period=FQ","BEST_FPERIOD_OVERRIDE=FQ","FILING_STATUS=MR","Sort=A","Dates=H","DateFormat=P","Fill=—","Direction=H","UseDPDF=Y")</f>
        <v>56.802399999999999</v>
      </c>
      <c r="M27" s="14">
        <f>_xll.BDH("GILD US Equity","LT_DEBT_TO_TOT_CAP","FQ2 2021","FQ2 2021","Currency=USD","Period=FQ","BEST_FPERIOD_OVERRIDE=FQ","FILING_STATUS=MR","Sort=A","Dates=H","DateFormat=P","Fill=—","Direction=H","UseDPDF=Y")</f>
        <v>55.956699999999998</v>
      </c>
      <c r="N27" s="14">
        <f>_xll.BDH("GILD US Equity","LT_DEBT_TO_TOT_CAP","FQ3 2021","FQ3 2021","Currency=USD","Period=FQ","BEST_FPERIOD_OVERRIDE=FQ","FILING_STATUS=MR","Sort=A","Dates=H","DateFormat=P","Fill=—","Direction=H","UseDPDF=Y")</f>
        <v>51.213500000000003</v>
      </c>
      <c r="O27" s="14">
        <f>_xll.BDH("GILD US Equity","LT_DEBT_TO_TOT_CAP","FQ4 2021","FQ4 2021","Currency=USD","Period=FQ","BEST_FPERIOD_OVERRIDE=FQ","FILING_STATUS=MR","Sort=A","Dates=H","DateFormat=P","Fill=—","Direction=H","UseDPDF=Y")</f>
        <v>53.088999999999999</v>
      </c>
      <c r="P27" s="14">
        <f>_xll.BDH("GILD US Equity","LT_DEBT_TO_TOT_CAP","FQ1 2022","FQ1 2022","Currency=USD","Period=FQ","BEST_FPERIOD_OVERRIDE=FQ","FILING_STATUS=MR","Sort=A","Dates=H","DateFormat=P","Fill=—","Direction=H","UseDPDF=Y")</f>
        <v>54.599699999999999</v>
      </c>
      <c r="Q27" s="14">
        <f>_xll.BDH("GILD US Equity","LT_DEBT_TO_TOT_CAP","FQ2 2022","FQ2 2022","Currency=USD","Period=FQ","BEST_FPERIOD_OVERRIDE=FQ","FILING_STATUS=MR","Sort=A","Dates=H","DateFormat=P","Fill=—","Direction=H","UseDPDF=Y")</f>
        <v>54.263300000000001</v>
      </c>
      <c r="R27" s="14">
        <f>_xll.BDH("GILD US Equity","LT_DEBT_TO_TOT_CAP","FQ3 2022","FQ3 2022","Currency=USD","Period=FQ","BEST_FPERIOD_OVERRIDE=FQ","FILING_STATUS=MR","Sort=A","Dates=H","DateFormat=P","Fill=—","Direction=H","UseDPDF=Y")</f>
        <v>49.5959</v>
      </c>
      <c r="S27" s="14">
        <f>_xll.BDH("GILD US Equity","LT_DEBT_TO_TOT_CAP","FQ4 2022","FQ4 2022","Currency=USD","Period=FQ","BEST_FPERIOD_OVERRIDE=FQ","FILING_STATUS=MR","Sort=A","Dates=H","DateFormat=P","Fill=—","Direction=H","UseDPDF=Y")</f>
        <v>49.820300000000003</v>
      </c>
      <c r="T27" s="14">
        <f>_xll.BDH("GILD US Equity","LT_DEBT_TO_TOT_CAP","FQ1 2023","FQ1 2023","Currency=USD","Period=FQ","BEST_FPERIOD_OVERRIDE=FQ","FILING_STATUS=MR","Sort=A","Dates=H","DateFormat=P","Fill=—","Direction=H","UseDPDF=Y")</f>
        <v>49.712000000000003</v>
      </c>
      <c r="U27" s="14">
        <f>_xll.BDH("GILD US Equity","LT_DEBT_TO_TOT_CAP","FQ2 2023","FQ2 2023","Currency=USD","Period=FQ","BEST_FPERIOD_OVERRIDE=FQ","FILING_STATUS=MR","Sort=A","Dates=H","DateFormat=P","Fill=—","Direction=H","UseDPDF=Y")</f>
        <v>45.7682</v>
      </c>
      <c r="V27" s="14">
        <f>_xll.BDH("GILD US Equity","LT_DEBT_TO_TOT_CAP","FQ3 2023","FQ3 2023","Currency=USD","Period=FQ","BEST_FPERIOD_OVERRIDE=FQ","FILING_STATUS=MR","Sort=A","Dates=H","DateFormat=P","Fill=—","Direction=H","UseDPDF=Y")</f>
        <v>49.103200000000001</v>
      </c>
      <c r="W27" s="14">
        <f>_xll.BDH("GILD US Equity","LT_DEBT_TO_TOT_CAP","FQ4 2023","FQ4 2023","Currency=USD","Period=FQ","BEST_FPERIOD_OVERRIDE=FQ","FILING_STATUS=MR","Sort=A","Dates=H","DateFormat=P","Fill=—","Direction=H","UseDPDF=Y")</f>
        <v>49.032200000000003</v>
      </c>
      <c r="X27" s="14">
        <f>_xll.BDH("GILD US Equity","LT_DEBT_TO_TOT_CAP","FQ1 2024","FQ1 2024","Currency=USD","Period=FQ","BEST_FPERIOD_OVERRIDE=FQ","FILING_STATUS=MR","Sort=A","Dates=H","DateFormat=P","Fill=—","Direction=H","UseDPDF=Y")</f>
        <v>50.474800000000002</v>
      </c>
      <c r="Y27" s="14">
        <f>_xll.BDH("GILD US Equity","LT_DEBT_TO_TOT_CAP","FQ2 2024","FQ2 2024","Currency=USD","Period=FQ","BEST_FPERIOD_OVERRIDE=FQ","FILING_STATUS=MR","Sort=A","Dates=H","DateFormat=P","Fill=—","Direction=H","UseDPDF=Y")</f>
        <v>51.844900000000003</v>
      </c>
      <c r="Z27" s="14">
        <f>_xll.BDH("GILD US Equity","LT_DEBT_TO_TOT_CAP","FQ3 2024","FQ3 2024","Currency=USD","Period=FQ","BEST_FPERIOD_OVERRIDE=FQ","FILING_STATUS=MR","Sort=A","Dates=H","DateFormat=P","Fill=—","Direction=H","UseDPDF=Y")</f>
        <v>51.482999999999997</v>
      </c>
      <c r="AA27" s="14">
        <f>_xll.BDH("GILD US Equity","LT_DEBT_TO_TOT_CAP","FQ4 2024","FQ4 2024","Currency=USD","Period=FQ","BEST_FPERIOD_OVERRIDE=FQ","FILING_STATUS=MR","Sort=A","Dates=H","DateFormat=P","Fill=—","Direction=H","UseDPDF=Y")</f>
        <v>54.530999999999999</v>
      </c>
    </row>
    <row r="28" spans="1:27" x14ac:dyDescent="0.25">
      <c r="A28" s="10" t="s">
        <v>1631</v>
      </c>
      <c r="B28" s="10" t="s">
        <v>1632</v>
      </c>
      <c r="C28" s="14">
        <f>_xll.BDH("GILD US Equity","LT_DEBT_TO_TOT_ASSET","FQ4 2018","FQ4 2018","Currency=USD","Period=FQ","BEST_FPERIOD_OVERRIDE=FQ","FILING_STATUS=MR","Sort=A","Dates=H","DateFormat=P","Fill=—","Direction=H","UseDPDF=Y")</f>
        <v>38.5929</v>
      </c>
      <c r="D28" s="14">
        <f>_xll.BDH("GILD US Equity","LT_DEBT_TO_TOT_ASSET","FQ1 2019","FQ1 2019","Currency=USD","Period=FQ","BEST_FPERIOD_OVERRIDE=FQ","FILING_STATUS=MR","Sort=A","Dates=H","DateFormat=P","Fill=—","Direction=H","UseDPDF=Y")</f>
        <v>39.004100000000001</v>
      </c>
      <c r="E28" s="14">
        <f>_xll.BDH("GILD US Equity","LT_DEBT_TO_TOT_ASSET","FQ2 2019","FQ2 2019","Currency=USD","Period=FQ","BEST_FPERIOD_OVERRIDE=FQ","FILING_STATUS=MR","Sort=A","Dates=H","DateFormat=P","Fill=—","Direction=H","UseDPDF=Y")</f>
        <v>38.862499999999997</v>
      </c>
      <c r="F28" s="14">
        <f>_xll.BDH("GILD US Equity","LT_DEBT_TO_TOT_ASSET","FQ3 2019","FQ3 2019","Currency=USD","Period=FQ","BEST_FPERIOD_OVERRIDE=FQ","FILING_STATUS=MR","Sort=A","Dates=H","DateFormat=P","Fill=—","Direction=H","UseDPDF=Y")</f>
        <v>38.394799999999996</v>
      </c>
      <c r="G28" s="14">
        <f>_xll.BDH("GILD US Equity","LT_DEBT_TO_TOT_ASSET","FQ4 2019","FQ4 2019","Currency=USD","Period=FQ","BEST_FPERIOD_OVERRIDE=FQ","FILING_STATUS=MR","Sort=A","Dates=H","DateFormat=P","Fill=—","Direction=H","UseDPDF=Y")</f>
        <v>36.866999999999997</v>
      </c>
      <c r="H28" s="14">
        <f>_xll.BDH("GILD US Equity","LT_DEBT_TO_TOT_ASSET","FQ1 2020","FQ1 2020","Currency=USD","Period=FQ","BEST_FPERIOD_OVERRIDE=FQ","FILING_STATUS=MR","Sort=A","Dates=H","DateFormat=P","Fill=—","Direction=H","UseDPDF=Y")</f>
        <v>36.989699999999999</v>
      </c>
      <c r="I28" s="14">
        <f>_xll.BDH("GILD US Equity","LT_DEBT_TO_TOT_ASSET","FQ2 2020","FQ2 2020","Currency=USD","Period=FQ","BEST_FPERIOD_OVERRIDE=FQ","FILING_STATUS=MR","Sort=A","Dates=H","DateFormat=P","Fill=—","Direction=H","UseDPDF=Y")</f>
        <v>37.728400000000001</v>
      </c>
      <c r="J28" s="14">
        <f>_xll.BDH("GILD US Equity","LT_DEBT_TO_TOT_ASSET","FQ3 2020","FQ3 2020","Currency=USD","Period=FQ","BEST_FPERIOD_OVERRIDE=FQ","FILING_STATUS=MR","Sort=A","Dates=H","DateFormat=P","Fill=—","Direction=H","UseDPDF=Y")</f>
        <v>45.652000000000001</v>
      </c>
      <c r="K28" s="14">
        <f>_xll.BDH("GILD US Equity","LT_DEBT_TO_TOT_ASSET","FQ4 2020","FQ4 2020","Currency=USD","Period=FQ","BEST_FPERIOD_OVERRIDE=FQ","FILING_STATUS=MR","Sort=A","Dates=H","DateFormat=P","Fill=—","Direction=H","UseDPDF=Y")</f>
        <v>42.763199999999998</v>
      </c>
      <c r="L28" s="14">
        <f>_xll.BDH("GILD US Equity","LT_DEBT_TO_TOT_ASSET","FQ1 2021","FQ1 2021","Currency=USD","Period=FQ","BEST_FPERIOD_OVERRIDE=FQ","FILING_STATUS=MR","Sort=A","Dates=H","DateFormat=P","Fill=—","Direction=H","UseDPDF=Y")</f>
        <v>41.348599999999998</v>
      </c>
      <c r="M28" s="14">
        <f>_xll.BDH("GILD US Equity","LT_DEBT_TO_TOT_ASSET","FQ2 2021","FQ2 2021","Currency=USD","Period=FQ","BEST_FPERIOD_OVERRIDE=FQ","FILING_STATUS=MR","Sort=A","Dates=H","DateFormat=P","Fill=—","Direction=H","UseDPDF=Y")</f>
        <v>41.059699999999999</v>
      </c>
      <c r="N28" s="14">
        <f>_xll.BDH("GILD US Equity","LT_DEBT_TO_TOT_ASSET","FQ3 2021","FQ3 2021","Currency=USD","Period=FQ","BEST_FPERIOD_OVERRIDE=FQ","FILING_STATUS=MR","Sort=A","Dates=H","DateFormat=P","Fill=—","Direction=H","UseDPDF=Y")</f>
        <v>37.5197</v>
      </c>
      <c r="O28" s="14">
        <f>_xll.BDH("GILD US Equity","LT_DEBT_TO_TOT_ASSET","FQ4 2021","FQ4 2021","Currency=USD","Period=FQ","BEST_FPERIOD_OVERRIDE=FQ","FILING_STATUS=MR","Sort=A","Dates=H","DateFormat=P","Fill=—","Direction=H","UseDPDF=Y")</f>
        <v>37.773699999999998</v>
      </c>
      <c r="P28" s="14">
        <f>_xll.BDH("GILD US Equity","LT_DEBT_TO_TOT_ASSET","FQ1 2022","FQ1 2022","Currency=USD","Period=FQ","BEST_FPERIOD_OVERRIDE=FQ","FILING_STATUS=MR","Sort=A","Dates=H","DateFormat=P","Fill=—","Direction=H","UseDPDF=Y")</f>
        <v>39.9223</v>
      </c>
      <c r="Q28" s="14">
        <f>_xll.BDH("GILD US Equity","LT_DEBT_TO_TOT_ASSET","FQ2 2022","FQ2 2022","Currency=USD","Period=FQ","BEST_FPERIOD_OVERRIDE=FQ","FILING_STATUS=MR","Sort=A","Dates=H","DateFormat=P","Fill=—","Direction=H","UseDPDF=Y")</f>
        <v>40.074800000000003</v>
      </c>
      <c r="R28" s="14">
        <f>_xll.BDH("GILD US Equity","LT_DEBT_TO_TOT_ASSET","FQ3 2022","FQ3 2022","Currency=USD","Period=FQ","BEST_FPERIOD_OVERRIDE=FQ","FILING_STATUS=MR","Sort=A","Dates=H","DateFormat=P","Fill=—","Direction=H","UseDPDF=Y")</f>
        <v>36.691299999999998</v>
      </c>
      <c r="S28" s="14">
        <f>_xll.BDH("GILD US Equity","LT_DEBT_TO_TOT_ASSET","FQ4 2022","FQ4 2022","Currency=USD","Period=FQ","BEST_FPERIOD_OVERRIDE=FQ","FILING_STATUS=MR","Sort=A","Dates=H","DateFormat=P","Fill=—","Direction=H","UseDPDF=Y")</f>
        <v>37.080300000000001</v>
      </c>
      <c r="T28" s="14">
        <f>_xll.BDH("GILD US Equity","LT_DEBT_TO_TOT_ASSET","FQ1 2023","FQ1 2023","Currency=USD","Period=FQ","BEST_FPERIOD_OVERRIDE=FQ","FILING_STATUS=MR","Sort=A","Dates=H","DateFormat=P","Fill=—","Direction=H","UseDPDF=Y")</f>
        <v>37.1</v>
      </c>
      <c r="U28" s="14">
        <f>_xll.BDH("GILD US Equity","LT_DEBT_TO_TOT_ASSET","FQ2 2023","FQ2 2023","Currency=USD","Period=FQ","BEST_FPERIOD_OVERRIDE=FQ","FILING_STATUS=MR","Sort=A","Dates=H","DateFormat=P","Fill=—","Direction=H","UseDPDF=Y")</f>
        <v>34.023099999999999</v>
      </c>
      <c r="V28" s="14">
        <f>_xll.BDH("GILD US Equity","LT_DEBT_TO_TOT_ASSET","FQ3 2023","FQ3 2023","Currency=USD","Period=FQ","BEST_FPERIOD_OVERRIDE=FQ","FILING_STATUS=MR","Sort=A","Dates=H","DateFormat=P","Fill=—","Direction=H","UseDPDF=Y")</f>
        <v>37.177900000000001</v>
      </c>
      <c r="W28" s="14">
        <f>_xll.BDH("GILD US Equity","LT_DEBT_TO_TOT_ASSET","FQ4 2023","FQ4 2023","Currency=USD","Period=FQ","BEST_FPERIOD_OVERRIDE=FQ","FILING_STATUS=MR","Sort=A","Dates=H","DateFormat=P","Fill=—","Direction=H","UseDPDF=Y")</f>
        <v>38.205199999999998</v>
      </c>
      <c r="X28" s="14">
        <f>_xll.BDH("GILD US Equity","LT_DEBT_TO_TOT_ASSET","FQ1 2024","FQ1 2024","Currency=USD","Period=FQ","BEST_FPERIOD_OVERRIDE=FQ","FILING_STATUS=MR","Sort=A","Dates=H","DateFormat=P","Fill=—","Direction=H","UseDPDF=Y")</f>
        <v>38.241700000000002</v>
      </c>
      <c r="Y28" s="14">
        <f>_xll.BDH("GILD US Equity","LT_DEBT_TO_TOT_ASSET","FQ2 2024","FQ2 2024","Currency=USD","Period=FQ","BEST_FPERIOD_OVERRIDE=FQ","FILING_STATUS=MR","Sort=A","Dates=H","DateFormat=P","Fill=—","Direction=H","UseDPDF=Y")</f>
        <v>40.202300000000001</v>
      </c>
      <c r="Z28" s="14">
        <f>_xll.BDH("GILD US Equity","LT_DEBT_TO_TOT_ASSET","FQ3 2024","FQ3 2024","Currency=USD","Period=FQ","BEST_FPERIOD_OVERRIDE=FQ","FILING_STATUS=MR","Sort=A","Dates=H","DateFormat=P","Fill=—","Direction=H","UseDPDF=Y")</f>
        <v>39.315899999999999</v>
      </c>
      <c r="AA28" s="14">
        <f>_xll.BDH("GILD US Equity","LT_DEBT_TO_TOT_ASSET","FQ4 2024","FQ4 2024","Currency=USD","Period=FQ","BEST_FPERIOD_OVERRIDE=FQ","FILING_STATUS=MR","Sort=A","Dates=H","DateFormat=P","Fill=—","Direction=H","UseDPDF=Y")</f>
        <v>43.0443</v>
      </c>
    </row>
    <row r="29" spans="1:27" x14ac:dyDescent="0.25">
      <c r="A29" s="10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5">
      <c r="A30" s="10" t="s">
        <v>1633</v>
      </c>
      <c r="B30" s="10" t="s">
        <v>1634</v>
      </c>
      <c r="C30" s="14">
        <f>_xll.BDH("GILD US Equity","TOT_DEBT_TO_TOT_EQY","FQ4 2018","FQ4 2018","Currency=USD","Period=FQ","BEST_FPERIOD_OVERRIDE=FQ","FILING_STATUS=MR","Sort=A","Dates=H","DateFormat=P","Fill=—","Direction=H","UseDPDF=Y")</f>
        <v>126.8784</v>
      </c>
      <c r="D30" s="14">
        <f>_xll.BDH("GILD US Equity","TOT_DEBT_TO_TOT_EQY","FQ1 2019","FQ1 2019","Currency=USD","Period=FQ","BEST_FPERIOD_OVERRIDE=FQ","FILING_STATUS=MR","Sort=A","Dates=H","DateFormat=P","Fill=—","Direction=H","UseDPDF=Y")</f>
        <v>122.5929</v>
      </c>
      <c r="E30" s="14">
        <f>_xll.BDH("GILD US Equity","TOT_DEBT_TO_TOT_EQY","FQ2 2019","FQ2 2019","Currency=USD","Period=FQ","BEST_FPERIOD_OVERRIDE=FQ","FILING_STATUS=MR","Sort=A","Dates=H","DateFormat=P","Fill=—","Direction=H","UseDPDF=Y")</f>
        <v>117.0806</v>
      </c>
      <c r="F30" s="14">
        <f>_xll.BDH("GILD US Equity","TOT_DEBT_TO_TOT_EQY","FQ3 2019","FQ3 2019","Currency=USD","Period=FQ","BEST_FPERIOD_OVERRIDE=FQ","FILING_STATUS=MR","Sort=A","Dates=H","DateFormat=P","Fill=—","Direction=H","UseDPDF=Y")</f>
        <v>122.01</v>
      </c>
      <c r="G30" s="14">
        <f>_xll.BDH("GILD US Equity","TOT_DEBT_TO_TOT_EQY","FQ4 2019","FQ4 2019","Currency=USD","Period=FQ","BEST_FPERIOD_OVERRIDE=FQ","FILING_STATUS=MR","Sort=A","Dates=H","DateFormat=P","Fill=—","Direction=H","UseDPDF=Y")</f>
        <v>111.7792</v>
      </c>
      <c r="H30" s="14">
        <f>_xll.BDH("GILD US Equity","TOT_DEBT_TO_TOT_EQY","FQ1 2020","FQ1 2020","Currency=USD","Period=FQ","BEST_FPERIOD_OVERRIDE=FQ","FILING_STATUS=MR","Sort=A","Dates=H","DateFormat=P","Fill=—","Direction=H","UseDPDF=Y")</f>
        <v>108.6478</v>
      </c>
      <c r="I30" s="14">
        <f>_xll.BDH("GILD US Equity","TOT_DEBT_TO_TOT_EQY","FQ2 2020","FQ2 2020","Currency=USD","Period=FQ","BEST_FPERIOD_OVERRIDE=FQ","FILING_STATUS=MR","Sort=A","Dates=H","DateFormat=P","Fill=—","Direction=H","UseDPDF=Y")</f>
        <v>132.8519</v>
      </c>
      <c r="J30" s="14">
        <f>_xll.BDH("GILD US Equity","TOT_DEBT_TO_TOT_EQY","FQ3 2020","FQ3 2020","Currency=USD","Period=FQ","BEST_FPERIOD_OVERRIDE=FQ","FILING_STATUS=MR","Sort=A","Dates=H","DateFormat=P","Fill=—","Direction=H","UseDPDF=Y")</f>
        <v>167.64920000000001</v>
      </c>
      <c r="K30" s="14">
        <f>_xll.BDH("GILD US Equity","TOT_DEBT_TO_TOT_EQY","FQ4 2020","FQ4 2020","Currency=USD","Period=FQ","BEST_FPERIOD_OVERRIDE=FQ","FILING_STATUS=MR","Sort=A","Dates=H","DateFormat=P","Fill=—","Direction=H","UseDPDF=Y")</f>
        <v>176.2637</v>
      </c>
      <c r="L30" s="14">
        <f>_xll.BDH("GILD US Equity","TOT_DEBT_TO_TOT_EQY","FQ1 2021","FQ1 2021","Currency=USD","Period=FQ","BEST_FPERIOD_OVERRIDE=FQ","FILING_STATUS=MR","Sort=A","Dates=H","DateFormat=P","Fill=—","Direction=H","UseDPDF=Y")</f>
        <v>159.06979999999999</v>
      </c>
      <c r="M30" s="14">
        <f>_xll.BDH("GILD US Equity","TOT_DEBT_TO_TOT_EQY","FQ2 2021","FQ2 2021","Currency=USD","Period=FQ","BEST_FPERIOD_OVERRIDE=FQ","FILING_STATUS=MR","Sort=A","Dates=H","DateFormat=P","Fill=—","Direction=H","UseDPDF=Y")</f>
        <v>153.0949</v>
      </c>
      <c r="N30" s="14">
        <f>_xll.BDH("GILD US Equity","TOT_DEBT_TO_TOT_EQY","FQ3 2021","FQ3 2021","Currency=USD","Period=FQ","BEST_FPERIOD_OVERRIDE=FQ","FILING_STATUS=MR","Sort=A","Dates=H","DateFormat=P","Fill=—","Direction=H","UseDPDF=Y")</f>
        <v>128.946</v>
      </c>
      <c r="O30" s="14">
        <f>_xll.BDH("GILD US Equity","TOT_DEBT_TO_TOT_EQY","FQ4 2021","FQ4 2021","Currency=USD","Period=FQ","BEST_FPERIOD_OVERRIDE=FQ","FILING_STATUS=MR","Sort=A","Dates=H","DateFormat=P","Fill=—","Direction=H","UseDPDF=Y")</f>
        <v>129.53380000000001</v>
      </c>
      <c r="P30" s="14">
        <f>_xll.BDH("GILD US Equity","TOT_DEBT_TO_TOT_EQY","FQ1 2022","FQ1 2022","Currency=USD","Period=FQ","BEST_FPERIOD_OVERRIDE=FQ","FILING_STATUS=MR","Sort=A","Dates=H","DateFormat=P","Fill=—","Direction=H","UseDPDF=Y")</f>
        <v>131.5993</v>
      </c>
      <c r="Q30" s="14">
        <f>_xll.BDH("GILD US Equity","TOT_DEBT_TO_TOT_EQY","FQ2 2022","FQ2 2022","Currency=USD","Period=FQ","BEST_FPERIOD_OVERRIDE=FQ","FILING_STATUS=MR","Sort=A","Dates=H","DateFormat=P","Fill=—","Direction=H","UseDPDF=Y")</f>
        <v>129.6859</v>
      </c>
      <c r="R30" s="14">
        <f>_xll.BDH("GILD US Equity","TOT_DEBT_TO_TOT_EQY","FQ3 2022","FQ3 2022","Currency=USD","Period=FQ","BEST_FPERIOD_OVERRIDE=FQ","FILING_STATUS=MR","Sort=A","Dates=H","DateFormat=P","Fill=—","Direction=H","UseDPDF=Y")</f>
        <v>119.78440000000001</v>
      </c>
      <c r="S30" s="14">
        <f>_xll.BDH("GILD US Equity","TOT_DEBT_TO_TOT_EQY","FQ4 2022","FQ4 2022","Currency=USD","Period=FQ","BEST_FPERIOD_OVERRIDE=FQ","FILING_STATUS=MR","Sort=A","Dates=H","DateFormat=P","Fill=—","Direction=H","UseDPDF=Y")</f>
        <v>121.6842</v>
      </c>
      <c r="T30" s="14">
        <f>_xll.BDH("GILD US Equity","TOT_DEBT_TO_TOT_EQY","FQ1 2023","FQ1 2023","Currency=USD","Period=FQ","BEST_FPERIOD_OVERRIDE=FQ","FILING_STATUS=MR","Sort=A","Dates=H","DateFormat=P","Fill=—","Direction=H","UseDPDF=Y")</f>
        <v>120.53579999999999</v>
      </c>
      <c r="U30" s="14">
        <f>_xll.BDH("GILD US Equity","TOT_DEBT_TO_TOT_EQY","FQ2 2023","FQ2 2023","Currency=USD","Period=FQ","BEST_FPERIOD_OVERRIDE=FQ","FILING_STATUS=MR","Sort=A","Dates=H","DateFormat=P","Fill=—","Direction=H","UseDPDF=Y")</f>
        <v>119.6833</v>
      </c>
      <c r="V30" s="14">
        <f>_xll.BDH("GILD US Equity","TOT_DEBT_TO_TOT_EQY","FQ3 2023","FQ3 2023","Currency=USD","Period=FQ","BEST_FPERIOD_OVERRIDE=FQ","FILING_STATUS=MR","Sort=A","Dates=H","DateFormat=P","Fill=—","Direction=H","UseDPDF=Y")</f>
        <v>112.31399999999999</v>
      </c>
      <c r="W30" s="14">
        <f>_xll.BDH("GILD US Equity","TOT_DEBT_TO_TOT_EQY","FQ4 2023","FQ4 2023","Currency=USD","Period=FQ","BEST_FPERIOD_OVERRIDE=FQ","FILING_STATUS=MR","Sort=A","Dates=H","DateFormat=P","Fill=—","Direction=H","UseDPDF=Y")</f>
        <v>112.78740000000001</v>
      </c>
      <c r="X30" s="14">
        <f>_xll.BDH("GILD US Equity","TOT_DEBT_TO_TOT_EQY","FQ1 2024","FQ1 2024","Currency=USD","Period=FQ","BEST_FPERIOD_OVERRIDE=FQ","FILING_STATUS=MR","Sort=A","Dates=H","DateFormat=P","Fill=—","Direction=H","UseDPDF=Y")</f>
        <v>144.33690000000001</v>
      </c>
      <c r="Y30" s="14">
        <f>_xll.BDH("GILD US Equity","TOT_DEBT_TO_TOT_EQY","FQ2 2024","FQ2 2024","Currency=USD","Period=FQ","BEST_FPERIOD_OVERRIDE=FQ","FILING_STATUS=MR","Sort=A","Dates=H","DateFormat=P","Fill=—","Direction=H","UseDPDF=Y")</f>
        <v>128.31790000000001</v>
      </c>
      <c r="Z30" s="14">
        <f>_xll.BDH("GILD US Equity","TOT_DEBT_TO_TOT_EQY","FQ3 2024","FQ3 2024","Currency=USD","Period=FQ","BEST_FPERIOD_OVERRIDE=FQ","FILING_STATUS=MR","Sort=A","Dates=H","DateFormat=P","Fill=—","Direction=H","UseDPDF=Y")</f>
        <v>126.422</v>
      </c>
      <c r="AA30" s="14">
        <f>_xll.BDH("GILD US Equity","TOT_DEBT_TO_TOT_EQY","FQ4 2024","FQ4 2024","Currency=USD","Period=FQ","BEST_FPERIOD_OVERRIDE=FQ","FILING_STATUS=MR","Sort=A","Dates=H","DateFormat=P","Fill=—","Direction=H","UseDPDF=Y")</f>
        <v>141.96199999999999</v>
      </c>
    </row>
    <row r="31" spans="1:27" x14ac:dyDescent="0.25">
      <c r="A31" s="10" t="s">
        <v>1635</v>
      </c>
      <c r="B31" s="10" t="s">
        <v>175</v>
      </c>
      <c r="C31" s="14">
        <f>_xll.BDH("GILD US Equity","TOT_DEBT_TO_TOT_CAP","FQ4 2018","FQ4 2018","Currency=USD","Period=FQ","BEST_FPERIOD_OVERRIDE=FQ","FILING_STATUS=MR","Sort=A","Dates=H","DateFormat=P","Fill=—","Direction=H","UseDPDF=Y")</f>
        <v>55.923499999999997</v>
      </c>
      <c r="D31" s="14">
        <f>_xll.BDH("GILD US Equity","TOT_DEBT_TO_TOT_CAP","FQ1 2019","FQ1 2019","Currency=USD","Period=FQ","BEST_FPERIOD_OVERRIDE=FQ","FILING_STATUS=MR","Sort=A","Dates=H","DateFormat=P","Fill=—","Direction=H","UseDPDF=Y")</f>
        <v>55.0749</v>
      </c>
      <c r="E31" s="14">
        <f>_xll.BDH("GILD US Equity","TOT_DEBT_TO_TOT_CAP","FQ2 2019","FQ2 2019","Currency=USD","Period=FQ","BEST_FPERIOD_OVERRIDE=FQ","FILING_STATUS=MR","Sort=A","Dates=H","DateFormat=P","Fill=—","Direction=H","UseDPDF=Y")</f>
        <v>53.934199999999997</v>
      </c>
      <c r="F31" s="14">
        <f>_xll.BDH("GILD US Equity","TOT_DEBT_TO_TOT_CAP","FQ3 2019","FQ3 2019","Currency=USD","Period=FQ","BEST_FPERIOD_OVERRIDE=FQ","FILING_STATUS=MR","Sort=A","Dates=H","DateFormat=P","Fill=—","Direction=H","UseDPDF=Y")</f>
        <v>54.957000000000001</v>
      </c>
      <c r="G31" s="14">
        <f>_xll.BDH("GILD US Equity","TOT_DEBT_TO_TOT_CAP","FQ4 2019","FQ4 2019","Currency=USD","Period=FQ","BEST_FPERIOD_OVERRIDE=FQ","FILING_STATUS=MR","Sort=A","Dates=H","DateFormat=P","Fill=—","Direction=H","UseDPDF=Y")</f>
        <v>52.780999999999999</v>
      </c>
      <c r="H31" s="14">
        <f>_xll.BDH("GILD US Equity","TOT_DEBT_TO_TOT_CAP","FQ1 2020","FQ1 2020","Currency=USD","Period=FQ","BEST_FPERIOD_OVERRIDE=FQ","FILING_STATUS=MR","Sort=A","Dates=H","DateFormat=P","Fill=—","Direction=H","UseDPDF=Y")</f>
        <v>52.072299999999998</v>
      </c>
      <c r="I31" s="14">
        <f>_xll.BDH("GILD US Equity","TOT_DEBT_TO_TOT_CAP","FQ2 2020","FQ2 2020","Currency=USD","Period=FQ","BEST_FPERIOD_OVERRIDE=FQ","FILING_STATUS=MR","Sort=A","Dates=H","DateFormat=P","Fill=—","Direction=H","UseDPDF=Y")</f>
        <v>57.054299999999998</v>
      </c>
      <c r="J31" s="14">
        <f>_xll.BDH("GILD US Equity","TOT_DEBT_TO_TOT_CAP","FQ3 2020","FQ3 2020","Currency=USD","Period=FQ","BEST_FPERIOD_OVERRIDE=FQ","FILING_STATUS=MR","Sort=A","Dates=H","DateFormat=P","Fill=—","Direction=H","UseDPDF=Y")</f>
        <v>62.637700000000002</v>
      </c>
      <c r="K31" s="14">
        <f>_xll.BDH("GILD US Equity","TOT_DEBT_TO_TOT_CAP","FQ4 2020","FQ4 2020","Currency=USD","Period=FQ","BEST_FPERIOD_OVERRIDE=FQ","FILING_STATUS=MR","Sort=A","Dates=H","DateFormat=P","Fill=—","Direction=H","UseDPDF=Y")</f>
        <v>63.802700000000002</v>
      </c>
      <c r="L31" s="14">
        <f>_xll.BDH("GILD US Equity","TOT_DEBT_TO_TOT_CAP","FQ1 2021","FQ1 2021","Currency=USD","Period=FQ","BEST_FPERIOD_OVERRIDE=FQ","FILING_STATUS=MR","Sort=A","Dates=H","DateFormat=P","Fill=—","Direction=H","UseDPDF=Y")</f>
        <v>61.400399999999998</v>
      </c>
      <c r="M31" s="14">
        <f>_xll.BDH("GILD US Equity","TOT_DEBT_TO_TOT_CAP","FQ2 2021","FQ2 2021","Currency=USD","Period=FQ","BEST_FPERIOD_OVERRIDE=FQ","FILING_STATUS=MR","Sort=A","Dates=H","DateFormat=P","Fill=—","Direction=H","UseDPDF=Y")</f>
        <v>60.489100000000001</v>
      </c>
      <c r="N31" s="14">
        <f>_xll.BDH("GILD US Equity","TOT_DEBT_TO_TOT_CAP","FQ3 2021","FQ3 2021","Currency=USD","Period=FQ","BEST_FPERIOD_OVERRIDE=FQ","FILING_STATUS=MR","Sort=A","Dates=H","DateFormat=P","Fill=—","Direction=H","UseDPDF=Y")</f>
        <v>56.321599999999997</v>
      </c>
      <c r="O31" s="14">
        <f>_xll.BDH("GILD US Equity","TOT_DEBT_TO_TOT_CAP","FQ4 2021","FQ4 2021","Currency=USD","Period=FQ","BEST_FPERIOD_OVERRIDE=FQ","FILING_STATUS=MR","Sort=A","Dates=H","DateFormat=P","Fill=—","Direction=H","UseDPDF=Y")</f>
        <v>56.433399999999999</v>
      </c>
      <c r="P31" s="14">
        <f>_xll.BDH("GILD US Equity","TOT_DEBT_TO_TOT_CAP","FQ1 2022","FQ1 2022","Currency=USD","Period=FQ","BEST_FPERIOD_OVERRIDE=FQ","FILING_STATUS=MR","Sort=A","Dates=H","DateFormat=P","Fill=—","Direction=H","UseDPDF=Y")</f>
        <v>56.822000000000003</v>
      </c>
      <c r="Q31" s="14">
        <f>_xll.BDH("GILD US Equity","TOT_DEBT_TO_TOT_CAP","FQ2 2022","FQ2 2022","Currency=USD","Period=FQ","BEST_FPERIOD_OVERRIDE=FQ","FILING_STATUS=MR","Sort=A","Dates=H","DateFormat=P","Fill=—","Direction=H","UseDPDF=Y")</f>
        <v>56.462299999999999</v>
      </c>
      <c r="R31" s="14">
        <f>_xll.BDH("GILD US Equity","TOT_DEBT_TO_TOT_CAP","FQ3 2022","FQ3 2022","Currency=USD","Period=FQ","BEST_FPERIOD_OVERRIDE=FQ","FILING_STATUS=MR","Sort=A","Dates=H","DateFormat=P","Fill=—","Direction=H","UseDPDF=Y")</f>
        <v>54.500900000000001</v>
      </c>
      <c r="S31" s="14">
        <f>_xll.BDH("GILD US Equity","TOT_DEBT_TO_TOT_CAP","FQ4 2022","FQ4 2022","Currency=USD","Period=FQ","BEST_FPERIOD_OVERRIDE=FQ","FILING_STATUS=MR","Sort=A","Dates=H","DateFormat=P","Fill=—","Direction=H","UseDPDF=Y")</f>
        <v>54.890799999999999</v>
      </c>
      <c r="T31" s="14">
        <f>_xll.BDH("GILD US Equity","TOT_DEBT_TO_TOT_CAP","FQ1 2023","FQ1 2023","Currency=USD","Period=FQ","BEST_FPERIOD_OVERRIDE=FQ","FILING_STATUS=MR","Sort=A","Dates=H","DateFormat=P","Fill=—","Direction=H","UseDPDF=Y")</f>
        <v>54.655900000000003</v>
      </c>
      <c r="U31" s="14">
        <f>_xll.BDH("GILD US Equity","TOT_DEBT_TO_TOT_CAP","FQ2 2023","FQ2 2023","Currency=USD","Period=FQ","BEST_FPERIOD_OVERRIDE=FQ","FILING_STATUS=MR","Sort=A","Dates=H","DateFormat=P","Fill=—","Direction=H","UseDPDF=Y")</f>
        <v>54.479900000000001</v>
      </c>
      <c r="V31" s="14">
        <f>_xll.BDH("GILD US Equity","TOT_DEBT_TO_TOT_CAP","FQ3 2023","FQ3 2023","Currency=USD","Period=FQ","BEST_FPERIOD_OVERRIDE=FQ","FILING_STATUS=MR","Sort=A","Dates=H","DateFormat=P","Fill=—","Direction=H","UseDPDF=Y")</f>
        <v>52.899900000000002</v>
      </c>
      <c r="W31" s="14">
        <f>_xll.BDH("GILD US Equity","TOT_DEBT_TO_TOT_CAP","FQ4 2023","FQ4 2023","Currency=USD","Period=FQ","BEST_FPERIOD_OVERRIDE=FQ","FILING_STATUS=MR","Sort=A","Dates=H","DateFormat=P","Fill=—","Direction=H","UseDPDF=Y")</f>
        <v>53.0047</v>
      </c>
      <c r="X31" s="14">
        <f>_xll.BDH("GILD US Equity","TOT_DEBT_TO_TOT_CAP","FQ1 2024","FQ1 2024","Currency=USD","Period=FQ","BEST_FPERIOD_OVERRIDE=FQ","FILING_STATUS=MR","Sort=A","Dates=H","DateFormat=P","Fill=—","Direction=H","UseDPDF=Y")</f>
        <v>59.072899999999997</v>
      </c>
      <c r="Y31" s="14">
        <f>_xll.BDH("GILD US Equity","TOT_DEBT_TO_TOT_CAP","FQ2 2024","FQ2 2024","Currency=USD","Period=FQ","BEST_FPERIOD_OVERRIDE=FQ","FILING_STATUS=MR","Sort=A","Dates=H","DateFormat=P","Fill=—","Direction=H","UseDPDF=Y")</f>
        <v>56.2014</v>
      </c>
      <c r="Z31" s="14">
        <f>_xll.BDH("GILD US Equity","TOT_DEBT_TO_TOT_CAP","FQ3 2024","FQ3 2024","Currency=USD","Period=FQ","BEST_FPERIOD_OVERRIDE=FQ","FILING_STATUS=MR","Sort=A","Dates=H","DateFormat=P","Fill=—","Direction=H","UseDPDF=Y")</f>
        <v>55.834699999999998</v>
      </c>
      <c r="AA31" s="14">
        <f>_xll.BDH("GILD US Equity","TOT_DEBT_TO_TOT_CAP","FQ4 2024","FQ4 2024","Currency=USD","Period=FQ","BEST_FPERIOD_OVERRIDE=FQ","FILING_STATUS=MR","Sort=A","Dates=H","DateFormat=P","Fill=—","Direction=H","UseDPDF=Y")</f>
        <v>58.671199999999999</v>
      </c>
    </row>
    <row r="32" spans="1:27" x14ac:dyDescent="0.25">
      <c r="A32" s="10" t="s">
        <v>1636</v>
      </c>
      <c r="B32" s="10" t="s">
        <v>1637</v>
      </c>
      <c r="C32" s="14">
        <f>_xll.BDH("GILD US Equity","TOT_DEBT_TO_TOT_ASSET","FQ4 2018","FQ4 2018","Currency=USD","Period=FQ","BEST_FPERIOD_OVERRIDE=FQ","FILING_STATUS=MR","Sort=A","Dates=H","DateFormat=P","Fill=—","Direction=H","UseDPDF=Y")</f>
        <v>42.908499999999997</v>
      </c>
      <c r="D32" s="14">
        <f>_xll.BDH("GILD US Equity","TOT_DEBT_TO_TOT_ASSET","FQ1 2019","FQ1 2019","Currency=USD","Period=FQ","BEST_FPERIOD_OVERRIDE=FQ","FILING_STATUS=MR","Sort=A","Dates=H","DateFormat=P","Fill=—","Direction=H","UseDPDF=Y")</f>
        <v>43.098799999999997</v>
      </c>
      <c r="E32" s="14">
        <f>_xll.BDH("GILD US Equity","TOT_DEBT_TO_TOT_ASSET","FQ2 2019","FQ2 2019","Currency=USD","Period=FQ","BEST_FPERIOD_OVERRIDE=FQ","FILING_STATUS=MR","Sort=A","Dates=H","DateFormat=P","Fill=—","Direction=H","UseDPDF=Y")</f>
        <v>42.140500000000003</v>
      </c>
      <c r="F32" s="14">
        <f>_xll.BDH("GILD US Equity","TOT_DEBT_TO_TOT_ASSET","FQ3 2019","FQ3 2019","Currency=USD","Period=FQ","BEST_FPERIOD_OVERRIDE=FQ","FILING_STATUS=MR","Sort=A","Dates=H","DateFormat=P","Fill=—","Direction=H","UseDPDF=Y")</f>
        <v>42.775500000000001</v>
      </c>
      <c r="G32" s="14">
        <f>_xll.BDH("GILD US Equity","TOT_DEBT_TO_TOT_ASSET","FQ4 2019","FQ4 2019","Currency=USD","Period=FQ","BEST_FPERIOD_OVERRIDE=FQ","FILING_STATUS=MR","Sort=A","Dates=H","DateFormat=P","Fill=—","Direction=H","UseDPDF=Y")</f>
        <v>41.082599999999999</v>
      </c>
      <c r="H32" s="14">
        <f>_xll.BDH("GILD US Equity","TOT_DEBT_TO_TOT_ASSET","FQ1 2020","FQ1 2020","Currency=USD","Period=FQ","BEST_FPERIOD_OVERRIDE=FQ","FILING_STATUS=MR","Sort=A","Dates=H","DateFormat=P","Fill=—","Direction=H","UseDPDF=Y")</f>
        <v>40.335799999999999</v>
      </c>
      <c r="I32" s="14">
        <f>_xll.BDH("GILD US Equity","TOT_DEBT_TO_TOT_ASSET","FQ2 2020","FQ2 2020","Currency=USD","Period=FQ","BEST_FPERIOD_OVERRIDE=FQ","FILING_STATUS=MR","Sort=A","Dates=H","DateFormat=P","Fill=—","Direction=H","UseDPDF=Y")</f>
        <v>43.0901</v>
      </c>
      <c r="J32" s="14">
        <f>_xll.BDH("GILD US Equity","TOT_DEBT_TO_TOT_ASSET","FQ3 2020","FQ3 2020","Currency=USD","Period=FQ","BEST_FPERIOD_OVERRIDE=FQ","FILING_STATUS=MR","Sort=A","Dates=H","DateFormat=P","Fill=—","Direction=H","UseDPDF=Y")</f>
        <v>48.1126</v>
      </c>
      <c r="K32" s="14">
        <f>_xll.BDH("GILD US Equity","TOT_DEBT_TO_TOT_ASSET","FQ4 2020","FQ4 2020","Currency=USD","Period=FQ","BEST_FPERIOD_OVERRIDE=FQ","FILING_STATUS=MR","Sort=A","Dates=H","DateFormat=P","Fill=—","Direction=H","UseDPDF=Y")</f>
        <v>46.9499</v>
      </c>
      <c r="L32" s="14">
        <f>_xll.BDH("GILD US Equity","TOT_DEBT_TO_TOT_ASSET","FQ1 2021","FQ1 2021","Currency=USD","Period=FQ","BEST_FPERIOD_OVERRIDE=FQ","FILING_STATUS=MR","Sort=A","Dates=H","DateFormat=P","Fill=—","Direction=H","UseDPDF=Y")</f>
        <v>44.695700000000002</v>
      </c>
      <c r="M32" s="14">
        <f>_xll.BDH("GILD US Equity","TOT_DEBT_TO_TOT_ASSET","FQ2 2021","FQ2 2021","Currency=USD","Period=FQ","BEST_FPERIOD_OVERRIDE=FQ","FILING_STATUS=MR","Sort=A","Dates=H","DateFormat=P","Fill=—","Direction=H","UseDPDF=Y")</f>
        <v>44.385399999999997</v>
      </c>
      <c r="N32" s="14">
        <f>_xll.BDH("GILD US Equity","TOT_DEBT_TO_TOT_ASSET","FQ3 2021","FQ3 2021","Currency=USD","Period=FQ","BEST_FPERIOD_OVERRIDE=FQ","FILING_STATUS=MR","Sort=A","Dates=H","DateFormat=P","Fill=—","Direction=H","UseDPDF=Y")</f>
        <v>41.262</v>
      </c>
      <c r="O32" s="14">
        <f>_xll.BDH("GILD US Equity","TOT_DEBT_TO_TOT_ASSET","FQ4 2021","FQ4 2021","Currency=USD","Period=FQ","BEST_FPERIOD_OVERRIDE=FQ","FILING_STATUS=MR","Sort=A","Dates=H","DateFormat=P","Fill=—","Direction=H","UseDPDF=Y")</f>
        <v>40.153300000000002</v>
      </c>
      <c r="P32" s="14">
        <f>_xll.BDH("GILD US Equity","TOT_DEBT_TO_TOT_ASSET","FQ1 2022","FQ1 2022","Currency=USD","Period=FQ","BEST_FPERIOD_OVERRIDE=FQ","FILING_STATUS=MR","Sort=A","Dates=H","DateFormat=P","Fill=—","Direction=H","UseDPDF=Y")</f>
        <v>41.547199999999997</v>
      </c>
      <c r="Q32" s="14">
        <f>_xll.BDH("GILD US Equity","TOT_DEBT_TO_TOT_ASSET","FQ2 2022","FQ2 2022","Currency=USD","Period=FQ","BEST_FPERIOD_OVERRIDE=FQ","FILING_STATUS=MR","Sort=A","Dates=H","DateFormat=P","Fill=—","Direction=H","UseDPDF=Y")</f>
        <v>41.698700000000002</v>
      </c>
      <c r="R32" s="14">
        <f>_xll.BDH("GILD US Equity","TOT_DEBT_TO_TOT_ASSET","FQ3 2022","FQ3 2022","Currency=USD","Period=FQ","BEST_FPERIOD_OVERRIDE=FQ","FILING_STATUS=MR","Sort=A","Dates=H","DateFormat=P","Fill=—","Direction=H","UseDPDF=Y")</f>
        <v>40.32</v>
      </c>
      <c r="S32" s="14">
        <f>_xll.BDH("GILD US Equity","TOT_DEBT_TO_TOT_ASSET","FQ4 2022","FQ4 2022","Currency=USD","Period=FQ","BEST_FPERIOD_OVERRIDE=FQ","FILING_STATUS=MR","Sort=A","Dates=H","DateFormat=P","Fill=—","Direction=H","UseDPDF=Y")</f>
        <v>40.854199999999999</v>
      </c>
      <c r="T32" s="14">
        <f>_xll.BDH("GILD US Equity","TOT_DEBT_TO_TOT_ASSET","FQ1 2023","FQ1 2023","Currency=USD","Period=FQ","BEST_FPERIOD_OVERRIDE=FQ","FILING_STATUS=MR","Sort=A","Dates=H","DateFormat=P","Fill=—","Direction=H","UseDPDF=Y")</f>
        <v>40.7896</v>
      </c>
      <c r="U32" s="14">
        <f>_xll.BDH("GILD US Equity","TOT_DEBT_TO_TOT_ASSET","FQ2 2023","FQ2 2023","Currency=USD","Period=FQ","BEST_FPERIOD_OVERRIDE=FQ","FILING_STATUS=MR","Sort=A","Dates=H","DateFormat=P","Fill=—","Direction=H","UseDPDF=Y")</f>
        <v>40.499200000000002</v>
      </c>
      <c r="V32" s="14">
        <f>_xll.BDH("GILD US Equity","TOT_DEBT_TO_TOT_ASSET","FQ3 2023","FQ3 2023","Currency=USD","Period=FQ","BEST_FPERIOD_OVERRIDE=FQ","FILING_STATUS=MR","Sort=A","Dates=H","DateFormat=P","Fill=—","Direction=H","UseDPDF=Y")</f>
        <v>40.052599999999998</v>
      </c>
      <c r="W32" s="14">
        <f>_xll.BDH("GILD US Equity","TOT_DEBT_TO_TOT_ASSET","FQ4 2023","FQ4 2023","Currency=USD","Period=FQ","BEST_FPERIOD_OVERRIDE=FQ","FILING_STATUS=MR","Sort=A","Dates=H","DateFormat=P","Fill=—","Direction=H","UseDPDF=Y")</f>
        <v>41.300600000000003</v>
      </c>
      <c r="X32" s="14">
        <f>_xll.BDH("GILD US Equity","TOT_DEBT_TO_TOT_ASSET","FQ1 2024","FQ1 2024","Currency=USD","Period=FQ","BEST_FPERIOD_OVERRIDE=FQ","FILING_STATUS=MR","Sort=A","Dates=H","DateFormat=P","Fill=—","Direction=H","UseDPDF=Y")</f>
        <v>44.755899999999997</v>
      </c>
      <c r="Y32" s="14">
        <f>_xll.BDH("GILD US Equity","TOT_DEBT_TO_TOT_ASSET","FQ2 2024","FQ2 2024","Currency=USD","Period=FQ","BEST_FPERIOD_OVERRIDE=FQ","FILING_STATUS=MR","Sort=A","Dates=H","DateFormat=P","Fill=—","Direction=H","UseDPDF=Y")</f>
        <v>43.580500000000001</v>
      </c>
      <c r="Z32" s="14">
        <f>_xll.BDH("GILD US Equity","TOT_DEBT_TO_TOT_ASSET","FQ3 2024","FQ3 2024","Currency=USD","Period=FQ","BEST_FPERIOD_OVERRIDE=FQ","FILING_STATUS=MR","Sort=A","Dates=H","DateFormat=P","Fill=—","Direction=H","UseDPDF=Y")</f>
        <v>42.639200000000002</v>
      </c>
      <c r="AA32" s="14">
        <f>_xll.BDH("GILD US Equity","TOT_DEBT_TO_TOT_ASSET","FQ4 2024","FQ4 2024","Currency=USD","Period=FQ","BEST_FPERIOD_OVERRIDE=FQ","FILING_STATUS=MR","Sort=A","Dates=H","DateFormat=P","Fill=—","Direction=H","UseDPDF=Y")</f>
        <v>46.312399999999997</v>
      </c>
    </row>
    <row r="33" spans="1:27" x14ac:dyDescent="0.2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5">
      <c r="A34" s="10" t="s">
        <v>1638</v>
      </c>
      <c r="B34" s="10" t="s">
        <v>891</v>
      </c>
      <c r="C34" s="14">
        <f>_xll.BDH("GILD US Equity","NET_DEBT_TO_SHRHLDR_EQTY","FQ4 2018","FQ4 2018","Currency=USD","Period=FQ","BEST_FPERIOD_OVERRIDE=FQ","FILING_STATUS=MR","Sort=A","Dates=H","DateFormat=P","Fill=—","Direction=H","UseDPDF=Y")</f>
        <v>-19.457599999999999</v>
      </c>
      <c r="D34" s="14">
        <f>_xll.BDH("GILD US Equity","NET_DEBT_TO_SHRHLDR_EQTY","FQ1 2019","FQ1 2019","Currency=USD","Period=FQ","BEST_FPERIOD_OVERRIDE=FQ","FILING_STATUS=MR","Sort=A","Dates=H","DateFormat=P","Fill=—","Direction=H","UseDPDF=Y")</f>
        <v>-13.774800000000001</v>
      </c>
      <c r="E34" s="14">
        <f>_xll.BDH("GILD US Equity","NET_DEBT_TO_SHRHLDR_EQTY","FQ2 2019","FQ2 2019","Currency=USD","Period=FQ","BEST_FPERIOD_OVERRIDE=FQ","FILING_STATUS=MR","Sort=A","Dates=H","DateFormat=P","Fill=—","Direction=H","UseDPDF=Y")</f>
        <v>-15.8103</v>
      </c>
      <c r="F34" s="14">
        <f>_xll.BDH("GILD US Equity","NET_DEBT_TO_SHRHLDR_EQTY","FQ3 2019","FQ3 2019","Currency=USD","Period=FQ","BEST_FPERIOD_OVERRIDE=FQ","FILING_STATUS=MR","Sort=A","Dates=H","DateFormat=P","Fill=—","Direction=H","UseDPDF=Y")</f>
        <v>1.2008000000000001</v>
      </c>
      <c r="G34" s="14">
        <f>_xll.BDH("GILD US Equity","NET_DEBT_TO_SHRHLDR_EQTY","FQ4 2019","FQ4 2019","Currency=USD","Period=FQ","BEST_FPERIOD_OVERRIDE=FQ","FILING_STATUS=MR","Sort=A","Dates=H","DateFormat=P","Fill=—","Direction=H","UseDPDF=Y")</f>
        <v>-2.3046000000000002</v>
      </c>
      <c r="H34" s="14">
        <f>_xll.BDH("GILD US Equity","NET_DEBT_TO_SHRHLDR_EQTY","FQ1 2020","FQ1 2020","Currency=USD","Period=FQ","BEST_FPERIOD_OVERRIDE=FQ","FILING_STATUS=MR","Sort=A","Dates=H","DateFormat=P","Fill=—","Direction=H","UseDPDF=Y")</f>
        <v>-0.97840000000000005</v>
      </c>
      <c r="I34" s="14">
        <f>_xll.BDH("GILD US Equity","NET_DEBT_TO_SHRHLDR_EQTY","FQ2 2020","FQ2 2020","Currency=USD","Period=FQ","BEST_FPERIOD_OVERRIDE=FQ","FILING_STATUS=MR","Sort=A","Dates=H","DateFormat=P","Fill=—","Direction=H","UseDPDF=Y")</f>
        <v>16.051200000000001</v>
      </c>
      <c r="J34" s="14">
        <f>_xll.BDH("GILD US Equity","NET_DEBT_TO_SHRHLDR_EQTY","FQ3 2020","FQ3 2020","Currency=USD","Period=FQ","BEST_FPERIOD_OVERRIDE=FQ","FILING_STATUS=MR","Sort=A","Dates=H","DateFormat=P","Fill=—","Direction=H","UseDPDF=Y")</f>
        <v>18.550699999999999</v>
      </c>
      <c r="K34" s="14">
        <f>_xll.BDH("GILD US Equity","NET_DEBT_TO_SHRHLDR_EQTY","FQ4 2020","FQ4 2020","Currency=USD","Period=FQ","BEST_FPERIOD_OVERRIDE=FQ","FILING_STATUS=MR","Sort=A","Dates=H","DateFormat=P","Fill=—","Direction=H","UseDPDF=Y")</f>
        <v>132.85220000000001</v>
      </c>
      <c r="L34" s="14">
        <f>_xll.BDH("GILD US Equity","NET_DEBT_TO_SHRHLDR_EQTY","FQ1 2021","FQ1 2021","Currency=USD","Period=FQ","BEST_FPERIOD_OVERRIDE=FQ","FILING_STATUS=MR","Sort=A","Dates=H","DateFormat=P","Fill=—","Direction=H","UseDPDF=Y")</f>
        <v>126.139</v>
      </c>
      <c r="M34" s="14">
        <f>_xll.BDH("GILD US Equity","NET_DEBT_TO_SHRHLDR_EQTY","FQ2 2021","FQ2 2021","Currency=USD","Period=FQ","BEST_FPERIOD_OVERRIDE=FQ","FILING_STATUS=MR","Sort=A","Dates=H","DateFormat=P","Fill=—","Direction=H","UseDPDF=Y")</f>
        <v>115.7484</v>
      </c>
      <c r="N34" s="14">
        <f>_xll.BDH("GILD US Equity","NET_DEBT_TO_SHRHLDR_EQTY","FQ3 2021","FQ3 2021","Currency=USD","Period=FQ","BEST_FPERIOD_OVERRIDE=FQ","FILING_STATUS=MR","Sort=A","Dates=H","DateFormat=P","Fill=—","Direction=H","UseDPDF=Y")</f>
        <v>97.103099999999998</v>
      </c>
      <c r="O34" s="14">
        <f>_xll.BDH("GILD US Equity","NET_DEBT_TO_SHRHLDR_EQTY","FQ4 2021","FQ4 2021","Currency=USD","Period=FQ","BEST_FPERIOD_OVERRIDE=FQ","FILING_STATUS=MR","Sort=A","Dates=H","DateFormat=P","Fill=—","Direction=H","UseDPDF=Y")</f>
        <v>92.366100000000003</v>
      </c>
      <c r="P34" s="14">
        <f>_xll.BDH("GILD US Equity","NET_DEBT_TO_SHRHLDR_EQTY","FQ1 2022","FQ1 2022","Currency=USD","Period=FQ","BEST_FPERIOD_OVERRIDE=FQ","FILING_STATUS=MR","Sort=A","Dates=H","DateFormat=P","Fill=—","Direction=H","UseDPDF=Y")</f>
        <v>97.6952</v>
      </c>
      <c r="Q34" s="14">
        <f>_xll.BDH("GILD US Equity","NET_DEBT_TO_SHRHLDR_EQTY","FQ2 2022","FQ2 2022","Currency=USD","Period=FQ","BEST_FPERIOD_OVERRIDE=FQ","FILING_STATUS=MR","Sort=A","Dates=H","DateFormat=P","Fill=—","Direction=H","UseDPDF=Y")</f>
        <v>95.058099999999996</v>
      </c>
      <c r="R34" s="14">
        <f>_xll.BDH("GILD US Equity","NET_DEBT_TO_SHRHLDR_EQTY","FQ3 2022","FQ3 2022","Currency=USD","Period=FQ","BEST_FPERIOD_OVERRIDE=FQ","FILING_STATUS=MR","Sort=A","Dates=H","DateFormat=P","Fill=—","Direction=H","UseDPDF=Y")</f>
        <v>86.816699999999997</v>
      </c>
      <c r="S34" s="14">
        <f>_xll.BDH("GILD US Equity","NET_DEBT_TO_SHRHLDR_EQTY","FQ4 2022","FQ4 2022","Currency=USD","Period=FQ","BEST_FPERIOD_OVERRIDE=FQ","FILING_STATUS=MR","Sort=A","Dates=H","DateFormat=P","Fill=—","Direction=H","UseDPDF=Y")</f>
        <v>85.7089</v>
      </c>
      <c r="T34" s="14">
        <f>_xll.BDH("GILD US Equity","NET_DEBT_TO_SHRHLDR_EQTY","FQ1 2023","FQ1 2023","Currency=USD","Period=FQ","BEST_FPERIOD_OVERRIDE=FQ","FILING_STATUS=MR","Sort=A","Dates=H","DateFormat=P","Fill=—","Direction=H","UseDPDF=Y")</f>
        <v>86.155000000000001</v>
      </c>
      <c r="U34" s="14">
        <f>_xll.BDH("GILD US Equity","NET_DEBT_TO_SHRHLDR_EQTY","FQ2 2023","FQ2 2023","Currency=USD","Period=FQ","BEST_FPERIOD_OVERRIDE=FQ","FILING_STATUS=MR","Sort=A","Dates=H","DateFormat=P","Fill=—","Direction=H","UseDPDF=Y")</f>
        <v>81.753100000000003</v>
      </c>
      <c r="V34" s="14">
        <f>_xll.BDH("GILD US Equity","NET_DEBT_TO_SHRHLDR_EQTY","FQ3 2023","FQ3 2023","Currency=USD","Period=FQ","BEST_FPERIOD_OVERRIDE=FQ","FILING_STATUS=MR","Sort=A","Dates=H","DateFormat=P","Fill=—","Direction=H","UseDPDF=Y")</f>
        <v>76.2577</v>
      </c>
      <c r="W34" s="14">
        <f>_xll.BDH("GILD US Equity","NET_DEBT_TO_SHRHLDR_EQTY","FQ4 2023","FQ4 2023","Currency=USD","Period=FQ","BEST_FPERIOD_OVERRIDE=FQ","FILING_STATUS=MR","Sort=A","Dates=H","DateFormat=P","Fill=—","Direction=H","UseDPDF=Y")</f>
        <v>75.744</v>
      </c>
      <c r="X34" s="14">
        <f>_xll.BDH("GILD US Equity","NET_DEBT_TO_SHRHLDR_EQTY","FQ1 2024","FQ1 2024","Currency=USD","Period=FQ","BEST_FPERIOD_OVERRIDE=FQ","FILING_STATUS=MR","Sort=A","Dates=H","DateFormat=P","Fill=—","Direction=H","UseDPDF=Y")</f>
        <v>117.3074</v>
      </c>
      <c r="Y34" s="14">
        <f>_xll.BDH("GILD US Equity","NET_DEBT_TO_SHRHLDR_EQTY","FQ2 2024","FQ2 2024","Currency=USD","Period=FQ","BEST_FPERIOD_OVERRIDE=FQ","FILING_STATUS=MR","Sort=A","Dates=H","DateFormat=P","Fill=—","Direction=H","UseDPDF=Y")</f>
        <v>113.08459999999999</v>
      </c>
      <c r="Z34" s="14">
        <f>_xll.BDH("GILD US Equity","NET_DEBT_TO_SHRHLDR_EQTY","FQ3 2024","FQ3 2024","Currency=USD","Period=FQ","BEST_FPERIOD_OVERRIDE=FQ","FILING_STATUS=MR","Sort=A","Dates=H","DateFormat=P","Fill=—","Direction=H","UseDPDF=Y")</f>
        <v>99.0321</v>
      </c>
      <c r="AA34" s="14">
        <f>_xll.BDH("GILD US Equity","NET_DEBT_TO_SHRHLDR_EQTY","FQ4 2024","FQ4 2024","Currency=USD","Period=FQ","BEST_FPERIOD_OVERRIDE=FQ","FILING_STATUS=MR","Sort=A","Dates=H","DateFormat=P","Fill=—","Direction=H","UseDPDF=Y")</f>
        <v>90.049899999999994</v>
      </c>
    </row>
    <row r="35" spans="1:27" x14ac:dyDescent="0.25">
      <c r="A35" s="10" t="s">
        <v>1639</v>
      </c>
      <c r="B35" s="10" t="s">
        <v>1640</v>
      </c>
      <c r="C35" s="14">
        <f>_xll.BDH("GILD US Equity","NET_DEBT_PCT_OF_TOT_CAPITAL","FQ4 2018","FQ4 2018","Currency=USD","Period=FQ","BEST_FPERIOD_OVERRIDE=FQ","FILING_STATUS=MR","Sort=A","Dates=H","DateFormat=P","Fill=—","Direction=H","UseDPDF=Y")</f>
        <v>-24.158200000000001</v>
      </c>
      <c r="D35" s="14">
        <f>_xll.BDH("GILD US Equity","NET_DEBT_PCT_OF_TOT_CAPITAL","FQ1 2019","FQ1 2019","Currency=USD","Period=FQ","BEST_FPERIOD_OVERRIDE=FQ","FILING_STATUS=MR","Sort=A","Dates=H","DateFormat=P","Fill=—","Direction=H","UseDPDF=Y")</f>
        <v>-15.9754</v>
      </c>
      <c r="E35" s="14">
        <f>_xll.BDH("GILD US Equity","NET_DEBT_PCT_OF_TOT_CAPITAL","FQ2 2019","FQ2 2019","Currency=USD","Period=FQ","BEST_FPERIOD_OVERRIDE=FQ","FILING_STATUS=MR","Sort=A","Dates=H","DateFormat=P","Fill=—","Direction=H","UseDPDF=Y")</f>
        <v>-18.779399999999999</v>
      </c>
      <c r="F35" s="14">
        <f>_xll.BDH("GILD US Equity","NET_DEBT_PCT_OF_TOT_CAPITAL","FQ3 2019","FQ3 2019","Currency=USD","Period=FQ","BEST_FPERIOD_OVERRIDE=FQ","FILING_STATUS=MR","Sort=A","Dates=H","DateFormat=P","Fill=—","Direction=H","UseDPDF=Y")</f>
        <v>1.1866000000000001</v>
      </c>
      <c r="G35" s="14">
        <f>_xll.BDH("GILD US Equity","NET_DEBT_PCT_OF_TOT_CAPITAL","FQ4 2019","FQ4 2019","Currency=USD","Period=FQ","BEST_FPERIOD_OVERRIDE=FQ","FILING_STATUS=MR","Sort=A","Dates=H","DateFormat=P","Fill=—","Direction=H","UseDPDF=Y")</f>
        <v>-2.359</v>
      </c>
      <c r="H35" s="14">
        <f>_xll.BDH("GILD US Equity","NET_DEBT_PCT_OF_TOT_CAPITAL","FQ1 2020","FQ1 2020","Currency=USD","Period=FQ","BEST_FPERIOD_OVERRIDE=FQ","FILING_STATUS=MR","Sort=A","Dates=H","DateFormat=P","Fill=—","Direction=H","UseDPDF=Y")</f>
        <v>-0.98809999999999998</v>
      </c>
      <c r="I35" s="14">
        <f>_xll.BDH("GILD US Equity","NET_DEBT_PCT_OF_TOT_CAPITAL","FQ2 2020","FQ2 2020","Currency=USD","Period=FQ","BEST_FPERIOD_OVERRIDE=FQ","FILING_STATUS=MR","Sort=A","Dates=H","DateFormat=P","Fill=—","Direction=H","UseDPDF=Y")</f>
        <v>13.831099999999999</v>
      </c>
      <c r="J35" s="14">
        <f>_xll.BDH("GILD US Equity","NET_DEBT_PCT_OF_TOT_CAPITAL","FQ3 2020","FQ3 2020","Currency=USD","Period=FQ","BEST_FPERIOD_OVERRIDE=FQ","FILING_STATUS=MR","Sort=A","Dates=H","DateFormat=P","Fill=—","Direction=H","UseDPDF=Y")</f>
        <v>15.6479</v>
      </c>
      <c r="K35" s="14">
        <f>_xll.BDH("GILD US Equity","NET_DEBT_PCT_OF_TOT_CAPITAL","FQ4 2020","FQ4 2020","Currency=USD","Period=FQ","BEST_FPERIOD_OVERRIDE=FQ","FILING_STATUS=MR","Sort=A","Dates=H","DateFormat=P","Fill=—","Direction=H","UseDPDF=Y")</f>
        <v>57.054299999999998</v>
      </c>
      <c r="L35" s="14">
        <f>_xll.BDH("GILD US Equity","NET_DEBT_PCT_OF_TOT_CAPITAL","FQ1 2021","FQ1 2021","Currency=USD","Period=FQ","BEST_FPERIOD_OVERRIDE=FQ","FILING_STATUS=MR","Sort=A","Dates=H","DateFormat=P","Fill=—","Direction=H","UseDPDF=Y")</f>
        <v>55.779400000000003</v>
      </c>
      <c r="M35" s="14">
        <f>_xll.BDH("GILD US Equity","NET_DEBT_PCT_OF_TOT_CAPITAL","FQ2 2021","FQ2 2021","Currency=USD","Period=FQ","BEST_FPERIOD_OVERRIDE=FQ","FILING_STATUS=MR","Sort=A","Dates=H","DateFormat=P","Fill=—","Direction=H","UseDPDF=Y")</f>
        <v>53.649700000000003</v>
      </c>
      <c r="N35" s="14">
        <f>_xll.BDH("GILD US Equity","NET_DEBT_PCT_OF_TOT_CAPITAL","FQ3 2021","FQ3 2021","Currency=USD","Period=FQ","BEST_FPERIOD_OVERRIDE=FQ","FILING_STATUS=MR","Sort=A","Dates=H","DateFormat=P","Fill=—","Direction=H","UseDPDF=Y")</f>
        <v>49.265099999999997</v>
      </c>
      <c r="O35" s="14">
        <f>_xll.BDH("GILD US Equity","NET_DEBT_PCT_OF_TOT_CAPITAL","FQ4 2021","FQ4 2021","Currency=USD","Period=FQ","BEST_FPERIOD_OVERRIDE=FQ","FILING_STATUS=MR","Sort=A","Dates=H","DateFormat=P","Fill=—","Direction=H","UseDPDF=Y")</f>
        <v>48.015799999999999</v>
      </c>
      <c r="P35" s="14">
        <f>_xll.BDH("GILD US Equity","NET_DEBT_PCT_OF_TOT_CAPITAL","FQ1 2022","FQ1 2022","Currency=USD","Period=FQ","BEST_FPERIOD_OVERRIDE=FQ","FILING_STATUS=MR","Sort=A","Dates=H","DateFormat=P","Fill=—","Direction=H","UseDPDF=Y")</f>
        <v>49.417099999999998</v>
      </c>
      <c r="Q35" s="14">
        <f>_xll.BDH("GILD US Equity","NET_DEBT_PCT_OF_TOT_CAPITAL","FQ2 2022","FQ2 2022","Currency=USD","Period=FQ","BEST_FPERIOD_OVERRIDE=FQ","FILING_STATUS=MR","Sort=A","Dates=H","DateFormat=P","Fill=—","Direction=H","UseDPDF=Y")</f>
        <v>48.733199999999997</v>
      </c>
      <c r="R35" s="14">
        <f>_xll.BDH("GILD US Equity","NET_DEBT_PCT_OF_TOT_CAPITAL","FQ3 2022","FQ3 2022","Currency=USD","Period=FQ","BEST_FPERIOD_OVERRIDE=FQ","FILING_STATUS=MR","Sort=A","Dates=H","DateFormat=P","Fill=—","Direction=H","UseDPDF=Y")</f>
        <v>46.471600000000002</v>
      </c>
      <c r="S35" s="14">
        <f>_xll.BDH("GILD US Equity","NET_DEBT_PCT_OF_TOT_CAPITAL","FQ4 2022","FQ4 2022","Currency=USD","Period=FQ","BEST_FPERIOD_OVERRIDE=FQ","FILING_STATUS=MR","Sort=A","Dates=H","DateFormat=P","Fill=—","Direction=H","UseDPDF=Y")</f>
        <v>46.152299999999997</v>
      </c>
      <c r="T35" s="14">
        <f>_xll.BDH("GILD US Equity","NET_DEBT_PCT_OF_TOT_CAPITAL","FQ1 2023","FQ1 2023","Currency=USD","Period=FQ","BEST_FPERIOD_OVERRIDE=FQ","FILING_STATUS=MR","Sort=A","Dates=H","DateFormat=P","Fill=—","Direction=H","UseDPDF=Y")</f>
        <v>46.281300000000002</v>
      </c>
      <c r="U35" s="14">
        <f>_xll.BDH("GILD US Equity","NET_DEBT_PCT_OF_TOT_CAPITAL","FQ2 2023","FQ2 2023","Currency=USD","Period=FQ","BEST_FPERIOD_OVERRIDE=FQ","FILING_STATUS=MR","Sort=A","Dates=H","DateFormat=P","Fill=—","Direction=H","UseDPDF=Y")</f>
        <v>44.9803</v>
      </c>
      <c r="V35" s="14">
        <f>_xll.BDH("GILD US Equity","NET_DEBT_PCT_OF_TOT_CAPITAL","FQ3 2023","FQ3 2023","Currency=USD","Period=FQ","BEST_FPERIOD_OVERRIDE=FQ","FILING_STATUS=MR","Sort=A","Dates=H","DateFormat=P","Fill=—","Direction=H","UseDPDF=Y")</f>
        <v>43.264899999999997</v>
      </c>
      <c r="W35" s="14">
        <f>_xll.BDH("GILD US Equity","NET_DEBT_PCT_OF_TOT_CAPITAL","FQ4 2023","FQ4 2023","Currency=USD","Period=FQ","BEST_FPERIOD_OVERRIDE=FQ","FILING_STATUS=MR","Sort=A","Dates=H","DateFormat=P","Fill=—","Direction=H","UseDPDF=Y")</f>
        <v>43.098999999999997</v>
      </c>
      <c r="X35" s="14">
        <f>_xll.BDH("GILD US Equity","NET_DEBT_PCT_OF_TOT_CAPITAL","FQ1 2024","FQ1 2024","Currency=USD","Period=FQ","BEST_FPERIOD_OVERRIDE=FQ","FILING_STATUS=MR","Sort=A","Dates=H","DateFormat=P","Fill=—","Direction=H","UseDPDF=Y")</f>
        <v>53.982199999999999</v>
      </c>
      <c r="Y35" s="14">
        <f>_xll.BDH("GILD US Equity","NET_DEBT_PCT_OF_TOT_CAPITAL","FQ2 2024","FQ2 2024","Currency=USD","Period=FQ","BEST_FPERIOD_OVERRIDE=FQ","FILING_STATUS=MR","Sort=A","Dates=H","DateFormat=P","Fill=—","Direction=H","UseDPDF=Y")</f>
        <v>53.070300000000003</v>
      </c>
      <c r="Z35" s="14">
        <f>_xll.BDH("GILD US Equity","NET_DEBT_PCT_OF_TOT_CAPITAL","FQ3 2024","FQ3 2024","Currency=USD","Period=FQ","BEST_FPERIOD_OVERRIDE=FQ","FILING_STATUS=MR","Sort=A","Dates=H","DateFormat=P","Fill=—","Direction=H","UseDPDF=Y")</f>
        <v>49.756799999999998</v>
      </c>
      <c r="AA35" s="14">
        <f>_xll.BDH("GILD US Equity","NET_DEBT_PCT_OF_TOT_CAPITAL","FQ4 2024","FQ4 2024","Currency=USD","Period=FQ","BEST_FPERIOD_OVERRIDE=FQ","FILING_STATUS=MR","Sort=A","Dates=H","DateFormat=P","Fill=—","Direction=H","UseDPDF=Y")</f>
        <v>47.382199999999997</v>
      </c>
    </row>
    <row r="36" spans="1:27" x14ac:dyDescent="0.25">
      <c r="A36" s="10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5">
      <c r="A37" s="10" t="s">
        <v>78</v>
      </c>
      <c r="B37" s="10" t="s">
        <v>78</v>
      </c>
      <c r="C37" s="13">
        <f>_xll.BDH("GILD US Equity","EBITDA","FQ4 2018","FQ4 2018","Currency=USD","Period=FQ","BEST_FPERIOD_OVERRIDE=FQ","FILING_STATUS=MR","SCALING_FORMAT=MLN","FA_ADJUSTED=GAAP","Sort=A","Dates=H","DateFormat=P","Fill=—","Direction=H","UseDPDF=Y")</f>
        <v>1502</v>
      </c>
      <c r="D37" s="13">
        <f>_xll.BDH("GILD US Equity","EBITDA","FQ1 2019","FQ1 2019","Currency=USD","Period=FQ","BEST_FPERIOD_OVERRIDE=FQ","FILING_STATUS=MR","SCALING_FORMAT=MLN","FA_ADJUSTED=GAAP","Sort=A","Dates=H","DateFormat=P","Fill=—","Direction=H","UseDPDF=Y")</f>
        <v>2632</v>
      </c>
      <c r="E37" s="13">
        <f>_xll.BDH("GILD US Equity","EBITDA","FQ2 2019","FQ2 2019","Currency=USD","Period=FQ","BEST_FPERIOD_OVERRIDE=FQ","FILING_STATUS=MR","SCALING_FORMAT=MLN","FA_ADJUSTED=GAAP","Sort=A","Dates=H","DateFormat=P","Fill=—","Direction=H","UseDPDF=Y")</f>
        <v>2816</v>
      </c>
      <c r="F37" s="13">
        <f>_xll.BDH("GILD US Equity","EBITDA","FQ3 2019","FQ3 2019","Currency=USD","Period=FQ","BEST_FPERIOD_OVERRIDE=FQ","FILING_STATUS=MR","SCALING_FORMAT=MLN","FA_ADJUSTED=GAAP","Sort=A","Dates=H","DateFormat=P","Fill=—","Direction=H","UseDPDF=Y")</f>
        <v>-1082</v>
      </c>
      <c r="G37" s="13">
        <f>_xll.BDH("GILD US Equity","EBITDA","FQ4 2019","FQ4 2019","Currency=USD","Period=FQ","BEST_FPERIOD_OVERRIDE=FQ","FILING_STATUS=MR","SCALING_FORMAT=MLN","FA_ADJUSTED=GAAP","Sort=A","Dates=H","DateFormat=P","Fill=—","Direction=H","UseDPDF=Y")</f>
        <v>1487</v>
      </c>
      <c r="H37" s="13">
        <f>_xll.BDH("GILD US Equity","EBITDA","FQ1 2020","FQ1 2020","Currency=USD","Period=FQ","BEST_FPERIOD_OVERRIDE=FQ","FILING_STATUS=MR","SCALING_FORMAT=MLN","FA_ADJUSTED=GAAP","Sort=A","Dates=H","DateFormat=P","Fill=—","Direction=H","UseDPDF=Y")</f>
        <v>2751</v>
      </c>
      <c r="I37" s="13">
        <f>_xll.BDH("GILD US Equity","EBITDA","FQ2 2020","FQ2 2020","Currency=USD","Period=FQ","BEST_FPERIOD_OVERRIDE=FQ","FILING_STATUS=MR","SCALING_FORMAT=MLN","FA_ADJUSTED=GAAP","Sort=A","Dates=H","DateFormat=P","Fill=—","Direction=H","UseDPDF=Y")</f>
        <v>-2634</v>
      </c>
      <c r="J37" s="13">
        <f>_xll.BDH("GILD US Equity","EBITDA","FQ3 2020","FQ3 2020","Currency=USD","Period=FQ","BEST_FPERIOD_OVERRIDE=FQ","FILING_STATUS=MR","SCALING_FORMAT=MLN","FA_ADJUSTED=GAAP","Sort=A","Dates=H","DateFormat=P","Fill=—","Direction=H","UseDPDF=Y")</f>
        <v>2356</v>
      </c>
      <c r="K37" s="13">
        <f>_xll.BDH("GILD US Equity","EBITDA","FQ4 2020","FQ4 2020","Currency=USD","Period=FQ","BEST_FPERIOD_OVERRIDE=FQ","FILING_STATUS=MR","SCALING_FORMAT=MLN","FA_ADJUSTED=GAAP","Sort=A","Dates=H","DateFormat=P","Fill=—","Direction=H","UseDPDF=Y")</f>
        <v>3078</v>
      </c>
      <c r="L37" s="13">
        <f>_xll.BDH("GILD US Equity","EBITDA","FQ1 2021","FQ1 2021","Currency=USD","Period=FQ","BEST_FPERIOD_OVERRIDE=FQ","FILING_STATUS=MR","SCALING_FORMAT=MLN","FA_ADJUSTED=GAAP","Sort=A","Dates=H","DateFormat=P","Fill=—","Direction=H","UseDPDF=Y")</f>
        <v>3363</v>
      </c>
      <c r="M37" s="13">
        <f>_xll.BDH("GILD US Equity","EBITDA","FQ2 2021","FQ2 2021","Currency=USD","Period=FQ","BEST_FPERIOD_OVERRIDE=FQ","FILING_STATUS=MR","SCALING_FORMAT=MLN","FA_ADJUSTED=GAAP","Sort=A","Dates=H","DateFormat=P","Fill=—","Direction=H","UseDPDF=Y")</f>
        <v>2765</v>
      </c>
      <c r="N37" s="13">
        <f>_xll.BDH("GILD US Equity","EBITDA","FQ3 2021","FQ3 2021","Currency=USD","Period=FQ","BEST_FPERIOD_OVERRIDE=FQ","FILING_STATUS=MR","SCALING_FORMAT=MLN","FA_ADJUSTED=GAAP","Sort=A","Dates=H","DateFormat=P","Fill=—","Direction=H","UseDPDF=Y")</f>
        <v>4365</v>
      </c>
      <c r="O37" s="13">
        <f>_xll.BDH("GILD US Equity","EBITDA","FQ4 2021","FQ4 2021","Currency=USD","Period=FQ","BEST_FPERIOD_OVERRIDE=FQ","FILING_STATUS=MR","SCALING_FORMAT=MLN","FA_ADJUSTED=GAAP","Sort=A","Dates=H","DateFormat=P","Fill=—","Direction=H","UseDPDF=Y")</f>
        <v>1475</v>
      </c>
      <c r="P37" s="13">
        <f>_xll.BDH("GILD US Equity","EBITDA","FQ1 2022","FQ1 2022","Currency=USD","Period=FQ","BEST_FPERIOD_OVERRIDE=FQ","FILING_STATUS=MR","SCALING_FORMAT=MLN","FA_ADJUSTED=GAAP","Sort=A","Dates=H","DateFormat=P","Fill=—","Direction=H","UseDPDF=Y")</f>
        <v>722</v>
      </c>
      <c r="Q37" s="13">
        <f>_xll.BDH("GILD US Equity","EBITDA","FQ2 2022","FQ2 2022","Currency=USD","Period=FQ","BEST_FPERIOD_OVERRIDE=FQ","FILING_STATUS=MR","SCALING_FORMAT=MLN","FA_ADJUSTED=GAAP","Sort=A","Dates=H","DateFormat=P","Fill=—","Direction=H","UseDPDF=Y")</f>
        <v>2554</v>
      </c>
      <c r="R37" s="13">
        <f>_xll.BDH("GILD US Equity","EBITDA","FQ3 2022","FQ3 2022","Currency=USD","Period=FQ","BEST_FPERIOD_OVERRIDE=FQ","FILING_STATUS=MR","SCALING_FORMAT=MLN","FA_ADJUSTED=GAAP","Sort=A","Dates=H","DateFormat=P","Fill=—","Direction=H","UseDPDF=Y")</f>
        <v>3362</v>
      </c>
      <c r="S37" s="13">
        <f>_xll.BDH("GILD US Equity","EBITDA","FQ4 2022","FQ4 2022","Currency=USD","Period=FQ","BEST_FPERIOD_OVERRIDE=FQ","FILING_STATUS=MR","SCALING_FORMAT=MLN","FA_ADJUSTED=GAAP","Sort=A","Dates=H","DateFormat=P","Fill=—","Direction=H","UseDPDF=Y")</f>
        <v>2795</v>
      </c>
      <c r="T37" s="13">
        <f>_xll.BDH("GILD US Equity","EBITDA","FQ1 2023","FQ1 2023","Currency=USD","Period=FQ","BEST_FPERIOD_OVERRIDE=FQ","FILING_STATUS=MR","SCALING_FORMAT=MLN","FA_ADJUSTED=GAAP","Sort=A","Dates=H","DateFormat=P","Fill=—","Direction=H","UseDPDF=Y")</f>
        <v>2345</v>
      </c>
      <c r="U37" s="13">
        <f>_xll.BDH("GILD US Equity","EBITDA","FQ2 2023","FQ2 2023","Currency=USD","Period=FQ","BEST_FPERIOD_OVERRIDE=FQ","FILING_STATUS=MR","SCALING_FORMAT=MLN","FA_ADJUSTED=GAAP","Sort=A","Dates=H","DateFormat=P","Fill=—","Direction=H","UseDPDF=Y")</f>
        <v>2346</v>
      </c>
      <c r="V37" s="13">
        <f>_xll.BDH("GILD US Equity","EBITDA","FQ3 2023","FQ3 2023","Currency=USD","Period=FQ","BEST_FPERIOD_OVERRIDE=FQ","FILING_STATUS=MR","SCALING_FORMAT=MLN","FA_ADJUSTED=GAAP","Sort=A","Dates=H","DateFormat=P","Fill=—","Direction=H","UseDPDF=Y")</f>
        <v>3307</v>
      </c>
      <c r="W37" s="13">
        <f>_xll.BDH("GILD US Equity","EBITDA","FQ4 2023","FQ4 2023","Currency=USD","Period=FQ","BEST_FPERIOD_OVERRIDE=FQ","FILING_STATUS=MR","SCALING_FORMAT=MLN","FA_ADJUSTED=GAAP","Sort=A","Dates=H","DateFormat=P","Fill=—","Direction=H","UseDPDF=Y")</f>
        <v>2300</v>
      </c>
      <c r="X37" s="13">
        <f>_xll.BDH("GILD US Equity","EBITDA","FQ1 2024","FQ1 2024","Currency=USD","Period=FQ","BEST_FPERIOD_OVERRIDE=FQ","FILING_STATUS=MR","SCALING_FORMAT=MLN","FA_ADJUSTED=GAAP","Sort=A","Dates=H","DateFormat=P","Fill=—","Direction=H","UseDPDF=Y")</f>
        <v>-3632</v>
      </c>
      <c r="Y37" s="13">
        <f>_xll.BDH("GILD US Equity","EBITDA","FQ2 2024","FQ2 2024","Currency=USD","Period=FQ","BEST_FPERIOD_OVERRIDE=FQ","FILING_STATUS=MR","SCALING_FORMAT=MLN","FA_ADJUSTED=GAAP","Sort=A","Dates=H","DateFormat=P","Fill=—","Direction=H","UseDPDF=Y")</f>
        <v>3338</v>
      </c>
      <c r="Z37" s="13">
        <f>_xll.BDH("GILD US Equity","EBITDA","FQ3 2024","FQ3 2024","Currency=USD","Period=FQ","BEST_FPERIOD_OVERRIDE=FQ","FILING_STATUS=MR","SCALING_FORMAT=MLN","FA_ADJUSTED=GAAP","Sort=A","Dates=H","DateFormat=P","Fill=—","Direction=H","UseDPDF=Y")</f>
        <v>1578</v>
      </c>
      <c r="AA37" s="13">
        <f>_xll.BDH("GILD US Equity","EBITDA","FQ4 2024","FQ4 2024","Currency=USD","Period=FQ","BEST_FPERIOD_OVERRIDE=FQ","FILING_STATUS=MR","SCALING_FORMAT=MLN","FA_ADJUSTED=GAAP","Sort=A","Dates=H","DateFormat=P","Fill=—","Direction=H","UseDPDF=Y")</f>
        <v>3144</v>
      </c>
    </row>
    <row r="38" spans="1:27" x14ac:dyDescent="0.25">
      <c r="A38" s="10" t="s">
        <v>1641</v>
      </c>
      <c r="B38" s="10" t="s">
        <v>1642</v>
      </c>
      <c r="C38" s="13">
        <f>_xll.BDH("GILD US Equity","EBITDA_AFTER_CAPEX","FQ4 2018","FQ4 2018","Currency=USD","Period=FQ","BEST_FPERIOD_OVERRIDE=FQ","FILING_STATUS=MR","SCALING_FORMAT=MLN","FA_ADJUSTED=GAAP","Sort=A","Dates=H","DateFormat=P","Fill=—","Direction=H","UseDPDF=Y")</f>
        <v>1254</v>
      </c>
      <c r="D38" s="13">
        <f>_xll.BDH("GILD US Equity","EBITDA_AFTER_CAPEX","FQ1 2019","FQ1 2019","Currency=USD","Period=FQ","BEST_FPERIOD_OVERRIDE=FQ","FILING_STATUS=MR","SCALING_FORMAT=MLN","FA_ADJUSTED=GAAP","Sort=A","Dates=H","DateFormat=P","Fill=—","Direction=H","UseDPDF=Y")</f>
        <v>2395</v>
      </c>
      <c r="E38" s="13">
        <f>_xll.BDH("GILD US Equity","EBITDA_AFTER_CAPEX","FQ2 2019","FQ2 2019","Currency=USD","Period=FQ","BEST_FPERIOD_OVERRIDE=FQ","FILING_STATUS=MR","SCALING_FORMAT=MLN","FA_ADJUSTED=GAAP","Sort=A","Dates=H","DateFormat=P","Fill=—","Direction=H","UseDPDF=Y")</f>
        <v>2631</v>
      </c>
      <c r="F38" s="13">
        <f>_xll.BDH("GILD US Equity","EBITDA_AFTER_CAPEX","FQ3 2019","FQ3 2019","Currency=USD","Period=FQ","BEST_FPERIOD_OVERRIDE=FQ","FILING_STATUS=MR","SCALING_FORMAT=MLN","FA_ADJUSTED=GAAP","Sort=A","Dates=H","DateFormat=P","Fill=—","Direction=H","UseDPDF=Y")</f>
        <v>-1282</v>
      </c>
      <c r="G38" s="13">
        <f>_xll.BDH("GILD US Equity","EBITDA_AFTER_CAPEX","FQ4 2019","FQ4 2019","Currency=USD","Period=FQ","BEST_FPERIOD_OVERRIDE=FQ","FILING_STATUS=MR","SCALING_FORMAT=MLN","FA_ADJUSTED=GAAP","Sort=A","Dates=H","DateFormat=P","Fill=—","Direction=H","UseDPDF=Y")</f>
        <v>1284</v>
      </c>
      <c r="H38" s="13">
        <f>_xll.BDH("GILD US Equity","EBITDA_AFTER_CAPEX","FQ1 2020","FQ1 2020","Currency=USD","Period=FQ","BEST_FPERIOD_OVERRIDE=FQ","FILING_STATUS=MR","SCALING_FORMAT=MLN","FA_ADJUSTED=GAAP","Sort=A","Dates=H","DateFormat=P","Fill=—","Direction=H","UseDPDF=Y")</f>
        <v>2580</v>
      </c>
      <c r="I38" s="13">
        <f>_xll.BDH("GILD US Equity","EBITDA_AFTER_CAPEX","FQ2 2020","FQ2 2020","Currency=USD","Period=FQ","BEST_FPERIOD_OVERRIDE=FQ","FILING_STATUS=MR","SCALING_FORMAT=MLN","FA_ADJUSTED=GAAP","Sort=A","Dates=H","DateFormat=P","Fill=—","Direction=H","UseDPDF=Y")</f>
        <v>-2777</v>
      </c>
      <c r="J38" s="13">
        <f>_xll.BDH("GILD US Equity","EBITDA_AFTER_CAPEX","FQ3 2020","FQ3 2020","Currency=USD","Period=FQ","BEST_FPERIOD_OVERRIDE=FQ","FILING_STATUS=MR","SCALING_FORMAT=MLN","FA_ADJUSTED=GAAP","Sort=A","Dates=H","DateFormat=P","Fill=—","Direction=H","UseDPDF=Y")</f>
        <v>2201</v>
      </c>
      <c r="K38" s="13">
        <f>_xll.BDH("GILD US Equity","EBITDA_AFTER_CAPEX","FQ4 2020","FQ4 2020","Currency=USD","Period=FQ","BEST_FPERIOD_OVERRIDE=FQ","FILING_STATUS=MR","SCALING_FORMAT=MLN","FA_ADJUSTED=GAAP","Sort=A","Dates=H","DateFormat=P","Fill=—","Direction=H","UseDPDF=Y")</f>
        <v>2897</v>
      </c>
      <c r="L38" s="13">
        <f>_xll.BDH("GILD US Equity","EBITDA_AFTER_CAPEX","FQ1 2021","FQ1 2021","Currency=USD","Period=FQ","BEST_FPERIOD_OVERRIDE=FQ","FILING_STATUS=MR","SCALING_FORMAT=MLN","FA_ADJUSTED=GAAP","Sort=A","Dates=H","DateFormat=P","Fill=—","Direction=H","UseDPDF=Y")</f>
        <v>3198</v>
      </c>
      <c r="M38" s="13">
        <f>_xll.BDH("GILD US Equity","EBITDA_AFTER_CAPEX","FQ2 2021","FQ2 2021","Currency=USD","Period=FQ","BEST_FPERIOD_OVERRIDE=FQ","FILING_STATUS=MR","SCALING_FORMAT=MLN","FA_ADJUSTED=GAAP","Sort=A","Dates=H","DateFormat=P","Fill=—","Direction=H","UseDPDF=Y")</f>
        <v>2646</v>
      </c>
      <c r="N38" s="13">
        <f>_xll.BDH("GILD US Equity","EBITDA_AFTER_CAPEX","FQ3 2021","FQ3 2021","Currency=USD","Period=FQ","BEST_FPERIOD_OVERRIDE=FQ","FILING_STATUS=MR","SCALING_FORMAT=MLN","FA_ADJUSTED=GAAP","Sort=A","Dates=H","DateFormat=P","Fill=—","Direction=H","UseDPDF=Y")</f>
        <v>4226</v>
      </c>
      <c r="O38" s="13">
        <f>_xll.BDH("GILD US Equity","EBITDA_AFTER_CAPEX","FQ4 2021","FQ4 2021","Currency=USD","Period=FQ","BEST_FPERIOD_OVERRIDE=FQ","FILING_STATUS=MR","SCALING_FORMAT=MLN","FA_ADJUSTED=GAAP","Sort=A","Dates=H","DateFormat=P","Fill=—","Direction=H","UseDPDF=Y")</f>
        <v>1319</v>
      </c>
      <c r="P38" s="13">
        <f>_xll.BDH("GILD US Equity","EBITDA_AFTER_CAPEX","FQ1 2022","FQ1 2022","Currency=USD","Period=FQ","BEST_FPERIOD_OVERRIDE=FQ","FILING_STATUS=MR","SCALING_FORMAT=MLN","FA_ADJUSTED=GAAP","Sort=A","Dates=H","DateFormat=P","Fill=—","Direction=H","UseDPDF=Y")</f>
        <v>475</v>
      </c>
      <c r="Q38" s="13">
        <f>_xll.BDH("GILD US Equity","EBITDA_AFTER_CAPEX","FQ2 2022","FQ2 2022","Currency=USD","Period=FQ","BEST_FPERIOD_OVERRIDE=FQ","FILING_STATUS=MR","SCALING_FORMAT=MLN","FA_ADJUSTED=GAAP","Sort=A","Dates=H","DateFormat=P","Fill=—","Direction=H","UseDPDF=Y")</f>
        <v>2411</v>
      </c>
      <c r="R38" s="13">
        <f>_xll.BDH("GILD US Equity","EBITDA_AFTER_CAPEX","FQ3 2022","FQ3 2022","Currency=USD","Period=FQ","BEST_FPERIOD_OVERRIDE=FQ","FILING_STATUS=MR","SCALING_FORMAT=MLN","FA_ADJUSTED=GAAP","Sort=A","Dates=H","DateFormat=P","Fill=—","Direction=H","UseDPDF=Y")</f>
        <v>3205</v>
      </c>
      <c r="S38" s="13">
        <f>_xll.BDH("GILD US Equity","EBITDA_AFTER_CAPEX","FQ4 2022","FQ4 2022","Currency=USD","Period=FQ","BEST_FPERIOD_OVERRIDE=FQ","FILING_STATUS=MR","SCALING_FORMAT=MLN","FA_ADJUSTED=GAAP","Sort=A","Dates=H","DateFormat=P","Fill=—","Direction=H","UseDPDF=Y")</f>
        <v>2614</v>
      </c>
      <c r="T38" s="13">
        <f>_xll.BDH("GILD US Equity","EBITDA_AFTER_CAPEX","FQ1 2023","FQ1 2023","Currency=USD","Period=FQ","BEST_FPERIOD_OVERRIDE=FQ","FILING_STATUS=MR","SCALING_FORMAT=MLN","FA_ADJUSTED=GAAP","Sort=A","Dates=H","DateFormat=P","Fill=—","Direction=H","UseDPDF=Y")</f>
        <v>2236</v>
      </c>
      <c r="U38" s="13">
        <f>_xll.BDH("GILD US Equity","EBITDA_AFTER_CAPEX","FQ2 2023","FQ2 2023","Currency=USD","Period=FQ","BEST_FPERIOD_OVERRIDE=FQ","FILING_STATUS=MR","SCALING_FORMAT=MLN","FA_ADJUSTED=GAAP","Sort=A","Dates=H","DateFormat=P","Fill=—","Direction=H","UseDPDF=Y")</f>
        <v>2207</v>
      </c>
      <c r="V38" s="13">
        <f>_xll.BDH("GILD US Equity","EBITDA_AFTER_CAPEX","FQ3 2023","FQ3 2023","Currency=USD","Period=FQ","BEST_FPERIOD_OVERRIDE=FQ","FILING_STATUS=MR","SCALING_FORMAT=MLN","FA_ADJUSTED=GAAP","Sort=A","Dates=H","DateFormat=P","Fill=—","Direction=H","UseDPDF=Y")</f>
        <v>3185</v>
      </c>
      <c r="W38" s="13">
        <f>_xll.BDH("GILD US Equity","EBITDA_AFTER_CAPEX","FQ4 2023","FQ4 2023","Currency=USD","Period=FQ","BEST_FPERIOD_OVERRIDE=FQ","FILING_STATUS=MR","SCALING_FORMAT=MLN","FA_ADJUSTED=GAAP","Sort=A","Dates=H","DateFormat=P","Fill=—","Direction=H","UseDPDF=Y")</f>
        <v>2085</v>
      </c>
      <c r="X38" s="13">
        <f>_xll.BDH("GILD US Equity","EBITDA_AFTER_CAPEX","FQ1 2024","FQ1 2024","Currency=USD","Period=FQ","BEST_FPERIOD_OVERRIDE=FQ","FILING_STATUS=MR","SCALING_FORMAT=MLN","FA_ADJUSTED=GAAP","Sort=A","Dates=H","DateFormat=P","Fill=—","Direction=H","UseDPDF=Y")</f>
        <v>-3737</v>
      </c>
      <c r="Y38" s="13">
        <f>_xll.BDH("GILD US Equity","EBITDA_AFTER_CAPEX","FQ2 2024","FQ2 2024","Currency=USD","Period=FQ","BEST_FPERIOD_OVERRIDE=FQ","FILING_STATUS=MR","SCALING_FORMAT=MLN","FA_ADJUSTED=GAAP","Sort=A","Dates=H","DateFormat=P","Fill=—","Direction=H","UseDPDF=Y")</f>
        <v>3208</v>
      </c>
      <c r="Z38" s="13">
        <f>_xll.BDH("GILD US Equity","EBITDA_AFTER_CAPEX","FQ3 2024","FQ3 2024","Currency=USD","Period=FQ","BEST_FPERIOD_OVERRIDE=FQ","FILING_STATUS=MR","SCALING_FORMAT=MLN","FA_ADJUSTED=GAAP","Sort=A","Dates=H","DateFormat=P","Fill=—","Direction=H","UseDPDF=Y")</f>
        <v>1437</v>
      </c>
      <c r="AA38" s="13">
        <f>_xll.BDH("GILD US Equity","EBITDA_AFTER_CAPEX","FQ4 2024","FQ4 2024","Currency=USD","Period=FQ","BEST_FPERIOD_OVERRIDE=FQ","FILING_STATUS=MR","SCALING_FORMAT=MLN","FA_ADJUSTED=GAAP","Sort=A","Dates=H","DateFormat=P","Fill=—","Direction=H","UseDPDF=Y")</f>
        <v>2997</v>
      </c>
    </row>
    <row r="39" spans="1:27" x14ac:dyDescent="0.25">
      <c r="A39" s="10" t="s">
        <v>141</v>
      </c>
      <c r="B39" s="10" t="s">
        <v>99</v>
      </c>
      <c r="C39" s="13">
        <f>_xll.BDH("GILD US Equity","IS_OPER_INC","FQ4 2018","FQ4 2018","Currency=USD","Period=FQ","BEST_FPERIOD_OVERRIDE=FQ","FILING_STATUS=MR","SCALING_FORMAT=MLN","FA_ADJUSTED=GAAP","Sort=A","Dates=H","DateFormat=P","Fill=—","Direction=H","UseDPDF=Y")</f>
        <v>1144</v>
      </c>
      <c r="D39" s="13">
        <f>_xll.BDH("GILD US Equity","IS_OPER_INC","FQ1 2019","FQ1 2019","Currency=USD","Period=FQ","BEST_FPERIOD_OVERRIDE=FQ","FILING_STATUS=MR","SCALING_FORMAT=MLN","FA_ADJUSTED=GAAP","Sort=A","Dates=H","DateFormat=P","Fill=—","Direction=H","UseDPDF=Y")</f>
        <v>2237</v>
      </c>
      <c r="E39" s="13">
        <f>_xll.BDH("GILD US Equity","IS_OPER_INC","FQ2 2019","FQ2 2019","Currency=USD","Period=FQ","BEST_FPERIOD_OVERRIDE=FQ","FILING_STATUS=MR","SCALING_FORMAT=MLN","FA_ADJUSTED=GAAP","Sort=A","Dates=H","DateFormat=P","Fill=—","Direction=H","UseDPDF=Y")</f>
        <v>2430</v>
      </c>
      <c r="F39" s="13">
        <f>_xll.BDH("GILD US Equity","IS_OPER_INC","FQ3 2019","FQ3 2019","Currency=USD","Period=FQ","BEST_FPERIOD_OVERRIDE=FQ","FILING_STATUS=MR","SCALING_FORMAT=MLN","FA_ADJUSTED=GAAP","Sort=A","Dates=H","DateFormat=P","Fill=—","Direction=H","UseDPDF=Y")</f>
        <v>-1473</v>
      </c>
      <c r="G39" s="13">
        <f>_xll.BDH("GILD US Equity","IS_OPER_INC","FQ4 2019","FQ4 2019","Currency=USD","Period=FQ","BEST_FPERIOD_OVERRIDE=FQ","FILING_STATUS=MR","SCALING_FORMAT=MLN","FA_ADJUSTED=GAAP","Sort=A","Dates=H","DateFormat=P","Fill=—","Direction=H","UseDPDF=Y")</f>
        <v>1093</v>
      </c>
      <c r="H39" s="13">
        <f>_xll.BDH("GILD US Equity","IS_OPER_INC","FQ1 2020","FQ1 2020","Currency=USD","Period=FQ","BEST_FPERIOD_OVERRIDE=FQ","FILING_STATUS=MR","SCALING_FORMAT=MLN","FA_ADJUSTED=GAAP","Sort=A","Dates=H","DateFormat=P","Fill=—","Direction=H","UseDPDF=Y")</f>
        <v>2402</v>
      </c>
      <c r="I39" s="13">
        <f>_xll.BDH("GILD US Equity","IS_OPER_INC","FQ2 2020","FQ2 2020","Currency=USD","Period=FQ","BEST_FPERIOD_OVERRIDE=FQ","FILING_STATUS=MR","SCALING_FORMAT=MLN","FA_ADJUSTED=GAAP","Sort=A","Dates=H","DateFormat=P","Fill=—","Direction=H","UseDPDF=Y")</f>
        <v>-2983</v>
      </c>
      <c r="J39" s="13">
        <f>_xll.BDH("GILD US Equity","IS_OPER_INC","FQ3 2020","FQ3 2020","Currency=USD","Period=FQ","BEST_FPERIOD_OVERRIDE=FQ","FILING_STATUS=MR","SCALING_FORMAT=MLN","FA_ADJUSTED=GAAP","Sort=A","Dates=H","DateFormat=P","Fill=—","Direction=H","UseDPDF=Y")</f>
        <v>2001</v>
      </c>
      <c r="K39" s="13">
        <f>_xll.BDH("GILD US Equity","IS_OPER_INC","FQ4 2020","FQ4 2020","Currency=USD","Period=FQ","BEST_FPERIOD_OVERRIDE=FQ","FILING_STATUS=MR","SCALING_FORMAT=MLN","FA_ADJUSTED=GAAP","Sort=A","Dates=H","DateFormat=P","Fill=—","Direction=H","UseDPDF=Y")</f>
        <v>2651</v>
      </c>
      <c r="L39" s="13">
        <f>_xll.BDH("GILD US Equity","IS_OPER_INC","FQ1 2021","FQ1 2021","Currency=USD","Period=FQ","BEST_FPERIOD_OVERRIDE=FQ","FILING_STATUS=MR","SCALING_FORMAT=MLN","FA_ADJUSTED=GAAP","Sort=A","Dates=H","DateFormat=P","Fill=—","Direction=H","UseDPDF=Y")</f>
        <v>2890</v>
      </c>
      <c r="M39" s="13">
        <f>_xll.BDH("GILD US Equity","IS_OPER_INC","FQ2 2021","FQ2 2021","Currency=USD","Period=FQ","BEST_FPERIOD_OVERRIDE=FQ","FILING_STATUS=MR","SCALING_FORMAT=MLN","FA_ADJUSTED=GAAP","Sort=A","Dates=H","DateFormat=P","Fill=—","Direction=H","UseDPDF=Y")</f>
        <v>2246</v>
      </c>
      <c r="N39" s="13">
        <f>_xll.BDH("GILD US Equity","IS_OPER_INC","FQ3 2021","FQ3 2021","Currency=USD","Period=FQ","BEST_FPERIOD_OVERRIDE=FQ","FILING_STATUS=MR","SCALING_FORMAT=MLN","FA_ADJUSTED=GAAP","Sort=A","Dates=H","DateFormat=P","Fill=—","Direction=H","UseDPDF=Y")</f>
        <v>3842</v>
      </c>
      <c r="O39" s="13">
        <f>_xll.BDH("GILD US Equity","IS_OPER_INC","FQ4 2021","FQ4 2021","Currency=USD","Period=FQ","BEST_FPERIOD_OVERRIDE=FQ","FILING_STATUS=MR","SCALING_FORMAT=MLN","FA_ADJUSTED=GAAP","Sort=A","Dates=H","DateFormat=P","Fill=—","Direction=H","UseDPDF=Y")</f>
        <v>940</v>
      </c>
      <c r="P39" s="13">
        <f>_xll.BDH("GILD US Equity","IS_OPER_INC","FQ1 2022","FQ1 2022","Currency=USD","Period=FQ","BEST_FPERIOD_OVERRIDE=FQ","FILING_STATUS=MR","SCALING_FORMAT=MLN","FA_ADJUSTED=GAAP","Sort=A","Dates=H","DateFormat=P","Fill=—","Direction=H","UseDPDF=Y")</f>
        <v>197</v>
      </c>
      <c r="Q39" s="13">
        <f>_xll.BDH("GILD US Equity","IS_OPER_INC","FQ2 2022","FQ2 2022","Currency=USD","Period=FQ","BEST_FPERIOD_OVERRIDE=FQ","FILING_STATUS=MR","SCALING_FORMAT=MLN","FA_ADJUSTED=GAAP","Sort=A","Dates=H","DateFormat=P","Fill=—","Direction=H","UseDPDF=Y")</f>
        <v>2029</v>
      </c>
      <c r="R39" s="13">
        <f>_xll.BDH("GILD US Equity","IS_OPER_INC","FQ3 2022","FQ3 2022","Currency=USD","Period=FQ","BEST_FPERIOD_OVERRIDE=FQ","FILING_STATUS=MR","SCALING_FORMAT=MLN","FA_ADJUSTED=GAAP","Sort=A","Dates=H","DateFormat=P","Fill=—","Direction=H","UseDPDF=Y")</f>
        <v>2837</v>
      </c>
      <c r="S39" s="13">
        <f>_xll.BDH("GILD US Equity","IS_OPER_INC","FQ4 2022","FQ4 2022","Currency=USD","Period=FQ","BEST_FPERIOD_OVERRIDE=FQ","FILING_STATUS=MR","SCALING_FORMAT=MLN","FA_ADJUSTED=GAAP","Sort=A","Dates=H","DateFormat=P","Fill=—","Direction=H","UseDPDF=Y")</f>
        <v>2267</v>
      </c>
      <c r="T39" s="13">
        <f>_xll.BDH("GILD US Equity","IS_OPER_INC","FQ1 2023","FQ1 2023","Currency=USD","Period=FQ","BEST_FPERIOD_OVERRIDE=FQ","FILING_STATUS=MR","SCALING_FORMAT=MLN","FA_ADJUSTED=GAAP","Sort=A","Dates=H","DateFormat=P","Fill=—","Direction=H","UseDPDF=Y")</f>
        <v>1705</v>
      </c>
      <c r="U39" s="13">
        <f>_xll.BDH("GILD US Equity","IS_OPER_INC","FQ2 2023","FQ2 2023","Currency=USD","Period=FQ","BEST_FPERIOD_OVERRIDE=FQ","FILING_STATUS=MR","SCALING_FORMAT=MLN","FA_ADJUSTED=GAAP","Sort=A","Dates=H","DateFormat=P","Fill=—","Direction=H","UseDPDF=Y")</f>
        <v>1665</v>
      </c>
      <c r="V39" s="13">
        <f>_xll.BDH("GILD US Equity","IS_OPER_INC","FQ3 2023","FQ3 2023","Currency=USD","Period=FQ","BEST_FPERIOD_OVERRIDE=FQ","FILING_STATUS=MR","SCALING_FORMAT=MLN","FA_ADJUSTED=GAAP","Sort=A","Dates=H","DateFormat=P","Fill=—","Direction=H","UseDPDF=Y")</f>
        <v>2623</v>
      </c>
      <c r="W39" s="13">
        <f>_xll.BDH("GILD US Equity","IS_OPER_INC","FQ4 2023","FQ4 2023","Currency=USD","Period=FQ","BEST_FPERIOD_OVERRIDE=FQ","FILING_STATUS=MR","SCALING_FORMAT=MLN","FA_ADJUSTED=GAAP","Sort=A","Dates=H","DateFormat=P","Fill=—","Direction=H","UseDPDF=Y")</f>
        <v>1612</v>
      </c>
      <c r="X39" s="13">
        <f>_xll.BDH("GILD US Equity","IS_OPER_INC","FQ1 2024","FQ1 2024","Currency=USD","Period=FQ","BEST_FPERIOD_OVERRIDE=FQ","FILING_STATUS=MR","SCALING_FORMAT=MLN","FA_ADJUSTED=GAAP","Sort=A","Dates=H","DateFormat=P","Fill=—","Direction=H","UseDPDF=Y")</f>
        <v>-4322</v>
      </c>
      <c r="Y39" s="13">
        <f>_xll.BDH("GILD US Equity","IS_OPER_INC","FQ2 2024","FQ2 2024","Currency=USD","Period=FQ","BEST_FPERIOD_OVERRIDE=FQ","FILING_STATUS=MR","SCALING_FORMAT=MLN","FA_ADJUSTED=GAAP","Sort=A","Dates=H","DateFormat=P","Fill=—","Direction=H","UseDPDF=Y")</f>
        <v>2644</v>
      </c>
      <c r="Z39" s="13">
        <f>_xll.BDH("GILD US Equity","IS_OPER_INC","FQ3 2024","FQ3 2024","Currency=USD","Period=FQ","BEST_FPERIOD_OVERRIDE=FQ","FILING_STATUS=MR","SCALING_FORMAT=MLN","FA_ADJUSTED=GAAP","Sort=A","Dates=H","DateFormat=P","Fill=—","Direction=H","UseDPDF=Y")</f>
        <v>888</v>
      </c>
      <c r="AA39" s="13">
        <f>_xll.BDH("GILD US Equity","IS_OPER_INC","FQ4 2024","FQ4 2024","Currency=USD","Period=FQ","BEST_FPERIOD_OVERRIDE=FQ","FILING_STATUS=MR","SCALING_FORMAT=MLN","FA_ADJUSTED=GAAP","Sort=A","Dates=H","DateFormat=P","Fill=—","Direction=H","UseDPDF=Y")</f>
        <v>2451</v>
      </c>
    </row>
    <row r="40" spans="1:27" x14ac:dyDescent="0.25">
      <c r="A40" s="7" t="s">
        <v>90</v>
      </c>
      <c r="B40" s="7"/>
      <c r="C40" s="7" t="s">
        <v>5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40"/>
  <sheetViews>
    <sheetView workbookViewId="0">
      <selection activeCell="M21" sqref="M21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1643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195</v>
      </c>
      <c r="B6" s="10" t="s">
        <v>196</v>
      </c>
      <c r="C6" s="12" t="s">
        <v>1608</v>
      </c>
      <c r="D6" s="12" t="s">
        <v>197</v>
      </c>
      <c r="E6" s="12" t="s">
        <v>197</v>
      </c>
      <c r="F6" s="12" t="s">
        <v>197</v>
      </c>
      <c r="G6" s="12" t="s">
        <v>197</v>
      </c>
      <c r="H6" s="12" t="s">
        <v>197</v>
      </c>
      <c r="I6" s="12" t="s">
        <v>197</v>
      </c>
      <c r="J6" s="12" t="s">
        <v>197</v>
      </c>
      <c r="K6" s="12" t="s">
        <v>197</v>
      </c>
      <c r="L6" s="12" t="s">
        <v>197</v>
      </c>
      <c r="M6" s="12" t="s">
        <v>197</v>
      </c>
      <c r="N6" s="12" t="s">
        <v>197</v>
      </c>
      <c r="O6" s="12" t="s">
        <v>197</v>
      </c>
      <c r="P6" s="12" t="s">
        <v>197</v>
      </c>
      <c r="Q6" s="12" t="s">
        <v>197</v>
      </c>
      <c r="R6" s="12" t="s">
        <v>197</v>
      </c>
      <c r="S6" s="12" t="s">
        <v>197</v>
      </c>
      <c r="T6" s="12" t="s">
        <v>197</v>
      </c>
      <c r="U6" s="12" t="s">
        <v>197</v>
      </c>
      <c r="V6" s="12" t="s">
        <v>197</v>
      </c>
      <c r="W6" s="12" t="s">
        <v>197</v>
      </c>
      <c r="X6" s="12" t="s">
        <v>197</v>
      </c>
      <c r="Y6" s="12" t="s">
        <v>197</v>
      </c>
      <c r="Z6" s="12" t="s">
        <v>197</v>
      </c>
      <c r="AA6" s="12" t="s">
        <v>197</v>
      </c>
    </row>
    <row r="7" spans="1:27" x14ac:dyDescent="0.25">
      <c r="A7" s="10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1538</v>
      </c>
      <c r="B8" s="10" t="s">
        <v>296</v>
      </c>
      <c r="C8" s="13">
        <f>_xll.BDH("GILD US Equity","TOT_DEBT_EX_OPERATING_LEA_LIABS","FQ4 2018","FQ4 2018","Currency=USD","Period=FQ","BEST_FPERIOD_OVERRIDE=FQ","FILING_STATUS=MR","SCALING_FORMAT=MLN","Sort=A","Dates=H","DateFormat=P","Fill=—","Direction=H","UseDPDF=Y")</f>
        <v>27322</v>
      </c>
      <c r="D8" s="13">
        <f>_xll.BDH("GILD US Equity","TOT_DEBT_EX_OPERATING_LEA_LIABS","FQ1 2019","FQ1 2019","Currency=USD","Period=FQ","BEST_FPERIOD_OVERRIDE=FQ","FILING_STATUS=MR","SCALING_FORMAT=MLN","Sort=A","Dates=H","DateFormat=P","Fill=—","Direction=H","UseDPDF=Y")</f>
        <v>26578</v>
      </c>
      <c r="E8" s="13">
        <f>_xll.BDH("GILD US Equity","TOT_DEBT_EX_OPERATING_LEA_LIABS","FQ2 2019","FQ2 2019","Currency=USD","Period=FQ","BEST_FPERIOD_OVERRIDE=FQ","FILING_STATUS=MR","SCALING_FORMAT=MLN","Sort=A","Dates=H","DateFormat=P","Fill=—","Direction=H","UseDPDF=Y")</f>
        <v>26083</v>
      </c>
      <c r="F8" s="13">
        <f>_xll.BDH("GILD US Equity","TOT_DEBT_EX_OPERATING_LEA_LIABS","FQ3 2019","FQ3 2019","Currency=USD","Period=FQ","BEST_FPERIOD_OVERRIDE=FQ","FILING_STATUS=MR","SCALING_FORMAT=MLN","Sort=A","Dates=H","DateFormat=P","Fill=—","Direction=H","UseDPDF=Y")</f>
        <v>24588</v>
      </c>
      <c r="G8" s="13">
        <f>_xll.BDH("GILD US Equity","TOT_DEBT_EX_OPERATING_LEA_LIABS","FQ4 2019","FQ4 2019","Currency=USD","Period=FQ","BEST_FPERIOD_OVERRIDE=FQ","FILING_STATUS=MR","SCALING_FORMAT=MLN","Sort=A","Dates=H","DateFormat=P","Fill=—","Direction=H","UseDPDF=Y")</f>
        <v>24593</v>
      </c>
      <c r="H8" s="13">
        <f>_xll.BDH("GILD US Equity","TOT_DEBT_EX_OPERATING_LEA_LIABS","FQ1 2020","FQ1 2020","Currency=USD","Period=FQ","BEST_FPERIOD_OVERRIDE=FQ","FILING_STATUS=MR","SCALING_FORMAT=MLN","Sort=A","Dates=H","DateFormat=P","Fill=—","Direction=H","UseDPDF=Y")</f>
        <v>24097</v>
      </c>
      <c r="I8" s="13">
        <f>_xll.BDH("GILD US Equity","TOT_DEBT_EX_OPERATING_LEA_LIABS","FQ2 2020","FQ2 2020","Currency=USD","Period=FQ","BEST_FPERIOD_OVERRIDE=FQ","FILING_STATUS=MR","SCALING_FORMAT=MLN","Sort=A","Dates=H","DateFormat=P","Fill=—","Direction=H","UseDPDF=Y")</f>
        <v>24102</v>
      </c>
      <c r="J8" s="13">
        <f>_xll.BDH("GILD US Equity","TOT_DEBT_EX_OPERATING_LEA_LIABS","FQ3 2020","FQ3 2020","Currency=USD","Period=FQ","BEST_FPERIOD_OVERRIDE=FQ","FILING_STATUS=MR","SCALING_FORMAT=MLN","Sort=A","Dates=H","DateFormat=P","Fill=—","Direction=H","UseDPDF=Y")</f>
        <v>29290</v>
      </c>
      <c r="K8" s="13">
        <f>_xll.BDH("GILD US Equity","TOT_DEBT_EX_OPERATING_LEA_LIABS","FQ4 2020","FQ4 2020","Currency=USD","Period=FQ","BEST_FPERIOD_OVERRIDE=FQ","FILING_STATUS=MR","SCALING_FORMAT=MLN","Sort=A","Dates=H","DateFormat=P","Fill=—","Direction=H","UseDPDF=Y")</f>
        <v>31402</v>
      </c>
      <c r="L8" s="13">
        <f>_xll.BDH("GILD US Equity","TOT_DEBT_EX_OPERATING_LEA_LIABS","FQ1 2021","FQ1 2021","Currency=USD","Period=FQ","BEST_FPERIOD_OVERRIDE=FQ","FILING_STATUS=MR","SCALING_FORMAT=MLN","Sort=A","Dates=H","DateFormat=P","Fill=—","Direction=H","UseDPDF=Y")</f>
        <v>30166</v>
      </c>
      <c r="M8" s="13">
        <f>_xll.BDH("GILD US Equity","TOT_DEBT_EX_OPERATING_LEA_LIABS","FQ2 2021","FQ2 2021","Currency=USD","Period=FQ","BEST_FPERIOD_OVERRIDE=FQ","FILING_STATUS=MR","SCALING_FORMAT=MLN","Sort=A","Dates=H","DateFormat=P","Fill=—","Direction=H","UseDPDF=Y")</f>
        <v>30175</v>
      </c>
      <c r="N8" s="13">
        <f>_xll.BDH("GILD US Equity","TOT_DEBT_EX_OPERATING_LEA_LIABS","FQ3 2021","FQ3 2021","Currency=USD","Period=FQ","BEST_FPERIOD_OVERRIDE=FQ","FILING_STATUS=MR","SCALING_FORMAT=MLN","Sort=A","Dates=H","DateFormat=P","Fill=—","Direction=H","UseDPDF=Y")</f>
        <v>27686</v>
      </c>
      <c r="O8" s="13">
        <f>_xll.BDH("GILD US Equity","TOT_DEBT_EX_OPERATING_LEA_LIABS","FQ4 2021","FQ4 2021","Currency=USD","Period=FQ","BEST_FPERIOD_OVERRIDE=FQ","FILING_STATUS=MR","SCALING_FORMAT=MLN","Sort=A","Dates=H","DateFormat=P","Fill=—","Direction=H","UseDPDF=Y")</f>
        <v>26695</v>
      </c>
      <c r="P8" s="13">
        <f>_xll.BDH("GILD US Equity","TOT_DEBT_EX_OPERATING_LEA_LIABS","FQ1 2022","FQ1 2022","Currency=USD","Period=FQ","BEST_FPERIOD_OVERRIDE=FQ","FILING_STATUS=MR","SCALING_FORMAT=MLN","Sort=A","Dates=H","DateFormat=P","Fill=—","Direction=H","UseDPDF=Y")</f>
        <v>26208</v>
      </c>
      <c r="Q8" s="13">
        <f>_xll.BDH("GILD US Equity","TOT_DEBT_EX_OPERATING_LEA_LIABS","FQ2 2022","FQ2 2022","Currency=USD","Period=FQ","BEST_FPERIOD_OVERRIDE=FQ","FILING_STATUS=MR","SCALING_FORMAT=MLN","Sort=A","Dates=H","DateFormat=P","Fill=—","Direction=H","UseDPDF=Y")</f>
        <v>26216</v>
      </c>
      <c r="R8" s="13">
        <f>_xll.BDH("GILD US Equity","TOT_DEBT_EX_OPERATING_LEA_LIABS","FQ3 2022","FQ3 2022","Currency=USD","Period=FQ","BEST_FPERIOD_OVERRIDE=FQ","FILING_STATUS=MR","SCALING_FORMAT=MLN","Sort=A","Dates=H","DateFormat=P","Fill=—","Direction=H","UseDPDF=Y")</f>
        <v>25223</v>
      </c>
      <c r="S8" s="13">
        <f>_xll.BDH("GILD US Equity","TOT_DEBT_EX_OPERATING_LEA_LIABS","FQ4 2022","FQ4 2022","Currency=USD","Period=FQ","BEST_FPERIOD_OVERRIDE=FQ","FILING_STATUS=MR","SCALING_FORMAT=MLN","Sort=A","Dates=H","DateFormat=P","Fill=—","Direction=H","UseDPDF=Y")</f>
        <v>25230</v>
      </c>
      <c r="T8" s="13">
        <f>_xll.BDH("GILD US Equity","TOT_DEBT_EX_OPERATING_LEA_LIABS","FQ1 2023","FQ1 2023","Currency=USD","Period=FQ","BEST_FPERIOD_OVERRIDE=FQ","FILING_STATUS=MR","SCALING_FORMAT=MLN","Sort=A","Dates=H","DateFormat=P","Fill=—","Direction=H","UseDPDF=Y")</f>
        <v>25239</v>
      </c>
      <c r="U8" s="13">
        <f>_xll.BDH("GILD US Equity","TOT_DEBT_EX_OPERATING_LEA_LIABS","FQ2 2023","FQ2 2023","Currency=USD","Period=FQ","BEST_FPERIOD_OVERRIDE=FQ","FILING_STATUS=MR","SCALING_FORMAT=MLN","Sort=A","Dates=H","DateFormat=P","Fill=—","Direction=H","UseDPDF=Y")</f>
        <v>25246</v>
      </c>
      <c r="V8" s="13">
        <f>_xll.BDH("GILD US Equity","TOT_DEBT_EX_OPERATING_LEA_LIABS","FQ3 2023","FQ3 2023","Currency=USD","Period=FQ","BEST_FPERIOD_OVERRIDE=FQ","FILING_STATUS=MR","SCALING_FORMAT=MLN","Sort=A","Dates=H","DateFormat=P","Fill=—","Direction=H","UseDPDF=Y")</f>
        <v>24982</v>
      </c>
      <c r="W8" s="13">
        <f>_xll.BDH("GILD US Equity","TOT_DEBT_EX_OPERATING_LEA_LIABS","FQ4 2023","FQ4 2023","Currency=USD","Period=FQ","BEST_FPERIOD_OVERRIDE=FQ","FILING_STATUS=MR","SCALING_FORMAT=MLN","Sort=A","Dates=H","DateFormat=P","Fill=—","Direction=H","UseDPDF=Y")</f>
        <v>24987</v>
      </c>
      <c r="X8" s="13">
        <f>_xll.BDH("GILD US Equity","TOT_DEBT_EX_OPERATING_LEA_LIABS","FQ1 2024","FQ1 2024","Currency=USD","Period=FQ","BEST_FPERIOD_OVERRIDE=FQ","FILING_STATUS=MR","SCALING_FORMAT=MLN","Sort=A","Dates=H","DateFormat=P","Fill=—","Direction=H","UseDPDF=Y")</f>
        <v>25194</v>
      </c>
      <c r="Y8" s="13">
        <f>_xll.BDH("GILD US Equity","TOT_DEBT_EX_OPERATING_LEA_LIABS","FQ2 2024","FQ2 2024","Currency=USD","Period=FQ","BEST_FPERIOD_OVERRIDE=FQ","FILING_STATUS=MR","SCALING_FORMAT=MLN","Sort=A","Dates=H","DateFormat=P","Fill=—","Direction=H","UseDPDF=Y")</f>
        <v>23350</v>
      </c>
      <c r="Z8" s="13">
        <f>_xll.BDH("GILD US Equity","TOT_DEBT_EX_OPERATING_LEA_LIABS","FQ3 2024","FQ3 2024","Currency=USD","Period=FQ","BEST_FPERIOD_OVERRIDE=FQ","FILING_STATUS=MR","SCALING_FORMAT=MLN","Sort=A","Dates=H","DateFormat=P","Fill=—","Direction=H","UseDPDF=Y")</f>
        <v>23249</v>
      </c>
      <c r="AA8" s="13">
        <f>_xll.BDH("GILD US Equity","TOT_DEBT_EX_OPERATING_LEA_LIABS","FQ4 2024","FQ4 2024","Currency=USD","Period=FQ","BEST_FPERIOD_OVERRIDE=FQ","FILING_STATUS=MR","SCALING_FORMAT=MLN","Sort=A","Dates=H","DateFormat=P","Fill=—","Direction=H","UseDPDF=Y")</f>
        <v>26711</v>
      </c>
    </row>
    <row r="9" spans="1:27" x14ac:dyDescent="0.25">
      <c r="A9" s="10" t="s">
        <v>1609</v>
      </c>
      <c r="B9" s="10" t="s">
        <v>1644</v>
      </c>
      <c r="C9" s="13">
        <f>_xll.BDH("GILD US Equity","ST_DEBT_EX_OPERATING_LEASE_LIABS","FQ4 2018","FQ4 2018","Currency=USD","Period=FQ","BEST_FPERIOD_OVERRIDE=FQ","FILING_STATUS=MR","SCALING_FORMAT=MLN","Sort=A","Dates=H","DateFormat=P","Fill=—","Direction=H","UseDPDF=Y")</f>
        <v>2748</v>
      </c>
      <c r="D9" s="13">
        <f>_xll.BDH("GILD US Equity","ST_DEBT_EX_OPERATING_LEASE_LIABS","FQ1 2019","FQ1 2019","Currency=USD","Period=FQ","BEST_FPERIOD_OVERRIDE=FQ","FILING_STATUS=MR","SCALING_FORMAT=MLN","Sort=A","Dates=H","DateFormat=P","Fill=—","Direction=H","UseDPDF=Y")</f>
        <v>2498</v>
      </c>
      <c r="E9" s="13">
        <f>_xll.BDH("GILD US Equity","ST_DEBT_EX_OPERATING_LEASE_LIABS","FQ2 2019","FQ2 2019","Currency=USD","Period=FQ","BEST_FPERIOD_OVERRIDE=FQ","FILING_STATUS=MR","SCALING_FORMAT=MLN","Sort=A","Dates=H","DateFormat=P","Fill=—","Direction=H","UseDPDF=Y")</f>
        <v>1999</v>
      </c>
      <c r="F9" s="13">
        <f>_xll.BDH("GILD US Equity","ST_DEBT_EX_OPERATING_LEASE_LIABS","FQ3 2019","FQ3 2019","Currency=USD","Period=FQ","BEST_FPERIOD_OVERRIDE=FQ","FILING_STATUS=MR","SCALING_FORMAT=MLN","Sort=A","Dates=H","DateFormat=P","Fill=—","Direction=H","UseDPDF=Y")</f>
        <v>2498</v>
      </c>
      <c r="G9" s="13">
        <f>_xll.BDH("GILD US Equity","ST_DEBT_EX_OPERATING_LEASE_LIABS","FQ4 2019","FQ4 2019","Currency=USD","Period=FQ","BEST_FPERIOD_OVERRIDE=FQ","FILING_STATUS=MR","SCALING_FORMAT=MLN","Sort=A","Dates=H","DateFormat=P","Fill=—","Direction=H","UseDPDF=Y")</f>
        <v>2499</v>
      </c>
      <c r="H9" s="13">
        <f>_xll.BDH("GILD US Equity","ST_DEBT_EX_OPERATING_LEASE_LIABS","FQ1 2020","FQ1 2020","Currency=USD","Period=FQ","BEST_FPERIOD_OVERRIDE=FQ","FILING_STATUS=MR","SCALING_FORMAT=MLN","Sort=A","Dates=H","DateFormat=P","Fill=—","Direction=H","UseDPDF=Y")</f>
        <v>1999</v>
      </c>
      <c r="I9" s="13">
        <f>_xll.BDH("GILD US Equity","ST_DEBT_EX_OPERATING_LEASE_LIABS","FQ2 2020","FQ2 2020","Currency=USD","Period=FQ","BEST_FPERIOD_OVERRIDE=FQ","FILING_STATUS=MR","SCALING_FORMAT=MLN","Sort=A","Dates=H","DateFormat=P","Fill=—","Direction=H","UseDPDF=Y")</f>
        <v>2999</v>
      </c>
      <c r="J9" s="13">
        <f>_xll.BDH("GILD US Equity","ST_DEBT_EX_OPERATING_LEASE_LIABS","FQ3 2020","FQ3 2020","Currency=USD","Period=FQ","BEST_FPERIOD_OVERRIDE=FQ","FILING_STATUS=MR","SCALING_FORMAT=MLN","Sort=A","Dates=H","DateFormat=P","Fill=—","Direction=H","UseDPDF=Y")</f>
        <v>1498</v>
      </c>
      <c r="K9" s="13">
        <f>_xll.BDH("GILD US Equity","ST_DEBT_EX_OPERATING_LEASE_LIABS","FQ4 2020","FQ4 2020","Currency=USD","Period=FQ","BEST_FPERIOD_OVERRIDE=FQ","FILING_STATUS=MR","SCALING_FORMAT=MLN","Sort=A","Dates=H","DateFormat=P","Fill=—","Direction=H","UseDPDF=Y")</f>
        <v>2757</v>
      </c>
      <c r="L9" s="13">
        <f>_xll.BDH("GILD US Equity","ST_DEBT_EX_OPERATING_LEASE_LIABS","FQ1 2021","FQ1 2021","Currency=USD","Period=FQ","BEST_FPERIOD_OVERRIDE=FQ","FILING_STATUS=MR","SCALING_FORMAT=MLN","Sort=A","Dates=H","DateFormat=P","Fill=—","Direction=H","UseDPDF=Y")</f>
        <v>2259</v>
      </c>
      <c r="M9" s="13">
        <f>_xll.BDH("GILD US Equity","ST_DEBT_EX_OPERATING_LEASE_LIABS","FQ2 2021","FQ2 2021","Currency=USD","Period=FQ","BEST_FPERIOD_OVERRIDE=FQ","FILING_STATUS=MR","SCALING_FORMAT=MLN","Sort=A","Dates=H","DateFormat=P","Fill=—","Direction=H","UseDPDF=Y")</f>
        <v>2261</v>
      </c>
      <c r="N9" s="13">
        <f>_xll.BDH("GILD US Equity","ST_DEBT_EX_OPERATING_LEASE_LIABS","FQ3 2021","FQ3 2021","Currency=USD","Period=FQ","BEST_FPERIOD_OVERRIDE=FQ","FILING_STATUS=MR","SCALING_FORMAT=MLN","Sort=A","Dates=H","DateFormat=P","Fill=—","Direction=H","UseDPDF=Y")</f>
        <v>2511</v>
      </c>
      <c r="O9" s="13">
        <f>_xll.BDH("GILD US Equity","ST_DEBT_EX_OPERATING_LEASE_LIABS","FQ4 2021","FQ4 2021","Currency=USD","Period=FQ","BEST_FPERIOD_OVERRIDE=FQ","FILING_STATUS=MR","SCALING_FORMAT=MLN","Sort=A","Dates=H","DateFormat=P","Fill=—","Direction=H","UseDPDF=Y")</f>
        <v>1516</v>
      </c>
      <c r="P9" s="13">
        <f>_xll.BDH("GILD US Equity","ST_DEBT_EX_OPERATING_LEASE_LIABS","FQ1 2022","FQ1 2022","Currency=USD","Period=FQ","BEST_FPERIOD_OVERRIDE=FQ","FILING_STATUS=MR","SCALING_FORMAT=MLN","Sort=A","Dates=H","DateFormat=P","Fill=—","Direction=H","UseDPDF=Y")</f>
        <v>1025</v>
      </c>
      <c r="Q9" s="13">
        <f>_xll.BDH("GILD US Equity","ST_DEBT_EX_OPERATING_LEASE_LIABS","FQ2 2022","FQ2 2022","Currency=USD","Period=FQ","BEST_FPERIOD_OVERRIDE=FQ","FILING_STATUS=MR","SCALING_FORMAT=MLN","Sort=A","Dates=H","DateFormat=P","Fill=—","Direction=H","UseDPDF=Y")</f>
        <v>1021</v>
      </c>
      <c r="R9" s="13">
        <f>_xll.BDH("GILD US Equity","ST_DEBT_EX_OPERATING_LEASE_LIABS","FQ3 2022","FQ3 2022","Currency=USD","Period=FQ","BEST_FPERIOD_OVERRIDE=FQ","FILING_STATUS=MR","SCALING_FORMAT=MLN","Sort=A","Dates=H","DateFormat=P","Fill=—","Direction=H","UseDPDF=Y")</f>
        <v>2270</v>
      </c>
      <c r="S9" s="13">
        <f>_xll.BDH("GILD US Equity","ST_DEBT_EX_OPERATING_LEASE_LIABS","FQ4 2022","FQ4 2022","Currency=USD","Period=FQ","BEST_FPERIOD_OVERRIDE=FQ","FILING_STATUS=MR","SCALING_FORMAT=MLN","Sort=A","Dates=H","DateFormat=P","Fill=—","Direction=H","UseDPDF=Y")</f>
        <v>2273</v>
      </c>
      <c r="T9" s="13">
        <f>_xll.BDH("GILD US Equity","ST_DEBT_EX_OPERATING_LEASE_LIABS","FQ1 2023","FQ1 2023","Currency=USD","Period=FQ","BEST_FPERIOD_OVERRIDE=FQ","FILING_STATUS=MR","SCALING_FORMAT=MLN","Sort=A","Dates=H","DateFormat=P","Fill=—","Direction=H","UseDPDF=Y")</f>
        <v>2283</v>
      </c>
      <c r="U9" s="13">
        <f>_xll.BDH("GILD US Equity","ST_DEBT_EX_OPERATING_LEASE_LIABS","FQ2 2023","FQ2 2023","Currency=USD","Period=FQ","BEST_FPERIOD_OVERRIDE=FQ","FILING_STATUS=MR","SCALING_FORMAT=MLN","Sort=A","Dates=H","DateFormat=P","Fill=—","Direction=H","UseDPDF=Y")</f>
        <v>4037</v>
      </c>
      <c r="V9" s="13">
        <f>_xll.BDH("GILD US Equity","ST_DEBT_EX_OPERATING_LEASE_LIABS","FQ3 2023","FQ3 2023","Currency=USD","Period=FQ","BEST_FPERIOD_OVERRIDE=FQ","FILING_STATUS=MR","SCALING_FORMAT=MLN","Sort=A","Dates=H","DateFormat=P","Fill=—","Direction=H","UseDPDF=Y")</f>
        <v>1793</v>
      </c>
      <c r="W9" s="13">
        <f>_xll.BDH("GILD US Equity","ST_DEBT_EX_OPERATING_LEASE_LIABS","FQ4 2023","FQ4 2023","Currency=USD","Period=FQ","BEST_FPERIOD_OVERRIDE=FQ","FILING_STATUS=MR","SCALING_FORMAT=MLN","Sort=A","Dates=H","DateFormat=P","Fill=—","Direction=H","UseDPDF=Y")</f>
        <v>1798</v>
      </c>
      <c r="X9" s="13">
        <f>_xll.BDH("GILD US Equity","ST_DEBT_EX_OPERATING_LEASE_LIABS","FQ1 2024","FQ1 2024","Currency=USD","Period=FQ","BEST_FPERIOD_OVERRIDE=FQ","FILING_STATUS=MR","SCALING_FORMAT=MLN","Sort=A","Dates=H","DateFormat=P","Fill=—","Direction=H","UseDPDF=Y")</f>
        <v>3667</v>
      </c>
      <c r="Y9" s="13">
        <f>_xll.BDH("GILD US Equity","ST_DEBT_EX_OPERATING_LEASE_LIABS","FQ2 2024","FQ2 2024","Currency=USD","Period=FQ","BEST_FPERIOD_OVERRIDE=FQ","FILING_STATUS=MR","SCALING_FORMAT=MLN","Sort=A","Dates=H","DateFormat=P","Fill=—","Direction=H","UseDPDF=Y")</f>
        <v>1810</v>
      </c>
      <c r="Z9" s="13">
        <f>_xll.BDH("GILD US Equity","ST_DEBT_EX_OPERATING_LEASE_LIABS","FQ3 2024","FQ3 2024","Currency=USD","Period=FQ","BEST_FPERIOD_OVERRIDE=FQ","FILING_STATUS=MR","SCALING_FORMAT=MLN","Sort=A","Dates=H","DateFormat=P","Fill=—","Direction=H","UseDPDF=Y")</f>
        <v>1812</v>
      </c>
      <c r="AA9" s="13">
        <f>_xll.BDH("GILD US Equity","ST_DEBT_EX_OPERATING_LEASE_LIABS","FQ4 2024","FQ4 2024","Currency=USD","Period=FQ","BEST_FPERIOD_OVERRIDE=FQ","FILING_STATUS=MR","SCALING_FORMAT=MLN","Sort=A","Dates=H","DateFormat=P","Fill=—","Direction=H","UseDPDF=Y")</f>
        <v>1815</v>
      </c>
    </row>
    <row r="10" spans="1:27" x14ac:dyDescent="0.25">
      <c r="A10" s="10" t="s">
        <v>1610</v>
      </c>
      <c r="B10" s="10" t="s">
        <v>1645</v>
      </c>
      <c r="C10" s="13">
        <f>_xll.BDH("GILD US Equity","LT_DEBT_EX_OPERATING_LEASE_LIABS","FQ4 2018","FQ4 2018","Currency=USD","Period=FQ","BEST_FPERIOD_OVERRIDE=FQ","FILING_STATUS=MR","SCALING_FORMAT=MLN","Sort=A","Dates=H","DateFormat=P","Fill=—","Direction=H","UseDPDF=Y")</f>
        <v>24574</v>
      </c>
      <c r="D10" s="13">
        <f>_xll.BDH("GILD US Equity","LT_DEBT_EX_OPERATING_LEASE_LIABS","FQ1 2019","FQ1 2019","Currency=USD","Period=FQ","BEST_FPERIOD_OVERRIDE=FQ","FILING_STATUS=MR","SCALING_FORMAT=MLN","Sort=A","Dates=H","DateFormat=P","Fill=—","Direction=H","UseDPDF=Y")</f>
        <v>24080</v>
      </c>
      <c r="E10" s="13">
        <f>_xll.BDH("GILD US Equity","LT_DEBT_EX_OPERATING_LEASE_LIABS","FQ2 2019","FQ2 2019","Currency=USD","Period=FQ","BEST_FPERIOD_OVERRIDE=FQ","FILING_STATUS=MR","SCALING_FORMAT=MLN","Sort=A","Dates=H","DateFormat=P","Fill=—","Direction=H","UseDPDF=Y")</f>
        <v>24084</v>
      </c>
      <c r="F10" s="13">
        <f>_xll.BDH("GILD US Equity","LT_DEBT_EX_OPERATING_LEASE_LIABS","FQ3 2019","FQ3 2019","Currency=USD","Period=FQ","BEST_FPERIOD_OVERRIDE=FQ","FILING_STATUS=MR","SCALING_FORMAT=MLN","Sort=A","Dates=H","DateFormat=P","Fill=—","Direction=H","UseDPDF=Y")</f>
        <v>22090</v>
      </c>
      <c r="G10" s="13">
        <f>_xll.BDH("GILD US Equity","LT_DEBT_EX_OPERATING_LEASE_LIABS","FQ4 2019","FQ4 2019","Currency=USD","Period=FQ","BEST_FPERIOD_OVERRIDE=FQ","FILING_STATUS=MR","SCALING_FORMAT=MLN","Sort=A","Dates=H","DateFormat=P","Fill=—","Direction=H","UseDPDF=Y")</f>
        <v>22094</v>
      </c>
      <c r="H10" s="13">
        <f>_xll.BDH("GILD US Equity","LT_DEBT_EX_OPERATING_LEASE_LIABS","FQ1 2020","FQ1 2020","Currency=USD","Period=FQ","BEST_FPERIOD_OVERRIDE=FQ","FILING_STATUS=MR","SCALING_FORMAT=MLN","Sort=A","Dates=H","DateFormat=P","Fill=—","Direction=H","UseDPDF=Y")</f>
        <v>22098</v>
      </c>
      <c r="I10" s="13">
        <f>_xll.BDH("GILD US Equity","LT_DEBT_EX_OPERATING_LEASE_LIABS","FQ2 2020","FQ2 2020","Currency=USD","Period=FQ","BEST_FPERIOD_OVERRIDE=FQ","FILING_STATUS=MR","SCALING_FORMAT=MLN","Sort=A","Dates=H","DateFormat=P","Fill=—","Direction=H","UseDPDF=Y")</f>
        <v>21103</v>
      </c>
      <c r="J10" s="13">
        <f>_xll.BDH("GILD US Equity","LT_DEBT_EX_OPERATING_LEASE_LIABS","FQ3 2020","FQ3 2020","Currency=USD","Period=FQ","BEST_FPERIOD_OVERRIDE=FQ","FILING_STATUS=MR","SCALING_FORMAT=MLN","Sort=A","Dates=H","DateFormat=P","Fill=—","Direction=H","UseDPDF=Y")</f>
        <v>27792</v>
      </c>
      <c r="K10" s="13">
        <f>_xll.BDH("GILD US Equity","LT_DEBT_EX_OPERATING_LEASE_LIABS","FQ4 2020","FQ4 2020","Currency=USD","Period=FQ","BEST_FPERIOD_OVERRIDE=FQ","FILING_STATUS=MR","SCALING_FORMAT=MLN","Sort=A","Dates=H","DateFormat=P","Fill=—","Direction=H","UseDPDF=Y")</f>
        <v>28645</v>
      </c>
      <c r="L10" s="13">
        <f>_xll.BDH("GILD US Equity","LT_DEBT_EX_OPERATING_LEASE_LIABS","FQ1 2021","FQ1 2021","Currency=USD","Period=FQ","BEST_FPERIOD_OVERRIDE=FQ","FILING_STATUS=MR","SCALING_FORMAT=MLN","Sort=A","Dates=H","DateFormat=P","Fill=—","Direction=H","UseDPDF=Y")</f>
        <v>27907</v>
      </c>
      <c r="M10" s="13">
        <f>_xll.BDH("GILD US Equity","LT_DEBT_EX_OPERATING_LEASE_LIABS","FQ2 2021","FQ2 2021","Currency=USD","Period=FQ","BEST_FPERIOD_OVERRIDE=FQ","FILING_STATUS=MR","SCALING_FORMAT=MLN","Sort=A","Dates=H","DateFormat=P","Fill=—","Direction=H","UseDPDF=Y")</f>
        <v>27914</v>
      </c>
      <c r="N10" s="13">
        <f>_xll.BDH("GILD US Equity","LT_DEBT_EX_OPERATING_LEASE_LIABS","FQ3 2021","FQ3 2021","Currency=USD","Period=FQ","BEST_FPERIOD_OVERRIDE=FQ","FILING_STATUS=MR","SCALING_FORMAT=MLN","Sort=A","Dates=H","DateFormat=P","Fill=—","Direction=H","UseDPDF=Y")</f>
        <v>25175</v>
      </c>
      <c r="O10" s="13">
        <f>_xll.BDH("GILD US Equity","LT_DEBT_EX_OPERATING_LEASE_LIABS","FQ4 2021","FQ4 2021","Currency=USD","Period=FQ","BEST_FPERIOD_OVERRIDE=FQ","FILING_STATUS=MR","SCALING_FORMAT=MLN","Sort=A","Dates=H","DateFormat=P","Fill=—","Direction=H","UseDPDF=Y")</f>
        <v>25179</v>
      </c>
      <c r="P10" s="13">
        <f>_xll.BDH("GILD US Equity","LT_DEBT_EX_OPERATING_LEASE_LIABS","FQ1 2022","FQ1 2022","Currency=USD","Period=FQ","BEST_FPERIOD_OVERRIDE=FQ","FILING_STATUS=MR","SCALING_FORMAT=MLN","Sort=A","Dates=H","DateFormat=P","Fill=—","Direction=H","UseDPDF=Y")</f>
        <v>25183</v>
      </c>
      <c r="Q10" s="13">
        <f>_xll.BDH("GILD US Equity","LT_DEBT_EX_OPERATING_LEASE_LIABS","FQ2 2022","FQ2 2022","Currency=USD","Period=FQ","BEST_FPERIOD_OVERRIDE=FQ","FILING_STATUS=MR","SCALING_FORMAT=MLN","Sort=A","Dates=H","DateFormat=P","Fill=—","Direction=H","UseDPDF=Y")</f>
        <v>25195</v>
      </c>
      <c r="R10" s="13">
        <f>_xll.BDH("GILD US Equity","LT_DEBT_EX_OPERATING_LEASE_LIABS","FQ3 2022","FQ3 2022","Currency=USD","Period=FQ","BEST_FPERIOD_OVERRIDE=FQ","FILING_STATUS=MR","SCALING_FORMAT=MLN","Sort=A","Dates=H","DateFormat=P","Fill=—","Direction=H","UseDPDF=Y")</f>
        <v>22953</v>
      </c>
      <c r="S10" s="13">
        <f>_xll.BDH("GILD US Equity","LT_DEBT_EX_OPERATING_LEASE_LIABS","FQ4 2022","FQ4 2022","Currency=USD","Period=FQ","BEST_FPERIOD_OVERRIDE=FQ","FILING_STATUS=MR","SCALING_FORMAT=MLN","Sort=A","Dates=H","DateFormat=P","Fill=—","Direction=H","UseDPDF=Y")</f>
        <v>22957</v>
      </c>
      <c r="T10" s="13">
        <f>_xll.BDH("GILD US Equity","LT_DEBT_EX_OPERATING_LEASE_LIABS","FQ1 2023","FQ1 2023","Currency=USD","Period=FQ","BEST_FPERIOD_OVERRIDE=FQ","FILING_STATUS=MR","SCALING_FORMAT=MLN","Sort=A","Dates=H","DateFormat=P","Fill=—","Direction=H","UseDPDF=Y")</f>
        <v>22956</v>
      </c>
      <c r="U10" s="13">
        <f>_xll.BDH("GILD US Equity","LT_DEBT_EX_OPERATING_LEASE_LIABS","FQ2 2023","FQ2 2023","Currency=USD","Period=FQ","BEST_FPERIOD_OVERRIDE=FQ","FILING_STATUS=MR","SCALING_FORMAT=MLN","Sort=A","Dates=H","DateFormat=P","Fill=—","Direction=H","UseDPDF=Y")</f>
        <v>21209</v>
      </c>
      <c r="V10" s="13">
        <f>_xll.BDH("GILD US Equity","LT_DEBT_EX_OPERATING_LEASE_LIABS","FQ3 2023","FQ3 2023","Currency=USD","Period=FQ","BEST_FPERIOD_OVERRIDE=FQ","FILING_STATUS=MR","SCALING_FORMAT=MLN","Sort=A","Dates=H","DateFormat=P","Fill=—","Direction=H","UseDPDF=Y")</f>
        <v>23189</v>
      </c>
      <c r="W10" s="13">
        <f>_xll.BDH("GILD US Equity","LT_DEBT_EX_OPERATING_LEASE_LIABS","FQ4 2023","FQ4 2023","Currency=USD","Period=FQ","BEST_FPERIOD_OVERRIDE=FQ","FILING_STATUS=MR","SCALING_FORMAT=MLN","Sort=A","Dates=H","DateFormat=P","Fill=—","Direction=H","UseDPDF=Y")</f>
        <v>23189</v>
      </c>
      <c r="X10" s="13">
        <f>_xll.BDH("GILD US Equity","LT_DEBT_EX_OPERATING_LEASE_LIABS","FQ1 2024","FQ1 2024","Currency=USD","Period=FQ","BEST_FPERIOD_OVERRIDE=FQ","FILING_STATUS=MR","SCALING_FORMAT=MLN","Sort=A","Dates=H","DateFormat=P","Fill=—","Direction=H","UseDPDF=Y")</f>
        <v>21527</v>
      </c>
      <c r="Y10" s="13">
        <f>_xll.BDH("GILD US Equity","LT_DEBT_EX_OPERATING_LEASE_LIABS","FQ2 2024","FQ2 2024","Currency=USD","Period=FQ","BEST_FPERIOD_OVERRIDE=FQ","FILING_STATUS=MR","SCALING_FORMAT=MLN","Sort=A","Dates=H","DateFormat=P","Fill=—","Direction=H","UseDPDF=Y")</f>
        <v>21540</v>
      </c>
      <c r="Z10" s="13">
        <f>_xll.BDH("GILD US Equity","LT_DEBT_EX_OPERATING_LEASE_LIABS","FQ3 2024","FQ3 2024","Currency=USD","Period=FQ","BEST_FPERIOD_OVERRIDE=FQ","FILING_STATUS=MR","SCALING_FORMAT=MLN","Sort=A","Dates=H","DateFormat=P","Fill=—","Direction=H","UseDPDF=Y")</f>
        <v>21437</v>
      </c>
      <c r="AA10" s="13">
        <f>_xll.BDH("GILD US Equity","LT_DEBT_EX_OPERATING_LEASE_LIABS","FQ4 2024","FQ4 2024","Currency=USD","Period=FQ","BEST_FPERIOD_OVERRIDE=FQ","FILING_STATUS=MR","SCALING_FORMAT=MLN","Sort=A","Dates=H","DateFormat=P","Fill=—","Direction=H","UseDPDF=Y")</f>
        <v>24896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10" t="s">
        <v>1611</v>
      </c>
      <c r="B12" s="10" t="s">
        <v>1646</v>
      </c>
      <c r="C12" s="14">
        <f>_xll.BDH("GILD US Equity","TOT_DBT_TO_EBITDA_EX_OP_LEA_ACT","FQ4 2018","FQ4 2018","Currency=USD","Period=FQ","BEST_FPERIOD_OVERRIDE=FQ","FILING_STATUS=MR","FA_ADJUSTED=GAAP","Sort=A","Dates=H","DateFormat=P","Fill=—","Direction=H","UseDPDF=Y")</f>
        <v>2.8374999999999999</v>
      </c>
      <c r="D12" s="14">
        <f>_xll.BDH("GILD US Equity","TOT_DBT_TO_EBITDA_EX_OP_LEA_ACT","FQ1 2019","FQ1 2019","Currency=USD","Period=FQ","BEST_FPERIOD_OVERRIDE=FQ","FILING_STATUS=MR","FA_ADJUSTED=GAAP","Sort=A","Dates=H","DateFormat=P","Fill=—","Direction=H","UseDPDF=Y")</f>
        <v>2.7357999999999998</v>
      </c>
      <c r="E12" s="14">
        <f>_xll.BDH("GILD US Equity","TOT_DBT_TO_EBITDA_EX_OP_LEA_ACT","FQ2 2019","FQ2 2019","Currency=USD","Period=FQ","BEST_FPERIOD_OVERRIDE=FQ","FILING_STATUS=MR","FA_ADJUSTED=GAAP","Sort=A","Dates=H","DateFormat=P","Fill=—","Direction=H","UseDPDF=Y")</f>
        <v>2.6461000000000001</v>
      </c>
      <c r="F12" s="14">
        <f>_xll.BDH("GILD US Equity","TOT_DBT_TO_EBITDA_EX_OP_LEA_ACT","FQ3 2019","FQ3 2019","Currency=USD","Period=FQ","BEST_FPERIOD_OVERRIDE=FQ","FILING_STATUS=MR","FA_ADJUSTED=GAAP","Sort=A","Dates=H","DateFormat=P","Fill=—","Direction=H","UseDPDF=Y")</f>
        <v>4.2762000000000002</v>
      </c>
      <c r="G12" s="14">
        <f>_xll.BDH("GILD US Equity","TOT_DBT_TO_EBITDA_EX_OP_LEA_ACT","FQ4 2019","FQ4 2019","Currency=USD","Period=FQ","BEST_FPERIOD_OVERRIDE=FQ","FILING_STATUS=MR","FA_ADJUSTED=GAAP","Sort=A","Dates=H","DateFormat=P","Fill=—","Direction=H","UseDPDF=Y")</f>
        <v>4.3213999999999997</v>
      </c>
      <c r="H12" s="14">
        <f>_xll.BDH("GILD US Equity","TOT_DBT_TO_EBITDA_EX_OP_LEA_ACT","FQ1 2020","FQ1 2020","Currency=USD","Period=FQ","BEST_FPERIOD_OVERRIDE=FQ","FILING_STATUS=MR","FA_ADJUSTED=GAAP","Sort=A","Dates=H","DateFormat=P","Fill=—","Direction=H","UseDPDF=Y")</f>
        <v>4.1219999999999999</v>
      </c>
      <c r="I12" s="14">
        <f>_xll.BDH("GILD US Equity","TOT_DBT_TO_EBITDA_EX_OP_LEA_ACT","FQ2 2020","FQ2 2020","Currency=USD","Period=FQ","BEST_FPERIOD_OVERRIDE=FQ","FILING_STATUS=MR","FA_ADJUSTED=GAAP","Sort=A","Dates=H","DateFormat=P","Fill=—","Direction=H","UseDPDF=Y")</f>
        <v>55.534599999999998</v>
      </c>
      <c r="J12" s="14">
        <f>_xll.BDH("GILD US Equity","TOT_DBT_TO_EBITDA_EX_OP_LEA_ACT","FQ3 2020","FQ3 2020","Currency=USD","Period=FQ","BEST_FPERIOD_OVERRIDE=FQ","FILING_STATUS=MR","FA_ADJUSTED=GAAP","Sort=A","Dates=H","DateFormat=P","Fill=—","Direction=H","UseDPDF=Y")</f>
        <v>7.4795999999999996</v>
      </c>
      <c r="K12" s="14">
        <f>_xll.BDH("GILD US Equity","TOT_DBT_TO_EBITDA_EX_OP_LEA_ACT","FQ4 2020","FQ4 2020","Currency=USD","Period=FQ","BEST_FPERIOD_OVERRIDE=FQ","FILING_STATUS=MR","FA_ADJUSTED=GAAP","Sort=A","Dates=H","DateFormat=P","Fill=—","Direction=H","UseDPDF=Y")</f>
        <v>5.657</v>
      </c>
      <c r="L12" s="14">
        <f>_xll.BDH("GILD US Equity","TOT_DBT_TO_EBITDA_EX_OP_LEA_ACT","FQ1 2021","FQ1 2021","Currency=USD","Period=FQ","BEST_FPERIOD_OVERRIDE=FQ","FILING_STATUS=MR","FA_ADJUSTED=GAAP","Sort=A","Dates=H","DateFormat=P","Fill=—","Direction=H","UseDPDF=Y")</f>
        <v>4.8947000000000003</v>
      </c>
      <c r="M12" s="14">
        <f>_xll.BDH("GILD US Equity","TOT_DBT_TO_EBITDA_EX_OP_LEA_ACT","FQ2 2021","FQ2 2021","Currency=USD","Period=FQ","BEST_FPERIOD_OVERRIDE=FQ","FILING_STATUS=MR","FA_ADJUSTED=GAAP","Sort=A","Dates=H","DateFormat=P","Fill=—","Direction=H","UseDPDF=Y")</f>
        <v>2.6097999999999999</v>
      </c>
      <c r="N12" s="14">
        <f>_xll.BDH("GILD US Equity","TOT_DBT_TO_EBITDA_EX_OP_LEA_ACT","FQ3 2021","FQ3 2021","Currency=USD","Period=FQ","BEST_FPERIOD_OVERRIDE=FQ","FILING_STATUS=MR","FA_ADJUSTED=GAAP","Sort=A","Dates=H","DateFormat=P","Fill=—","Direction=H","UseDPDF=Y")</f>
        <v>2.0400999999999998</v>
      </c>
      <c r="O12" s="14">
        <f>_xll.BDH("GILD US Equity","TOT_DBT_TO_EBITDA_EX_OP_LEA_ACT","FQ4 2021","FQ4 2021","Currency=USD","Period=FQ","BEST_FPERIOD_OVERRIDE=FQ","FILING_STATUS=MR","FA_ADJUSTED=GAAP","Sort=A","Dates=H","DateFormat=P","Fill=—","Direction=H","UseDPDF=Y")</f>
        <v>2.2305000000000001</v>
      </c>
      <c r="P12" s="14">
        <f>_xll.BDH("GILD US Equity","TOT_DBT_TO_EBITDA_EX_OP_LEA_ACT","FQ1 2022","FQ1 2022","Currency=USD","Period=FQ","BEST_FPERIOD_OVERRIDE=FQ","FILING_STATUS=MR","FA_ADJUSTED=GAAP","Sort=A","Dates=H","DateFormat=P","Fill=—","Direction=H","UseDPDF=Y")</f>
        <v>2.8098999999999998</v>
      </c>
      <c r="Q12" s="14">
        <f>_xll.BDH("GILD US Equity","TOT_DBT_TO_EBITDA_EX_OP_LEA_ACT","FQ2 2022","FQ2 2022","Currency=USD","Period=FQ","BEST_FPERIOD_OVERRIDE=FQ","FILING_STATUS=MR","FA_ADJUSTED=GAAP","Sort=A","Dates=H","DateFormat=P","Fill=—","Direction=H","UseDPDF=Y")</f>
        <v>2.8757999999999999</v>
      </c>
      <c r="R12" s="14">
        <f>_xll.BDH("GILD US Equity","TOT_DBT_TO_EBITDA_EX_OP_LEA_ACT","FQ3 2022","FQ3 2022","Currency=USD","Period=FQ","BEST_FPERIOD_OVERRIDE=FQ","FILING_STATUS=MR","FA_ADJUSTED=GAAP","Sort=A","Dates=H","DateFormat=P","Fill=—","Direction=H","UseDPDF=Y")</f>
        <v>3.109</v>
      </c>
      <c r="S12" s="14">
        <f>_xll.BDH("GILD US Equity","TOT_DBT_TO_EBITDA_EX_OP_LEA_ACT","FQ4 2022","FQ4 2022","Currency=USD","Period=FQ","BEST_FPERIOD_OVERRIDE=FQ","FILING_STATUS=MR","FA_ADJUSTED=GAAP","Sort=A","Dates=H","DateFormat=P","Fill=—","Direction=H","UseDPDF=Y")</f>
        <v>2.6747000000000001</v>
      </c>
      <c r="T12" s="14">
        <f>_xll.BDH("GILD US Equity","TOT_DBT_TO_EBITDA_EX_OP_LEA_ACT","FQ1 2023","FQ1 2023","Currency=USD","Period=FQ","BEST_FPERIOD_OVERRIDE=FQ","FILING_STATUS=MR","FA_ADJUSTED=GAAP","Sort=A","Dates=H","DateFormat=P","Fill=—","Direction=H","UseDPDF=Y")</f>
        <v>2.2827999999999999</v>
      </c>
      <c r="U12" s="14">
        <f>_xll.BDH("GILD US Equity","TOT_DBT_TO_EBITDA_EX_OP_LEA_ACT","FQ2 2023","FQ2 2023","Currency=USD","Period=FQ","BEST_FPERIOD_OVERRIDE=FQ","FILING_STATUS=MR","FA_ADJUSTED=GAAP","Sort=A","Dates=H","DateFormat=P","Fill=—","Direction=H","UseDPDF=Y")</f>
        <v>2.3271999999999999</v>
      </c>
      <c r="V12" s="14">
        <f>_xll.BDH("GILD US Equity","TOT_DBT_TO_EBITDA_EX_OP_LEA_ACT","FQ3 2023","FQ3 2023","Currency=USD","Period=FQ","BEST_FPERIOD_OVERRIDE=FQ","FILING_STATUS=MR","FA_ADJUSTED=GAAP","Sort=A","Dates=H","DateFormat=P","Fill=—","Direction=H","UseDPDF=Y")</f>
        <v>2.3146</v>
      </c>
      <c r="W12" s="14">
        <f>_xll.BDH("GILD US Equity","TOT_DBT_TO_EBITDA_EX_OP_LEA_ACT","FQ4 2023","FQ4 2023","Currency=USD","Period=FQ","BEST_FPERIOD_OVERRIDE=FQ","FILING_STATUS=MR","FA_ADJUSTED=GAAP","Sort=A","Dates=H","DateFormat=P","Fill=—","Direction=H","UseDPDF=Y")</f>
        <v>2.4264000000000001</v>
      </c>
      <c r="X12" s="14">
        <f>_xll.BDH("GILD US Equity","TOT_DBT_TO_EBITDA_EX_OP_LEA_ACT","FQ1 2024","FQ1 2024","Currency=USD","Period=FQ","BEST_FPERIOD_OVERRIDE=FQ","FILING_STATUS=MR","FA_ADJUSTED=GAAP","Sort=A","Dates=H","DateFormat=P","Fill=—","Direction=H","UseDPDF=Y")</f>
        <v>5.8305999999999996</v>
      </c>
      <c r="Y12" s="14">
        <f>_xll.BDH("GILD US Equity","TOT_DBT_TO_EBITDA_EX_OP_LEA_ACT","FQ2 2024","FQ2 2024","Currency=USD","Period=FQ","BEST_FPERIOD_OVERRIDE=FQ","FILING_STATUS=MR","FA_ADJUSTED=GAAP","Sort=A","Dates=H","DateFormat=P","Fill=—","Direction=H","UseDPDF=Y")</f>
        <v>4.3948999999999998</v>
      </c>
      <c r="Z12" s="14">
        <f>_xll.BDH("GILD US Equity","TOT_DBT_TO_EBITDA_EX_OP_LEA_ACT","FQ3 2024","FQ3 2024","Currency=USD","Period=FQ","BEST_FPERIOD_OVERRIDE=FQ","FILING_STATUS=MR","FA_ADJUSTED=GAAP","Sort=A","Dates=H","DateFormat=P","Fill=—","Direction=H","UseDPDF=Y")</f>
        <v>6.4869000000000003</v>
      </c>
      <c r="AA12" s="14">
        <f>_xll.BDH("GILD US Equity","TOT_DBT_TO_EBITDA_EX_OP_LEA_ACT","FQ4 2024","FQ4 2024","Currency=USD","Period=FQ","BEST_FPERIOD_OVERRIDE=FQ","FILING_STATUS=MR","FA_ADJUSTED=GAAP","Sort=A","Dates=H","DateFormat=P","Fill=—","Direction=H","UseDPDF=Y")</f>
        <v>6.0323000000000002</v>
      </c>
    </row>
    <row r="13" spans="1:27" x14ac:dyDescent="0.25">
      <c r="A13" s="10" t="s">
        <v>1613</v>
      </c>
      <c r="B13" s="10" t="s">
        <v>1647</v>
      </c>
      <c r="C13" s="14">
        <f>_xll.BDH("GILD US Equity","NET_DEBT_EBITDA_EX_OPER_LEA_ACT","FQ4 2018","FQ4 2018","Currency=USD","Period=FQ","BEST_FPERIOD_OVERRIDE=FQ","FILING_STATUS=MR","FA_ADJUSTED=GAAP","Sort=A","Dates=H","DateFormat=P","Fill=—","Direction=H","UseDPDF=Y")</f>
        <v>-0.43509999999999999</v>
      </c>
      <c r="D13" s="14">
        <f>_xll.BDH("GILD US Equity","NET_DEBT_EBITDA_EX_OPER_LEA_ACT","FQ1 2019","FQ1 2019","Currency=USD","Period=FQ","BEST_FPERIOD_OVERRIDE=FQ","FILING_STATUS=MR","FA_ADJUSTED=GAAP","Sort=A","Dates=H","DateFormat=P","Fill=—","Direction=H","UseDPDF=Y")</f>
        <v>-0.36509999999999998</v>
      </c>
      <c r="E13" s="14">
        <f>_xll.BDH("GILD US Equity","NET_DEBT_EBITDA_EX_OPER_LEA_ACT","FQ2 2019","FQ2 2019","Currency=USD","Period=FQ","BEST_FPERIOD_OVERRIDE=FQ","FILING_STATUS=MR","FA_ADJUSTED=GAAP","Sort=A","Dates=H","DateFormat=P","Fill=—","Direction=H","UseDPDF=Y")</f>
        <v>-0.42109999999999997</v>
      </c>
      <c r="F13" s="14">
        <f>_xll.BDH("GILD US Equity","NET_DEBT_EBITDA_EX_OPER_LEA_ACT","FQ3 2019","FQ3 2019","Currency=USD","Period=FQ","BEST_FPERIOD_OVERRIDE=FQ","FILING_STATUS=MR","FA_ADJUSTED=GAAP","Sort=A","Dates=H","DateFormat=P","Fill=—","Direction=H","UseDPDF=Y")</f>
        <v>-8.0500000000000002E-2</v>
      </c>
      <c r="G13" s="14">
        <f>_xll.BDH("GILD US Equity","NET_DEBT_EBITDA_EX_OPER_LEA_ACT","FQ4 2019","FQ4 2019","Currency=USD","Period=FQ","BEST_FPERIOD_OVERRIDE=FQ","FILING_STATUS=MR","FA_ADJUSTED=GAAP","Sort=A","Dates=H","DateFormat=P","Fill=—","Direction=H","UseDPDF=Y")</f>
        <v>-0.21909999999999999</v>
      </c>
      <c r="H13" s="14">
        <f>_xll.BDH("GILD US Equity","NET_DEBT_EBITDA_EX_OPER_LEA_ACT","FQ1 2020","FQ1 2020","Currency=USD","Period=FQ","BEST_FPERIOD_OVERRIDE=FQ","FILING_STATUS=MR","FA_ADJUSTED=GAAP","Sort=A","Dates=H","DateFormat=P","Fill=—","Direction=H","UseDPDF=Y")</f>
        <v>-3.7100000000000001E-2</v>
      </c>
      <c r="I13" s="14">
        <f>_xll.BDH("GILD US Equity","NET_DEBT_EBITDA_EX_OPER_LEA_ACT","FQ2 2020","FQ2 2020","Currency=USD","Period=FQ","BEST_FPERIOD_OVERRIDE=FQ","FILING_STATUS=MR","FA_ADJUSTED=GAAP","Sort=A","Dates=H","DateFormat=P","Fill=—","Direction=H","UseDPDF=Y")</f>
        <v>6.7096999999999998</v>
      </c>
      <c r="J13" s="14">
        <f>_xll.BDH("GILD US Equity","NET_DEBT_EBITDA_EX_OPER_LEA_ACT","FQ3 2020","FQ3 2020","Currency=USD","Period=FQ","BEST_FPERIOD_OVERRIDE=FQ","FILING_STATUS=MR","FA_ADJUSTED=GAAP","Sort=A","Dates=H","DateFormat=P","Fill=—","Direction=H","UseDPDF=Y")</f>
        <v>0.8276</v>
      </c>
      <c r="K13" s="14">
        <f>_xll.BDH("GILD US Equity","NET_DEBT_EBITDA_EX_OPER_LEA_ACT","FQ4 2020","FQ4 2020","Currency=USD","Period=FQ","BEST_FPERIOD_OVERRIDE=FQ","FILING_STATUS=MR","FA_ADJUSTED=GAAP","Sort=A","Dates=H","DateFormat=P","Fill=—","Direction=H","UseDPDF=Y")</f>
        <v>4.2320000000000002</v>
      </c>
      <c r="L13" s="14">
        <f>_xll.BDH("GILD US Equity","NET_DEBT_EBITDA_EX_OPER_LEA_ACT","FQ1 2021","FQ1 2021","Currency=USD","Period=FQ","BEST_FPERIOD_OVERRIDE=FQ","FILING_STATUS=MR","FA_ADJUSTED=GAAP","Sort=A","Dates=H","DateFormat=P","Fill=—","Direction=H","UseDPDF=Y")</f>
        <v>3.8814000000000002</v>
      </c>
      <c r="M13" s="14">
        <f>_xll.BDH("GILD US Equity","NET_DEBT_EBITDA_EX_OPER_LEA_ACT","FQ2 2021","FQ2 2021","Currency=USD","Period=FQ","BEST_FPERIOD_OVERRIDE=FQ","FILING_STATUS=MR","FA_ADJUSTED=GAAP","Sort=A","Dates=H","DateFormat=P","Fill=—","Direction=H","UseDPDF=Y")</f>
        <v>1.9732000000000001</v>
      </c>
      <c r="N13" s="14">
        <f>_xll.BDH("GILD US Equity","NET_DEBT_EBITDA_EX_OPER_LEA_ACT","FQ3 2021","FQ3 2021","Currency=USD","Period=FQ","BEST_FPERIOD_OVERRIDE=FQ","FILING_STATUS=MR","FA_ADJUSTED=GAAP","Sort=A","Dates=H","DateFormat=P","Fill=—","Direction=H","UseDPDF=Y")</f>
        <v>1.5363</v>
      </c>
      <c r="O13" s="14">
        <f>_xll.BDH("GILD US Equity","NET_DEBT_EBITDA_EX_OPER_LEA_ACT","FQ4 2021","FQ4 2021","Currency=USD","Period=FQ","BEST_FPERIOD_OVERRIDE=FQ","FILING_STATUS=MR","FA_ADJUSTED=GAAP","Sort=A","Dates=H","DateFormat=P","Fill=—","Direction=H","UseDPDF=Y")</f>
        <v>1.5764</v>
      </c>
      <c r="P13" s="14">
        <f>_xll.BDH("GILD US Equity","NET_DEBT_EBITDA_EX_OPER_LEA_ACT","FQ1 2022","FQ1 2022","Currency=USD","Period=FQ","BEST_FPERIOD_OVERRIDE=FQ","FILING_STATUS=MR","FA_ADJUSTED=GAAP","Sort=A","Dates=H","DateFormat=P","Fill=—","Direction=H","UseDPDF=Y")</f>
        <v>2.0859999999999999</v>
      </c>
      <c r="Q13" s="14">
        <f>_xll.BDH("GILD US Equity","NET_DEBT_EBITDA_EX_OPER_LEA_ACT","FQ2 2022","FQ2 2022","Currency=USD","Period=FQ","BEST_FPERIOD_OVERRIDE=FQ","FILING_STATUS=MR","FA_ADJUSTED=GAAP","Sort=A","Dates=H","DateFormat=P","Fill=—","Direction=H","UseDPDF=Y")</f>
        <v>2.1078999999999999</v>
      </c>
      <c r="R13" s="14">
        <f>_xll.BDH("GILD US Equity","NET_DEBT_EBITDA_EX_OPER_LEA_ACT","FQ3 2022","FQ3 2022","Currency=USD","Period=FQ","BEST_FPERIOD_OVERRIDE=FQ","FILING_STATUS=MR","FA_ADJUSTED=GAAP","Sort=A","Dates=H","DateFormat=P","Fill=—","Direction=H","UseDPDF=Y")</f>
        <v>2.2532999999999999</v>
      </c>
      <c r="S13" s="14">
        <f>_xll.BDH("GILD US Equity","NET_DEBT_EBITDA_EX_OPER_LEA_ACT","FQ4 2022","FQ4 2022","Currency=USD","Period=FQ","BEST_FPERIOD_OVERRIDE=FQ","FILING_STATUS=MR","FA_ADJUSTED=GAAP","Sort=A","Dates=H","DateFormat=P","Fill=—","Direction=H","UseDPDF=Y")</f>
        <v>1.8657999999999999</v>
      </c>
      <c r="T13" s="14">
        <f>_xll.BDH("GILD US Equity","NET_DEBT_EBITDA_EX_OPER_LEA_ACT","FQ1 2023","FQ1 2023","Currency=USD","Period=FQ","BEST_FPERIOD_OVERRIDE=FQ","FILING_STATUS=MR","FA_ADJUSTED=GAAP","Sort=A","Dates=H","DateFormat=P","Fill=—","Direction=H","UseDPDF=Y")</f>
        <v>1.6316999999999999</v>
      </c>
      <c r="U13" s="14">
        <f>_xll.BDH("GILD US Equity","NET_DEBT_EBITDA_EX_OPER_LEA_ACT","FQ2 2023","FQ2 2023","Currency=USD","Period=FQ","BEST_FPERIOD_OVERRIDE=FQ","FILING_STATUS=MR","FA_ADJUSTED=GAAP","Sort=A","Dates=H","DateFormat=P","Fill=—","Direction=H","UseDPDF=Y")</f>
        <v>1.5896999999999999</v>
      </c>
      <c r="V13" s="14">
        <f>_xll.BDH("GILD US Equity","NET_DEBT_EBITDA_EX_OPER_LEA_ACT","FQ3 2023","FQ3 2023","Currency=USD","Period=FQ","BEST_FPERIOD_OVERRIDE=FQ","FILING_STATUS=MR","FA_ADJUSTED=GAAP","Sort=A","Dates=H","DateFormat=P","Fill=—","Direction=H","UseDPDF=Y")</f>
        <v>1.5716000000000001</v>
      </c>
      <c r="W13" s="14">
        <f>_xll.BDH("GILD US Equity","NET_DEBT_EBITDA_EX_OPER_LEA_ACT","FQ4 2023","FQ4 2023","Currency=USD","Period=FQ","BEST_FPERIOD_OVERRIDE=FQ","FILING_STATUS=MR","FA_ADJUSTED=GAAP","Sort=A","Dates=H","DateFormat=P","Fill=—","Direction=H","UseDPDF=Y")</f>
        <v>1.6081000000000001</v>
      </c>
      <c r="X13" s="14">
        <f>_xll.BDH("GILD US Equity","NET_DEBT_EBITDA_EX_OPER_LEA_ACT","FQ1 2024","FQ1 2024","Currency=USD","Period=FQ","BEST_FPERIOD_OVERRIDE=FQ","FILING_STATUS=MR","FA_ADJUSTED=GAAP","Sort=A","Dates=H","DateFormat=P","Fill=—","Direction=H","UseDPDF=Y")</f>
        <v>4.7386999999999997</v>
      </c>
      <c r="Y13" s="14">
        <f>_xll.BDH("GILD US Equity","NET_DEBT_EBITDA_EX_OPER_LEA_ACT","FQ2 2024","FQ2 2024","Currency=USD","Period=FQ","BEST_FPERIOD_OVERRIDE=FQ","FILING_STATUS=MR","FA_ADJUSTED=GAAP","Sort=A","Dates=H","DateFormat=P","Fill=—","Direction=H","UseDPDF=Y")</f>
        <v>3.8731</v>
      </c>
      <c r="Z13" s="14">
        <f>_xll.BDH("GILD US Equity","NET_DEBT_EBITDA_EX_OPER_LEA_ACT","FQ3 2024","FQ3 2024","Currency=USD","Period=FQ","BEST_FPERIOD_OVERRIDE=FQ","FILING_STATUS=MR","FA_ADJUSTED=GAAP","Sort=A","Dates=H","DateFormat=P","Fill=—","Direction=H","UseDPDF=Y")</f>
        <v>5.0815000000000001</v>
      </c>
      <c r="AA13" s="14">
        <f>_xll.BDH("GILD US Equity","NET_DEBT_EBITDA_EX_OPER_LEA_ACT","FQ4 2024","FQ4 2024","Currency=USD","Period=FQ","BEST_FPERIOD_OVERRIDE=FQ","FILING_STATUS=MR","FA_ADJUSTED=GAAP","Sort=A","Dates=H","DateFormat=P","Fill=—","Direction=H","UseDPDF=Y")</f>
        <v>3.7759999999999998</v>
      </c>
    </row>
    <row r="14" spans="1:27" x14ac:dyDescent="0.25">
      <c r="A14" s="10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10" t="s">
        <v>1615</v>
      </c>
      <c r="B15" s="10" t="s">
        <v>1648</v>
      </c>
      <c r="C15" s="14">
        <f>_xll.BDH("GILD US Equity","TOT_DEBT_TO_EBIT_EX_OPER_LEA_ACT","FQ4 2018","FQ4 2018","Currency=USD","Period=FQ","BEST_FPERIOD_OVERRIDE=FQ","FILING_STATUS=MR","FA_ADJUSTED=GAAP","Sort=A","Dates=H","DateFormat=P","Fill=—","Direction=H","UseDPDF=Y")</f>
        <v>3.3319999999999999</v>
      </c>
      <c r="D15" s="14">
        <f>_xll.BDH("GILD US Equity","TOT_DEBT_TO_EBIT_EX_OPER_LEA_ACT","FQ1 2019","FQ1 2019","Currency=USD","Period=FQ","BEST_FPERIOD_OVERRIDE=FQ","FILING_STATUS=MR","FA_ADJUSTED=GAAP","Sort=A","Dates=H","DateFormat=P","Fill=—","Direction=H","UseDPDF=Y")</f>
        <v>3.2084000000000001</v>
      </c>
      <c r="E15" s="14">
        <f>_xll.BDH("GILD US Equity","TOT_DEBT_TO_EBIT_EX_OPER_LEA_ACT","FQ2 2019","FQ2 2019","Currency=USD","Period=FQ","BEST_FPERIOD_OVERRIDE=FQ","FILING_STATUS=MR","FA_ADJUSTED=GAAP","Sort=A","Dates=H","DateFormat=P","Fill=—","Direction=H","UseDPDF=Y")</f>
        <v>3.0926</v>
      </c>
      <c r="F15" s="14">
        <f>_xll.BDH("GILD US Equity","TOT_DEBT_TO_EBIT_EX_OPER_LEA_ACT","FQ3 2019","FQ3 2019","Currency=USD","Period=FQ","BEST_FPERIOD_OVERRIDE=FQ","FILING_STATUS=MR","FA_ADJUSTED=GAAP","Sort=A","Dates=H","DateFormat=P","Fill=—","Direction=H","UseDPDF=Y")</f>
        <v>5.6680000000000001</v>
      </c>
      <c r="G15" s="14">
        <f>_xll.BDH("GILD US Equity","TOT_DEBT_TO_EBIT_EX_OPER_LEA_ACT","FQ4 2019","FQ4 2019","Currency=USD","Period=FQ","BEST_FPERIOD_OVERRIDE=FQ","FILING_STATUS=MR","FA_ADJUSTED=GAAP","Sort=A","Dates=H","DateFormat=P","Fill=—","Direction=H","UseDPDF=Y")</f>
        <v>5.7366000000000001</v>
      </c>
      <c r="H15" s="14">
        <f>_xll.BDH("GILD US Equity","TOT_DEBT_TO_EBIT_EX_OPER_LEA_ACT","FQ1 2020","FQ1 2020","Currency=USD","Period=FQ","BEST_FPERIOD_OVERRIDE=FQ","FILING_STATUS=MR","FA_ADJUSTED=GAAP","Sort=A","Dates=H","DateFormat=P","Fill=—","Direction=H","UseDPDF=Y")</f>
        <v>5.4126000000000003</v>
      </c>
      <c r="I15" s="14" t="str">
        <f>_xll.BDH("GILD US Equity","TOT_DEBT_TO_EBIT_EX_OPER_LEA_ACT","FQ2 2020","FQ2 2020","Currency=USD","Period=FQ","BEST_FPERIOD_OVERRIDE=FQ","FILING_STATUS=MR","FA_ADJUSTED=GAAP","Sort=A","Dates=H","DateFormat=P","Fill=—","Direction=H","UseDPDF=Y")</f>
        <v>—</v>
      </c>
      <c r="J15" s="14">
        <f>_xll.BDH("GILD US Equity","TOT_DEBT_TO_EBIT_EX_OPER_LEA_ACT","FQ3 2020","FQ3 2020","Currency=USD","Period=FQ","BEST_FPERIOD_OVERRIDE=FQ","FILING_STATUS=MR","FA_ADJUSTED=GAAP","Sort=A","Dates=H","DateFormat=P","Fill=—","Direction=H","UseDPDF=Y")</f>
        <v>11.6554</v>
      </c>
      <c r="K15" s="14">
        <f>_xll.BDH("GILD US Equity","TOT_DEBT_TO_EBIT_EX_OPER_LEA_ACT","FQ4 2020","FQ4 2020","Currency=USD","Period=FQ","BEST_FPERIOD_OVERRIDE=FQ","FILING_STATUS=MR","FA_ADJUSTED=GAAP","Sort=A","Dates=H","DateFormat=P","Fill=—","Direction=H","UseDPDF=Y")</f>
        <v>7.7135999999999996</v>
      </c>
      <c r="L15" s="14">
        <f>_xll.BDH("GILD US Equity","TOT_DEBT_TO_EBIT_EX_OPER_LEA_ACT","FQ1 2021","FQ1 2021","Currency=USD","Period=FQ","BEST_FPERIOD_OVERRIDE=FQ","FILING_STATUS=MR","FA_ADJUSTED=GAAP","Sort=A","Dates=H","DateFormat=P","Fill=—","Direction=H","UseDPDF=Y")</f>
        <v>6.6167999999999996</v>
      </c>
      <c r="M15" s="14">
        <f>_xll.BDH("GILD US Equity","TOT_DEBT_TO_EBIT_EX_OPER_LEA_ACT","FQ2 2021","FQ2 2021","Currency=USD","Period=FQ","BEST_FPERIOD_OVERRIDE=FQ","FILING_STATUS=MR","FA_ADJUSTED=GAAP","Sort=A","Dates=H","DateFormat=P","Fill=—","Direction=H","UseDPDF=Y")</f>
        <v>3.0829</v>
      </c>
      <c r="N15" s="14">
        <f>_xll.BDH("GILD US Equity","TOT_DEBT_TO_EBIT_EX_OPER_LEA_ACT","FQ3 2021","FQ3 2021","Currency=USD","Period=FQ","BEST_FPERIOD_OVERRIDE=FQ","FILING_STATUS=MR","FA_ADJUSTED=GAAP","Sort=A","Dates=H","DateFormat=P","Fill=—","Direction=H","UseDPDF=Y")</f>
        <v>2.3807999999999998</v>
      </c>
      <c r="O15" s="14">
        <f>_xll.BDH("GILD US Equity","TOT_DEBT_TO_EBIT_EX_OPER_LEA_ACT","FQ4 2021","FQ4 2021","Currency=USD","Period=FQ","BEST_FPERIOD_OVERRIDE=FQ","FILING_STATUS=MR","FA_ADJUSTED=GAAP","Sort=A","Dates=H","DateFormat=P","Fill=—","Direction=H","UseDPDF=Y")</f>
        <v>2.6916000000000002</v>
      </c>
      <c r="P15" s="14">
        <f>_xll.BDH("GILD US Equity","TOT_DEBT_TO_EBIT_EX_OPER_LEA_ACT","FQ1 2022","FQ1 2022","Currency=USD","Period=FQ","BEST_FPERIOD_OVERRIDE=FQ","FILING_STATUS=MR","FA_ADJUSTED=GAAP","Sort=A","Dates=H","DateFormat=P","Fill=—","Direction=H","UseDPDF=Y")</f>
        <v>3.6274000000000002</v>
      </c>
      <c r="Q15" s="14">
        <f>_xll.BDH("GILD US Equity","TOT_DEBT_TO_EBIT_EX_OPER_LEA_ACT","FQ2 2022","FQ2 2022","Currency=USD","Period=FQ","BEST_FPERIOD_OVERRIDE=FQ","FILING_STATUS=MR","FA_ADJUSTED=GAAP","Sort=A","Dates=H","DateFormat=P","Fill=—","Direction=H","UseDPDF=Y")</f>
        <v>3.7408999999999999</v>
      </c>
      <c r="R15" s="14">
        <f>_xll.BDH("GILD US Equity","TOT_DEBT_TO_EBIT_EX_OPER_LEA_ACT","FQ3 2022","FQ3 2022","Currency=USD","Period=FQ","BEST_FPERIOD_OVERRIDE=FQ","FILING_STATUS=MR","FA_ADJUSTED=GAAP","Sort=A","Dates=H","DateFormat=P","Fill=—","Direction=H","UseDPDF=Y")</f>
        <v>4.2016999999999998</v>
      </c>
      <c r="S15" s="14">
        <f>_xll.BDH("GILD US Equity","TOT_DEBT_TO_EBIT_EX_OPER_LEA_ACT","FQ4 2022","FQ4 2022","Currency=USD","Period=FQ","BEST_FPERIOD_OVERRIDE=FQ","FILING_STATUS=MR","FA_ADJUSTED=GAAP","Sort=A","Dates=H","DateFormat=P","Fill=—","Direction=H","UseDPDF=Y")</f>
        <v>3.4420000000000002</v>
      </c>
      <c r="T15" s="14">
        <f>_xll.BDH("GILD US Equity","TOT_DEBT_TO_EBIT_EX_OPER_LEA_ACT","FQ1 2023","FQ1 2023","Currency=USD","Period=FQ","BEST_FPERIOD_OVERRIDE=FQ","FILING_STATUS=MR","FA_ADJUSTED=GAAP","Sort=A","Dates=H","DateFormat=P","Fill=—","Direction=H","UseDPDF=Y")</f>
        <v>2.8557000000000001</v>
      </c>
      <c r="U15" s="14">
        <f>_xll.BDH("GILD US Equity","TOT_DEBT_TO_EBIT_EX_OPER_LEA_ACT","FQ2 2023","FQ2 2023","Currency=USD","Period=FQ","BEST_FPERIOD_OVERRIDE=FQ","FILING_STATUS=MR","FA_ADJUSTED=GAAP","Sort=A","Dates=H","DateFormat=P","Fill=—","Direction=H","UseDPDF=Y")</f>
        <v>2.9792000000000001</v>
      </c>
      <c r="V15" s="14">
        <f>_xll.BDH("GILD US Equity","TOT_DEBT_TO_EBIT_EX_OPER_LEA_ACT","FQ3 2023","FQ3 2023","Currency=USD","Period=FQ","BEST_FPERIOD_OVERRIDE=FQ","FILING_STATUS=MR","FA_ADJUSTED=GAAP","Sort=A","Dates=H","DateFormat=P","Fill=—","Direction=H","UseDPDF=Y")</f>
        <v>3.0245000000000002</v>
      </c>
      <c r="W15" s="14">
        <f>_xll.BDH("GILD US Equity","TOT_DEBT_TO_EBIT_EX_OPER_LEA_ACT","FQ4 2023","FQ4 2023","Currency=USD","Period=FQ","BEST_FPERIOD_OVERRIDE=FQ","FILING_STATUS=MR","FA_ADJUSTED=GAAP","Sort=A","Dates=H","DateFormat=P","Fill=—","Direction=H","UseDPDF=Y")</f>
        <v>3.2856000000000001</v>
      </c>
      <c r="X15" s="14">
        <f>_xll.BDH("GILD US Equity","TOT_DEBT_TO_EBIT_EX_OPER_LEA_ACT","FQ1 2024","FQ1 2024","Currency=USD","Period=FQ","BEST_FPERIOD_OVERRIDE=FQ","FILING_STATUS=MR","FA_ADJUSTED=GAAP","Sort=A","Dates=H","DateFormat=P","Fill=—","Direction=H","UseDPDF=Y")</f>
        <v>15.9658</v>
      </c>
      <c r="Y15" s="14">
        <f>_xll.BDH("GILD US Equity","TOT_DEBT_TO_EBIT_EX_OPER_LEA_ACT","FQ2 2024","FQ2 2024","Currency=USD","Period=FQ","BEST_FPERIOD_OVERRIDE=FQ","FILING_STATUS=MR","FA_ADJUSTED=GAAP","Sort=A","Dates=H","DateFormat=P","Fill=—","Direction=H","UseDPDF=Y")</f>
        <v>9.1318000000000001</v>
      </c>
      <c r="Z15" s="14">
        <f>_xll.BDH("GILD US Equity","TOT_DEBT_TO_EBIT_EX_OPER_LEA_ACT","FQ3 2024","FQ3 2024","Currency=USD","Period=FQ","BEST_FPERIOD_OVERRIDE=FQ","FILING_STATUS=MR","FA_ADJUSTED=GAAP","Sort=A","Dates=H","DateFormat=P","Fill=—","Direction=H","UseDPDF=Y")</f>
        <v>28.2835</v>
      </c>
      <c r="AA15" s="14">
        <f>_xll.BDH("GILD US Equity","TOT_DEBT_TO_EBIT_EX_OPER_LEA_ACT","FQ4 2024","FQ4 2024","Currency=USD","Period=FQ","BEST_FPERIOD_OVERRIDE=FQ","FILING_STATUS=MR","FA_ADJUSTED=GAAP","Sort=A","Dates=H","DateFormat=P","Fill=—","Direction=H","UseDPDF=Y")</f>
        <v>16.081299999999999</v>
      </c>
    </row>
    <row r="16" spans="1:27" x14ac:dyDescent="0.25">
      <c r="A16" s="10" t="s">
        <v>1617</v>
      </c>
      <c r="B16" s="10" t="s">
        <v>1649</v>
      </c>
      <c r="C16" s="14">
        <f>_xll.BDH("GILD US Equity","NET_DEBT_TO_EBIT_EX_OPER_LEA_ACT","FQ4 2018","FQ4 2018","Currency=USD","Period=FQ","BEST_FPERIOD_OVERRIDE=FQ","FILING_STATUS=MR","FA_ADJUSTED=GAAP","Sort=A","Dates=H","DateFormat=P","Fill=—","Direction=H","UseDPDF=Y")</f>
        <v>-0.51100000000000001</v>
      </c>
      <c r="D16" s="14">
        <f>_xll.BDH("GILD US Equity","NET_DEBT_TO_EBIT_EX_OPER_LEA_ACT","FQ1 2019","FQ1 2019","Currency=USD","Period=FQ","BEST_FPERIOD_OVERRIDE=FQ","FILING_STATUS=MR","FA_ADJUSTED=GAAP","Sort=A","Dates=H","DateFormat=P","Fill=—","Direction=H","UseDPDF=Y")</f>
        <v>-0.42820000000000003</v>
      </c>
      <c r="E16" s="14">
        <f>_xll.BDH("GILD US Equity","NET_DEBT_TO_EBIT_EX_OPER_LEA_ACT","FQ2 2019","FQ2 2019","Currency=USD","Period=FQ","BEST_FPERIOD_OVERRIDE=FQ","FILING_STATUS=MR","FA_ADJUSTED=GAAP","Sort=A","Dates=H","DateFormat=P","Fill=—","Direction=H","UseDPDF=Y")</f>
        <v>-0.49220000000000003</v>
      </c>
      <c r="F16" s="14">
        <f>_xll.BDH("GILD US Equity","NET_DEBT_TO_EBIT_EX_OPER_LEA_ACT","FQ3 2019","FQ3 2019","Currency=USD","Period=FQ","BEST_FPERIOD_OVERRIDE=FQ","FILING_STATUS=MR","FA_ADJUSTED=GAAP","Sort=A","Dates=H","DateFormat=P","Fill=—","Direction=H","UseDPDF=Y")</f>
        <v>-0.1067</v>
      </c>
      <c r="G16" s="14">
        <f>_xll.BDH("GILD US Equity","NET_DEBT_TO_EBIT_EX_OPER_LEA_ACT","FQ4 2019","FQ4 2019","Currency=USD","Period=FQ","BEST_FPERIOD_OVERRIDE=FQ","FILING_STATUS=MR","FA_ADJUSTED=GAAP","Sort=A","Dates=H","DateFormat=P","Fill=—","Direction=H","UseDPDF=Y")</f>
        <v>-0.29089999999999999</v>
      </c>
      <c r="H16" s="14">
        <f>_xll.BDH("GILD US Equity","NET_DEBT_TO_EBIT_EX_OPER_LEA_ACT","FQ1 2020","FQ1 2020","Currency=USD","Period=FQ","BEST_FPERIOD_OVERRIDE=FQ","FILING_STATUS=MR","FA_ADJUSTED=GAAP","Sort=A","Dates=H","DateFormat=P","Fill=—","Direction=H","UseDPDF=Y")</f>
        <v>-4.87E-2</v>
      </c>
      <c r="I16" s="14" t="str">
        <f>_xll.BDH("GILD US Equity","NET_DEBT_TO_EBIT_EX_OPER_LEA_ACT","FQ2 2020","FQ2 2020","Currency=USD","Period=FQ","BEST_FPERIOD_OVERRIDE=FQ","FILING_STATUS=MR","FA_ADJUSTED=GAAP","Sort=A","Dates=H","DateFormat=P","Fill=—","Direction=H","UseDPDF=Y")</f>
        <v>—</v>
      </c>
      <c r="J16" s="14">
        <f>_xll.BDH("GILD US Equity","NET_DEBT_TO_EBIT_EX_OPER_LEA_ACT","FQ3 2020","FQ3 2020","Currency=USD","Period=FQ","BEST_FPERIOD_OVERRIDE=FQ","FILING_STATUS=MR","FA_ADJUSTED=GAAP","Sort=A","Dates=H","DateFormat=P","Fill=—","Direction=H","UseDPDF=Y")</f>
        <v>1.2897000000000001</v>
      </c>
      <c r="K16" s="14">
        <f>_xll.BDH("GILD US Equity","NET_DEBT_TO_EBIT_EX_OPER_LEA_ACT","FQ4 2020","FQ4 2020","Currency=USD","Period=FQ","BEST_FPERIOD_OVERRIDE=FQ","FILING_STATUS=MR","FA_ADJUSTED=GAAP","Sort=A","Dates=H","DateFormat=P","Fill=—","Direction=H","UseDPDF=Y")</f>
        <v>5.7706</v>
      </c>
      <c r="L16" s="14">
        <f>_xll.BDH("GILD US Equity","NET_DEBT_TO_EBIT_EX_OPER_LEA_ACT","FQ1 2021","FQ1 2021","Currency=USD","Period=FQ","BEST_FPERIOD_OVERRIDE=FQ","FILING_STATUS=MR","FA_ADJUSTED=GAAP","Sort=A","Dates=H","DateFormat=P","Fill=—","Direction=H","UseDPDF=Y")</f>
        <v>5.2469999999999999</v>
      </c>
      <c r="M16" s="14">
        <f>_xll.BDH("GILD US Equity","NET_DEBT_TO_EBIT_EX_OPER_LEA_ACT","FQ2 2021","FQ2 2021","Currency=USD","Period=FQ","BEST_FPERIOD_OVERRIDE=FQ","FILING_STATUS=MR","FA_ADJUSTED=GAAP","Sort=A","Dates=H","DateFormat=P","Fill=—","Direction=H","UseDPDF=Y")</f>
        <v>2.3308</v>
      </c>
      <c r="N16" s="14">
        <f>_xll.BDH("GILD US Equity","NET_DEBT_TO_EBIT_EX_OPER_LEA_ACT","FQ3 2021","FQ3 2021","Currency=USD","Period=FQ","BEST_FPERIOD_OVERRIDE=FQ","FILING_STATUS=MR","FA_ADJUSTED=GAAP","Sort=A","Dates=H","DateFormat=P","Fill=—","Direction=H","UseDPDF=Y")</f>
        <v>1.7927999999999999</v>
      </c>
      <c r="O16" s="14">
        <f>_xll.BDH("GILD US Equity","NET_DEBT_TO_EBIT_EX_OPER_LEA_ACT","FQ4 2021","FQ4 2021","Currency=USD","Period=FQ","BEST_FPERIOD_OVERRIDE=FQ","FILING_STATUS=MR","FA_ADJUSTED=GAAP","Sort=A","Dates=H","DateFormat=P","Fill=—","Direction=H","UseDPDF=Y")</f>
        <v>1.9021999999999999</v>
      </c>
      <c r="P16" s="14">
        <f>_xll.BDH("GILD US Equity","NET_DEBT_TO_EBIT_EX_OPER_LEA_ACT","FQ1 2022","FQ1 2022","Currency=USD","Period=FQ","BEST_FPERIOD_OVERRIDE=FQ","FILING_STATUS=MR","FA_ADJUSTED=GAAP","Sort=A","Dates=H","DateFormat=P","Fill=—","Direction=H","UseDPDF=Y")</f>
        <v>2.6928999999999998</v>
      </c>
      <c r="Q16" s="14">
        <f>_xll.BDH("GILD US Equity","NET_DEBT_TO_EBIT_EX_OPER_LEA_ACT","FQ2 2022","FQ2 2022","Currency=USD","Period=FQ","BEST_FPERIOD_OVERRIDE=FQ","FILING_STATUS=MR","FA_ADJUSTED=GAAP","Sort=A","Dates=H","DateFormat=P","Fill=—","Direction=H","UseDPDF=Y")</f>
        <v>2.742</v>
      </c>
      <c r="R16" s="14">
        <f>_xll.BDH("GILD US Equity","NET_DEBT_TO_EBIT_EX_OPER_LEA_ACT","FQ3 2022","FQ3 2022","Currency=USD","Period=FQ","BEST_FPERIOD_OVERRIDE=FQ","FILING_STATUS=MR","FA_ADJUSTED=GAAP","Sort=A","Dates=H","DateFormat=P","Fill=—","Direction=H","UseDPDF=Y")</f>
        <v>3.0453000000000001</v>
      </c>
      <c r="S16" s="14">
        <f>_xll.BDH("GILD US Equity","NET_DEBT_TO_EBIT_EX_OPER_LEA_ACT","FQ4 2022","FQ4 2022","Currency=USD","Period=FQ","BEST_FPERIOD_OVERRIDE=FQ","FILING_STATUS=MR","FA_ADJUSTED=GAAP","Sort=A","Dates=H","DateFormat=P","Fill=—","Direction=H","UseDPDF=Y")</f>
        <v>2.4011</v>
      </c>
      <c r="T16" s="14">
        <f>_xll.BDH("GILD US Equity","NET_DEBT_TO_EBIT_EX_OPER_LEA_ACT","FQ1 2023","FQ1 2023","Currency=USD","Period=FQ","BEST_FPERIOD_OVERRIDE=FQ","FILING_STATUS=MR","FA_ADJUSTED=GAAP","Sort=A","Dates=H","DateFormat=P","Fill=—","Direction=H","UseDPDF=Y")</f>
        <v>2.0411999999999999</v>
      </c>
      <c r="U16" s="14">
        <f>_xll.BDH("GILD US Equity","NET_DEBT_TO_EBIT_EX_OPER_LEA_ACT","FQ2 2023","FQ2 2023","Currency=USD","Period=FQ","BEST_FPERIOD_OVERRIDE=FQ","FILING_STATUS=MR","FA_ADJUSTED=GAAP","Sort=A","Dates=H","DateFormat=P","Fill=—","Direction=H","UseDPDF=Y")</f>
        <v>2.0350000000000001</v>
      </c>
      <c r="V16" s="14">
        <f>_xll.BDH("GILD US Equity","NET_DEBT_TO_EBIT_EX_OPER_LEA_ACT","FQ3 2023","FQ3 2023","Currency=USD","Period=FQ","BEST_FPERIOD_OVERRIDE=FQ","FILING_STATUS=MR","FA_ADJUSTED=GAAP","Sort=A","Dates=H","DateFormat=P","Fill=—","Direction=H","UseDPDF=Y")</f>
        <v>2.0535000000000001</v>
      </c>
      <c r="W16" s="14">
        <f>_xll.BDH("GILD US Equity","NET_DEBT_TO_EBIT_EX_OPER_LEA_ACT","FQ4 2023","FQ4 2023","Currency=USD","Period=FQ","BEST_FPERIOD_OVERRIDE=FQ","FILING_STATUS=MR","FA_ADJUSTED=GAAP","Sort=A","Dates=H","DateFormat=P","Fill=—","Direction=H","UseDPDF=Y")</f>
        <v>2.1775000000000002</v>
      </c>
      <c r="X16" s="14">
        <f>_xll.BDH("GILD US Equity","NET_DEBT_TO_EBIT_EX_OPER_LEA_ACT","FQ1 2024","FQ1 2024","Currency=USD","Period=FQ","BEST_FPERIOD_OVERRIDE=FQ","FILING_STATUS=MR","FA_ADJUSTED=GAAP","Sort=A","Dates=H","DateFormat=P","Fill=—","Direction=H","UseDPDF=Y")</f>
        <v>12.975899999999999</v>
      </c>
      <c r="Y16" s="14">
        <f>_xll.BDH("GILD US Equity","NET_DEBT_TO_EBIT_EX_OPER_LEA_ACT","FQ2 2024","FQ2 2024","Currency=USD","Period=FQ","BEST_FPERIOD_OVERRIDE=FQ","FILING_STATUS=MR","FA_ADJUSTED=GAAP","Sort=A","Dates=H","DateFormat=P","Fill=—","Direction=H","UseDPDF=Y")</f>
        <v>8.0477000000000007</v>
      </c>
      <c r="Z16" s="14">
        <f>_xll.BDH("GILD US Equity","NET_DEBT_TO_EBIT_EX_OPER_LEA_ACT","FQ3 2024","FQ3 2024","Currency=USD","Period=FQ","BEST_FPERIOD_OVERRIDE=FQ","FILING_STATUS=MR","FA_ADJUSTED=GAAP","Sort=A","Dates=H","DateFormat=P","Fill=—","Direction=H","UseDPDF=Y")</f>
        <v>22.1557</v>
      </c>
      <c r="AA16" s="14">
        <f>_xll.BDH("GILD US Equity","NET_DEBT_TO_EBIT_EX_OPER_LEA_ACT","FQ4 2024","FQ4 2024","Currency=USD","Period=FQ","BEST_FPERIOD_OVERRIDE=FQ","FILING_STATUS=MR","FA_ADJUSTED=GAAP","Sort=A","Dates=H","DateFormat=P","Fill=—","Direction=H","UseDPDF=Y")</f>
        <v>10.0662</v>
      </c>
    </row>
    <row r="17" spans="1:27" x14ac:dyDescent="0.25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5">
      <c r="A18" s="10" t="s">
        <v>1619</v>
      </c>
      <c r="B18" s="10" t="s">
        <v>1650</v>
      </c>
      <c r="C18" s="14">
        <f>_xll.BDH("GILD US Equity","EBITDA_AFT_OP_LEA_EXP_TO_INT_EXP","FQ4 2018","FQ4 2018","Currency=USD","Period=FQ","BEST_FPERIOD_OVERRIDE=FQ","FILING_STATUS=MR","FA_ADJUSTED=GAAP","Sort=A","Dates=H","DateFormat=P","Fill=—","Direction=H","UseDPDF=Y")</f>
        <v>5.8444000000000003</v>
      </c>
      <c r="D18" s="14">
        <f>_xll.BDH("GILD US Equity","EBITDA_AFT_OP_LEA_EXP_TO_INT_EXP","FQ1 2019","FQ1 2019","Currency=USD","Period=FQ","BEST_FPERIOD_OVERRIDE=FQ","FILING_STATUS=MR","FA_ADJUSTED=GAAP","Sort=A","Dates=H","DateFormat=P","Fill=—","Direction=H","UseDPDF=Y")</f>
        <v>10.220499999999999</v>
      </c>
      <c r="E18" s="14">
        <f>_xll.BDH("GILD US Equity","EBITDA_AFT_OP_LEA_EXP_TO_INT_EXP","FQ2 2019","FQ2 2019","Currency=USD","Period=FQ","BEST_FPERIOD_OVERRIDE=FQ","FILING_STATUS=MR","FA_ADJUSTED=GAAP","Sort=A","Dates=H","DateFormat=P","Fill=—","Direction=H","UseDPDF=Y")</f>
        <v>11.201599999999999</v>
      </c>
      <c r="F18" s="14">
        <f>_xll.BDH("GILD US Equity","EBITDA_AFT_OP_LEA_EXP_TO_INT_EXP","FQ3 2019","FQ3 2019","Currency=USD","Period=FQ","BEST_FPERIOD_OVERRIDE=FQ","FILING_STATUS=MR","FA_ADJUSTED=GAAP","Sort=A","Dates=H","DateFormat=P","Fill=—","Direction=H","UseDPDF=Y")</f>
        <v>-4.5039999999999996</v>
      </c>
      <c r="G18" s="14">
        <f>_xll.BDH("GILD US Equity","EBITDA_AFT_OP_LEA_EXP_TO_INT_EXP","FQ4 2019","FQ4 2019","Currency=USD","Period=FQ","BEST_FPERIOD_OVERRIDE=FQ","FILING_STATUS=MR","FA_ADJUSTED=GAAP","Sort=A","Dates=H","DateFormat=P","Fill=—","Direction=H","UseDPDF=Y")</f>
        <v>5.9382999999999999</v>
      </c>
      <c r="H18" s="14">
        <f>_xll.BDH("GILD US Equity","EBITDA_AFT_OP_LEA_EXP_TO_INT_EXP","FQ1 2020","FQ1 2020","Currency=USD","Period=FQ","BEST_FPERIOD_OVERRIDE=FQ","FILING_STATUS=MR","FA_ADJUSTED=GAAP","Sort=A","Dates=H","DateFormat=P","Fill=—","Direction=H","UseDPDF=Y")</f>
        <v>11.414899999999999</v>
      </c>
      <c r="I18" s="14">
        <f>_xll.BDH("GILD US Equity","EBITDA_AFT_OP_LEA_EXP_TO_INT_EXP","FQ2 2020","FQ2 2020","Currency=USD","Period=FQ","BEST_FPERIOD_OVERRIDE=FQ","FILING_STATUS=MR","FA_ADJUSTED=GAAP","Sort=A","Dates=H","DateFormat=P","Fill=—","Direction=H","UseDPDF=Y")</f>
        <v>-10.975</v>
      </c>
      <c r="J18" s="14">
        <f>_xll.BDH("GILD US Equity","EBITDA_AFT_OP_LEA_EXP_TO_INT_EXP","FQ3 2020","FQ3 2020","Currency=USD","Period=FQ","BEST_FPERIOD_OVERRIDE=FQ","FILING_STATUS=MR","FA_ADJUSTED=GAAP","Sort=A","Dates=H","DateFormat=P","Fill=—","Direction=H","UseDPDF=Y")</f>
        <v>9.9831000000000003</v>
      </c>
      <c r="K18" s="14">
        <f>_xll.BDH("GILD US Equity","EBITDA_AFT_OP_LEA_EXP_TO_INT_EXP","FQ4 2020","FQ4 2020","Currency=USD","Period=FQ","BEST_FPERIOD_OVERRIDE=FQ","FILING_STATUS=MR","FA_ADJUSTED=GAAP","Sort=A","Dates=H","DateFormat=P","Fill=—","Direction=H","UseDPDF=Y")</f>
        <v>11.5281</v>
      </c>
      <c r="L18" s="14">
        <f>_xll.BDH("GILD US Equity","EBITDA_AFT_OP_LEA_EXP_TO_INT_EXP","FQ1 2021","FQ1 2021","Currency=USD","Period=FQ","BEST_FPERIOD_OVERRIDE=FQ","FILING_STATUS=MR","FA_ADJUSTED=GAAP","Sort=A","Dates=H","DateFormat=P","Fill=—","Direction=H","UseDPDF=Y")</f>
        <v>13.085599999999999</v>
      </c>
      <c r="M18" s="14">
        <f>_xll.BDH("GILD US Equity","EBITDA_AFT_OP_LEA_EXP_TO_INT_EXP","FQ2 2021","FQ2 2021","Currency=USD","Period=FQ","BEST_FPERIOD_OVERRIDE=FQ","FILING_STATUS=MR","FA_ADJUSTED=GAAP","Sort=A","Dates=H","DateFormat=P","Fill=—","Direction=H","UseDPDF=Y")</f>
        <v>10.800800000000001</v>
      </c>
      <c r="N18" s="14">
        <f>_xll.BDH("GILD US Equity","EBITDA_AFT_OP_LEA_EXP_TO_INT_EXP","FQ3 2021","FQ3 2021","Currency=USD","Period=FQ","BEST_FPERIOD_OVERRIDE=FQ","FILING_STATUS=MR","FA_ADJUSTED=GAAP","Sort=A","Dates=H","DateFormat=P","Fill=—","Direction=H","UseDPDF=Y")</f>
        <v>17.46</v>
      </c>
      <c r="O18" s="14">
        <f>_xll.BDH("GILD US Equity","EBITDA_AFT_OP_LEA_EXP_TO_INT_EXP","FQ4 2021","FQ4 2021","Currency=USD","Period=FQ","BEST_FPERIOD_OVERRIDE=FQ","FILING_STATUS=MR","FA_ADJUSTED=GAAP","Sort=A","Dates=H","DateFormat=P","Fill=—","Direction=H","UseDPDF=Y")</f>
        <v>6.1974999999999998</v>
      </c>
      <c r="P18" s="14">
        <f>_xll.BDH("GILD US Equity","EBITDA_AFT_OP_LEA_EXP_TO_INT_EXP","FQ1 2022","FQ1 2022","Currency=USD","Period=FQ","BEST_FPERIOD_OVERRIDE=FQ","FILING_STATUS=MR","FA_ADJUSTED=GAAP","Sort=A","Dates=H","DateFormat=P","Fill=—","Direction=H","UseDPDF=Y")</f>
        <v>3.0335999999999999</v>
      </c>
      <c r="Q18" s="14">
        <f>_xll.BDH("GILD US Equity","EBITDA_AFT_OP_LEA_EXP_TO_INT_EXP","FQ2 2022","FQ2 2022","Currency=USD","Period=FQ","BEST_FPERIOD_OVERRIDE=FQ","FILING_STATUS=MR","FA_ADJUSTED=GAAP","Sort=A","Dates=H","DateFormat=P","Fill=—","Direction=H","UseDPDF=Y")</f>
        <v>10.553699999999999</v>
      </c>
      <c r="R18" s="14">
        <f>_xll.BDH("GILD US Equity","EBITDA_AFT_OP_LEA_EXP_TO_INT_EXP","FQ3 2022","FQ3 2022","Currency=USD","Period=FQ","BEST_FPERIOD_OVERRIDE=FQ","FILING_STATUS=MR","FA_ADJUSTED=GAAP","Sort=A","Dates=H","DateFormat=P","Fill=—","Direction=H","UseDPDF=Y")</f>
        <v>14.6812</v>
      </c>
      <c r="S18" s="14">
        <f>_xll.BDH("GILD US Equity","EBITDA_AFT_OP_LEA_EXP_TO_INT_EXP","FQ4 2022","FQ4 2022","Currency=USD","Period=FQ","BEST_FPERIOD_OVERRIDE=FQ","FILING_STATUS=MR","FA_ADJUSTED=GAAP","Sort=A","Dates=H","DateFormat=P","Fill=—","Direction=H","UseDPDF=Y")</f>
        <v>12.312799999999999</v>
      </c>
      <c r="T18" s="14">
        <f>_xll.BDH("GILD US Equity","EBITDA_AFT_OP_LEA_EXP_TO_INT_EXP","FQ1 2023","FQ1 2023","Currency=USD","Period=FQ","BEST_FPERIOD_OVERRIDE=FQ","FILING_STATUS=MR","FA_ADJUSTED=GAAP","Sort=A","Dates=H","DateFormat=P","Fill=—","Direction=H","UseDPDF=Y")</f>
        <v>10.1957</v>
      </c>
      <c r="U18" s="14">
        <f>_xll.BDH("GILD US Equity","EBITDA_AFT_OP_LEA_EXP_TO_INT_EXP","FQ2 2023","FQ2 2023","Currency=USD","Period=FQ","BEST_FPERIOD_OVERRIDE=FQ","FILING_STATUS=MR","FA_ADJUSTED=GAAP","Sort=A","Dates=H","DateFormat=P","Fill=—","Direction=H","UseDPDF=Y")</f>
        <v>10.199999999999999</v>
      </c>
      <c r="V18" s="14">
        <f>_xll.BDH("GILD US Equity","EBITDA_AFT_OP_LEA_EXP_TO_INT_EXP","FQ3 2023","FQ3 2023","Currency=USD","Period=FQ","BEST_FPERIOD_OVERRIDE=FQ","FILING_STATUS=MR","FA_ADJUSTED=GAAP","Sort=A","Dates=H","DateFormat=P","Fill=—","Direction=H","UseDPDF=Y")</f>
        <v>14.254300000000001</v>
      </c>
      <c r="W18" s="14">
        <f>_xll.BDH("GILD US Equity","EBITDA_AFT_OP_LEA_EXP_TO_INT_EXP","FQ4 2023","FQ4 2023","Currency=USD","Period=FQ","BEST_FPERIOD_OVERRIDE=FQ","FILING_STATUS=MR","FA_ADJUSTED=GAAP","Sort=A","Dates=H","DateFormat=P","Fill=—","Direction=H","UseDPDF=Y")</f>
        <v>9.1270000000000007</v>
      </c>
      <c r="X18" s="14">
        <f>_xll.BDH("GILD US Equity","EBITDA_AFT_OP_LEA_EXP_TO_INT_EXP","FQ1 2024","FQ1 2024","Currency=USD","Period=FQ","BEST_FPERIOD_OVERRIDE=FQ","FILING_STATUS=MR","FA_ADJUSTED=GAAP","Sort=A","Dates=H","DateFormat=P","Fill=—","Direction=H","UseDPDF=Y")</f>
        <v>-14.299200000000001</v>
      </c>
      <c r="Y18" s="14">
        <f>_xll.BDH("GILD US Equity","EBITDA_AFT_OP_LEA_EXP_TO_INT_EXP","FQ2 2024","FQ2 2024","Currency=USD","Period=FQ","BEST_FPERIOD_OVERRIDE=FQ","FILING_STATUS=MR","FA_ADJUSTED=GAAP","Sort=A","Dates=H","DateFormat=P","Fill=—","Direction=H","UseDPDF=Y")</f>
        <v>14.1441</v>
      </c>
      <c r="Z18" s="14">
        <f>_xll.BDH("GILD US Equity","EBITDA_AFT_OP_LEA_EXP_TO_INT_EXP","FQ3 2024","FQ3 2024","Currency=USD","Period=FQ","BEST_FPERIOD_OVERRIDE=FQ","FILING_STATUS=MR","FA_ADJUSTED=GAAP","Sort=A","Dates=H","DateFormat=P","Fill=—","Direction=H","UseDPDF=Y")</f>
        <v>6.6303000000000001</v>
      </c>
      <c r="AA18" s="14">
        <f>_xll.BDH("GILD US Equity","EBITDA_AFT_OP_LEA_EXP_TO_INT_EXP","FQ4 2024","FQ4 2024","Currency=USD","Period=FQ","BEST_FPERIOD_OVERRIDE=FQ","FILING_STATUS=MR","FA_ADJUSTED=GAAP","Sort=A","Dates=H","DateFormat=P","Fill=—","Direction=H","UseDPDF=Y")</f>
        <v>12.6774</v>
      </c>
    </row>
    <row r="19" spans="1:27" x14ac:dyDescent="0.25">
      <c r="A19" s="10" t="s">
        <v>1621</v>
      </c>
      <c r="B19" s="10" t="s">
        <v>1651</v>
      </c>
      <c r="C19" s="14">
        <f>_xll.BDH("GILD US Equity","EBITDA_AFT_CAPEX_OP_LEA_EX_INT","FQ4 2018","FQ4 2018","Currency=USD","Period=FQ","BEST_FPERIOD_OVERRIDE=FQ","FILING_STATUS=MR","FA_ADJUSTED=GAAP","Sort=A","Dates=H","DateFormat=P","Fill=—","Direction=H","UseDPDF=Y")</f>
        <v>4.8794000000000004</v>
      </c>
      <c r="D19" s="14">
        <f>_xll.BDH("GILD US Equity","EBITDA_AFT_CAPEX_OP_LEA_EX_INT","FQ1 2019","FQ1 2019","Currency=USD","Period=FQ","BEST_FPERIOD_OVERRIDE=FQ","FILING_STATUS=MR","FA_ADJUSTED=GAAP","Sort=A","Dates=H","DateFormat=P","Fill=—","Direction=H","UseDPDF=Y")</f>
        <v>9.2873999999999999</v>
      </c>
      <c r="E19" s="14">
        <f>_xll.BDH("GILD US Equity","EBITDA_AFT_CAPEX_OP_LEA_EX_INT","FQ2 2019","FQ2 2019","Currency=USD","Period=FQ","BEST_FPERIOD_OVERRIDE=FQ","FILING_STATUS=MR","FA_ADJUSTED=GAAP","Sort=A","Dates=H","DateFormat=P","Fill=—","Direction=H","UseDPDF=Y")</f>
        <v>10.4556</v>
      </c>
      <c r="F19" s="14">
        <f>_xll.BDH("GILD US Equity","EBITDA_AFT_CAPEX_OP_LEA_EX_INT","FQ3 2019","FQ3 2019","Currency=USD","Period=FQ","BEST_FPERIOD_OVERRIDE=FQ","FILING_STATUS=MR","FA_ADJUSTED=GAAP","Sort=A","Dates=H","DateFormat=P","Fill=—","Direction=H","UseDPDF=Y")</f>
        <v>-5.3040000000000003</v>
      </c>
      <c r="G19" s="14">
        <f>_xll.BDH("GILD US Equity","EBITDA_AFT_CAPEX_OP_LEA_EX_INT","FQ4 2019","FQ4 2019","Currency=USD","Period=FQ","BEST_FPERIOD_OVERRIDE=FQ","FILING_STATUS=MR","FA_ADJUSTED=GAAP","Sort=A","Dates=H","DateFormat=P","Fill=—","Direction=H","UseDPDF=Y")</f>
        <v>5.1029</v>
      </c>
      <c r="H19" s="14">
        <f>_xll.BDH("GILD US Equity","EBITDA_AFT_CAPEX_OP_LEA_EX_INT","FQ1 2020","FQ1 2020","Currency=USD","Period=FQ","BEST_FPERIOD_OVERRIDE=FQ","FILING_STATUS=MR","FA_ADJUSTED=GAAP","Sort=A","Dates=H","DateFormat=P","Fill=—","Direction=H","UseDPDF=Y")</f>
        <v>10.705399999999999</v>
      </c>
      <c r="I19" s="14">
        <f>_xll.BDH("GILD US Equity","EBITDA_AFT_CAPEX_OP_LEA_EX_INT","FQ2 2020","FQ2 2020","Currency=USD","Period=FQ","BEST_FPERIOD_OVERRIDE=FQ","FILING_STATUS=MR","FA_ADJUSTED=GAAP","Sort=A","Dates=H","DateFormat=P","Fill=—","Direction=H","UseDPDF=Y")</f>
        <v>-11.5708</v>
      </c>
      <c r="J19" s="14">
        <f>_xll.BDH("GILD US Equity","EBITDA_AFT_CAPEX_OP_LEA_EX_INT","FQ3 2020","FQ3 2020","Currency=USD","Period=FQ","BEST_FPERIOD_OVERRIDE=FQ","FILING_STATUS=MR","FA_ADJUSTED=GAAP","Sort=A","Dates=H","DateFormat=P","Fill=—","Direction=H","UseDPDF=Y")</f>
        <v>9.3262999999999998</v>
      </c>
      <c r="K19" s="14">
        <f>_xll.BDH("GILD US Equity","EBITDA_AFT_CAPEX_OP_LEA_EX_INT","FQ4 2020","FQ4 2020","Currency=USD","Period=FQ","BEST_FPERIOD_OVERRIDE=FQ","FILING_STATUS=MR","FA_ADJUSTED=GAAP","Sort=A","Dates=H","DateFormat=P","Fill=—","Direction=H","UseDPDF=Y")</f>
        <v>10.850199999999999</v>
      </c>
      <c r="L19" s="14">
        <f>_xll.BDH("GILD US Equity","EBITDA_AFT_CAPEX_OP_LEA_EX_INT","FQ1 2021","FQ1 2021","Currency=USD","Period=FQ","BEST_FPERIOD_OVERRIDE=FQ","FILING_STATUS=MR","FA_ADJUSTED=GAAP","Sort=A","Dates=H","DateFormat=P","Fill=—","Direction=H","UseDPDF=Y")</f>
        <v>12.4436</v>
      </c>
      <c r="M19" s="14">
        <f>_xll.BDH("GILD US Equity","EBITDA_AFT_CAPEX_OP_LEA_EX_INT","FQ2 2021","FQ2 2021","Currency=USD","Period=FQ","BEST_FPERIOD_OVERRIDE=FQ","FILING_STATUS=MR","FA_ADJUSTED=GAAP","Sort=A","Dates=H","DateFormat=P","Fill=—","Direction=H","UseDPDF=Y")</f>
        <v>10.335900000000001</v>
      </c>
      <c r="N19" s="14">
        <f>_xll.BDH("GILD US Equity","EBITDA_AFT_CAPEX_OP_LEA_EX_INT","FQ3 2021","FQ3 2021","Currency=USD","Period=FQ","BEST_FPERIOD_OVERRIDE=FQ","FILING_STATUS=MR","FA_ADJUSTED=GAAP","Sort=A","Dates=H","DateFormat=P","Fill=—","Direction=H","UseDPDF=Y")</f>
        <v>16.904</v>
      </c>
      <c r="O19" s="14">
        <f>_xll.BDH("GILD US Equity","EBITDA_AFT_CAPEX_OP_LEA_EX_INT","FQ4 2021","FQ4 2021","Currency=USD","Period=FQ","BEST_FPERIOD_OVERRIDE=FQ","FILING_STATUS=MR","FA_ADJUSTED=GAAP","Sort=A","Dates=H","DateFormat=P","Fill=—","Direction=H","UseDPDF=Y")</f>
        <v>5.5419999999999998</v>
      </c>
      <c r="P19" s="14">
        <f>_xll.BDH("GILD US Equity","EBITDA_AFT_CAPEX_OP_LEA_EX_INT","FQ1 2022","FQ1 2022","Currency=USD","Period=FQ","BEST_FPERIOD_OVERRIDE=FQ","FILING_STATUS=MR","FA_ADJUSTED=GAAP","Sort=A","Dates=H","DateFormat=P","Fill=—","Direction=H","UseDPDF=Y")</f>
        <v>1.9958</v>
      </c>
      <c r="Q19" s="14">
        <f>_xll.BDH("GILD US Equity","EBITDA_AFT_CAPEX_OP_LEA_EX_INT","FQ2 2022","FQ2 2022","Currency=USD","Period=FQ","BEST_FPERIOD_OVERRIDE=FQ","FILING_STATUS=MR","FA_ADJUSTED=GAAP","Sort=A","Dates=H","DateFormat=P","Fill=—","Direction=H","UseDPDF=Y")</f>
        <v>9.9627999999999997</v>
      </c>
      <c r="R19" s="14">
        <f>_xll.BDH("GILD US Equity","EBITDA_AFT_CAPEX_OP_LEA_EX_INT","FQ3 2022","FQ3 2022","Currency=USD","Period=FQ","BEST_FPERIOD_OVERRIDE=FQ","FILING_STATUS=MR","FA_ADJUSTED=GAAP","Sort=A","Dates=H","DateFormat=P","Fill=—","Direction=H","UseDPDF=Y")</f>
        <v>13.9956</v>
      </c>
      <c r="S19" s="14">
        <f>_xll.BDH("GILD US Equity","EBITDA_AFT_CAPEX_OP_LEA_EX_INT","FQ4 2022","FQ4 2022","Currency=USD","Period=FQ","BEST_FPERIOD_OVERRIDE=FQ","FILING_STATUS=MR","FA_ADJUSTED=GAAP","Sort=A","Dates=H","DateFormat=P","Fill=—","Direction=H","UseDPDF=Y")</f>
        <v>11.5154</v>
      </c>
      <c r="T19" s="14">
        <f>_xll.BDH("GILD US Equity","EBITDA_AFT_CAPEX_OP_LEA_EX_INT","FQ1 2023","FQ1 2023","Currency=USD","Period=FQ","BEST_FPERIOD_OVERRIDE=FQ","FILING_STATUS=MR","FA_ADJUSTED=GAAP","Sort=A","Dates=H","DateFormat=P","Fill=—","Direction=H","UseDPDF=Y")</f>
        <v>9.7217000000000002</v>
      </c>
      <c r="U19" s="14">
        <f>_xll.BDH("GILD US Equity","EBITDA_AFT_CAPEX_OP_LEA_EX_INT","FQ2 2023","FQ2 2023","Currency=USD","Period=FQ","BEST_FPERIOD_OVERRIDE=FQ","FILING_STATUS=MR","FA_ADJUSTED=GAAP","Sort=A","Dates=H","DateFormat=P","Fill=—","Direction=H","UseDPDF=Y")</f>
        <v>9.5957000000000008</v>
      </c>
      <c r="V19" s="14">
        <f>_xll.BDH("GILD US Equity","EBITDA_AFT_CAPEX_OP_LEA_EX_INT","FQ3 2023","FQ3 2023","Currency=USD","Period=FQ","BEST_FPERIOD_OVERRIDE=FQ","FILING_STATUS=MR","FA_ADJUSTED=GAAP","Sort=A","Dates=H","DateFormat=P","Fill=—","Direction=H","UseDPDF=Y")</f>
        <v>13.728400000000001</v>
      </c>
      <c r="W19" s="14">
        <f>_xll.BDH("GILD US Equity","EBITDA_AFT_CAPEX_OP_LEA_EX_INT","FQ4 2023","FQ4 2023","Currency=USD","Period=FQ","BEST_FPERIOD_OVERRIDE=FQ","FILING_STATUS=MR","FA_ADJUSTED=GAAP","Sort=A","Dates=H","DateFormat=P","Fill=—","Direction=H","UseDPDF=Y")</f>
        <v>8.2737999999999996</v>
      </c>
      <c r="X19" s="14">
        <f>_xll.BDH("GILD US Equity","EBITDA_AFT_CAPEX_OP_LEA_EX_INT","FQ1 2024","FQ1 2024","Currency=USD","Period=FQ","BEST_FPERIOD_OVERRIDE=FQ","FILING_STATUS=MR","FA_ADJUSTED=GAAP","Sort=A","Dates=H","DateFormat=P","Fill=—","Direction=H","UseDPDF=Y")</f>
        <v>-14.7126</v>
      </c>
      <c r="Y19" s="14">
        <f>_xll.BDH("GILD US Equity","EBITDA_AFT_CAPEX_OP_LEA_EX_INT","FQ2 2024","FQ2 2024","Currency=USD","Period=FQ","BEST_FPERIOD_OVERRIDE=FQ","FILING_STATUS=MR","FA_ADJUSTED=GAAP","Sort=A","Dates=H","DateFormat=P","Fill=—","Direction=H","UseDPDF=Y")</f>
        <v>13.5932</v>
      </c>
      <c r="Z19" s="14">
        <f>_xll.BDH("GILD US Equity","EBITDA_AFT_CAPEX_OP_LEA_EX_INT","FQ3 2024","FQ3 2024","Currency=USD","Period=FQ","BEST_FPERIOD_OVERRIDE=FQ","FILING_STATUS=MR","FA_ADJUSTED=GAAP","Sort=A","Dates=H","DateFormat=P","Fill=—","Direction=H","UseDPDF=Y")</f>
        <v>6.0377999999999998</v>
      </c>
      <c r="AA19" s="14">
        <f>_xll.BDH("GILD US Equity","EBITDA_AFT_CAPEX_OP_LEA_EX_INT","FQ4 2024","FQ4 2024","Currency=USD","Period=FQ","BEST_FPERIOD_OVERRIDE=FQ","FILING_STATUS=MR","FA_ADJUSTED=GAAP","Sort=A","Dates=H","DateFormat=P","Fill=—","Direction=H","UseDPDF=Y")</f>
        <v>12.0847</v>
      </c>
    </row>
    <row r="20" spans="1:27" x14ac:dyDescent="0.25">
      <c r="A20" s="10" t="s">
        <v>1623</v>
      </c>
      <c r="B20" s="10" t="s">
        <v>1652</v>
      </c>
      <c r="C20" s="14">
        <f>_xll.BDH("GILD US Equity","EBIT_AFT_OP_LEA_EXPN_TO_INT_EXPN","FQ4 2018","FQ4 2018","Currency=USD","Period=FQ","BEST_FPERIOD_OVERRIDE=FQ","FILING_STATUS=MR","FA_ADJUSTED=GAAP","Sort=A","Dates=H","DateFormat=P","Fill=—","Direction=H","UseDPDF=Y")</f>
        <v>4.4513999999999996</v>
      </c>
      <c r="D20" s="14">
        <f>_xll.BDH("GILD US Equity","EBIT_AFT_OP_LEA_EXPN_TO_INT_EXPN","FQ1 2019","FQ1 2019","Currency=USD","Period=FQ","BEST_FPERIOD_OVERRIDE=FQ","FILING_STATUS=MR","FA_ADJUSTED=GAAP","Sort=A","Dates=H","DateFormat=P","Fill=—","Direction=H","UseDPDF=Y")</f>
        <v>8.8071000000000002</v>
      </c>
      <c r="E20" s="14">
        <f>_xll.BDH("GILD US Equity","EBIT_AFT_OP_LEA_EXPN_TO_INT_EXPN","FQ2 2019","FQ2 2019","Currency=USD","Period=FQ","BEST_FPERIOD_OVERRIDE=FQ","FILING_STATUS=MR","FA_ADJUSTED=GAAP","Sort=A","Dates=H","DateFormat=P","Fill=—","Direction=H","UseDPDF=Y")</f>
        <v>9.7984000000000009</v>
      </c>
      <c r="F20" s="14">
        <f>_xll.BDH("GILD US Equity","EBIT_AFT_OP_LEA_EXPN_TO_INT_EXPN","FQ3 2019","FQ3 2019","Currency=USD","Period=FQ","BEST_FPERIOD_OVERRIDE=FQ","FILING_STATUS=MR","FA_ADJUSTED=GAAP","Sort=A","Dates=H","DateFormat=P","Fill=—","Direction=H","UseDPDF=Y")</f>
        <v>-5.8920000000000003</v>
      </c>
      <c r="G20" s="14">
        <f>_xll.BDH("GILD US Equity","EBIT_AFT_OP_LEA_EXPN_TO_INT_EXPN","FQ4 2019","FQ4 2019","Currency=USD","Period=FQ","BEST_FPERIOD_OVERRIDE=FQ","FILING_STATUS=MR","FA_ADJUSTED=GAAP","Sort=A","Dates=H","DateFormat=P","Fill=—","Direction=H","UseDPDF=Y")</f>
        <v>4.4978999999999996</v>
      </c>
      <c r="H20" s="14">
        <f>_xll.BDH("GILD US Equity","EBIT_AFT_OP_LEA_EXPN_TO_INT_EXPN","FQ1 2020","FQ1 2020","Currency=USD","Period=FQ","BEST_FPERIOD_OVERRIDE=FQ","FILING_STATUS=MR","FA_ADJUSTED=GAAP","Sort=A","Dates=H","DateFormat=P","Fill=—","Direction=H","UseDPDF=Y")</f>
        <v>9.9667999999999992</v>
      </c>
      <c r="I20" s="14">
        <f>_xll.BDH("GILD US Equity","EBIT_AFT_OP_LEA_EXPN_TO_INT_EXPN","FQ2 2020","FQ2 2020","Currency=USD","Period=FQ","BEST_FPERIOD_OVERRIDE=FQ","FILING_STATUS=MR","FA_ADJUSTED=GAAP","Sort=A","Dates=H","DateFormat=P","Fill=—","Direction=H","UseDPDF=Y")</f>
        <v>-12.4292</v>
      </c>
      <c r="J20" s="14">
        <f>_xll.BDH("GILD US Equity","EBIT_AFT_OP_LEA_EXPN_TO_INT_EXPN","FQ3 2020","FQ3 2020","Currency=USD","Period=FQ","BEST_FPERIOD_OVERRIDE=FQ","FILING_STATUS=MR","FA_ADJUSTED=GAAP","Sort=A","Dates=H","DateFormat=P","Fill=—","Direction=H","UseDPDF=Y")</f>
        <v>8.4787999999999997</v>
      </c>
      <c r="K20" s="14">
        <f>_xll.BDH("GILD US Equity","EBIT_AFT_OP_LEA_EXPN_TO_INT_EXPN","FQ4 2020","FQ4 2020","Currency=USD","Period=FQ","BEST_FPERIOD_OVERRIDE=FQ","FILING_STATUS=MR","FA_ADJUSTED=GAAP","Sort=A","Dates=H","DateFormat=P","Fill=—","Direction=H","UseDPDF=Y")</f>
        <v>9.9288000000000007</v>
      </c>
      <c r="L20" s="14">
        <f>_xll.BDH("GILD US Equity","EBIT_AFT_OP_LEA_EXPN_TO_INT_EXPN","FQ1 2021","FQ1 2021","Currency=USD","Period=FQ","BEST_FPERIOD_OVERRIDE=FQ","FILING_STATUS=MR","FA_ADJUSTED=GAAP","Sort=A","Dates=H","DateFormat=P","Fill=—","Direction=H","UseDPDF=Y")</f>
        <v>11.245100000000001</v>
      </c>
      <c r="M20" s="14">
        <f>_xll.BDH("GILD US Equity","EBIT_AFT_OP_LEA_EXPN_TO_INT_EXPN","FQ2 2021","FQ2 2021","Currency=USD","Period=FQ","BEST_FPERIOD_OVERRIDE=FQ","FILING_STATUS=MR","FA_ADJUSTED=GAAP","Sort=A","Dates=H","DateFormat=P","Fill=—","Direction=H","UseDPDF=Y")</f>
        <v>8.7734000000000005</v>
      </c>
      <c r="N20" s="14">
        <f>_xll.BDH("GILD US Equity","EBIT_AFT_OP_LEA_EXPN_TO_INT_EXPN","FQ3 2021","FQ3 2021","Currency=USD","Period=FQ","BEST_FPERIOD_OVERRIDE=FQ","FILING_STATUS=MR","FA_ADJUSTED=GAAP","Sort=A","Dates=H","DateFormat=P","Fill=—","Direction=H","UseDPDF=Y")</f>
        <v>15.368</v>
      </c>
      <c r="O20" s="14">
        <f>_xll.BDH("GILD US Equity","EBIT_AFT_OP_LEA_EXPN_TO_INT_EXPN","FQ4 2021","FQ4 2021","Currency=USD","Period=FQ","BEST_FPERIOD_OVERRIDE=FQ","FILING_STATUS=MR","FA_ADJUSTED=GAAP","Sort=A","Dates=H","DateFormat=P","Fill=—","Direction=H","UseDPDF=Y")</f>
        <v>3.9496000000000002</v>
      </c>
      <c r="P20" s="14">
        <f>_xll.BDH("GILD US Equity","EBIT_AFT_OP_LEA_EXPN_TO_INT_EXPN","FQ1 2022","FQ1 2022","Currency=USD","Period=FQ","BEST_FPERIOD_OVERRIDE=FQ","FILING_STATUS=MR","FA_ADJUSTED=GAAP","Sort=A","Dates=H","DateFormat=P","Fill=—","Direction=H","UseDPDF=Y")</f>
        <v>0.82769999999999999</v>
      </c>
      <c r="Q20" s="14">
        <f>_xll.BDH("GILD US Equity","EBIT_AFT_OP_LEA_EXPN_TO_INT_EXPN","FQ2 2022","FQ2 2022","Currency=USD","Period=FQ","BEST_FPERIOD_OVERRIDE=FQ","FILING_STATUS=MR","FA_ADJUSTED=GAAP","Sort=A","Dates=H","DateFormat=P","Fill=—","Direction=H","UseDPDF=Y")</f>
        <v>8.3842999999999996</v>
      </c>
      <c r="R20" s="14">
        <f>_xll.BDH("GILD US Equity","EBIT_AFT_OP_LEA_EXPN_TO_INT_EXPN","FQ3 2022","FQ3 2022","Currency=USD","Period=FQ","BEST_FPERIOD_OVERRIDE=FQ","FILING_STATUS=MR","FA_ADJUSTED=GAAP","Sort=A","Dates=H","DateFormat=P","Fill=—","Direction=H","UseDPDF=Y")</f>
        <v>12.3886</v>
      </c>
      <c r="S20" s="14">
        <f>_xll.BDH("GILD US Equity","EBIT_AFT_OP_LEA_EXPN_TO_INT_EXPN","FQ4 2022","FQ4 2022","Currency=USD","Period=FQ","BEST_FPERIOD_OVERRIDE=FQ","FILING_STATUS=MR","FA_ADJUSTED=GAAP","Sort=A","Dates=H","DateFormat=P","Fill=—","Direction=H","UseDPDF=Y")</f>
        <v>9.9868000000000006</v>
      </c>
      <c r="T20" s="14">
        <f>_xll.BDH("GILD US Equity","EBIT_AFT_OP_LEA_EXPN_TO_INT_EXPN","FQ1 2023","FQ1 2023","Currency=USD","Period=FQ","BEST_FPERIOD_OVERRIDE=FQ","FILING_STATUS=MR","FA_ADJUSTED=GAAP","Sort=A","Dates=H","DateFormat=P","Fill=—","Direction=H","UseDPDF=Y")</f>
        <v>7.4130000000000003</v>
      </c>
      <c r="U20" s="14">
        <f>_xll.BDH("GILD US Equity","EBIT_AFT_OP_LEA_EXPN_TO_INT_EXPN","FQ2 2023","FQ2 2023","Currency=USD","Period=FQ","BEST_FPERIOD_OVERRIDE=FQ","FILING_STATUS=MR","FA_ADJUSTED=GAAP","Sort=A","Dates=H","DateFormat=P","Fill=—","Direction=H","UseDPDF=Y")</f>
        <v>7.2390999999999996</v>
      </c>
      <c r="V20" s="14">
        <f>_xll.BDH("GILD US Equity","EBIT_AFT_OP_LEA_EXPN_TO_INT_EXPN","FQ3 2023","FQ3 2023","Currency=USD","Period=FQ","BEST_FPERIOD_OVERRIDE=FQ","FILING_STATUS=MR","FA_ADJUSTED=GAAP","Sort=A","Dates=H","DateFormat=P","Fill=—","Direction=H","UseDPDF=Y")</f>
        <v>11.305999999999999</v>
      </c>
      <c r="W20" s="14">
        <f>_xll.BDH("GILD US Equity","EBIT_AFT_OP_LEA_EXPN_TO_INT_EXPN","FQ4 2023","FQ4 2023","Currency=USD","Period=FQ","BEST_FPERIOD_OVERRIDE=FQ","FILING_STATUS=MR","FA_ADJUSTED=GAAP","Sort=A","Dates=H","DateFormat=P","Fill=—","Direction=H","UseDPDF=Y")</f>
        <v>6.3967999999999998</v>
      </c>
      <c r="X20" s="14">
        <f>_xll.BDH("GILD US Equity","EBIT_AFT_OP_LEA_EXPN_TO_INT_EXPN","FQ1 2024","FQ1 2024","Currency=USD","Period=FQ","BEST_FPERIOD_OVERRIDE=FQ","FILING_STATUS=MR","FA_ADJUSTED=GAAP","Sort=A","Dates=H","DateFormat=P","Fill=—","Direction=H","UseDPDF=Y")</f>
        <v>-17.015699999999999</v>
      </c>
      <c r="Y20" s="14">
        <f>_xll.BDH("GILD US Equity","EBIT_AFT_OP_LEA_EXPN_TO_INT_EXPN","FQ2 2024","FQ2 2024","Currency=USD","Period=FQ","BEST_FPERIOD_OVERRIDE=FQ","FILING_STATUS=MR","FA_ADJUSTED=GAAP","Sort=A","Dates=H","DateFormat=P","Fill=—","Direction=H","UseDPDF=Y")</f>
        <v>11.2034</v>
      </c>
      <c r="Z20" s="14">
        <f>_xll.BDH("GILD US Equity","EBIT_AFT_OP_LEA_EXPN_TO_INT_EXPN","FQ3 2024","FQ3 2024","Currency=USD","Period=FQ","BEST_FPERIOD_OVERRIDE=FQ","FILING_STATUS=MR","FA_ADJUSTED=GAAP","Sort=A","Dates=H","DateFormat=P","Fill=—","Direction=H","UseDPDF=Y")</f>
        <v>3.7311000000000001</v>
      </c>
      <c r="AA20" s="14">
        <f>_xll.BDH("GILD US Equity","EBIT_AFT_OP_LEA_EXPN_TO_INT_EXPN","FQ4 2024","FQ4 2024","Currency=USD","Period=FQ","BEST_FPERIOD_OVERRIDE=FQ","FILING_STATUS=MR","FA_ADJUSTED=GAAP","Sort=A","Dates=H","DateFormat=P","Fill=—","Direction=H","UseDPDF=Y")</f>
        <v>9.8831000000000007</v>
      </c>
    </row>
    <row r="21" spans="1:27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5">
      <c r="A23" s="10" t="s">
        <v>442</v>
      </c>
      <c r="B23" s="10" t="s">
        <v>1653</v>
      </c>
      <c r="C23" s="13">
        <f>_xll.BDH("GILD US Equity","INT_EXPN_AFTER_OPERATING_LEA_ACT","FQ4 2018","FQ4 2018","Currency=USD","Period=FQ","BEST_FPERIOD_OVERRIDE=FQ","FILING_STATUS=MR","SCALING_FORMAT=MLN","FA_ADJUSTED=GAAP","Sort=A","Dates=H","DateFormat=P","Fill=—","Direction=H","UseDPDF=Y")</f>
        <v>257</v>
      </c>
      <c r="D23" s="13">
        <f>_xll.BDH("GILD US Equity","INT_EXPN_AFTER_OPERATING_LEA_ACT","FQ1 2019","FQ1 2019","Currency=USD","Period=FQ","BEST_FPERIOD_OVERRIDE=FQ","FILING_STATUS=MR","SCALING_FORMAT=MLN","FA_ADJUSTED=GAAP","Sort=A","Dates=H","DateFormat=P","Fill=—","Direction=H","UseDPDF=Y")</f>
        <v>254</v>
      </c>
      <c r="E23" s="13">
        <f>_xll.BDH("GILD US Equity","INT_EXPN_AFTER_OPERATING_LEA_ACT","FQ2 2019","FQ2 2019","Currency=USD","Period=FQ","BEST_FPERIOD_OVERRIDE=FQ","FILING_STATUS=MR","SCALING_FORMAT=MLN","FA_ADJUSTED=GAAP","Sort=A","Dates=H","DateFormat=P","Fill=—","Direction=H","UseDPDF=Y")</f>
        <v>248</v>
      </c>
      <c r="F23" s="13">
        <f>_xll.BDH("GILD US Equity","INT_EXPN_AFTER_OPERATING_LEA_ACT","FQ3 2019","FQ3 2019","Currency=USD","Period=FQ","BEST_FPERIOD_OVERRIDE=FQ","FILING_STATUS=MR","SCALING_FORMAT=MLN","FA_ADJUSTED=GAAP","Sort=A","Dates=H","DateFormat=P","Fill=—","Direction=H","UseDPDF=Y")</f>
        <v>250</v>
      </c>
      <c r="G23" s="13">
        <f>_xll.BDH("GILD US Equity","INT_EXPN_AFTER_OPERATING_LEA_ACT","FQ4 2019","FQ4 2019","Currency=USD","Period=FQ","BEST_FPERIOD_OVERRIDE=FQ","FILING_STATUS=MR","SCALING_FORMAT=MLN","FA_ADJUSTED=GAAP","Sort=A","Dates=H","DateFormat=P","Fill=—","Direction=H","UseDPDF=Y")</f>
        <v>243</v>
      </c>
      <c r="H23" s="13">
        <f>_xll.BDH("GILD US Equity","INT_EXPN_AFTER_OPERATING_LEA_ACT","FQ1 2020","FQ1 2020","Currency=USD","Period=FQ","BEST_FPERIOD_OVERRIDE=FQ","FILING_STATUS=MR","SCALING_FORMAT=MLN","FA_ADJUSTED=GAAP","Sort=A","Dates=H","DateFormat=P","Fill=—","Direction=H","UseDPDF=Y")</f>
        <v>241</v>
      </c>
      <c r="I23" s="13">
        <f>_xll.BDH("GILD US Equity","INT_EXPN_AFTER_OPERATING_LEA_ACT","FQ2 2020","FQ2 2020","Currency=USD","Period=FQ","BEST_FPERIOD_OVERRIDE=FQ","FILING_STATUS=MR","SCALING_FORMAT=MLN","FA_ADJUSTED=GAAP","Sort=A","Dates=H","DateFormat=P","Fill=—","Direction=H","UseDPDF=Y")</f>
        <v>240</v>
      </c>
      <c r="J23" s="13">
        <f>_xll.BDH("GILD US Equity","INT_EXPN_AFTER_OPERATING_LEA_ACT","FQ3 2020","FQ3 2020","Currency=USD","Period=FQ","BEST_FPERIOD_OVERRIDE=FQ","FILING_STATUS=MR","SCALING_FORMAT=MLN","FA_ADJUSTED=GAAP","Sort=A","Dates=H","DateFormat=P","Fill=—","Direction=H","UseDPDF=Y")</f>
        <v>236</v>
      </c>
      <c r="K23" s="13">
        <f>_xll.BDH("GILD US Equity","INT_EXPN_AFTER_OPERATING_LEA_ACT","FQ4 2020","FQ4 2020","Currency=USD","Period=FQ","BEST_FPERIOD_OVERRIDE=FQ","FILING_STATUS=MR","SCALING_FORMAT=MLN","FA_ADJUSTED=GAAP","Sort=A","Dates=H","DateFormat=P","Fill=—","Direction=H","UseDPDF=Y")</f>
        <v>267</v>
      </c>
      <c r="L23" s="13">
        <f>_xll.BDH("GILD US Equity","INT_EXPN_AFTER_OPERATING_LEA_ACT","FQ1 2021","FQ1 2021","Currency=USD","Period=FQ","BEST_FPERIOD_OVERRIDE=FQ","FILING_STATUS=MR","SCALING_FORMAT=MLN","FA_ADJUSTED=GAAP","Sort=A","Dates=H","DateFormat=P","Fill=—","Direction=H","UseDPDF=Y")</f>
        <v>257</v>
      </c>
      <c r="M23" s="13">
        <f>_xll.BDH("GILD US Equity","INT_EXPN_AFTER_OPERATING_LEA_ACT","FQ2 2021","FQ2 2021","Currency=USD","Period=FQ","BEST_FPERIOD_OVERRIDE=FQ","FILING_STATUS=MR","SCALING_FORMAT=MLN","FA_ADJUSTED=GAAP","Sort=A","Dates=H","DateFormat=P","Fill=—","Direction=H","UseDPDF=Y")</f>
        <v>256</v>
      </c>
      <c r="N23" s="13">
        <f>_xll.BDH("GILD US Equity","INT_EXPN_AFTER_OPERATING_LEA_ACT","FQ3 2021","FQ3 2021","Currency=USD","Period=FQ","BEST_FPERIOD_OVERRIDE=FQ","FILING_STATUS=MR","SCALING_FORMAT=MLN","FA_ADJUSTED=GAAP","Sort=A","Dates=H","DateFormat=P","Fill=—","Direction=H","UseDPDF=Y")</f>
        <v>250</v>
      </c>
      <c r="O23" s="13">
        <f>_xll.BDH("GILD US Equity","INT_EXPN_AFTER_OPERATING_LEA_ACT","FQ4 2021","FQ4 2021","Currency=USD","Period=FQ","BEST_FPERIOD_OVERRIDE=FQ","FILING_STATUS=MR","SCALING_FORMAT=MLN","FA_ADJUSTED=GAAP","Sort=A","Dates=H","DateFormat=P","Fill=—","Direction=H","UseDPDF=Y")</f>
        <v>238</v>
      </c>
      <c r="P23" s="13">
        <f>_xll.BDH("GILD US Equity","INT_EXPN_AFTER_OPERATING_LEA_ACT","FQ1 2022","FQ1 2022","Currency=USD","Period=FQ","BEST_FPERIOD_OVERRIDE=FQ","FILING_STATUS=MR","SCALING_FORMAT=MLN","FA_ADJUSTED=GAAP","Sort=A","Dates=H","DateFormat=P","Fill=—","Direction=H","UseDPDF=Y")</f>
        <v>238</v>
      </c>
      <c r="Q23" s="13">
        <f>_xll.BDH("GILD US Equity","INT_EXPN_AFTER_OPERATING_LEA_ACT","FQ2 2022","FQ2 2022","Currency=USD","Period=FQ","BEST_FPERIOD_OVERRIDE=FQ","FILING_STATUS=MR","SCALING_FORMAT=MLN","FA_ADJUSTED=GAAP","Sort=A","Dates=H","DateFormat=P","Fill=—","Direction=H","UseDPDF=Y")</f>
        <v>242</v>
      </c>
      <c r="R23" s="13">
        <f>_xll.BDH("GILD US Equity","INT_EXPN_AFTER_OPERATING_LEA_ACT","FQ3 2022","FQ3 2022","Currency=USD","Period=FQ","BEST_FPERIOD_OVERRIDE=FQ","FILING_STATUS=MR","SCALING_FORMAT=MLN","FA_ADJUSTED=GAAP","Sort=A","Dates=H","DateFormat=P","Fill=—","Direction=H","UseDPDF=Y")</f>
        <v>229</v>
      </c>
      <c r="S23" s="13">
        <f>_xll.BDH("GILD US Equity","INT_EXPN_AFTER_OPERATING_LEA_ACT","FQ4 2022","FQ4 2022","Currency=USD","Period=FQ","BEST_FPERIOD_OVERRIDE=FQ","FILING_STATUS=MR","SCALING_FORMAT=MLN","FA_ADJUSTED=GAAP","Sort=A","Dates=H","DateFormat=P","Fill=—","Direction=H","UseDPDF=Y")</f>
        <v>227</v>
      </c>
      <c r="T23" s="13">
        <f>_xll.BDH("GILD US Equity","INT_EXPN_AFTER_OPERATING_LEA_ACT","FQ1 2023","FQ1 2023","Currency=USD","Period=FQ","BEST_FPERIOD_OVERRIDE=FQ","FILING_STATUS=MR","SCALING_FORMAT=MLN","FA_ADJUSTED=GAAP","Sort=A","Dates=H","DateFormat=P","Fill=—","Direction=H","UseDPDF=Y")</f>
        <v>230</v>
      </c>
      <c r="U23" s="13">
        <f>_xll.BDH("GILD US Equity","INT_EXPN_AFTER_OPERATING_LEA_ACT","FQ2 2023","FQ2 2023","Currency=USD","Period=FQ","BEST_FPERIOD_OVERRIDE=FQ","FILING_STATUS=MR","SCALING_FORMAT=MLN","FA_ADJUSTED=GAAP","Sort=A","Dates=H","DateFormat=P","Fill=—","Direction=H","UseDPDF=Y")</f>
        <v>230</v>
      </c>
      <c r="V23" s="13">
        <f>_xll.BDH("GILD US Equity","INT_EXPN_AFTER_OPERATING_LEA_ACT","FQ3 2023","FQ3 2023","Currency=USD","Period=FQ","BEST_FPERIOD_OVERRIDE=FQ","FILING_STATUS=MR","SCALING_FORMAT=MLN","FA_ADJUSTED=GAAP","Sort=A","Dates=H","DateFormat=P","Fill=—","Direction=H","UseDPDF=Y")</f>
        <v>232</v>
      </c>
      <c r="W23" s="13">
        <f>_xll.BDH("GILD US Equity","INT_EXPN_AFTER_OPERATING_LEA_ACT","FQ4 2023","FQ4 2023","Currency=USD","Period=FQ","BEST_FPERIOD_OVERRIDE=FQ","FILING_STATUS=MR","SCALING_FORMAT=MLN","FA_ADJUSTED=GAAP","Sort=A","Dates=H","DateFormat=P","Fill=—","Direction=H","UseDPDF=Y")</f>
        <v>252</v>
      </c>
      <c r="X23" s="13">
        <f>_xll.BDH("GILD US Equity","INT_EXPN_AFTER_OPERATING_LEA_ACT","FQ1 2024","FQ1 2024","Currency=USD","Period=FQ","BEST_FPERIOD_OVERRIDE=FQ","FILING_STATUS=MR","SCALING_FORMAT=MLN","FA_ADJUSTED=GAAP","Sort=A","Dates=H","DateFormat=P","Fill=—","Direction=H","UseDPDF=Y")</f>
        <v>254</v>
      </c>
      <c r="Y23" s="13">
        <f>_xll.BDH("GILD US Equity","INT_EXPN_AFTER_OPERATING_LEA_ACT","FQ2 2024","FQ2 2024","Currency=USD","Period=FQ","BEST_FPERIOD_OVERRIDE=FQ","FILING_STATUS=MR","SCALING_FORMAT=MLN","FA_ADJUSTED=GAAP","Sort=A","Dates=H","DateFormat=P","Fill=—","Direction=H","UseDPDF=Y")</f>
        <v>236</v>
      </c>
      <c r="Z23" s="13">
        <f>_xll.BDH("GILD US Equity","INT_EXPN_AFTER_OPERATING_LEA_ACT","FQ3 2024","FQ3 2024","Currency=USD","Period=FQ","BEST_FPERIOD_OVERRIDE=FQ","FILING_STATUS=MR","SCALING_FORMAT=MLN","FA_ADJUSTED=GAAP","Sort=A","Dates=H","DateFormat=P","Fill=—","Direction=H","UseDPDF=Y")</f>
        <v>238</v>
      </c>
      <c r="AA23" s="13">
        <f>_xll.BDH("GILD US Equity","INT_EXPN_AFTER_OPERATING_LEA_ACT","FQ4 2024","FQ4 2024","Currency=USD","Period=FQ","BEST_FPERIOD_OVERRIDE=FQ","FILING_STATUS=MR","SCALING_FORMAT=MLN","FA_ADJUSTED=GAAP","Sort=A","Dates=H","DateFormat=P","Fill=—","Direction=H","UseDPDF=Y")</f>
        <v>248</v>
      </c>
    </row>
    <row r="24" spans="1:27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10" t="s">
        <v>1625</v>
      </c>
      <c r="B25" s="10" t="s">
        <v>1654</v>
      </c>
      <c r="C25" s="14">
        <f>_xll.BDH("GILD US Equity","CE_TO_TOT_AST_LESS_OPER_LEA_AST","FQ4 2018","FQ4 2018","Currency=USD","Period=FQ","BEST_FPERIOD_OVERRIDE=FQ","FILING_STATUS=MR","Sort=A","Dates=H","DateFormat=P","Fill=—","Direction=H","UseDPDF=Y")</f>
        <v>33.587800000000001</v>
      </c>
      <c r="D25" s="14">
        <f>_xll.BDH("GILD US Equity","CE_TO_TOT_AST_LESS_OPER_LEA_AST","FQ1 2019","FQ1 2019","Currency=USD","Period=FQ","BEST_FPERIOD_OVERRIDE=FQ","FILING_STATUS=MR","Sort=A","Dates=H","DateFormat=P","Fill=—","Direction=H","UseDPDF=Y")</f>
        <v>35.188000000000002</v>
      </c>
      <c r="E25" s="14">
        <f>_xll.BDH("GILD US Equity","CE_TO_TOT_AST_LESS_OPER_LEA_AST","FQ2 2019","FQ2 2019","Currency=USD","Period=FQ","BEST_FPERIOD_OVERRIDE=FQ","FILING_STATUS=MR","Sort=A","Dates=H","DateFormat=P","Fill=—","Direction=H","UseDPDF=Y")</f>
        <v>36.066699999999997</v>
      </c>
      <c r="F25" s="14">
        <f>_xll.BDH("GILD US Equity","CE_TO_TOT_AST_LESS_OPER_LEA_AST","FQ3 2019","FQ3 2019","Currency=USD","Period=FQ","BEST_FPERIOD_OVERRIDE=FQ","FILING_STATUS=MR","Sort=A","Dates=H","DateFormat=P","Fill=—","Direction=H","UseDPDF=Y")</f>
        <v>35.228900000000003</v>
      </c>
      <c r="G25" s="14">
        <f>_xll.BDH("GILD US Equity","CE_TO_TOT_AST_LESS_OPER_LEA_AST","FQ4 2019","FQ4 2019","Currency=USD","Period=FQ","BEST_FPERIOD_OVERRIDE=FQ","FILING_STATUS=MR","Sort=A","Dates=H","DateFormat=P","Fill=—","Direction=H","UseDPDF=Y")</f>
        <v>36.951099999999997</v>
      </c>
      <c r="H25" s="14">
        <f>_xll.BDH("GILD US Equity","CE_TO_TOT_AST_LESS_OPER_LEA_AST","FQ1 2020","FQ1 2020","Currency=USD","Period=FQ","BEST_FPERIOD_OVERRIDE=FQ","FILING_STATUS=MR","Sort=A","Dates=H","DateFormat=P","Fill=—","Direction=H","UseDPDF=Y")</f>
        <v>36.937800000000003</v>
      </c>
      <c r="I25" s="14">
        <f>_xll.BDH("GILD US Equity","CE_TO_TOT_AST_LESS_OPER_LEA_AST","FQ2 2020","FQ2 2020","Currency=USD","Period=FQ","BEST_FPERIOD_OVERRIDE=FQ","FILING_STATUS=MR","Sort=A","Dates=H","DateFormat=P","Fill=—","Direction=H","UseDPDF=Y")</f>
        <v>32.229100000000003</v>
      </c>
      <c r="J25" s="14">
        <f>_xll.BDH("GILD US Equity","CE_TO_TOT_AST_LESS_OPER_LEA_AST","FQ3 2020","FQ3 2020","Currency=USD","Period=FQ","BEST_FPERIOD_OVERRIDE=FQ","FILING_STATUS=MR","Sort=A","Dates=H","DateFormat=P","Fill=—","Direction=H","UseDPDF=Y")</f>
        <v>28.6557</v>
      </c>
      <c r="K25" s="14">
        <f>_xll.BDH("GILD US Equity","CE_TO_TOT_AST_LESS_OPER_LEA_AST","FQ4 2020","FQ4 2020","Currency=USD","Period=FQ","BEST_FPERIOD_OVERRIDE=FQ","FILING_STATUS=MR","Sort=A","Dates=H","DateFormat=P","Fill=—","Direction=H","UseDPDF=Y")</f>
        <v>26.862100000000002</v>
      </c>
      <c r="L25" s="14">
        <f>_xll.BDH("GILD US Equity","CE_TO_TOT_AST_LESS_OPER_LEA_AST","FQ1 2021","FQ1 2021","Currency=USD","Period=FQ","BEST_FPERIOD_OVERRIDE=FQ","FILING_STATUS=MR","Sort=A","Dates=H","DateFormat=P","Fill=—","Direction=H","UseDPDF=Y")</f>
        <v>28.080400000000001</v>
      </c>
      <c r="M25" s="14">
        <f>_xll.BDH("GILD US Equity","CE_TO_TOT_AST_LESS_OPER_LEA_AST","FQ2 2021","FQ2 2021","Currency=USD","Period=FQ","BEST_FPERIOD_OVERRIDE=FQ","FILING_STATUS=MR","Sort=A","Dates=H","DateFormat=P","Fill=—","Direction=H","UseDPDF=Y")</f>
        <v>28.9818</v>
      </c>
      <c r="N25" s="14">
        <f>_xll.BDH("GILD US Equity","CE_TO_TOT_AST_LESS_OPER_LEA_AST","FQ3 2021","FQ3 2021","Currency=USD","Period=FQ","BEST_FPERIOD_OVERRIDE=FQ","FILING_STATUS=MR","Sort=A","Dates=H","DateFormat=P","Fill=—","Direction=H","UseDPDF=Y")</f>
        <v>31.998000000000001</v>
      </c>
      <c r="O25" s="14">
        <f>_xll.BDH("GILD US Equity","CE_TO_TOT_AST_LESS_OPER_LEA_AST","FQ4 2021","FQ4 2021","Currency=USD","Period=FQ","BEST_FPERIOD_OVERRIDE=FQ","FILING_STATUS=MR","Sort=A","Dates=H","DateFormat=P","Fill=—","Direction=H","UseDPDF=Y")</f>
        <v>31.254999999999999</v>
      </c>
      <c r="P25" s="14">
        <f>_xll.BDH("GILD US Equity","CE_TO_TOT_AST_LESS_OPER_LEA_AST","FQ1 2022","FQ1 2022","Currency=USD","Period=FQ","BEST_FPERIOD_OVERRIDE=FQ","FILING_STATUS=MR","Sort=A","Dates=H","DateFormat=P","Fill=—","Direction=H","UseDPDF=Y")</f>
        <v>31.59</v>
      </c>
      <c r="Q25" s="14">
        <f>_xll.BDH("GILD US Equity","CE_TO_TOT_AST_LESS_OPER_LEA_AST","FQ2 2022","FQ2 2022","Currency=USD","Period=FQ","BEST_FPERIOD_OVERRIDE=FQ","FILING_STATUS=MR","Sort=A","Dates=H","DateFormat=P","Fill=—","Direction=H","UseDPDF=Y")</f>
        <v>32.187100000000001</v>
      </c>
      <c r="R25" s="14">
        <f>_xll.BDH("GILD US Equity","CE_TO_TOT_AST_LESS_OPER_LEA_AST","FQ3 2022","FQ3 2022","Currency=USD","Period=FQ","BEST_FPERIOD_OVERRIDE=FQ","FILING_STATUS=MR","Sort=A","Dates=H","DateFormat=P","Fill=—","Direction=H","UseDPDF=Y")</f>
        <v>33.698900000000002</v>
      </c>
      <c r="S25" s="14">
        <f>_xll.BDH("GILD US Equity","CE_TO_TOT_AST_LESS_OPER_LEA_AST","FQ4 2022","FQ4 2022","Currency=USD","Period=FQ","BEST_FPERIOD_OVERRIDE=FQ","FILING_STATUS=MR","Sort=A","Dates=H","DateFormat=P","Fill=—","Direction=H","UseDPDF=Y")</f>
        <v>33.893999999999998</v>
      </c>
      <c r="T25" s="14">
        <f>_xll.BDH("GILD US Equity","CE_TO_TOT_AST_LESS_OPER_LEA_AST","FQ1 2023","FQ1 2023","Currency=USD","Period=FQ","BEST_FPERIOD_OVERRIDE=FQ","FILING_STATUS=MR","Sort=A","Dates=H","DateFormat=P","Fill=—","Direction=H","UseDPDF=Y")</f>
        <v>33.933999999999997</v>
      </c>
      <c r="U25" s="14">
        <f>_xll.BDH("GILD US Equity","CE_TO_TOT_AST_LESS_OPER_LEA_AST","FQ2 2023","FQ2 2023","Currency=USD","Period=FQ","BEST_FPERIOD_OVERRIDE=FQ","FILING_STATUS=MR","Sort=A","Dates=H","DateFormat=P","Fill=—","Direction=H","UseDPDF=Y")</f>
        <v>33.941299999999998</v>
      </c>
      <c r="V25" s="14">
        <f>_xll.BDH("GILD US Equity","CE_TO_TOT_AST_LESS_OPER_LEA_AST","FQ3 2023","FQ3 2023","Currency=USD","Period=FQ","BEST_FPERIOD_OVERRIDE=FQ","FILING_STATUS=MR","Sort=A","Dates=H","DateFormat=P","Fill=—","Direction=H","UseDPDF=Y")</f>
        <v>35.776699999999998</v>
      </c>
      <c r="W25" s="14">
        <f>_xll.BDH("GILD US Equity","CE_TO_TOT_AST_LESS_OPER_LEA_AST","FQ4 2023","FQ4 2023","Currency=USD","Period=FQ","BEST_FPERIOD_OVERRIDE=FQ","FILING_STATUS=MR","Sort=A","Dates=H","DateFormat=P","Fill=—","Direction=H","UseDPDF=Y")</f>
        <v>37.100299999999997</v>
      </c>
      <c r="X25" s="14">
        <f>_xll.BDH("GILD US Equity","CE_TO_TOT_AST_LESS_OPER_LEA_AST","FQ1 2024","FQ1 2024","Currency=USD","Period=FQ","BEST_FPERIOD_OVERRIDE=FQ","FILING_STATUS=MR","Sort=A","Dates=H","DateFormat=P","Fill=—","Direction=H","UseDPDF=Y")</f>
        <v>31.1572</v>
      </c>
      <c r="Y25" s="14">
        <f>_xll.BDH("GILD US Equity","CE_TO_TOT_AST_LESS_OPER_LEA_AST","FQ2 2024","FQ2 2024","Currency=USD","Period=FQ","BEST_FPERIOD_OVERRIDE=FQ","FILING_STATUS=MR","Sort=A","Dates=H","DateFormat=P","Fill=—","Direction=H","UseDPDF=Y")</f>
        <v>34.119700000000002</v>
      </c>
      <c r="Z25" s="14">
        <f>_xll.BDH("GILD US Equity","CE_TO_TOT_AST_LESS_OPER_LEA_AST","FQ3 2024","FQ3 2024","Currency=USD","Period=FQ","BEST_FPERIOD_OVERRIDE=FQ","FILING_STATUS=MR","Sort=A","Dates=H","DateFormat=P","Fill=—","Direction=H","UseDPDF=Y")</f>
        <v>33.881700000000002</v>
      </c>
      <c r="AA25" s="14">
        <f>_xll.BDH("GILD US Equity","CE_TO_TOT_AST_LESS_OPER_LEA_AST","FQ4 2024","FQ4 2024","Currency=USD","Period=FQ","BEST_FPERIOD_OVERRIDE=FQ","FILING_STATUS=MR","Sort=A","Dates=H","DateFormat=P","Fill=—","Direction=H","UseDPDF=Y")</f>
        <v>33.054000000000002</v>
      </c>
    </row>
    <row r="26" spans="1:27" x14ac:dyDescent="0.25">
      <c r="A26" s="10" t="s">
        <v>1627</v>
      </c>
      <c r="B26" s="10" t="s">
        <v>1655</v>
      </c>
      <c r="C26" s="14">
        <f>_xll.BDH("GILD US Equity","LT_DBT_EX_OPER_LEA_LIABS_TO_EQTY","FQ4 2018","FQ4 2018","Currency=USD","Period=FQ","BEST_FPERIOD_OVERRIDE=FQ","FILING_STATUS=MR","Sort=A","Dates=H","DateFormat=P","Fill=—","Direction=H","UseDPDF=Y")</f>
        <v>114.1172</v>
      </c>
      <c r="D26" s="14">
        <f>_xll.BDH("GILD US Equity","LT_DBT_EX_OPER_LEA_LIABS_TO_EQTY","FQ1 2019","FQ1 2019","Currency=USD","Period=FQ","BEST_FPERIOD_OVERRIDE=FQ","FILING_STATUS=MR","Sort=A","Dates=H","DateFormat=P","Fill=—","Direction=H","UseDPDF=Y")</f>
        <v>109.00369999999999</v>
      </c>
      <c r="E26" s="14">
        <f>_xll.BDH("GILD US Equity","LT_DBT_EX_OPER_LEA_LIABS_TO_EQTY","FQ2 2019","FQ2 2019","Currency=USD","Period=FQ","BEST_FPERIOD_OVERRIDE=FQ","FILING_STATUS=MR","Sort=A","Dates=H","DateFormat=P","Fill=—","Direction=H","UseDPDF=Y")</f>
        <v>105.8591</v>
      </c>
      <c r="F26" s="14">
        <f>_xll.BDH("GILD US Equity","LT_DBT_EX_OPER_LEA_LIABS_TO_EQTY","FQ3 2019","FQ3 2019","Currency=USD","Period=FQ","BEST_FPERIOD_OVERRIDE=FQ","FILING_STATUS=MR","Sort=A","Dates=H","DateFormat=P","Fill=—","Direction=H","UseDPDF=Y")</f>
        <v>106.52970000000001</v>
      </c>
      <c r="G26" s="14">
        <f>_xll.BDH("GILD US Equity","LT_DBT_EX_OPER_LEA_LIABS_TO_EQTY","FQ4 2019","FQ4 2019","Currency=USD","Period=FQ","BEST_FPERIOD_OVERRIDE=FQ","FILING_STATUS=MR","Sort=A","Dates=H","DateFormat=P","Fill=—","Direction=H","UseDPDF=Y")</f>
        <v>97.545299999999997</v>
      </c>
      <c r="H26" s="14">
        <f>_xll.BDH("GILD US Equity","LT_DBT_EX_OPER_LEA_LIABS_TO_EQTY","FQ1 2020","FQ1 2020","Currency=USD","Period=FQ","BEST_FPERIOD_OVERRIDE=FQ","FILING_STATUS=MR","Sort=A","Dates=H","DateFormat=P","Fill=—","Direction=H","UseDPDF=Y")</f>
        <v>99.634799999999998</v>
      </c>
      <c r="I26" s="14">
        <f>_xll.BDH("GILD US Equity","LT_DBT_EX_OPER_LEA_LIABS_TO_EQTY","FQ2 2020","FQ2 2020","Currency=USD","Period=FQ","BEST_FPERIOD_OVERRIDE=FQ","FILING_STATUS=MR","Sort=A","Dates=H","DateFormat=P","Fill=—","Direction=H","UseDPDF=Y")</f>
        <v>116.3212</v>
      </c>
      <c r="J26" s="14">
        <f>_xll.BDH("GILD US Equity","LT_DBT_EX_OPER_LEA_LIABS_TO_EQTY","FQ3 2020","FQ3 2020","Currency=USD","Period=FQ","BEST_FPERIOD_OVERRIDE=FQ","FILING_STATUS=MR","Sort=A","Dates=H","DateFormat=P","Fill=—","Direction=H","UseDPDF=Y")</f>
        <v>159.07499999999999</v>
      </c>
      <c r="K26" s="14">
        <f>_xll.BDH("GILD US Equity","LT_DBT_EX_OPER_LEA_LIABS_TO_EQTY","FQ4 2020","FQ4 2020","Currency=USD","Period=FQ","BEST_FPERIOD_OVERRIDE=FQ","FILING_STATUS=MR","Sort=A","Dates=H","DateFormat=P","Fill=—","Direction=H","UseDPDF=Y")</f>
        <v>157.20869999999999</v>
      </c>
      <c r="L26" s="14">
        <f>_xll.BDH("GILD US Equity","LT_DBT_EX_OPER_LEA_LIABS_TO_EQTY","FQ1 2021","FQ1 2021","Currency=USD","Period=FQ","BEST_FPERIOD_OVERRIDE=FQ","FILING_STATUS=MR","Sort=A","Dates=H","DateFormat=P","Fill=—","Direction=H","UseDPDF=Y")</f>
        <v>147.15780000000001</v>
      </c>
      <c r="M26" s="14">
        <f>_xll.BDH("GILD US Equity","LT_DBT_EX_OPER_LEA_LIABS_TO_EQTY","FQ2 2021","FQ2 2021","Currency=USD","Period=FQ","BEST_FPERIOD_OVERRIDE=FQ","FILING_STATUS=MR","Sort=A","Dates=H","DateFormat=P","Fill=—","Direction=H","UseDPDF=Y")</f>
        <v>141.62350000000001</v>
      </c>
      <c r="N26" s="14">
        <f>_xll.BDH("GILD US Equity","LT_DBT_EX_OPER_LEA_LIABS_TO_EQTY","FQ3 2021","FQ3 2021","Currency=USD","Period=FQ","BEST_FPERIOD_OVERRIDE=FQ","FILING_STATUS=MR","Sort=A","Dates=H","DateFormat=P","Fill=—","Direction=H","UseDPDF=Y")</f>
        <v>117.2512</v>
      </c>
      <c r="O26" s="14">
        <f>_xll.BDH("GILD US Equity","LT_DBT_EX_OPER_LEA_LIABS_TO_EQTY","FQ4 2021","FQ4 2021","Currency=USD","Period=FQ","BEST_FPERIOD_OVERRIDE=FQ","FILING_STATUS=MR","Sort=A","Dates=H","DateFormat=P","Fill=—","Direction=H","UseDPDF=Y")</f>
        <v>119.53570000000001</v>
      </c>
      <c r="P26" s="14">
        <f>_xll.BDH("GILD US Equity","LT_DBT_EX_OPER_LEA_LIABS_TO_EQTY","FQ1 2022","FQ1 2022","Currency=USD","Period=FQ","BEST_FPERIOD_OVERRIDE=FQ","FILING_STATUS=MR","Sort=A","Dates=H","DateFormat=P","Fill=—","Direction=H","UseDPDF=Y")</f>
        <v>126.4524</v>
      </c>
      <c r="Q26" s="14">
        <f>_xll.BDH("GILD US Equity","LT_DBT_EX_OPER_LEA_LIABS_TO_EQTY","FQ2 2022","FQ2 2022","Currency=USD","Period=FQ","BEST_FPERIOD_OVERRIDE=FQ","FILING_STATUS=MR","Sort=A","Dates=H","DateFormat=P","Fill=—","Direction=H","UseDPDF=Y")</f>
        <v>124.6352</v>
      </c>
      <c r="R26" s="14">
        <f>_xll.BDH("GILD US Equity","LT_DBT_EX_OPER_LEA_LIABS_TO_EQTY","FQ3 2022","FQ3 2022","Currency=USD","Period=FQ","BEST_FPERIOD_OVERRIDE=FQ","FILING_STATUS=MR","Sort=A","Dates=H","DateFormat=P","Fill=—","Direction=H","UseDPDF=Y")</f>
        <v>109.00409999999999</v>
      </c>
      <c r="S26" s="14">
        <f>_xll.BDH("GILD US Equity","LT_DBT_EX_OPER_LEA_LIABS_TO_EQTY","FQ4 2022","FQ4 2022","Currency=USD","Period=FQ","BEST_FPERIOD_OVERRIDE=FQ","FILING_STATUS=MR","Sort=A","Dates=H","DateFormat=P","Fill=—","Direction=H","UseDPDF=Y")</f>
        <v>108.2418</v>
      </c>
      <c r="T26" s="14">
        <f>_xll.BDH("GILD US Equity","LT_DBT_EX_OPER_LEA_LIABS_TO_EQTY","FQ1 2023","FQ1 2023","Currency=USD","Period=FQ","BEST_FPERIOD_OVERRIDE=FQ","FILING_STATUS=MR","Sort=A","Dates=H","DateFormat=P","Fill=—","Direction=H","UseDPDF=Y")</f>
        <v>109.6327</v>
      </c>
      <c r="U26" s="14">
        <f>_xll.BDH("GILD US Equity","LT_DBT_EX_OPER_LEA_LIABS_TO_EQTY","FQ2 2023","FQ2 2023","Currency=USD","Period=FQ","BEST_FPERIOD_OVERRIDE=FQ","FILING_STATUS=MR","Sort=A","Dates=H","DateFormat=P","Fill=—","Direction=H","UseDPDF=Y")</f>
        <v>100.54519999999999</v>
      </c>
      <c r="V26" s="14">
        <f>_xll.BDH("GILD US Equity","LT_DBT_EX_OPER_LEA_LIABS_TO_EQTY","FQ3 2023","FQ3 2023","Currency=USD","Period=FQ","BEST_FPERIOD_OVERRIDE=FQ","FILING_STATUS=MR","Sort=A","Dates=H","DateFormat=P","Fill=—","Direction=H","UseDPDF=Y")</f>
        <v>104.253</v>
      </c>
      <c r="W26" s="14">
        <f>_xll.BDH("GILD US Equity","LT_DBT_EX_OPER_LEA_LIABS_TO_EQTY","FQ4 2023","FQ4 2023","Currency=USD","Period=FQ","BEST_FPERIOD_OVERRIDE=FQ","FILING_STATUS=MR","Sort=A","Dates=H","DateFormat=P","Fill=—","Direction=H","UseDPDF=Y")</f>
        <v>101.9342</v>
      </c>
      <c r="X26" s="14">
        <f>_xll.BDH("GILD US Equity","LT_DBT_EX_OPER_LEA_LIABS_TO_EQTY","FQ1 2024","FQ1 2024","Currency=USD","Period=FQ","BEST_FPERIOD_OVERRIDE=FQ","FILING_STATUS=MR","Sort=A","Dates=H","DateFormat=P","Fill=—","Direction=H","UseDPDF=Y")</f>
        <v>123.32859999999999</v>
      </c>
      <c r="Y26" s="14">
        <f>_xll.BDH("GILD US Equity","LT_DBT_EX_OPER_LEA_LIABS_TO_EQTY","FQ2 2024","FQ2 2024","Currency=USD","Period=FQ","BEST_FPERIOD_OVERRIDE=FQ","FILING_STATUS=MR","Sort=A","Dates=H","DateFormat=P","Fill=—","Direction=H","UseDPDF=Y")</f>
        <v>118.3712</v>
      </c>
      <c r="Z26" s="14">
        <f>_xll.BDH("GILD US Equity","LT_DBT_EX_OPER_LEA_LIABS_TO_EQTY","FQ3 2024","FQ3 2024","Currency=USD","Period=FQ","BEST_FPERIOD_OVERRIDE=FQ","FILING_STATUS=MR","Sort=A","Dates=H","DateFormat=P","Fill=—","Direction=H","UseDPDF=Y")</f>
        <v>116.5688</v>
      </c>
      <c r="AA26" s="14">
        <f>_xll.BDH("GILD US Equity","LT_DBT_EX_OPER_LEA_LIABS_TO_EQTY","FQ4 2024","FQ4 2024","Currency=USD","Period=FQ","BEST_FPERIOD_OVERRIDE=FQ","FILING_STATUS=MR","Sort=A","Dates=H","DateFormat=P","Fill=—","Direction=H","UseDPDF=Y")</f>
        <v>129.35669999999999</v>
      </c>
    </row>
    <row r="27" spans="1:27" x14ac:dyDescent="0.25">
      <c r="A27" s="10" t="s">
        <v>1629</v>
      </c>
      <c r="B27" s="10" t="s">
        <v>1656</v>
      </c>
      <c r="C27" s="14">
        <f>_xll.BDH("GILD US Equity","LT_DBT_TO_CPTL_EX_OPER_LEA_LIABS","FQ4 2018","FQ4 2018","Currency=USD","Period=FQ","BEST_FPERIOD_OVERRIDE=FQ","FILING_STATUS=MR","Sort=A","Dates=H","DateFormat=P","Fill=—","Direction=H","UseDPDF=Y")</f>
        <v>50.2988</v>
      </c>
      <c r="D27" s="14">
        <f>_xll.BDH("GILD US Equity","LT_DBT_TO_CPTL_EX_OPER_LEA_LIABS","FQ1 2019","FQ1 2019","Currency=USD","Period=FQ","BEST_FPERIOD_OVERRIDE=FQ","FILING_STATUS=MR","Sort=A","Dates=H","DateFormat=P","Fill=—","Direction=H","UseDPDF=Y")</f>
        <v>49.4771</v>
      </c>
      <c r="E27" s="14">
        <f>_xll.BDH("GILD US Equity","LT_DBT_TO_CPTL_EX_OPER_LEA_LIABS","FQ2 2019","FQ2 2019","Currency=USD","Period=FQ","BEST_FPERIOD_OVERRIDE=FQ","FILING_STATUS=MR","Sort=A","Dates=H","DateFormat=P","Fill=—","Direction=H","UseDPDF=Y")</f>
        <v>49.318100000000001</v>
      </c>
      <c r="F27" s="14">
        <f>_xll.BDH("GILD US Equity","LT_DBT_TO_CPTL_EX_OPER_LEA_LIABS","FQ3 2019","FQ3 2019","Currency=USD","Period=FQ","BEST_FPERIOD_OVERRIDE=FQ","FILING_STATUS=MR","Sort=A","Dates=H","DateFormat=P","Fill=—","Direction=H","UseDPDF=Y")</f>
        <v>48.738</v>
      </c>
      <c r="G27" s="14">
        <f>_xll.BDH("GILD US Equity","LT_DBT_TO_CPTL_EX_OPER_LEA_LIABS","FQ4 2019","FQ4 2019","Currency=USD","Period=FQ","BEST_FPERIOD_OVERRIDE=FQ","FILING_STATUS=MR","Sort=A","Dates=H","DateFormat=P","Fill=—","Direction=H","UseDPDF=Y")</f>
        <v>46.7667</v>
      </c>
      <c r="H27" s="14">
        <f>_xll.BDH("GILD US Equity","LT_DBT_TO_CPTL_EX_OPER_LEA_LIABS","FQ1 2020","FQ1 2020","Currency=USD","Period=FQ","BEST_FPERIOD_OVERRIDE=FQ","FILING_STATUS=MR","Sort=A","Dates=H","DateFormat=P","Fill=—","Direction=H","UseDPDF=Y")</f>
        <v>47.752600000000001</v>
      </c>
      <c r="I27" s="14">
        <f>_xll.BDH("GILD US Equity","LT_DBT_TO_CPTL_EX_OPER_LEA_LIABS","FQ2 2020","FQ2 2020","Currency=USD","Period=FQ","BEST_FPERIOD_OVERRIDE=FQ","FILING_STATUS=MR","Sort=A","Dates=H","DateFormat=P","Fill=—","Direction=H","UseDPDF=Y")</f>
        <v>49.954999999999998</v>
      </c>
      <c r="J27" s="14">
        <f>_xll.BDH("GILD US Equity","LT_DBT_TO_CPTL_EX_OPER_LEA_LIABS","FQ3 2020","FQ3 2020","Currency=USD","Period=FQ","BEST_FPERIOD_OVERRIDE=FQ","FILING_STATUS=MR","Sort=A","Dates=H","DateFormat=P","Fill=—","Direction=H","UseDPDF=Y")</f>
        <v>59.434100000000001</v>
      </c>
      <c r="K27" s="14">
        <f>_xll.BDH("GILD US Equity","LT_DBT_TO_CPTL_EX_OPER_LEA_LIABS","FQ4 2020","FQ4 2020","Currency=USD","Period=FQ","BEST_FPERIOD_OVERRIDE=FQ","FILING_STATUS=MR","Sort=A","Dates=H","DateFormat=P","Fill=—","Direction=H","UseDPDF=Y")</f>
        <v>57.725200000000001</v>
      </c>
      <c r="L27" s="14">
        <f>_xll.BDH("GILD US Equity","LT_DBT_TO_CPTL_EX_OPER_LEA_LIABS","FQ1 2021","FQ1 2021","Currency=USD","Period=FQ","BEST_FPERIOD_OVERRIDE=FQ","FILING_STATUS=MR","Sort=A","Dates=H","DateFormat=P","Fill=—","Direction=H","UseDPDF=Y")</f>
        <v>56.802399999999999</v>
      </c>
      <c r="M27" s="14">
        <f>_xll.BDH("GILD US Equity","LT_DBT_TO_CPTL_EX_OPER_LEA_LIABS","FQ2 2021","FQ2 2021","Currency=USD","Period=FQ","BEST_FPERIOD_OVERRIDE=FQ","FILING_STATUS=MR","Sort=A","Dates=H","DateFormat=P","Fill=—","Direction=H","UseDPDF=Y")</f>
        <v>55.956699999999998</v>
      </c>
      <c r="N27" s="14">
        <f>_xll.BDH("GILD US Equity","LT_DBT_TO_CPTL_EX_OPER_LEA_LIABS","FQ3 2021","FQ3 2021","Currency=USD","Period=FQ","BEST_FPERIOD_OVERRIDE=FQ","FILING_STATUS=MR","Sort=A","Dates=H","DateFormat=P","Fill=—","Direction=H","UseDPDF=Y")</f>
        <v>51.213500000000003</v>
      </c>
      <c r="O27" s="14">
        <f>_xll.BDH("GILD US Equity","LT_DBT_TO_CPTL_EX_OPER_LEA_LIABS","FQ4 2021","FQ4 2021","Currency=USD","Period=FQ","BEST_FPERIOD_OVERRIDE=FQ","FILING_STATUS=MR","Sort=A","Dates=H","DateFormat=P","Fill=—","Direction=H","UseDPDF=Y")</f>
        <v>52.720999999999997</v>
      </c>
      <c r="P27" s="14">
        <f>_xll.BDH("GILD US Equity","LT_DBT_TO_CPTL_EX_OPER_LEA_LIABS","FQ1 2022","FQ1 2022","Currency=USD","Period=FQ","BEST_FPERIOD_OVERRIDE=FQ","FILING_STATUS=MR","Sort=A","Dates=H","DateFormat=P","Fill=—","Direction=H","UseDPDF=Y")</f>
        <v>54.599699999999999</v>
      </c>
      <c r="Q27" s="14">
        <f>_xll.BDH("GILD US Equity","LT_DBT_TO_CPTL_EX_OPER_LEA_LIABS","FQ2 2022","FQ2 2022","Currency=USD","Period=FQ","BEST_FPERIOD_OVERRIDE=FQ","FILING_STATUS=MR","Sort=A","Dates=H","DateFormat=P","Fill=—","Direction=H","UseDPDF=Y")</f>
        <v>54.263300000000001</v>
      </c>
      <c r="R27" s="14">
        <f>_xll.BDH("GILD US Equity","LT_DBT_TO_CPTL_EX_OPER_LEA_LIABS","FQ3 2022","FQ3 2022","Currency=USD","Period=FQ","BEST_FPERIOD_OVERRIDE=FQ","FILING_STATUS=MR","Sort=A","Dates=H","DateFormat=P","Fill=—","Direction=H","UseDPDF=Y")</f>
        <v>49.5959</v>
      </c>
      <c r="S27" s="14">
        <f>_xll.BDH("GILD US Equity","LT_DBT_TO_CPTL_EX_OPER_LEA_LIABS","FQ4 2022","FQ4 2022","Currency=USD","Period=FQ","BEST_FPERIOD_OVERRIDE=FQ","FILING_STATUS=MR","Sort=A","Dates=H","DateFormat=P","Fill=—","Direction=H","UseDPDF=Y")</f>
        <v>49.434699999999999</v>
      </c>
      <c r="T27" s="14">
        <f>_xll.BDH("GILD US Equity","LT_DBT_TO_CPTL_EX_OPER_LEA_LIABS","FQ1 2023","FQ1 2023","Currency=USD","Period=FQ","BEST_FPERIOD_OVERRIDE=FQ","FILING_STATUS=MR","Sort=A","Dates=H","DateFormat=P","Fill=—","Direction=H","UseDPDF=Y")</f>
        <v>49.712000000000003</v>
      </c>
      <c r="U27" s="14">
        <f>_xll.BDH("GILD US Equity","LT_DBT_TO_CPTL_EX_OPER_LEA_LIABS","FQ2 2023","FQ2 2023","Currency=USD","Period=FQ","BEST_FPERIOD_OVERRIDE=FQ","FILING_STATUS=MR","Sort=A","Dates=H","DateFormat=P","Fill=—","Direction=H","UseDPDF=Y")</f>
        <v>45.7682</v>
      </c>
      <c r="V27" s="14">
        <f>_xll.BDH("GILD US Equity","LT_DBT_TO_CPTL_EX_OPER_LEA_LIABS","FQ3 2023","FQ3 2023","Currency=USD","Period=FQ","BEST_FPERIOD_OVERRIDE=FQ","FILING_STATUS=MR","Sort=A","Dates=H","DateFormat=P","Fill=—","Direction=H","UseDPDF=Y")</f>
        <v>49.103200000000001</v>
      </c>
      <c r="W27" s="14">
        <f>_xll.BDH("GILD US Equity","LT_DBT_TO_CPTL_EX_OPER_LEA_LIABS","FQ4 2023","FQ4 2023","Currency=USD","Period=FQ","BEST_FPERIOD_OVERRIDE=FQ","FILING_STATUS=MR","Sort=A","Dates=H","DateFormat=P","Fill=—","Direction=H","UseDPDF=Y")</f>
        <v>48.577599999999997</v>
      </c>
      <c r="X27" s="14">
        <f>_xll.BDH("GILD US Equity","LT_DBT_TO_CPTL_EX_OPER_LEA_LIABS","FQ1 2024","FQ1 2024","Currency=USD","Period=FQ","BEST_FPERIOD_OVERRIDE=FQ","FILING_STATUS=MR","Sort=A","Dates=H","DateFormat=P","Fill=—","Direction=H","UseDPDF=Y")</f>
        <v>50.474800000000002</v>
      </c>
      <c r="Y27" s="14">
        <f>_xll.BDH("GILD US Equity","LT_DBT_TO_CPTL_EX_OPER_LEA_LIABS","FQ2 2024","FQ2 2024","Currency=USD","Period=FQ","BEST_FPERIOD_OVERRIDE=FQ","FILING_STATUS=MR","Sort=A","Dates=H","DateFormat=P","Fill=—","Direction=H","UseDPDF=Y")</f>
        <v>51.844900000000003</v>
      </c>
      <c r="Z27" s="14">
        <f>_xll.BDH("GILD US Equity","LT_DBT_TO_CPTL_EX_OPER_LEA_LIABS","FQ3 2024","FQ3 2024","Currency=USD","Period=FQ","BEST_FPERIOD_OVERRIDE=FQ","FILING_STATUS=MR","Sort=A","Dates=H","DateFormat=P","Fill=—","Direction=H","UseDPDF=Y")</f>
        <v>51.482999999999997</v>
      </c>
      <c r="AA27" s="14">
        <f>_xll.BDH("GILD US Equity","LT_DBT_TO_CPTL_EX_OPER_LEA_LIABS","FQ4 2024","FQ4 2024","Currency=USD","Period=FQ","BEST_FPERIOD_OVERRIDE=FQ","FILING_STATUS=MR","Sort=A","Dates=H","DateFormat=P","Fill=—","Direction=H","UseDPDF=Y")</f>
        <v>54.172400000000003</v>
      </c>
    </row>
    <row r="28" spans="1:27" x14ac:dyDescent="0.25">
      <c r="A28" s="10" t="s">
        <v>1631</v>
      </c>
      <c r="B28" s="10" t="s">
        <v>1657</v>
      </c>
      <c r="C28" s="14">
        <f>_xll.BDH("GILD US Equity","LT_DBT_AST_EX_OP_LEA_LIAB_AST","FQ4 2018","FQ4 2018","Currency=USD","Period=FQ","BEST_FPERIOD_OVERRIDE=FQ","FILING_STATUS=MR","Sort=A","Dates=H","DateFormat=P","Fill=—","Direction=H","UseDPDF=Y")</f>
        <v>38.5929</v>
      </c>
      <c r="D28" s="14">
        <f>_xll.BDH("GILD US Equity","LT_DBT_AST_EX_OP_LEA_LIAB_AST","FQ1 2019","FQ1 2019","Currency=USD","Period=FQ","BEST_FPERIOD_OVERRIDE=FQ","FILING_STATUS=MR","Sort=A","Dates=H","DateFormat=P","Fill=—","Direction=H","UseDPDF=Y")</f>
        <v>38.600900000000003</v>
      </c>
      <c r="E28" s="14">
        <f>_xll.BDH("GILD US Equity","LT_DBT_AST_EX_OP_LEA_LIAB_AST","FQ2 2019","FQ2 2019","Currency=USD","Period=FQ","BEST_FPERIOD_OVERRIDE=FQ","FILING_STATUS=MR","Sort=A","Dates=H","DateFormat=P","Fill=—","Direction=H","UseDPDF=Y")</f>
        <v>38.407800000000002</v>
      </c>
      <c r="F28" s="14">
        <f>_xll.BDH("GILD US Equity","LT_DBT_AST_EX_OP_LEA_LIAB_AST","FQ3 2019","FQ3 2019","Currency=USD","Period=FQ","BEST_FPERIOD_OVERRIDE=FQ","FILING_STATUS=MR","Sort=A","Dates=H","DateFormat=P","Fill=—","Direction=H","UseDPDF=Y")</f>
        <v>37.7697</v>
      </c>
      <c r="G28" s="14">
        <f>_xll.BDH("GILD US Equity","LT_DBT_AST_EX_OP_LEA_LIAB_AST","FQ4 2019","FQ4 2019","Currency=USD","Period=FQ","BEST_FPERIOD_OVERRIDE=FQ","FILING_STATUS=MR","Sort=A","Dates=H","DateFormat=P","Fill=—","Direction=H","UseDPDF=Y")</f>
        <v>36.244</v>
      </c>
      <c r="H28" s="14">
        <f>_xll.BDH("GILD US Equity","LT_DBT_AST_EX_OP_LEA_LIAB_AST","FQ1 2020","FQ1 2020","Currency=USD","Period=FQ","BEST_FPERIOD_OVERRIDE=FQ","FILING_STATUS=MR","Sort=A","Dates=H","DateFormat=P","Fill=—","Direction=H","UseDPDF=Y")</f>
        <v>36.989699999999999</v>
      </c>
      <c r="I28" s="14">
        <f>_xll.BDH("GILD US Equity","LT_DBT_AST_EX_OP_LEA_LIAB_AST","FQ2 2020","FQ2 2020","Currency=USD","Period=FQ","BEST_FPERIOD_OVERRIDE=FQ","FILING_STATUS=MR","Sort=A","Dates=H","DateFormat=P","Fill=—","Direction=H","UseDPDF=Y")</f>
        <v>37.728400000000001</v>
      </c>
      <c r="J28" s="14">
        <f>_xll.BDH("GILD US Equity","LT_DBT_AST_EX_OP_LEA_LIAB_AST","FQ3 2020","FQ3 2020","Currency=USD","Period=FQ","BEST_FPERIOD_OVERRIDE=FQ","FILING_STATUS=MR","Sort=A","Dates=H","DateFormat=P","Fill=—","Direction=H","UseDPDF=Y")</f>
        <v>45.652000000000001</v>
      </c>
      <c r="K28" s="14">
        <f>_xll.BDH("GILD US Equity","LT_DBT_AST_EX_OP_LEA_LIAB_AST","FQ4 2020","FQ4 2020","Currency=USD","Period=FQ","BEST_FPERIOD_OVERRIDE=FQ","FILING_STATUS=MR","Sort=A","Dates=H","DateFormat=P","Fill=—","Direction=H","UseDPDF=Y")</f>
        <v>42.273600000000002</v>
      </c>
      <c r="L28" s="14">
        <f>_xll.BDH("GILD US Equity","LT_DBT_AST_EX_OP_LEA_LIAB_AST","FQ1 2021","FQ1 2021","Currency=USD","Period=FQ","BEST_FPERIOD_OVERRIDE=FQ","FILING_STATUS=MR","Sort=A","Dates=H","DateFormat=P","Fill=—","Direction=H","UseDPDF=Y")</f>
        <v>41.348599999999998</v>
      </c>
      <c r="M28" s="14">
        <f>_xll.BDH("GILD US Equity","LT_DBT_AST_EX_OP_LEA_LIAB_AST","FQ2 2021","FQ2 2021","Currency=USD","Period=FQ","BEST_FPERIOD_OVERRIDE=FQ","FILING_STATUS=MR","Sort=A","Dates=H","DateFormat=P","Fill=—","Direction=H","UseDPDF=Y")</f>
        <v>41.059699999999999</v>
      </c>
      <c r="N28" s="14">
        <f>_xll.BDH("GILD US Equity","LT_DBT_AST_EX_OP_LEA_LIAB_AST","FQ3 2021","FQ3 2021","Currency=USD","Period=FQ","BEST_FPERIOD_OVERRIDE=FQ","FILING_STATUS=MR","Sort=A","Dates=H","DateFormat=P","Fill=—","Direction=H","UseDPDF=Y")</f>
        <v>37.5197</v>
      </c>
      <c r="O28" s="14">
        <f>_xll.BDH("GILD US Equity","LT_DBT_AST_EX_OP_LEA_LIAB_AST","FQ4 2021","FQ4 2021","Currency=USD","Period=FQ","BEST_FPERIOD_OVERRIDE=FQ","FILING_STATUS=MR","Sort=A","Dates=H","DateFormat=P","Fill=—","Direction=H","UseDPDF=Y")</f>
        <v>37.351999999999997</v>
      </c>
      <c r="P28" s="14">
        <f>_xll.BDH("GILD US Equity","LT_DBT_AST_EX_OP_LEA_LIAB_AST","FQ1 2022","FQ1 2022","Currency=USD","Period=FQ","BEST_FPERIOD_OVERRIDE=FQ","FILING_STATUS=MR","Sort=A","Dates=H","DateFormat=P","Fill=—","Direction=H","UseDPDF=Y")</f>
        <v>39.9223</v>
      </c>
      <c r="Q28" s="14">
        <f>_xll.BDH("GILD US Equity","LT_DBT_AST_EX_OP_LEA_LIAB_AST","FQ2 2022","FQ2 2022","Currency=USD","Period=FQ","BEST_FPERIOD_OVERRIDE=FQ","FILING_STATUS=MR","Sort=A","Dates=H","DateFormat=P","Fill=—","Direction=H","UseDPDF=Y")</f>
        <v>40.074800000000003</v>
      </c>
      <c r="R28" s="14">
        <f>_xll.BDH("GILD US Equity","LT_DBT_AST_EX_OP_LEA_LIAB_AST","FQ3 2022","FQ3 2022","Currency=USD","Period=FQ","BEST_FPERIOD_OVERRIDE=FQ","FILING_STATUS=MR","Sort=A","Dates=H","DateFormat=P","Fill=—","Direction=H","UseDPDF=Y")</f>
        <v>36.691299999999998</v>
      </c>
      <c r="S28" s="14">
        <f>_xll.BDH("GILD US Equity","LT_DBT_AST_EX_OP_LEA_LIAB_AST","FQ4 2022","FQ4 2022","Currency=USD","Period=FQ","BEST_FPERIOD_OVERRIDE=FQ","FILING_STATUS=MR","Sort=A","Dates=H","DateFormat=P","Fill=—","Direction=H","UseDPDF=Y")</f>
        <v>36.633899999999997</v>
      </c>
      <c r="T28" s="14">
        <f>_xll.BDH("GILD US Equity","LT_DBT_AST_EX_OP_LEA_LIAB_AST","FQ1 2023","FQ1 2023","Currency=USD","Period=FQ","BEST_FPERIOD_OVERRIDE=FQ","FILING_STATUS=MR","Sort=A","Dates=H","DateFormat=P","Fill=—","Direction=H","UseDPDF=Y")</f>
        <v>37.1</v>
      </c>
      <c r="U28" s="14">
        <f>_xll.BDH("GILD US Equity","LT_DBT_AST_EX_OP_LEA_LIAB_AST","FQ2 2023","FQ2 2023","Currency=USD","Period=FQ","BEST_FPERIOD_OVERRIDE=FQ","FILING_STATUS=MR","Sort=A","Dates=H","DateFormat=P","Fill=—","Direction=H","UseDPDF=Y")</f>
        <v>34.023099999999999</v>
      </c>
      <c r="V28" s="14">
        <f>_xll.BDH("GILD US Equity","LT_DBT_AST_EX_OP_LEA_LIAB_AST","FQ3 2023","FQ3 2023","Currency=USD","Period=FQ","BEST_FPERIOD_OVERRIDE=FQ","FILING_STATUS=MR","Sort=A","Dates=H","DateFormat=P","Fill=—","Direction=H","UseDPDF=Y")</f>
        <v>37.177900000000001</v>
      </c>
      <c r="W28" s="14">
        <f>_xll.BDH("GILD US Equity","LT_DBT_AST_EX_OP_LEA_LIAB_AST","FQ4 2023","FQ4 2023","Currency=USD","Period=FQ","BEST_FPERIOD_OVERRIDE=FQ","FILING_STATUS=MR","Sort=A","Dates=H","DateFormat=P","Fill=—","Direction=H","UseDPDF=Y")</f>
        <v>37.678699999999999</v>
      </c>
      <c r="X28" s="14">
        <f>_xll.BDH("GILD US Equity","LT_DBT_AST_EX_OP_LEA_LIAB_AST","FQ1 2024","FQ1 2024","Currency=USD","Period=FQ","BEST_FPERIOD_OVERRIDE=FQ","FILING_STATUS=MR","Sort=A","Dates=H","DateFormat=P","Fill=—","Direction=H","UseDPDF=Y")</f>
        <v>38.241700000000002</v>
      </c>
      <c r="Y28" s="14">
        <f>_xll.BDH("GILD US Equity","LT_DBT_AST_EX_OP_LEA_LIAB_AST","FQ2 2024","FQ2 2024","Currency=USD","Period=FQ","BEST_FPERIOD_OVERRIDE=FQ","FILING_STATUS=MR","Sort=A","Dates=H","DateFormat=P","Fill=—","Direction=H","UseDPDF=Y")</f>
        <v>40.202300000000001</v>
      </c>
      <c r="Z28" s="14">
        <f>_xll.BDH("GILD US Equity","LT_DBT_AST_EX_OP_LEA_LIAB_AST","FQ3 2024","FQ3 2024","Currency=USD","Period=FQ","BEST_FPERIOD_OVERRIDE=FQ","FILING_STATUS=MR","Sort=A","Dates=H","DateFormat=P","Fill=—","Direction=H","UseDPDF=Y")</f>
        <v>39.315899999999999</v>
      </c>
      <c r="AA28" s="14">
        <f>_xll.BDH("GILD US Equity","LT_DBT_AST_EX_OP_LEA_LIAB_AST","FQ4 2024","FQ4 2024","Currency=USD","Period=FQ","BEST_FPERIOD_OVERRIDE=FQ","FILING_STATUS=MR","Sort=A","Dates=H","DateFormat=P","Fill=—","Direction=H","UseDPDF=Y")</f>
        <v>42.571800000000003</v>
      </c>
    </row>
    <row r="29" spans="1:27" x14ac:dyDescent="0.25">
      <c r="A29" s="10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5">
      <c r="A30" s="10" t="s">
        <v>1633</v>
      </c>
      <c r="B30" s="10" t="s">
        <v>1658</v>
      </c>
      <c r="C30" s="14">
        <f>_xll.BDH("GILD US Equity","TOT_DBT_EX_OP_LEA_LIABS_TO_EQTY","FQ4 2018","FQ4 2018","Currency=USD","Period=FQ","BEST_FPERIOD_OVERRIDE=FQ","FILING_STATUS=MR","Sort=A","Dates=H","DateFormat=P","Fill=—","Direction=H","UseDPDF=Y")</f>
        <v>126.8784</v>
      </c>
      <c r="D30" s="14">
        <f>_xll.BDH("GILD US Equity","TOT_DBT_EX_OP_LEA_LIABS_TO_EQTY","FQ1 2019","FQ1 2019","Currency=USD","Period=FQ","BEST_FPERIOD_OVERRIDE=FQ","FILING_STATUS=MR","Sort=A","Dates=H","DateFormat=P","Fill=—","Direction=H","UseDPDF=Y")</f>
        <v>120.31140000000001</v>
      </c>
      <c r="E30" s="14">
        <f>_xll.BDH("GILD US Equity","TOT_DBT_EX_OP_LEA_LIABS_TO_EQTY","FQ2 2019","FQ2 2019","Currency=USD","Period=FQ","BEST_FPERIOD_OVERRIDE=FQ","FILING_STATUS=MR","Sort=A","Dates=H","DateFormat=P","Fill=—","Direction=H","UseDPDF=Y")</f>
        <v>114.6455</v>
      </c>
      <c r="F30" s="14">
        <f>_xll.BDH("GILD US Equity","TOT_DBT_EX_OP_LEA_LIABS_TO_EQTY","FQ3 2019","FQ3 2019","Currency=USD","Period=FQ","BEST_FPERIOD_OVERRIDE=FQ","FILING_STATUS=MR","Sort=A","Dates=H","DateFormat=P","Fill=—","Direction=H","UseDPDF=Y")</f>
        <v>118.57640000000001</v>
      </c>
      <c r="G30" s="14">
        <f>_xll.BDH("GILD US Equity","TOT_DBT_EX_OP_LEA_LIABS_TO_EQTY","FQ4 2019","FQ4 2019","Currency=USD","Period=FQ","BEST_FPERIOD_OVERRIDE=FQ","FILING_STATUS=MR","Sort=A","Dates=H","DateFormat=P","Fill=—","Direction=H","UseDPDF=Y")</f>
        <v>108.5784</v>
      </c>
      <c r="H30" s="14">
        <f>_xll.BDH("GILD US Equity","TOT_DBT_EX_OP_LEA_LIABS_TO_EQTY","FQ1 2020","FQ1 2020","Currency=USD","Period=FQ","BEST_FPERIOD_OVERRIDE=FQ","FILING_STATUS=MR","Sort=A","Dates=H","DateFormat=P","Fill=—","Direction=H","UseDPDF=Y")</f>
        <v>108.6478</v>
      </c>
      <c r="I30" s="14">
        <f>_xll.BDH("GILD US Equity","TOT_DBT_EX_OP_LEA_LIABS_TO_EQTY","FQ2 2020","FQ2 2020","Currency=USD","Period=FQ","BEST_FPERIOD_OVERRIDE=FQ","FILING_STATUS=MR","Sort=A","Dates=H","DateFormat=P","Fill=—","Direction=H","UseDPDF=Y")</f>
        <v>132.8519</v>
      </c>
      <c r="J30" s="14">
        <f>_xll.BDH("GILD US Equity","TOT_DBT_EX_OP_LEA_LIABS_TO_EQTY","FQ3 2020","FQ3 2020","Currency=USD","Period=FQ","BEST_FPERIOD_OVERRIDE=FQ","FILING_STATUS=MR","Sort=A","Dates=H","DateFormat=P","Fill=—","Direction=H","UseDPDF=Y")</f>
        <v>167.64920000000001</v>
      </c>
      <c r="K30" s="14">
        <f>_xll.BDH("GILD US Equity","TOT_DBT_EX_OP_LEA_LIABS_TO_EQTY","FQ4 2020","FQ4 2020","Currency=USD","Period=FQ","BEST_FPERIOD_OVERRIDE=FQ","FILING_STATUS=MR","Sort=A","Dates=H","DateFormat=P","Fill=—","Direction=H","UseDPDF=Y")</f>
        <v>172.33959999999999</v>
      </c>
      <c r="L30" s="14">
        <f>_xll.BDH("GILD US Equity","TOT_DBT_EX_OP_LEA_LIABS_TO_EQTY","FQ1 2021","FQ1 2021","Currency=USD","Period=FQ","BEST_FPERIOD_OVERRIDE=FQ","FILING_STATUS=MR","Sort=A","Dates=H","DateFormat=P","Fill=—","Direction=H","UseDPDF=Y")</f>
        <v>159.06979999999999</v>
      </c>
      <c r="M30" s="14">
        <f>_xll.BDH("GILD US Equity","TOT_DBT_EX_OP_LEA_LIABS_TO_EQTY","FQ2 2021","FQ2 2021","Currency=USD","Period=FQ","BEST_FPERIOD_OVERRIDE=FQ","FILING_STATUS=MR","Sort=A","Dates=H","DateFormat=P","Fill=—","Direction=H","UseDPDF=Y")</f>
        <v>153.0949</v>
      </c>
      <c r="N30" s="14">
        <f>_xll.BDH("GILD US Equity","TOT_DBT_EX_OP_LEA_LIABS_TO_EQTY","FQ3 2021","FQ3 2021","Currency=USD","Period=FQ","BEST_FPERIOD_OVERRIDE=FQ","FILING_STATUS=MR","Sort=A","Dates=H","DateFormat=P","Fill=—","Direction=H","UseDPDF=Y")</f>
        <v>128.946</v>
      </c>
      <c r="O30" s="14">
        <f>_xll.BDH("GILD US Equity","TOT_DBT_EX_OP_LEA_LIABS_TO_EQTY","FQ4 2021","FQ4 2021","Currency=USD","Period=FQ","BEST_FPERIOD_OVERRIDE=FQ","FILING_STATUS=MR","Sort=A","Dates=H","DateFormat=P","Fill=—","Direction=H","UseDPDF=Y")</f>
        <v>126.7328</v>
      </c>
      <c r="P30" s="14">
        <f>_xll.BDH("GILD US Equity","TOT_DBT_EX_OP_LEA_LIABS_TO_EQTY","FQ1 2022","FQ1 2022","Currency=USD","Period=FQ","BEST_FPERIOD_OVERRIDE=FQ","FILING_STATUS=MR","Sort=A","Dates=H","DateFormat=P","Fill=—","Direction=H","UseDPDF=Y")</f>
        <v>131.5993</v>
      </c>
      <c r="Q30" s="14">
        <f>_xll.BDH("GILD US Equity","TOT_DBT_EX_OP_LEA_LIABS_TO_EQTY","FQ2 2022","FQ2 2022","Currency=USD","Period=FQ","BEST_FPERIOD_OVERRIDE=FQ","FILING_STATUS=MR","Sort=A","Dates=H","DateFormat=P","Fill=—","Direction=H","UseDPDF=Y")</f>
        <v>129.6859</v>
      </c>
      <c r="R30" s="14">
        <f>_xll.BDH("GILD US Equity","TOT_DBT_EX_OP_LEA_LIABS_TO_EQTY","FQ3 2022","FQ3 2022","Currency=USD","Period=FQ","BEST_FPERIOD_OVERRIDE=FQ","FILING_STATUS=MR","Sort=A","Dates=H","DateFormat=P","Fill=—","Direction=H","UseDPDF=Y")</f>
        <v>119.78440000000001</v>
      </c>
      <c r="S30" s="14">
        <f>_xll.BDH("GILD US Equity","TOT_DBT_EX_OP_LEA_LIABS_TO_EQTY","FQ4 2022","FQ4 2022","Currency=USD","Period=FQ","BEST_FPERIOD_OVERRIDE=FQ","FILING_STATUS=MR","Sort=A","Dates=H","DateFormat=P","Fill=—","Direction=H","UseDPDF=Y")</f>
        <v>118.9589</v>
      </c>
      <c r="T30" s="14">
        <f>_xll.BDH("GILD US Equity","TOT_DBT_EX_OP_LEA_LIABS_TO_EQTY","FQ1 2023","FQ1 2023","Currency=USD","Period=FQ","BEST_FPERIOD_OVERRIDE=FQ","FILING_STATUS=MR","Sort=A","Dates=H","DateFormat=P","Fill=—","Direction=H","UseDPDF=Y")</f>
        <v>120.53579999999999</v>
      </c>
      <c r="U30" s="14">
        <f>_xll.BDH("GILD US Equity","TOT_DBT_EX_OP_LEA_LIABS_TO_EQTY","FQ2 2023","FQ2 2023","Currency=USD","Period=FQ","BEST_FPERIOD_OVERRIDE=FQ","FILING_STATUS=MR","Sort=A","Dates=H","DateFormat=P","Fill=—","Direction=H","UseDPDF=Y")</f>
        <v>119.6833</v>
      </c>
      <c r="V30" s="14">
        <f>_xll.BDH("GILD US Equity","TOT_DBT_EX_OP_LEA_LIABS_TO_EQTY","FQ3 2023","FQ3 2023","Currency=USD","Period=FQ","BEST_FPERIOD_OVERRIDE=FQ","FILING_STATUS=MR","Sort=A","Dates=H","DateFormat=P","Fill=—","Direction=H","UseDPDF=Y")</f>
        <v>112.31399999999999</v>
      </c>
      <c r="W30" s="14">
        <f>_xll.BDH("GILD US Equity","TOT_DBT_EX_OP_LEA_LIABS_TO_EQTY","FQ4 2023","FQ4 2023","Currency=USD","Period=FQ","BEST_FPERIOD_OVERRIDE=FQ","FILING_STATUS=MR","Sort=A","Dates=H","DateFormat=P","Fill=—","Direction=H","UseDPDF=Y")</f>
        <v>109.8378</v>
      </c>
      <c r="X30" s="14">
        <f>_xll.BDH("GILD US Equity","TOT_DBT_EX_OP_LEA_LIABS_TO_EQTY","FQ1 2024","FQ1 2024","Currency=USD","Period=FQ","BEST_FPERIOD_OVERRIDE=FQ","FILING_STATUS=MR","Sort=A","Dates=H","DateFormat=P","Fill=—","Direction=H","UseDPDF=Y")</f>
        <v>144.33690000000001</v>
      </c>
      <c r="Y30" s="14">
        <f>_xll.BDH("GILD US Equity","TOT_DBT_EX_OP_LEA_LIABS_TO_EQTY","FQ2 2024","FQ2 2024","Currency=USD","Period=FQ","BEST_FPERIOD_OVERRIDE=FQ","FILING_STATUS=MR","Sort=A","Dates=H","DateFormat=P","Fill=—","Direction=H","UseDPDF=Y")</f>
        <v>128.31790000000001</v>
      </c>
      <c r="Z30" s="14">
        <f>_xll.BDH("GILD US Equity","TOT_DBT_EX_OP_LEA_LIABS_TO_EQTY","FQ3 2024","FQ3 2024","Currency=USD","Period=FQ","BEST_FPERIOD_OVERRIDE=FQ","FILING_STATUS=MR","Sort=A","Dates=H","DateFormat=P","Fill=—","Direction=H","UseDPDF=Y")</f>
        <v>126.422</v>
      </c>
      <c r="AA30" s="14">
        <f>_xll.BDH("GILD US Equity","TOT_DBT_EX_OP_LEA_LIABS_TO_EQTY","FQ4 2024","FQ4 2024","Currency=USD","Period=FQ","BEST_FPERIOD_OVERRIDE=FQ","FILING_STATUS=MR","Sort=A","Dates=H","DateFormat=P","Fill=—","Direction=H","UseDPDF=Y")</f>
        <v>138.78729999999999</v>
      </c>
    </row>
    <row r="31" spans="1:27" x14ac:dyDescent="0.25">
      <c r="A31" s="10" t="s">
        <v>1635</v>
      </c>
      <c r="B31" s="10" t="s">
        <v>299</v>
      </c>
      <c r="C31" s="14">
        <f>_xll.BDH("GILD US Equity","TOT_DBT_TO_CPTL_EX_OP_LEA_LIABS","FQ4 2018","FQ4 2018","Currency=USD","Period=FQ","BEST_FPERIOD_OVERRIDE=FQ","FILING_STATUS=MR","Sort=A","Dates=H","DateFormat=P","Fill=—","Direction=H","UseDPDF=Y")</f>
        <v>55.923499999999997</v>
      </c>
      <c r="D31" s="14">
        <f>_xll.BDH("GILD US Equity","TOT_DBT_TO_CPTL_EX_OP_LEA_LIABS","FQ1 2019","FQ1 2019","Currency=USD","Period=FQ","BEST_FPERIOD_OVERRIDE=FQ","FILING_STATUS=MR","Sort=A","Dates=H","DateFormat=P","Fill=—","Direction=H","UseDPDF=Y")</f>
        <v>54.609699999999997</v>
      </c>
      <c r="E31" s="14">
        <f>_xll.BDH("GILD US Equity","TOT_DBT_TO_CPTL_EX_OP_LEA_LIABS","FQ2 2019","FQ2 2019","Currency=USD","Period=FQ","BEST_FPERIOD_OVERRIDE=FQ","FILING_STATUS=MR","Sort=A","Dates=H","DateFormat=P","Fill=—","Direction=H","UseDPDF=Y")</f>
        <v>53.4116</v>
      </c>
      <c r="F31" s="14">
        <f>_xll.BDH("GILD US Equity","TOT_DBT_TO_CPTL_EX_OP_LEA_LIABS","FQ3 2019","FQ3 2019","Currency=USD","Period=FQ","BEST_FPERIOD_OVERRIDE=FQ","FILING_STATUS=MR","Sort=A","Dates=H","DateFormat=P","Fill=—","Direction=H","UseDPDF=Y")</f>
        <v>54.249400000000001</v>
      </c>
      <c r="G31" s="14">
        <f>_xll.BDH("GILD US Equity","TOT_DBT_TO_CPTL_EX_OP_LEA_LIABS","FQ4 2019","FQ4 2019","Currency=USD","Period=FQ","BEST_FPERIOD_OVERRIDE=FQ","FILING_STATUS=MR","Sort=A","Dates=H","DateFormat=P","Fill=—","Direction=H","UseDPDF=Y")</f>
        <v>52.056399999999996</v>
      </c>
      <c r="H31" s="14">
        <f>_xll.BDH("GILD US Equity","TOT_DBT_TO_CPTL_EX_OP_LEA_LIABS","FQ1 2020","FQ1 2020","Currency=USD","Period=FQ","BEST_FPERIOD_OVERRIDE=FQ","FILING_STATUS=MR","Sort=A","Dates=H","DateFormat=P","Fill=—","Direction=H","UseDPDF=Y")</f>
        <v>52.072299999999998</v>
      </c>
      <c r="I31" s="14">
        <f>_xll.BDH("GILD US Equity","TOT_DBT_TO_CPTL_EX_OP_LEA_LIABS","FQ2 2020","FQ2 2020","Currency=USD","Period=FQ","BEST_FPERIOD_OVERRIDE=FQ","FILING_STATUS=MR","Sort=A","Dates=H","DateFormat=P","Fill=—","Direction=H","UseDPDF=Y")</f>
        <v>57.054299999999998</v>
      </c>
      <c r="J31" s="14">
        <f>_xll.BDH("GILD US Equity","TOT_DBT_TO_CPTL_EX_OP_LEA_LIABS","FQ3 2020","FQ3 2020","Currency=USD","Period=FQ","BEST_FPERIOD_OVERRIDE=FQ","FILING_STATUS=MR","Sort=A","Dates=H","DateFormat=P","Fill=—","Direction=H","UseDPDF=Y")</f>
        <v>62.637700000000002</v>
      </c>
      <c r="K31" s="14">
        <f>_xll.BDH("GILD US Equity","TOT_DBT_TO_CPTL_EX_OP_LEA_LIABS","FQ4 2020","FQ4 2020","Currency=USD","Period=FQ","BEST_FPERIOD_OVERRIDE=FQ","FILING_STATUS=MR","Sort=A","Dates=H","DateFormat=P","Fill=—","Direction=H","UseDPDF=Y")</f>
        <v>63.281100000000002</v>
      </c>
      <c r="L31" s="14">
        <f>_xll.BDH("GILD US Equity","TOT_DBT_TO_CPTL_EX_OP_LEA_LIABS","FQ1 2021","FQ1 2021","Currency=USD","Period=FQ","BEST_FPERIOD_OVERRIDE=FQ","FILING_STATUS=MR","Sort=A","Dates=H","DateFormat=P","Fill=—","Direction=H","UseDPDF=Y")</f>
        <v>61.400399999999998</v>
      </c>
      <c r="M31" s="14">
        <f>_xll.BDH("GILD US Equity","TOT_DBT_TO_CPTL_EX_OP_LEA_LIABS","FQ2 2021","FQ2 2021","Currency=USD","Period=FQ","BEST_FPERIOD_OVERRIDE=FQ","FILING_STATUS=MR","Sort=A","Dates=H","DateFormat=P","Fill=—","Direction=H","UseDPDF=Y")</f>
        <v>60.489100000000001</v>
      </c>
      <c r="N31" s="14">
        <f>_xll.BDH("GILD US Equity","TOT_DBT_TO_CPTL_EX_OP_LEA_LIABS","FQ3 2021","FQ3 2021","Currency=USD","Period=FQ","BEST_FPERIOD_OVERRIDE=FQ","FILING_STATUS=MR","Sort=A","Dates=H","DateFormat=P","Fill=—","Direction=H","UseDPDF=Y")</f>
        <v>56.321599999999997</v>
      </c>
      <c r="O31" s="14">
        <f>_xll.BDH("GILD US Equity","TOT_DBT_TO_CPTL_EX_OP_LEA_LIABS","FQ4 2021","FQ4 2021","Currency=USD","Period=FQ","BEST_FPERIOD_OVERRIDE=FQ","FILING_STATUS=MR","Sort=A","Dates=H","DateFormat=P","Fill=—","Direction=H","UseDPDF=Y")</f>
        <v>55.895200000000003</v>
      </c>
      <c r="P31" s="14">
        <f>_xll.BDH("GILD US Equity","TOT_DBT_TO_CPTL_EX_OP_LEA_LIABS","FQ1 2022","FQ1 2022","Currency=USD","Period=FQ","BEST_FPERIOD_OVERRIDE=FQ","FILING_STATUS=MR","Sort=A","Dates=H","DateFormat=P","Fill=—","Direction=H","UseDPDF=Y")</f>
        <v>56.822000000000003</v>
      </c>
      <c r="Q31" s="14">
        <f>_xll.BDH("GILD US Equity","TOT_DBT_TO_CPTL_EX_OP_LEA_LIABS","FQ2 2022","FQ2 2022","Currency=USD","Period=FQ","BEST_FPERIOD_OVERRIDE=FQ","FILING_STATUS=MR","Sort=A","Dates=H","DateFormat=P","Fill=—","Direction=H","UseDPDF=Y")</f>
        <v>56.462299999999999</v>
      </c>
      <c r="R31" s="14">
        <f>_xll.BDH("GILD US Equity","TOT_DBT_TO_CPTL_EX_OP_LEA_LIABS","FQ3 2022","FQ3 2022","Currency=USD","Period=FQ","BEST_FPERIOD_OVERRIDE=FQ","FILING_STATUS=MR","Sort=A","Dates=H","DateFormat=P","Fill=—","Direction=H","UseDPDF=Y")</f>
        <v>54.500900000000001</v>
      </c>
      <c r="S31" s="14">
        <f>_xll.BDH("GILD US Equity","TOT_DBT_TO_CPTL_EX_OP_LEA_LIABS","FQ4 2022","FQ4 2022","Currency=USD","Period=FQ","BEST_FPERIOD_OVERRIDE=FQ","FILING_STATUS=MR","Sort=A","Dates=H","DateFormat=P","Fill=—","Direction=H","UseDPDF=Y")</f>
        <v>54.329300000000003</v>
      </c>
      <c r="T31" s="14">
        <f>_xll.BDH("GILD US Equity","TOT_DBT_TO_CPTL_EX_OP_LEA_LIABS","FQ1 2023","FQ1 2023","Currency=USD","Period=FQ","BEST_FPERIOD_OVERRIDE=FQ","FILING_STATUS=MR","Sort=A","Dates=H","DateFormat=P","Fill=—","Direction=H","UseDPDF=Y")</f>
        <v>54.655900000000003</v>
      </c>
      <c r="U31" s="14">
        <f>_xll.BDH("GILD US Equity","TOT_DBT_TO_CPTL_EX_OP_LEA_LIABS","FQ2 2023","FQ2 2023","Currency=USD","Period=FQ","BEST_FPERIOD_OVERRIDE=FQ","FILING_STATUS=MR","Sort=A","Dates=H","DateFormat=P","Fill=—","Direction=H","UseDPDF=Y")</f>
        <v>54.479900000000001</v>
      </c>
      <c r="V31" s="14">
        <f>_xll.BDH("GILD US Equity","TOT_DBT_TO_CPTL_EX_OP_LEA_LIABS","FQ3 2023","FQ3 2023","Currency=USD","Period=FQ","BEST_FPERIOD_OVERRIDE=FQ","FILING_STATUS=MR","Sort=A","Dates=H","DateFormat=P","Fill=—","Direction=H","UseDPDF=Y")</f>
        <v>52.899900000000002</v>
      </c>
      <c r="W31" s="14">
        <f>_xll.BDH("GILD US Equity","TOT_DBT_TO_CPTL_EX_OP_LEA_LIABS","FQ4 2023","FQ4 2023","Currency=USD","Period=FQ","BEST_FPERIOD_OVERRIDE=FQ","FILING_STATUS=MR","Sort=A","Dates=H","DateFormat=P","Fill=—","Direction=H","UseDPDF=Y")</f>
        <v>52.344099999999997</v>
      </c>
      <c r="X31" s="14">
        <f>_xll.BDH("GILD US Equity","TOT_DBT_TO_CPTL_EX_OP_LEA_LIABS","FQ1 2024","FQ1 2024","Currency=USD","Period=FQ","BEST_FPERIOD_OVERRIDE=FQ","FILING_STATUS=MR","Sort=A","Dates=H","DateFormat=P","Fill=—","Direction=H","UseDPDF=Y")</f>
        <v>59.072899999999997</v>
      </c>
      <c r="Y31" s="14">
        <f>_xll.BDH("GILD US Equity","TOT_DBT_TO_CPTL_EX_OP_LEA_LIABS","FQ2 2024","FQ2 2024","Currency=USD","Period=FQ","BEST_FPERIOD_OVERRIDE=FQ","FILING_STATUS=MR","Sort=A","Dates=H","DateFormat=P","Fill=—","Direction=H","UseDPDF=Y")</f>
        <v>56.2014</v>
      </c>
      <c r="Z31" s="14">
        <f>_xll.BDH("GILD US Equity","TOT_DBT_TO_CPTL_EX_OP_LEA_LIABS","FQ3 2024","FQ3 2024","Currency=USD","Period=FQ","BEST_FPERIOD_OVERRIDE=FQ","FILING_STATUS=MR","Sort=A","Dates=H","DateFormat=P","Fill=—","Direction=H","UseDPDF=Y")</f>
        <v>55.834699999999998</v>
      </c>
      <c r="AA31" s="14">
        <f>_xll.BDH("GILD US Equity","TOT_DBT_TO_CPTL_EX_OP_LEA_LIABS","FQ4 2024","FQ4 2024","Currency=USD","Period=FQ","BEST_FPERIOD_OVERRIDE=FQ","FILING_STATUS=MR","Sort=A","Dates=H","DateFormat=P","Fill=—","Direction=H","UseDPDF=Y")</f>
        <v>58.121699999999997</v>
      </c>
    </row>
    <row r="32" spans="1:27" x14ac:dyDescent="0.25">
      <c r="A32" s="10" t="s">
        <v>1636</v>
      </c>
      <c r="B32" s="10" t="s">
        <v>1659</v>
      </c>
      <c r="C32" s="14">
        <f>_xll.BDH("GILD US Equity","TOT_DBT_AST_EX_OP_LEA_LIAB_AST","FQ4 2018","FQ4 2018","Currency=USD","Period=FQ","BEST_FPERIOD_OVERRIDE=FQ","FILING_STATUS=MR","Sort=A","Dates=H","DateFormat=P","Fill=—","Direction=H","UseDPDF=Y")</f>
        <v>42.908499999999997</v>
      </c>
      <c r="D32" s="14">
        <f>_xll.BDH("GILD US Equity","TOT_DBT_AST_EX_OP_LEA_LIAB_AST","FQ1 2019","FQ1 2019","Currency=USD","Period=FQ","BEST_FPERIOD_OVERRIDE=FQ","FILING_STATUS=MR","Sort=A","Dates=H","DateFormat=P","Fill=—","Direction=H","UseDPDF=Y")</f>
        <v>42.605200000000004</v>
      </c>
      <c r="E32" s="14">
        <f>_xll.BDH("GILD US Equity","TOT_DBT_AST_EX_OP_LEA_LIAB_AST","FQ2 2019","FQ2 2019","Currency=USD","Period=FQ","BEST_FPERIOD_OVERRIDE=FQ","FILING_STATUS=MR","Sort=A","Dates=H","DateFormat=P","Fill=—","Direction=H","UseDPDF=Y")</f>
        <v>41.595700000000001</v>
      </c>
      <c r="F32" s="14">
        <f>_xll.BDH("GILD US Equity","TOT_DBT_AST_EX_OP_LEA_LIAB_AST","FQ3 2019","FQ3 2019","Currency=USD","Period=FQ","BEST_FPERIOD_OVERRIDE=FQ","FILING_STATUS=MR","Sort=A","Dates=H","DateFormat=P","Fill=—","Direction=H","UseDPDF=Y")</f>
        <v>42.040799999999997</v>
      </c>
      <c r="G32" s="14">
        <f>_xll.BDH("GILD US Equity","TOT_DBT_AST_EX_OP_LEA_LIAB_AST","FQ4 2019","FQ4 2019","Currency=USD","Period=FQ","BEST_FPERIOD_OVERRIDE=FQ","FILING_STATUS=MR","Sort=A","Dates=H","DateFormat=P","Fill=—","Direction=H","UseDPDF=Y")</f>
        <v>40.343499999999999</v>
      </c>
      <c r="H32" s="14">
        <f>_xll.BDH("GILD US Equity","TOT_DBT_AST_EX_OP_LEA_LIAB_AST","FQ1 2020","FQ1 2020","Currency=USD","Period=FQ","BEST_FPERIOD_OVERRIDE=FQ","FILING_STATUS=MR","Sort=A","Dates=H","DateFormat=P","Fill=—","Direction=H","UseDPDF=Y")</f>
        <v>40.335799999999999</v>
      </c>
      <c r="I32" s="14">
        <f>_xll.BDH("GILD US Equity","TOT_DBT_AST_EX_OP_LEA_LIAB_AST","FQ2 2020","FQ2 2020","Currency=USD","Period=FQ","BEST_FPERIOD_OVERRIDE=FQ","FILING_STATUS=MR","Sort=A","Dates=H","DateFormat=P","Fill=—","Direction=H","UseDPDF=Y")</f>
        <v>43.0901</v>
      </c>
      <c r="J32" s="14">
        <f>_xll.BDH("GILD US Equity","TOT_DBT_AST_EX_OP_LEA_LIAB_AST","FQ3 2020","FQ3 2020","Currency=USD","Period=FQ","BEST_FPERIOD_OVERRIDE=FQ","FILING_STATUS=MR","Sort=A","Dates=H","DateFormat=P","Fill=—","Direction=H","UseDPDF=Y")</f>
        <v>48.1126</v>
      </c>
      <c r="K32" s="14">
        <f>_xll.BDH("GILD US Equity","TOT_DBT_AST_EX_OP_LEA_LIAB_AST","FQ4 2020","FQ4 2020","Currency=USD","Period=FQ","BEST_FPERIOD_OVERRIDE=FQ","FILING_STATUS=MR","Sort=A","Dates=H","DateFormat=P","Fill=—","Direction=H","UseDPDF=Y")</f>
        <v>46.342300000000002</v>
      </c>
      <c r="L32" s="14">
        <f>_xll.BDH("GILD US Equity","TOT_DBT_AST_EX_OP_LEA_LIAB_AST","FQ1 2021","FQ1 2021","Currency=USD","Period=FQ","BEST_FPERIOD_OVERRIDE=FQ","FILING_STATUS=MR","Sort=A","Dates=H","DateFormat=P","Fill=—","Direction=H","UseDPDF=Y")</f>
        <v>44.695700000000002</v>
      </c>
      <c r="M32" s="14">
        <f>_xll.BDH("GILD US Equity","TOT_DBT_AST_EX_OP_LEA_LIAB_AST","FQ2 2021","FQ2 2021","Currency=USD","Period=FQ","BEST_FPERIOD_OVERRIDE=FQ","FILING_STATUS=MR","Sort=A","Dates=H","DateFormat=P","Fill=—","Direction=H","UseDPDF=Y")</f>
        <v>44.385399999999997</v>
      </c>
      <c r="N32" s="14">
        <f>_xll.BDH("GILD US Equity","TOT_DBT_AST_EX_OP_LEA_LIAB_AST","FQ3 2021","FQ3 2021","Currency=USD","Period=FQ","BEST_FPERIOD_OVERRIDE=FQ","FILING_STATUS=MR","Sort=A","Dates=H","DateFormat=P","Fill=—","Direction=H","UseDPDF=Y")</f>
        <v>41.262</v>
      </c>
      <c r="O32" s="14">
        <f>_xll.BDH("GILD US Equity","TOT_DBT_AST_EX_OP_LEA_LIAB_AST","FQ4 2021","FQ4 2021","Currency=USD","Period=FQ","BEST_FPERIOD_OVERRIDE=FQ","FILING_STATUS=MR","Sort=A","Dates=H","DateFormat=P","Fill=—","Direction=H","UseDPDF=Y")</f>
        <v>39.600900000000003</v>
      </c>
      <c r="P32" s="14">
        <f>_xll.BDH("GILD US Equity","TOT_DBT_AST_EX_OP_LEA_LIAB_AST","FQ1 2022","FQ1 2022","Currency=USD","Period=FQ","BEST_FPERIOD_OVERRIDE=FQ","FILING_STATUS=MR","Sort=A","Dates=H","DateFormat=P","Fill=—","Direction=H","UseDPDF=Y")</f>
        <v>41.547199999999997</v>
      </c>
      <c r="Q32" s="14">
        <f>_xll.BDH("GILD US Equity","TOT_DBT_AST_EX_OP_LEA_LIAB_AST","FQ2 2022","FQ2 2022","Currency=USD","Period=FQ","BEST_FPERIOD_OVERRIDE=FQ","FILING_STATUS=MR","Sort=A","Dates=H","DateFormat=P","Fill=—","Direction=H","UseDPDF=Y")</f>
        <v>41.698700000000002</v>
      </c>
      <c r="R32" s="14">
        <f>_xll.BDH("GILD US Equity","TOT_DBT_AST_EX_OP_LEA_LIAB_AST","FQ3 2022","FQ3 2022","Currency=USD","Period=FQ","BEST_FPERIOD_OVERRIDE=FQ","FILING_STATUS=MR","Sort=A","Dates=H","DateFormat=P","Fill=—","Direction=H","UseDPDF=Y")</f>
        <v>40.32</v>
      </c>
      <c r="S32" s="14">
        <f>_xll.BDH("GILD US Equity","TOT_DBT_AST_EX_OP_LEA_LIAB_AST","FQ4 2022","FQ4 2022","Currency=USD","Period=FQ","BEST_FPERIOD_OVERRIDE=FQ","FILING_STATUS=MR","Sort=A","Dates=H","DateFormat=P","Fill=—","Direction=H","UseDPDF=Y")</f>
        <v>40.261099999999999</v>
      </c>
      <c r="T32" s="14">
        <f>_xll.BDH("GILD US Equity","TOT_DBT_AST_EX_OP_LEA_LIAB_AST","FQ1 2023","FQ1 2023","Currency=USD","Period=FQ","BEST_FPERIOD_OVERRIDE=FQ","FILING_STATUS=MR","Sort=A","Dates=H","DateFormat=P","Fill=—","Direction=H","UseDPDF=Y")</f>
        <v>40.7896</v>
      </c>
      <c r="U32" s="14">
        <f>_xll.BDH("GILD US Equity","TOT_DBT_AST_EX_OP_LEA_LIAB_AST","FQ2 2023","FQ2 2023","Currency=USD","Period=FQ","BEST_FPERIOD_OVERRIDE=FQ","FILING_STATUS=MR","Sort=A","Dates=H","DateFormat=P","Fill=—","Direction=H","UseDPDF=Y")</f>
        <v>40.499200000000002</v>
      </c>
      <c r="V32" s="14">
        <f>_xll.BDH("GILD US Equity","TOT_DBT_AST_EX_OP_LEA_LIAB_AST","FQ3 2023","FQ3 2023","Currency=USD","Period=FQ","BEST_FPERIOD_OVERRIDE=FQ","FILING_STATUS=MR","Sort=A","Dates=H","DateFormat=P","Fill=—","Direction=H","UseDPDF=Y")</f>
        <v>40.052599999999998</v>
      </c>
      <c r="W32" s="14">
        <f>_xll.BDH("GILD US Equity","TOT_DBT_AST_EX_OP_LEA_LIAB_AST","FQ4 2023","FQ4 2023","Currency=USD","Period=FQ","BEST_FPERIOD_OVERRIDE=FQ","FILING_STATUS=MR","Sort=A","Dates=H","DateFormat=P","Fill=—","Direction=H","UseDPDF=Y")</f>
        <v>40.600200000000001</v>
      </c>
      <c r="X32" s="14">
        <f>_xll.BDH("GILD US Equity","TOT_DBT_AST_EX_OP_LEA_LIAB_AST","FQ1 2024","FQ1 2024","Currency=USD","Period=FQ","BEST_FPERIOD_OVERRIDE=FQ","FILING_STATUS=MR","Sort=A","Dates=H","DateFormat=P","Fill=—","Direction=H","UseDPDF=Y")</f>
        <v>44.755899999999997</v>
      </c>
      <c r="Y32" s="14">
        <f>_xll.BDH("GILD US Equity","TOT_DBT_AST_EX_OP_LEA_LIAB_AST","FQ2 2024","FQ2 2024","Currency=USD","Period=FQ","BEST_FPERIOD_OVERRIDE=FQ","FILING_STATUS=MR","Sort=A","Dates=H","DateFormat=P","Fill=—","Direction=H","UseDPDF=Y")</f>
        <v>43.580500000000001</v>
      </c>
      <c r="Z32" s="14">
        <f>_xll.BDH("GILD US Equity","TOT_DBT_AST_EX_OP_LEA_LIAB_AST","FQ3 2024","FQ3 2024","Currency=USD","Period=FQ","BEST_FPERIOD_OVERRIDE=FQ","FILING_STATUS=MR","Sort=A","Dates=H","DateFormat=P","Fill=—","Direction=H","UseDPDF=Y")</f>
        <v>42.639200000000002</v>
      </c>
      <c r="AA32" s="14">
        <f>_xll.BDH("GILD US Equity","TOT_DBT_AST_EX_OP_LEA_LIAB_AST","FQ4 2024","FQ4 2024","Currency=USD","Period=FQ","BEST_FPERIOD_OVERRIDE=FQ","FILING_STATUS=MR","Sort=A","Dates=H","DateFormat=P","Fill=—","Direction=H","UseDPDF=Y")</f>
        <v>45.675400000000003</v>
      </c>
    </row>
    <row r="33" spans="1:27" x14ac:dyDescent="0.2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5">
      <c r="A34" s="10" t="s">
        <v>1638</v>
      </c>
      <c r="B34" s="10" t="s">
        <v>1660</v>
      </c>
      <c r="C34" s="14">
        <f>_xll.BDH("GILD US Equity","NET_DBT_EX_OPER_LEA_LIABS_EQTY","FQ4 2018","FQ4 2018","Currency=USD","Period=FQ","BEST_FPERIOD_OVERRIDE=FQ","FILING_STATUS=MR","Sort=A","Dates=H","DateFormat=P","Fill=—","Direction=H","UseDPDF=Y")</f>
        <v>-19.457599999999999</v>
      </c>
      <c r="D34" s="14">
        <f>_xll.BDH("GILD US Equity","NET_DBT_EX_OPER_LEA_LIABS_EQTY","FQ1 2019","FQ1 2019","Currency=USD","Period=FQ","BEST_FPERIOD_OVERRIDE=FQ","FILING_STATUS=MR","Sort=A","Dates=H","DateFormat=P","Fill=—","Direction=H","UseDPDF=Y")</f>
        <v>-16.0563</v>
      </c>
      <c r="E34" s="14">
        <f>_xll.BDH("GILD US Equity","NET_DBT_EX_OPER_LEA_LIABS_EQTY","FQ2 2019","FQ2 2019","Currency=USD","Period=FQ","BEST_FPERIOD_OVERRIDE=FQ","FILING_STATUS=MR","Sort=A","Dates=H","DateFormat=P","Fill=—","Direction=H","UseDPDF=Y")</f>
        <v>-18.2454</v>
      </c>
      <c r="F34" s="14">
        <f>_xll.BDH("GILD US Equity","NET_DBT_EX_OPER_LEA_LIABS_EQTY","FQ3 2019","FQ3 2019","Currency=USD","Period=FQ","BEST_FPERIOD_OVERRIDE=FQ","FILING_STATUS=MR","Sort=A","Dates=H","DateFormat=P","Fill=—","Direction=H","UseDPDF=Y")</f>
        <v>-2.2328000000000001</v>
      </c>
      <c r="G34" s="14">
        <f>_xll.BDH("GILD US Equity","NET_DBT_EX_OPER_LEA_LIABS_EQTY","FQ4 2019","FQ4 2019","Currency=USD","Period=FQ","BEST_FPERIOD_OVERRIDE=FQ","FILING_STATUS=MR","Sort=A","Dates=H","DateFormat=P","Fill=—","Direction=H","UseDPDF=Y")</f>
        <v>-5.5054999999999996</v>
      </c>
      <c r="H34" s="14">
        <f>_xll.BDH("GILD US Equity","NET_DBT_EX_OPER_LEA_LIABS_EQTY","FQ1 2020","FQ1 2020","Currency=USD","Period=FQ","BEST_FPERIOD_OVERRIDE=FQ","FILING_STATUS=MR","Sort=A","Dates=H","DateFormat=P","Fill=—","Direction=H","UseDPDF=Y")</f>
        <v>-0.97840000000000005</v>
      </c>
      <c r="I34" s="14">
        <f>_xll.BDH("GILD US Equity","NET_DBT_EX_OPER_LEA_LIABS_EQTY","FQ2 2020","FQ2 2020","Currency=USD","Period=FQ","BEST_FPERIOD_OVERRIDE=FQ","FILING_STATUS=MR","Sort=A","Dates=H","DateFormat=P","Fill=—","Direction=H","UseDPDF=Y")</f>
        <v>16.051200000000001</v>
      </c>
      <c r="J34" s="14">
        <f>_xll.BDH("GILD US Equity","NET_DBT_EX_OPER_LEA_LIABS_EQTY","FQ3 2020","FQ3 2020","Currency=USD","Period=FQ","BEST_FPERIOD_OVERRIDE=FQ","FILING_STATUS=MR","Sort=A","Dates=H","DateFormat=P","Fill=—","Direction=H","UseDPDF=Y")</f>
        <v>18.550699999999999</v>
      </c>
      <c r="K34" s="14">
        <f>_xll.BDH("GILD US Equity","NET_DBT_EX_OPER_LEA_LIABS_EQTY","FQ4 2020","FQ4 2020","Currency=USD","Period=FQ","BEST_FPERIOD_OVERRIDE=FQ","FILING_STATUS=MR","Sort=A","Dates=H","DateFormat=P","Fill=—","Direction=H","UseDPDF=Y")</f>
        <v>128.9282</v>
      </c>
      <c r="L34" s="14">
        <f>_xll.BDH("GILD US Equity","NET_DBT_EX_OPER_LEA_LIABS_EQTY","FQ1 2021","FQ1 2021","Currency=USD","Period=FQ","BEST_FPERIOD_OVERRIDE=FQ","FILING_STATUS=MR","Sort=A","Dates=H","DateFormat=P","Fill=—","Direction=H","UseDPDF=Y")</f>
        <v>126.139</v>
      </c>
      <c r="M34" s="14">
        <f>_xll.BDH("GILD US Equity","NET_DBT_EX_OPER_LEA_LIABS_EQTY","FQ2 2021","FQ2 2021","Currency=USD","Period=FQ","BEST_FPERIOD_OVERRIDE=FQ","FILING_STATUS=MR","Sort=A","Dates=H","DateFormat=P","Fill=—","Direction=H","UseDPDF=Y")</f>
        <v>115.7484</v>
      </c>
      <c r="N34" s="14">
        <f>_xll.BDH("GILD US Equity","NET_DBT_EX_OPER_LEA_LIABS_EQTY","FQ3 2021","FQ3 2021","Currency=USD","Period=FQ","BEST_FPERIOD_OVERRIDE=FQ","FILING_STATUS=MR","Sort=A","Dates=H","DateFormat=P","Fill=—","Direction=H","UseDPDF=Y")</f>
        <v>97.103099999999998</v>
      </c>
      <c r="O34" s="14">
        <f>_xll.BDH("GILD US Equity","NET_DBT_EX_OPER_LEA_LIABS_EQTY","FQ4 2021","FQ4 2021","Currency=USD","Period=FQ","BEST_FPERIOD_OVERRIDE=FQ","FILING_STATUS=MR","Sort=A","Dates=H","DateFormat=P","Fill=—","Direction=H","UseDPDF=Y")</f>
        <v>89.565100000000001</v>
      </c>
      <c r="P34" s="14">
        <f>_xll.BDH("GILD US Equity","NET_DBT_EX_OPER_LEA_LIABS_EQTY","FQ1 2022","FQ1 2022","Currency=USD","Period=FQ","BEST_FPERIOD_OVERRIDE=FQ","FILING_STATUS=MR","Sort=A","Dates=H","DateFormat=P","Fill=—","Direction=H","UseDPDF=Y")</f>
        <v>97.6952</v>
      </c>
      <c r="Q34" s="14">
        <f>_xll.BDH("GILD US Equity","NET_DBT_EX_OPER_LEA_LIABS_EQTY","FQ2 2022","FQ2 2022","Currency=USD","Period=FQ","BEST_FPERIOD_OVERRIDE=FQ","FILING_STATUS=MR","Sort=A","Dates=H","DateFormat=P","Fill=—","Direction=H","UseDPDF=Y")</f>
        <v>95.058099999999996</v>
      </c>
      <c r="R34" s="14">
        <f>_xll.BDH("GILD US Equity","NET_DBT_EX_OPER_LEA_LIABS_EQTY","FQ3 2022","FQ3 2022","Currency=USD","Period=FQ","BEST_FPERIOD_OVERRIDE=FQ","FILING_STATUS=MR","Sort=A","Dates=H","DateFormat=P","Fill=—","Direction=H","UseDPDF=Y")</f>
        <v>86.816699999999997</v>
      </c>
      <c r="S34" s="14">
        <f>_xll.BDH("GILD US Equity","NET_DBT_EX_OPER_LEA_LIABS_EQTY","FQ4 2022","FQ4 2022","Currency=USD","Period=FQ","BEST_FPERIOD_OVERRIDE=FQ","FILING_STATUS=MR","Sort=A","Dates=H","DateFormat=P","Fill=—","Direction=H","UseDPDF=Y")</f>
        <v>82.983599999999996</v>
      </c>
      <c r="T34" s="14">
        <f>_xll.BDH("GILD US Equity","NET_DBT_EX_OPER_LEA_LIABS_EQTY","FQ1 2023","FQ1 2023","Currency=USD","Period=FQ","BEST_FPERIOD_OVERRIDE=FQ","FILING_STATUS=MR","Sort=A","Dates=H","DateFormat=P","Fill=—","Direction=H","UseDPDF=Y")</f>
        <v>86.155000000000001</v>
      </c>
      <c r="U34" s="14">
        <f>_xll.BDH("GILD US Equity","NET_DBT_EX_OPER_LEA_LIABS_EQTY","FQ2 2023","FQ2 2023","Currency=USD","Period=FQ","BEST_FPERIOD_OVERRIDE=FQ","FILING_STATUS=MR","Sort=A","Dates=H","DateFormat=P","Fill=—","Direction=H","UseDPDF=Y")</f>
        <v>81.753100000000003</v>
      </c>
      <c r="V34" s="14">
        <f>_xll.BDH("GILD US Equity","NET_DBT_EX_OPER_LEA_LIABS_EQTY","FQ3 2023","FQ3 2023","Currency=USD","Period=FQ","BEST_FPERIOD_OVERRIDE=FQ","FILING_STATUS=MR","Sort=A","Dates=H","DateFormat=P","Fill=—","Direction=H","UseDPDF=Y")</f>
        <v>76.2577</v>
      </c>
      <c r="W34" s="14">
        <f>_xll.BDH("GILD US Equity","NET_DBT_EX_OPER_LEA_LIABS_EQTY","FQ4 2023","FQ4 2023","Currency=USD","Period=FQ","BEST_FPERIOD_OVERRIDE=FQ","FILING_STATUS=MR","Sort=A","Dates=H","DateFormat=P","Fill=—","Direction=H","UseDPDF=Y")</f>
        <v>72.794399999999996</v>
      </c>
      <c r="X34" s="14">
        <f>_xll.BDH("GILD US Equity","NET_DBT_EX_OPER_LEA_LIABS_EQTY","FQ1 2024","FQ1 2024","Currency=USD","Period=FQ","BEST_FPERIOD_OVERRIDE=FQ","FILING_STATUS=MR","Sort=A","Dates=H","DateFormat=P","Fill=—","Direction=H","UseDPDF=Y")</f>
        <v>117.3074</v>
      </c>
      <c r="Y34" s="14">
        <f>_xll.BDH("GILD US Equity","NET_DBT_EX_OPER_LEA_LIABS_EQTY","FQ2 2024","FQ2 2024","Currency=USD","Period=FQ","BEST_FPERIOD_OVERRIDE=FQ","FILING_STATUS=MR","Sort=A","Dates=H","DateFormat=P","Fill=—","Direction=H","UseDPDF=Y")</f>
        <v>113.08459999999999</v>
      </c>
      <c r="Z34" s="14">
        <f>_xll.BDH("GILD US Equity","NET_DBT_EX_OPER_LEA_LIABS_EQTY","FQ3 2024","FQ3 2024","Currency=USD","Period=FQ","BEST_FPERIOD_OVERRIDE=FQ","FILING_STATUS=MR","Sort=A","Dates=H","DateFormat=P","Fill=—","Direction=H","UseDPDF=Y")</f>
        <v>99.0321</v>
      </c>
      <c r="AA34" s="14">
        <f>_xll.BDH("GILD US Equity","NET_DBT_EX_OPER_LEA_LIABS_EQTY","FQ4 2024","FQ4 2024","Currency=USD","Period=FQ","BEST_FPERIOD_OVERRIDE=FQ","FILING_STATUS=MR","Sort=A","Dates=H","DateFormat=P","Fill=—","Direction=H","UseDPDF=Y")</f>
        <v>86.875200000000007</v>
      </c>
    </row>
    <row r="35" spans="1:27" x14ac:dyDescent="0.25">
      <c r="A35" s="10" t="s">
        <v>1639</v>
      </c>
      <c r="B35" s="10" t="s">
        <v>1661</v>
      </c>
      <c r="C35" s="14">
        <f>_xll.BDH("GILD US Equity","NET_DBT_CPTL_EX_OPER_LEA_LIABS","FQ4 2018","FQ4 2018","Currency=USD","Period=FQ","BEST_FPERIOD_OVERRIDE=FQ","FILING_STATUS=MR","Sort=A","Dates=H","DateFormat=P","Fill=—","Direction=H","UseDPDF=Y")</f>
        <v>-24.158200000000001</v>
      </c>
      <c r="D35" s="14">
        <f>_xll.BDH("GILD US Equity","NET_DBT_CPTL_EX_OPER_LEA_LIABS","FQ1 2019","FQ1 2019","Currency=USD","Period=FQ","BEST_FPERIOD_OVERRIDE=FQ","FILING_STATUS=MR","Sort=A","Dates=H","DateFormat=P","Fill=—","Direction=H","UseDPDF=Y")</f>
        <v>-19.127500000000001</v>
      </c>
      <c r="E35" s="14">
        <f>_xll.BDH("GILD US Equity","NET_DBT_CPTL_EX_OPER_LEA_LIABS","FQ2 2019","FQ2 2019","Currency=USD","Period=FQ","BEST_FPERIOD_OVERRIDE=FQ","FILING_STATUS=MR","Sort=A","Dates=H","DateFormat=P","Fill=—","Direction=H","UseDPDF=Y")</f>
        <v>-22.3172</v>
      </c>
      <c r="F35" s="14">
        <f>_xll.BDH("GILD US Equity","NET_DBT_CPTL_EX_OPER_LEA_LIABS","FQ3 2019","FQ3 2019","Currency=USD","Period=FQ","BEST_FPERIOD_OVERRIDE=FQ","FILING_STATUS=MR","Sort=A","Dates=H","DateFormat=P","Fill=—","Direction=H","UseDPDF=Y")</f>
        <v>-2.2837999999999998</v>
      </c>
      <c r="G35" s="14">
        <f>_xll.BDH("GILD US Equity","NET_DBT_CPTL_EX_OPER_LEA_LIABS","FQ4 2019","FQ4 2019","Currency=USD","Period=FQ","BEST_FPERIOD_OVERRIDE=FQ","FILING_STATUS=MR","Sort=A","Dates=H","DateFormat=P","Fill=—","Direction=H","UseDPDF=Y")</f>
        <v>-5.8262999999999998</v>
      </c>
      <c r="H35" s="14">
        <f>_xll.BDH("GILD US Equity","NET_DBT_CPTL_EX_OPER_LEA_LIABS","FQ1 2020","FQ1 2020","Currency=USD","Period=FQ","BEST_FPERIOD_OVERRIDE=FQ","FILING_STATUS=MR","Sort=A","Dates=H","DateFormat=P","Fill=—","Direction=H","UseDPDF=Y")</f>
        <v>-0.98809999999999998</v>
      </c>
      <c r="I35" s="14">
        <f>_xll.BDH("GILD US Equity","NET_DBT_CPTL_EX_OPER_LEA_LIABS","FQ2 2020","FQ2 2020","Currency=USD","Period=FQ","BEST_FPERIOD_OVERRIDE=FQ","FILING_STATUS=MR","Sort=A","Dates=H","DateFormat=P","Fill=—","Direction=H","UseDPDF=Y")</f>
        <v>13.831099999999999</v>
      </c>
      <c r="J35" s="14">
        <f>_xll.BDH("GILD US Equity","NET_DBT_CPTL_EX_OPER_LEA_LIABS","FQ3 2020","FQ3 2020","Currency=USD","Period=FQ","BEST_FPERIOD_OVERRIDE=FQ","FILING_STATUS=MR","Sort=A","Dates=H","DateFormat=P","Fill=—","Direction=H","UseDPDF=Y")</f>
        <v>15.6479</v>
      </c>
      <c r="K35" s="14">
        <f>_xll.BDH("GILD US Equity","NET_DBT_CPTL_EX_OPER_LEA_LIABS","FQ4 2020","FQ4 2020","Currency=USD","Period=FQ","BEST_FPERIOD_OVERRIDE=FQ","FILING_STATUS=MR","Sort=A","Dates=H","DateFormat=P","Fill=—","Direction=H","UseDPDF=Y")</f>
        <v>56.318199999999997</v>
      </c>
      <c r="L35" s="14">
        <f>_xll.BDH("GILD US Equity","NET_DBT_CPTL_EX_OPER_LEA_LIABS","FQ1 2021","FQ1 2021","Currency=USD","Period=FQ","BEST_FPERIOD_OVERRIDE=FQ","FILING_STATUS=MR","Sort=A","Dates=H","DateFormat=P","Fill=—","Direction=H","UseDPDF=Y")</f>
        <v>55.779400000000003</v>
      </c>
      <c r="M35" s="14">
        <f>_xll.BDH("GILD US Equity","NET_DBT_CPTL_EX_OPER_LEA_LIABS","FQ2 2021","FQ2 2021","Currency=USD","Period=FQ","BEST_FPERIOD_OVERRIDE=FQ","FILING_STATUS=MR","Sort=A","Dates=H","DateFormat=P","Fill=—","Direction=H","UseDPDF=Y")</f>
        <v>53.649700000000003</v>
      </c>
      <c r="N35" s="14">
        <f>_xll.BDH("GILD US Equity","NET_DBT_CPTL_EX_OPER_LEA_LIABS","FQ3 2021","FQ3 2021","Currency=USD","Period=FQ","BEST_FPERIOD_OVERRIDE=FQ","FILING_STATUS=MR","Sort=A","Dates=H","DateFormat=P","Fill=—","Direction=H","UseDPDF=Y")</f>
        <v>49.265099999999997</v>
      </c>
      <c r="O35" s="14">
        <f>_xll.BDH("GILD US Equity","NET_DBT_CPTL_EX_OPER_LEA_LIABS","FQ4 2021","FQ4 2021","Currency=USD","Period=FQ","BEST_FPERIOD_OVERRIDE=FQ","FILING_STATUS=MR","Sort=A","Dates=H","DateFormat=P","Fill=—","Direction=H","UseDPDF=Y")</f>
        <v>47.247700000000002</v>
      </c>
      <c r="P35" s="14">
        <f>_xll.BDH("GILD US Equity","NET_DBT_CPTL_EX_OPER_LEA_LIABS","FQ1 2022","FQ1 2022","Currency=USD","Period=FQ","BEST_FPERIOD_OVERRIDE=FQ","FILING_STATUS=MR","Sort=A","Dates=H","DateFormat=P","Fill=—","Direction=H","UseDPDF=Y")</f>
        <v>49.417099999999998</v>
      </c>
      <c r="Q35" s="14">
        <f>_xll.BDH("GILD US Equity","NET_DBT_CPTL_EX_OPER_LEA_LIABS","FQ2 2022","FQ2 2022","Currency=USD","Period=FQ","BEST_FPERIOD_OVERRIDE=FQ","FILING_STATUS=MR","Sort=A","Dates=H","DateFormat=P","Fill=—","Direction=H","UseDPDF=Y")</f>
        <v>48.733199999999997</v>
      </c>
      <c r="R35" s="14">
        <f>_xll.BDH("GILD US Equity","NET_DBT_CPTL_EX_OPER_LEA_LIABS","FQ3 2022","FQ3 2022","Currency=USD","Period=FQ","BEST_FPERIOD_OVERRIDE=FQ","FILING_STATUS=MR","Sort=A","Dates=H","DateFormat=P","Fill=—","Direction=H","UseDPDF=Y")</f>
        <v>46.471600000000002</v>
      </c>
      <c r="S35" s="14">
        <f>_xll.BDH("GILD US Equity","NET_DBT_CPTL_EX_OPER_LEA_LIABS","FQ4 2022","FQ4 2022","Currency=USD","Period=FQ","BEST_FPERIOD_OVERRIDE=FQ","FILING_STATUS=MR","Sort=A","Dates=H","DateFormat=P","Fill=—","Direction=H","UseDPDF=Y")</f>
        <v>45.350299999999997</v>
      </c>
      <c r="T35" s="14">
        <f>_xll.BDH("GILD US Equity","NET_DBT_CPTL_EX_OPER_LEA_LIABS","FQ1 2023","FQ1 2023","Currency=USD","Period=FQ","BEST_FPERIOD_OVERRIDE=FQ","FILING_STATUS=MR","Sort=A","Dates=H","DateFormat=P","Fill=—","Direction=H","UseDPDF=Y")</f>
        <v>46.281300000000002</v>
      </c>
      <c r="U35" s="14">
        <f>_xll.BDH("GILD US Equity","NET_DBT_CPTL_EX_OPER_LEA_LIABS","FQ2 2023","FQ2 2023","Currency=USD","Period=FQ","BEST_FPERIOD_OVERRIDE=FQ","FILING_STATUS=MR","Sort=A","Dates=H","DateFormat=P","Fill=—","Direction=H","UseDPDF=Y")</f>
        <v>44.9803</v>
      </c>
      <c r="V35" s="14">
        <f>_xll.BDH("GILD US Equity","NET_DBT_CPTL_EX_OPER_LEA_LIABS","FQ3 2023","FQ3 2023","Currency=USD","Period=FQ","BEST_FPERIOD_OVERRIDE=FQ","FILING_STATUS=MR","Sort=A","Dates=H","DateFormat=P","Fill=—","Direction=H","UseDPDF=Y")</f>
        <v>43.264899999999997</v>
      </c>
      <c r="W35" s="14">
        <f>_xll.BDH("GILD US Equity","NET_DBT_CPTL_EX_OPER_LEA_LIABS","FQ4 2023","FQ4 2023","Currency=USD","Period=FQ","BEST_FPERIOD_OVERRIDE=FQ","FILING_STATUS=MR","Sort=A","Dates=H","DateFormat=P","Fill=—","Direction=H","UseDPDF=Y")</f>
        <v>42.127800000000001</v>
      </c>
      <c r="X35" s="14">
        <f>_xll.BDH("GILD US Equity","NET_DBT_CPTL_EX_OPER_LEA_LIABS","FQ1 2024","FQ1 2024","Currency=USD","Period=FQ","BEST_FPERIOD_OVERRIDE=FQ","FILING_STATUS=MR","Sort=A","Dates=H","DateFormat=P","Fill=—","Direction=H","UseDPDF=Y")</f>
        <v>53.982199999999999</v>
      </c>
      <c r="Y35" s="14">
        <f>_xll.BDH("GILD US Equity","NET_DBT_CPTL_EX_OPER_LEA_LIABS","FQ2 2024","FQ2 2024","Currency=USD","Period=FQ","BEST_FPERIOD_OVERRIDE=FQ","FILING_STATUS=MR","Sort=A","Dates=H","DateFormat=P","Fill=—","Direction=H","UseDPDF=Y")</f>
        <v>53.070300000000003</v>
      </c>
      <c r="Z35" s="14">
        <f>_xll.BDH("GILD US Equity","NET_DBT_CPTL_EX_OPER_LEA_LIABS","FQ3 2024","FQ3 2024","Currency=USD","Period=FQ","BEST_FPERIOD_OVERRIDE=FQ","FILING_STATUS=MR","Sort=A","Dates=H","DateFormat=P","Fill=—","Direction=H","UseDPDF=Y")</f>
        <v>49.756799999999998</v>
      </c>
      <c r="AA35" s="14">
        <f>_xll.BDH("GILD US Equity","NET_DBT_CPTL_EX_OPER_LEA_LIABS","FQ4 2024","FQ4 2024","Currency=USD","Period=FQ","BEST_FPERIOD_OVERRIDE=FQ","FILING_STATUS=MR","Sort=A","Dates=H","DateFormat=P","Fill=—","Direction=H","UseDPDF=Y")</f>
        <v>46.488399999999999</v>
      </c>
    </row>
    <row r="36" spans="1:27" x14ac:dyDescent="0.25">
      <c r="A36" s="10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5">
      <c r="A37" s="10" t="s">
        <v>78</v>
      </c>
      <c r="B37" s="10" t="s">
        <v>1662</v>
      </c>
      <c r="C37" s="13">
        <f>_xll.BDH("GILD US Equity","EBITDA_AFTER_OPERATING_LEA_EXPN","FQ4 2018","FQ4 2018","Currency=USD","Period=FQ","BEST_FPERIOD_OVERRIDE=FQ","FILING_STATUS=MR","SCALING_FORMAT=MLN","FA_ADJUSTED=GAAP","Sort=A","Dates=H","DateFormat=P","Fill=—","Direction=H","UseDPDF=Y")</f>
        <v>1502</v>
      </c>
      <c r="D37" s="13">
        <f>_xll.BDH("GILD US Equity","EBITDA_AFTER_OPERATING_LEA_EXPN","FQ1 2019","FQ1 2019","Currency=USD","Period=FQ","BEST_FPERIOD_OVERRIDE=FQ","FILING_STATUS=MR","SCALING_FORMAT=MLN","FA_ADJUSTED=GAAP","Sort=A","Dates=H","DateFormat=P","Fill=—","Direction=H","UseDPDF=Y")</f>
        <v>2596</v>
      </c>
      <c r="E37" s="13">
        <f>_xll.BDH("GILD US Equity","EBITDA_AFTER_OPERATING_LEA_EXPN","FQ2 2019","FQ2 2019","Currency=USD","Period=FQ","BEST_FPERIOD_OVERRIDE=FQ","FILING_STATUS=MR","SCALING_FORMAT=MLN","FA_ADJUSTED=GAAP","Sort=A","Dates=H","DateFormat=P","Fill=—","Direction=H","UseDPDF=Y")</f>
        <v>2778</v>
      </c>
      <c r="F37" s="13">
        <f>_xll.BDH("GILD US Equity","EBITDA_AFTER_OPERATING_LEA_EXPN","FQ3 2019","FQ3 2019","Currency=USD","Period=FQ","BEST_FPERIOD_OVERRIDE=FQ","FILING_STATUS=MR","SCALING_FORMAT=MLN","FA_ADJUSTED=GAAP","Sort=A","Dates=H","DateFormat=P","Fill=—","Direction=H","UseDPDF=Y")</f>
        <v>-1126</v>
      </c>
      <c r="G37" s="13">
        <f>_xll.BDH("GILD US Equity","EBITDA_AFTER_OPERATING_LEA_EXPN","FQ4 2019","FQ4 2019","Currency=USD","Period=FQ","BEST_FPERIOD_OVERRIDE=FQ","FILING_STATUS=MR","SCALING_FORMAT=MLN","FA_ADJUSTED=GAAP","Sort=A","Dates=H","DateFormat=P","Fill=—","Direction=H","UseDPDF=Y")</f>
        <v>1443</v>
      </c>
      <c r="H37" s="13">
        <f>_xll.BDH("GILD US Equity","EBITDA_AFTER_OPERATING_LEA_EXPN","FQ1 2020","FQ1 2020","Currency=USD","Period=FQ","BEST_FPERIOD_OVERRIDE=FQ","FILING_STATUS=MR","SCALING_FORMAT=MLN","FA_ADJUSTED=GAAP","Sort=A","Dates=H","DateFormat=P","Fill=—","Direction=H","UseDPDF=Y")</f>
        <v>2751</v>
      </c>
      <c r="I37" s="13">
        <f>_xll.BDH("GILD US Equity","EBITDA_AFTER_OPERATING_LEA_EXPN","FQ2 2020","FQ2 2020","Currency=USD","Period=FQ","BEST_FPERIOD_OVERRIDE=FQ","FILING_STATUS=MR","SCALING_FORMAT=MLN","FA_ADJUSTED=GAAP","Sort=A","Dates=H","DateFormat=P","Fill=—","Direction=H","UseDPDF=Y")</f>
        <v>-2634</v>
      </c>
      <c r="J37" s="13">
        <f>_xll.BDH("GILD US Equity","EBITDA_AFTER_OPERATING_LEA_EXPN","FQ3 2020","FQ3 2020","Currency=USD","Period=FQ","BEST_FPERIOD_OVERRIDE=FQ","FILING_STATUS=MR","SCALING_FORMAT=MLN","FA_ADJUSTED=GAAP","Sort=A","Dates=H","DateFormat=P","Fill=—","Direction=H","UseDPDF=Y")</f>
        <v>2356</v>
      </c>
      <c r="K37" s="13">
        <f>_xll.BDH("GILD US Equity","EBITDA_AFTER_OPERATING_LEA_EXPN","FQ4 2020","FQ4 2020","Currency=USD","Period=FQ","BEST_FPERIOD_OVERRIDE=FQ","FILING_STATUS=MR","SCALING_FORMAT=MLN","FA_ADJUSTED=GAAP","Sort=A","Dates=H","DateFormat=P","Fill=—","Direction=H","UseDPDF=Y")</f>
        <v>3078</v>
      </c>
      <c r="L37" s="13">
        <f>_xll.BDH("GILD US Equity","EBITDA_AFTER_OPERATING_LEA_EXPN","FQ1 2021","FQ1 2021","Currency=USD","Period=FQ","BEST_FPERIOD_OVERRIDE=FQ","FILING_STATUS=MR","SCALING_FORMAT=MLN","FA_ADJUSTED=GAAP","Sort=A","Dates=H","DateFormat=P","Fill=—","Direction=H","UseDPDF=Y")</f>
        <v>3363</v>
      </c>
      <c r="M37" s="13">
        <f>_xll.BDH("GILD US Equity","EBITDA_AFTER_OPERATING_LEA_EXPN","FQ2 2021","FQ2 2021","Currency=USD","Period=FQ","BEST_FPERIOD_OVERRIDE=FQ","FILING_STATUS=MR","SCALING_FORMAT=MLN","FA_ADJUSTED=GAAP","Sort=A","Dates=H","DateFormat=P","Fill=—","Direction=H","UseDPDF=Y")</f>
        <v>2765</v>
      </c>
      <c r="N37" s="13">
        <f>_xll.BDH("GILD US Equity","EBITDA_AFTER_OPERATING_LEA_EXPN","FQ3 2021","FQ3 2021","Currency=USD","Period=FQ","BEST_FPERIOD_OVERRIDE=FQ","FILING_STATUS=MR","SCALING_FORMAT=MLN","FA_ADJUSTED=GAAP","Sort=A","Dates=H","DateFormat=P","Fill=—","Direction=H","UseDPDF=Y")</f>
        <v>4365</v>
      </c>
      <c r="O37" s="13">
        <f>_xll.BDH("GILD US Equity","EBITDA_AFTER_OPERATING_LEA_EXPN","FQ4 2021","FQ4 2021","Currency=USD","Period=FQ","BEST_FPERIOD_OVERRIDE=FQ","FILING_STATUS=MR","SCALING_FORMAT=MLN","FA_ADJUSTED=GAAP","Sort=A","Dates=H","DateFormat=P","Fill=—","Direction=H","UseDPDF=Y")</f>
        <v>1475</v>
      </c>
      <c r="P37" s="13">
        <f>_xll.BDH("GILD US Equity","EBITDA_AFTER_OPERATING_LEA_EXPN","FQ1 2022","FQ1 2022","Currency=USD","Period=FQ","BEST_FPERIOD_OVERRIDE=FQ","FILING_STATUS=MR","SCALING_FORMAT=MLN","FA_ADJUSTED=GAAP","Sort=A","Dates=H","DateFormat=P","Fill=—","Direction=H","UseDPDF=Y")</f>
        <v>722</v>
      </c>
      <c r="Q37" s="13">
        <f>_xll.BDH("GILD US Equity","EBITDA_AFTER_OPERATING_LEA_EXPN","FQ2 2022","FQ2 2022","Currency=USD","Period=FQ","BEST_FPERIOD_OVERRIDE=FQ","FILING_STATUS=MR","SCALING_FORMAT=MLN","FA_ADJUSTED=GAAP","Sort=A","Dates=H","DateFormat=P","Fill=—","Direction=H","UseDPDF=Y")</f>
        <v>2554</v>
      </c>
      <c r="R37" s="13">
        <f>_xll.BDH("GILD US Equity","EBITDA_AFTER_OPERATING_LEA_EXPN","FQ3 2022","FQ3 2022","Currency=USD","Period=FQ","BEST_FPERIOD_OVERRIDE=FQ","FILING_STATUS=MR","SCALING_FORMAT=MLN","FA_ADJUSTED=GAAP","Sort=A","Dates=H","DateFormat=P","Fill=—","Direction=H","UseDPDF=Y")</f>
        <v>3362</v>
      </c>
      <c r="S37" s="13">
        <f>_xll.BDH("GILD US Equity","EBITDA_AFTER_OPERATING_LEA_EXPN","FQ4 2022","FQ4 2022","Currency=USD","Period=FQ","BEST_FPERIOD_OVERRIDE=FQ","FILING_STATUS=MR","SCALING_FORMAT=MLN","FA_ADJUSTED=GAAP","Sort=A","Dates=H","DateFormat=P","Fill=—","Direction=H","UseDPDF=Y")</f>
        <v>2795</v>
      </c>
      <c r="T37" s="13">
        <f>_xll.BDH("GILD US Equity","EBITDA_AFTER_OPERATING_LEA_EXPN","FQ1 2023","FQ1 2023","Currency=USD","Period=FQ","BEST_FPERIOD_OVERRIDE=FQ","FILING_STATUS=MR","SCALING_FORMAT=MLN","FA_ADJUSTED=GAAP","Sort=A","Dates=H","DateFormat=P","Fill=—","Direction=H","UseDPDF=Y")</f>
        <v>2345</v>
      </c>
      <c r="U37" s="13">
        <f>_xll.BDH("GILD US Equity","EBITDA_AFTER_OPERATING_LEA_EXPN","FQ2 2023","FQ2 2023","Currency=USD","Period=FQ","BEST_FPERIOD_OVERRIDE=FQ","FILING_STATUS=MR","SCALING_FORMAT=MLN","FA_ADJUSTED=GAAP","Sort=A","Dates=H","DateFormat=P","Fill=—","Direction=H","UseDPDF=Y")</f>
        <v>2346</v>
      </c>
      <c r="V37" s="13">
        <f>_xll.BDH("GILD US Equity","EBITDA_AFTER_OPERATING_LEA_EXPN","FQ3 2023","FQ3 2023","Currency=USD","Period=FQ","BEST_FPERIOD_OVERRIDE=FQ","FILING_STATUS=MR","SCALING_FORMAT=MLN","FA_ADJUSTED=GAAP","Sort=A","Dates=H","DateFormat=P","Fill=—","Direction=H","UseDPDF=Y")</f>
        <v>3307</v>
      </c>
      <c r="W37" s="13">
        <f>_xll.BDH("GILD US Equity","EBITDA_AFTER_OPERATING_LEA_EXPN","FQ4 2023","FQ4 2023","Currency=USD","Period=FQ","BEST_FPERIOD_OVERRIDE=FQ","FILING_STATUS=MR","SCALING_FORMAT=MLN","FA_ADJUSTED=GAAP","Sort=A","Dates=H","DateFormat=P","Fill=—","Direction=H","UseDPDF=Y")</f>
        <v>2300</v>
      </c>
      <c r="X37" s="13">
        <f>_xll.BDH("GILD US Equity","EBITDA_AFTER_OPERATING_LEA_EXPN","FQ1 2024","FQ1 2024","Currency=USD","Period=FQ","BEST_FPERIOD_OVERRIDE=FQ","FILING_STATUS=MR","SCALING_FORMAT=MLN","FA_ADJUSTED=GAAP","Sort=A","Dates=H","DateFormat=P","Fill=—","Direction=H","UseDPDF=Y")</f>
        <v>-3632</v>
      </c>
      <c r="Y37" s="13">
        <f>_xll.BDH("GILD US Equity","EBITDA_AFTER_OPERATING_LEA_EXPN","FQ2 2024","FQ2 2024","Currency=USD","Period=FQ","BEST_FPERIOD_OVERRIDE=FQ","FILING_STATUS=MR","SCALING_FORMAT=MLN","FA_ADJUSTED=GAAP","Sort=A","Dates=H","DateFormat=P","Fill=—","Direction=H","UseDPDF=Y")</f>
        <v>3338</v>
      </c>
      <c r="Z37" s="13">
        <f>_xll.BDH("GILD US Equity","EBITDA_AFTER_OPERATING_LEA_EXPN","FQ3 2024","FQ3 2024","Currency=USD","Period=FQ","BEST_FPERIOD_OVERRIDE=FQ","FILING_STATUS=MR","SCALING_FORMAT=MLN","FA_ADJUSTED=GAAP","Sort=A","Dates=H","DateFormat=P","Fill=—","Direction=H","UseDPDF=Y")</f>
        <v>1578</v>
      </c>
      <c r="AA37" s="13">
        <f>_xll.BDH("GILD US Equity","EBITDA_AFTER_OPERATING_LEA_EXPN","FQ4 2024","FQ4 2024","Currency=USD","Period=FQ","BEST_FPERIOD_OVERRIDE=FQ","FILING_STATUS=MR","SCALING_FORMAT=MLN","FA_ADJUSTED=GAAP","Sort=A","Dates=H","DateFormat=P","Fill=—","Direction=H","UseDPDF=Y")</f>
        <v>3144</v>
      </c>
    </row>
    <row r="38" spans="1:27" x14ac:dyDescent="0.25">
      <c r="A38" s="10" t="s">
        <v>1641</v>
      </c>
      <c r="B38" s="10" t="s">
        <v>1663</v>
      </c>
      <c r="C38" s="13">
        <f>_xll.BDH("GILD US Equity","EBITDA_AFT_CAPEX_AND_OP_LEA_EXPN","FQ4 2018","FQ4 2018","Currency=USD","Period=FQ","BEST_FPERIOD_OVERRIDE=FQ","FILING_STATUS=MR","SCALING_FORMAT=MLN","FA_ADJUSTED=GAAP","Sort=A","Dates=H","DateFormat=P","Fill=—","Direction=H","UseDPDF=Y")</f>
        <v>1254</v>
      </c>
      <c r="D38" s="13">
        <f>_xll.BDH("GILD US Equity","EBITDA_AFT_CAPEX_AND_OP_LEA_EXPN","FQ1 2019","FQ1 2019","Currency=USD","Period=FQ","BEST_FPERIOD_OVERRIDE=FQ","FILING_STATUS=MR","SCALING_FORMAT=MLN","FA_ADJUSTED=GAAP","Sort=A","Dates=H","DateFormat=P","Fill=—","Direction=H","UseDPDF=Y")</f>
        <v>2359</v>
      </c>
      <c r="E38" s="13">
        <f>_xll.BDH("GILD US Equity","EBITDA_AFT_CAPEX_AND_OP_LEA_EXPN","FQ2 2019","FQ2 2019","Currency=USD","Period=FQ","BEST_FPERIOD_OVERRIDE=FQ","FILING_STATUS=MR","SCALING_FORMAT=MLN","FA_ADJUSTED=GAAP","Sort=A","Dates=H","DateFormat=P","Fill=—","Direction=H","UseDPDF=Y")</f>
        <v>2593</v>
      </c>
      <c r="F38" s="13">
        <f>_xll.BDH("GILD US Equity","EBITDA_AFT_CAPEX_AND_OP_LEA_EXPN","FQ3 2019","FQ3 2019","Currency=USD","Period=FQ","BEST_FPERIOD_OVERRIDE=FQ","FILING_STATUS=MR","SCALING_FORMAT=MLN","FA_ADJUSTED=GAAP","Sort=A","Dates=H","DateFormat=P","Fill=—","Direction=H","UseDPDF=Y")</f>
        <v>-1326</v>
      </c>
      <c r="G38" s="13">
        <f>_xll.BDH("GILD US Equity","EBITDA_AFT_CAPEX_AND_OP_LEA_EXPN","FQ4 2019","FQ4 2019","Currency=USD","Period=FQ","BEST_FPERIOD_OVERRIDE=FQ","FILING_STATUS=MR","SCALING_FORMAT=MLN","FA_ADJUSTED=GAAP","Sort=A","Dates=H","DateFormat=P","Fill=—","Direction=H","UseDPDF=Y")</f>
        <v>1240</v>
      </c>
      <c r="H38" s="13">
        <f>_xll.BDH("GILD US Equity","EBITDA_AFT_CAPEX_AND_OP_LEA_EXPN","FQ1 2020","FQ1 2020","Currency=USD","Period=FQ","BEST_FPERIOD_OVERRIDE=FQ","FILING_STATUS=MR","SCALING_FORMAT=MLN","FA_ADJUSTED=GAAP","Sort=A","Dates=H","DateFormat=P","Fill=—","Direction=H","UseDPDF=Y")</f>
        <v>2580</v>
      </c>
      <c r="I38" s="13">
        <f>_xll.BDH("GILD US Equity","EBITDA_AFT_CAPEX_AND_OP_LEA_EXPN","FQ2 2020","FQ2 2020","Currency=USD","Period=FQ","BEST_FPERIOD_OVERRIDE=FQ","FILING_STATUS=MR","SCALING_FORMAT=MLN","FA_ADJUSTED=GAAP","Sort=A","Dates=H","DateFormat=P","Fill=—","Direction=H","UseDPDF=Y")</f>
        <v>-2777</v>
      </c>
      <c r="J38" s="13">
        <f>_xll.BDH("GILD US Equity","EBITDA_AFT_CAPEX_AND_OP_LEA_EXPN","FQ3 2020","FQ3 2020","Currency=USD","Period=FQ","BEST_FPERIOD_OVERRIDE=FQ","FILING_STATUS=MR","SCALING_FORMAT=MLN","FA_ADJUSTED=GAAP","Sort=A","Dates=H","DateFormat=P","Fill=—","Direction=H","UseDPDF=Y")</f>
        <v>2201</v>
      </c>
      <c r="K38" s="13">
        <f>_xll.BDH("GILD US Equity","EBITDA_AFT_CAPEX_AND_OP_LEA_EXPN","FQ4 2020","FQ4 2020","Currency=USD","Period=FQ","BEST_FPERIOD_OVERRIDE=FQ","FILING_STATUS=MR","SCALING_FORMAT=MLN","FA_ADJUSTED=GAAP","Sort=A","Dates=H","DateFormat=P","Fill=—","Direction=H","UseDPDF=Y")</f>
        <v>2897</v>
      </c>
      <c r="L38" s="13">
        <f>_xll.BDH("GILD US Equity","EBITDA_AFT_CAPEX_AND_OP_LEA_EXPN","FQ1 2021","FQ1 2021","Currency=USD","Period=FQ","BEST_FPERIOD_OVERRIDE=FQ","FILING_STATUS=MR","SCALING_FORMAT=MLN","FA_ADJUSTED=GAAP","Sort=A","Dates=H","DateFormat=P","Fill=—","Direction=H","UseDPDF=Y")</f>
        <v>3198</v>
      </c>
      <c r="M38" s="13">
        <f>_xll.BDH("GILD US Equity","EBITDA_AFT_CAPEX_AND_OP_LEA_EXPN","FQ2 2021","FQ2 2021","Currency=USD","Period=FQ","BEST_FPERIOD_OVERRIDE=FQ","FILING_STATUS=MR","SCALING_FORMAT=MLN","FA_ADJUSTED=GAAP","Sort=A","Dates=H","DateFormat=P","Fill=—","Direction=H","UseDPDF=Y")</f>
        <v>2646</v>
      </c>
      <c r="N38" s="13">
        <f>_xll.BDH("GILD US Equity","EBITDA_AFT_CAPEX_AND_OP_LEA_EXPN","FQ3 2021","FQ3 2021","Currency=USD","Period=FQ","BEST_FPERIOD_OVERRIDE=FQ","FILING_STATUS=MR","SCALING_FORMAT=MLN","FA_ADJUSTED=GAAP","Sort=A","Dates=H","DateFormat=P","Fill=—","Direction=H","UseDPDF=Y")</f>
        <v>4226</v>
      </c>
      <c r="O38" s="13">
        <f>_xll.BDH("GILD US Equity","EBITDA_AFT_CAPEX_AND_OP_LEA_EXPN","FQ4 2021","FQ4 2021","Currency=USD","Period=FQ","BEST_FPERIOD_OVERRIDE=FQ","FILING_STATUS=MR","SCALING_FORMAT=MLN","FA_ADJUSTED=GAAP","Sort=A","Dates=H","DateFormat=P","Fill=—","Direction=H","UseDPDF=Y")</f>
        <v>1319</v>
      </c>
      <c r="P38" s="13">
        <f>_xll.BDH("GILD US Equity","EBITDA_AFT_CAPEX_AND_OP_LEA_EXPN","FQ1 2022","FQ1 2022","Currency=USD","Period=FQ","BEST_FPERIOD_OVERRIDE=FQ","FILING_STATUS=MR","SCALING_FORMAT=MLN","FA_ADJUSTED=GAAP","Sort=A","Dates=H","DateFormat=P","Fill=—","Direction=H","UseDPDF=Y")</f>
        <v>475</v>
      </c>
      <c r="Q38" s="13">
        <f>_xll.BDH("GILD US Equity","EBITDA_AFT_CAPEX_AND_OP_LEA_EXPN","FQ2 2022","FQ2 2022","Currency=USD","Period=FQ","BEST_FPERIOD_OVERRIDE=FQ","FILING_STATUS=MR","SCALING_FORMAT=MLN","FA_ADJUSTED=GAAP","Sort=A","Dates=H","DateFormat=P","Fill=—","Direction=H","UseDPDF=Y")</f>
        <v>2411</v>
      </c>
      <c r="R38" s="13">
        <f>_xll.BDH("GILD US Equity","EBITDA_AFT_CAPEX_AND_OP_LEA_EXPN","FQ3 2022","FQ3 2022","Currency=USD","Period=FQ","BEST_FPERIOD_OVERRIDE=FQ","FILING_STATUS=MR","SCALING_FORMAT=MLN","FA_ADJUSTED=GAAP","Sort=A","Dates=H","DateFormat=P","Fill=—","Direction=H","UseDPDF=Y")</f>
        <v>3205</v>
      </c>
      <c r="S38" s="13">
        <f>_xll.BDH("GILD US Equity","EBITDA_AFT_CAPEX_AND_OP_LEA_EXPN","FQ4 2022","FQ4 2022","Currency=USD","Period=FQ","BEST_FPERIOD_OVERRIDE=FQ","FILING_STATUS=MR","SCALING_FORMAT=MLN","FA_ADJUSTED=GAAP","Sort=A","Dates=H","DateFormat=P","Fill=—","Direction=H","UseDPDF=Y")</f>
        <v>2614</v>
      </c>
      <c r="T38" s="13">
        <f>_xll.BDH("GILD US Equity","EBITDA_AFT_CAPEX_AND_OP_LEA_EXPN","FQ1 2023","FQ1 2023","Currency=USD","Period=FQ","BEST_FPERIOD_OVERRIDE=FQ","FILING_STATUS=MR","SCALING_FORMAT=MLN","FA_ADJUSTED=GAAP","Sort=A","Dates=H","DateFormat=P","Fill=—","Direction=H","UseDPDF=Y")</f>
        <v>2236</v>
      </c>
      <c r="U38" s="13">
        <f>_xll.BDH("GILD US Equity","EBITDA_AFT_CAPEX_AND_OP_LEA_EXPN","FQ2 2023","FQ2 2023","Currency=USD","Period=FQ","BEST_FPERIOD_OVERRIDE=FQ","FILING_STATUS=MR","SCALING_FORMAT=MLN","FA_ADJUSTED=GAAP","Sort=A","Dates=H","DateFormat=P","Fill=—","Direction=H","UseDPDF=Y")</f>
        <v>2207</v>
      </c>
      <c r="V38" s="13">
        <f>_xll.BDH("GILD US Equity","EBITDA_AFT_CAPEX_AND_OP_LEA_EXPN","FQ3 2023","FQ3 2023","Currency=USD","Period=FQ","BEST_FPERIOD_OVERRIDE=FQ","FILING_STATUS=MR","SCALING_FORMAT=MLN","FA_ADJUSTED=GAAP","Sort=A","Dates=H","DateFormat=P","Fill=—","Direction=H","UseDPDF=Y")</f>
        <v>3185</v>
      </c>
      <c r="W38" s="13">
        <f>_xll.BDH("GILD US Equity","EBITDA_AFT_CAPEX_AND_OP_LEA_EXPN","FQ4 2023","FQ4 2023","Currency=USD","Period=FQ","BEST_FPERIOD_OVERRIDE=FQ","FILING_STATUS=MR","SCALING_FORMAT=MLN","FA_ADJUSTED=GAAP","Sort=A","Dates=H","DateFormat=P","Fill=—","Direction=H","UseDPDF=Y")</f>
        <v>2085</v>
      </c>
      <c r="X38" s="13">
        <f>_xll.BDH("GILD US Equity","EBITDA_AFT_CAPEX_AND_OP_LEA_EXPN","FQ1 2024","FQ1 2024","Currency=USD","Period=FQ","BEST_FPERIOD_OVERRIDE=FQ","FILING_STATUS=MR","SCALING_FORMAT=MLN","FA_ADJUSTED=GAAP","Sort=A","Dates=H","DateFormat=P","Fill=—","Direction=H","UseDPDF=Y")</f>
        <v>-3737</v>
      </c>
      <c r="Y38" s="13">
        <f>_xll.BDH("GILD US Equity","EBITDA_AFT_CAPEX_AND_OP_LEA_EXPN","FQ2 2024","FQ2 2024","Currency=USD","Period=FQ","BEST_FPERIOD_OVERRIDE=FQ","FILING_STATUS=MR","SCALING_FORMAT=MLN","FA_ADJUSTED=GAAP","Sort=A","Dates=H","DateFormat=P","Fill=—","Direction=H","UseDPDF=Y")</f>
        <v>3208</v>
      </c>
      <c r="Z38" s="13">
        <f>_xll.BDH("GILD US Equity","EBITDA_AFT_CAPEX_AND_OP_LEA_EXPN","FQ3 2024","FQ3 2024","Currency=USD","Period=FQ","BEST_FPERIOD_OVERRIDE=FQ","FILING_STATUS=MR","SCALING_FORMAT=MLN","FA_ADJUSTED=GAAP","Sort=A","Dates=H","DateFormat=P","Fill=—","Direction=H","UseDPDF=Y")</f>
        <v>1437</v>
      </c>
      <c r="AA38" s="13">
        <f>_xll.BDH("GILD US Equity","EBITDA_AFT_CAPEX_AND_OP_LEA_EXPN","FQ4 2024","FQ4 2024","Currency=USD","Period=FQ","BEST_FPERIOD_OVERRIDE=FQ","FILING_STATUS=MR","SCALING_FORMAT=MLN","FA_ADJUSTED=GAAP","Sort=A","Dates=H","DateFormat=P","Fill=—","Direction=H","UseDPDF=Y")</f>
        <v>2997</v>
      </c>
    </row>
    <row r="39" spans="1:27" x14ac:dyDescent="0.25">
      <c r="A39" s="10" t="s">
        <v>141</v>
      </c>
      <c r="B39" s="10" t="s">
        <v>1664</v>
      </c>
      <c r="C39" s="13">
        <f>_xll.BDH("GILD US Equity","EBIT_AFTER_OPERATING_LEASE","FQ4 2018","FQ4 2018","Currency=USD","Period=FQ","BEST_FPERIOD_OVERRIDE=FQ","FILING_STATUS=MR","SCALING_FORMAT=MLN","FA_ADJUSTED=GAAP","Sort=A","Dates=H","DateFormat=P","Fill=—","Direction=H","UseDPDF=Y")</f>
        <v>1144</v>
      </c>
      <c r="D39" s="13">
        <f>_xll.BDH("GILD US Equity","EBIT_AFTER_OPERATING_LEASE","FQ1 2019","FQ1 2019","Currency=USD","Period=FQ","BEST_FPERIOD_OVERRIDE=FQ","FILING_STATUS=MR","SCALING_FORMAT=MLN","FA_ADJUSTED=GAAP","Sort=A","Dates=H","DateFormat=P","Fill=—","Direction=H","UseDPDF=Y")</f>
        <v>2237</v>
      </c>
      <c r="E39" s="13">
        <f>_xll.BDH("GILD US Equity","EBIT_AFTER_OPERATING_LEASE","FQ2 2019","FQ2 2019","Currency=USD","Period=FQ","BEST_FPERIOD_OVERRIDE=FQ","FILING_STATUS=MR","SCALING_FORMAT=MLN","FA_ADJUSTED=GAAP","Sort=A","Dates=H","DateFormat=P","Fill=—","Direction=H","UseDPDF=Y")</f>
        <v>2430</v>
      </c>
      <c r="F39" s="13">
        <f>_xll.BDH("GILD US Equity","EBIT_AFTER_OPERATING_LEASE","FQ3 2019","FQ3 2019","Currency=USD","Period=FQ","BEST_FPERIOD_OVERRIDE=FQ","FILING_STATUS=MR","SCALING_FORMAT=MLN","FA_ADJUSTED=GAAP","Sort=A","Dates=H","DateFormat=P","Fill=—","Direction=H","UseDPDF=Y")</f>
        <v>-1473</v>
      </c>
      <c r="G39" s="13">
        <f>_xll.BDH("GILD US Equity","EBIT_AFTER_OPERATING_LEASE","FQ4 2019","FQ4 2019","Currency=USD","Period=FQ","BEST_FPERIOD_OVERRIDE=FQ","FILING_STATUS=MR","SCALING_FORMAT=MLN","FA_ADJUSTED=GAAP","Sort=A","Dates=H","DateFormat=P","Fill=—","Direction=H","UseDPDF=Y")</f>
        <v>1093</v>
      </c>
      <c r="H39" s="13">
        <f>_xll.BDH("GILD US Equity","EBIT_AFTER_OPERATING_LEASE","FQ1 2020","FQ1 2020","Currency=USD","Period=FQ","BEST_FPERIOD_OVERRIDE=FQ","FILING_STATUS=MR","SCALING_FORMAT=MLN","FA_ADJUSTED=GAAP","Sort=A","Dates=H","DateFormat=P","Fill=—","Direction=H","UseDPDF=Y")</f>
        <v>2402</v>
      </c>
      <c r="I39" s="13">
        <f>_xll.BDH("GILD US Equity","EBIT_AFTER_OPERATING_LEASE","FQ2 2020","FQ2 2020","Currency=USD","Period=FQ","BEST_FPERIOD_OVERRIDE=FQ","FILING_STATUS=MR","SCALING_FORMAT=MLN","FA_ADJUSTED=GAAP","Sort=A","Dates=H","DateFormat=P","Fill=—","Direction=H","UseDPDF=Y")</f>
        <v>-2983</v>
      </c>
      <c r="J39" s="13">
        <f>_xll.BDH("GILD US Equity","EBIT_AFTER_OPERATING_LEASE","FQ3 2020","FQ3 2020","Currency=USD","Period=FQ","BEST_FPERIOD_OVERRIDE=FQ","FILING_STATUS=MR","SCALING_FORMAT=MLN","FA_ADJUSTED=GAAP","Sort=A","Dates=H","DateFormat=P","Fill=—","Direction=H","UseDPDF=Y")</f>
        <v>2001</v>
      </c>
      <c r="K39" s="13">
        <f>_xll.BDH("GILD US Equity","EBIT_AFTER_OPERATING_LEASE","FQ4 2020","FQ4 2020","Currency=USD","Period=FQ","BEST_FPERIOD_OVERRIDE=FQ","FILING_STATUS=MR","SCALING_FORMAT=MLN","FA_ADJUSTED=GAAP","Sort=A","Dates=H","DateFormat=P","Fill=—","Direction=H","UseDPDF=Y")</f>
        <v>2651</v>
      </c>
      <c r="L39" s="13">
        <f>_xll.BDH("GILD US Equity","EBIT_AFTER_OPERATING_LEASE","FQ1 2021","FQ1 2021","Currency=USD","Period=FQ","BEST_FPERIOD_OVERRIDE=FQ","FILING_STATUS=MR","SCALING_FORMAT=MLN","FA_ADJUSTED=GAAP","Sort=A","Dates=H","DateFormat=P","Fill=—","Direction=H","UseDPDF=Y")</f>
        <v>2890</v>
      </c>
      <c r="M39" s="13">
        <f>_xll.BDH("GILD US Equity","EBIT_AFTER_OPERATING_LEASE","FQ2 2021","FQ2 2021","Currency=USD","Period=FQ","BEST_FPERIOD_OVERRIDE=FQ","FILING_STATUS=MR","SCALING_FORMAT=MLN","FA_ADJUSTED=GAAP","Sort=A","Dates=H","DateFormat=P","Fill=—","Direction=H","UseDPDF=Y")</f>
        <v>2246</v>
      </c>
      <c r="N39" s="13">
        <f>_xll.BDH("GILD US Equity","EBIT_AFTER_OPERATING_LEASE","FQ3 2021","FQ3 2021","Currency=USD","Period=FQ","BEST_FPERIOD_OVERRIDE=FQ","FILING_STATUS=MR","SCALING_FORMAT=MLN","FA_ADJUSTED=GAAP","Sort=A","Dates=H","DateFormat=P","Fill=—","Direction=H","UseDPDF=Y")</f>
        <v>3842</v>
      </c>
      <c r="O39" s="13">
        <f>_xll.BDH("GILD US Equity","EBIT_AFTER_OPERATING_LEASE","FQ4 2021","FQ4 2021","Currency=USD","Period=FQ","BEST_FPERIOD_OVERRIDE=FQ","FILING_STATUS=MR","SCALING_FORMAT=MLN","FA_ADJUSTED=GAAP","Sort=A","Dates=H","DateFormat=P","Fill=—","Direction=H","UseDPDF=Y")</f>
        <v>940</v>
      </c>
      <c r="P39" s="13">
        <f>_xll.BDH("GILD US Equity","EBIT_AFTER_OPERATING_LEASE","FQ1 2022","FQ1 2022","Currency=USD","Period=FQ","BEST_FPERIOD_OVERRIDE=FQ","FILING_STATUS=MR","SCALING_FORMAT=MLN","FA_ADJUSTED=GAAP","Sort=A","Dates=H","DateFormat=P","Fill=—","Direction=H","UseDPDF=Y")</f>
        <v>197</v>
      </c>
      <c r="Q39" s="13">
        <f>_xll.BDH("GILD US Equity","EBIT_AFTER_OPERATING_LEASE","FQ2 2022","FQ2 2022","Currency=USD","Period=FQ","BEST_FPERIOD_OVERRIDE=FQ","FILING_STATUS=MR","SCALING_FORMAT=MLN","FA_ADJUSTED=GAAP","Sort=A","Dates=H","DateFormat=P","Fill=—","Direction=H","UseDPDF=Y")</f>
        <v>2029</v>
      </c>
      <c r="R39" s="13">
        <f>_xll.BDH("GILD US Equity","EBIT_AFTER_OPERATING_LEASE","FQ3 2022","FQ3 2022","Currency=USD","Period=FQ","BEST_FPERIOD_OVERRIDE=FQ","FILING_STATUS=MR","SCALING_FORMAT=MLN","FA_ADJUSTED=GAAP","Sort=A","Dates=H","DateFormat=P","Fill=—","Direction=H","UseDPDF=Y")</f>
        <v>2837</v>
      </c>
      <c r="S39" s="13">
        <f>_xll.BDH("GILD US Equity","EBIT_AFTER_OPERATING_LEASE","FQ4 2022","FQ4 2022","Currency=USD","Period=FQ","BEST_FPERIOD_OVERRIDE=FQ","FILING_STATUS=MR","SCALING_FORMAT=MLN","FA_ADJUSTED=GAAP","Sort=A","Dates=H","DateFormat=P","Fill=—","Direction=H","UseDPDF=Y")</f>
        <v>2267</v>
      </c>
      <c r="T39" s="13">
        <f>_xll.BDH("GILD US Equity","EBIT_AFTER_OPERATING_LEASE","FQ1 2023","FQ1 2023","Currency=USD","Period=FQ","BEST_FPERIOD_OVERRIDE=FQ","FILING_STATUS=MR","SCALING_FORMAT=MLN","FA_ADJUSTED=GAAP","Sort=A","Dates=H","DateFormat=P","Fill=—","Direction=H","UseDPDF=Y")</f>
        <v>1705</v>
      </c>
      <c r="U39" s="13">
        <f>_xll.BDH("GILD US Equity","EBIT_AFTER_OPERATING_LEASE","FQ2 2023","FQ2 2023","Currency=USD","Period=FQ","BEST_FPERIOD_OVERRIDE=FQ","FILING_STATUS=MR","SCALING_FORMAT=MLN","FA_ADJUSTED=GAAP","Sort=A","Dates=H","DateFormat=P","Fill=—","Direction=H","UseDPDF=Y")</f>
        <v>1665</v>
      </c>
      <c r="V39" s="13">
        <f>_xll.BDH("GILD US Equity","EBIT_AFTER_OPERATING_LEASE","FQ3 2023","FQ3 2023","Currency=USD","Period=FQ","BEST_FPERIOD_OVERRIDE=FQ","FILING_STATUS=MR","SCALING_FORMAT=MLN","FA_ADJUSTED=GAAP","Sort=A","Dates=H","DateFormat=P","Fill=—","Direction=H","UseDPDF=Y")</f>
        <v>2623</v>
      </c>
      <c r="W39" s="13">
        <f>_xll.BDH("GILD US Equity","EBIT_AFTER_OPERATING_LEASE","FQ4 2023","FQ4 2023","Currency=USD","Period=FQ","BEST_FPERIOD_OVERRIDE=FQ","FILING_STATUS=MR","SCALING_FORMAT=MLN","FA_ADJUSTED=GAAP","Sort=A","Dates=H","DateFormat=P","Fill=—","Direction=H","UseDPDF=Y")</f>
        <v>1612</v>
      </c>
      <c r="X39" s="13">
        <f>_xll.BDH("GILD US Equity","EBIT_AFTER_OPERATING_LEASE","FQ1 2024","FQ1 2024","Currency=USD","Period=FQ","BEST_FPERIOD_OVERRIDE=FQ","FILING_STATUS=MR","SCALING_FORMAT=MLN","FA_ADJUSTED=GAAP","Sort=A","Dates=H","DateFormat=P","Fill=—","Direction=H","UseDPDF=Y")</f>
        <v>-4322</v>
      </c>
      <c r="Y39" s="13">
        <f>_xll.BDH("GILD US Equity","EBIT_AFTER_OPERATING_LEASE","FQ2 2024","FQ2 2024","Currency=USD","Period=FQ","BEST_FPERIOD_OVERRIDE=FQ","FILING_STATUS=MR","SCALING_FORMAT=MLN","FA_ADJUSTED=GAAP","Sort=A","Dates=H","DateFormat=P","Fill=—","Direction=H","UseDPDF=Y")</f>
        <v>2644</v>
      </c>
      <c r="Z39" s="13">
        <f>_xll.BDH("GILD US Equity","EBIT_AFTER_OPERATING_LEASE","FQ3 2024","FQ3 2024","Currency=USD","Period=FQ","BEST_FPERIOD_OVERRIDE=FQ","FILING_STATUS=MR","SCALING_FORMAT=MLN","FA_ADJUSTED=GAAP","Sort=A","Dates=H","DateFormat=P","Fill=—","Direction=H","UseDPDF=Y")</f>
        <v>888</v>
      </c>
      <c r="AA39" s="13">
        <f>_xll.BDH("GILD US Equity","EBIT_AFTER_OPERATING_LEASE","FQ4 2024","FQ4 2024","Currency=USD","Period=FQ","BEST_FPERIOD_OVERRIDE=FQ","FILING_STATUS=MR","SCALING_FORMAT=MLN","FA_ADJUSTED=GAAP","Sort=A","Dates=H","DateFormat=P","Fill=—","Direction=H","UseDPDF=Y")</f>
        <v>2451</v>
      </c>
    </row>
    <row r="40" spans="1:27" x14ac:dyDescent="0.25">
      <c r="A40" s="7" t="s">
        <v>90</v>
      </c>
      <c r="B40" s="7"/>
      <c r="C40" s="7" t="s">
        <v>5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28"/>
  <sheetViews>
    <sheetView workbookViewId="0">
      <selection activeCell="M18" sqref="M18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1665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10" t="s">
        <v>1666</v>
      </c>
      <c r="B6" s="10" t="s">
        <v>1667</v>
      </c>
      <c r="C6" s="14">
        <f>_xll.BDH("GILD US Equity","CASH_RATIO","FQ4 2018","FQ4 2018","Currency=USD","Period=FQ","BEST_FPERIOD_OVERRIDE=FQ","FILING_STATUS=MR","Sort=A","Dates=H","DateFormat=P","Fill=—","Direction=H","UseDPDF=Y")</f>
        <v>2.8372000000000002</v>
      </c>
      <c r="D6" s="14">
        <f>_xll.BDH("GILD US Equity","CASH_RATIO","FQ1 2019","FQ1 2019","Currency=USD","Period=FQ","BEST_FPERIOD_OVERRIDE=FQ","FILING_STATUS=MR","Sort=A","Dates=H","DateFormat=P","Fill=—","Direction=H","UseDPDF=Y")</f>
        <v>2.9695</v>
      </c>
      <c r="E6" s="14">
        <f>_xll.BDH("GILD US Equity","CASH_RATIO","FQ2 2019","FQ2 2019","Currency=USD","Period=FQ","BEST_FPERIOD_OVERRIDE=FQ","FILING_STATUS=MR","Sort=A","Dates=H","DateFormat=P","Fill=—","Direction=H","UseDPDF=Y")</f>
        <v>3.0335000000000001</v>
      </c>
      <c r="F6" s="14">
        <f>_xll.BDH("GILD US Equity","CASH_RATIO","FQ3 2019","FQ3 2019","Currency=USD","Period=FQ","BEST_FPERIOD_OVERRIDE=FQ","FILING_STATUS=MR","Sort=A","Dates=H","DateFormat=P","Fill=—","Direction=H","UseDPDF=Y")</f>
        <v>2.3889999999999998</v>
      </c>
      <c r="G6" s="14">
        <f>_xll.BDH("GILD US Equity","CASH_RATIO","FQ4 2019","FQ4 2019","Currency=USD","Period=FQ","BEST_FPERIOD_OVERRIDE=FQ","FILING_STATUS=MR","Sort=A","Dates=H","DateFormat=P","Fill=—","Direction=H","UseDPDF=Y")</f>
        <v>2.4952999999999999</v>
      </c>
      <c r="H6" s="14">
        <f>_xll.BDH("GILD US Equity","CASH_RATIO","FQ1 2020","FQ1 2020","Currency=USD","Period=FQ","BEST_FPERIOD_OVERRIDE=FQ","FILING_STATUS=MR","Sort=A","Dates=H","DateFormat=P","Fill=—","Direction=H","UseDPDF=Y")</f>
        <v>2.3409</v>
      </c>
      <c r="I6" s="14">
        <f>_xll.BDH("GILD US Equity","CASH_RATIO","FQ2 2020","FQ2 2020","Currency=USD","Period=FQ","BEST_FPERIOD_OVERRIDE=FQ","FILING_STATUS=MR","Sort=A","Dates=H","DateFormat=P","Fill=—","Direction=H","UseDPDF=Y")</f>
        <v>1.7904</v>
      </c>
      <c r="J6" s="14">
        <f>_xll.BDH("GILD US Equity","CASH_RATIO","FQ3 2020","FQ3 2020","Currency=USD","Period=FQ","BEST_FPERIOD_OVERRIDE=FQ","FILING_STATUS=MR","Sort=A","Dates=H","DateFormat=P","Fill=—","Direction=H","UseDPDF=Y")</f>
        <v>2.5213000000000001</v>
      </c>
      <c r="K6" s="14">
        <f>_xll.BDH("GILD US Equity","CASH_RATIO","FQ4 2020","FQ4 2020","Currency=USD","Period=FQ","BEST_FPERIOD_OVERRIDE=FQ","FILING_STATUS=MR","Sort=A","Dates=H","DateFormat=P","Fill=—","Direction=H","UseDPDF=Y")</f>
        <v>0.65</v>
      </c>
      <c r="L6" s="14">
        <f>_xll.BDH("GILD US Equity","CASH_RATIO","FQ1 2021","FQ1 2021","Currency=USD","Period=FQ","BEST_FPERIOD_OVERRIDE=FQ","FILING_STATUS=MR","Sort=A","Dates=H","DateFormat=P","Fill=—","Direction=H","UseDPDF=Y")</f>
        <v>0.58379999999999999</v>
      </c>
      <c r="M6" s="14">
        <f>_xll.BDH("GILD US Equity","CASH_RATIO","FQ2 2021","FQ2 2021","Currency=USD","Period=FQ","BEST_FPERIOD_OVERRIDE=FQ","FILING_STATUS=MR","Sort=A","Dates=H","DateFormat=P","Fill=—","Direction=H","UseDPDF=Y")</f>
        <v>0.63880000000000003</v>
      </c>
      <c r="N6" s="14">
        <f>_xll.BDH("GILD US Equity","CASH_RATIO","FQ3 2021","FQ3 2021","Currency=USD","Period=FQ","BEST_FPERIOD_OVERRIDE=FQ","FILING_STATUS=MR","Sort=A","Dates=H","DateFormat=P","Fill=—","Direction=H","UseDPDF=Y")</f>
        <v>0.56010000000000004</v>
      </c>
      <c r="O6" s="14">
        <f>_xll.BDH("GILD US Equity","CASH_RATIO","FQ4 2021","FQ4 2021","Currency=USD","Period=FQ","BEST_FPERIOD_OVERRIDE=FQ","FILING_STATUS=MR","Sort=A","Dates=H","DateFormat=P","Fill=—","Direction=H","UseDPDF=Y")</f>
        <v>0.56159999999999999</v>
      </c>
      <c r="P6" s="14">
        <f>_xll.BDH("GILD US Equity","CASH_RATIO","FQ1 2022","FQ1 2022","Currency=USD","Period=FQ","BEST_FPERIOD_OVERRIDE=FQ","FILING_STATUS=MR","Sort=A","Dates=H","DateFormat=P","Fill=—","Direction=H","UseDPDF=Y")</f>
        <v>0.62219999999999998</v>
      </c>
      <c r="Q6" s="14">
        <f>_xll.BDH("GILD US Equity","CASH_RATIO","FQ2 2022","FQ2 2022","Currency=USD","Period=FQ","BEST_FPERIOD_OVERRIDE=FQ","FILING_STATUS=MR","Sort=A","Dates=H","DateFormat=P","Fill=—","Direction=H","UseDPDF=Y")</f>
        <v>0.61419999999999997</v>
      </c>
      <c r="R6" s="14">
        <f>_xll.BDH("GILD US Equity","CASH_RATIO","FQ3 2022","FQ3 2022","Currency=USD","Period=FQ","BEST_FPERIOD_OVERRIDE=FQ","FILING_STATUS=MR","Sort=A","Dates=H","DateFormat=P","Fill=—","Direction=H","UseDPDF=Y")</f>
        <v>0.54300000000000004</v>
      </c>
      <c r="S6" s="14">
        <f>_xll.BDH("GILD US Equity","CASH_RATIO","FQ4 2022","FQ4 2022","Currency=USD","Period=FQ","BEST_FPERIOD_OVERRIDE=FQ","FILING_STATUS=MR","Sort=A","Dates=H","DateFormat=P","Fill=—","Direction=H","UseDPDF=Y")</f>
        <v>0.56820000000000004</v>
      </c>
      <c r="T6" s="14">
        <f>_xll.BDH("GILD US Equity","CASH_RATIO","FQ1 2023","FQ1 2023","Currency=USD","Period=FQ","BEST_FPERIOD_OVERRIDE=FQ","FILING_STATUS=MR","Sort=A","Dates=H","DateFormat=P","Fill=—","Direction=H","UseDPDF=Y")</f>
        <v>0.55779999999999996</v>
      </c>
      <c r="U6" s="14">
        <f>_xll.BDH("GILD US Equity","CASH_RATIO","FQ2 2023","FQ2 2023","Currency=USD","Period=FQ","BEST_FPERIOD_OVERRIDE=FQ","FILING_STATUS=MR","Sort=A","Dates=H","DateFormat=P","Fill=—","Direction=H","UseDPDF=Y")</f>
        <v>0.47739999999999999</v>
      </c>
      <c r="V6" s="14">
        <f>_xll.BDH("GILD US Equity","CASH_RATIO","FQ3 2023","FQ3 2023","Currency=USD","Period=FQ","BEST_FPERIOD_OVERRIDE=FQ","FILING_STATUS=MR","Sort=A","Dates=H","DateFormat=P","Fill=—","Direction=H","UseDPDF=Y")</f>
        <v>0.5746</v>
      </c>
      <c r="W6" s="14">
        <f>_xll.BDH("GILD US Equity","CASH_RATIO","FQ4 2023","FQ4 2023","Currency=USD","Period=FQ","BEST_FPERIOD_OVERRIDE=FQ","FILING_STATUS=MR","Sort=A","Dates=H","DateFormat=P","Fill=—","Direction=H","UseDPDF=Y")</f>
        <v>0.64400000000000002</v>
      </c>
      <c r="X6" s="14">
        <f>_xll.BDH("GILD US Equity","CASH_RATIO","FQ1 2024","FQ1 2024","Currency=USD","Period=FQ","BEST_FPERIOD_OVERRIDE=FQ","FILING_STATUS=MR","Sort=A","Dates=H","DateFormat=P","Fill=—","Direction=H","UseDPDF=Y")</f>
        <v>0.36249999999999999</v>
      </c>
      <c r="Y6" s="14">
        <f>_xll.BDH("GILD US Equity","CASH_RATIO","FQ2 2024","FQ2 2024","Currency=USD","Period=FQ","BEST_FPERIOD_OVERRIDE=FQ","FILING_STATUS=MR","Sort=A","Dates=H","DateFormat=P","Fill=—","Direction=H","UseDPDF=Y")</f>
        <v>0.2571</v>
      </c>
      <c r="Z6" s="14">
        <f>_xll.BDH("GILD US Equity","CASH_RATIO","FQ3 2024","FQ3 2024","Currency=USD","Period=FQ","BEST_FPERIOD_OVERRIDE=FQ","FILING_STATUS=MR","Sort=A","Dates=H","DateFormat=P","Fill=—","Direction=H","UseDPDF=Y")</f>
        <v>0.42959999999999998</v>
      </c>
      <c r="AA6" s="14">
        <f>_xll.BDH("GILD US Equity","CASH_RATIO","FQ4 2024","FQ4 2024","Currency=USD","Period=FQ","BEST_FPERIOD_OVERRIDE=FQ","FILING_STATUS=MR","Sort=A","Dates=H","DateFormat=P","Fill=—","Direction=H","UseDPDF=Y")</f>
        <v>0.83230000000000004</v>
      </c>
    </row>
    <row r="7" spans="1:27" x14ac:dyDescent="0.25">
      <c r="A7" s="10" t="s">
        <v>894</v>
      </c>
      <c r="B7" s="10" t="s">
        <v>895</v>
      </c>
      <c r="C7" s="14">
        <f>_xll.BDH("GILD US Equity","CUR_RATIO","FQ4 2018","FQ4 2018","Currency=USD","Period=FQ","BEST_FPERIOD_OVERRIDE=FQ","FILING_STATUS=MR","Sort=A","Dates=H","DateFormat=P","Fill=—","Direction=H","UseDPDF=Y")</f>
        <v>3.3792</v>
      </c>
      <c r="D7" s="14">
        <f>_xll.BDH("GILD US Equity","CUR_RATIO","FQ1 2019","FQ1 2019","Currency=USD","Period=FQ","BEST_FPERIOD_OVERRIDE=FQ","FILING_STATUS=MR","Sort=A","Dates=H","DateFormat=P","Fill=—","Direction=H","UseDPDF=Y")</f>
        <v>3.6206999999999998</v>
      </c>
      <c r="E7" s="14">
        <f>_xll.BDH("GILD US Equity","CUR_RATIO","FQ2 2019","FQ2 2019","Currency=USD","Period=FQ","BEST_FPERIOD_OVERRIDE=FQ","FILING_STATUS=MR","Sort=A","Dates=H","DateFormat=P","Fill=—","Direction=H","UseDPDF=Y")</f>
        <v>3.7637999999999998</v>
      </c>
      <c r="F7" s="14">
        <f>_xll.BDH("GILD US Equity","CUR_RATIO","FQ3 2019","FQ3 2019","Currency=USD","Period=FQ","BEST_FPERIOD_OVERRIDE=FQ","FILING_STATUS=MR","Sort=A","Dates=H","DateFormat=P","Fill=—","Direction=H","UseDPDF=Y")</f>
        <v>2.9645000000000001</v>
      </c>
      <c r="G7" s="14">
        <f>_xll.BDH("GILD US Equity","CUR_RATIO","FQ4 2019","FQ4 2019","Currency=USD","Period=FQ","BEST_FPERIOD_OVERRIDE=FQ","FILING_STATUS=MR","Sort=A","Dates=H","DateFormat=P","Fill=—","Direction=H","UseDPDF=Y")</f>
        <v>3.1044</v>
      </c>
      <c r="H7" s="14">
        <f>_xll.BDH("GILD US Equity","CUR_RATIO","FQ1 2020","FQ1 2020","Currency=USD","Period=FQ","BEST_FPERIOD_OVERRIDE=FQ","FILING_STATUS=MR","Sort=A","Dates=H","DateFormat=P","Fill=—","Direction=H","UseDPDF=Y")</f>
        <v>3.0352999999999999</v>
      </c>
      <c r="I7" s="14">
        <f>_xll.BDH("GILD US Equity","CUR_RATIO","FQ2 2020","FQ2 2020","Currency=USD","Period=FQ","BEST_FPERIOD_OVERRIDE=FQ","FILING_STATUS=MR","Sort=A","Dates=H","DateFormat=P","Fill=—","Direction=H","UseDPDF=Y")</f>
        <v>2.3327</v>
      </c>
      <c r="J7" s="14">
        <f>_xll.BDH("GILD US Equity","CUR_RATIO","FQ3 2020","FQ3 2020","Currency=USD","Period=FQ","BEST_FPERIOD_OVERRIDE=FQ","FILING_STATUS=MR","Sort=A","Dates=H","DateFormat=P","Fill=—","Direction=H","UseDPDF=Y")</f>
        <v>3.2523</v>
      </c>
      <c r="K7" s="14">
        <f>_xll.BDH("GILD US Equity","CUR_RATIO","FQ4 2020","FQ4 2020","Currency=USD","Period=FQ","BEST_FPERIOD_OVERRIDE=FQ","FILING_STATUS=MR","Sort=A","Dates=H","DateFormat=P","Fill=—","Direction=H","UseDPDF=Y")</f>
        <v>1.4035</v>
      </c>
      <c r="L7" s="14">
        <f>_xll.BDH("GILD US Equity","CUR_RATIO","FQ1 2021","FQ1 2021","Currency=USD","Period=FQ","BEST_FPERIOD_OVERRIDE=FQ","FILING_STATUS=MR","Sort=A","Dates=H","DateFormat=P","Fill=—","Direction=H","UseDPDF=Y")</f>
        <v>1.3682000000000001</v>
      </c>
      <c r="M7" s="14">
        <f>_xll.BDH("GILD US Equity","CUR_RATIO","FQ2 2021","FQ2 2021","Currency=USD","Period=FQ","BEST_FPERIOD_OVERRIDE=FQ","FILING_STATUS=MR","Sort=A","Dates=H","DateFormat=P","Fill=—","Direction=H","UseDPDF=Y")</f>
        <v>1.3633</v>
      </c>
      <c r="N7" s="14">
        <f>_xll.BDH("GILD US Equity","CUR_RATIO","FQ3 2021","FQ3 2021","Currency=USD","Period=FQ","BEST_FPERIOD_OVERRIDE=FQ","FILING_STATUS=MR","Sort=A","Dates=H","DateFormat=P","Fill=—","Direction=H","UseDPDF=Y")</f>
        <v>1.3655999999999999</v>
      </c>
      <c r="O7" s="14">
        <f>_xll.BDH("GILD US Equity","CUR_RATIO","FQ4 2021","FQ4 2021","Currency=USD","Period=FQ","BEST_FPERIOD_OVERRIDE=FQ","FILING_STATUS=MR","Sort=A","Dates=H","DateFormat=P","Fill=—","Direction=H","UseDPDF=Y")</f>
        <v>1.2724</v>
      </c>
      <c r="P7" s="14">
        <f>_xll.BDH("GILD US Equity","CUR_RATIO","FQ1 2022","FQ1 2022","Currency=USD","Period=FQ","BEST_FPERIOD_OVERRIDE=FQ","FILING_STATUS=MR","Sort=A","Dates=H","DateFormat=P","Fill=—","Direction=H","UseDPDF=Y")</f>
        <v>1.4757</v>
      </c>
      <c r="Q7" s="14">
        <f>_xll.BDH("GILD US Equity","CUR_RATIO","FQ2 2022","FQ2 2022","Currency=USD","Period=FQ","BEST_FPERIOD_OVERRIDE=FQ","FILING_STATUS=MR","Sort=A","Dates=H","DateFormat=P","Fill=—","Direction=H","UseDPDF=Y")</f>
        <v>1.429</v>
      </c>
      <c r="R7" s="14">
        <f>_xll.BDH("GILD US Equity","CUR_RATIO","FQ3 2022","FQ3 2022","Currency=USD","Period=FQ","BEST_FPERIOD_OVERRIDE=FQ","FILING_STATUS=MR","Sort=A","Dates=H","DateFormat=P","Fill=—","Direction=H","UseDPDF=Y")</f>
        <v>1.3004</v>
      </c>
      <c r="S7" s="14">
        <f>_xll.BDH("GILD US Equity","CUR_RATIO","FQ4 2022","FQ4 2022","Currency=USD","Period=FQ","BEST_FPERIOD_OVERRIDE=FQ","FILING_STATUS=MR","Sort=A","Dates=H","DateFormat=P","Fill=—","Direction=H","UseDPDF=Y")</f>
        <v>1.2853000000000001</v>
      </c>
      <c r="T7" s="14">
        <f>_xll.BDH("GILD US Equity","CUR_RATIO","FQ1 2023","FQ1 2023","Currency=USD","Period=FQ","BEST_FPERIOD_OVERRIDE=FQ","FILING_STATUS=MR","Sort=A","Dates=H","DateFormat=P","Fill=—","Direction=H","UseDPDF=Y")</f>
        <v>1.2781</v>
      </c>
      <c r="U7" s="14">
        <f>_xll.BDH("GILD US Equity","CUR_RATIO","FQ2 2023","FQ2 2023","Currency=USD","Period=FQ","BEST_FPERIOD_OVERRIDE=FQ","FILING_STATUS=MR","Sort=A","Dates=H","DateFormat=P","Fill=—","Direction=H","UseDPDF=Y")</f>
        <v>1.0230999999999999</v>
      </c>
      <c r="V7" s="14">
        <f>_xll.BDH("GILD US Equity","CUR_RATIO","FQ3 2023","FQ3 2023","Currency=USD","Period=FQ","BEST_FPERIOD_OVERRIDE=FQ","FILING_STATUS=MR","Sort=A","Dates=H","DateFormat=P","Fill=—","Direction=H","UseDPDF=Y")</f>
        <v>1.3378000000000001</v>
      </c>
      <c r="W7" s="14">
        <f>_xll.BDH("GILD US Equity","CUR_RATIO","FQ4 2023","FQ4 2023","Currency=USD","Period=FQ","BEST_FPERIOD_OVERRIDE=FQ","FILING_STATUS=MR","Sort=A","Dates=H","DateFormat=P","Fill=—","Direction=H","UseDPDF=Y")</f>
        <v>1.4259999999999999</v>
      </c>
      <c r="X7" s="14">
        <f>_xll.BDH("GILD US Equity","CUR_RATIO","FQ1 2024","FQ1 2024","Currency=USD","Period=FQ","BEST_FPERIOD_OVERRIDE=FQ","FILING_STATUS=MR","Sort=A","Dates=H","DateFormat=P","Fill=—","Direction=H","UseDPDF=Y")</f>
        <v>1.0788</v>
      </c>
      <c r="Y7" s="14">
        <f>_xll.BDH("GILD US Equity","CUR_RATIO","FQ2 2024","FQ2 2024","Currency=USD","Period=FQ","BEST_FPERIOD_OVERRIDE=FQ","FILING_STATUS=MR","Sort=A","Dates=H","DateFormat=P","Fill=—","Direction=H","UseDPDF=Y")</f>
        <v>1.1425000000000001</v>
      </c>
      <c r="Z7" s="14">
        <f>_xll.BDH("GILD US Equity","CUR_RATIO","FQ3 2024","FQ3 2024","Currency=USD","Period=FQ","BEST_FPERIOD_OVERRIDE=FQ","FILING_STATUS=MR","Sort=A","Dates=H","DateFormat=P","Fill=—","Direction=H","UseDPDF=Y")</f>
        <v>1.2605</v>
      </c>
      <c r="AA7" s="14">
        <f>_xll.BDH("GILD US Equity","CUR_RATIO","FQ4 2024","FQ4 2024","Currency=USD","Period=FQ","BEST_FPERIOD_OVERRIDE=FQ","FILING_STATUS=MR","Sort=A","Dates=H","DateFormat=P","Fill=—","Direction=H","UseDPDF=Y")</f>
        <v>1.5972</v>
      </c>
    </row>
    <row r="8" spans="1:27" x14ac:dyDescent="0.25">
      <c r="A8" s="10" t="s">
        <v>1668</v>
      </c>
      <c r="B8" s="10" t="s">
        <v>1669</v>
      </c>
      <c r="C8" s="14">
        <f>_xll.BDH("GILD US Equity","QUICK_RATIO","FQ4 2018","FQ4 2018","Currency=USD","Period=FQ","BEST_FPERIOD_OVERRIDE=FQ","FILING_STATUS=MR","Sort=A","Dates=H","DateFormat=P","Fill=—","Direction=H","UseDPDF=Y")</f>
        <v>3.1509999999999998</v>
      </c>
      <c r="D8" s="14">
        <f>_xll.BDH("GILD US Equity","QUICK_RATIO","FQ1 2019","FQ1 2019","Currency=USD","Period=FQ","BEST_FPERIOD_OVERRIDE=FQ","FILING_STATUS=MR","Sort=A","Dates=H","DateFormat=P","Fill=—","Direction=H","UseDPDF=Y")</f>
        <v>3.3188</v>
      </c>
      <c r="E8" s="14">
        <f>_xll.BDH("GILD US Equity","QUICK_RATIO","FQ2 2019","FQ2 2019","Currency=USD","Period=FQ","BEST_FPERIOD_OVERRIDE=FQ","FILING_STATUS=MR","Sort=A","Dates=H","DateFormat=P","Fill=—","Direction=H","UseDPDF=Y")</f>
        <v>3.4125000000000001</v>
      </c>
      <c r="F8" s="14">
        <f>_xll.BDH("GILD US Equity","QUICK_RATIO","FQ3 2019","FQ3 2019","Currency=USD","Period=FQ","BEST_FPERIOD_OVERRIDE=FQ","FILING_STATUS=MR","Sort=A","Dates=H","DateFormat=P","Fill=—","Direction=H","UseDPDF=Y")</f>
        <v>2.7355</v>
      </c>
      <c r="G8" s="14">
        <f>_xll.BDH("GILD US Equity","QUICK_RATIO","FQ4 2019","FQ4 2019","Currency=USD","Period=FQ","BEST_FPERIOD_OVERRIDE=FQ","FILING_STATUS=MR","Sort=A","Dates=H","DateFormat=P","Fill=—","Direction=H","UseDPDF=Y")</f>
        <v>2.8624000000000001</v>
      </c>
      <c r="H8" s="14">
        <f>_xll.BDH("GILD US Equity","QUICK_RATIO","FQ1 2020","FQ1 2020","Currency=USD","Period=FQ","BEST_FPERIOD_OVERRIDE=FQ","FILING_STATUS=MR","Sort=A","Dates=H","DateFormat=P","Fill=—","Direction=H","UseDPDF=Y")</f>
        <v>2.7808999999999999</v>
      </c>
      <c r="I8" s="14">
        <f>_xll.BDH("GILD US Equity","QUICK_RATIO","FQ2 2020","FQ2 2020","Currency=USD","Period=FQ","BEST_FPERIOD_OVERRIDE=FQ","FILING_STATUS=MR","Sort=A","Dates=H","DateFormat=P","Fill=—","Direction=H","UseDPDF=Y")</f>
        <v>2.0928</v>
      </c>
      <c r="J8" s="14">
        <f>_xll.BDH("GILD US Equity","QUICK_RATIO","FQ3 2020","FQ3 2020","Currency=USD","Period=FQ","BEST_FPERIOD_OVERRIDE=FQ","FILING_STATUS=MR","Sort=A","Dates=H","DateFormat=P","Fill=—","Direction=H","UseDPDF=Y")</f>
        <v>2.9327999999999999</v>
      </c>
      <c r="K8" s="14">
        <f>_xll.BDH("GILD US Equity","QUICK_RATIO","FQ4 2020","FQ4 2020","Currency=USD","Period=FQ","BEST_FPERIOD_OVERRIDE=FQ","FILING_STATUS=MR","Sort=A","Dates=H","DateFormat=P","Fill=—","Direction=H","UseDPDF=Y")</f>
        <v>1.0791999999999999</v>
      </c>
      <c r="L8" s="14">
        <f>_xll.BDH("GILD US Equity","QUICK_RATIO","FQ1 2021","FQ1 2021","Currency=USD","Period=FQ","BEST_FPERIOD_OVERRIDE=FQ","FILING_STATUS=MR","Sort=A","Dates=H","DateFormat=P","Fill=—","Direction=H","UseDPDF=Y")</f>
        <v>0.98829999999999996</v>
      </c>
      <c r="M8" s="14">
        <f>_xll.BDH("GILD US Equity","QUICK_RATIO","FQ2 2021","FQ2 2021","Currency=USD","Period=FQ","BEST_FPERIOD_OVERRIDE=FQ","FILING_STATUS=MR","Sort=A","Dates=H","DateFormat=P","Fill=—","Direction=H","UseDPDF=Y")</f>
        <v>1.0449999999999999</v>
      </c>
      <c r="N8" s="14">
        <f>_xll.BDH("GILD US Equity","QUICK_RATIO","FQ3 2021","FQ3 2021","Currency=USD","Period=FQ","BEST_FPERIOD_OVERRIDE=FQ","FILING_STATUS=MR","Sort=A","Dates=H","DateFormat=P","Fill=—","Direction=H","UseDPDF=Y")</f>
        <v>1.0058</v>
      </c>
      <c r="O8" s="14">
        <f>_xll.BDH("GILD US Equity","QUICK_RATIO","FQ4 2021","FQ4 2021","Currency=USD","Period=FQ","BEST_FPERIOD_OVERRIDE=FQ","FILING_STATUS=MR","Sort=A","Dates=H","DateFormat=P","Fill=—","Direction=H","UseDPDF=Y")</f>
        <v>0.9486</v>
      </c>
      <c r="P8" s="14">
        <f>_xll.BDH("GILD US Equity","QUICK_RATIO","FQ1 2022","FQ1 2022","Currency=USD","Period=FQ","BEST_FPERIOD_OVERRIDE=FQ","FILING_STATUS=MR","Sort=A","Dates=H","DateFormat=P","Fill=—","Direction=H","UseDPDF=Y")</f>
        <v>1.0647</v>
      </c>
      <c r="Q8" s="14">
        <f>_xll.BDH("GILD US Equity","QUICK_RATIO","FQ2 2022","FQ2 2022","Currency=USD","Period=FQ","BEST_FPERIOD_OVERRIDE=FQ","FILING_STATUS=MR","Sort=A","Dates=H","DateFormat=P","Fill=—","Direction=H","UseDPDF=Y")</f>
        <v>1.0608</v>
      </c>
      <c r="R8" s="14">
        <f>_xll.BDH("GILD US Equity","QUICK_RATIO","FQ3 2022","FQ3 2022","Currency=USD","Period=FQ","BEST_FPERIOD_OVERRIDE=FQ","FILING_STATUS=MR","Sort=A","Dates=H","DateFormat=P","Fill=—","Direction=H","UseDPDF=Y")</f>
        <v>0.96079999999999999</v>
      </c>
      <c r="S8" s="14">
        <f>_xll.BDH("GILD US Equity","QUICK_RATIO","FQ4 2022","FQ4 2022","Currency=USD","Period=FQ","BEST_FPERIOD_OVERRIDE=FQ","FILING_STATUS=MR","Sort=A","Dates=H","DateFormat=P","Fill=—","Direction=H","UseDPDF=Y")</f>
        <v>0.99329999999999996</v>
      </c>
      <c r="T8" s="14">
        <f>_xll.BDH("GILD US Equity","QUICK_RATIO","FQ1 2023","FQ1 2023","Currency=USD","Period=FQ","BEST_FPERIOD_OVERRIDE=FQ","FILING_STATUS=MR","Sort=A","Dates=H","DateFormat=P","Fill=—","Direction=H","UseDPDF=Y")</f>
        <v>0.95309999999999995</v>
      </c>
      <c r="U8" s="14">
        <f>_xll.BDH("GILD US Equity","QUICK_RATIO","FQ2 2023","FQ2 2023","Currency=USD","Period=FQ","BEST_FPERIOD_OVERRIDE=FQ","FILING_STATUS=MR","Sort=A","Dates=H","DateFormat=P","Fill=—","Direction=H","UseDPDF=Y")</f>
        <v>0.78029999999999999</v>
      </c>
      <c r="V8" s="14">
        <f>_xll.BDH("GILD US Equity","QUICK_RATIO","FQ3 2023","FQ3 2023","Currency=USD","Period=FQ","BEST_FPERIOD_OVERRIDE=FQ","FILING_STATUS=MR","Sort=A","Dates=H","DateFormat=P","Fill=—","Direction=H","UseDPDF=Y")</f>
        <v>0.97560000000000002</v>
      </c>
      <c r="W8" s="14">
        <f>_xll.BDH("GILD US Equity","QUICK_RATIO","FQ4 2023","FQ4 2023","Currency=USD","Period=FQ","BEST_FPERIOD_OVERRIDE=FQ","FILING_STATUS=MR","Sort=A","Dates=H","DateFormat=P","Fill=—","Direction=H","UseDPDF=Y")</f>
        <v>1.0570999999999999</v>
      </c>
      <c r="X8" s="14">
        <f>_xll.BDH("GILD US Equity","QUICK_RATIO","FQ1 2024","FQ1 2024","Currency=USD","Period=FQ","BEST_FPERIOD_OVERRIDE=FQ","FILING_STATUS=MR","Sort=A","Dates=H","DateFormat=P","Fill=—","Direction=H","UseDPDF=Y")</f>
        <v>0.72119999999999995</v>
      </c>
      <c r="Y8" s="14">
        <f>_xll.BDH("GILD US Equity","QUICK_RATIO","FQ2 2024","FQ2 2024","Currency=USD","Period=FQ","BEST_FPERIOD_OVERRIDE=FQ","FILING_STATUS=MR","Sort=A","Dates=H","DateFormat=P","Fill=—","Direction=H","UseDPDF=Y")</f>
        <v>0.68959999999999999</v>
      </c>
      <c r="Z8" s="14">
        <f>_xll.BDH("GILD US Equity","QUICK_RATIO","FQ3 2024","FQ3 2024","Currency=USD","Period=FQ","BEST_FPERIOD_OVERRIDE=FQ","FILING_STATUS=MR","Sort=A","Dates=H","DateFormat=P","Fill=—","Direction=H","UseDPDF=Y")</f>
        <v>0.82079999999999997</v>
      </c>
      <c r="AA8" s="14">
        <f>_xll.BDH("GILD US Equity","QUICK_RATIO","FQ4 2024","FQ4 2024","Currency=USD","Period=FQ","BEST_FPERIOD_OVERRIDE=FQ","FILING_STATUS=MR","Sort=A","Dates=H","DateFormat=P","Fill=—","Direction=H","UseDPDF=Y")</f>
        <v>1.2004999999999999</v>
      </c>
    </row>
    <row r="9" spans="1:27" x14ac:dyDescent="0.25">
      <c r="A9" s="10" t="s">
        <v>1670</v>
      </c>
      <c r="B9" s="10" t="s">
        <v>1671</v>
      </c>
      <c r="C9" s="14">
        <f>_xll.BDH("GILD US Equity","CFO_TO_AVG_CURRENT_LIABILITIES","FQ4 2018","FQ4 2018","Currency=USD","Period=FQ","BEST_FPERIOD_OVERRIDE=FQ","FILING_STATUS=MR","Sort=A","Dates=H","DateFormat=P","Fill=—","Direction=H","UseDPDF=Y")</f>
        <v>0.75539999999999996</v>
      </c>
      <c r="D9" s="14">
        <f>_xll.BDH("GILD US Equity","CFO_TO_AVG_CURRENT_LIABILITIES","FQ1 2019","FQ1 2019","Currency=USD","Period=FQ","BEST_FPERIOD_OVERRIDE=FQ","FILING_STATUS=MR","Sort=A","Dates=H","DateFormat=P","Fill=—","Direction=H","UseDPDF=Y")</f>
        <v>0.75490000000000002</v>
      </c>
      <c r="E9" s="14">
        <f>_xll.BDH("GILD US Equity","CFO_TO_AVG_CURRENT_LIABILITIES","FQ2 2019","FQ2 2019","Currency=USD","Period=FQ","BEST_FPERIOD_OVERRIDE=FQ","FILING_STATUS=MR","Sort=A","Dates=H","DateFormat=P","Fill=—","Direction=H","UseDPDF=Y")</f>
        <v>0.83960000000000001</v>
      </c>
      <c r="F9" s="14">
        <f>_xll.BDH("GILD US Equity","CFO_TO_AVG_CURRENT_LIABILITIES","FQ3 2019","FQ3 2019","Currency=USD","Period=FQ","BEST_FPERIOD_OVERRIDE=FQ","FILING_STATUS=MR","Sort=A","Dates=H","DateFormat=P","Fill=—","Direction=H","UseDPDF=Y")</f>
        <v>0.91749999999999998</v>
      </c>
      <c r="G9" s="14">
        <f>_xll.BDH("GILD US Equity","CFO_TO_AVG_CURRENT_LIABILITIES","FQ4 2019","FQ4 2019","Currency=USD","Period=FQ","BEST_FPERIOD_OVERRIDE=FQ","FILING_STATUS=MR","Sort=A","Dates=H","DateFormat=P","Fill=—","Direction=H","UseDPDF=Y")</f>
        <v>0.90990000000000004</v>
      </c>
      <c r="H9" s="14">
        <f>_xll.BDH("GILD US Equity","CFO_TO_AVG_CURRENT_LIABILITIES","FQ1 2020","FQ1 2020","Currency=USD","Period=FQ","BEST_FPERIOD_OVERRIDE=FQ","FILING_STATUS=MR","Sort=A","Dates=H","DateFormat=P","Fill=—","Direction=H","UseDPDF=Y")</f>
        <v>1.0129999999999999</v>
      </c>
      <c r="I9" s="14">
        <f>_xll.BDH("GILD US Equity","CFO_TO_AVG_CURRENT_LIABILITIES","FQ2 2020","FQ2 2020","Currency=USD","Period=FQ","BEST_FPERIOD_OVERRIDE=FQ","FILING_STATUS=MR","Sort=A","Dates=H","DateFormat=P","Fill=—","Direction=H","UseDPDF=Y")</f>
        <v>0.97119999999999995</v>
      </c>
      <c r="J9" s="14">
        <f>_xll.BDH("GILD US Equity","CFO_TO_AVG_CURRENT_LIABILITIES","FQ3 2020","FQ3 2020","Currency=USD","Period=FQ","BEST_FPERIOD_OVERRIDE=FQ","FILING_STATUS=MR","Sort=A","Dates=H","DateFormat=P","Fill=—","Direction=H","UseDPDF=Y")</f>
        <v>0.92600000000000005</v>
      </c>
      <c r="K9" s="14">
        <f>_xll.BDH("GILD US Equity","CFO_TO_AVG_CURRENT_LIABILITIES","FQ4 2020","FQ4 2020","Currency=USD","Period=FQ","BEST_FPERIOD_OVERRIDE=FQ","FILING_STATUS=MR","Sort=A","Dates=H","DateFormat=P","Fill=—","Direction=H","UseDPDF=Y")</f>
        <v>0.7722</v>
      </c>
      <c r="L9" s="14">
        <f>_xll.BDH("GILD US Equity","CFO_TO_AVG_CURRENT_LIABILITIES","FQ1 2021","FQ1 2021","Currency=USD","Period=FQ","BEST_FPERIOD_OVERRIDE=FQ","FILING_STATUS=MR","Sort=A","Dates=H","DateFormat=P","Fill=—","Direction=H","UseDPDF=Y")</f>
        <v>1.0054000000000001</v>
      </c>
      <c r="M9" s="14">
        <f>_xll.BDH("GILD US Equity","CFO_TO_AVG_CURRENT_LIABILITIES","FQ2 2021","FQ2 2021","Currency=USD","Period=FQ","BEST_FPERIOD_OVERRIDE=FQ","FILING_STATUS=MR","Sort=A","Dates=H","DateFormat=P","Fill=—","Direction=H","UseDPDF=Y")</f>
        <v>0.87519999999999998</v>
      </c>
      <c r="N9" s="14">
        <f>_xll.BDH("GILD US Equity","CFO_TO_AVG_CURRENT_LIABILITIES","FQ3 2021","FQ3 2021","Currency=USD","Period=FQ","BEST_FPERIOD_OVERRIDE=FQ","FILING_STATUS=MR","Sort=A","Dates=H","DateFormat=P","Fill=—","Direction=H","UseDPDF=Y")</f>
        <v>1.0221</v>
      </c>
      <c r="O9" s="14">
        <f>_xll.BDH("GILD US Equity","CFO_TO_AVG_CURRENT_LIABILITIES","FQ4 2021","FQ4 2021","Currency=USD","Period=FQ","BEST_FPERIOD_OVERRIDE=FQ","FILING_STATUS=MR","Sort=A","Dates=H","DateFormat=P","Fill=—","Direction=H","UseDPDF=Y")</f>
        <v>0.98960000000000004</v>
      </c>
      <c r="P9" s="14">
        <f>_xll.BDH("GILD US Equity","CFO_TO_AVG_CURRENT_LIABILITIES","FQ1 2022","FQ1 2022","Currency=USD","Period=FQ","BEST_FPERIOD_OVERRIDE=FQ","FILING_STATUS=MR","Sort=A","Dates=H","DateFormat=P","Fill=—","Direction=H","UseDPDF=Y")</f>
        <v>1.1624000000000001</v>
      </c>
      <c r="Q9" s="14">
        <f>_xll.BDH("GILD US Equity","CFO_TO_AVG_CURRENT_LIABILITIES","FQ2 2022","FQ2 2022","Currency=USD","Period=FQ","BEST_FPERIOD_OVERRIDE=FQ","FILING_STATUS=MR","Sort=A","Dates=H","DateFormat=P","Fill=—","Direction=H","UseDPDF=Y")</f>
        <v>1.0394000000000001</v>
      </c>
      <c r="R9" s="14">
        <f>_xll.BDH("GILD US Equity","CFO_TO_AVG_CURRENT_LIABILITIES","FQ3 2022","FQ3 2022","Currency=USD","Period=FQ","BEST_FPERIOD_OVERRIDE=FQ","FILING_STATUS=MR","Sort=A","Dates=H","DateFormat=P","Fill=—","Direction=H","UseDPDF=Y")</f>
        <v>0.93959999999999999</v>
      </c>
      <c r="S9" s="14">
        <f>_xll.BDH("GILD US Equity","CFO_TO_AVG_CURRENT_LIABILITIES","FQ4 2022","FQ4 2022","Currency=USD","Period=FQ","BEST_FPERIOD_OVERRIDE=FQ","FILING_STATUS=MR","Sort=A","Dates=H","DateFormat=P","Fill=—","Direction=H","UseDPDF=Y")</f>
        <v>0.79420000000000002</v>
      </c>
      <c r="T9" s="14">
        <f>_xll.BDH("GILD US Equity","CFO_TO_AVG_CURRENT_LIABILITIES","FQ1 2023","FQ1 2023","Currency=USD","Period=FQ","BEST_FPERIOD_OVERRIDE=FQ","FILING_STATUS=MR","Sort=A","Dates=H","DateFormat=P","Fill=—","Direction=H","UseDPDF=Y")</f>
        <v>0.94059999999999999</v>
      </c>
      <c r="U9" s="14">
        <f>_xll.BDH("GILD US Equity","CFO_TO_AVG_CURRENT_LIABILITIES","FQ2 2023","FQ2 2023","Currency=USD","Period=FQ","BEST_FPERIOD_OVERRIDE=FQ","FILING_STATUS=MR","Sort=A","Dates=H","DateFormat=P","Fill=—","Direction=H","UseDPDF=Y")</f>
        <v>0.8206</v>
      </c>
      <c r="V9" s="14">
        <f>_xll.BDH("GILD US Equity","CFO_TO_AVG_CURRENT_LIABILITIES","FQ3 2023","FQ3 2023","Currency=USD","Period=FQ","BEST_FPERIOD_OVERRIDE=FQ","FILING_STATUS=MR","Sort=A","Dates=H","DateFormat=P","Fill=—","Direction=H","UseDPDF=Y")</f>
        <v>0.75139999999999996</v>
      </c>
      <c r="W9" s="14">
        <f>_xll.BDH("GILD US Equity","CFO_TO_AVG_CURRENT_LIABILITIES","FQ4 2023","FQ4 2023","Currency=USD","Period=FQ","BEST_FPERIOD_OVERRIDE=FQ","FILING_STATUS=MR","Sort=A","Dates=H","DateFormat=P","Fill=—","Direction=H","UseDPDF=Y")</f>
        <v>0.71109999999999995</v>
      </c>
      <c r="X9" s="14">
        <f>_xll.BDH("GILD US Equity","CFO_TO_AVG_CURRENT_LIABILITIES","FQ1 2024","FQ1 2024","Currency=USD","Period=FQ","BEST_FPERIOD_OVERRIDE=FQ","FILING_STATUS=MR","Sort=A","Dates=H","DateFormat=P","Fill=—","Direction=H","UseDPDF=Y")</f>
        <v>0.72050000000000003</v>
      </c>
      <c r="Y9" s="14">
        <f>_xll.BDH("GILD US Equity","CFO_TO_AVG_CURRENT_LIABILITIES","FQ2 2024","FQ2 2024","Currency=USD","Period=FQ","BEST_FPERIOD_OVERRIDE=FQ","FILING_STATUS=MR","Sort=A","Dates=H","DateFormat=P","Fill=—","Direction=H","UseDPDF=Y")</f>
        <v>0.60360000000000003</v>
      </c>
      <c r="Z9" s="14">
        <f>_xll.BDH("GILD US Equity","CFO_TO_AVG_CURRENT_LIABILITIES","FQ3 2024","FQ3 2024","Currency=USD","Period=FQ","BEST_FPERIOD_OVERRIDE=FQ","FILING_STATUS=MR","Sort=A","Dates=H","DateFormat=P","Fill=—","Direction=H","UseDPDF=Y")</f>
        <v>0.8468</v>
      </c>
      <c r="AA9" s="14">
        <f>_xll.BDH("GILD US Equity","CFO_TO_AVG_CURRENT_LIABILITIES","FQ4 2024","FQ4 2024","Currency=USD","Period=FQ","BEST_FPERIOD_OVERRIDE=FQ","FILING_STATUS=MR","Sort=A","Dates=H","DateFormat=P","Fill=—","Direction=H","UseDPDF=Y")</f>
        <v>0.93010000000000004</v>
      </c>
    </row>
    <row r="10" spans="1:27" x14ac:dyDescent="0.25">
      <c r="A10" s="10" t="s">
        <v>1625</v>
      </c>
      <c r="B10" s="10" t="s">
        <v>1626</v>
      </c>
      <c r="C10" s="14">
        <f>_xll.BDH("GILD US Equity","COM_EQY_TO_TOT_ASSET","FQ4 2018","FQ4 2018","Currency=USD","Period=FQ","BEST_FPERIOD_OVERRIDE=FQ","FILING_STATUS=MR","Sort=A","Dates=H","DateFormat=P","Fill=—","Direction=H","UseDPDF=Y")</f>
        <v>33.587800000000001</v>
      </c>
      <c r="D10" s="14">
        <f>_xll.BDH("GILD US Equity","COM_EQY_TO_TOT_ASSET","FQ1 2019","FQ1 2019","Currency=USD","Period=FQ","BEST_FPERIOD_OVERRIDE=FQ","FILING_STATUS=MR","Sort=A","Dates=H","DateFormat=P","Fill=—","Direction=H","UseDPDF=Y")</f>
        <v>34.933199999999999</v>
      </c>
      <c r="E10" s="14">
        <f>_xll.BDH("GILD US Equity","COM_EQY_TO_TOT_ASSET","FQ2 2019","FQ2 2019","Currency=USD","Period=FQ","BEST_FPERIOD_OVERRIDE=FQ","FILING_STATUS=MR","Sort=A","Dates=H","DateFormat=P","Fill=—","Direction=H","UseDPDF=Y")</f>
        <v>35.7791</v>
      </c>
      <c r="F10" s="14">
        <f>_xll.BDH("GILD US Equity","COM_EQY_TO_TOT_ASSET","FQ3 2019","FQ3 2019","Currency=USD","Period=FQ","BEST_FPERIOD_OVERRIDE=FQ","FILING_STATUS=MR","Sort=A","Dates=H","DateFormat=P","Fill=—","Direction=H","UseDPDF=Y")</f>
        <v>34.835799999999999</v>
      </c>
      <c r="G10" s="14">
        <f>_xll.BDH("GILD US Equity","COM_EQY_TO_TOT_ASSET","FQ4 2019","FQ4 2019","Currency=USD","Period=FQ","BEST_FPERIOD_OVERRIDE=FQ","FILING_STATUS=MR","Sort=A","Dates=H","DateFormat=P","Fill=—","Direction=H","UseDPDF=Y")</f>
        <v>36.5505</v>
      </c>
      <c r="H10" s="14">
        <f>_xll.BDH("GILD US Equity","COM_EQY_TO_TOT_ASSET","FQ1 2020","FQ1 2020","Currency=USD","Period=FQ","BEST_FPERIOD_OVERRIDE=FQ","FILING_STATUS=MR","Sort=A","Dates=H","DateFormat=P","Fill=—","Direction=H","UseDPDF=Y")</f>
        <v>36.937800000000003</v>
      </c>
      <c r="I10" s="14">
        <f>_xll.BDH("GILD US Equity","COM_EQY_TO_TOT_ASSET","FQ2 2020","FQ2 2020","Currency=USD","Period=FQ","BEST_FPERIOD_OVERRIDE=FQ","FILING_STATUS=MR","Sort=A","Dates=H","DateFormat=P","Fill=—","Direction=H","UseDPDF=Y")</f>
        <v>32.229100000000003</v>
      </c>
      <c r="J10" s="14">
        <f>_xll.BDH("GILD US Equity","COM_EQY_TO_TOT_ASSET","FQ3 2020","FQ3 2020","Currency=USD","Period=FQ","BEST_FPERIOD_OVERRIDE=FQ","FILING_STATUS=MR","Sort=A","Dates=H","DateFormat=P","Fill=—","Direction=H","UseDPDF=Y")</f>
        <v>28.6557</v>
      </c>
      <c r="K10" s="14">
        <f>_xll.BDH("GILD US Equity","COM_EQY_TO_TOT_ASSET","FQ4 2020","FQ4 2020","Currency=USD","Period=FQ","BEST_FPERIOD_OVERRIDE=FQ","FILING_STATUS=MR","Sort=A","Dates=H","DateFormat=P","Fill=—","Direction=H","UseDPDF=Y")</f>
        <v>26.6084</v>
      </c>
      <c r="L10" s="14">
        <f>_xll.BDH("GILD US Equity","COM_EQY_TO_TOT_ASSET","FQ1 2021","FQ1 2021","Currency=USD","Period=FQ","BEST_FPERIOD_OVERRIDE=FQ","FILING_STATUS=MR","Sort=A","Dates=H","DateFormat=P","Fill=—","Direction=H","UseDPDF=Y")</f>
        <v>28.080400000000001</v>
      </c>
      <c r="M10" s="14">
        <f>_xll.BDH("GILD US Equity","COM_EQY_TO_TOT_ASSET","FQ2 2021","FQ2 2021","Currency=USD","Period=FQ","BEST_FPERIOD_OVERRIDE=FQ","FILING_STATUS=MR","Sort=A","Dates=H","DateFormat=P","Fill=—","Direction=H","UseDPDF=Y")</f>
        <v>28.9818</v>
      </c>
      <c r="N10" s="14">
        <f>_xll.BDH("GILD US Equity","COM_EQY_TO_TOT_ASSET","FQ3 2021","FQ3 2021","Currency=USD","Period=FQ","BEST_FPERIOD_OVERRIDE=FQ","FILING_STATUS=MR","Sort=A","Dates=H","DateFormat=P","Fill=—","Direction=H","UseDPDF=Y")</f>
        <v>31.998000000000001</v>
      </c>
      <c r="O10" s="14">
        <f>_xll.BDH("GILD US Equity","COM_EQY_TO_TOT_ASSET","FQ4 2021","FQ4 2021","Currency=USD","Period=FQ","BEST_FPERIOD_OVERRIDE=FQ","FILING_STATUS=MR","Sort=A","Dates=H","DateFormat=P","Fill=—","Direction=H","UseDPDF=Y")</f>
        <v>31.005700000000001</v>
      </c>
      <c r="P10" s="14">
        <f>_xll.BDH("GILD US Equity","COM_EQY_TO_TOT_ASSET","FQ1 2022","FQ1 2022","Currency=USD","Period=FQ","BEST_FPERIOD_OVERRIDE=FQ","FILING_STATUS=MR","Sort=A","Dates=H","DateFormat=P","Fill=—","Direction=H","UseDPDF=Y")</f>
        <v>31.59</v>
      </c>
      <c r="Q10" s="14">
        <f>_xll.BDH("GILD US Equity","COM_EQY_TO_TOT_ASSET","FQ2 2022","FQ2 2022","Currency=USD","Period=FQ","BEST_FPERIOD_OVERRIDE=FQ","FILING_STATUS=MR","Sort=A","Dates=H","DateFormat=P","Fill=—","Direction=H","UseDPDF=Y")</f>
        <v>32.187100000000001</v>
      </c>
      <c r="R10" s="14">
        <f>_xll.BDH("GILD US Equity","COM_EQY_TO_TOT_ASSET","FQ3 2022","FQ3 2022","Currency=USD","Period=FQ","BEST_FPERIOD_OVERRIDE=FQ","FILING_STATUS=MR","Sort=A","Dates=H","DateFormat=P","Fill=—","Direction=H","UseDPDF=Y")</f>
        <v>33.698900000000002</v>
      </c>
      <c r="S10" s="14">
        <f>_xll.BDH("GILD US Equity","COM_EQY_TO_TOT_ASSET","FQ4 2022","FQ4 2022","Currency=USD","Period=FQ","BEST_FPERIOD_OVERRIDE=FQ","FILING_STATUS=MR","Sort=A","Dates=H","DateFormat=P","Fill=—","Direction=H","UseDPDF=Y")</f>
        <v>33.622999999999998</v>
      </c>
      <c r="T10" s="14">
        <f>_xll.BDH("GILD US Equity","COM_EQY_TO_TOT_ASSET","FQ1 2023","FQ1 2023","Currency=USD","Period=FQ","BEST_FPERIOD_OVERRIDE=FQ","FILING_STATUS=MR","Sort=A","Dates=H","DateFormat=P","Fill=—","Direction=H","UseDPDF=Y")</f>
        <v>33.933999999999997</v>
      </c>
      <c r="U10" s="14">
        <f>_xll.BDH("GILD US Equity","COM_EQY_TO_TOT_ASSET","FQ2 2023","FQ2 2023","Currency=USD","Period=FQ","BEST_FPERIOD_OVERRIDE=FQ","FILING_STATUS=MR","Sort=A","Dates=H","DateFormat=P","Fill=—","Direction=H","UseDPDF=Y")</f>
        <v>33.941299999999998</v>
      </c>
      <c r="V10" s="14">
        <f>_xll.BDH("GILD US Equity","COM_EQY_TO_TOT_ASSET","FQ3 2023","FQ3 2023","Currency=USD","Period=FQ","BEST_FPERIOD_OVERRIDE=FQ","FILING_STATUS=MR","Sort=A","Dates=H","DateFormat=P","Fill=—","Direction=H","UseDPDF=Y")</f>
        <v>35.776699999999998</v>
      </c>
      <c r="W10" s="14">
        <f>_xll.BDH("GILD US Equity","COM_EQY_TO_TOT_ASSET","FQ4 2023","FQ4 2023","Currency=USD","Period=FQ","BEST_FPERIOD_OVERRIDE=FQ","FILING_STATUS=MR","Sort=A","Dates=H","DateFormat=P","Fill=—","Direction=H","UseDPDF=Y")</f>
        <v>36.753300000000003</v>
      </c>
      <c r="X10" s="14">
        <f>_xll.BDH("GILD US Equity","COM_EQY_TO_TOT_ASSET","FQ1 2024","FQ1 2024","Currency=USD","Period=FQ","BEST_FPERIOD_OVERRIDE=FQ","FILING_STATUS=MR","Sort=A","Dates=H","DateFormat=P","Fill=—","Direction=H","UseDPDF=Y")</f>
        <v>31.1572</v>
      </c>
      <c r="Y10" s="14">
        <f>_xll.BDH("GILD US Equity","COM_EQY_TO_TOT_ASSET","FQ2 2024","FQ2 2024","Currency=USD","Period=FQ","BEST_FPERIOD_OVERRIDE=FQ","FILING_STATUS=MR","Sort=A","Dates=H","DateFormat=P","Fill=—","Direction=H","UseDPDF=Y")</f>
        <v>34.119700000000002</v>
      </c>
      <c r="Z10" s="14">
        <f>_xll.BDH("GILD US Equity","COM_EQY_TO_TOT_ASSET","FQ3 2024","FQ3 2024","Currency=USD","Period=FQ","BEST_FPERIOD_OVERRIDE=FQ","FILING_STATUS=MR","Sort=A","Dates=H","DateFormat=P","Fill=—","Direction=H","UseDPDF=Y")</f>
        <v>33.881700000000002</v>
      </c>
      <c r="AA10" s="14">
        <f>_xll.BDH("GILD US Equity","COM_EQY_TO_TOT_ASSET","FQ4 2024","FQ4 2024","Currency=USD","Period=FQ","BEST_FPERIOD_OVERRIDE=FQ","FILING_STATUS=MR","Sort=A","Dates=H","DateFormat=P","Fill=—","Direction=H","UseDPDF=Y")</f>
        <v>32.765500000000003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10" t="s">
        <v>1627</v>
      </c>
      <c r="B12" s="10" t="s">
        <v>1628</v>
      </c>
      <c r="C12" s="14">
        <f>_xll.BDH("GILD US Equity","LT_DEBT_TO_TOT_EQY","FQ4 2018","FQ4 2018","Currency=USD","Period=FQ","BEST_FPERIOD_OVERRIDE=FQ","FILING_STATUS=MR","Sort=A","Dates=H","DateFormat=P","Fill=—","Direction=H","UseDPDF=Y")</f>
        <v>114.1172</v>
      </c>
      <c r="D12" s="14">
        <f>_xll.BDH("GILD US Equity","LT_DEBT_TO_TOT_EQY","FQ1 2019","FQ1 2019","Currency=USD","Period=FQ","BEST_FPERIOD_OVERRIDE=FQ","FILING_STATUS=MR","Sort=A","Dates=H","DateFormat=P","Fill=—","Direction=H","UseDPDF=Y")</f>
        <v>110.9456</v>
      </c>
      <c r="E12" s="14">
        <f>_xll.BDH("GILD US Equity","LT_DEBT_TO_TOT_EQY","FQ2 2019","FQ2 2019","Currency=USD","Period=FQ","BEST_FPERIOD_OVERRIDE=FQ","FILING_STATUS=MR","Sort=A","Dates=H","DateFormat=P","Fill=—","Direction=H","UseDPDF=Y")</f>
        <v>107.97329999999999</v>
      </c>
      <c r="F12" s="14">
        <f>_xll.BDH("GILD US Equity","LT_DEBT_TO_TOT_EQY","FQ3 2019","FQ3 2019","Currency=USD","Period=FQ","BEST_FPERIOD_OVERRIDE=FQ","FILING_STATUS=MR","Sort=A","Dates=H","DateFormat=P","Fill=—","Direction=H","UseDPDF=Y")</f>
        <v>109.5149</v>
      </c>
      <c r="G12" s="14">
        <f>_xll.BDH("GILD US Equity","LT_DEBT_TO_TOT_EQY","FQ4 2019","FQ4 2019","Currency=USD","Period=FQ","BEST_FPERIOD_OVERRIDE=FQ","FILING_STATUS=MR","Sort=A","Dates=H","DateFormat=P","Fill=—","Direction=H","UseDPDF=Y")</f>
        <v>100.3091</v>
      </c>
      <c r="H12" s="14">
        <f>_xll.BDH("GILD US Equity","LT_DEBT_TO_TOT_EQY","FQ1 2020","FQ1 2020","Currency=USD","Period=FQ","BEST_FPERIOD_OVERRIDE=FQ","FILING_STATUS=MR","Sort=A","Dates=H","DateFormat=P","Fill=—","Direction=H","UseDPDF=Y")</f>
        <v>99.634799999999998</v>
      </c>
      <c r="I12" s="14">
        <f>_xll.BDH("GILD US Equity","LT_DEBT_TO_TOT_EQY","FQ2 2020","FQ2 2020","Currency=USD","Period=FQ","BEST_FPERIOD_OVERRIDE=FQ","FILING_STATUS=MR","Sort=A","Dates=H","DateFormat=P","Fill=—","Direction=H","UseDPDF=Y")</f>
        <v>116.3212</v>
      </c>
      <c r="J12" s="14">
        <f>_xll.BDH("GILD US Equity","LT_DEBT_TO_TOT_EQY","FQ3 2020","FQ3 2020","Currency=USD","Period=FQ","BEST_FPERIOD_OVERRIDE=FQ","FILING_STATUS=MR","Sort=A","Dates=H","DateFormat=P","Fill=—","Direction=H","UseDPDF=Y")</f>
        <v>159.07499999999999</v>
      </c>
      <c r="K12" s="14">
        <f>_xll.BDH("GILD US Equity","LT_DEBT_TO_TOT_EQY","FQ4 2020","FQ4 2020","Currency=USD","Period=FQ","BEST_FPERIOD_OVERRIDE=FQ","FILING_STATUS=MR","Sort=A","Dates=H","DateFormat=P","Fill=—","Direction=H","UseDPDF=Y")</f>
        <v>160.5455</v>
      </c>
      <c r="L12" s="14">
        <f>_xll.BDH("GILD US Equity","LT_DEBT_TO_TOT_EQY","FQ1 2021","FQ1 2021","Currency=USD","Period=FQ","BEST_FPERIOD_OVERRIDE=FQ","FILING_STATUS=MR","Sort=A","Dates=H","DateFormat=P","Fill=—","Direction=H","UseDPDF=Y")</f>
        <v>147.15780000000001</v>
      </c>
      <c r="M12" s="14">
        <f>_xll.BDH("GILD US Equity","LT_DEBT_TO_TOT_EQY","FQ2 2021","FQ2 2021","Currency=USD","Period=FQ","BEST_FPERIOD_OVERRIDE=FQ","FILING_STATUS=MR","Sort=A","Dates=H","DateFormat=P","Fill=—","Direction=H","UseDPDF=Y")</f>
        <v>141.62350000000001</v>
      </c>
      <c r="N12" s="14">
        <f>_xll.BDH("GILD US Equity","LT_DEBT_TO_TOT_EQY","FQ3 2021","FQ3 2021","Currency=USD","Period=FQ","BEST_FPERIOD_OVERRIDE=FQ","FILING_STATUS=MR","Sort=A","Dates=H","DateFormat=P","Fill=—","Direction=H","UseDPDF=Y")</f>
        <v>117.2512</v>
      </c>
      <c r="O12" s="14">
        <f>_xll.BDH("GILD US Equity","LT_DEBT_TO_TOT_EQY","FQ4 2021","FQ4 2021","Currency=USD","Period=FQ","BEST_FPERIOD_OVERRIDE=FQ","FILING_STATUS=MR","Sort=A","Dates=H","DateFormat=P","Fill=—","Direction=H","UseDPDF=Y")</f>
        <v>121.85720000000001</v>
      </c>
      <c r="P12" s="14">
        <f>_xll.BDH("GILD US Equity","LT_DEBT_TO_TOT_EQY","FQ1 2022","FQ1 2022","Currency=USD","Period=FQ","BEST_FPERIOD_OVERRIDE=FQ","FILING_STATUS=MR","Sort=A","Dates=H","DateFormat=P","Fill=—","Direction=H","UseDPDF=Y")</f>
        <v>126.4524</v>
      </c>
      <c r="Q12" s="14">
        <f>_xll.BDH("GILD US Equity","LT_DEBT_TO_TOT_EQY","FQ2 2022","FQ2 2022","Currency=USD","Period=FQ","BEST_FPERIOD_OVERRIDE=FQ","FILING_STATUS=MR","Sort=A","Dates=H","DateFormat=P","Fill=—","Direction=H","UseDPDF=Y")</f>
        <v>124.6352</v>
      </c>
      <c r="R12" s="14">
        <f>_xll.BDH("GILD US Equity","LT_DEBT_TO_TOT_EQY","FQ3 2022","FQ3 2022","Currency=USD","Period=FQ","BEST_FPERIOD_OVERRIDE=FQ","FILING_STATUS=MR","Sort=A","Dates=H","DateFormat=P","Fill=—","Direction=H","UseDPDF=Y")</f>
        <v>109.00409999999999</v>
      </c>
      <c r="S12" s="14">
        <f>_xll.BDH("GILD US Equity","LT_DEBT_TO_TOT_EQY","FQ4 2022","FQ4 2022","Currency=USD","Period=FQ","BEST_FPERIOD_OVERRIDE=FQ","FILING_STATUS=MR","Sort=A","Dates=H","DateFormat=P","Fill=—","Direction=H","UseDPDF=Y")</f>
        <v>110.44370000000001</v>
      </c>
      <c r="T12" s="14">
        <f>_xll.BDH("GILD US Equity","LT_DEBT_TO_TOT_EQY","FQ1 2023","FQ1 2023","Currency=USD","Period=FQ","BEST_FPERIOD_OVERRIDE=FQ","FILING_STATUS=MR","Sort=A","Dates=H","DateFormat=P","Fill=—","Direction=H","UseDPDF=Y")</f>
        <v>109.6327</v>
      </c>
      <c r="U12" s="14">
        <f>_xll.BDH("GILD US Equity","LT_DEBT_TO_TOT_EQY","FQ2 2023","FQ2 2023","Currency=USD","Period=FQ","BEST_FPERIOD_OVERRIDE=FQ","FILING_STATUS=MR","Sort=A","Dates=H","DateFormat=P","Fill=—","Direction=H","UseDPDF=Y")</f>
        <v>100.54519999999999</v>
      </c>
      <c r="V12" s="14">
        <f>_xll.BDH("GILD US Equity","LT_DEBT_TO_TOT_EQY","FQ3 2023","FQ3 2023","Currency=USD","Period=FQ","BEST_FPERIOD_OVERRIDE=FQ","FILING_STATUS=MR","Sort=A","Dates=H","DateFormat=P","Fill=—","Direction=H","UseDPDF=Y")</f>
        <v>104.253</v>
      </c>
      <c r="W12" s="14">
        <f>_xll.BDH("GILD US Equity","LT_DEBT_TO_TOT_EQY","FQ4 2023","FQ4 2023","Currency=USD","Period=FQ","BEST_FPERIOD_OVERRIDE=FQ","FILING_STATUS=MR","Sort=A","Dates=H","DateFormat=P","Fill=—","Direction=H","UseDPDF=Y")</f>
        <v>104.3343</v>
      </c>
      <c r="X12" s="14">
        <f>_xll.BDH("GILD US Equity","LT_DEBT_TO_TOT_EQY","FQ1 2024","FQ1 2024","Currency=USD","Period=FQ","BEST_FPERIOD_OVERRIDE=FQ","FILING_STATUS=MR","Sort=A","Dates=H","DateFormat=P","Fill=—","Direction=H","UseDPDF=Y")</f>
        <v>123.32859999999999</v>
      </c>
      <c r="Y12" s="14">
        <f>_xll.BDH("GILD US Equity","LT_DEBT_TO_TOT_EQY","FQ2 2024","FQ2 2024","Currency=USD","Period=FQ","BEST_FPERIOD_OVERRIDE=FQ","FILING_STATUS=MR","Sort=A","Dates=H","DateFormat=P","Fill=—","Direction=H","UseDPDF=Y")</f>
        <v>118.3712</v>
      </c>
      <c r="Z12" s="14">
        <f>_xll.BDH("GILD US Equity","LT_DEBT_TO_TOT_EQY","FQ3 2024","FQ3 2024","Currency=USD","Period=FQ","BEST_FPERIOD_OVERRIDE=FQ","FILING_STATUS=MR","Sort=A","Dates=H","DateFormat=P","Fill=—","Direction=H","UseDPDF=Y")</f>
        <v>116.5688</v>
      </c>
      <c r="AA12" s="14">
        <f>_xll.BDH("GILD US Equity","LT_DEBT_TO_TOT_EQY","FQ4 2024","FQ4 2024","Currency=USD","Period=FQ","BEST_FPERIOD_OVERRIDE=FQ","FILING_STATUS=MR","Sort=A","Dates=H","DateFormat=P","Fill=—","Direction=H","UseDPDF=Y")</f>
        <v>131.9443</v>
      </c>
    </row>
    <row r="13" spans="1:27" x14ac:dyDescent="0.25">
      <c r="A13" s="10" t="s">
        <v>1629</v>
      </c>
      <c r="B13" s="10" t="s">
        <v>1630</v>
      </c>
      <c r="C13" s="14">
        <f>_xll.BDH("GILD US Equity","LT_DEBT_TO_TOT_CAP","FQ4 2018","FQ4 2018","Currency=USD","Period=FQ","BEST_FPERIOD_OVERRIDE=FQ","FILING_STATUS=MR","Sort=A","Dates=H","DateFormat=P","Fill=—","Direction=H","UseDPDF=Y")</f>
        <v>50.2988</v>
      </c>
      <c r="D13" s="14">
        <f>_xll.BDH("GILD US Equity","LT_DEBT_TO_TOT_CAP","FQ1 2019","FQ1 2019","Currency=USD","Period=FQ","BEST_FPERIOD_OVERRIDE=FQ","FILING_STATUS=MR","Sort=A","Dates=H","DateFormat=P","Fill=—","Direction=H","UseDPDF=Y")</f>
        <v>49.842399999999998</v>
      </c>
      <c r="E13" s="14">
        <f>_xll.BDH("GILD US Equity","LT_DEBT_TO_TOT_CAP","FQ2 2019","FQ2 2019","Currency=USD","Period=FQ","BEST_FPERIOD_OVERRIDE=FQ","FILING_STATUS=MR","Sort=A","Dates=H","DateFormat=P","Fill=—","Direction=H","UseDPDF=Y")</f>
        <v>49.738799999999998</v>
      </c>
      <c r="F13" s="14">
        <f>_xll.BDH("GILD US Equity","LT_DEBT_TO_TOT_CAP","FQ3 2019","FQ3 2019","Currency=USD","Period=FQ","BEST_FPERIOD_OVERRIDE=FQ","FILING_STATUS=MR","Sort=A","Dates=H","DateFormat=P","Fill=—","Direction=H","UseDPDF=Y")</f>
        <v>49.328800000000001</v>
      </c>
      <c r="G13" s="14">
        <f>_xll.BDH("GILD US Equity","LT_DEBT_TO_TOT_CAP","FQ4 2019","FQ4 2019","Currency=USD","Period=FQ","BEST_FPERIOD_OVERRIDE=FQ","FILING_STATUS=MR","Sort=A","Dates=H","DateFormat=P","Fill=—","Direction=H","UseDPDF=Y")</f>
        <v>47.364899999999999</v>
      </c>
      <c r="H13" s="14">
        <f>_xll.BDH("GILD US Equity","LT_DEBT_TO_TOT_CAP","FQ1 2020","FQ1 2020","Currency=USD","Period=FQ","BEST_FPERIOD_OVERRIDE=FQ","FILING_STATUS=MR","Sort=A","Dates=H","DateFormat=P","Fill=—","Direction=H","UseDPDF=Y")</f>
        <v>47.752600000000001</v>
      </c>
      <c r="I13" s="14">
        <f>_xll.BDH("GILD US Equity","LT_DEBT_TO_TOT_CAP","FQ2 2020","FQ2 2020","Currency=USD","Period=FQ","BEST_FPERIOD_OVERRIDE=FQ","FILING_STATUS=MR","Sort=A","Dates=H","DateFormat=P","Fill=—","Direction=H","UseDPDF=Y")</f>
        <v>49.954999999999998</v>
      </c>
      <c r="J13" s="14">
        <f>_xll.BDH("GILD US Equity","LT_DEBT_TO_TOT_CAP","FQ3 2020","FQ3 2020","Currency=USD","Period=FQ","BEST_FPERIOD_OVERRIDE=FQ","FILING_STATUS=MR","Sort=A","Dates=H","DateFormat=P","Fill=—","Direction=H","UseDPDF=Y")</f>
        <v>59.434100000000001</v>
      </c>
      <c r="K13" s="14">
        <f>_xll.BDH("GILD US Equity","LT_DEBT_TO_TOT_CAP","FQ4 2020","FQ4 2020","Currency=USD","Period=FQ","BEST_FPERIOD_OVERRIDE=FQ","FILING_STATUS=MR","Sort=A","Dates=H","DateFormat=P","Fill=—","Direction=H","UseDPDF=Y")</f>
        <v>58.113199999999999</v>
      </c>
      <c r="L13" s="14">
        <f>_xll.BDH("GILD US Equity","LT_DEBT_TO_TOT_CAP","FQ1 2021","FQ1 2021","Currency=USD","Period=FQ","BEST_FPERIOD_OVERRIDE=FQ","FILING_STATUS=MR","Sort=A","Dates=H","DateFormat=P","Fill=—","Direction=H","UseDPDF=Y")</f>
        <v>56.802399999999999</v>
      </c>
      <c r="M13" s="14">
        <f>_xll.BDH("GILD US Equity","LT_DEBT_TO_TOT_CAP","FQ2 2021","FQ2 2021","Currency=USD","Period=FQ","BEST_FPERIOD_OVERRIDE=FQ","FILING_STATUS=MR","Sort=A","Dates=H","DateFormat=P","Fill=—","Direction=H","UseDPDF=Y")</f>
        <v>55.956699999999998</v>
      </c>
      <c r="N13" s="14">
        <f>_xll.BDH("GILD US Equity","LT_DEBT_TO_TOT_CAP","FQ3 2021","FQ3 2021","Currency=USD","Period=FQ","BEST_FPERIOD_OVERRIDE=FQ","FILING_STATUS=MR","Sort=A","Dates=H","DateFormat=P","Fill=—","Direction=H","UseDPDF=Y")</f>
        <v>51.213500000000003</v>
      </c>
      <c r="O13" s="14">
        <f>_xll.BDH("GILD US Equity","LT_DEBT_TO_TOT_CAP","FQ4 2021","FQ4 2021","Currency=USD","Period=FQ","BEST_FPERIOD_OVERRIDE=FQ","FILING_STATUS=MR","Sort=A","Dates=H","DateFormat=P","Fill=—","Direction=H","UseDPDF=Y")</f>
        <v>53.088999999999999</v>
      </c>
      <c r="P13" s="14">
        <f>_xll.BDH("GILD US Equity","LT_DEBT_TO_TOT_CAP","FQ1 2022","FQ1 2022","Currency=USD","Period=FQ","BEST_FPERIOD_OVERRIDE=FQ","FILING_STATUS=MR","Sort=A","Dates=H","DateFormat=P","Fill=—","Direction=H","UseDPDF=Y")</f>
        <v>54.599699999999999</v>
      </c>
      <c r="Q13" s="14">
        <f>_xll.BDH("GILD US Equity","LT_DEBT_TO_TOT_CAP","FQ2 2022","FQ2 2022","Currency=USD","Period=FQ","BEST_FPERIOD_OVERRIDE=FQ","FILING_STATUS=MR","Sort=A","Dates=H","DateFormat=P","Fill=—","Direction=H","UseDPDF=Y")</f>
        <v>54.263300000000001</v>
      </c>
      <c r="R13" s="14">
        <f>_xll.BDH("GILD US Equity","LT_DEBT_TO_TOT_CAP","FQ3 2022","FQ3 2022","Currency=USD","Period=FQ","BEST_FPERIOD_OVERRIDE=FQ","FILING_STATUS=MR","Sort=A","Dates=H","DateFormat=P","Fill=—","Direction=H","UseDPDF=Y")</f>
        <v>49.5959</v>
      </c>
      <c r="S13" s="14">
        <f>_xll.BDH("GILD US Equity","LT_DEBT_TO_TOT_CAP","FQ4 2022","FQ4 2022","Currency=USD","Period=FQ","BEST_FPERIOD_OVERRIDE=FQ","FILING_STATUS=MR","Sort=A","Dates=H","DateFormat=P","Fill=—","Direction=H","UseDPDF=Y")</f>
        <v>49.820300000000003</v>
      </c>
      <c r="T13" s="14">
        <f>_xll.BDH("GILD US Equity","LT_DEBT_TO_TOT_CAP","FQ1 2023","FQ1 2023","Currency=USD","Period=FQ","BEST_FPERIOD_OVERRIDE=FQ","FILING_STATUS=MR","Sort=A","Dates=H","DateFormat=P","Fill=—","Direction=H","UseDPDF=Y")</f>
        <v>49.712000000000003</v>
      </c>
      <c r="U13" s="14">
        <f>_xll.BDH("GILD US Equity","LT_DEBT_TO_TOT_CAP","FQ2 2023","FQ2 2023","Currency=USD","Period=FQ","BEST_FPERIOD_OVERRIDE=FQ","FILING_STATUS=MR","Sort=A","Dates=H","DateFormat=P","Fill=—","Direction=H","UseDPDF=Y")</f>
        <v>45.7682</v>
      </c>
      <c r="V13" s="14">
        <f>_xll.BDH("GILD US Equity","LT_DEBT_TO_TOT_CAP","FQ3 2023","FQ3 2023","Currency=USD","Period=FQ","BEST_FPERIOD_OVERRIDE=FQ","FILING_STATUS=MR","Sort=A","Dates=H","DateFormat=P","Fill=—","Direction=H","UseDPDF=Y")</f>
        <v>49.103200000000001</v>
      </c>
      <c r="W13" s="14">
        <f>_xll.BDH("GILD US Equity","LT_DEBT_TO_TOT_CAP","FQ4 2023","FQ4 2023","Currency=USD","Period=FQ","BEST_FPERIOD_OVERRIDE=FQ","FILING_STATUS=MR","Sort=A","Dates=H","DateFormat=P","Fill=—","Direction=H","UseDPDF=Y")</f>
        <v>49.032200000000003</v>
      </c>
      <c r="X13" s="14">
        <f>_xll.BDH("GILD US Equity","LT_DEBT_TO_TOT_CAP","FQ1 2024","FQ1 2024","Currency=USD","Period=FQ","BEST_FPERIOD_OVERRIDE=FQ","FILING_STATUS=MR","Sort=A","Dates=H","DateFormat=P","Fill=—","Direction=H","UseDPDF=Y")</f>
        <v>50.474800000000002</v>
      </c>
      <c r="Y13" s="14">
        <f>_xll.BDH("GILD US Equity","LT_DEBT_TO_TOT_CAP","FQ2 2024","FQ2 2024","Currency=USD","Period=FQ","BEST_FPERIOD_OVERRIDE=FQ","FILING_STATUS=MR","Sort=A","Dates=H","DateFormat=P","Fill=—","Direction=H","UseDPDF=Y")</f>
        <v>51.844900000000003</v>
      </c>
      <c r="Z13" s="14">
        <f>_xll.BDH("GILD US Equity","LT_DEBT_TO_TOT_CAP","FQ3 2024","FQ3 2024","Currency=USD","Period=FQ","BEST_FPERIOD_OVERRIDE=FQ","FILING_STATUS=MR","Sort=A","Dates=H","DateFormat=P","Fill=—","Direction=H","UseDPDF=Y")</f>
        <v>51.482999999999997</v>
      </c>
      <c r="AA13" s="14">
        <f>_xll.BDH("GILD US Equity","LT_DEBT_TO_TOT_CAP","FQ4 2024","FQ4 2024","Currency=USD","Period=FQ","BEST_FPERIOD_OVERRIDE=FQ","FILING_STATUS=MR","Sort=A","Dates=H","DateFormat=P","Fill=—","Direction=H","UseDPDF=Y")</f>
        <v>54.530999999999999</v>
      </c>
    </row>
    <row r="14" spans="1:27" x14ac:dyDescent="0.25">
      <c r="A14" s="10" t="s">
        <v>1631</v>
      </c>
      <c r="B14" s="10" t="s">
        <v>1632</v>
      </c>
      <c r="C14" s="14">
        <f>_xll.BDH("GILD US Equity","LT_DEBT_TO_TOT_ASSET","FQ4 2018","FQ4 2018","Currency=USD","Period=FQ","BEST_FPERIOD_OVERRIDE=FQ","FILING_STATUS=MR","Sort=A","Dates=H","DateFormat=P","Fill=—","Direction=H","UseDPDF=Y")</f>
        <v>38.5929</v>
      </c>
      <c r="D14" s="14">
        <f>_xll.BDH("GILD US Equity","LT_DEBT_TO_TOT_ASSET","FQ1 2019","FQ1 2019","Currency=USD","Period=FQ","BEST_FPERIOD_OVERRIDE=FQ","FILING_STATUS=MR","Sort=A","Dates=H","DateFormat=P","Fill=—","Direction=H","UseDPDF=Y")</f>
        <v>39.004100000000001</v>
      </c>
      <c r="E14" s="14">
        <f>_xll.BDH("GILD US Equity","LT_DEBT_TO_TOT_ASSET","FQ2 2019","FQ2 2019","Currency=USD","Period=FQ","BEST_FPERIOD_OVERRIDE=FQ","FILING_STATUS=MR","Sort=A","Dates=H","DateFormat=P","Fill=—","Direction=H","UseDPDF=Y")</f>
        <v>38.862499999999997</v>
      </c>
      <c r="F14" s="14">
        <f>_xll.BDH("GILD US Equity","LT_DEBT_TO_TOT_ASSET","FQ3 2019","FQ3 2019","Currency=USD","Period=FQ","BEST_FPERIOD_OVERRIDE=FQ","FILING_STATUS=MR","Sort=A","Dates=H","DateFormat=P","Fill=—","Direction=H","UseDPDF=Y")</f>
        <v>38.394799999999996</v>
      </c>
      <c r="G14" s="14">
        <f>_xll.BDH("GILD US Equity","LT_DEBT_TO_TOT_ASSET","FQ4 2019","FQ4 2019","Currency=USD","Period=FQ","BEST_FPERIOD_OVERRIDE=FQ","FILING_STATUS=MR","Sort=A","Dates=H","DateFormat=P","Fill=—","Direction=H","UseDPDF=Y")</f>
        <v>36.866999999999997</v>
      </c>
      <c r="H14" s="14">
        <f>_xll.BDH("GILD US Equity","LT_DEBT_TO_TOT_ASSET","FQ1 2020","FQ1 2020","Currency=USD","Period=FQ","BEST_FPERIOD_OVERRIDE=FQ","FILING_STATUS=MR","Sort=A","Dates=H","DateFormat=P","Fill=—","Direction=H","UseDPDF=Y")</f>
        <v>36.989699999999999</v>
      </c>
      <c r="I14" s="14">
        <f>_xll.BDH("GILD US Equity","LT_DEBT_TO_TOT_ASSET","FQ2 2020","FQ2 2020","Currency=USD","Period=FQ","BEST_FPERIOD_OVERRIDE=FQ","FILING_STATUS=MR","Sort=A","Dates=H","DateFormat=P","Fill=—","Direction=H","UseDPDF=Y")</f>
        <v>37.728400000000001</v>
      </c>
      <c r="J14" s="14">
        <f>_xll.BDH("GILD US Equity","LT_DEBT_TO_TOT_ASSET","FQ3 2020","FQ3 2020","Currency=USD","Period=FQ","BEST_FPERIOD_OVERRIDE=FQ","FILING_STATUS=MR","Sort=A","Dates=H","DateFormat=P","Fill=—","Direction=H","UseDPDF=Y")</f>
        <v>45.652000000000001</v>
      </c>
      <c r="K14" s="14">
        <f>_xll.BDH("GILD US Equity","LT_DEBT_TO_TOT_ASSET","FQ4 2020","FQ4 2020","Currency=USD","Period=FQ","BEST_FPERIOD_OVERRIDE=FQ","FILING_STATUS=MR","Sort=A","Dates=H","DateFormat=P","Fill=—","Direction=H","UseDPDF=Y")</f>
        <v>42.763199999999998</v>
      </c>
      <c r="L14" s="14">
        <f>_xll.BDH("GILD US Equity","LT_DEBT_TO_TOT_ASSET","FQ1 2021","FQ1 2021","Currency=USD","Period=FQ","BEST_FPERIOD_OVERRIDE=FQ","FILING_STATUS=MR","Sort=A","Dates=H","DateFormat=P","Fill=—","Direction=H","UseDPDF=Y")</f>
        <v>41.348599999999998</v>
      </c>
      <c r="M14" s="14">
        <f>_xll.BDH("GILD US Equity","LT_DEBT_TO_TOT_ASSET","FQ2 2021","FQ2 2021","Currency=USD","Period=FQ","BEST_FPERIOD_OVERRIDE=FQ","FILING_STATUS=MR","Sort=A","Dates=H","DateFormat=P","Fill=—","Direction=H","UseDPDF=Y")</f>
        <v>41.059699999999999</v>
      </c>
      <c r="N14" s="14">
        <f>_xll.BDH("GILD US Equity","LT_DEBT_TO_TOT_ASSET","FQ3 2021","FQ3 2021","Currency=USD","Period=FQ","BEST_FPERIOD_OVERRIDE=FQ","FILING_STATUS=MR","Sort=A","Dates=H","DateFormat=P","Fill=—","Direction=H","UseDPDF=Y")</f>
        <v>37.5197</v>
      </c>
      <c r="O14" s="14">
        <f>_xll.BDH("GILD US Equity","LT_DEBT_TO_TOT_ASSET","FQ4 2021","FQ4 2021","Currency=USD","Period=FQ","BEST_FPERIOD_OVERRIDE=FQ","FILING_STATUS=MR","Sort=A","Dates=H","DateFormat=P","Fill=—","Direction=H","UseDPDF=Y")</f>
        <v>37.773699999999998</v>
      </c>
      <c r="P14" s="14">
        <f>_xll.BDH("GILD US Equity","LT_DEBT_TO_TOT_ASSET","FQ1 2022","FQ1 2022","Currency=USD","Period=FQ","BEST_FPERIOD_OVERRIDE=FQ","FILING_STATUS=MR","Sort=A","Dates=H","DateFormat=P","Fill=—","Direction=H","UseDPDF=Y")</f>
        <v>39.9223</v>
      </c>
      <c r="Q14" s="14">
        <f>_xll.BDH("GILD US Equity","LT_DEBT_TO_TOT_ASSET","FQ2 2022","FQ2 2022","Currency=USD","Period=FQ","BEST_FPERIOD_OVERRIDE=FQ","FILING_STATUS=MR","Sort=A","Dates=H","DateFormat=P","Fill=—","Direction=H","UseDPDF=Y")</f>
        <v>40.074800000000003</v>
      </c>
      <c r="R14" s="14">
        <f>_xll.BDH("GILD US Equity","LT_DEBT_TO_TOT_ASSET","FQ3 2022","FQ3 2022","Currency=USD","Period=FQ","BEST_FPERIOD_OVERRIDE=FQ","FILING_STATUS=MR","Sort=A","Dates=H","DateFormat=P","Fill=—","Direction=H","UseDPDF=Y")</f>
        <v>36.691299999999998</v>
      </c>
      <c r="S14" s="14">
        <f>_xll.BDH("GILD US Equity","LT_DEBT_TO_TOT_ASSET","FQ4 2022","FQ4 2022","Currency=USD","Period=FQ","BEST_FPERIOD_OVERRIDE=FQ","FILING_STATUS=MR","Sort=A","Dates=H","DateFormat=P","Fill=—","Direction=H","UseDPDF=Y")</f>
        <v>37.080300000000001</v>
      </c>
      <c r="T14" s="14">
        <f>_xll.BDH("GILD US Equity","LT_DEBT_TO_TOT_ASSET","FQ1 2023","FQ1 2023","Currency=USD","Period=FQ","BEST_FPERIOD_OVERRIDE=FQ","FILING_STATUS=MR","Sort=A","Dates=H","DateFormat=P","Fill=—","Direction=H","UseDPDF=Y")</f>
        <v>37.1</v>
      </c>
      <c r="U14" s="14">
        <f>_xll.BDH("GILD US Equity","LT_DEBT_TO_TOT_ASSET","FQ2 2023","FQ2 2023","Currency=USD","Period=FQ","BEST_FPERIOD_OVERRIDE=FQ","FILING_STATUS=MR","Sort=A","Dates=H","DateFormat=P","Fill=—","Direction=H","UseDPDF=Y")</f>
        <v>34.023099999999999</v>
      </c>
      <c r="V14" s="14">
        <f>_xll.BDH("GILD US Equity","LT_DEBT_TO_TOT_ASSET","FQ3 2023","FQ3 2023","Currency=USD","Period=FQ","BEST_FPERIOD_OVERRIDE=FQ","FILING_STATUS=MR","Sort=A","Dates=H","DateFormat=P","Fill=—","Direction=H","UseDPDF=Y")</f>
        <v>37.177900000000001</v>
      </c>
      <c r="W14" s="14">
        <f>_xll.BDH("GILD US Equity","LT_DEBT_TO_TOT_ASSET","FQ4 2023","FQ4 2023","Currency=USD","Period=FQ","BEST_FPERIOD_OVERRIDE=FQ","FILING_STATUS=MR","Sort=A","Dates=H","DateFormat=P","Fill=—","Direction=H","UseDPDF=Y")</f>
        <v>38.205199999999998</v>
      </c>
      <c r="X14" s="14">
        <f>_xll.BDH("GILD US Equity","LT_DEBT_TO_TOT_ASSET","FQ1 2024","FQ1 2024","Currency=USD","Period=FQ","BEST_FPERIOD_OVERRIDE=FQ","FILING_STATUS=MR","Sort=A","Dates=H","DateFormat=P","Fill=—","Direction=H","UseDPDF=Y")</f>
        <v>38.241700000000002</v>
      </c>
      <c r="Y14" s="14">
        <f>_xll.BDH("GILD US Equity","LT_DEBT_TO_TOT_ASSET","FQ2 2024","FQ2 2024","Currency=USD","Period=FQ","BEST_FPERIOD_OVERRIDE=FQ","FILING_STATUS=MR","Sort=A","Dates=H","DateFormat=P","Fill=—","Direction=H","UseDPDF=Y")</f>
        <v>40.202300000000001</v>
      </c>
      <c r="Z14" s="14">
        <f>_xll.BDH("GILD US Equity","LT_DEBT_TO_TOT_ASSET","FQ3 2024","FQ3 2024","Currency=USD","Period=FQ","BEST_FPERIOD_OVERRIDE=FQ","FILING_STATUS=MR","Sort=A","Dates=H","DateFormat=P","Fill=—","Direction=H","UseDPDF=Y")</f>
        <v>39.315899999999999</v>
      </c>
      <c r="AA14" s="14">
        <f>_xll.BDH("GILD US Equity","LT_DEBT_TO_TOT_ASSET","FQ4 2024","FQ4 2024","Currency=USD","Period=FQ","BEST_FPERIOD_OVERRIDE=FQ","FILING_STATUS=MR","Sort=A","Dates=H","DateFormat=P","Fill=—","Direction=H","UseDPDF=Y")</f>
        <v>43.0443</v>
      </c>
    </row>
    <row r="15" spans="1:27" x14ac:dyDescent="0.25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5">
      <c r="A16" s="10" t="s">
        <v>1633</v>
      </c>
      <c r="B16" s="10" t="s">
        <v>1634</v>
      </c>
      <c r="C16" s="14">
        <f>_xll.BDH("GILD US Equity","TOT_DEBT_TO_TOT_EQY","FQ4 2018","FQ4 2018","Currency=USD","Period=FQ","BEST_FPERIOD_OVERRIDE=FQ","FILING_STATUS=MR","Sort=A","Dates=H","DateFormat=P","Fill=—","Direction=H","UseDPDF=Y")</f>
        <v>126.8784</v>
      </c>
      <c r="D16" s="14">
        <f>_xll.BDH("GILD US Equity","TOT_DEBT_TO_TOT_EQY","FQ1 2019","FQ1 2019","Currency=USD","Period=FQ","BEST_FPERIOD_OVERRIDE=FQ","FILING_STATUS=MR","Sort=A","Dates=H","DateFormat=P","Fill=—","Direction=H","UseDPDF=Y")</f>
        <v>122.5929</v>
      </c>
      <c r="E16" s="14">
        <f>_xll.BDH("GILD US Equity","TOT_DEBT_TO_TOT_EQY","FQ2 2019","FQ2 2019","Currency=USD","Period=FQ","BEST_FPERIOD_OVERRIDE=FQ","FILING_STATUS=MR","Sort=A","Dates=H","DateFormat=P","Fill=—","Direction=H","UseDPDF=Y")</f>
        <v>117.0806</v>
      </c>
      <c r="F16" s="14">
        <f>_xll.BDH("GILD US Equity","TOT_DEBT_TO_TOT_EQY","FQ3 2019","FQ3 2019","Currency=USD","Period=FQ","BEST_FPERIOD_OVERRIDE=FQ","FILING_STATUS=MR","Sort=A","Dates=H","DateFormat=P","Fill=—","Direction=H","UseDPDF=Y")</f>
        <v>122.01</v>
      </c>
      <c r="G16" s="14">
        <f>_xll.BDH("GILD US Equity","TOT_DEBT_TO_TOT_EQY","FQ4 2019","FQ4 2019","Currency=USD","Period=FQ","BEST_FPERIOD_OVERRIDE=FQ","FILING_STATUS=MR","Sort=A","Dates=H","DateFormat=P","Fill=—","Direction=H","UseDPDF=Y")</f>
        <v>111.7792</v>
      </c>
      <c r="H16" s="14">
        <f>_xll.BDH("GILD US Equity","TOT_DEBT_TO_TOT_EQY","FQ1 2020","FQ1 2020","Currency=USD","Period=FQ","BEST_FPERIOD_OVERRIDE=FQ","FILING_STATUS=MR","Sort=A","Dates=H","DateFormat=P","Fill=—","Direction=H","UseDPDF=Y")</f>
        <v>108.6478</v>
      </c>
      <c r="I16" s="14">
        <f>_xll.BDH("GILD US Equity","TOT_DEBT_TO_TOT_EQY","FQ2 2020","FQ2 2020","Currency=USD","Period=FQ","BEST_FPERIOD_OVERRIDE=FQ","FILING_STATUS=MR","Sort=A","Dates=H","DateFormat=P","Fill=—","Direction=H","UseDPDF=Y")</f>
        <v>132.8519</v>
      </c>
      <c r="J16" s="14">
        <f>_xll.BDH("GILD US Equity","TOT_DEBT_TO_TOT_EQY","FQ3 2020","FQ3 2020","Currency=USD","Period=FQ","BEST_FPERIOD_OVERRIDE=FQ","FILING_STATUS=MR","Sort=A","Dates=H","DateFormat=P","Fill=—","Direction=H","UseDPDF=Y")</f>
        <v>167.64920000000001</v>
      </c>
      <c r="K16" s="14">
        <f>_xll.BDH("GILD US Equity","TOT_DEBT_TO_TOT_EQY","FQ4 2020","FQ4 2020","Currency=USD","Period=FQ","BEST_FPERIOD_OVERRIDE=FQ","FILING_STATUS=MR","Sort=A","Dates=H","DateFormat=P","Fill=—","Direction=H","UseDPDF=Y")</f>
        <v>176.2637</v>
      </c>
      <c r="L16" s="14">
        <f>_xll.BDH("GILD US Equity","TOT_DEBT_TO_TOT_EQY","FQ1 2021","FQ1 2021","Currency=USD","Period=FQ","BEST_FPERIOD_OVERRIDE=FQ","FILING_STATUS=MR","Sort=A","Dates=H","DateFormat=P","Fill=—","Direction=H","UseDPDF=Y")</f>
        <v>159.06979999999999</v>
      </c>
      <c r="M16" s="14">
        <f>_xll.BDH("GILD US Equity","TOT_DEBT_TO_TOT_EQY","FQ2 2021","FQ2 2021","Currency=USD","Period=FQ","BEST_FPERIOD_OVERRIDE=FQ","FILING_STATUS=MR","Sort=A","Dates=H","DateFormat=P","Fill=—","Direction=H","UseDPDF=Y")</f>
        <v>153.0949</v>
      </c>
      <c r="N16" s="14">
        <f>_xll.BDH("GILD US Equity","TOT_DEBT_TO_TOT_EQY","FQ3 2021","FQ3 2021","Currency=USD","Period=FQ","BEST_FPERIOD_OVERRIDE=FQ","FILING_STATUS=MR","Sort=A","Dates=H","DateFormat=P","Fill=—","Direction=H","UseDPDF=Y")</f>
        <v>128.946</v>
      </c>
      <c r="O16" s="14">
        <f>_xll.BDH("GILD US Equity","TOT_DEBT_TO_TOT_EQY","FQ4 2021","FQ4 2021","Currency=USD","Period=FQ","BEST_FPERIOD_OVERRIDE=FQ","FILING_STATUS=MR","Sort=A","Dates=H","DateFormat=P","Fill=—","Direction=H","UseDPDF=Y")</f>
        <v>129.53380000000001</v>
      </c>
      <c r="P16" s="14">
        <f>_xll.BDH("GILD US Equity","TOT_DEBT_TO_TOT_EQY","FQ1 2022","FQ1 2022","Currency=USD","Period=FQ","BEST_FPERIOD_OVERRIDE=FQ","FILING_STATUS=MR","Sort=A","Dates=H","DateFormat=P","Fill=—","Direction=H","UseDPDF=Y")</f>
        <v>131.5993</v>
      </c>
      <c r="Q16" s="14">
        <f>_xll.BDH("GILD US Equity","TOT_DEBT_TO_TOT_EQY","FQ2 2022","FQ2 2022","Currency=USD","Period=FQ","BEST_FPERIOD_OVERRIDE=FQ","FILING_STATUS=MR","Sort=A","Dates=H","DateFormat=P","Fill=—","Direction=H","UseDPDF=Y")</f>
        <v>129.6859</v>
      </c>
      <c r="R16" s="14">
        <f>_xll.BDH("GILD US Equity","TOT_DEBT_TO_TOT_EQY","FQ3 2022","FQ3 2022","Currency=USD","Period=FQ","BEST_FPERIOD_OVERRIDE=FQ","FILING_STATUS=MR","Sort=A","Dates=H","DateFormat=P","Fill=—","Direction=H","UseDPDF=Y")</f>
        <v>119.78440000000001</v>
      </c>
      <c r="S16" s="14">
        <f>_xll.BDH("GILD US Equity","TOT_DEBT_TO_TOT_EQY","FQ4 2022","FQ4 2022","Currency=USD","Period=FQ","BEST_FPERIOD_OVERRIDE=FQ","FILING_STATUS=MR","Sort=A","Dates=H","DateFormat=P","Fill=—","Direction=H","UseDPDF=Y")</f>
        <v>121.6842</v>
      </c>
      <c r="T16" s="14">
        <f>_xll.BDH("GILD US Equity","TOT_DEBT_TO_TOT_EQY","FQ1 2023","FQ1 2023","Currency=USD","Period=FQ","BEST_FPERIOD_OVERRIDE=FQ","FILING_STATUS=MR","Sort=A","Dates=H","DateFormat=P","Fill=—","Direction=H","UseDPDF=Y")</f>
        <v>120.53579999999999</v>
      </c>
      <c r="U16" s="14">
        <f>_xll.BDH("GILD US Equity","TOT_DEBT_TO_TOT_EQY","FQ2 2023","FQ2 2023","Currency=USD","Period=FQ","BEST_FPERIOD_OVERRIDE=FQ","FILING_STATUS=MR","Sort=A","Dates=H","DateFormat=P","Fill=—","Direction=H","UseDPDF=Y")</f>
        <v>119.6833</v>
      </c>
      <c r="V16" s="14">
        <f>_xll.BDH("GILD US Equity","TOT_DEBT_TO_TOT_EQY","FQ3 2023","FQ3 2023","Currency=USD","Period=FQ","BEST_FPERIOD_OVERRIDE=FQ","FILING_STATUS=MR","Sort=A","Dates=H","DateFormat=P","Fill=—","Direction=H","UseDPDF=Y")</f>
        <v>112.31399999999999</v>
      </c>
      <c r="W16" s="14">
        <f>_xll.BDH("GILD US Equity","TOT_DEBT_TO_TOT_EQY","FQ4 2023","FQ4 2023","Currency=USD","Period=FQ","BEST_FPERIOD_OVERRIDE=FQ","FILING_STATUS=MR","Sort=A","Dates=H","DateFormat=P","Fill=—","Direction=H","UseDPDF=Y")</f>
        <v>112.78740000000001</v>
      </c>
      <c r="X16" s="14">
        <f>_xll.BDH("GILD US Equity","TOT_DEBT_TO_TOT_EQY","FQ1 2024","FQ1 2024","Currency=USD","Period=FQ","BEST_FPERIOD_OVERRIDE=FQ","FILING_STATUS=MR","Sort=A","Dates=H","DateFormat=P","Fill=—","Direction=H","UseDPDF=Y")</f>
        <v>144.33690000000001</v>
      </c>
      <c r="Y16" s="14">
        <f>_xll.BDH("GILD US Equity","TOT_DEBT_TO_TOT_EQY","FQ2 2024","FQ2 2024","Currency=USD","Period=FQ","BEST_FPERIOD_OVERRIDE=FQ","FILING_STATUS=MR","Sort=A","Dates=H","DateFormat=P","Fill=—","Direction=H","UseDPDF=Y")</f>
        <v>128.31790000000001</v>
      </c>
      <c r="Z16" s="14">
        <f>_xll.BDH("GILD US Equity","TOT_DEBT_TO_TOT_EQY","FQ3 2024","FQ3 2024","Currency=USD","Period=FQ","BEST_FPERIOD_OVERRIDE=FQ","FILING_STATUS=MR","Sort=A","Dates=H","DateFormat=P","Fill=—","Direction=H","UseDPDF=Y")</f>
        <v>126.422</v>
      </c>
      <c r="AA16" s="14">
        <f>_xll.BDH("GILD US Equity","TOT_DEBT_TO_TOT_EQY","FQ4 2024","FQ4 2024","Currency=USD","Period=FQ","BEST_FPERIOD_OVERRIDE=FQ","FILING_STATUS=MR","Sort=A","Dates=H","DateFormat=P","Fill=—","Direction=H","UseDPDF=Y")</f>
        <v>141.96199999999999</v>
      </c>
    </row>
    <row r="17" spans="1:27" x14ac:dyDescent="0.25">
      <c r="A17" s="10" t="s">
        <v>1635</v>
      </c>
      <c r="B17" s="10" t="s">
        <v>175</v>
      </c>
      <c r="C17" s="14">
        <f>_xll.BDH("GILD US Equity","TOT_DEBT_TO_TOT_CAP","FQ4 2018","FQ4 2018","Currency=USD","Period=FQ","BEST_FPERIOD_OVERRIDE=FQ","FILING_STATUS=MR","Sort=A","Dates=H","DateFormat=P","Fill=—","Direction=H","UseDPDF=Y")</f>
        <v>55.923499999999997</v>
      </c>
      <c r="D17" s="14">
        <f>_xll.BDH("GILD US Equity","TOT_DEBT_TO_TOT_CAP","FQ1 2019","FQ1 2019","Currency=USD","Period=FQ","BEST_FPERIOD_OVERRIDE=FQ","FILING_STATUS=MR","Sort=A","Dates=H","DateFormat=P","Fill=—","Direction=H","UseDPDF=Y")</f>
        <v>55.0749</v>
      </c>
      <c r="E17" s="14">
        <f>_xll.BDH("GILD US Equity","TOT_DEBT_TO_TOT_CAP","FQ2 2019","FQ2 2019","Currency=USD","Period=FQ","BEST_FPERIOD_OVERRIDE=FQ","FILING_STATUS=MR","Sort=A","Dates=H","DateFormat=P","Fill=—","Direction=H","UseDPDF=Y")</f>
        <v>53.934199999999997</v>
      </c>
      <c r="F17" s="14">
        <f>_xll.BDH("GILD US Equity","TOT_DEBT_TO_TOT_CAP","FQ3 2019","FQ3 2019","Currency=USD","Period=FQ","BEST_FPERIOD_OVERRIDE=FQ","FILING_STATUS=MR","Sort=A","Dates=H","DateFormat=P","Fill=—","Direction=H","UseDPDF=Y")</f>
        <v>54.957000000000001</v>
      </c>
      <c r="G17" s="14">
        <f>_xll.BDH("GILD US Equity","TOT_DEBT_TO_TOT_CAP","FQ4 2019","FQ4 2019","Currency=USD","Period=FQ","BEST_FPERIOD_OVERRIDE=FQ","FILING_STATUS=MR","Sort=A","Dates=H","DateFormat=P","Fill=—","Direction=H","UseDPDF=Y")</f>
        <v>52.780999999999999</v>
      </c>
      <c r="H17" s="14">
        <f>_xll.BDH("GILD US Equity","TOT_DEBT_TO_TOT_CAP","FQ1 2020","FQ1 2020","Currency=USD","Period=FQ","BEST_FPERIOD_OVERRIDE=FQ","FILING_STATUS=MR","Sort=A","Dates=H","DateFormat=P","Fill=—","Direction=H","UseDPDF=Y")</f>
        <v>52.072299999999998</v>
      </c>
      <c r="I17" s="14">
        <f>_xll.BDH("GILD US Equity","TOT_DEBT_TO_TOT_CAP","FQ2 2020","FQ2 2020","Currency=USD","Period=FQ","BEST_FPERIOD_OVERRIDE=FQ","FILING_STATUS=MR","Sort=A","Dates=H","DateFormat=P","Fill=—","Direction=H","UseDPDF=Y")</f>
        <v>57.054299999999998</v>
      </c>
      <c r="J17" s="14">
        <f>_xll.BDH("GILD US Equity","TOT_DEBT_TO_TOT_CAP","FQ3 2020","FQ3 2020","Currency=USD","Period=FQ","BEST_FPERIOD_OVERRIDE=FQ","FILING_STATUS=MR","Sort=A","Dates=H","DateFormat=P","Fill=—","Direction=H","UseDPDF=Y")</f>
        <v>62.637700000000002</v>
      </c>
      <c r="K17" s="14">
        <f>_xll.BDH("GILD US Equity","TOT_DEBT_TO_TOT_CAP","FQ4 2020","FQ4 2020","Currency=USD","Period=FQ","BEST_FPERIOD_OVERRIDE=FQ","FILING_STATUS=MR","Sort=A","Dates=H","DateFormat=P","Fill=—","Direction=H","UseDPDF=Y")</f>
        <v>63.802700000000002</v>
      </c>
      <c r="L17" s="14">
        <f>_xll.BDH("GILD US Equity","TOT_DEBT_TO_TOT_CAP","FQ1 2021","FQ1 2021","Currency=USD","Period=FQ","BEST_FPERIOD_OVERRIDE=FQ","FILING_STATUS=MR","Sort=A","Dates=H","DateFormat=P","Fill=—","Direction=H","UseDPDF=Y")</f>
        <v>61.400399999999998</v>
      </c>
      <c r="M17" s="14">
        <f>_xll.BDH("GILD US Equity","TOT_DEBT_TO_TOT_CAP","FQ2 2021","FQ2 2021","Currency=USD","Period=FQ","BEST_FPERIOD_OVERRIDE=FQ","FILING_STATUS=MR","Sort=A","Dates=H","DateFormat=P","Fill=—","Direction=H","UseDPDF=Y")</f>
        <v>60.489100000000001</v>
      </c>
      <c r="N17" s="14">
        <f>_xll.BDH("GILD US Equity","TOT_DEBT_TO_TOT_CAP","FQ3 2021","FQ3 2021","Currency=USD","Period=FQ","BEST_FPERIOD_OVERRIDE=FQ","FILING_STATUS=MR","Sort=A","Dates=H","DateFormat=P","Fill=—","Direction=H","UseDPDF=Y")</f>
        <v>56.321599999999997</v>
      </c>
      <c r="O17" s="14">
        <f>_xll.BDH("GILD US Equity","TOT_DEBT_TO_TOT_CAP","FQ4 2021","FQ4 2021","Currency=USD","Period=FQ","BEST_FPERIOD_OVERRIDE=FQ","FILING_STATUS=MR","Sort=A","Dates=H","DateFormat=P","Fill=—","Direction=H","UseDPDF=Y")</f>
        <v>56.433399999999999</v>
      </c>
      <c r="P17" s="14">
        <f>_xll.BDH("GILD US Equity","TOT_DEBT_TO_TOT_CAP","FQ1 2022","FQ1 2022","Currency=USD","Period=FQ","BEST_FPERIOD_OVERRIDE=FQ","FILING_STATUS=MR","Sort=A","Dates=H","DateFormat=P","Fill=—","Direction=H","UseDPDF=Y")</f>
        <v>56.822000000000003</v>
      </c>
      <c r="Q17" s="14">
        <f>_xll.BDH("GILD US Equity","TOT_DEBT_TO_TOT_CAP","FQ2 2022","FQ2 2022","Currency=USD","Period=FQ","BEST_FPERIOD_OVERRIDE=FQ","FILING_STATUS=MR","Sort=A","Dates=H","DateFormat=P","Fill=—","Direction=H","UseDPDF=Y")</f>
        <v>56.462299999999999</v>
      </c>
      <c r="R17" s="14">
        <f>_xll.BDH("GILD US Equity","TOT_DEBT_TO_TOT_CAP","FQ3 2022","FQ3 2022","Currency=USD","Period=FQ","BEST_FPERIOD_OVERRIDE=FQ","FILING_STATUS=MR","Sort=A","Dates=H","DateFormat=P","Fill=—","Direction=H","UseDPDF=Y")</f>
        <v>54.500900000000001</v>
      </c>
      <c r="S17" s="14">
        <f>_xll.BDH("GILD US Equity","TOT_DEBT_TO_TOT_CAP","FQ4 2022","FQ4 2022","Currency=USD","Period=FQ","BEST_FPERIOD_OVERRIDE=FQ","FILING_STATUS=MR","Sort=A","Dates=H","DateFormat=P","Fill=—","Direction=H","UseDPDF=Y")</f>
        <v>54.890799999999999</v>
      </c>
      <c r="T17" s="14">
        <f>_xll.BDH("GILD US Equity","TOT_DEBT_TO_TOT_CAP","FQ1 2023","FQ1 2023","Currency=USD","Period=FQ","BEST_FPERIOD_OVERRIDE=FQ","FILING_STATUS=MR","Sort=A","Dates=H","DateFormat=P","Fill=—","Direction=H","UseDPDF=Y")</f>
        <v>54.655900000000003</v>
      </c>
      <c r="U17" s="14">
        <f>_xll.BDH("GILD US Equity","TOT_DEBT_TO_TOT_CAP","FQ2 2023","FQ2 2023","Currency=USD","Period=FQ","BEST_FPERIOD_OVERRIDE=FQ","FILING_STATUS=MR","Sort=A","Dates=H","DateFormat=P","Fill=—","Direction=H","UseDPDF=Y")</f>
        <v>54.479900000000001</v>
      </c>
      <c r="V17" s="14">
        <f>_xll.BDH("GILD US Equity","TOT_DEBT_TO_TOT_CAP","FQ3 2023","FQ3 2023","Currency=USD","Period=FQ","BEST_FPERIOD_OVERRIDE=FQ","FILING_STATUS=MR","Sort=A","Dates=H","DateFormat=P","Fill=—","Direction=H","UseDPDF=Y")</f>
        <v>52.899900000000002</v>
      </c>
      <c r="W17" s="14">
        <f>_xll.BDH("GILD US Equity","TOT_DEBT_TO_TOT_CAP","FQ4 2023","FQ4 2023","Currency=USD","Period=FQ","BEST_FPERIOD_OVERRIDE=FQ","FILING_STATUS=MR","Sort=A","Dates=H","DateFormat=P","Fill=—","Direction=H","UseDPDF=Y")</f>
        <v>53.0047</v>
      </c>
      <c r="X17" s="14">
        <f>_xll.BDH("GILD US Equity","TOT_DEBT_TO_TOT_CAP","FQ1 2024","FQ1 2024","Currency=USD","Period=FQ","BEST_FPERIOD_OVERRIDE=FQ","FILING_STATUS=MR","Sort=A","Dates=H","DateFormat=P","Fill=—","Direction=H","UseDPDF=Y")</f>
        <v>59.072899999999997</v>
      </c>
      <c r="Y17" s="14">
        <f>_xll.BDH("GILD US Equity","TOT_DEBT_TO_TOT_CAP","FQ2 2024","FQ2 2024","Currency=USD","Period=FQ","BEST_FPERIOD_OVERRIDE=FQ","FILING_STATUS=MR","Sort=A","Dates=H","DateFormat=P","Fill=—","Direction=H","UseDPDF=Y")</f>
        <v>56.2014</v>
      </c>
      <c r="Z17" s="14">
        <f>_xll.BDH("GILD US Equity","TOT_DEBT_TO_TOT_CAP","FQ3 2024","FQ3 2024","Currency=USD","Period=FQ","BEST_FPERIOD_OVERRIDE=FQ","FILING_STATUS=MR","Sort=A","Dates=H","DateFormat=P","Fill=—","Direction=H","UseDPDF=Y")</f>
        <v>55.834699999999998</v>
      </c>
      <c r="AA17" s="14">
        <f>_xll.BDH("GILD US Equity","TOT_DEBT_TO_TOT_CAP","FQ4 2024","FQ4 2024","Currency=USD","Period=FQ","BEST_FPERIOD_OVERRIDE=FQ","FILING_STATUS=MR","Sort=A","Dates=H","DateFormat=P","Fill=—","Direction=H","UseDPDF=Y")</f>
        <v>58.671199999999999</v>
      </c>
    </row>
    <row r="18" spans="1:27" x14ac:dyDescent="0.25">
      <c r="A18" s="10" t="s">
        <v>1636</v>
      </c>
      <c r="B18" s="10" t="s">
        <v>1637</v>
      </c>
      <c r="C18" s="14">
        <f>_xll.BDH("GILD US Equity","TOT_DEBT_TO_TOT_ASSET","FQ4 2018","FQ4 2018","Currency=USD","Period=FQ","BEST_FPERIOD_OVERRIDE=FQ","FILING_STATUS=MR","Sort=A","Dates=H","DateFormat=P","Fill=—","Direction=H","UseDPDF=Y")</f>
        <v>42.908499999999997</v>
      </c>
      <c r="D18" s="14">
        <f>_xll.BDH("GILD US Equity","TOT_DEBT_TO_TOT_ASSET","FQ1 2019","FQ1 2019","Currency=USD","Period=FQ","BEST_FPERIOD_OVERRIDE=FQ","FILING_STATUS=MR","Sort=A","Dates=H","DateFormat=P","Fill=—","Direction=H","UseDPDF=Y")</f>
        <v>43.098799999999997</v>
      </c>
      <c r="E18" s="14">
        <f>_xll.BDH("GILD US Equity","TOT_DEBT_TO_TOT_ASSET","FQ2 2019","FQ2 2019","Currency=USD","Period=FQ","BEST_FPERIOD_OVERRIDE=FQ","FILING_STATUS=MR","Sort=A","Dates=H","DateFormat=P","Fill=—","Direction=H","UseDPDF=Y")</f>
        <v>42.140500000000003</v>
      </c>
      <c r="F18" s="14">
        <f>_xll.BDH("GILD US Equity","TOT_DEBT_TO_TOT_ASSET","FQ3 2019","FQ3 2019","Currency=USD","Period=FQ","BEST_FPERIOD_OVERRIDE=FQ","FILING_STATUS=MR","Sort=A","Dates=H","DateFormat=P","Fill=—","Direction=H","UseDPDF=Y")</f>
        <v>42.775500000000001</v>
      </c>
      <c r="G18" s="14">
        <f>_xll.BDH("GILD US Equity","TOT_DEBT_TO_TOT_ASSET","FQ4 2019","FQ4 2019","Currency=USD","Period=FQ","BEST_FPERIOD_OVERRIDE=FQ","FILING_STATUS=MR","Sort=A","Dates=H","DateFormat=P","Fill=—","Direction=H","UseDPDF=Y")</f>
        <v>41.082599999999999</v>
      </c>
      <c r="H18" s="14">
        <f>_xll.BDH("GILD US Equity","TOT_DEBT_TO_TOT_ASSET","FQ1 2020","FQ1 2020","Currency=USD","Period=FQ","BEST_FPERIOD_OVERRIDE=FQ","FILING_STATUS=MR","Sort=A","Dates=H","DateFormat=P","Fill=—","Direction=H","UseDPDF=Y")</f>
        <v>40.335799999999999</v>
      </c>
      <c r="I18" s="14">
        <f>_xll.BDH("GILD US Equity","TOT_DEBT_TO_TOT_ASSET","FQ2 2020","FQ2 2020","Currency=USD","Period=FQ","BEST_FPERIOD_OVERRIDE=FQ","FILING_STATUS=MR","Sort=A","Dates=H","DateFormat=P","Fill=—","Direction=H","UseDPDF=Y")</f>
        <v>43.0901</v>
      </c>
      <c r="J18" s="14">
        <f>_xll.BDH("GILD US Equity","TOT_DEBT_TO_TOT_ASSET","FQ3 2020","FQ3 2020","Currency=USD","Period=FQ","BEST_FPERIOD_OVERRIDE=FQ","FILING_STATUS=MR","Sort=A","Dates=H","DateFormat=P","Fill=—","Direction=H","UseDPDF=Y")</f>
        <v>48.1126</v>
      </c>
      <c r="K18" s="14">
        <f>_xll.BDH("GILD US Equity","TOT_DEBT_TO_TOT_ASSET","FQ4 2020","FQ4 2020","Currency=USD","Period=FQ","BEST_FPERIOD_OVERRIDE=FQ","FILING_STATUS=MR","Sort=A","Dates=H","DateFormat=P","Fill=—","Direction=H","UseDPDF=Y")</f>
        <v>46.9499</v>
      </c>
      <c r="L18" s="14">
        <f>_xll.BDH("GILD US Equity","TOT_DEBT_TO_TOT_ASSET","FQ1 2021","FQ1 2021","Currency=USD","Period=FQ","BEST_FPERIOD_OVERRIDE=FQ","FILING_STATUS=MR","Sort=A","Dates=H","DateFormat=P","Fill=—","Direction=H","UseDPDF=Y")</f>
        <v>44.695700000000002</v>
      </c>
      <c r="M18" s="14">
        <f>_xll.BDH("GILD US Equity","TOT_DEBT_TO_TOT_ASSET","FQ2 2021","FQ2 2021","Currency=USD","Period=FQ","BEST_FPERIOD_OVERRIDE=FQ","FILING_STATUS=MR","Sort=A","Dates=H","DateFormat=P","Fill=—","Direction=H","UseDPDF=Y")</f>
        <v>44.385399999999997</v>
      </c>
      <c r="N18" s="14">
        <f>_xll.BDH("GILD US Equity","TOT_DEBT_TO_TOT_ASSET","FQ3 2021","FQ3 2021","Currency=USD","Period=FQ","BEST_FPERIOD_OVERRIDE=FQ","FILING_STATUS=MR","Sort=A","Dates=H","DateFormat=P","Fill=—","Direction=H","UseDPDF=Y")</f>
        <v>41.262</v>
      </c>
      <c r="O18" s="14">
        <f>_xll.BDH("GILD US Equity","TOT_DEBT_TO_TOT_ASSET","FQ4 2021","FQ4 2021","Currency=USD","Period=FQ","BEST_FPERIOD_OVERRIDE=FQ","FILING_STATUS=MR","Sort=A","Dates=H","DateFormat=P","Fill=—","Direction=H","UseDPDF=Y")</f>
        <v>40.153300000000002</v>
      </c>
      <c r="P18" s="14">
        <f>_xll.BDH("GILD US Equity","TOT_DEBT_TO_TOT_ASSET","FQ1 2022","FQ1 2022","Currency=USD","Period=FQ","BEST_FPERIOD_OVERRIDE=FQ","FILING_STATUS=MR","Sort=A","Dates=H","DateFormat=P","Fill=—","Direction=H","UseDPDF=Y")</f>
        <v>41.547199999999997</v>
      </c>
      <c r="Q18" s="14">
        <f>_xll.BDH("GILD US Equity","TOT_DEBT_TO_TOT_ASSET","FQ2 2022","FQ2 2022","Currency=USD","Period=FQ","BEST_FPERIOD_OVERRIDE=FQ","FILING_STATUS=MR","Sort=A","Dates=H","DateFormat=P","Fill=—","Direction=H","UseDPDF=Y")</f>
        <v>41.698700000000002</v>
      </c>
      <c r="R18" s="14">
        <f>_xll.BDH("GILD US Equity","TOT_DEBT_TO_TOT_ASSET","FQ3 2022","FQ3 2022","Currency=USD","Period=FQ","BEST_FPERIOD_OVERRIDE=FQ","FILING_STATUS=MR","Sort=A","Dates=H","DateFormat=P","Fill=—","Direction=H","UseDPDF=Y")</f>
        <v>40.32</v>
      </c>
      <c r="S18" s="14">
        <f>_xll.BDH("GILD US Equity","TOT_DEBT_TO_TOT_ASSET","FQ4 2022","FQ4 2022","Currency=USD","Period=FQ","BEST_FPERIOD_OVERRIDE=FQ","FILING_STATUS=MR","Sort=A","Dates=H","DateFormat=P","Fill=—","Direction=H","UseDPDF=Y")</f>
        <v>40.854199999999999</v>
      </c>
      <c r="T18" s="14">
        <f>_xll.BDH("GILD US Equity","TOT_DEBT_TO_TOT_ASSET","FQ1 2023","FQ1 2023","Currency=USD","Period=FQ","BEST_FPERIOD_OVERRIDE=FQ","FILING_STATUS=MR","Sort=A","Dates=H","DateFormat=P","Fill=—","Direction=H","UseDPDF=Y")</f>
        <v>40.7896</v>
      </c>
      <c r="U18" s="14">
        <f>_xll.BDH("GILD US Equity","TOT_DEBT_TO_TOT_ASSET","FQ2 2023","FQ2 2023","Currency=USD","Period=FQ","BEST_FPERIOD_OVERRIDE=FQ","FILING_STATUS=MR","Sort=A","Dates=H","DateFormat=P","Fill=—","Direction=H","UseDPDF=Y")</f>
        <v>40.499200000000002</v>
      </c>
      <c r="V18" s="14">
        <f>_xll.BDH("GILD US Equity","TOT_DEBT_TO_TOT_ASSET","FQ3 2023","FQ3 2023","Currency=USD","Period=FQ","BEST_FPERIOD_OVERRIDE=FQ","FILING_STATUS=MR","Sort=A","Dates=H","DateFormat=P","Fill=—","Direction=H","UseDPDF=Y")</f>
        <v>40.052599999999998</v>
      </c>
      <c r="W18" s="14">
        <f>_xll.BDH("GILD US Equity","TOT_DEBT_TO_TOT_ASSET","FQ4 2023","FQ4 2023","Currency=USD","Period=FQ","BEST_FPERIOD_OVERRIDE=FQ","FILING_STATUS=MR","Sort=A","Dates=H","DateFormat=P","Fill=—","Direction=H","UseDPDF=Y")</f>
        <v>41.300600000000003</v>
      </c>
      <c r="X18" s="14">
        <f>_xll.BDH("GILD US Equity","TOT_DEBT_TO_TOT_ASSET","FQ1 2024","FQ1 2024","Currency=USD","Period=FQ","BEST_FPERIOD_OVERRIDE=FQ","FILING_STATUS=MR","Sort=A","Dates=H","DateFormat=P","Fill=—","Direction=H","UseDPDF=Y")</f>
        <v>44.755899999999997</v>
      </c>
      <c r="Y18" s="14">
        <f>_xll.BDH("GILD US Equity","TOT_DEBT_TO_TOT_ASSET","FQ2 2024","FQ2 2024","Currency=USD","Period=FQ","BEST_FPERIOD_OVERRIDE=FQ","FILING_STATUS=MR","Sort=A","Dates=H","DateFormat=P","Fill=—","Direction=H","UseDPDF=Y")</f>
        <v>43.580500000000001</v>
      </c>
      <c r="Z18" s="14">
        <f>_xll.BDH("GILD US Equity","TOT_DEBT_TO_TOT_ASSET","FQ3 2024","FQ3 2024","Currency=USD","Period=FQ","BEST_FPERIOD_OVERRIDE=FQ","FILING_STATUS=MR","Sort=A","Dates=H","DateFormat=P","Fill=—","Direction=H","UseDPDF=Y")</f>
        <v>42.639200000000002</v>
      </c>
      <c r="AA18" s="14">
        <f>_xll.BDH("GILD US Equity","TOT_DEBT_TO_TOT_ASSET","FQ4 2024","FQ4 2024","Currency=USD","Period=FQ","BEST_FPERIOD_OVERRIDE=FQ","FILING_STATUS=MR","Sort=A","Dates=H","DateFormat=P","Fill=—","Direction=H","UseDPDF=Y")</f>
        <v>46.312399999999997</v>
      </c>
    </row>
    <row r="19" spans="1:27" x14ac:dyDescent="0.25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5">
      <c r="A20" s="10" t="s">
        <v>1672</v>
      </c>
      <c r="B20" s="10" t="s">
        <v>1673</v>
      </c>
      <c r="C20" s="14">
        <f>_xll.BDH("GILD US Equity","CASH_FLOW_TO_TOT_LIAB","FQ4 2018","FQ4 2018","Currency=USD","Period=FQ","BEST_FPERIOD_OVERRIDE=FQ","FILING_STATUS=MR","Sort=A","Dates=H","DateFormat=P","Fill=—","Direction=H","UseDPDF=Y")</f>
        <v>19.9331</v>
      </c>
      <c r="D20" s="14">
        <f>_xll.BDH("GILD US Equity","CASH_FLOW_TO_TOT_LIAB","FQ1 2019","FQ1 2019","Currency=USD","Period=FQ","BEST_FPERIOD_OVERRIDE=FQ","FILING_STATUS=MR","Sort=A","Dates=H","DateFormat=P","Fill=—","Direction=H","UseDPDF=Y")</f>
        <v>18.5883</v>
      </c>
      <c r="E20" s="14">
        <f>_xll.BDH("GILD US Equity","CASH_FLOW_TO_TOT_LIAB","FQ2 2019","FQ2 2019","Currency=USD","Period=FQ","BEST_FPERIOD_OVERRIDE=FQ","FILING_STATUS=MR","Sort=A","Dates=H","DateFormat=P","Fill=—","Direction=H","UseDPDF=Y")</f>
        <v>20.620899999999999</v>
      </c>
      <c r="F20" s="14">
        <f>_xll.BDH("GILD US Equity","CASH_FLOW_TO_TOT_LIAB","FQ3 2019","FQ3 2019","Currency=USD","Period=FQ","BEST_FPERIOD_OVERRIDE=FQ","FILING_STATUS=MR","Sort=A","Dates=H","DateFormat=P","Fill=—","Direction=H","UseDPDF=Y")</f>
        <v>23.509499999999999</v>
      </c>
      <c r="G20" s="14">
        <f>_xll.BDH("GILD US Equity","CASH_FLOW_TO_TOT_LIAB","FQ4 2019","FQ4 2019","Currency=USD","Period=FQ","BEST_FPERIOD_OVERRIDE=FQ","FILING_STATUS=MR","Sort=A","Dates=H","DateFormat=P","Fill=—","Direction=H","UseDPDF=Y")</f>
        <v>23.770399999999999</v>
      </c>
      <c r="H20" s="14">
        <f>_xll.BDH("GILD US Equity","CASH_FLOW_TO_TOT_LIAB","FQ1 2020","FQ1 2020","Currency=USD","Period=FQ","BEST_FPERIOD_OVERRIDE=FQ","FILING_STATUS=MR","Sort=A","Dates=H","DateFormat=P","Fill=—","Direction=H","UseDPDF=Y")</f>
        <v>24.644600000000001</v>
      </c>
      <c r="I20" s="14">
        <f>_xll.BDH("GILD US Equity","CASH_FLOW_TO_TOT_LIAB","FQ2 2020","FQ2 2020","Currency=USD","Period=FQ","BEST_FPERIOD_OVERRIDE=FQ","FILING_STATUS=MR","Sort=A","Dates=H","DateFormat=P","Fill=—","Direction=H","UseDPDF=Y")</f>
        <v>25.087299999999999</v>
      </c>
      <c r="J20" s="14">
        <f>_xll.BDH("GILD US Equity","CASH_FLOW_TO_TOT_LIAB","FQ3 2020","FQ3 2020","Currency=USD","Period=FQ","BEST_FPERIOD_OVERRIDE=FQ","FILING_STATUS=MR","Sort=A","Dates=H","DateFormat=P","Fill=—","Direction=H","UseDPDF=Y")</f>
        <v>20.346900000000002</v>
      </c>
      <c r="K20" s="14">
        <f>_xll.BDH("GILD US Equity","CASH_FLOW_TO_TOT_LIAB","FQ4 2020","FQ4 2020","Currency=USD","Period=FQ","BEST_FPERIOD_OVERRIDE=FQ","FILING_STATUS=MR","Sort=A","Dates=H","DateFormat=P","Fill=—","Direction=H","UseDPDF=Y")</f>
        <v>16.275500000000001</v>
      </c>
      <c r="L20" s="14">
        <f>_xll.BDH("GILD US Equity","CASH_FLOW_TO_TOT_LIAB","FQ1 2021","FQ1 2021","Currency=USD","Period=FQ","BEST_FPERIOD_OVERRIDE=FQ","FILING_STATUS=MR","Sort=A","Dates=H","DateFormat=P","Fill=—","Direction=H","UseDPDF=Y")</f>
        <v>19.250699999999998</v>
      </c>
      <c r="M20" s="14">
        <f>_xll.BDH("GILD US Equity","CASH_FLOW_TO_TOT_LIAB","FQ2 2021","FQ2 2021","Currency=USD","Period=FQ","BEST_FPERIOD_OVERRIDE=FQ","FILING_STATUS=MR","Sort=A","Dates=H","DateFormat=P","Fill=—","Direction=H","UseDPDF=Y")</f>
        <v>18.834199999999999</v>
      </c>
      <c r="N20" s="14">
        <f>_xll.BDH("GILD US Equity","CASH_FLOW_TO_TOT_LIAB","FQ3 2021","FQ3 2021","Currency=USD","Period=FQ","BEST_FPERIOD_OVERRIDE=FQ","FILING_STATUS=MR","Sort=A","Dates=H","DateFormat=P","Fill=—","Direction=H","UseDPDF=Y")</f>
        <v>22.1251</v>
      </c>
      <c r="O20" s="14">
        <f>_xll.BDH("GILD US Equity","CASH_FLOW_TO_TOT_LIAB","FQ4 2021","FQ4 2021","Currency=USD","Period=FQ","BEST_FPERIOD_OVERRIDE=FQ","FILING_STATUS=MR","Sort=A","Dates=H","DateFormat=P","Fill=—","Direction=H","UseDPDF=Y")</f>
        <v>24.2791</v>
      </c>
      <c r="P20" s="14">
        <f>_xll.BDH("GILD US Equity","CASH_FLOW_TO_TOT_LIAB","FQ1 2022","FQ1 2022","Currency=USD","Period=FQ","BEST_FPERIOD_OVERRIDE=FQ","FILING_STATUS=MR","Sort=A","Dates=H","DateFormat=P","Fill=—","Direction=H","UseDPDF=Y")</f>
        <v>24.589400000000001</v>
      </c>
      <c r="Q20" s="14">
        <f>_xll.BDH("GILD US Equity","CASH_FLOW_TO_TOT_LIAB","FQ2 2022","FQ2 2022","Currency=USD","Period=FQ","BEST_FPERIOD_OVERRIDE=FQ","FILING_STATUS=MR","Sort=A","Dates=H","DateFormat=P","Fill=—","Direction=H","UseDPDF=Y")</f>
        <v>23.6783</v>
      </c>
      <c r="R20" s="14">
        <f>_xll.BDH("GILD US Equity","CASH_FLOW_TO_TOT_LIAB","FQ3 2022","FQ3 2022","Currency=USD","Period=FQ","BEST_FPERIOD_OVERRIDE=FQ","FILING_STATUS=MR","Sort=A","Dates=H","DateFormat=P","Fill=—","Direction=H","UseDPDF=Y")</f>
        <v>23.397600000000001</v>
      </c>
      <c r="S20" s="14">
        <f>_xll.BDH("GILD US Equity","CASH_FLOW_TO_TOT_LIAB","FQ4 2022","FQ4 2022","Currency=USD","Period=FQ","BEST_FPERIOD_OVERRIDE=FQ","FILING_STATUS=MR","Sort=A","Dates=H","DateFormat=P","Fill=—","Direction=H","UseDPDF=Y")</f>
        <v>21.619599999999998</v>
      </c>
      <c r="T20" s="14">
        <f>_xll.BDH("GILD US Equity","CASH_FLOW_TO_TOT_LIAB","FQ1 2023","FQ1 2023","Currency=USD","Period=FQ","BEST_FPERIOD_OVERRIDE=FQ","FILING_STATUS=MR","Sort=A","Dates=H","DateFormat=P","Fill=—","Direction=H","UseDPDF=Y")</f>
        <v>21.926400000000001</v>
      </c>
      <c r="U20" s="14">
        <f>_xll.BDH("GILD US Equity","CASH_FLOW_TO_TOT_LIAB","FQ2 2023","FQ2 2023","Currency=USD","Period=FQ","BEST_FPERIOD_OVERRIDE=FQ","FILING_STATUS=MR","Sort=A","Dates=H","DateFormat=P","Fill=—","Direction=H","UseDPDF=Y")</f>
        <v>23.063300000000002</v>
      </c>
      <c r="V20" s="14">
        <f>_xll.BDH("GILD US Equity","CASH_FLOW_TO_TOT_LIAB","FQ3 2023","FQ3 2023","Currency=USD","Period=FQ","BEST_FPERIOD_OVERRIDE=FQ","FILING_STATUS=MR","Sort=A","Dates=H","DateFormat=P","Fill=—","Direction=H","UseDPDF=Y")</f>
        <v>20.9419</v>
      </c>
      <c r="W20" s="14">
        <f>_xll.BDH("GILD US Equity","CASH_FLOW_TO_TOT_LIAB","FQ4 2023","FQ4 2023","Currency=USD","Period=FQ","BEST_FPERIOD_OVERRIDE=FQ","FILING_STATUS=MR","Sort=A","Dates=H","DateFormat=P","Fill=—","Direction=H","UseDPDF=Y")</f>
        <v>20.3322</v>
      </c>
      <c r="X20" s="14">
        <f>_xll.BDH("GILD US Equity","CASH_FLOW_TO_TOT_LIAB","FQ1 2024","FQ1 2024","Currency=USD","Period=FQ","BEST_FPERIOD_OVERRIDE=FQ","FILING_STATUS=MR","Sort=A","Dates=H","DateFormat=P","Fill=—","Direction=H","UseDPDF=Y")</f>
        <v>21.837399999999999</v>
      </c>
      <c r="Y20" s="14">
        <f>_xll.BDH("GILD US Equity","CASH_FLOW_TO_TOT_LIAB","FQ2 2024","FQ2 2024","Currency=USD","Period=FQ","BEST_FPERIOD_OVERRIDE=FQ","FILING_STATUS=MR","Sort=A","Dates=H","DateFormat=P","Fill=—","Direction=H","UseDPDF=Y")</f>
        <v>21.1068</v>
      </c>
      <c r="Z20" s="14">
        <f>_xll.BDH("GILD US Equity","CASH_FLOW_TO_TOT_LIAB","FQ3 2024","FQ3 2024","Currency=USD","Period=FQ","BEST_FPERIOD_OVERRIDE=FQ","FILING_STATUS=MR","Sort=A","Dates=H","DateFormat=P","Fill=—","Direction=H","UseDPDF=Y")</f>
        <v>27.7349</v>
      </c>
      <c r="AA20" s="14">
        <f>_xll.BDH("GILD US Equity","CASH_FLOW_TO_TOT_LIAB","FQ4 2024","FQ4 2024","Currency=USD","Period=FQ","BEST_FPERIOD_OVERRIDE=FQ","FILING_STATUS=MR","Sort=A","Dates=H","DateFormat=P","Fill=—","Direction=H","UseDPDF=Y")</f>
        <v>27.2409</v>
      </c>
    </row>
    <row r="21" spans="1:27" x14ac:dyDescent="0.25">
      <c r="A21" s="10" t="s">
        <v>1674</v>
      </c>
      <c r="B21" s="10" t="s">
        <v>1675</v>
      </c>
      <c r="C21" s="14">
        <f>_xll.BDH("GILD US Equity","CAP_EXPEND_RATIO","FQ4 2018","FQ4 2018","Currency=USD","Period=FQ","BEST_FPERIOD_OVERRIDE=FQ","FILING_STATUS=MR","Sort=A","Dates=H","DateFormat=P","Fill=—","Direction=H","UseDPDF=Y")</f>
        <v>9.4556000000000004</v>
      </c>
      <c r="D21" s="14">
        <f>_xll.BDH("GILD US Equity","CAP_EXPEND_RATIO","FQ1 2019","FQ1 2019","Currency=USD","Period=FQ","BEST_FPERIOD_OVERRIDE=FQ","FILING_STATUS=MR","Sort=A","Dates=H","DateFormat=P","Fill=—","Direction=H","UseDPDF=Y")</f>
        <v>6.0928000000000004</v>
      </c>
      <c r="E21" s="14">
        <f>_xll.BDH("GILD US Equity","CAP_EXPEND_RATIO","FQ2 2019","FQ2 2019","Currency=USD","Period=FQ","BEST_FPERIOD_OVERRIDE=FQ","FILING_STATUS=MR","Sort=A","Dates=H","DateFormat=P","Fill=—","Direction=H","UseDPDF=Y")</f>
        <v>12.6595</v>
      </c>
      <c r="F21" s="14">
        <f>_xll.BDH("GILD US Equity","CAP_EXPEND_RATIO","FQ3 2019","FQ3 2019","Currency=USD","Period=FQ","BEST_FPERIOD_OVERRIDE=FQ","FILING_STATUS=MR","Sort=A","Dates=H","DateFormat=P","Fill=—","Direction=H","UseDPDF=Y")</f>
        <v>14.494999999999999</v>
      </c>
      <c r="G21" s="14">
        <f>_xll.BDH("GILD US Equity","CAP_EXPEND_RATIO","FQ4 2019","FQ4 2019","Currency=USD","Period=FQ","BEST_FPERIOD_OVERRIDE=FQ","FILING_STATUS=MR","Sort=A","Dates=H","DateFormat=P","Fill=—","Direction=H","UseDPDF=Y")</f>
        <v>12.7094</v>
      </c>
      <c r="H21" s="14">
        <f>_xll.BDH("GILD US Equity","CAP_EXPEND_RATIO","FQ1 2020","FQ1 2020","Currency=USD","Period=FQ","BEST_FPERIOD_OVERRIDE=FQ","FILING_STATUS=MR","Sort=A","Dates=H","DateFormat=P","Fill=—","Direction=H","UseDPDF=Y")</f>
        <v>8.3977000000000004</v>
      </c>
      <c r="I21" s="14">
        <f>_xll.BDH("GILD US Equity","CAP_EXPEND_RATIO","FQ2 2020","FQ2 2020","Currency=USD","Period=FQ","BEST_FPERIOD_OVERRIDE=FQ","FILING_STATUS=MR","Sort=A","Dates=H","DateFormat=P","Fill=—","Direction=H","UseDPDF=Y")</f>
        <v>17.944099999999999</v>
      </c>
      <c r="J21" s="14">
        <f>_xll.BDH("GILD US Equity","CAP_EXPEND_RATIO","FQ3 2020","FQ3 2020","Currency=USD","Period=FQ","BEST_FPERIOD_OVERRIDE=FQ","FILING_STATUS=MR","Sort=A","Dates=H","DateFormat=P","Fill=—","Direction=H","UseDPDF=Y")</f>
        <v>14.5161</v>
      </c>
      <c r="K21" s="14">
        <f>_xll.BDH("GILD US Equity","CAP_EXPEND_RATIO","FQ4 2020","FQ4 2020","Currency=USD","Period=FQ","BEST_FPERIOD_OVERRIDE=FQ","FILING_STATUS=MR","Sort=A","Dates=H","DateFormat=P","Fill=—","Direction=H","UseDPDF=Y")</f>
        <v>10.585599999999999</v>
      </c>
      <c r="L21" s="14">
        <f>_xll.BDH("GILD US Equity","CAP_EXPEND_RATIO","FQ1 2021","FQ1 2021","Currency=USD","Period=FQ","BEST_FPERIOD_OVERRIDE=FQ","FILING_STATUS=MR","Sort=A","Dates=H","DateFormat=P","Fill=—","Direction=H","UseDPDF=Y")</f>
        <v>15.818199999999999</v>
      </c>
      <c r="M21" s="14">
        <f>_xll.BDH("GILD US Equity","CAP_EXPEND_RATIO","FQ2 2021","FQ2 2021","Currency=USD","Period=FQ","BEST_FPERIOD_OVERRIDE=FQ","FILING_STATUS=MR","Sort=A","Dates=H","DateFormat=P","Fill=—","Direction=H","UseDPDF=Y")</f>
        <v>19.462199999999999</v>
      </c>
      <c r="N21" s="14">
        <f>_xll.BDH("GILD US Equity","CAP_EXPEND_RATIO","FQ3 2021","FQ3 2021","Currency=USD","Period=FQ","BEST_FPERIOD_OVERRIDE=FQ","FILING_STATUS=MR","Sort=A","Dates=H","DateFormat=P","Fill=—","Direction=H","UseDPDF=Y")</f>
        <v>23.402899999999999</v>
      </c>
      <c r="O21" s="14">
        <f>_xll.BDH("GILD US Equity","CAP_EXPEND_RATIO","FQ4 2021","FQ4 2021","Currency=USD","Period=FQ","BEST_FPERIOD_OVERRIDE=FQ","FILING_STATUS=MR","Sort=A","Dates=H","DateFormat=P","Fill=—","Direction=H","UseDPDF=Y")</f>
        <v>20.544899999999998</v>
      </c>
      <c r="P21" s="14">
        <f>_xll.BDH("GILD US Equity","CAP_EXPEND_RATIO","FQ1 2022","FQ1 2022","Currency=USD","Period=FQ","BEST_FPERIOD_OVERRIDE=FQ","FILING_STATUS=MR","Sort=A","Dates=H","DateFormat=P","Fill=—","Direction=H","UseDPDF=Y")</f>
        <v>7.4493999999999998</v>
      </c>
      <c r="Q21" s="14">
        <f>_xll.BDH("GILD US Equity","CAP_EXPEND_RATIO","FQ2 2022","FQ2 2022","Currency=USD","Period=FQ","BEST_FPERIOD_OVERRIDE=FQ","FILING_STATUS=MR","Sort=A","Dates=H","DateFormat=P","Fill=—","Direction=H","UseDPDF=Y")</f>
        <v>12.6014</v>
      </c>
      <c r="R21" s="14">
        <f>_xll.BDH("GILD US Equity","CAP_EXPEND_RATIO","FQ3 2022","FQ3 2022","Currency=USD","Period=FQ","BEST_FPERIOD_OVERRIDE=FQ","FILING_STATUS=MR","Sort=A","Dates=H","DateFormat=P","Fill=—","Direction=H","UseDPDF=Y")</f>
        <v>18.235700000000001</v>
      </c>
      <c r="S21" s="14">
        <f>_xll.BDH("GILD US Equity","CAP_EXPEND_RATIO","FQ4 2022","FQ4 2022","Currency=USD","Period=FQ","BEST_FPERIOD_OVERRIDE=FQ","FILING_STATUS=MR","Sort=A","Dates=H","DateFormat=P","Fill=—","Direction=H","UseDPDF=Y")</f>
        <v>14.1823</v>
      </c>
      <c r="T21" s="14">
        <f>_xll.BDH("GILD US Equity","CAP_EXPEND_RATIO","FQ1 2023","FQ1 2023","Currency=USD","Period=FQ","BEST_FPERIOD_OVERRIDE=FQ","FILING_STATUS=MR","Sort=A","Dates=H","DateFormat=P","Fill=—","Direction=H","UseDPDF=Y")</f>
        <v>16</v>
      </c>
      <c r="U21" s="14">
        <f>_xll.BDH("GILD US Equity","CAP_EXPEND_RATIO","FQ2 2023","FQ2 2023","Currency=USD","Period=FQ","BEST_FPERIOD_OVERRIDE=FQ","FILING_STATUS=MR","Sort=A","Dates=H","DateFormat=P","Fill=—","Direction=H","UseDPDF=Y")</f>
        <v>16.8201</v>
      </c>
      <c r="V21" s="14">
        <f>_xll.BDH("GILD US Equity","CAP_EXPEND_RATIO","FQ3 2023","FQ3 2023","Currency=USD","Period=FQ","BEST_FPERIOD_OVERRIDE=FQ","FILING_STATUS=MR","Sort=A","Dates=H","DateFormat=P","Fill=—","Direction=H","UseDPDF=Y")</f>
        <v>14.385199999999999</v>
      </c>
      <c r="W21" s="14">
        <f>_xll.BDH("GILD US Equity","CAP_EXPEND_RATIO","FQ4 2023","FQ4 2023","Currency=USD","Period=FQ","BEST_FPERIOD_OVERRIDE=FQ","FILING_STATUS=MR","Sort=A","Dates=H","DateFormat=P","Fill=—","Direction=H","UseDPDF=Y")</f>
        <v>10.0884</v>
      </c>
      <c r="X21" s="14">
        <f>_xll.BDH("GILD US Equity","CAP_EXPEND_RATIO","FQ1 2024","FQ1 2024","Currency=USD","Period=FQ","BEST_FPERIOD_OVERRIDE=FQ","FILING_STATUS=MR","Sort=A","Dates=H","DateFormat=P","Fill=—","Direction=H","UseDPDF=Y")</f>
        <v>21.133299999999998</v>
      </c>
      <c r="Y21" s="14">
        <f>_xll.BDH("GILD US Equity","CAP_EXPEND_RATIO","FQ2 2024","FQ2 2024","Currency=USD","Period=FQ","BEST_FPERIOD_OVERRIDE=FQ","FILING_STATUS=MR","Sort=A","Dates=H","DateFormat=P","Fill=—","Direction=H","UseDPDF=Y")</f>
        <v>10.192299999999999</v>
      </c>
      <c r="Z21" s="14">
        <f>_xll.BDH("GILD US Equity","CAP_EXPEND_RATIO","FQ3 2024","FQ3 2024","Currency=USD","Period=FQ","BEST_FPERIOD_OVERRIDE=FQ","FILING_STATUS=MR","Sort=A","Dates=H","DateFormat=P","Fill=—","Direction=H","UseDPDF=Y")</f>
        <v>30.560300000000002</v>
      </c>
      <c r="AA21" s="14">
        <f>_xll.BDH("GILD US Equity","CAP_EXPEND_RATIO","FQ4 2024","FQ4 2024","Currency=USD","Period=FQ","BEST_FPERIOD_OVERRIDE=FQ","FILING_STATUS=MR","Sort=A","Dates=H","DateFormat=P","Fill=—","Direction=H","UseDPDF=Y")</f>
        <v>20.238099999999999</v>
      </c>
    </row>
    <row r="22" spans="1:27" x14ac:dyDescent="0.25">
      <c r="A22" s="10" t="s">
        <v>1676</v>
      </c>
      <c r="B22" s="10" t="s">
        <v>1677</v>
      </c>
      <c r="C22" s="14">
        <f>_xll.BDH("GILD US Equity","ALTMAN_Z_SCORE","FQ4 2018","FQ4 2018","Currency=USD","Period=FQ","BEST_FPERIOD_OVERRIDE=FQ","FILING_STATUS=MR","Sort=A","Dates=H","DateFormat=P","Fill=—","Direction=H","UseDPDF=Y")</f>
        <v>3.5733000000000001</v>
      </c>
      <c r="D22" s="14">
        <f>_xll.BDH("GILD US Equity","ALTMAN_Z_SCORE","FQ1 2019","FQ1 2019","Currency=USD","Period=FQ","BEST_FPERIOD_OVERRIDE=FQ","FILING_STATUS=MR","Sort=A","Dates=H","DateFormat=P","Fill=—","Direction=H","UseDPDF=Y")</f>
        <v>3.6757</v>
      </c>
      <c r="E22" s="14">
        <f>_xll.BDH("GILD US Equity","ALTMAN_Z_SCORE","FQ2 2019","FQ2 2019","Currency=USD","Period=FQ","BEST_FPERIOD_OVERRIDE=FQ","FILING_STATUS=MR","Sort=A","Dates=H","DateFormat=P","Fill=—","Direction=H","UseDPDF=Y")</f>
        <v>3.7242999999999999</v>
      </c>
      <c r="F22" s="14">
        <f>_xll.BDH("GILD US Equity","ALTMAN_Z_SCORE","FQ3 2019","FQ3 2019","Currency=USD","Period=FQ","BEST_FPERIOD_OVERRIDE=FQ","FILING_STATUS=MR","Sort=A","Dates=H","DateFormat=P","Fill=—","Direction=H","UseDPDF=Y")</f>
        <v>3.3426</v>
      </c>
      <c r="G22" s="14">
        <f>_xll.BDH("GILD US Equity","ALTMAN_Z_SCORE","FQ4 2019","FQ4 2019","Currency=USD","Period=FQ","BEST_FPERIOD_OVERRIDE=FQ","FILING_STATUS=MR","Sort=A","Dates=H","DateFormat=P","Fill=—","Direction=H","UseDPDF=Y")</f>
        <v>3.2869000000000002</v>
      </c>
      <c r="H22" s="14">
        <f>_xll.BDH("GILD US Equity","ALTMAN_Z_SCORE","FQ1 2020","FQ1 2020","Currency=USD","Period=FQ","BEST_FPERIOD_OVERRIDE=FQ","FILING_STATUS=MR","Sort=A","Dates=H","DateFormat=P","Fill=—","Direction=H","UseDPDF=Y")</f>
        <v>3.5282</v>
      </c>
      <c r="I22" s="14">
        <f>_xll.BDH("GILD US Equity","ALTMAN_Z_SCORE","FQ2 2020","FQ2 2020","Currency=USD","Period=FQ","BEST_FPERIOD_OVERRIDE=FQ","FILING_STATUS=MR","Sort=A","Dates=H","DateFormat=P","Fill=—","Direction=H","UseDPDF=Y")</f>
        <v>2.9864999999999999</v>
      </c>
      <c r="J22" s="14">
        <f>_xll.BDH("GILD US Equity","ALTMAN_Z_SCORE","FQ3 2020","FQ3 2020","Currency=USD","Period=FQ","BEST_FPERIOD_OVERRIDE=FQ","FILING_STATUS=MR","Sort=A","Dates=H","DateFormat=P","Fill=—","Direction=H","UseDPDF=Y")</f>
        <v>2.8370000000000002</v>
      </c>
      <c r="K22" s="14">
        <f>_xll.BDH("GILD US Equity","ALTMAN_Z_SCORE","FQ4 2020","FQ4 2020","Currency=USD","Period=FQ","BEST_FPERIOD_OVERRIDE=FQ","FILING_STATUS=MR","Sort=A","Dates=H","DateFormat=P","Fill=—","Direction=H","UseDPDF=Y")</f>
        <v>3.2201</v>
      </c>
      <c r="L22" s="14">
        <f>_xll.BDH("GILD US Equity","ALTMAN_Z_SCORE","FQ1 2021","FQ1 2021","Currency=USD","Period=FQ","BEST_FPERIOD_OVERRIDE=FQ","FILING_STATUS=MR","Sort=A","Dates=H","DateFormat=P","Fill=—","Direction=H","UseDPDF=Y")</f>
        <v>3.6970999999999998</v>
      </c>
      <c r="M22" s="14">
        <f>_xll.BDH("GILD US Equity","ALTMAN_Z_SCORE","FQ2 2021","FQ2 2021","Currency=USD","Period=FQ","BEST_FPERIOD_OVERRIDE=FQ","FILING_STATUS=MR","Sort=A","Dates=H","DateFormat=P","Fill=—","Direction=H","UseDPDF=Y")</f>
        <v>4.4295</v>
      </c>
      <c r="N22" s="14">
        <f>_xll.BDH("GILD US Equity","ALTMAN_Z_SCORE","FQ3 2021","FQ3 2021","Currency=USD","Period=FQ","BEST_FPERIOD_OVERRIDE=FQ","FILING_STATUS=MR","Sort=A","Dates=H","DateFormat=P","Fill=—","Direction=H","UseDPDF=Y")</f>
        <v>4.9325999999999999</v>
      </c>
      <c r="O22" s="14">
        <f>_xll.BDH("GILD US Equity","ALTMAN_Z_SCORE","FQ4 2021","FQ4 2021","Currency=USD","Period=FQ","BEST_FPERIOD_OVERRIDE=FQ","FILING_STATUS=MR","Sort=A","Dates=H","DateFormat=P","Fill=—","Direction=H","UseDPDF=Y")</f>
        <v>4.4783999999999997</v>
      </c>
      <c r="P22" s="14">
        <f>_xll.BDH("GILD US Equity","ALTMAN_Z_SCORE","FQ1 2022","FQ1 2022","Currency=USD","Period=FQ","BEST_FPERIOD_OVERRIDE=FQ","FILING_STATUS=MR","Sort=A","Dates=H","DateFormat=P","Fill=—","Direction=H","UseDPDF=Y")</f>
        <v>4.1947999999999999</v>
      </c>
      <c r="Q22" s="14">
        <f>_xll.BDH("GILD US Equity","ALTMAN_Z_SCORE","FQ2 2022","FQ2 2022","Currency=USD","Period=FQ","BEST_FPERIOD_OVERRIDE=FQ","FILING_STATUS=MR","Sort=A","Dates=H","DateFormat=P","Fill=—","Direction=H","UseDPDF=Y")</f>
        <v>4.1933999999999996</v>
      </c>
      <c r="R22" s="14">
        <f>_xll.BDH("GILD US Equity","ALTMAN_Z_SCORE","FQ3 2022","FQ3 2022","Currency=USD","Period=FQ","BEST_FPERIOD_OVERRIDE=FQ","FILING_STATUS=MR","Sort=A","Dates=H","DateFormat=P","Fill=—","Direction=H","UseDPDF=Y")</f>
        <v>4.0514999999999999</v>
      </c>
      <c r="S22" s="14">
        <f>_xll.BDH("GILD US Equity","ALTMAN_Z_SCORE","FQ4 2022","FQ4 2022","Currency=USD","Period=FQ","BEST_FPERIOD_OVERRIDE=FQ","FILING_STATUS=MR","Sort=A","Dates=H","DateFormat=P","Fill=—","Direction=H","UseDPDF=Y")</f>
        <v>4.5160999999999998</v>
      </c>
      <c r="T22" s="14">
        <f>_xll.BDH("GILD US Equity","ALTMAN_Z_SCORE","FQ1 2023","FQ1 2023","Currency=USD","Period=FQ","BEST_FPERIOD_OVERRIDE=FQ","FILING_STATUS=MR","Sort=A","Dates=H","DateFormat=P","Fill=—","Direction=H","UseDPDF=Y")</f>
        <v>4.7324999999999999</v>
      </c>
      <c r="U22" s="14">
        <f>_xll.BDH("GILD US Equity","ALTMAN_Z_SCORE","FQ2 2023","FQ2 2023","Currency=USD","Period=FQ","BEST_FPERIOD_OVERRIDE=FQ","FILING_STATUS=MR","Sort=A","Dates=H","DateFormat=P","Fill=—","Direction=H","UseDPDF=Y")</f>
        <v>4.3281999999999998</v>
      </c>
      <c r="V22" s="14">
        <f>_xll.BDH("GILD US Equity","ALTMAN_Z_SCORE","FQ3 2023","FQ3 2023","Currency=USD","Period=FQ","BEST_FPERIOD_OVERRIDE=FQ","FILING_STATUS=MR","Sort=A","Dates=H","DateFormat=P","Fill=—","Direction=H","UseDPDF=Y")</f>
        <v>4.4397000000000002</v>
      </c>
      <c r="W22" s="14">
        <f>_xll.BDH("GILD US Equity","ALTMAN_Z_SCORE","FQ4 2023","FQ4 2023","Currency=USD","Period=FQ","BEST_FPERIOD_OVERRIDE=FQ","FILING_STATUS=MR","Sort=A","Dates=H","DateFormat=P","Fill=—","Direction=H","UseDPDF=Y")</f>
        <v>4.4917999999999996</v>
      </c>
      <c r="X22" s="14">
        <f>_xll.BDH("GILD US Equity","ALTMAN_Z_SCORE","FQ1 2024","FQ1 2024","Currency=USD","Period=FQ","BEST_FPERIOD_OVERRIDE=FQ","FILING_STATUS=MR","Sort=A","Dates=H","DateFormat=P","Fill=—","Direction=H","UseDPDF=Y")</f>
        <v>3.3971</v>
      </c>
      <c r="Y22" s="14">
        <f>_xll.BDH("GILD US Equity","ALTMAN_Z_SCORE","FQ2 2024","FQ2 2024","Currency=USD","Period=FQ","BEST_FPERIOD_OVERRIDE=FQ","FILING_STATUS=MR","Sort=A","Dates=H","DateFormat=P","Fill=—","Direction=H","UseDPDF=Y")</f>
        <v>3.8441000000000001</v>
      </c>
      <c r="Z22" s="14">
        <f>_xll.BDH("GILD US Equity","ALTMAN_Z_SCORE","FQ3 2024","FQ3 2024","Currency=USD","Period=FQ","BEST_FPERIOD_OVERRIDE=FQ","FILING_STATUS=MR","Sort=A","Dates=H","DateFormat=P","Fill=—","Direction=H","UseDPDF=Y")</f>
        <v>3.6882999999999999</v>
      </c>
      <c r="AA22" s="14">
        <f>_xll.BDH("GILD US Equity","ALTMAN_Z_SCORE","FQ4 2024","FQ4 2024","Currency=USD","Period=FQ","BEST_FPERIOD_OVERRIDE=FQ","FILING_STATUS=MR","Sort=A","Dates=H","DateFormat=P","Fill=—","Direction=H","UseDPDF=Y")</f>
        <v>3.6554000000000002</v>
      </c>
    </row>
    <row r="23" spans="1:27" x14ac:dyDescent="0.25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5">
      <c r="A24" s="10" t="s">
        <v>1031</v>
      </c>
      <c r="B24" s="10" t="s">
        <v>1678</v>
      </c>
      <c r="C24" s="13">
        <f>_xll.BDH("GILD US Equity","BS_TOTAL_LINE_OF_CREDIT","FQ4 2018","FQ4 2018","Currency=USD","Period=FQ","BEST_FPERIOD_OVERRIDE=FQ","FILING_STATUS=MR","SCALING_FORMAT=MLN","Sort=A","Dates=H","DateFormat=P","Fill=—","Direction=H","UseDPDF=Y")</f>
        <v>2500</v>
      </c>
      <c r="D24" s="13">
        <f>_xll.BDH("GILD US Equity","BS_TOTAL_LINE_OF_CREDIT","FQ1 2019","FQ1 2019","Currency=USD","Period=FQ","BEST_FPERIOD_OVERRIDE=FQ","FILING_STATUS=MR","SCALING_FORMAT=MLN","Sort=A","Dates=H","DateFormat=P","Fill=—","Direction=H","UseDPDF=Y")</f>
        <v>0</v>
      </c>
      <c r="E24" s="13">
        <f>_xll.BDH("GILD US Equity","BS_TOTAL_LINE_OF_CREDIT","FQ2 2019","FQ2 2019","Currency=USD","Period=FQ","BEST_FPERIOD_OVERRIDE=FQ","FILING_STATUS=MR","SCALING_FORMAT=MLN","Sort=A","Dates=H","DateFormat=P","Fill=—","Direction=H","UseDPDF=Y")</f>
        <v>0</v>
      </c>
      <c r="F24" s="13">
        <f>_xll.BDH("GILD US Equity","BS_TOTAL_LINE_OF_CREDIT","FQ3 2019","FQ3 2019","Currency=USD","Period=FQ","BEST_FPERIOD_OVERRIDE=FQ","FILING_STATUS=MR","SCALING_FORMAT=MLN","Sort=A","Dates=H","DateFormat=P","Fill=—","Direction=H","UseDPDF=Y")</f>
        <v>0</v>
      </c>
      <c r="G24" s="13">
        <f>_xll.BDH("GILD US Equity","BS_TOTAL_LINE_OF_CREDIT","FQ4 2019","FQ4 2019","Currency=USD","Period=FQ","BEST_FPERIOD_OVERRIDE=FQ","FILING_STATUS=MR","SCALING_FORMAT=MLN","Sort=A","Dates=H","DateFormat=P","Fill=—","Direction=H","UseDPDF=Y")</f>
        <v>2500</v>
      </c>
      <c r="H24" s="13">
        <f>_xll.BDH("GILD US Equity","BS_TOTAL_LINE_OF_CREDIT","FQ1 2020","FQ1 2020","Currency=USD","Period=FQ","BEST_FPERIOD_OVERRIDE=FQ","FILING_STATUS=MR","SCALING_FORMAT=MLN","Sort=A","Dates=H","DateFormat=P","Fill=—","Direction=H","UseDPDF=Y")</f>
        <v>2500</v>
      </c>
      <c r="I24" s="13">
        <f>_xll.BDH("GILD US Equity","BS_TOTAL_LINE_OF_CREDIT","FQ2 2020","FQ2 2020","Currency=USD","Period=FQ","BEST_FPERIOD_OVERRIDE=FQ","FILING_STATUS=MR","SCALING_FORMAT=MLN","Sort=A","Dates=H","DateFormat=P","Fill=—","Direction=H","UseDPDF=Y")</f>
        <v>2500</v>
      </c>
      <c r="J24" s="13">
        <f>_xll.BDH("GILD US Equity","BS_TOTAL_LINE_OF_CREDIT","FQ3 2020","FQ3 2020","Currency=USD","Period=FQ","BEST_FPERIOD_OVERRIDE=FQ","FILING_STATUS=MR","SCALING_FORMAT=MLN","Sort=A","Dates=H","DateFormat=P","Fill=—","Direction=H","UseDPDF=Y")</f>
        <v>2500</v>
      </c>
      <c r="K24" s="13">
        <f>_xll.BDH("GILD US Equity","BS_TOTAL_LINE_OF_CREDIT","FQ4 2020","FQ4 2020","Currency=USD","Period=FQ","BEST_FPERIOD_OVERRIDE=FQ","FILING_STATUS=MR","SCALING_FORMAT=MLN","Sort=A","Dates=H","DateFormat=P","Fill=—","Direction=H","UseDPDF=Y")</f>
        <v>2500</v>
      </c>
      <c r="L24" s="13">
        <f>_xll.BDH("GILD US Equity","BS_TOTAL_LINE_OF_CREDIT","FQ1 2021","FQ1 2021","Currency=USD","Period=FQ","BEST_FPERIOD_OVERRIDE=FQ","FILING_STATUS=MR","SCALING_FORMAT=MLN","Sort=A","Dates=H","DateFormat=P","Fill=—","Direction=H","UseDPDF=Y")</f>
        <v>2500</v>
      </c>
      <c r="M24" s="13">
        <f>_xll.BDH("GILD US Equity","BS_TOTAL_LINE_OF_CREDIT","FQ2 2021","FQ2 2021","Currency=USD","Period=FQ","BEST_FPERIOD_OVERRIDE=FQ","FILING_STATUS=MR","SCALING_FORMAT=MLN","Sort=A","Dates=H","DateFormat=P","Fill=—","Direction=H","UseDPDF=Y")</f>
        <v>2500</v>
      </c>
      <c r="N24" s="13">
        <f>_xll.BDH("GILD US Equity","BS_TOTAL_LINE_OF_CREDIT","FQ3 2021","FQ3 2021","Currency=USD","Period=FQ","BEST_FPERIOD_OVERRIDE=FQ","FILING_STATUS=MR","SCALING_FORMAT=MLN","Sort=A","Dates=H","DateFormat=P","Fill=—","Direction=H","UseDPDF=Y")</f>
        <v>2500</v>
      </c>
      <c r="O24" s="13">
        <f>_xll.BDH("GILD US Equity","BS_TOTAL_LINE_OF_CREDIT","FQ4 2021","FQ4 2021","Currency=USD","Period=FQ","BEST_FPERIOD_OVERRIDE=FQ","FILING_STATUS=MR","SCALING_FORMAT=MLN","Sort=A","Dates=H","DateFormat=P","Fill=—","Direction=H","UseDPDF=Y")</f>
        <v>2500</v>
      </c>
      <c r="P24" s="13">
        <f>_xll.BDH("GILD US Equity","BS_TOTAL_LINE_OF_CREDIT","FQ1 2022","FQ1 2022","Currency=USD","Period=FQ","BEST_FPERIOD_OVERRIDE=FQ","FILING_STATUS=MR","SCALING_FORMAT=MLN","Sort=A","Dates=H","DateFormat=P","Fill=—","Direction=H","UseDPDF=Y")</f>
        <v>2500</v>
      </c>
      <c r="Q24" s="13">
        <f>_xll.BDH("GILD US Equity","BS_TOTAL_LINE_OF_CREDIT","FQ2 2022","FQ2 2022","Currency=USD","Period=FQ","BEST_FPERIOD_OVERRIDE=FQ","FILING_STATUS=MR","SCALING_FORMAT=MLN","Sort=A","Dates=H","DateFormat=P","Fill=—","Direction=H","UseDPDF=Y")</f>
        <v>2500</v>
      </c>
      <c r="R24" s="13">
        <f>_xll.BDH("GILD US Equity","BS_TOTAL_LINE_OF_CREDIT","FQ3 2022","FQ3 2022","Currency=USD","Period=FQ","BEST_FPERIOD_OVERRIDE=FQ","FILING_STATUS=MR","SCALING_FORMAT=MLN","Sort=A","Dates=H","DateFormat=P","Fill=—","Direction=H","UseDPDF=Y")</f>
        <v>2500</v>
      </c>
      <c r="S24" s="13">
        <f>_xll.BDH("GILD US Equity","BS_TOTAL_LINE_OF_CREDIT","FQ4 2022","FQ4 2022","Currency=USD","Period=FQ","BEST_FPERIOD_OVERRIDE=FQ","FILING_STATUS=MR","SCALING_FORMAT=MLN","Sort=A","Dates=H","DateFormat=P","Fill=—","Direction=H","UseDPDF=Y")</f>
        <v>2500</v>
      </c>
      <c r="T24" s="13">
        <f>_xll.BDH("GILD US Equity","BS_TOTAL_LINE_OF_CREDIT","FQ1 2023","FQ1 2023","Currency=USD","Period=FQ","BEST_FPERIOD_OVERRIDE=FQ","FILING_STATUS=MR","SCALING_FORMAT=MLN","Sort=A","Dates=H","DateFormat=P","Fill=—","Direction=H","UseDPDF=Y")</f>
        <v>2500</v>
      </c>
      <c r="U24" s="13">
        <f>_xll.BDH("GILD US Equity","BS_TOTAL_LINE_OF_CREDIT","FQ2 2023","FQ2 2023","Currency=USD","Period=FQ","BEST_FPERIOD_OVERRIDE=FQ","FILING_STATUS=MR","SCALING_FORMAT=MLN","Sort=A","Dates=H","DateFormat=P","Fill=—","Direction=H","UseDPDF=Y")</f>
        <v>2500</v>
      </c>
      <c r="V24" s="13">
        <f>_xll.BDH("GILD US Equity","BS_TOTAL_LINE_OF_CREDIT","FQ3 2023","FQ3 2023","Currency=USD","Period=FQ","BEST_FPERIOD_OVERRIDE=FQ","FILING_STATUS=MR","SCALING_FORMAT=MLN","Sort=A","Dates=H","DateFormat=P","Fill=—","Direction=H","UseDPDF=Y")</f>
        <v>2500</v>
      </c>
      <c r="W24" s="13">
        <f>_xll.BDH("GILD US Equity","BS_TOTAL_LINE_OF_CREDIT","FQ4 2023","FQ4 2023","Currency=USD","Period=FQ","BEST_FPERIOD_OVERRIDE=FQ","FILING_STATUS=MR","SCALING_FORMAT=MLN","Sort=A","Dates=H","DateFormat=P","Fill=—","Direction=H","UseDPDF=Y")</f>
        <v>2500</v>
      </c>
      <c r="X24" s="13">
        <f>_xll.BDH("GILD US Equity","BS_TOTAL_LINE_OF_CREDIT","FQ1 2024","FQ1 2024","Currency=USD","Period=FQ","BEST_FPERIOD_OVERRIDE=FQ","FILING_STATUS=MR","SCALING_FORMAT=MLN","Sort=A","Dates=H","DateFormat=P","Fill=—","Direction=H","UseDPDF=Y")</f>
        <v>2500</v>
      </c>
      <c r="Y24" s="13">
        <f>_xll.BDH("GILD US Equity","BS_TOTAL_LINE_OF_CREDIT","FQ2 2024","FQ2 2024","Currency=USD","Period=FQ","BEST_FPERIOD_OVERRIDE=FQ","FILING_STATUS=MR","SCALING_FORMAT=MLN","Sort=A","Dates=H","DateFormat=P","Fill=—","Direction=H","UseDPDF=Y")</f>
        <v>2500</v>
      </c>
      <c r="Z24" s="13">
        <f>_xll.BDH("GILD US Equity","BS_TOTAL_LINE_OF_CREDIT","FQ3 2024","FQ3 2024","Currency=USD","Period=FQ","BEST_FPERIOD_OVERRIDE=FQ","FILING_STATUS=MR","SCALING_FORMAT=MLN","Sort=A","Dates=H","DateFormat=P","Fill=—","Direction=H","UseDPDF=Y")</f>
        <v>2500</v>
      </c>
      <c r="AA24" s="13">
        <f>_xll.BDH("GILD US Equity","BS_TOTAL_LINE_OF_CREDIT","FQ4 2024","FQ4 2024","Currency=USD","Period=FQ","BEST_FPERIOD_OVERRIDE=FQ","FILING_STATUS=MR","SCALING_FORMAT=MLN","Sort=A","Dates=H","DateFormat=P","Fill=—","Direction=H","UseDPDF=Y")</f>
        <v>2500</v>
      </c>
    </row>
    <row r="25" spans="1:27" x14ac:dyDescent="0.25">
      <c r="A25" s="10" t="s">
        <v>1679</v>
      </c>
      <c r="B25" s="10" t="s">
        <v>1680</v>
      </c>
      <c r="C25" s="13">
        <f>_xll.BDH("GILD US Equity","BS_TOTAL_AVAIL_LINE_OF_CREDIT","FQ4 2018","FQ4 2018","Currency=USD","Period=FQ","BEST_FPERIOD_OVERRIDE=FQ","FILING_STATUS=MR","SCALING_FORMAT=MLN","Sort=A","Dates=H","DateFormat=P","Fill=—","Direction=H","UseDPDF=Y")</f>
        <v>2500</v>
      </c>
      <c r="D25" s="13">
        <f>_xll.BDH("GILD US Equity","BS_TOTAL_AVAIL_LINE_OF_CREDIT","FQ1 2019","FQ1 2019","Currency=USD","Period=FQ","BEST_FPERIOD_OVERRIDE=FQ","FILING_STATUS=MR","SCALING_FORMAT=MLN","Sort=A","Dates=H","DateFormat=P","Fill=—","Direction=H","UseDPDF=Y")</f>
        <v>0</v>
      </c>
      <c r="E25" s="13">
        <f>_xll.BDH("GILD US Equity","BS_TOTAL_AVAIL_LINE_OF_CREDIT","FQ2 2019","FQ2 2019","Currency=USD","Period=FQ","BEST_FPERIOD_OVERRIDE=FQ","FILING_STATUS=MR","SCALING_FORMAT=MLN","Sort=A","Dates=H","DateFormat=P","Fill=—","Direction=H","UseDPDF=Y")</f>
        <v>0</v>
      </c>
      <c r="F25" s="13">
        <f>_xll.BDH("GILD US Equity","BS_TOTAL_AVAIL_LINE_OF_CREDIT","FQ3 2019","FQ3 2019","Currency=USD","Period=FQ","BEST_FPERIOD_OVERRIDE=FQ","FILING_STATUS=MR","SCALING_FORMAT=MLN","Sort=A","Dates=H","DateFormat=P","Fill=—","Direction=H","UseDPDF=Y")</f>
        <v>0</v>
      </c>
      <c r="G25" s="13">
        <f>_xll.BDH("GILD US Equity","BS_TOTAL_AVAIL_LINE_OF_CREDIT","FQ4 2019","FQ4 2019","Currency=USD","Period=FQ","BEST_FPERIOD_OVERRIDE=FQ","FILING_STATUS=MR","SCALING_FORMAT=MLN","Sort=A","Dates=H","DateFormat=P","Fill=—","Direction=H","UseDPDF=Y")</f>
        <v>2500</v>
      </c>
      <c r="H25" s="13">
        <f>_xll.BDH("GILD US Equity","BS_TOTAL_AVAIL_LINE_OF_CREDIT","FQ1 2020","FQ1 2020","Currency=USD","Period=FQ","BEST_FPERIOD_OVERRIDE=FQ","FILING_STATUS=MR","SCALING_FORMAT=MLN","Sort=A","Dates=H","DateFormat=P","Fill=—","Direction=H","UseDPDF=Y")</f>
        <v>2500</v>
      </c>
      <c r="I25" s="13">
        <f>_xll.BDH("GILD US Equity","BS_TOTAL_AVAIL_LINE_OF_CREDIT","FQ2 2020","FQ2 2020","Currency=USD","Period=FQ","BEST_FPERIOD_OVERRIDE=FQ","FILING_STATUS=MR","SCALING_FORMAT=MLN","Sort=A","Dates=H","DateFormat=P","Fill=—","Direction=H","UseDPDF=Y")</f>
        <v>2500</v>
      </c>
      <c r="J25" s="13">
        <f>_xll.BDH("GILD US Equity","BS_TOTAL_AVAIL_LINE_OF_CREDIT","FQ3 2020","FQ3 2020","Currency=USD","Period=FQ","BEST_FPERIOD_OVERRIDE=FQ","FILING_STATUS=MR","SCALING_FORMAT=MLN","Sort=A","Dates=H","DateFormat=P","Fill=—","Direction=H","UseDPDF=Y")</f>
        <v>2500</v>
      </c>
      <c r="K25" s="13">
        <f>_xll.BDH("GILD US Equity","BS_TOTAL_AVAIL_LINE_OF_CREDIT","FQ4 2020","FQ4 2020","Currency=USD","Period=FQ","BEST_FPERIOD_OVERRIDE=FQ","FILING_STATUS=MR","SCALING_FORMAT=MLN","Sort=A","Dates=H","DateFormat=P","Fill=—","Direction=H","UseDPDF=Y")</f>
        <v>2500</v>
      </c>
      <c r="L25" s="13">
        <f>_xll.BDH("GILD US Equity","BS_TOTAL_AVAIL_LINE_OF_CREDIT","FQ1 2021","FQ1 2021","Currency=USD","Period=FQ","BEST_FPERIOD_OVERRIDE=FQ","FILING_STATUS=MR","SCALING_FORMAT=MLN","Sort=A","Dates=H","DateFormat=P","Fill=—","Direction=H","UseDPDF=Y")</f>
        <v>2500</v>
      </c>
      <c r="M25" s="13">
        <f>_xll.BDH("GILD US Equity","BS_TOTAL_AVAIL_LINE_OF_CREDIT","FQ2 2021","FQ2 2021","Currency=USD","Period=FQ","BEST_FPERIOD_OVERRIDE=FQ","FILING_STATUS=MR","SCALING_FORMAT=MLN","Sort=A","Dates=H","DateFormat=P","Fill=—","Direction=H","UseDPDF=Y")</f>
        <v>2500</v>
      </c>
      <c r="N25" s="13">
        <f>_xll.BDH("GILD US Equity","BS_TOTAL_AVAIL_LINE_OF_CREDIT","FQ3 2021","FQ3 2021","Currency=USD","Period=FQ","BEST_FPERIOD_OVERRIDE=FQ","FILING_STATUS=MR","SCALING_FORMAT=MLN","Sort=A","Dates=H","DateFormat=P","Fill=—","Direction=H","UseDPDF=Y")</f>
        <v>2500</v>
      </c>
      <c r="O25" s="13">
        <f>_xll.BDH("GILD US Equity","BS_TOTAL_AVAIL_LINE_OF_CREDIT","FQ4 2021","FQ4 2021","Currency=USD","Period=FQ","BEST_FPERIOD_OVERRIDE=FQ","FILING_STATUS=MR","SCALING_FORMAT=MLN","Sort=A","Dates=H","DateFormat=P","Fill=—","Direction=H","UseDPDF=Y")</f>
        <v>2500</v>
      </c>
      <c r="P25" s="13">
        <f>_xll.BDH("GILD US Equity","BS_TOTAL_AVAIL_LINE_OF_CREDIT","FQ1 2022","FQ1 2022","Currency=USD","Period=FQ","BEST_FPERIOD_OVERRIDE=FQ","FILING_STATUS=MR","SCALING_FORMAT=MLN","Sort=A","Dates=H","DateFormat=P","Fill=—","Direction=H","UseDPDF=Y")</f>
        <v>2500</v>
      </c>
      <c r="Q25" s="13">
        <f>_xll.BDH("GILD US Equity","BS_TOTAL_AVAIL_LINE_OF_CREDIT","FQ2 2022","FQ2 2022","Currency=USD","Period=FQ","BEST_FPERIOD_OVERRIDE=FQ","FILING_STATUS=MR","SCALING_FORMAT=MLN","Sort=A","Dates=H","DateFormat=P","Fill=—","Direction=H","UseDPDF=Y")</f>
        <v>2500</v>
      </c>
      <c r="R25" s="13">
        <f>_xll.BDH("GILD US Equity","BS_TOTAL_AVAIL_LINE_OF_CREDIT","FQ3 2022","FQ3 2022","Currency=USD","Period=FQ","BEST_FPERIOD_OVERRIDE=FQ","FILING_STATUS=MR","SCALING_FORMAT=MLN","Sort=A","Dates=H","DateFormat=P","Fill=—","Direction=H","UseDPDF=Y")</f>
        <v>2500</v>
      </c>
      <c r="S25" s="13">
        <f>_xll.BDH("GILD US Equity","BS_TOTAL_AVAIL_LINE_OF_CREDIT","FQ4 2022","FQ4 2022","Currency=USD","Period=FQ","BEST_FPERIOD_OVERRIDE=FQ","FILING_STATUS=MR","SCALING_FORMAT=MLN","Sort=A","Dates=H","DateFormat=P","Fill=—","Direction=H","UseDPDF=Y")</f>
        <v>2500</v>
      </c>
      <c r="T25" s="13">
        <f>_xll.BDH("GILD US Equity","BS_TOTAL_AVAIL_LINE_OF_CREDIT","FQ1 2023","FQ1 2023","Currency=USD","Period=FQ","BEST_FPERIOD_OVERRIDE=FQ","FILING_STATUS=MR","SCALING_FORMAT=MLN","Sort=A","Dates=H","DateFormat=P","Fill=—","Direction=H","UseDPDF=Y")</f>
        <v>2500</v>
      </c>
      <c r="U25" s="13">
        <f>_xll.BDH("GILD US Equity","BS_TOTAL_AVAIL_LINE_OF_CREDIT","FQ2 2023","FQ2 2023","Currency=USD","Period=FQ","BEST_FPERIOD_OVERRIDE=FQ","FILING_STATUS=MR","SCALING_FORMAT=MLN","Sort=A","Dates=H","DateFormat=P","Fill=—","Direction=H","UseDPDF=Y")</f>
        <v>2500</v>
      </c>
      <c r="V25" s="13">
        <f>_xll.BDH("GILD US Equity","BS_TOTAL_AVAIL_LINE_OF_CREDIT","FQ3 2023","FQ3 2023","Currency=USD","Period=FQ","BEST_FPERIOD_OVERRIDE=FQ","FILING_STATUS=MR","SCALING_FORMAT=MLN","Sort=A","Dates=H","DateFormat=P","Fill=—","Direction=H","UseDPDF=Y")</f>
        <v>2500</v>
      </c>
      <c r="W25" s="13">
        <f>_xll.BDH("GILD US Equity","BS_TOTAL_AVAIL_LINE_OF_CREDIT","FQ4 2023","FQ4 2023","Currency=USD","Period=FQ","BEST_FPERIOD_OVERRIDE=FQ","FILING_STATUS=MR","SCALING_FORMAT=MLN","Sort=A","Dates=H","DateFormat=P","Fill=—","Direction=H","UseDPDF=Y")</f>
        <v>2500</v>
      </c>
      <c r="X25" s="13">
        <f>_xll.BDH("GILD US Equity","BS_TOTAL_AVAIL_LINE_OF_CREDIT","FQ1 2024","FQ1 2024","Currency=USD","Period=FQ","BEST_FPERIOD_OVERRIDE=FQ","FILING_STATUS=MR","SCALING_FORMAT=MLN","Sort=A","Dates=H","DateFormat=P","Fill=—","Direction=H","UseDPDF=Y")</f>
        <v>2500</v>
      </c>
      <c r="Y25" s="13">
        <f>_xll.BDH("GILD US Equity","BS_TOTAL_AVAIL_LINE_OF_CREDIT","FQ2 2024","FQ2 2024","Currency=USD","Period=FQ","BEST_FPERIOD_OVERRIDE=FQ","FILING_STATUS=MR","SCALING_FORMAT=MLN","Sort=A","Dates=H","DateFormat=P","Fill=—","Direction=H","UseDPDF=Y")</f>
        <v>2500</v>
      </c>
      <c r="Z25" s="13">
        <f>_xll.BDH("GILD US Equity","BS_TOTAL_AVAIL_LINE_OF_CREDIT","FQ3 2024","FQ3 2024","Currency=USD","Period=FQ","BEST_FPERIOD_OVERRIDE=FQ","FILING_STATUS=MR","SCALING_FORMAT=MLN","Sort=A","Dates=H","DateFormat=P","Fill=—","Direction=H","UseDPDF=Y")</f>
        <v>2500</v>
      </c>
      <c r="AA25" s="13">
        <f>_xll.BDH("GILD US Equity","BS_TOTAL_AVAIL_LINE_OF_CREDIT","FQ4 2024","FQ4 2024","Currency=USD","Period=FQ","BEST_FPERIOD_OVERRIDE=FQ","FILING_STATUS=MR","SCALING_FORMAT=MLN","Sort=A","Dates=H","DateFormat=P","Fill=—","Direction=H","UseDPDF=Y")</f>
        <v>2500</v>
      </c>
    </row>
    <row r="26" spans="1:27" x14ac:dyDescent="0.25">
      <c r="A26" s="10" t="s">
        <v>1681</v>
      </c>
      <c r="B26" s="10" t="s">
        <v>1682</v>
      </c>
      <c r="C26" s="13">
        <f>_xll.BDH("GILD US Equity","LINE_OF_CREDIT_UTILIZED_AMOUNT","FQ4 2018","FQ4 2018","Currency=USD","Period=FQ","BEST_FPERIOD_OVERRIDE=FQ","FILING_STATUS=MR","SCALING_FORMAT=MLN","Sort=A","Dates=H","DateFormat=P","Fill=—","Direction=H","UseDPDF=Y")</f>
        <v>0</v>
      </c>
      <c r="D26" s="13">
        <f>_xll.BDH("GILD US Equity","LINE_OF_CREDIT_UTILIZED_AMOUNT","FQ1 2019","FQ1 2019","Currency=USD","Period=FQ","BEST_FPERIOD_OVERRIDE=FQ","FILING_STATUS=MR","SCALING_FORMAT=MLN","Sort=A","Dates=H","DateFormat=P","Fill=—","Direction=H","UseDPDF=Y")</f>
        <v>0</v>
      </c>
      <c r="E26" s="13">
        <f>_xll.BDH("GILD US Equity","LINE_OF_CREDIT_UTILIZED_AMOUNT","FQ2 2019","FQ2 2019","Currency=USD","Period=FQ","BEST_FPERIOD_OVERRIDE=FQ","FILING_STATUS=MR","SCALING_FORMAT=MLN","Sort=A","Dates=H","DateFormat=P","Fill=—","Direction=H","UseDPDF=Y")</f>
        <v>0</v>
      </c>
      <c r="F26" s="13">
        <f>_xll.BDH("GILD US Equity","LINE_OF_CREDIT_UTILIZED_AMOUNT","FQ3 2019","FQ3 2019","Currency=USD","Period=FQ","BEST_FPERIOD_OVERRIDE=FQ","FILING_STATUS=MR","SCALING_FORMAT=MLN","Sort=A","Dates=H","DateFormat=P","Fill=—","Direction=H","UseDPDF=Y")</f>
        <v>0</v>
      </c>
      <c r="G26" s="13">
        <f>_xll.BDH("GILD US Equity","LINE_OF_CREDIT_UTILIZED_AMOUNT","FQ4 2019","FQ4 2019","Currency=USD","Period=FQ","BEST_FPERIOD_OVERRIDE=FQ","FILING_STATUS=MR","SCALING_FORMAT=MLN","Sort=A","Dates=H","DateFormat=P","Fill=—","Direction=H","UseDPDF=Y")</f>
        <v>0</v>
      </c>
      <c r="H26" s="13">
        <f>_xll.BDH("GILD US Equity","LINE_OF_CREDIT_UTILIZED_AMOUNT","FQ1 2020","FQ1 2020","Currency=USD","Period=FQ","BEST_FPERIOD_OVERRIDE=FQ","FILING_STATUS=MR","SCALING_FORMAT=MLN","Sort=A","Dates=H","DateFormat=P","Fill=—","Direction=H","UseDPDF=Y")</f>
        <v>0</v>
      </c>
      <c r="I26" s="13">
        <f>_xll.BDH("GILD US Equity","LINE_OF_CREDIT_UTILIZED_AMOUNT","FQ2 2020","FQ2 2020","Currency=USD","Period=FQ","BEST_FPERIOD_OVERRIDE=FQ","FILING_STATUS=MR","SCALING_FORMAT=MLN","Sort=A","Dates=H","DateFormat=P","Fill=—","Direction=H","UseDPDF=Y")</f>
        <v>0</v>
      </c>
      <c r="J26" s="13">
        <f>_xll.BDH("GILD US Equity","LINE_OF_CREDIT_UTILIZED_AMOUNT","FQ3 2020","FQ3 2020","Currency=USD","Period=FQ","BEST_FPERIOD_OVERRIDE=FQ","FILING_STATUS=MR","SCALING_FORMAT=MLN","Sort=A","Dates=H","DateFormat=P","Fill=—","Direction=H","UseDPDF=Y")</f>
        <v>0</v>
      </c>
      <c r="K26" s="13">
        <f>_xll.BDH("GILD US Equity","LINE_OF_CREDIT_UTILIZED_AMOUNT","FQ4 2020","FQ4 2020","Currency=USD","Period=FQ","BEST_FPERIOD_OVERRIDE=FQ","FILING_STATUS=MR","SCALING_FORMAT=MLN","Sort=A","Dates=H","DateFormat=P","Fill=—","Direction=H","UseDPDF=Y")</f>
        <v>0</v>
      </c>
      <c r="L26" s="13">
        <f>_xll.BDH("GILD US Equity","LINE_OF_CREDIT_UTILIZED_AMOUNT","FQ1 2021","FQ1 2021","Currency=USD","Period=FQ","BEST_FPERIOD_OVERRIDE=FQ","FILING_STATUS=MR","SCALING_FORMAT=MLN","Sort=A","Dates=H","DateFormat=P","Fill=—","Direction=H","UseDPDF=Y")</f>
        <v>0</v>
      </c>
      <c r="M26" s="13">
        <f>_xll.BDH("GILD US Equity","LINE_OF_CREDIT_UTILIZED_AMOUNT","FQ2 2021","FQ2 2021","Currency=USD","Period=FQ","BEST_FPERIOD_OVERRIDE=FQ","FILING_STATUS=MR","SCALING_FORMAT=MLN","Sort=A","Dates=H","DateFormat=P","Fill=—","Direction=H","UseDPDF=Y")</f>
        <v>0</v>
      </c>
      <c r="N26" s="13">
        <f>_xll.BDH("GILD US Equity","LINE_OF_CREDIT_UTILIZED_AMOUNT","FQ3 2021","FQ3 2021","Currency=USD","Period=FQ","BEST_FPERIOD_OVERRIDE=FQ","FILING_STATUS=MR","SCALING_FORMAT=MLN","Sort=A","Dates=H","DateFormat=P","Fill=—","Direction=H","UseDPDF=Y")</f>
        <v>0</v>
      </c>
      <c r="O26" s="13">
        <f>_xll.BDH("GILD US Equity","LINE_OF_CREDIT_UTILIZED_AMOUNT","FQ4 2021","FQ4 2021","Currency=USD","Period=FQ","BEST_FPERIOD_OVERRIDE=FQ","FILING_STATUS=MR","SCALING_FORMAT=MLN","Sort=A","Dates=H","DateFormat=P","Fill=—","Direction=H","UseDPDF=Y")</f>
        <v>0</v>
      </c>
      <c r="P26" s="13">
        <f>_xll.BDH("GILD US Equity","LINE_OF_CREDIT_UTILIZED_AMOUNT","FQ1 2022","FQ1 2022","Currency=USD","Period=FQ","BEST_FPERIOD_OVERRIDE=FQ","FILING_STATUS=MR","SCALING_FORMAT=MLN","Sort=A","Dates=H","DateFormat=P","Fill=—","Direction=H","UseDPDF=Y")</f>
        <v>0</v>
      </c>
      <c r="Q26" s="13">
        <f>_xll.BDH("GILD US Equity","LINE_OF_CREDIT_UTILIZED_AMOUNT","FQ2 2022","FQ2 2022","Currency=USD","Period=FQ","BEST_FPERIOD_OVERRIDE=FQ","FILING_STATUS=MR","SCALING_FORMAT=MLN","Sort=A","Dates=H","DateFormat=P","Fill=—","Direction=H","UseDPDF=Y")</f>
        <v>0</v>
      </c>
      <c r="R26" s="13">
        <f>_xll.BDH("GILD US Equity","LINE_OF_CREDIT_UTILIZED_AMOUNT","FQ3 2022","FQ3 2022","Currency=USD","Period=FQ","BEST_FPERIOD_OVERRIDE=FQ","FILING_STATUS=MR","SCALING_FORMAT=MLN","Sort=A","Dates=H","DateFormat=P","Fill=—","Direction=H","UseDPDF=Y")</f>
        <v>0</v>
      </c>
      <c r="S26" s="13">
        <f>_xll.BDH("GILD US Equity","LINE_OF_CREDIT_UTILIZED_AMOUNT","FQ4 2022","FQ4 2022","Currency=USD","Period=FQ","BEST_FPERIOD_OVERRIDE=FQ","FILING_STATUS=MR","SCALING_FORMAT=MLN","Sort=A","Dates=H","DateFormat=P","Fill=—","Direction=H","UseDPDF=Y")</f>
        <v>0</v>
      </c>
      <c r="T26" s="13">
        <f>_xll.BDH("GILD US Equity","LINE_OF_CREDIT_UTILIZED_AMOUNT","FQ1 2023","FQ1 2023","Currency=USD","Period=FQ","BEST_FPERIOD_OVERRIDE=FQ","FILING_STATUS=MR","SCALING_FORMAT=MLN","Sort=A","Dates=H","DateFormat=P","Fill=—","Direction=H","UseDPDF=Y")</f>
        <v>0</v>
      </c>
      <c r="U26" s="13">
        <f>_xll.BDH("GILD US Equity","LINE_OF_CREDIT_UTILIZED_AMOUNT","FQ2 2023","FQ2 2023","Currency=USD","Period=FQ","BEST_FPERIOD_OVERRIDE=FQ","FILING_STATUS=MR","SCALING_FORMAT=MLN","Sort=A","Dates=H","DateFormat=P","Fill=—","Direction=H","UseDPDF=Y")</f>
        <v>0</v>
      </c>
      <c r="V26" s="13">
        <f>_xll.BDH("GILD US Equity","LINE_OF_CREDIT_UTILIZED_AMOUNT","FQ3 2023","FQ3 2023","Currency=USD","Period=FQ","BEST_FPERIOD_OVERRIDE=FQ","FILING_STATUS=MR","SCALING_FORMAT=MLN","Sort=A","Dates=H","DateFormat=P","Fill=—","Direction=H","UseDPDF=Y")</f>
        <v>0</v>
      </c>
      <c r="W26" s="13">
        <f>_xll.BDH("GILD US Equity","LINE_OF_CREDIT_UTILIZED_AMOUNT","FQ4 2023","FQ4 2023","Currency=USD","Period=FQ","BEST_FPERIOD_OVERRIDE=FQ","FILING_STATUS=MR","SCALING_FORMAT=MLN","Sort=A","Dates=H","DateFormat=P","Fill=—","Direction=H","UseDPDF=Y")</f>
        <v>0</v>
      </c>
      <c r="X26" s="13">
        <f>_xll.BDH("GILD US Equity","LINE_OF_CREDIT_UTILIZED_AMOUNT","FQ1 2024","FQ1 2024","Currency=USD","Period=FQ","BEST_FPERIOD_OVERRIDE=FQ","FILING_STATUS=MR","SCALING_FORMAT=MLN","Sort=A","Dates=H","DateFormat=P","Fill=—","Direction=H","UseDPDF=Y")</f>
        <v>0</v>
      </c>
      <c r="Y26" s="13">
        <f>_xll.BDH("GILD US Equity","LINE_OF_CREDIT_UTILIZED_AMOUNT","FQ2 2024","FQ2 2024","Currency=USD","Period=FQ","BEST_FPERIOD_OVERRIDE=FQ","FILING_STATUS=MR","SCALING_FORMAT=MLN","Sort=A","Dates=H","DateFormat=P","Fill=—","Direction=H","UseDPDF=Y")</f>
        <v>0</v>
      </c>
      <c r="Z26" s="13">
        <f>_xll.BDH("GILD US Equity","LINE_OF_CREDIT_UTILIZED_AMOUNT","FQ3 2024","FQ3 2024","Currency=USD","Period=FQ","BEST_FPERIOD_OVERRIDE=FQ","FILING_STATUS=MR","SCALING_FORMAT=MLN","Sort=A","Dates=H","DateFormat=P","Fill=—","Direction=H","UseDPDF=Y")</f>
        <v>0</v>
      </c>
      <c r="AA26" s="13">
        <f>_xll.BDH("GILD US Equity","LINE_OF_CREDIT_UTILIZED_AMOUNT","FQ4 2024","FQ4 2024","Currency=USD","Period=FQ","BEST_FPERIOD_OVERRIDE=FQ","FILING_STATUS=MR","SCALING_FORMAT=MLN","Sort=A","Dates=H","DateFormat=P","Fill=—","Direction=H","UseDPDF=Y")</f>
        <v>0</v>
      </c>
    </row>
    <row r="27" spans="1:27" x14ac:dyDescent="0.25">
      <c r="A27" s="10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5">
      <c r="A28" s="7" t="s">
        <v>90</v>
      </c>
      <c r="B28" s="7"/>
      <c r="C28" s="7" t="s">
        <v>5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21"/>
  <sheetViews>
    <sheetView workbookViewId="0">
      <selection activeCell="M17" sqref="M17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1683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1684</v>
      </c>
      <c r="B6" s="6" t="s">
        <v>1685</v>
      </c>
      <c r="C6" s="20">
        <f>_xll.BDH("GILD US Equity","ACCT_RCV_TURN","FQ4 2018","FQ4 2018","Currency=USD","Period=FQ","BEST_FPERIOD_OVERRIDE=FQ","FILING_STATUS=MR","FA_ADJUSTED=GAAP","Sort=A","Dates=H","DateFormat=P","Fill=—","Direction=H","UseDPDF=Y")</f>
        <v>6.1651999999999996</v>
      </c>
      <c r="D6" s="20">
        <f>_xll.BDH("GILD US Equity","ACCT_RCV_TURN","FQ1 2019","FQ1 2019","Currency=USD","Period=FQ","BEST_FPERIOD_OVERRIDE=FQ","FILING_STATUS=MR","FA_ADJUSTED=GAAP","Sort=A","Dates=H","DateFormat=P","Fill=—","Direction=H","UseDPDF=Y")</f>
        <v>6.3247</v>
      </c>
      <c r="E6" s="20">
        <f>_xll.BDH("GILD US Equity","ACCT_RCV_TURN","FQ2 2019","FQ2 2019","Currency=USD","Period=FQ","BEST_FPERIOD_OVERRIDE=FQ","FILING_STATUS=MR","FA_ADJUSTED=GAAP","Sort=A","Dates=H","DateFormat=P","Fill=—","Direction=H","UseDPDF=Y")</f>
        <v>6.4457000000000004</v>
      </c>
      <c r="F6" s="20">
        <f>_xll.BDH("GILD US Equity","ACCT_RCV_TURN","FQ3 2019","FQ3 2019","Currency=USD","Period=FQ","BEST_FPERIOD_OVERRIDE=FQ","FILING_STATUS=MR","FA_ADJUSTED=GAAP","Sort=A","Dates=H","DateFormat=P","Fill=—","Direction=H","UseDPDF=Y")</f>
        <v>6.5972999999999997</v>
      </c>
      <c r="G6" s="20">
        <f>_xll.BDH("GILD US Equity","ACCT_RCV_TURN","FQ4 2019","FQ4 2019","Currency=USD","Period=FQ","BEST_FPERIOD_OVERRIDE=FQ","FILING_STATUS=MR","FA_ADJUSTED=GAAP","Sort=A","Dates=H","DateFormat=P","Fill=—","Direction=H","UseDPDF=Y")</f>
        <v>6.4984999999999999</v>
      </c>
      <c r="H6" s="20">
        <f>_xll.BDH("GILD US Equity","ACCT_RCV_TURN","FQ1 2020","FQ1 2020","Currency=USD","Period=FQ","BEST_FPERIOD_OVERRIDE=FQ","FILING_STATUS=MR","FA_ADJUSTED=GAAP","Sort=A","Dates=H","DateFormat=P","Fill=—","Direction=H","UseDPDF=Y")</f>
        <v>6.3188000000000004</v>
      </c>
      <c r="I6" s="20">
        <f>_xll.BDH("GILD US Equity","ACCT_RCV_TURN","FQ2 2020","FQ2 2020","Currency=USD","Period=FQ","BEST_FPERIOD_OVERRIDE=FQ","FILING_STATUS=MR","FA_ADJUSTED=GAAP","Sort=A","Dates=H","DateFormat=P","Fill=—","Direction=H","UseDPDF=Y")</f>
        <v>6.7295999999999996</v>
      </c>
      <c r="J6" s="20">
        <f>_xll.BDH("GILD US Equity","ACCT_RCV_TURN","FQ3 2020","FQ3 2020","Currency=USD","Period=FQ","BEST_FPERIOD_OVERRIDE=FQ","FILING_STATUS=MR","FA_ADJUSTED=GAAP","Sort=A","Dates=H","DateFormat=P","Fill=—","Direction=H","UseDPDF=Y")</f>
        <v>6.4047999999999998</v>
      </c>
      <c r="K6" s="20">
        <f>_xll.BDH("GILD US Equity","ACCT_RCV_TURN","FQ4 2020","FQ4 2020","Currency=USD","Period=FQ","BEST_FPERIOD_OVERRIDE=FQ","FILING_STATUS=MR","FA_ADJUSTED=GAAP","Sort=A","Dates=H","DateFormat=P","Fill=—","Direction=H","UseDPDF=Y")</f>
        <v>5.827</v>
      </c>
      <c r="L6" s="20">
        <f>_xll.BDH("GILD US Equity","ACCT_RCV_TURN","FQ1 2021","FQ1 2021","Currency=USD","Period=FQ","BEST_FPERIOD_OVERRIDE=FQ","FILING_STATUS=MR","FA_ADJUSTED=GAAP","Sort=A","Dates=H","DateFormat=P","Fill=—","Direction=H","UseDPDF=Y")</f>
        <v>6.5281000000000002</v>
      </c>
      <c r="M6" s="20">
        <f>_xll.BDH("GILD US Equity","ACCT_RCV_TURN","FQ2 2021","FQ2 2021","Currency=USD","Period=FQ","BEST_FPERIOD_OVERRIDE=FQ","FILING_STATUS=MR","FA_ADJUSTED=GAAP","Sort=A","Dates=H","DateFormat=P","Fill=—","Direction=H","UseDPDF=Y")</f>
        <v>7.2553000000000001</v>
      </c>
      <c r="N6" s="20">
        <f>_xll.BDH("GILD US Equity","ACCT_RCV_TURN","FQ3 2021","FQ3 2021","Currency=USD","Period=FQ","BEST_FPERIOD_OVERRIDE=FQ","FILING_STATUS=MR","FA_ADJUSTED=GAAP","Sort=A","Dates=H","DateFormat=P","Fill=—","Direction=H","UseDPDF=Y")</f>
        <v>6.4824000000000002</v>
      </c>
      <c r="O6" s="20">
        <f>_xll.BDH("GILD US Equity","ACCT_RCV_TURN","FQ4 2021","FQ4 2021","Currency=USD","Period=FQ","BEST_FPERIOD_OVERRIDE=FQ","FILING_STATUS=MR","FA_ADJUSTED=GAAP","Sort=A","Dates=H","DateFormat=P","Fill=—","Direction=H","UseDPDF=Y")</f>
        <v>5.8189000000000002</v>
      </c>
      <c r="P6" s="20">
        <f>_xll.BDH("GILD US Equity","ACCT_RCV_TURN","FQ1 2022","FQ1 2022","Currency=USD","Period=FQ","BEST_FPERIOD_OVERRIDE=FQ","FILING_STATUS=MR","FA_ADJUSTED=GAAP","Sort=A","Dates=H","DateFormat=P","Fill=—","Direction=H","UseDPDF=Y")</f>
        <v>7.1245000000000003</v>
      </c>
      <c r="Q6" s="20">
        <f>_xll.BDH("GILD US Equity","ACCT_RCV_TURN","FQ2 2022","FQ2 2022","Currency=USD","Period=FQ","BEST_FPERIOD_OVERRIDE=FQ","FILING_STATUS=MR","FA_ADJUSTED=GAAP","Sort=A","Dates=H","DateFormat=P","Fill=—","Direction=H","UseDPDF=Y")</f>
        <v>6.6566000000000001</v>
      </c>
      <c r="R6" s="20">
        <f>_xll.BDH("GILD US Equity","ACCT_RCV_TURN","FQ3 2022","FQ3 2022","Currency=USD","Period=FQ","BEST_FPERIOD_OVERRIDE=FQ","FILING_STATUS=MR","FA_ADJUSTED=GAAP","Sort=A","Dates=H","DateFormat=P","Fill=—","Direction=H","UseDPDF=Y")</f>
        <v>6.0842999999999998</v>
      </c>
      <c r="S6" s="20">
        <f>_xll.BDH("GILD US Equity","ACCT_RCV_TURN","FQ4 2022","FQ4 2022","Currency=USD","Period=FQ","BEST_FPERIOD_OVERRIDE=FQ","FILING_STATUS=MR","FA_ADJUSTED=GAAP","Sort=A","Dates=H","DateFormat=P","Fill=—","Direction=H","UseDPDF=Y")</f>
        <v>5.8859000000000004</v>
      </c>
      <c r="T6" s="20">
        <f>_xll.BDH("GILD US Equity","ACCT_RCV_TURN","FQ1 2023","FQ1 2023","Currency=USD","Period=FQ","BEST_FPERIOD_OVERRIDE=FQ","FILING_STATUS=MR","FA_ADJUSTED=GAAP","Sort=A","Dates=H","DateFormat=P","Fill=—","Direction=H","UseDPDF=Y")</f>
        <v>6.8041</v>
      </c>
      <c r="U6" s="20">
        <f>_xll.BDH("GILD US Equity","ACCT_RCV_TURN","FQ2 2023","FQ2 2023","Currency=USD","Period=FQ","BEST_FPERIOD_OVERRIDE=FQ","FILING_STATUS=MR","FA_ADJUSTED=GAAP","Sort=A","Dates=H","DateFormat=P","Fill=—","Direction=H","UseDPDF=Y")</f>
        <v>6.5609000000000002</v>
      </c>
      <c r="V6" s="20">
        <f>_xll.BDH("GILD US Equity","ACCT_RCV_TURN","FQ3 2023","FQ3 2023","Currency=USD","Period=FQ","BEST_FPERIOD_OVERRIDE=FQ","FILING_STATUS=MR","FA_ADJUSTED=GAAP","Sort=A","Dates=H","DateFormat=P","Fill=—","Direction=H","UseDPDF=Y")</f>
        <v>5.9909999999999997</v>
      </c>
      <c r="W6" s="20">
        <f>_xll.BDH("GILD US Equity","ACCT_RCV_TURN","FQ4 2023","FQ4 2023","Currency=USD","Period=FQ","BEST_FPERIOD_OVERRIDE=FQ","FILING_STATUS=MR","FA_ADJUSTED=GAAP","Sort=A","Dates=H","DateFormat=P","Fill=—","Direction=H","UseDPDF=Y")</f>
        <v>5.7469999999999999</v>
      </c>
      <c r="X6" s="20">
        <f>_xll.BDH("GILD US Equity","ACCT_RCV_TURN","FQ1 2024","FQ1 2024","Currency=USD","Period=FQ","BEST_FPERIOD_OVERRIDE=FQ","FILING_STATUS=MR","FA_ADJUSTED=GAAP","Sort=A","Dates=H","DateFormat=P","Fill=—","Direction=H","UseDPDF=Y")</f>
        <v>6.2169999999999996</v>
      </c>
      <c r="Y6" s="20">
        <f>_xll.BDH("GILD US Equity","ACCT_RCV_TURN","FQ2 2024","FQ2 2024","Currency=USD","Period=FQ","BEST_FPERIOD_OVERRIDE=FQ","FILING_STATUS=MR","FA_ADJUSTED=GAAP","Sort=A","Dates=H","DateFormat=P","Fill=—","Direction=H","UseDPDF=Y")</f>
        <v>6.2538999999999998</v>
      </c>
      <c r="Z6" s="20">
        <f>_xll.BDH("GILD US Equity","ACCT_RCV_TURN","FQ3 2024","FQ3 2024","Currency=USD","Period=FQ","BEST_FPERIOD_OVERRIDE=FQ","FILING_STATUS=MR","FA_ADJUSTED=GAAP","Sort=A","Dates=H","DateFormat=P","Fill=—","Direction=H","UseDPDF=Y")</f>
        <v>6.0358000000000001</v>
      </c>
      <c r="AA6" s="20">
        <f>_xll.BDH("GILD US Equity","ACCT_RCV_TURN","FQ4 2024","FQ4 2024","Currency=USD","Period=FQ","BEST_FPERIOD_OVERRIDE=FQ","FILING_STATUS=MR","FA_ADJUSTED=GAAP","Sort=A","Dates=H","DateFormat=P","Fill=—","Direction=H","UseDPDF=Y")</f>
        <v>6.3333000000000004</v>
      </c>
    </row>
    <row r="7" spans="1:27" x14ac:dyDescent="0.25">
      <c r="A7" s="10" t="s">
        <v>1686</v>
      </c>
      <c r="B7" s="10" t="s">
        <v>1687</v>
      </c>
      <c r="C7" s="14">
        <f>_xll.BDH("GILD US Equity","ACCT_RCV_DAYS","FQ4 2018","FQ4 2018","Currency=USD","Period=FQ","BEST_FPERIOD_OVERRIDE=FQ","FILING_STATUS=MR","FA_ADJUSTED=GAAP","Sort=A","Dates=H","DateFormat=P","Fill=—","Direction=H","UseDPDF=Y")</f>
        <v>59.203000000000003</v>
      </c>
      <c r="D7" s="14">
        <f>_xll.BDH("GILD US Equity","ACCT_RCV_DAYS","FQ1 2019","FQ1 2019","Currency=USD","Period=FQ","BEST_FPERIOD_OVERRIDE=FQ","FILING_STATUS=MR","FA_ADJUSTED=GAAP","Sort=A","Dates=H","DateFormat=P","Fill=—","Direction=H","UseDPDF=Y")</f>
        <v>57.709899999999998</v>
      </c>
      <c r="E7" s="14">
        <f>_xll.BDH("GILD US Equity","ACCT_RCV_DAYS","FQ2 2019","FQ2 2019","Currency=USD","Period=FQ","BEST_FPERIOD_OVERRIDE=FQ","FILING_STATUS=MR","FA_ADJUSTED=GAAP","Sort=A","Dates=H","DateFormat=P","Fill=—","Direction=H","UseDPDF=Y")</f>
        <v>56.6267</v>
      </c>
      <c r="F7" s="14">
        <f>_xll.BDH("GILD US Equity","ACCT_RCV_DAYS","FQ3 2019","FQ3 2019","Currency=USD","Period=FQ","BEST_FPERIOD_OVERRIDE=FQ","FILING_STATUS=MR","FA_ADJUSTED=GAAP","Sort=A","Dates=H","DateFormat=P","Fill=—","Direction=H","UseDPDF=Y")</f>
        <v>55.325299999999999</v>
      </c>
      <c r="G7" s="14">
        <f>_xll.BDH("GILD US Equity","ACCT_RCV_DAYS","FQ4 2019","FQ4 2019","Currency=USD","Period=FQ","BEST_FPERIOD_OVERRIDE=FQ","FILING_STATUS=MR","FA_ADJUSTED=GAAP","Sort=A","Dates=H","DateFormat=P","Fill=—","Direction=H","UseDPDF=Y")</f>
        <v>56.167000000000002</v>
      </c>
      <c r="H7" s="14">
        <f>_xll.BDH("GILD US Equity","ACCT_RCV_DAYS","FQ1 2020","FQ1 2020","Currency=USD","Period=FQ","BEST_FPERIOD_OVERRIDE=FQ","FILING_STATUS=MR","FA_ADJUSTED=GAAP","Sort=A","Dates=H","DateFormat=P","Fill=—","Direction=H","UseDPDF=Y")</f>
        <v>57.922600000000003</v>
      </c>
      <c r="I7" s="14">
        <f>_xll.BDH("GILD US Equity","ACCT_RCV_DAYS","FQ2 2020","FQ2 2020","Currency=USD","Period=FQ","BEST_FPERIOD_OVERRIDE=FQ","FILING_STATUS=MR","FA_ADJUSTED=GAAP","Sort=A","Dates=H","DateFormat=P","Fill=—","Direction=H","UseDPDF=Y")</f>
        <v>54.386699999999998</v>
      </c>
      <c r="J7" s="14">
        <f>_xll.BDH("GILD US Equity","ACCT_RCV_DAYS","FQ3 2020","FQ3 2020","Currency=USD","Period=FQ","BEST_FPERIOD_OVERRIDE=FQ","FILING_STATUS=MR","FA_ADJUSTED=GAAP","Sort=A","Dates=H","DateFormat=P","Fill=—","Direction=H","UseDPDF=Y")</f>
        <v>57.144500000000001</v>
      </c>
      <c r="K7" s="14">
        <f>_xll.BDH("GILD US Equity","ACCT_RCV_DAYS","FQ4 2020","FQ4 2020","Currency=USD","Period=FQ","BEST_FPERIOD_OVERRIDE=FQ","FILING_STATUS=MR","FA_ADJUSTED=GAAP","Sort=A","Dates=H","DateFormat=P","Fill=—","Direction=H","UseDPDF=Y")</f>
        <v>62.811</v>
      </c>
      <c r="L7" s="14">
        <f>_xll.BDH("GILD US Equity","ACCT_RCV_DAYS","FQ1 2021","FQ1 2021","Currency=USD","Period=FQ","BEST_FPERIOD_OVERRIDE=FQ","FILING_STATUS=MR","FA_ADJUSTED=GAAP","Sort=A","Dates=H","DateFormat=P","Fill=—","Direction=H","UseDPDF=Y")</f>
        <v>55.912199999999999</v>
      </c>
      <c r="M7" s="14">
        <f>_xll.BDH("GILD US Equity","ACCT_RCV_DAYS","FQ2 2021","FQ2 2021","Currency=USD","Period=FQ","BEST_FPERIOD_OVERRIDE=FQ","FILING_STATUS=MR","FA_ADJUSTED=GAAP","Sort=A","Dates=H","DateFormat=P","Fill=—","Direction=H","UseDPDF=Y")</f>
        <v>50.307699999999997</v>
      </c>
      <c r="N7" s="14">
        <f>_xll.BDH("GILD US Equity","ACCT_RCV_DAYS","FQ3 2021","FQ3 2021","Currency=USD","Period=FQ","BEST_FPERIOD_OVERRIDE=FQ","FILING_STATUS=MR","FA_ADJUSTED=GAAP","Sort=A","Dates=H","DateFormat=P","Fill=—","Direction=H","UseDPDF=Y")</f>
        <v>56.306600000000003</v>
      </c>
      <c r="O7" s="14">
        <f>_xll.BDH("GILD US Equity","ACCT_RCV_DAYS","FQ4 2021","FQ4 2021","Currency=USD","Period=FQ","BEST_FPERIOD_OVERRIDE=FQ","FILING_STATUS=MR","FA_ADJUSTED=GAAP","Sort=A","Dates=H","DateFormat=P","Fill=—","Direction=H","UseDPDF=Y")</f>
        <v>62.7271</v>
      </c>
      <c r="P7" s="14">
        <f>_xll.BDH("GILD US Equity","ACCT_RCV_DAYS","FQ1 2022","FQ1 2022","Currency=USD","Period=FQ","BEST_FPERIOD_OVERRIDE=FQ","FILING_STATUS=MR","FA_ADJUSTED=GAAP","Sort=A","Dates=H","DateFormat=P","Fill=—","Direction=H","UseDPDF=Y")</f>
        <v>51.2318</v>
      </c>
      <c r="Q7" s="14">
        <f>_xll.BDH("GILD US Equity","ACCT_RCV_DAYS","FQ2 2022","FQ2 2022","Currency=USD","Period=FQ","BEST_FPERIOD_OVERRIDE=FQ","FILING_STATUS=MR","FA_ADJUSTED=GAAP","Sort=A","Dates=H","DateFormat=P","Fill=—","Direction=H","UseDPDF=Y")</f>
        <v>54.832900000000002</v>
      </c>
      <c r="R7" s="14">
        <f>_xll.BDH("GILD US Equity","ACCT_RCV_DAYS","FQ3 2022","FQ3 2022","Currency=USD","Period=FQ","BEST_FPERIOD_OVERRIDE=FQ","FILING_STATUS=MR","FA_ADJUSTED=GAAP","Sort=A","Dates=H","DateFormat=P","Fill=—","Direction=H","UseDPDF=Y")</f>
        <v>59.990400000000001</v>
      </c>
      <c r="S7" s="14">
        <f>_xll.BDH("GILD US Equity","ACCT_RCV_DAYS","FQ4 2022","FQ4 2022","Currency=USD","Period=FQ","BEST_FPERIOD_OVERRIDE=FQ","FILING_STATUS=MR","FA_ADJUSTED=GAAP","Sort=A","Dates=H","DateFormat=P","Fill=—","Direction=H","UseDPDF=Y")</f>
        <v>62.012900000000002</v>
      </c>
      <c r="T7" s="14">
        <f>_xll.BDH("GILD US Equity","ACCT_RCV_DAYS","FQ1 2023","FQ1 2023","Currency=USD","Period=FQ","BEST_FPERIOD_OVERRIDE=FQ","FILING_STATUS=MR","FA_ADJUSTED=GAAP","Sort=A","Dates=H","DateFormat=P","Fill=—","Direction=H","UseDPDF=Y")</f>
        <v>53.643900000000002</v>
      </c>
      <c r="U7" s="14">
        <f>_xll.BDH("GILD US Equity","ACCT_RCV_DAYS","FQ2 2023","FQ2 2023","Currency=USD","Period=FQ","BEST_FPERIOD_OVERRIDE=FQ","FILING_STATUS=MR","FA_ADJUSTED=GAAP","Sort=A","Dates=H","DateFormat=P","Fill=—","Direction=H","UseDPDF=Y")</f>
        <v>55.632399999999997</v>
      </c>
      <c r="V7" s="14">
        <f>_xll.BDH("GILD US Equity","ACCT_RCV_DAYS","FQ3 2023","FQ3 2023","Currency=USD","Period=FQ","BEST_FPERIOD_OVERRIDE=FQ","FILING_STATUS=MR","FA_ADJUSTED=GAAP","Sort=A","Dates=H","DateFormat=P","Fill=—","Direction=H","UseDPDF=Y")</f>
        <v>60.924399999999999</v>
      </c>
      <c r="W7" s="14">
        <f>_xll.BDH("GILD US Equity","ACCT_RCV_DAYS","FQ4 2023","FQ4 2023","Currency=USD","Period=FQ","BEST_FPERIOD_OVERRIDE=FQ","FILING_STATUS=MR","FA_ADJUSTED=GAAP","Sort=A","Dates=H","DateFormat=P","Fill=—","Direction=H","UseDPDF=Y")</f>
        <v>63.511899999999997</v>
      </c>
      <c r="X7" s="14">
        <f>_xll.BDH("GILD US Equity","ACCT_RCV_DAYS","FQ1 2024","FQ1 2024","Currency=USD","Period=FQ","BEST_FPERIOD_OVERRIDE=FQ","FILING_STATUS=MR","FA_ADJUSTED=GAAP","Sort=A","Dates=H","DateFormat=P","Fill=—","Direction=H","UseDPDF=Y")</f>
        <v>58.871200000000002</v>
      </c>
      <c r="Y7" s="14">
        <f>_xll.BDH("GILD US Equity","ACCT_RCV_DAYS","FQ2 2024","FQ2 2024","Currency=USD","Period=FQ","BEST_FPERIOD_OVERRIDE=FQ","FILING_STATUS=MR","FA_ADJUSTED=GAAP","Sort=A","Dates=H","DateFormat=P","Fill=—","Direction=H","UseDPDF=Y")</f>
        <v>58.523099999999999</v>
      </c>
      <c r="Z7" s="14">
        <f>_xll.BDH("GILD US Equity","ACCT_RCV_DAYS","FQ3 2024","FQ3 2024","Currency=USD","Period=FQ","BEST_FPERIOD_OVERRIDE=FQ","FILING_STATUS=MR","FA_ADJUSTED=GAAP","Sort=A","Dates=H","DateFormat=P","Fill=—","Direction=H","UseDPDF=Y")</f>
        <v>60.637900000000002</v>
      </c>
      <c r="AA7" s="14">
        <f>_xll.BDH("GILD US Equity","ACCT_RCV_DAYS","FQ4 2024","FQ4 2024","Currency=USD","Period=FQ","BEST_FPERIOD_OVERRIDE=FQ","FILING_STATUS=MR","FA_ADJUSTED=GAAP","Sort=A","Dates=H","DateFormat=P","Fill=—","Direction=H","UseDPDF=Y")</f>
        <v>57.790100000000002</v>
      </c>
    </row>
    <row r="8" spans="1:27" x14ac:dyDescent="0.25">
      <c r="A8" s="6" t="s">
        <v>1688</v>
      </c>
      <c r="B8" s="6" t="s">
        <v>1689</v>
      </c>
      <c r="C8" s="20">
        <f>_xll.BDH("GILD US Equity","INVENT_TURN","FQ4 2018","FQ4 2018","Currency=USD","Period=FQ","BEST_FPERIOD_OVERRIDE=FQ","FILING_STATUS=MR","FA_ADJUSTED=GAAP","Sort=A","Dates=H","DateFormat=P","Fill=—","Direction=H","UseDPDF=Y")</f>
        <v>6.0099</v>
      </c>
      <c r="D8" s="20">
        <f>_xll.BDH("GILD US Equity","INVENT_TURN","FQ1 2019","FQ1 2019","Currency=USD","Period=FQ","BEST_FPERIOD_OVERRIDE=FQ","FILING_STATUS=MR","FA_ADJUSTED=GAAP","Sort=A","Dates=H","DateFormat=P","Fill=—","Direction=H","UseDPDF=Y")</f>
        <v>5.3943000000000003</v>
      </c>
      <c r="E8" s="20">
        <f>_xll.BDH("GILD US Equity","INVENT_TURN","FQ2 2019","FQ2 2019","Currency=USD","Period=FQ","BEST_FPERIOD_OVERRIDE=FQ","FILING_STATUS=MR","FA_ADJUSTED=GAAP","Sort=A","Dates=H","DateFormat=P","Fill=—","Direction=H","UseDPDF=Y")</f>
        <v>5.2931999999999997</v>
      </c>
      <c r="F8" s="20">
        <f>_xll.BDH("GILD US Equity","INVENT_TURN","FQ3 2019","FQ3 2019","Currency=USD","Period=FQ","BEST_FPERIOD_OVERRIDE=FQ","FILING_STATUS=MR","FA_ADJUSTED=GAAP","Sort=A","Dates=H","DateFormat=P","Fill=—","Direction=H","UseDPDF=Y")</f>
        <v>5.3734000000000002</v>
      </c>
      <c r="G8" s="20">
        <f>_xll.BDH("GILD US Equity","INVENT_TURN","FQ4 2019","FQ4 2019","Currency=USD","Period=FQ","BEST_FPERIOD_OVERRIDE=FQ","FILING_STATUS=MR","FA_ADJUSTED=GAAP","Sort=A","Dates=H","DateFormat=P","Fill=—","Direction=H","UseDPDF=Y")</f>
        <v>5.3859000000000004</v>
      </c>
      <c r="H8" s="20">
        <f>_xll.BDH("GILD US Equity","INVENT_TURN","FQ1 2020","FQ1 2020","Currency=USD","Period=FQ","BEST_FPERIOD_OVERRIDE=FQ","FILING_STATUS=MR","FA_ADJUSTED=GAAP","Sort=A","Dates=H","DateFormat=P","Fill=—","Direction=H","UseDPDF=Y")</f>
        <v>4.9756</v>
      </c>
      <c r="I8" s="20">
        <f>_xll.BDH("GILD US Equity","INVENT_TURN","FQ2 2020","FQ2 2020","Currency=USD","Period=FQ","BEST_FPERIOD_OVERRIDE=FQ","FILING_STATUS=MR","FA_ADJUSTED=GAAP","Sort=A","Dates=H","DateFormat=P","Fill=—","Direction=H","UseDPDF=Y")</f>
        <v>4.9081000000000001</v>
      </c>
      <c r="J8" s="20">
        <f>_xll.BDH("GILD US Equity","INVENT_TURN","FQ3 2020","FQ3 2020","Currency=USD","Period=FQ","BEST_FPERIOD_OVERRIDE=FQ","FILING_STATUS=MR","FA_ADJUSTED=GAAP","Sort=A","Dates=H","DateFormat=P","Fill=—","Direction=H","UseDPDF=Y")</f>
        <v>5.1397000000000004</v>
      </c>
      <c r="K8" s="20">
        <f>_xll.BDH("GILD US Equity","INVENT_TURN","FQ4 2020","FQ4 2020","Currency=USD","Period=FQ","BEST_FPERIOD_OVERRIDE=FQ","FILING_STATUS=MR","FA_ADJUSTED=GAAP","Sort=A","Dates=H","DateFormat=P","Fill=—","Direction=H","UseDPDF=Y")</f>
        <v>3.5102000000000002</v>
      </c>
      <c r="L8" s="20">
        <f>_xll.BDH("GILD US Equity","INVENT_TURN","FQ1 2021","FQ1 2021","Currency=USD","Period=FQ","BEST_FPERIOD_OVERRIDE=FQ","FILING_STATUS=MR","FA_ADJUSTED=GAAP","Sort=A","Dates=H","DateFormat=P","Fill=—","Direction=H","UseDPDF=Y")</f>
        <v>3.5905999999999998</v>
      </c>
      <c r="M8" s="20">
        <f>_xll.BDH("GILD US Equity","INVENT_TURN","FQ2 2021","FQ2 2021","Currency=USD","Period=FQ","BEST_FPERIOD_OVERRIDE=FQ","FILING_STATUS=MR","FA_ADJUSTED=GAAP","Sort=A","Dates=H","DateFormat=P","Fill=—","Direction=H","UseDPDF=Y")</f>
        <v>3.7465000000000002</v>
      </c>
      <c r="N8" s="20">
        <f>_xll.BDH("GILD US Equity","INVENT_TURN","FQ3 2021","FQ3 2021","Currency=USD","Period=FQ","BEST_FPERIOD_OVERRIDE=FQ","FILING_STATUS=MR","FA_ADJUSTED=GAAP","Sort=A","Dates=H","DateFormat=P","Fill=—","Direction=H","UseDPDF=Y")</f>
        <v>4.0030000000000001</v>
      </c>
      <c r="O8" s="20">
        <f>_xll.BDH("GILD US Equity","INVENT_TURN","FQ4 2021","FQ4 2021","Currency=USD","Period=FQ","BEST_FPERIOD_OVERRIDE=FQ","FILING_STATUS=MR","FA_ADJUSTED=GAAP","Sort=A","Dates=H","DateFormat=P","Fill=—","Direction=H","UseDPDF=Y")</f>
        <v>3.9994000000000001</v>
      </c>
      <c r="P8" s="20">
        <f>_xll.BDH("GILD US Equity","INVENT_TURN","FQ1 2022","FQ1 2022","Currency=USD","Period=FQ","BEST_FPERIOD_OVERRIDE=FQ","FILING_STATUS=MR","FA_ADJUSTED=GAAP","Sort=A","Dates=H","DateFormat=P","Fill=—","Direction=H","UseDPDF=Y")</f>
        <v>4.0871000000000004</v>
      </c>
      <c r="Q8" s="20">
        <f>_xll.BDH("GILD US Equity","INVENT_TURN","FQ2 2022","FQ2 2022","Currency=USD","Period=FQ","BEST_FPERIOD_OVERRIDE=FQ","FILING_STATUS=MR","FA_ADJUSTED=GAAP","Sort=A","Dates=H","DateFormat=P","Fill=—","Direction=H","UseDPDF=Y")</f>
        <v>4.1139000000000001</v>
      </c>
      <c r="R8" s="20">
        <f>_xll.BDH("GILD US Equity","INVENT_TURN","FQ3 2022","FQ3 2022","Currency=USD","Period=FQ","BEST_FPERIOD_OVERRIDE=FQ","FILING_STATUS=MR","FA_ADJUSTED=GAAP","Sort=A","Dates=H","DateFormat=P","Fill=—","Direction=H","UseDPDF=Y")</f>
        <v>4.3887</v>
      </c>
      <c r="S8" s="20">
        <f>_xll.BDH("GILD US Equity","INVENT_TURN","FQ4 2022","FQ4 2022","Currency=USD","Period=FQ","BEST_FPERIOD_OVERRIDE=FQ","FILING_STATUS=MR","FA_ADJUSTED=GAAP","Sort=A","Dates=H","DateFormat=P","Fill=—","Direction=H","UseDPDF=Y")</f>
        <v>3.6204999999999998</v>
      </c>
      <c r="T8" s="20">
        <f>_xll.BDH("GILD US Equity","INVENT_TURN","FQ1 2023","FQ1 2023","Currency=USD","Period=FQ","BEST_FPERIOD_OVERRIDE=FQ","FILING_STATUS=MR","FA_ADJUSTED=GAAP","Sort=A","Dates=H","DateFormat=P","Fill=—","Direction=H","UseDPDF=Y")</f>
        <v>3.6848000000000001</v>
      </c>
      <c r="U8" s="20">
        <f>_xll.BDH("GILD US Equity","INVENT_TURN","FQ2 2023","FQ2 2023","Currency=USD","Period=FQ","BEST_FPERIOD_OVERRIDE=FQ","FILING_STATUS=MR","FA_ADJUSTED=GAAP","Sort=A","Dates=H","DateFormat=P","Fill=—","Direction=H","UseDPDF=Y")</f>
        <v>3.6046</v>
      </c>
      <c r="V8" s="20">
        <f>_xll.BDH("GILD US Equity","INVENT_TURN","FQ3 2023","FQ3 2023","Currency=USD","Period=FQ","BEST_FPERIOD_OVERRIDE=FQ","FILING_STATUS=MR","FA_ADJUSTED=GAAP","Sort=A","Dates=H","DateFormat=P","Fill=—","Direction=H","UseDPDF=Y")</f>
        <v>3.7122000000000002</v>
      </c>
      <c r="W8" s="20">
        <f>_xll.BDH("GILD US Equity","INVENT_TURN","FQ4 2023","FQ4 2023","Currency=USD","Period=FQ","BEST_FPERIOD_OVERRIDE=FQ","FILING_STATUS=MR","FA_ADJUSTED=GAAP","Sort=A","Dates=H","DateFormat=P","Fill=—","Direction=H","UseDPDF=Y")</f>
        <v>3.9453999999999998</v>
      </c>
      <c r="X8" s="20">
        <f>_xll.BDH("GILD US Equity","INVENT_TURN","FQ1 2024","FQ1 2024","Currency=USD","Period=FQ","BEST_FPERIOD_OVERRIDE=FQ","FILING_STATUS=MR","FA_ADJUSTED=GAAP","Sort=A","Dates=H","DateFormat=P","Fill=—","Direction=H","UseDPDF=Y")</f>
        <v>3.8780999999999999</v>
      </c>
      <c r="Y8" s="20">
        <f>_xll.BDH("GILD US Equity","INVENT_TURN","FQ2 2024","FQ2 2024","Currency=USD","Period=FQ","BEST_FPERIOD_OVERRIDE=FQ","FILING_STATUS=MR","FA_ADJUSTED=GAAP","Sort=A","Dates=H","DateFormat=P","Fill=—","Direction=H","UseDPDF=Y")</f>
        <v>3.6901000000000002</v>
      </c>
      <c r="Z8" s="20">
        <f>_xll.BDH("GILD US Equity","INVENT_TURN","FQ3 2024","FQ3 2024","Currency=USD","Period=FQ","BEST_FPERIOD_OVERRIDE=FQ","FILING_STATUS=MR","FA_ADJUSTED=GAAP","Sort=A","Dates=H","DateFormat=P","Fill=—","Direction=H","UseDPDF=Y")</f>
        <v>3.8268</v>
      </c>
      <c r="AA8" s="20">
        <f>_xll.BDH("GILD US Equity","INVENT_TURN","FQ4 2024","FQ4 2024","Currency=USD","Period=FQ","BEST_FPERIOD_OVERRIDE=FQ","FILING_STATUS=MR","FA_ADJUSTED=GAAP","Sort=A","Dates=H","DateFormat=P","Fill=—","Direction=H","UseDPDF=Y")</f>
        <v>3.5750999999999999</v>
      </c>
    </row>
    <row r="9" spans="1:27" x14ac:dyDescent="0.25">
      <c r="A9" s="10" t="s">
        <v>1690</v>
      </c>
      <c r="B9" s="10" t="s">
        <v>1691</v>
      </c>
      <c r="C9" s="14">
        <f>_xll.BDH("GILD US Equity","INVENT_DAYS","FQ4 2018","FQ4 2018","Currency=USD","Period=FQ","BEST_FPERIOD_OVERRIDE=FQ","FILING_STATUS=MR","FA_ADJUSTED=GAAP","Sort=A","Dates=H","DateFormat=P","Fill=—","Direction=H","UseDPDF=Y")</f>
        <v>60.7331</v>
      </c>
      <c r="D9" s="14">
        <f>_xll.BDH("GILD US Equity","INVENT_DAYS","FQ1 2019","FQ1 2019","Currency=USD","Period=FQ","BEST_FPERIOD_OVERRIDE=FQ","FILING_STATUS=MR","FA_ADJUSTED=GAAP","Sort=A","Dates=H","DateFormat=P","Fill=—","Direction=H","UseDPDF=Y")</f>
        <v>67.664299999999997</v>
      </c>
      <c r="E9" s="14">
        <f>_xll.BDH("GILD US Equity","INVENT_DAYS","FQ2 2019","FQ2 2019","Currency=USD","Period=FQ","BEST_FPERIOD_OVERRIDE=FQ","FILING_STATUS=MR","FA_ADJUSTED=GAAP","Sort=A","Dates=H","DateFormat=P","Fill=—","Direction=H","UseDPDF=Y")</f>
        <v>68.956800000000001</v>
      </c>
      <c r="F9" s="14">
        <f>_xll.BDH("GILD US Equity","INVENT_DAYS","FQ3 2019","FQ3 2019","Currency=USD","Period=FQ","BEST_FPERIOD_OVERRIDE=FQ","FILING_STATUS=MR","FA_ADJUSTED=GAAP","Sort=A","Dates=H","DateFormat=P","Fill=—","Direction=H","UseDPDF=Y")</f>
        <v>67.927400000000006</v>
      </c>
      <c r="G9" s="14">
        <f>_xll.BDH("GILD US Equity","INVENT_DAYS","FQ4 2019","FQ4 2019","Currency=USD","Period=FQ","BEST_FPERIOD_OVERRIDE=FQ","FILING_STATUS=MR","FA_ADJUSTED=GAAP","Sort=A","Dates=H","DateFormat=P","Fill=—","Direction=H","UseDPDF=Y")</f>
        <v>67.769000000000005</v>
      </c>
      <c r="H9" s="14">
        <f>_xll.BDH("GILD US Equity","INVENT_DAYS","FQ1 2020","FQ1 2020","Currency=USD","Period=FQ","BEST_FPERIOD_OVERRIDE=FQ","FILING_STATUS=MR","FA_ADJUSTED=GAAP","Sort=A","Dates=H","DateFormat=P","Fill=—","Direction=H","UseDPDF=Y")</f>
        <v>73.559200000000004</v>
      </c>
      <c r="I9" s="14">
        <f>_xll.BDH("GILD US Equity","INVENT_DAYS","FQ2 2020","FQ2 2020","Currency=USD","Period=FQ","BEST_FPERIOD_OVERRIDE=FQ","FILING_STATUS=MR","FA_ADJUSTED=GAAP","Sort=A","Dates=H","DateFormat=P","Fill=—","Direction=H","UseDPDF=Y")</f>
        <v>74.571200000000005</v>
      </c>
      <c r="J9" s="14">
        <f>_xll.BDH("GILD US Equity","INVENT_DAYS","FQ3 2020","FQ3 2020","Currency=USD","Period=FQ","BEST_FPERIOD_OVERRIDE=FQ","FILING_STATUS=MR","FA_ADJUSTED=GAAP","Sort=A","Dates=H","DateFormat=P","Fill=—","Direction=H","UseDPDF=Y")</f>
        <v>71.210599999999999</v>
      </c>
      <c r="K9" s="14">
        <f>_xll.BDH("GILD US Equity","INVENT_DAYS","FQ4 2020","FQ4 2020","Currency=USD","Period=FQ","BEST_FPERIOD_OVERRIDE=FQ","FILING_STATUS=MR","FA_ADJUSTED=GAAP","Sort=A","Dates=H","DateFormat=P","Fill=—","Direction=H","UseDPDF=Y")</f>
        <v>104.2684</v>
      </c>
      <c r="L9" s="14">
        <f>_xll.BDH("GILD US Equity","INVENT_DAYS","FQ1 2021","FQ1 2021","Currency=USD","Period=FQ","BEST_FPERIOD_OVERRIDE=FQ","FILING_STATUS=MR","FA_ADJUSTED=GAAP","Sort=A","Dates=H","DateFormat=P","Fill=—","Direction=H","UseDPDF=Y")</f>
        <v>101.6544</v>
      </c>
      <c r="M9" s="14">
        <f>_xll.BDH("GILD US Equity","INVENT_DAYS","FQ2 2021","FQ2 2021","Currency=USD","Period=FQ","BEST_FPERIOD_OVERRIDE=FQ","FILING_STATUS=MR","FA_ADJUSTED=GAAP","Sort=A","Dates=H","DateFormat=P","Fill=—","Direction=H","UseDPDF=Y")</f>
        <v>97.425299999999993</v>
      </c>
      <c r="N9" s="14">
        <f>_xll.BDH("GILD US Equity","INVENT_DAYS","FQ3 2021","FQ3 2021","Currency=USD","Period=FQ","BEST_FPERIOD_OVERRIDE=FQ","FILING_STATUS=MR","FA_ADJUSTED=GAAP","Sort=A","Dates=H","DateFormat=P","Fill=—","Direction=H","UseDPDF=Y")</f>
        <v>91.182100000000005</v>
      </c>
      <c r="O9" s="14">
        <f>_xll.BDH("GILD US Equity","INVENT_DAYS","FQ4 2021","FQ4 2021","Currency=USD","Period=FQ","BEST_FPERIOD_OVERRIDE=FQ","FILING_STATUS=MR","FA_ADJUSTED=GAAP","Sort=A","Dates=H","DateFormat=P","Fill=—","Direction=H","UseDPDF=Y")</f>
        <v>91.263800000000003</v>
      </c>
      <c r="P9" s="14">
        <f>_xll.BDH("GILD US Equity","INVENT_DAYS","FQ1 2022","FQ1 2022","Currency=USD","Period=FQ","BEST_FPERIOD_OVERRIDE=FQ","FILING_STATUS=MR","FA_ADJUSTED=GAAP","Sort=A","Dates=H","DateFormat=P","Fill=—","Direction=H","UseDPDF=Y")</f>
        <v>89.305599999999998</v>
      </c>
      <c r="Q9" s="14">
        <f>_xll.BDH("GILD US Equity","INVENT_DAYS","FQ2 2022","FQ2 2022","Currency=USD","Period=FQ","BEST_FPERIOD_OVERRIDE=FQ","FILING_STATUS=MR","FA_ADJUSTED=GAAP","Sort=A","Dates=H","DateFormat=P","Fill=—","Direction=H","UseDPDF=Y")</f>
        <v>88.722800000000007</v>
      </c>
      <c r="R9" s="14">
        <f>_xll.BDH("GILD US Equity","INVENT_DAYS","FQ3 2022","FQ3 2022","Currency=USD","Period=FQ","BEST_FPERIOD_OVERRIDE=FQ","FILING_STATUS=MR","FA_ADJUSTED=GAAP","Sort=A","Dates=H","DateFormat=P","Fill=—","Direction=H","UseDPDF=Y")</f>
        <v>83.168899999999994</v>
      </c>
      <c r="S9" s="14">
        <f>_xll.BDH("GILD US Equity","INVENT_DAYS","FQ4 2022","FQ4 2022","Currency=USD","Period=FQ","BEST_FPERIOD_OVERRIDE=FQ","FILING_STATUS=MR","FA_ADJUSTED=GAAP","Sort=A","Dates=H","DateFormat=P","Fill=—","Direction=H","UseDPDF=Y")</f>
        <v>100.8154</v>
      </c>
      <c r="T9" s="14">
        <f>_xll.BDH("GILD US Equity","INVENT_DAYS","FQ1 2023","FQ1 2023","Currency=USD","Period=FQ","BEST_FPERIOD_OVERRIDE=FQ","FILING_STATUS=MR","FA_ADJUSTED=GAAP","Sort=A","Dates=H","DateFormat=P","Fill=—","Direction=H","UseDPDF=Y")</f>
        <v>99.056600000000003</v>
      </c>
      <c r="U9" s="14">
        <f>_xll.BDH("GILD US Equity","INVENT_DAYS","FQ2 2023","FQ2 2023","Currency=USD","Period=FQ","BEST_FPERIOD_OVERRIDE=FQ","FILING_STATUS=MR","FA_ADJUSTED=GAAP","Sort=A","Dates=H","DateFormat=P","Fill=—","Direction=H","UseDPDF=Y")</f>
        <v>101.2593</v>
      </c>
      <c r="V9" s="14">
        <f>_xll.BDH("GILD US Equity","INVENT_DAYS","FQ3 2023","FQ3 2023","Currency=USD","Period=FQ","BEST_FPERIOD_OVERRIDE=FQ","FILING_STATUS=MR","FA_ADJUSTED=GAAP","Sort=A","Dates=H","DateFormat=P","Fill=—","Direction=H","UseDPDF=Y")</f>
        <v>98.3249</v>
      </c>
      <c r="W9" s="14">
        <f>_xll.BDH("GILD US Equity","INVENT_DAYS","FQ4 2023","FQ4 2023","Currency=USD","Period=FQ","BEST_FPERIOD_OVERRIDE=FQ","FILING_STATUS=MR","FA_ADJUSTED=GAAP","Sort=A","Dates=H","DateFormat=P","Fill=—","Direction=H","UseDPDF=Y")</f>
        <v>92.513900000000007</v>
      </c>
      <c r="X9" s="14">
        <f>_xll.BDH("GILD US Equity","INVENT_DAYS","FQ1 2024","FQ1 2024","Currency=USD","Period=FQ","BEST_FPERIOD_OVERRIDE=FQ","FILING_STATUS=MR","FA_ADJUSTED=GAAP","Sort=A","Dates=H","DateFormat=P","Fill=—","Direction=H","UseDPDF=Y")</f>
        <v>94.376099999999994</v>
      </c>
      <c r="Y9" s="14">
        <f>_xll.BDH("GILD US Equity","INVENT_DAYS","FQ2 2024","FQ2 2024","Currency=USD","Period=FQ","BEST_FPERIOD_OVERRIDE=FQ","FILING_STATUS=MR","FA_ADJUSTED=GAAP","Sort=A","Dates=H","DateFormat=P","Fill=—","Direction=H","UseDPDF=Y")</f>
        <v>99.184899999999999</v>
      </c>
      <c r="Z9" s="14">
        <f>_xll.BDH("GILD US Equity","INVENT_DAYS","FQ3 2024","FQ3 2024","Currency=USD","Period=FQ","BEST_FPERIOD_OVERRIDE=FQ","FILING_STATUS=MR","FA_ADJUSTED=GAAP","Sort=A","Dates=H","DateFormat=P","Fill=—","Direction=H","UseDPDF=Y")</f>
        <v>95.641900000000007</v>
      </c>
      <c r="AA9" s="14">
        <f>_xll.BDH("GILD US Equity","INVENT_DAYS","FQ4 2024","FQ4 2024","Currency=USD","Period=FQ","BEST_FPERIOD_OVERRIDE=FQ","FILING_STATUS=MR","FA_ADJUSTED=GAAP","Sort=A","Dates=H","DateFormat=P","Fill=—","Direction=H","UseDPDF=Y")</f>
        <v>102.3758</v>
      </c>
    </row>
    <row r="10" spans="1:27" x14ac:dyDescent="0.25">
      <c r="A10" s="6" t="s">
        <v>1692</v>
      </c>
      <c r="B10" s="6" t="s">
        <v>1693</v>
      </c>
      <c r="C10" s="20">
        <f>_xll.BDH("GILD US Equity","ACCOUNTS_PAYABLE_TURNOVER","FQ4 2018","FQ4 2018","Currency=USD","Period=FQ","BEST_FPERIOD_OVERRIDE=FQ","FILING_STATUS=MR","FA_ADJUSTED=GAAP","Sort=A","Dates=H","DateFormat=P","Fill=—","Direction=H","UseDPDF=Y")</f>
        <v>6.0673000000000004</v>
      </c>
      <c r="D10" s="20">
        <f>_xll.BDH("GILD US Equity","ACCOUNTS_PAYABLE_TURNOVER","FQ1 2019","FQ1 2019","Currency=USD","Period=FQ","BEST_FPERIOD_OVERRIDE=FQ","FILING_STATUS=MR","FA_ADJUSTED=GAAP","Sort=A","Dates=H","DateFormat=P","Fill=—","Direction=H","UseDPDF=Y")</f>
        <v>7.4875999999999996</v>
      </c>
      <c r="E10" s="20">
        <f>_xll.BDH("GILD US Equity","ACCOUNTS_PAYABLE_TURNOVER","FQ2 2019","FQ2 2019","Currency=USD","Period=FQ","BEST_FPERIOD_OVERRIDE=FQ","FILING_STATUS=MR","FA_ADJUSTED=GAAP","Sort=A","Dates=H","DateFormat=P","Fill=—","Direction=H","UseDPDF=Y")</f>
        <v>7.4805999999999999</v>
      </c>
      <c r="F10" s="20">
        <f>_xll.BDH("GILD US Equity","ACCOUNTS_PAYABLE_TURNOVER","FQ3 2019","FQ3 2019","Currency=USD","Period=FQ","BEST_FPERIOD_OVERRIDE=FQ","FILING_STATUS=MR","FA_ADJUSTED=GAAP","Sort=A","Dates=H","DateFormat=P","Fill=—","Direction=H","UseDPDF=Y")</f>
        <v>7.6369999999999996</v>
      </c>
      <c r="G10" s="20">
        <f>_xll.BDH("GILD US Equity","ACCOUNTS_PAYABLE_TURNOVER","FQ4 2019","FQ4 2019","Currency=USD","Period=FQ","BEST_FPERIOD_OVERRIDE=FQ","FILING_STATUS=MR","FA_ADJUSTED=GAAP","Sort=A","Dates=H","DateFormat=P","Fill=—","Direction=H","UseDPDF=Y")</f>
        <v>6.3646000000000003</v>
      </c>
      <c r="H10" s="20">
        <f>_xll.BDH("GILD US Equity","ACCOUNTS_PAYABLE_TURNOVER","FQ1 2020","FQ1 2020","Currency=USD","Period=FQ","BEST_FPERIOD_OVERRIDE=FQ","FILING_STATUS=MR","FA_ADJUSTED=GAAP","Sort=A","Dates=H","DateFormat=P","Fill=—","Direction=H","UseDPDF=Y")</f>
        <v>8.1834000000000007</v>
      </c>
      <c r="I10" s="20">
        <f>_xll.BDH("GILD US Equity","ACCOUNTS_PAYABLE_TURNOVER","FQ2 2020","FQ2 2020","Currency=USD","Period=FQ","BEST_FPERIOD_OVERRIDE=FQ","FILING_STATUS=MR","FA_ADJUSTED=GAAP","Sort=A","Dates=H","DateFormat=P","Fill=—","Direction=H","UseDPDF=Y")</f>
        <v>8.5622000000000007</v>
      </c>
      <c r="J10" s="20">
        <f>_xll.BDH("GILD US Equity","ACCOUNTS_PAYABLE_TURNOVER","FQ3 2020","FQ3 2020","Currency=USD","Period=FQ","BEST_FPERIOD_OVERRIDE=FQ","FILING_STATUS=MR","FA_ADJUSTED=GAAP","Sort=A","Dates=H","DateFormat=P","Fill=—","Direction=H","UseDPDF=Y")</f>
        <v>8.5988000000000007</v>
      </c>
      <c r="K10" s="20">
        <f>_xll.BDH("GILD US Equity","ACCOUNTS_PAYABLE_TURNOVER","FQ4 2020","FQ4 2020","Currency=USD","Period=FQ","BEST_FPERIOD_OVERRIDE=FQ","FILING_STATUS=MR","FA_ADJUSTED=GAAP","Sort=A","Dates=H","DateFormat=P","Fill=—","Direction=H","UseDPDF=Y")</f>
        <v>6.8503999999999996</v>
      </c>
      <c r="L10" s="20">
        <f>_xll.BDH("GILD US Equity","ACCOUNTS_PAYABLE_TURNOVER","FQ1 2021","FQ1 2021","Currency=USD","Period=FQ","BEST_FPERIOD_OVERRIDE=FQ","FILING_STATUS=MR","FA_ADJUSTED=GAAP","Sort=A","Dates=H","DateFormat=P","Fill=—","Direction=H","UseDPDF=Y")</f>
        <v>9.9259000000000004</v>
      </c>
      <c r="M10" s="20">
        <f>_xll.BDH("GILD US Equity","ACCOUNTS_PAYABLE_TURNOVER","FQ2 2021","FQ2 2021","Currency=USD","Period=FQ","BEST_FPERIOD_OVERRIDE=FQ","FILING_STATUS=MR","FA_ADJUSTED=GAAP","Sort=A","Dates=H","DateFormat=P","Fill=—","Direction=H","UseDPDF=Y")</f>
        <v>10.543900000000001</v>
      </c>
      <c r="N10" s="20">
        <f>_xll.BDH("GILD US Equity","ACCOUNTS_PAYABLE_TURNOVER","FQ3 2021","FQ3 2021","Currency=USD","Period=FQ","BEST_FPERIOD_OVERRIDE=FQ","FILING_STATUS=MR","FA_ADJUSTED=GAAP","Sort=A","Dates=H","DateFormat=P","Fill=—","Direction=H","UseDPDF=Y")</f>
        <v>10.863300000000001</v>
      </c>
      <c r="O10" s="20">
        <f>_xll.BDH("GILD US Equity","ACCOUNTS_PAYABLE_TURNOVER","FQ4 2021","FQ4 2021","Currency=USD","Period=FQ","BEST_FPERIOD_OVERRIDE=FQ","FILING_STATUS=MR","FA_ADJUSTED=GAAP","Sort=A","Dates=H","DateFormat=P","Fill=—","Direction=H","UseDPDF=Y")</f>
        <v>8.4390000000000001</v>
      </c>
      <c r="P10" s="20">
        <f>_xll.BDH("GILD US Equity","ACCOUNTS_PAYABLE_TURNOVER","FQ1 2022","FQ1 2022","Currency=USD","Period=FQ","BEST_FPERIOD_OVERRIDE=FQ","FILING_STATUS=MR","FA_ADJUSTED=GAAP","Sort=A","Dates=H","DateFormat=P","Fill=—","Direction=H","UseDPDF=Y")</f>
        <v>11.0442</v>
      </c>
      <c r="Q10" s="20">
        <f>_xll.BDH("GILD US Equity","ACCOUNTS_PAYABLE_TURNOVER","FQ2 2022","FQ2 2022","Currency=USD","Period=FQ","BEST_FPERIOD_OVERRIDE=FQ","FILING_STATUS=MR","FA_ADJUSTED=GAAP","Sort=A","Dates=H","DateFormat=P","Fill=—","Direction=H","UseDPDF=Y")</f>
        <v>10.975300000000001</v>
      </c>
      <c r="R10" s="20">
        <f>_xll.BDH("GILD US Equity","ACCOUNTS_PAYABLE_TURNOVER","FQ3 2022","FQ3 2022","Currency=USD","Period=FQ","BEST_FPERIOD_OVERRIDE=FQ","FILING_STATUS=MR","FA_ADJUSTED=GAAP","Sort=A","Dates=H","DateFormat=P","Fill=—","Direction=H","UseDPDF=Y")</f>
        <v>11.1343</v>
      </c>
      <c r="S10" s="20">
        <f>_xll.BDH("GILD US Equity","ACCOUNTS_PAYABLE_TURNOVER","FQ4 2022","FQ4 2022","Currency=USD","Period=FQ","BEST_FPERIOD_OVERRIDE=FQ","FILING_STATUS=MR","FA_ADJUSTED=GAAP","Sort=A","Dates=H","DateFormat=P","Fill=—","Direction=H","UseDPDF=Y")</f>
        <v>6.8894000000000002</v>
      </c>
      <c r="T10" s="20">
        <f>_xll.BDH("GILD US Equity","ACCOUNTS_PAYABLE_TURNOVER","FQ1 2023","FQ1 2023","Currency=USD","Period=FQ","BEST_FPERIOD_OVERRIDE=FQ","FILING_STATUS=MR","FA_ADJUSTED=GAAP","Sort=A","Dates=H","DateFormat=P","Fill=—","Direction=H","UseDPDF=Y")</f>
        <v>9.4678000000000004</v>
      </c>
      <c r="U10" s="20">
        <f>_xll.BDH("GILD US Equity","ACCOUNTS_PAYABLE_TURNOVER","FQ2 2023","FQ2 2023","Currency=USD","Period=FQ","BEST_FPERIOD_OVERRIDE=FQ","FILING_STATUS=MR","FA_ADJUSTED=GAAP","Sort=A","Dates=H","DateFormat=P","Fill=—","Direction=H","UseDPDF=Y")</f>
        <v>9.7286999999999999</v>
      </c>
      <c r="V10" s="20">
        <f>_xll.BDH("GILD US Equity","ACCOUNTS_PAYABLE_TURNOVER","FQ3 2023","FQ3 2023","Currency=USD","Period=FQ","BEST_FPERIOD_OVERRIDE=FQ","FILING_STATUS=MR","FA_ADJUSTED=GAAP","Sort=A","Dates=H","DateFormat=P","Fill=—","Direction=H","UseDPDF=Y")</f>
        <v>10.0083</v>
      </c>
      <c r="W10" s="20">
        <f>_xll.BDH("GILD US Equity","ACCOUNTS_PAYABLE_TURNOVER","FQ4 2023","FQ4 2023","Currency=USD","Period=FQ","BEST_FPERIOD_OVERRIDE=FQ","FILING_STATUS=MR","FA_ADJUSTED=GAAP","Sort=A","Dates=H","DateFormat=P","Fill=—","Direction=H","UseDPDF=Y")</f>
        <v>9.3168000000000006</v>
      </c>
      <c r="X10" s="20">
        <f>_xll.BDH("GILD US Equity","ACCOUNTS_PAYABLE_TURNOVER","FQ1 2024","FQ1 2024","Currency=USD","Period=FQ","BEST_FPERIOD_OVERRIDE=FQ","FILING_STATUS=MR","FA_ADJUSTED=GAAP","Sort=A","Dates=H","DateFormat=P","Fill=—","Direction=H","UseDPDF=Y")</f>
        <v>11.0905</v>
      </c>
      <c r="Y10" s="20">
        <f>_xll.BDH("GILD US Equity","ACCOUNTS_PAYABLE_TURNOVER","FQ2 2024","FQ2 2024","Currency=USD","Period=FQ","BEST_FPERIOD_OVERRIDE=FQ","FILING_STATUS=MR","FA_ADJUSTED=GAAP","Sort=A","Dates=H","DateFormat=P","Fill=—","Direction=H","UseDPDF=Y")</f>
        <v>12.3279</v>
      </c>
      <c r="Z10" s="20">
        <f>_xll.BDH("GILD US Equity","ACCOUNTS_PAYABLE_TURNOVER","FQ3 2024","FQ3 2024","Currency=USD","Period=FQ","BEST_FPERIOD_OVERRIDE=FQ","FILING_STATUS=MR","FA_ADJUSTED=GAAP","Sort=A","Dates=H","DateFormat=P","Fill=—","Direction=H","UseDPDF=Y")</f>
        <v>9.3552999999999997</v>
      </c>
      <c r="AA10" s="20">
        <f>_xll.BDH("GILD US Equity","ACCOUNTS_PAYABLE_TURNOVER","FQ4 2024","FQ4 2024","Currency=USD","Period=FQ","BEST_FPERIOD_OVERRIDE=FQ","FILING_STATUS=MR","FA_ADJUSTED=GAAP","Sort=A","Dates=H","DateFormat=P","Fill=—","Direction=H","UseDPDF=Y")</f>
        <v>8.9283999999999999</v>
      </c>
    </row>
    <row r="11" spans="1:27" x14ac:dyDescent="0.25">
      <c r="A11" s="10" t="s">
        <v>1694</v>
      </c>
      <c r="B11" s="10" t="s">
        <v>1695</v>
      </c>
      <c r="C11" s="14">
        <f>_xll.BDH("GILD US Equity","ACCOUNTS_PAYABLE_TURNOVER_DAYS","FQ4 2018","FQ4 2018","Currency=USD","Period=FQ","BEST_FPERIOD_OVERRIDE=FQ","FILING_STATUS=MR","FA_ADJUSTED=GAAP","Sort=A","Dates=H","DateFormat=P","Fill=—","Direction=H","UseDPDF=Y")</f>
        <v>60.158200000000001</v>
      </c>
      <c r="D11" s="14">
        <f>_xll.BDH("GILD US Equity","ACCOUNTS_PAYABLE_TURNOVER_DAYS","FQ1 2019","FQ1 2019","Currency=USD","Period=FQ","BEST_FPERIOD_OVERRIDE=FQ","FILING_STATUS=MR","FA_ADJUSTED=GAAP","Sort=A","Dates=H","DateFormat=P","Fill=—","Direction=H","UseDPDF=Y")</f>
        <v>48.747399999999999</v>
      </c>
      <c r="E11" s="14">
        <f>_xll.BDH("GILD US Equity","ACCOUNTS_PAYABLE_TURNOVER_DAYS","FQ2 2019","FQ2 2019","Currency=USD","Period=FQ","BEST_FPERIOD_OVERRIDE=FQ","FILING_STATUS=MR","FA_ADJUSTED=GAAP","Sort=A","Dates=H","DateFormat=P","Fill=—","Direction=H","UseDPDF=Y")</f>
        <v>48.7926</v>
      </c>
      <c r="F11" s="14">
        <f>_xll.BDH("GILD US Equity","ACCOUNTS_PAYABLE_TURNOVER_DAYS","FQ3 2019","FQ3 2019","Currency=USD","Period=FQ","BEST_FPERIOD_OVERRIDE=FQ","FILING_STATUS=MR","FA_ADJUSTED=GAAP","Sort=A","Dates=H","DateFormat=P","Fill=—","Direction=H","UseDPDF=Y")</f>
        <v>47.793900000000001</v>
      </c>
      <c r="G11" s="14">
        <f>_xll.BDH("GILD US Equity","ACCOUNTS_PAYABLE_TURNOVER_DAYS","FQ4 2019","FQ4 2019","Currency=USD","Period=FQ","BEST_FPERIOD_OVERRIDE=FQ","FILING_STATUS=MR","FA_ADJUSTED=GAAP","Sort=A","Dates=H","DateFormat=P","Fill=—","Direction=H","UseDPDF=Y")</f>
        <v>57.348399999999998</v>
      </c>
      <c r="H11" s="14">
        <f>_xll.BDH("GILD US Equity","ACCOUNTS_PAYABLE_TURNOVER_DAYS","FQ1 2020","FQ1 2020","Currency=USD","Period=FQ","BEST_FPERIOD_OVERRIDE=FQ","FILING_STATUS=MR","FA_ADJUSTED=GAAP","Sort=A","Dates=H","DateFormat=P","Fill=—","Direction=H","UseDPDF=Y")</f>
        <v>44.724800000000002</v>
      </c>
      <c r="I11" s="14">
        <f>_xll.BDH("GILD US Equity","ACCOUNTS_PAYABLE_TURNOVER_DAYS","FQ2 2020","FQ2 2020","Currency=USD","Period=FQ","BEST_FPERIOD_OVERRIDE=FQ","FILING_STATUS=MR","FA_ADJUSTED=GAAP","Sort=A","Dates=H","DateFormat=P","Fill=—","Direction=H","UseDPDF=Y")</f>
        <v>42.745899999999999</v>
      </c>
      <c r="J11" s="14">
        <f>_xll.BDH("GILD US Equity","ACCOUNTS_PAYABLE_TURNOVER_DAYS","FQ3 2020","FQ3 2020","Currency=USD","Period=FQ","BEST_FPERIOD_OVERRIDE=FQ","FILING_STATUS=MR","FA_ADJUSTED=GAAP","Sort=A","Dates=H","DateFormat=P","Fill=—","Direction=H","UseDPDF=Y")</f>
        <v>42.564100000000003</v>
      </c>
      <c r="K11" s="14">
        <f>_xll.BDH("GILD US Equity","ACCOUNTS_PAYABLE_TURNOVER_DAYS","FQ4 2020","FQ4 2020","Currency=USD","Period=FQ","BEST_FPERIOD_OVERRIDE=FQ","FILING_STATUS=MR","FA_ADJUSTED=GAAP","Sort=A","Dates=H","DateFormat=P","Fill=—","Direction=H","UseDPDF=Y")</f>
        <v>53.427900000000001</v>
      </c>
      <c r="L11" s="14">
        <f>_xll.BDH("GILD US Equity","ACCOUNTS_PAYABLE_TURNOVER_DAYS","FQ1 2021","FQ1 2021","Currency=USD","Period=FQ","BEST_FPERIOD_OVERRIDE=FQ","FILING_STATUS=MR","FA_ADJUSTED=GAAP","Sort=A","Dates=H","DateFormat=P","Fill=—","Direction=H","UseDPDF=Y")</f>
        <v>36.772599999999997</v>
      </c>
      <c r="M11" s="14">
        <f>_xll.BDH("GILD US Equity","ACCOUNTS_PAYABLE_TURNOVER_DAYS","FQ2 2021","FQ2 2021","Currency=USD","Period=FQ","BEST_FPERIOD_OVERRIDE=FQ","FILING_STATUS=MR","FA_ADJUSTED=GAAP","Sort=A","Dates=H","DateFormat=P","Fill=—","Direction=H","UseDPDF=Y")</f>
        <v>34.6173</v>
      </c>
      <c r="N11" s="14">
        <f>_xll.BDH("GILD US Equity","ACCOUNTS_PAYABLE_TURNOVER_DAYS","FQ3 2021","FQ3 2021","Currency=USD","Period=FQ","BEST_FPERIOD_OVERRIDE=FQ","FILING_STATUS=MR","FA_ADJUSTED=GAAP","Sort=A","Dates=H","DateFormat=P","Fill=—","Direction=H","UseDPDF=Y")</f>
        <v>33.599299999999999</v>
      </c>
      <c r="O11" s="14">
        <f>_xll.BDH("GILD US Equity","ACCOUNTS_PAYABLE_TURNOVER_DAYS","FQ4 2021","FQ4 2021","Currency=USD","Period=FQ","BEST_FPERIOD_OVERRIDE=FQ","FILING_STATUS=MR","FA_ADJUSTED=GAAP","Sort=A","Dates=H","DateFormat=P","Fill=—","Direction=H","UseDPDF=Y")</f>
        <v>43.251600000000003</v>
      </c>
      <c r="P11" s="14">
        <f>_xll.BDH("GILD US Equity","ACCOUNTS_PAYABLE_TURNOVER_DAYS","FQ1 2022","FQ1 2022","Currency=USD","Period=FQ","BEST_FPERIOD_OVERRIDE=FQ","FILING_STATUS=MR","FA_ADJUSTED=GAAP","Sort=A","Dates=H","DateFormat=P","Fill=—","Direction=H","UseDPDF=Y")</f>
        <v>33.048900000000003</v>
      </c>
      <c r="Q11" s="14">
        <f>_xll.BDH("GILD US Equity","ACCOUNTS_PAYABLE_TURNOVER_DAYS","FQ2 2022","FQ2 2022","Currency=USD","Period=FQ","BEST_FPERIOD_OVERRIDE=FQ","FILING_STATUS=MR","FA_ADJUSTED=GAAP","Sort=A","Dates=H","DateFormat=P","Fill=—","Direction=H","UseDPDF=Y")</f>
        <v>33.256599999999999</v>
      </c>
      <c r="R11" s="14">
        <f>_xll.BDH("GILD US Equity","ACCOUNTS_PAYABLE_TURNOVER_DAYS","FQ3 2022","FQ3 2022","Currency=USD","Period=FQ","BEST_FPERIOD_OVERRIDE=FQ","FILING_STATUS=MR","FA_ADJUSTED=GAAP","Sort=A","Dates=H","DateFormat=P","Fill=—","Direction=H","UseDPDF=Y")</f>
        <v>32.781599999999997</v>
      </c>
      <c r="S11" s="14">
        <f>_xll.BDH("GILD US Equity","ACCOUNTS_PAYABLE_TURNOVER_DAYS","FQ4 2022","FQ4 2022","Currency=USD","Period=FQ","BEST_FPERIOD_OVERRIDE=FQ","FILING_STATUS=MR","FA_ADJUSTED=GAAP","Sort=A","Dates=H","DateFormat=P","Fill=—","Direction=H","UseDPDF=Y")</f>
        <v>52.979599999999998</v>
      </c>
      <c r="T11" s="14">
        <f>_xll.BDH("GILD US Equity","ACCOUNTS_PAYABLE_TURNOVER_DAYS","FQ1 2023","FQ1 2023","Currency=USD","Period=FQ","BEST_FPERIOD_OVERRIDE=FQ","FILING_STATUS=MR","FA_ADJUSTED=GAAP","Sort=A","Dates=H","DateFormat=P","Fill=—","Direction=H","UseDPDF=Y")</f>
        <v>38.551900000000003</v>
      </c>
      <c r="U11" s="14">
        <f>_xll.BDH("GILD US Equity","ACCOUNTS_PAYABLE_TURNOVER_DAYS","FQ2 2023","FQ2 2023","Currency=USD","Period=FQ","BEST_FPERIOD_OVERRIDE=FQ","FILING_STATUS=MR","FA_ADJUSTED=GAAP","Sort=A","Dates=H","DateFormat=P","Fill=—","Direction=H","UseDPDF=Y")</f>
        <v>37.517800000000001</v>
      </c>
      <c r="V11" s="14">
        <f>_xll.BDH("GILD US Equity","ACCOUNTS_PAYABLE_TURNOVER_DAYS","FQ3 2023","FQ3 2023","Currency=USD","Period=FQ","BEST_FPERIOD_OVERRIDE=FQ","FILING_STATUS=MR","FA_ADJUSTED=GAAP","Sort=A","Dates=H","DateFormat=P","Fill=—","Direction=H","UseDPDF=Y")</f>
        <v>36.4696</v>
      </c>
      <c r="W11" s="14">
        <f>_xll.BDH("GILD US Equity","ACCOUNTS_PAYABLE_TURNOVER_DAYS","FQ4 2023","FQ4 2023","Currency=USD","Period=FQ","BEST_FPERIOD_OVERRIDE=FQ","FILING_STATUS=MR","FA_ADJUSTED=GAAP","Sort=A","Dates=H","DateFormat=P","Fill=—","Direction=H","UseDPDF=Y")</f>
        <v>39.176400000000001</v>
      </c>
      <c r="X11" s="14">
        <f>_xll.BDH("GILD US Equity","ACCOUNTS_PAYABLE_TURNOVER_DAYS","FQ1 2024","FQ1 2024","Currency=USD","Period=FQ","BEST_FPERIOD_OVERRIDE=FQ","FILING_STATUS=MR","FA_ADJUSTED=GAAP","Sort=A","Dates=H","DateFormat=P","Fill=—","Direction=H","UseDPDF=Y")</f>
        <v>33.001300000000001</v>
      </c>
      <c r="Y11" s="14">
        <f>_xll.BDH("GILD US Equity","ACCOUNTS_PAYABLE_TURNOVER_DAYS","FQ2 2024","FQ2 2024","Currency=USD","Period=FQ","BEST_FPERIOD_OVERRIDE=FQ","FILING_STATUS=MR","FA_ADJUSTED=GAAP","Sort=A","Dates=H","DateFormat=P","Fill=—","Direction=H","UseDPDF=Y")</f>
        <v>29.688800000000001</v>
      </c>
      <c r="Z11" s="14">
        <f>_xll.BDH("GILD US Equity","ACCOUNTS_PAYABLE_TURNOVER_DAYS","FQ3 2024","FQ3 2024","Currency=USD","Period=FQ","BEST_FPERIOD_OVERRIDE=FQ","FILING_STATUS=MR","FA_ADJUSTED=GAAP","Sort=A","Dates=H","DateFormat=P","Fill=—","Direction=H","UseDPDF=Y")</f>
        <v>39.122300000000003</v>
      </c>
      <c r="AA11" s="14">
        <f>_xll.BDH("GILD US Equity","ACCOUNTS_PAYABLE_TURNOVER_DAYS","FQ4 2024","FQ4 2024","Currency=USD","Period=FQ","BEST_FPERIOD_OVERRIDE=FQ","FILING_STATUS=MR","FA_ADJUSTED=GAAP","Sort=A","Dates=H","DateFormat=P","Fill=—","Direction=H","UseDPDF=Y")</f>
        <v>40.992699999999999</v>
      </c>
    </row>
    <row r="12" spans="1:27" x14ac:dyDescent="0.25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6" t="s">
        <v>896</v>
      </c>
      <c r="B13" s="6" t="s">
        <v>897</v>
      </c>
      <c r="C13" s="20">
        <f>_xll.BDH("GILD US Equity","CASH_CONVERSION_CYCLE","FQ4 2018","FQ4 2018","Currency=USD","Period=FQ","BEST_FPERIOD_OVERRIDE=FQ","FILING_STATUS=MR","FA_ADJUSTED=GAAP","Sort=A","Dates=H","DateFormat=P","Fill=—","Direction=H","UseDPDF=Y")</f>
        <v>59.777799999999999</v>
      </c>
      <c r="D13" s="20">
        <f>_xll.BDH("GILD US Equity","CASH_CONVERSION_CYCLE","FQ1 2019","FQ1 2019","Currency=USD","Period=FQ","BEST_FPERIOD_OVERRIDE=FQ","FILING_STATUS=MR","FA_ADJUSTED=GAAP","Sort=A","Dates=H","DateFormat=P","Fill=—","Direction=H","UseDPDF=Y")</f>
        <v>76.626800000000003</v>
      </c>
      <c r="E13" s="20">
        <f>_xll.BDH("GILD US Equity","CASH_CONVERSION_CYCLE","FQ2 2019","FQ2 2019","Currency=USD","Period=FQ","BEST_FPERIOD_OVERRIDE=FQ","FILING_STATUS=MR","FA_ADJUSTED=GAAP","Sort=A","Dates=H","DateFormat=P","Fill=—","Direction=H","UseDPDF=Y")</f>
        <v>76.790800000000004</v>
      </c>
      <c r="F13" s="20">
        <f>_xll.BDH("GILD US Equity","CASH_CONVERSION_CYCLE","FQ3 2019","FQ3 2019","Currency=USD","Period=FQ","BEST_FPERIOD_OVERRIDE=FQ","FILING_STATUS=MR","FA_ADJUSTED=GAAP","Sort=A","Dates=H","DateFormat=P","Fill=—","Direction=H","UseDPDF=Y")</f>
        <v>75.4589</v>
      </c>
      <c r="G13" s="20">
        <f>_xll.BDH("GILD US Equity","CASH_CONVERSION_CYCLE","FQ4 2019","FQ4 2019","Currency=USD","Period=FQ","BEST_FPERIOD_OVERRIDE=FQ","FILING_STATUS=MR","FA_ADJUSTED=GAAP","Sort=A","Dates=H","DateFormat=P","Fill=—","Direction=H","UseDPDF=Y")</f>
        <v>66.587500000000006</v>
      </c>
      <c r="H13" s="20">
        <f>_xll.BDH("GILD US Equity","CASH_CONVERSION_CYCLE","FQ1 2020","FQ1 2020","Currency=USD","Period=FQ","BEST_FPERIOD_OVERRIDE=FQ","FILING_STATUS=MR","FA_ADJUSTED=GAAP","Sort=A","Dates=H","DateFormat=P","Fill=—","Direction=H","UseDPDF=Y")</f>
        <v>86.757000000000005</v>
      </c>
      <c r="I13" s="20">
        <f>_xll.BDH("GILD US Equity","CASH_CONVERSION_CYCLE","FQ2 2020","FQ2 2020","Currency=USD","Period=FQ","BEST_FPERIOD_OVERRIDE=FQ","FILING_STATUS=MR","FA_ADJUSTED=GAAP","Sort=A","Dates=H","DateFormat=P","Fill=—","Direction=H","UseDPDF=Y")</f>
        <v>86.212000000000003</v>
      </c>
      <c r="J13" s="20">
        <f>_xll.BDH("GILD US Equity","CASH_CONVERSION_CYCLE","FQ3 2020","FQ3 2020","Currency=USD","Period=FQ","BEST_FPERIOD_OVERRIDE=FQ","FILING_STATUS=MR","FA_ADJUSTED=GAAP","Sort=A","Dates=H","DateFormat=P","Fill=—","Direction=H","UseDPDF=Y")</f>
        <v>85.790999999999997</v>
      </c>
      <c r="K13" s="20">
        <f>_xll.BDH("GILD US Equity","CASH_CONVERSION_CYCLE","FQ4 2020","FQ4 2020","Currency=USD","Period=FQ","BEST_FPERIOD_OVERRIDE=FQ","FILING_STATUS=MR","FA_ADJUSTED=GAAP","Sort=A","Dates=H","DateFormat=P","Fill=—","Direction=H","UseDPDF=Y")</f>
        <v>113.6515</v>
      </c>
      <c r="L13" s="20">
        <f>_xll.BDH("GILD US Equity","CASH_CONVERSION_CYCLE","FQ1 2021","FQ1 2021","Currency=USD","Period=FQ","BEST_FPERIOD_OVERRIDE=FQ","FILING_STATUS=MR","FA_ADJUSTED=GAAP","Sort=A","Dates=H","DateFormat=P","Fill=—","Direction=H","UseDPDF=Y")</f>
        <v>120.794</v>
      </c>
      <c r="M13" s="20">
        <f>_xll.BDH("GILD US Equity","CASH_CONVERSION_CYCLE","FQ2 2021","FQ2 2021","Currency=USD","Period=FQ","BEST_FPERIOD_OVERRIDE=FQ","FILING_STATUS=MR","FA_ADJUSTED=GAAP","Sort=A","Dates=H","DateFormat=P","Fill=—","Direction=H","UseDPDF=Y")</f>
        <v>113.11579999999999</v>
      </c>
      <c r="N13" s="20">
        <f>_xll.BDH("GILD US Equity","CASH_CONVERSION_CYCLE","FQ3 2021","FQ3 2021","Currency=USD","Period=FQ","BEST_FPERIOD_OVERRIDE=FQ","FILING_STATUS=MR","FA_ADJUSTED=GAAP","Sort=A","Dates=H","DateFormat=P","Fill=—","Direction=H","UseDPDF=Y")</f>
        <v>113.88930000000001</v>
      </c>
      <c r="O13" s="20">
        <f>_xll.BDH("GILD US Equity","CASH_CONVERSION_CYCLE","FQ4 2021","FQ4 2021","Currency=USD","Period=FQ","BEST_FPERIOD_OVERRIDE=FQ","FILING_STATUS=MR","FA_ADJUSTED=GAAP","Sort=A","Dates=H","DateFormat=P","Fill=—","Direction=H","UseDPDF=Y")</f>
        <v>110.7393</v>
      </c>
      <c r="P13" s="20">
        <f>_xll.BDH("GILD US Equity","CASH_CONVERSION_CYCLE","FQ1 2022","FQ1 2022","Currency=USD","Period=FQ","BEST_FPERIOD_OVERRIDE=FQ","FILING_STATUS=MR","FA_ADJUSTED=GAAP","Sort=A","Dates=H","DateFormat=P","Fill=—","Direction=H","UseDPDF=Y")</f>
        <v>107.4885</v>
      </c>
      <c r="Q13" s="20">
        <f>_xll.BDH("GILD US Equity","CASH_CONVERSION_CYCLE","FQ2 2022","FQ2 2022","Currency=USD","Period=FQ","BEST_FPERIOD_OVERRIDE=FQ","FILING_STATUS=MR","FA_ADJUSTED=GAAP","Sort=A","Dates=H","DateFormat=P","Fill=—","Direction=H","UseDPDF=Y")</f>
        <v>110.2992</v>
      </c>
      <c r="R13" s="20">
        <f>_xll.BDH("GILD US Equity","CASH_CONVERSION_CYCLE","FQ3 2022","FQ3 2022","Currency=USD","Period=FQ","BEST_FPERIOD_OVERRIDE=FQ","FILING_STATUS=MR","FA_ADJUSTED=GAAP","Sort=A","Dates=H","DateFormat=P","Fill=—","Direction=H","UseDPDF=Y")</f>
        <v>110.3777</v>
      </c>
      <c r="S13" s="20">
        <f>_xll.BDH("GILD US Equity","CASH_CONVERSION_CYCLE","FQ4 2022","FQ4 2022","Currency=USD","Period=FQ","BEST_FPERIOD_OVERRIDE=FQ","FILING_STATUS=MR","FA_ADJUSTED=GAAP","Sort=A","Dates=H","DateFormat=P","Fill=—","Direction=H","UseDPDF=Y")</f>
        <v>109.84869999999999</v>
      </c>
      <c r="T13" s="20">
        <f>_xll.BDH("GILD US Equity","CASH_CONVERSION_CYCLE","FQ1 2023","FQ1 2023","Currency=USD","Period=FQ","BEST_FPERIOD_OVERRIDE=FQ","FILING_STATUS=MR","FA_ADJUSTED=GAAP","Sort=A","Dates=H","DateFormat=P","Fill=—","Direction=H","UseDPDF=Y")</f>
        <v>114.14870000000001</v>
      </c>
      <c r="U13" s="20">
        <f>_xll.BDH("GILD US Equity","CASH_CONVERSION_CYCLE","FQ2 2023","FQ2 2023","Currency=USD","Period=FQ","BEST_FPERIOD_OVERRIDE=FQ","FILING_STATUS=MR","FA_ADJUSTED=GAAP","Sort=A","Dates=H","DateFormat=P","Fill=—","Direction=H","UseDPDF=Y")</f>
        <v>119.374</v>
      </c>
      <c r="V13" s="20">
        <f>_xll.BDH("GILD US Equity","CASH_CONVERSION_CYCLE","FQ3 2023","FQ3 2023","Currency=USD","Period=FQ","BEST_FPERIOD_OVERRIDE=FQ","FILING_STATUS=MR","FA_ADJUSTED=GAAP","Sort=A","Dates=H","DateFormat=P","Fill=—","Direction=H","UseDPDF=Y")</f>
        <v>122.7796</v>
      </c>
      <c r="W13" s="20">
        <f>_xll.BDH("GILD US Equity","CASH_CONVERSION_CYCLE","FQ4 2023","FQ4 2023","Currency=USD","Period=FQ","BEST_FPERIOD_OVERRIDE=FQ","FILING_STATUS=MR","FA_ADJUSTED=GAAP","Sort=A","Dates=H","DateFormat=P","Fill=—","Direction=H","UseDPDF=Y")</f>
        <v>116.8494</v>
      </c>
      <c r="X13" s="20">
        <f>_xll.BDH("GILD US Equity","CASH_CONVERSION_CYCLE","FQ1 2024","FQ1 2024","Currency=USD","Period=FQ","BEST_FPERIOD_OVERRIDE=FQ","FILING_STATUS=MR","FA_ADJUSTED=GAAP","Sort=A","Dates=H","DateFormat=P","Fill=—","Direction=H","UseDPDF=Y")</f>
        <v>120.246</v>
      </c>
      <c r="Y13" s="20">
        <f>_xll.BDH("GILD US Equity","CASH_CONVERSION_CYCLE","FQ2 2024","FQ2 2024","Currency=USD","Period=FQ","BEST_FPERIOD_OVERRIDE=FQ","FILING_STATUS=MR","FA_ADJUSTED=GAAP","Sort=A","Dates=H","DateFormat=P","Fill=—","Direction=H","UseDPDF=Y")</f>
        <v>128.01920000000001</v>
      </c>
      <c r="Z13" s="20">
        <f>_xll.BDH("GILD US Equity","CASH_CONVERSION_CYCLE","FQ3 2024","FQ3 2024","Currency=USD","Period=FQ","BEST_FPERIOD_OVERRIDE=FQ","FILING_STATUS=MR","FA_ADJUSTED=GAAP","Sort=A","Dates=H","DateFormat=P","Fill=—","Direction=H","UseDPDF=Y")</f>
        <v>117.1574</v>
      </c>
      <c r="AA13" s="20">
        <f>_xll.BDH("GILD US Equity","CASH_CONVERSION_CYCLE","FQ4 2024","FQ4 2024","Currency=USD","Period=FQ","BEST_FPERIOD_OVERRIDE=FQ","FILING_STATUS=MR","FA_ADJUSTED=GAAP","Sort=A","Dates=H","DateFormat=P","Fill=—","Direction=H","UseDPDF=Y")</f>
        <v>119.17319999999999</v>
      </c>
    </row>
    <row r="14" spans="1:27" x14ac:dyDescent="0.25">
      <c r="A14" s="6" t="s">
        <v>1696</v>
      </c>
      <c r="B14" s="6" t="s">
        <v>1697</v>
      </c>
      <c r="C14" s="20">
        <f>_xll.BDH("GILD US Equity","INV_TO_CASH_DAYS","FQ4 2018","FQ4 2018","Currency=USD","Period=FQ","BEST_FPERIOD_OVERRIDE=FQ","FILING_STATUS=MR","FA_ADJUSTED=GAAP","Sort=A","Dates=H","DateFormat=P","Fill=—","Direction=H","UseDPDF=Y")</f>
        <v>119.9361</v>
      </c>
      <c r="D14" s="20">
        <f>_xll.BDH("GILD US Equity","INV_TO_CASH_DAYS","FQ1 2019","FQ1 2019","Currency=USD","Period=FQ","BEST_FPERIOD_OVERRIDE=FQ","FILING_STATUS=MR","FA_ADJUSTED=GAAP","Sort=A","Dates=H","DateFormat=P","Fill=—","Direction=H","UseDPDF=Y")</f>
        <v>125.3742</v>
      </c>
      <c r="E14" s="20">
        <f>_xll.BDH("GILD US Equity","INV_TO_CASH_DAYS","FQ2 2019","FQ2 2019","Currency=USD","Period=FQ","BEST_FPERIOD_OVERRIDE=FQ","FILING_STATUS=MR","FA_ADJUSTED=GAAP","Sort=A","Dates=H","DateFormat=P","Fill=—","Direction=H","UseDPDF=Y")</f>
        <v>125.5834</v>
      </c>
      <c r="F14" s="20">
        <f>_xll.BDH("GILD US Equity","INV_TO_CASH_DAYS","FQ3 2019","FQ3 2019","Currency=USD","Period=FQ","BEST_FPERIOD_OVERRIDE=FQ","FILING_STATUS=MR","FA_ADJUSTED=GAAP","Sort=A","Dates=H","DateFormat=P","Fill=—","Direction=H","UseDPDF=Y")</f>
        <v>123.2527</v>
      </c>
      <c r="G14" s="20">
        <f>_xll.BDH("GILD US Equity","INV_TO_CASH_DAYS","FQ4 2019","FQ4 2019","Currency=USD","Period=FQ","BEST_FPERIOD_OVERRIDE=FQ","FILING_STATUS=MR","FA_ADJUSTED=GAAP","Sort=A","Dates=H","DateFormat=P","Fill=—","Direction=H","UseDPDF=Y")</f>
        <v>123.93600000000001</v>
      </c>
      <c r="H14" s="20">
        <f>_xll.BDH("GILD US Equity","INV_TO_CASH_DAYS","FQ1 2020","FQ1 2020","Currency=USD","Period=FQ","BEST_FPERIOD_OVERRIDE=FQ","FILING_STATUS=MR","FA_ADJUSTED=GAAP","Sort=A","Dates=H","DateFormat=P","Fill=—","Direction=H","UseDPDF=Y")</f>
        <v>131.48179999999999</v>
      </c>
      <c r="I14" s="20">
        <f>_xll.BDH("GILD US Equity","INV_TO_CASH_DAYS","FQ2 2020","FQ2 2020","Currency=USD","Period=FQ","BEST_FPERIOD_OVERRIDE=FQ","FILING_STATUS=MR","FA_ADJUSTED=GAAP","Sort=A","Dates=H","DateFormat=P","Fill=—","Direction=H","UseDPDF=Y")</f>
        <v>128.9579</v>
      </c>
      <c r="J14" s="20">
        <f>_xll.BDH("GILD US Equity","INV_TO_CASH_DAYS","FQ3 2020","FQ3 2020","Currency=USD","Period=FQ","BEST_FPERIOD_OVERRIDE=FQ","FILING_STATUS=MR","FA_ADJUSTED=GAAP","Sort=A","Dates=H","DateFormat=P","Fill=—","Direction=H","UseDPDF=Y")</f>
        <v>128.35509999999999</v>
      </c>
      <c r="K14" s="20">
        <f>_xll.BDH("GILD US Equity","INV_TO_CASH_DAYS","FQ4 2020","FQ4 2020","Currency=USD","Period=FQ","BEST_FPERIOD_OVERRIDE=FQ","FILING_STATUS=MR","FA_ADJUSTED=GAAP","Sort=A","Dates=H","DateFormat=P","Fill=—","Direction=H","UseDPDF=Y")</f>
        <v>167.07939999999999</v>
      </c>
      <c r="L14" s="20">
        <f>_xll.BDH("GILD US Equity","INV_TO_CASH_DAYS","FQ1 2021","FQ1 2021","Currency=USD","Period=FQ","BEST_FPERIOD_OVERRIDE=FQ","FILING_STATUS=MR","FA_ADJUSTED=GAAP","Sort=A","Dates=H","DateFormat=P","Fill=—","Direction=H","UseDPDF=Y")</f>
        <v>157.56659999999999</v>
      </c>
      <c r="M14" s="20">
        <f>_xll.BDH("GILD US Equity","INV_TO_CASH_DAYS","FQ2 2021","FQ2 2021","Currency=USD","Period=FQ","BEST_FPERIOD_OVERRIDE=FQ","FILING_STATUS=MR","FA_ADJUSTED=GAAP","Sort=A","Dates=H","DateFormat=P","Fill=—","Direction=H","UseDPDF=Y")</f>
        <v>147.73310000000001</v>
      </c>
      <c r="N14" s="20">
        <f>_xll.BDH("GILD US Equity","INV_TO_CASH_DAYS","FQ3 2021","FQ3 2021","Currency=USD","Period=FQ","BEST_FPERIOD_OVERRIDE=FQ","FILING_STATUS=MR","FA_ADJUSTED=GAAP","Sort=A","Dates=H","DateFormat=P","Fill=—","Direction=H","UseDPDF=Y")</f>
        <v>147.48859999999999</v>
      </c>
      <c r="O14" s="20">
        <f>_xll.BDH("GILD US Equity","INV_TO_CASH_DAYS","FQ4 2021","FQ4 2021","Currency=USD","Period=FQ","BEST_FPERIOD_OVERRIDE=FQ","FILING_STATUS=MR","FA_ADJUSTED=GAAP","Sort=A","Dates=H","DateFormat=P","Fill=—","Direction=H","UseDPDF=Y")</f>
        <v>153.99090000000001</v>
      </c>
      <c r="P14" s="20">
        <f>_xll.BDH("GILD US Equity","INV_TO_CASH_DAYS","FQ1 2022","FQ1 2022","Currency=USD","Period=FQ","BEST_FPERIOD_OVERRIDE=FQ","FILING_STATUS=MR","FA_ADJUSTED=GAAP","Sort=A","Dates=H","DateFormat=P","Fill=—","Direction=H","UseDPDF=Y")</f>
        <v>140.53739999999999</v>
      </c>
      <c r="Q14" s="20">
        <f>_xll.BDH("GILD US Equity","INV_TO_CASH_DAYS","FQ2 2022","FQ2 2022","Currency=USD","Period=FQ","BEST_FPERIOD_OVERRIDE=FQ","FILING_STATUS=MR","FA_ADJUSTED=GAAP","Sort=A","Dates=H","DateFormat=P","Fill=—","Direction=H","UseDPDF=Y")</f>
        <v>143.5557</v>
      </c>
      <c r="R14" s="20">
        <f>_xll.BDH("GILD US Equity","INV_TO_CASH_DAYS","FQ3 2022","FQ3 2022","Currency=USD","Period=FQ","BEST_FPERIOD_OVERRIDE=FQ","FILING_STATUS=MR","FA_ADJUSTED=GAAP","Sort=A","Dates=H","DateFormat=P","Fill=—","Direction=H","UseDPDF=Y")</f>
        <v>143.1593</v>
      </c>
      <c r="S14" s="20">
        <f>_xll.BDH("GILD US Equity","INV_TO_CASH_DAYS","FQ4 2022","FQ4 2022","Currency=USD","Period=FQ","BEST_FPERIOD_OVERRIDE=FQ","FILING_STATUS=MR","FA_ADJUSTED=GAAP","Sort=A","Dates=H","DateFormat=P","Fill=—","Direction=H","UseDPDF=Y")</f>
        <v>162.82830000000001</v>
      </c>
      <c r="T14" s="20">
        <f>_xll.BDH("GILD US Equity","INV_TO_CASH_DAYS","FQ1 2023","FQ1 2023","Currency=USD","Period=FQ","BEST_FPERIOD_OVERRIDE=FQ","FILING_STATUS=MR","FA_ADJUSTED=GAAP","Sort=A","Dates=H","DateFormat=P","Fill=—","Direction=H","UseDPDF=Y")</f>
        <v>152.70050000000001</v>
      </c>
      <c r="U14" s="20">
        <f>_xll.BDH("GILD US Equity","INV_TO_CASH_DAYS","FQ2 2023","FQ2 2023","Currency=USD","Period=FQ","BEST_FPERIOD_OVERRIDE=FQ","FILING_STATUS=MR","FA_ADJUSTED=GAAP","Sort=A","Dates=H","DateFormat=P","Fill=—","Direction=H","UseDPDF=Y")</f>
        <v>156.89179999999999</v>
      </c>
      <c r="V14" s="20">
        <f>_xll.BDH("GILD US Equity","INV_TO_CASH_DAYS","FQ3 2023","FQ3 2023","Currency=USD","Period=FQ","BEST_FPERIOD_OVERRIDE=FQ","FILING_STATUS=MR","FA_ADJUSTED=GAAP","Sort=A","Dates=H","DateFormat=P","Fill=—","Direction=H","UseDPDF=Y")</f>
        <v>159.24930000000001</v>
      </c>
      <c r="W14" s="20">
        <f>_xll.BDH("GILD US Equity","INV_TO_CASH_DAYS","FQ4 2023","FQ4 2023","Currency=USD","Period=FQ","BEST_FPERIOD_OVERRIDE=FQ","FILING_STATUS=MR","FA_ADJUSTED=GAAP","Sort=A","Dates=H","DateFormat=P","Fill=—","Direction=H","UseDPDF=Y")</f>
        <v>156.0258</v>
      </c>
      <c r="X14" s="20">
        <f>_xll.BDH("GILD US Equity","INV_TO_CASH_DAYS","FQ1 2024","FQ1 2024","Currency=USD","Period=FQ","BEST_FPERIOD_OVERRIDE=FQ","FILING_STATUS=MR","FA_ADJUSTED=GAAP","Sort=A","Dates=H","DateFormat=P","Fill=—","Direction=H","UseDPDF=Y")</f>
        <v>153.2473</v>
      </c>
      <c r="Y14" s="20">
        <f>_xll.BDH("GILD US Equity","INV_TO_CASH_DAYS","FQ2 2024","FQ2 2024","Currency=USD","Period=FQ","BEST_FPERIOD_OVERRIDE=FQ","FILING_STATUS=MR","FA_ADJUSTED=GAAP","Sort=A","Dates=H","DateFormat=P","Fill=—","Direction=H","UseDPDF=Y")</f>
        <v>157.708</v>
      </c>
      <c r="Z14" s="20">
        <f>_xll.BDH("GILD US Equity","INV_TO_CASH_DAYS","FQ3 2024","FQ3 2024","Currency=USD","Period=FQ","BEST_FPERIOD_OVERRIDE=FQ","FILING_STATUS=MR","FA_ADJUSTED=GAAP","Sort=A","Dates=H","DateFormat=P","Fill=—","Direction=H","UseDPDF=Y")</f>
        <v>156.27969999999999</v>
      </c>
      <c r="AA14" s="20">
        <f>_xll.BDH("GILD US Equity","INV_TO_CASH_DAYS","FQ4 2024","FQ4 2024","Currency=USD","Period=FQ","BEST_FPERIOD_OVERRIDE=FQ","FILING_STATUS=MR","FA_ADJUSTED=GAAP","Sort=A","Dates=H","DateFormat=P","Fill=—","Direction=H","UseDPDF=Y")</f>
        <v>160.16589999999999</v>
      </c>
    </row>
    <row r="15" spans="1:27" x14ac:dyDescent="0.25">
      <c r="A15" s="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x14ac:dyDescent="0.25">
      <c r="A16" s="6" t="s">
        <v>1698</v>
      </c>
      <c r="B16" s="6" t="s">
        <v>757</v>
      </c>
      <c r="C16" s="19">
        <f>_xll.BDH("GILD US Equity","BS_INVENTORIES","FQ4 2018","FQ4 2018","Currency=USD","Period=FQ","BEST_FPERIOD_OVERRIDE=FQ","FILING_STATUS=MR","SCALING_FORMAT=MLN","Sort=A","Dates=H","DateFormat=P","Fill=—","Direction=H","UseDPDF=Y")</f>
        <v>814</v>
      </c>
      <c r="D16" s="19">
        <f>_xll.BDH("GILD US Equity","BS_INVENTORIES","FQ1 2019","FQ1 2019","Currency=USD","Period=FQ","BEST_FPERIOD_OVERRIDE=FQ","FILING_STATUS=MR","SCALING_FORMAT=MLN","Sort=A","Dates=H","DateFormat=P","Fill=—","Direction=H","UseDPDF=Y")</f>
        <v>898</v>
      </c>
      <c r="E16" s="19">
        <f>_xll.BDH("GILD US Equity","BS_INVENTORIES","FQ2 2019","FQ2 2019","Currency=USD","Period=FQ","BEST_FPERIOD_OVERRIDE=FQ","FILING_STATUS=MR","SCALING_FORMAT=MLN","Sort=A","Dates=H","DateFormat=P","Fill=—","Direction=H","UseDPDF=Y")</f>
        <v>884</v>
      </c>
      <c r="F16" s="19">
        <f>_xll.BDH("GILD US Equity","BS_INVENTORIES","FQ3 2019","FQ3 2019","Currency=USD","Period=FQ","BEST_FPERIOD_OVERRIDE=FQ","FILING_STATUS=MR","SCALING_FORMAT=MLN","Sort=A","Dates=H","DateFormat=P","Fill=—","Direction=H","UseDPDF=Y")</f>
        <v>882</v>
      </c>
      <c r="G16" s="19">
        <f>_xll.BDH("GILD US Equity","BS_INVENTORIES","FQ4 2019","FQ4 2019","Currency=USD","Period=FQ","BEST_FPERIOD_OVERRIDE=FQ","FILING_STATUS=MR","SCALING_FORMAT=MLN","Sort=A","Dates=H","DateFormat=P","Fill=—","Direction=H","UseDPDF=Y")</f>
        <v>922</v>
      </c>
      <c r="H16" s="19">
        <f>_xll.BDH("GILD US Equity","BS_INVENTORIES","FQ1 2020","FQ1 2020","Currency=USD","Period=FQ","BEST_FPERIOD_OVERRIDE=FQ","FILING_STATUS=MR","SCALING_FORMAT=MLN","Sort=A","Dates=H","DateFormat=P","Fill=—","Direction=H","UseDPDF=Y")</f>
        <v>986</v>
      </c>
      <c r="I16" s="19">
        <f>_xll.BDH("GILD US Equity","BS_INVENTORIES","FQ2 2020","FQ2 2020","Currency=USD","Period=FQ","BEST_FPERIOD_OVERRIDE=FQ","FILING_STATUS=MR","SCALING_FORMAT=MLN","Sort=A","Dates=H","DateFormat=P","Fill=—","Direction=H","UseDPDF=Y")</f>
        <v>1052</v>
      </c>
      <c r="J16" s="19">
        <f>_xll.BDH("GILD US Equity","BS_INVENTORIES","FQ3 2020","FQ3 2020","Currency=USD","Period=FQ","BEST_FPERIOD_OVERRIDE=FQ","FILING_STATUS=MR","SCALING_FORMAT=MLN","Sort=A","Dates=H","DateFormat=P","Fill=—","Direction=H","UseDPDF=Y")</f>
        <v>1008</v>
      </c>
      <c r="K16" s="19">
        <f>_xll.BDH("GILD US Equity","BS_INVENTORIES","FQ4 2020","FQ4 2020","Currency=USD","Period=FQ","BEST_FPERIOD_OVERRIDE=FQ","FILING_STATUS=MR","SCALING_FORMAT=MLN","Sort=A","Dates=H","DateFormat=P","Fill=—","Direction=H","UseDPDF=Y")</f>
        <v>1683</v>
      </c>
      <c r="L16" s="19">
        <f>_xll.BDH("GILD US Equity","BS_INVENTORIES","FQ1 2021","FQ1 2021","Currency=USD","Period=FQ","BEST_FPERIOD_OVERRIDE=FQ","FILING_STATUS=MR","SCALING_FORMAT=MLN","Sort=A","Dates=H","DateFormat=P","Fill=—","Direction=H","UseDPDF=Y")</f>
        <v>1779</v>
      </c>
      <c r="M16" s="19">
        <f>_xll.BDH("GILD US Equity","BS_INVENTORIES","FQ2 2021","FQ2 2021","Currency=USD","Period=FQ","BEST_FPERIOD_OVERRIDE=FQ","FILING_STATUS=MR","SCALING_FORMAT=MLN","Sort=A","Dates=H","DateFormat=P","Fill=—","Direction=H","UseDPDF=Y")</f>
        <v>1772</v>
      </c>
      <c r="N16" s="19">
        <f>_xll.BDH("GILD US Equity","BS_INVENTORIES","FQ3 2021","FQ3 2021","Currency=USD","Period=FQ","BEST_FPERIOD_OVERRIDE=FQ","FILING_STATUS=MR","SCALING_FORMAT=MLN","Sort=A","Dates=H","DateFormat=P","Fill=—","Direction=H","UseDPDF=Y")</f>
        <v>1676</v>
      </c>
      <c r="O16" s="19">
        <f>_xll.BDH("GILD US Equity","BS_INVENTORIES","FQ4 2021","FQ4 2021","Currency=USD","Period=FQ","BEST_FPERIOD_OVERRIDE=FQ","FILING_STATUS=MR","SCALING_FORMAT=MLN","Sort=A","Dates=H","DateFormat=P","Fill=—","Direction=H","UseDPDF=Y")</f>
        <v>1618</v>
      </c>
      <c r="P16" s="19">
        <f>_xll.BDH("GILD US Equity","BS_INVENTORIES","FQ1 2022","FQ1 2022","Currency=USD","Period=FQ","BEST_FPERIOD_OVERRIDE=FQ","FILING_STATUS=MR","SCALING_FORMAT=MLN","Sort=A","Dates=H","DateFormat=P","Fill=—","Direction=H","UseDPDF=Y")</f>
        <v>1482</v>
      </c>
      <c r="Q16" s="19">
        <f>_xll.BDH("GILD US Equity","BS_INVENTORIES","FQ2 2022","FQ2 2022","Currency=USD","Period=FQ","BEST_FPERIOD_OVERRIDE=FQ","FILING_STATUS=MR","SCALING_FORMAT=MLN","Sort=A","Dates=H","DateFormat=P","Fill=—","Direction=H","UseDPDF=Y")</f>
        <v>1493</v>
      </c>
      <c r="R16" s="19">
        <f>_xll.BDH("GILD US Equity","BS_INVENTORIES","FQ3 2022","FQ3 2022","Currency=USD","Period=FQ","BEST_FPERIOD_OVERRIDE=FQ","FILING_STATUS=MR","SCALING_FORMAT=MLN","Sort=A","Dates=H","DateFormat=P","Fill=—","Direction=H","UseDPDF=Y")</f>
        <v>1463</v>
      </c>
      <c r="S16" s="19">
        <f>_xll.BDH("GILD US Equity","BS_INVENTORIES","FQ4 2022","FQ4 2022","Currency=USD","Period=FQ","BEST_FPERIOD_OVERRIDE=FQ","FILING_STATUS=MR","SCALING_FORMAT=MLN","Sort=A","Dates=H","DateFormat=P","Fill=—","Direction=H","UseDPDF=Y")</f>
        <v>1507</v>
      </c>
      <c r="T16" s="19">
        <f>_xll.BDH("GILD US Equity","BS_INVENTORIES","FQ1 2023","FQ1 2023","Currency=USD","Period=FQ","BEST_FPERIOD_OVERRIDE=FQ","FILING_STATUS=MR","SCALING_FORMAT=MLN","Sort=A","Dates=H","DateFormat=P","Fill=—","Direction=H","UseDPDF=Y")</f>
        <v>1576</v>
      </c>
      <c r="U16" s="19">
        <f>_xll.BDH("GILD US Equity","BS_INVENTORIES","FQ2 2023","FQ2 2023","Currency=USD","Period=FQ","BEST_FPERIOD_OVERRIDE=FQ","FILING_STATUS=MR","SCALING_FORMAT=MLN","Sort=A","Dates=H","DateFormat=P","Fill=—","Direction=H","UseDPDF=Y")</f>
        <v>1633</v>
      </c>
      <c r="V16" s="19">
        <f>_xll.BDH("GILD US Equity","BS_INVENTORIES","FQ3 2023","FQ3 2023","Currency=USD","Period=FQ","BEST_FPERIOD_OVERRIDE=FQ","FILING_STATUS=MR","SCALING_FORMAT=MLN","Sort=A","Dates=H","DateFormat=P","Fill=—","Direction=H","UseDPDF=Y")</f>
        <v>1664</v>
      </c>
      <c r="W16" s="19">
        <f>_xll.BDH("GILD US Equity","BS_INVENTORIES","FQ4 2023","FQ4 2023","Currency=USD","Period=FQ","BEST_FPERIOD_OVERRIDE=FQ","FILING_STATUS=MR","SCALING_FORMAT=MLN","Sort=A","Dates=H","DateFormat=P","Fill=—","Direction=H","UseDPDF=Y")</f>
        <v>1787</v>
      </c>
      <c r="X16" s="19">
        <f>_xll.BDH("GILD US Equity","BS_INVENTORIES","FQ1 2024","FQ1 2024","Currency=USD","Period=FQ","BEST_FPERIOD_OVERRIDE=FQ","FILING_STATUS=MR","SCALING_FORMAT=MLN","Sort=A","Dates=H","DateFormat=P","Fill=—","Direction=H","UseDPDF=Y")</f>
        <v>1853</v>
      </c>
      <c r="Y16" s="19">
        <f>_xll.BDH("GILD US Equity","BS_INVENTORIES","FQ2 2024","FQ2 2024","Currency=USD","Period=FQ","BEST_FPERIOD_OVERRIDE=FQ","FILING_STATUS=MR","SCALING_FORMAT=MLN","Sort=A","Dates=H","DateFormat=P","Fill=—","Direction=H","UseDPDF=Y")</f>
        <v>2026</v>
      </c>
      <c r="Z16" s="19">
        <f>_xll.BDH("GILD US Equity","BS_INVENTORIES","FQ3 2024","FQ3 2024","Currency=USD","Period=FQ","BEST_FPERIOD_OVERRIDE=FQ","FILING_STATUS=MR","SCALING_FORMAT=MLN","Sort=A","Dates=H","DateFormat=P","Fill=—","Direction=H","UseDPDF=Y")</f>
        <v>1869</v>
      </c>
      <c r="AA16" s="19">
        <f>_xll.BDH("GILD US Equity","BS_INVENTORIES","FQ4 2024","FQ4 2024","Currency=USD","Period=FQ","BEST_FPERIOD_OVERRIDE=FQ","FILING_STATUS=MR","SCALING_FORMAT=MLN","Sort=A","Dates=H","DateFormat=P","Fill=—","Direction=H","UseDPDF=Y")</f>
        <v>1710</v>
      </c>
    </row>
    <row r="17" spans="1:27" x14ac:dyDescent="0.25">
      <c r="A17" s="10" t="s">
        <v>1699</v>
      </c>
      <c r="B17" s="10" t="s">
        <v>759</v>
      </c>
      <c r="C17" s="13">
        <f>_xll.BDH("GILD US Equity","INVTRY_RAW_MATERIALS","FQ4 2018","FQ4 2018","Currency=USD","Period=FQ","BEST_FPERIOD_OVERRIDE=FQ","FILING_STATUS=MR","SCALING_FORMAT=MLN","Sort=A","Dates=H","DateFormat=P","Fill=—","Direction=H","UseDPDF=Y")</f>
        <v>1888</v>
      </c>
      <c r="D17" s="13">
        <f>_xll.BDH("GILD US Equity","INVTRY_RAW_MATERIALS","FQ1 2019","FQ1 2019","Currency=USD","Period=FQ","BEST_FPERIOD_OVERRIDE=FQ","FILING_STATUS=MR","SCALING_FORMAT=MLN","Sort=A","Dates=H","DateFormat=P","Fill=—","Direction=H","UseDPDF=Y")</f>
        <v>1860</v>
      </c>
      <c r="E17" s="13">
        <f>_xll.BDH("GILD US Equity","INVTRY_RAW_MATERIALS","FQ2 2019","FQ2 2019","Currency=USD","Period=FQ","BEST_FPERIOD_OVERRIDE=FQ","FILING_STATUS=MR","SCALING_FORMAT=MLN","Sort=A","Dates=H","DateFormat=P","Fill=—","Direction=H","UseDPDF=Y")</f>
        <v>1832</v>
      </c>
      <c r="F17" s="13">
        <f>_xll.BDH("GILD US Equity","INVTRY_RAW_MATERIALS","FQ3 2019","FQ3 2019","Currency=USD","Period=FQ","BEST_FPERIOD_OVERRIDE=FQ","FILING_STATUS=MR","SCALING_FORMAT=MLN","Sort=A","Dates=H","DateFormat=P","Fill=—","Direction=H","UseDPDF=Y")</f>
        <v>1776</v>
      </c>
      <c r="G17" s="13">
        <f>_xll.BDH("GILD US Equity","INVTRY_RAW_MATERIALS","FQ4 2019","FQ4 2019","Currency=USD","Period=FQ","BEST_FPERIOD_OVERRIDE=FQ","FILING_STATUS=MR","SCALING_FORMAT=MLN","Sort=A","Dates=H","DateFormat=P","Fill=—","Direction=H","UseDPDF=Y")</f>
        <v>1348</v>
      </c>
      <c r="H17" s="13">
        <f>_xll.BDH("GILD US Equity","INVTRY_RAW_MATERIALS","FQ1 2020","FQ1 2020","Currency=USD","Period=FQ","BEST_FPERIOD_OVERRIDE=FQ","FILING_STATUS=MR","SCALING_FORMAT=MLN","Sort=A","Dates=H","DateFormat=P","Fill=—","Direction=H","UseDPDF=Y")</f>
        <v>1237</v>
      </c>
      <c r="I17" s="13">
        <f>_xll.BDH("GILD US Equity","INVTRY_RAW_MATERIALS","FQ2 2020","FQ2 2020","Currency=USD","Period=FQ","BEST_FPERIOD_OVERRIDE=FQ","FILING_STATUS=MR","SCALING_FORMAT=MLN","Sort=A","Dates=H","DateFormat=P","Fill=—","Direction=H","UseDPDF=Y")</f>
        <v>1142</v>
      </c>
      <c r="J17" s="13">
        <f>_xll.BDH("GILD US Equity","INVTRY_RAW_MATERIALS","FQ3 2020","FQ3 2020","Currency=USD","Period=FQ","BEST_FPERIOD_OVERRIDE=FQ","FILING_STATUS=MR","SCALING_FORMAT=MLN","Sort=A","Dates=H","DateFormat=P","Fill=—","Direction=H","UseDPDF=Y")</f>
        <v>1061</v>
      </c>
      <c r="K17" s="13">
        <f>_xll.BDH("GILD US Equity","INVTRY_RAW_MATERIALS","FQ4 2020","FQ4 2020","Currency=USD","Period=FQ","BEST_FPERIOD_OVERRIDE=FQ","FILING_STATUS=MR","SCALING_FORMAT=MLN","Sort=A","Dates=H","DateFormat=P","Fill=—","Direction=H","UseDPDF=Y")</f>
        <v>1080</v>
      </c>
      <c r="L17" s="13">
        <f>_xll.BDH("GILD US Equity","INVTRY_RAW_MATERIALS","FQ1 2021","FQ1 2021","Currency=USD","Period=FQ","BEST_FPERIOD_OVERRIDE=FQ","FILING_STATUS=MR","SCALING_FORMAT=MLN","Sort=A","Dates=H","DateFormat=P","Fill=—","Direction=H","UseDPDF=Y")</f>
        <v>1023</v>
      </c>
      <c r="M17" s="13">
        <f>_xll.BDH("GILD US Equity","INVTRY_RAW_MATERIALS","FQ2 2021","FQ2 2021","Currency=USD","Period=FQ","BEST_FPERIOD_OVERRIDE=FQ","FILING_STATUS=MR","SCALING_FORMAT=MLN","Sort=A","Dates=H","DateFormat=P","Fill=—","Direction=H","UseDPDF=Y")</f>
        <v>1021</v>
      </c>
      <c r="N17" s="13">
        <f>_xll.BDH("GILD US Equity","INVTRY_RAW_MATERIALS","FQ3 2021","FQ3 2021","Currency=USD","Period=FQ","BEST_FPERIOD_OVERRIDE=FQ","FILING_STATUS=MR","SCALING_FORMAT=MLN","Sort=A","Dates=H","DateFormat=P","Fill=—","Direction=H","UseDPDF=Y")</f>
        <v>1067</v>
      </c>
      <c r="O17" s="13">
        <f>_xll.BDH("GILD US Equity","INVTRY_RAW_MATERIALS","FQ4 2021","FQ4 2021","Currency=USD","Period=FQ","BEST_FPERIOD_OVERRIDE=FQ","FILING_STATUS=MR","SCALING_FORMAT=MLN","Sort=A","Dates=H","DateFormat=P","Fill=—","Direction=H","UseDPDF=Y")</f>
        <v>1112</v>
      </c>
      <c r="P17" s="13">
        <f>_xll.BDH("GILD US Equity","INVTRY_RAW_MATERIALS","FQ1 2022","FQ1 2022","Currency=USD","Period=FQ","BEST_FPERIOD_OVERRIDE=FQ","FILING_STATUS=MR","SCALING_FORMAT=MLN","Sort=A","Dates=H","DateFormat=P","Fill=—","Direction=H","UseDPDF=Y")</f>
        <v>1091</v>
      </c>
      <c r="Q17" s="13">
        <f>_xll.BDH("GILD US Equity","INVTRY_RAW_MATERIALS","FQ2 2022","FQ2 2022","Currency=USD","Period=FQ","BEST_FPERIOD_OVERRIDE=FQ","FILING_STATUS=MR","SCALING_FORMAT=MLN","Sort=A","Dates=H","DateFormat=P","Fill=—","Direction=H","UseDPDF=Y")</f>
        <v>1067</v>
      </c>
      <c r="R17" s="13">
        <f>_xll.BDH("GILD US Equity","INVTRY_RAW_MATERIALS","FQ3 2022","FQ3 2022","Currency=USD","Period=FQ","BEST_FPERIOD_OVERRIDE=FQ","FILING_STATUS=MR","SCALING_FORMAT=MLN","Sort=A","Dates=H","DateFormat=P","Fill=—","Direction=H","UseDPDF=Y")</f>
        <v>1133</v>
      </c>
      <c r="S17" s="13">
        <f>_xll.BDH("GILD US Equity","INVTRY_RAW_MATERIALS","FQ4 2022","FQ4 2022","Currency=USD","Period=FQ","BEST_FPERIOD_OVERRIDE=FQ","FILING_STATUS=MR","SCALING_FORMAT=MLN","Sort=A","Dates=H","DateFormat=P","Fill=—","Direction=H","UseDPDF=Y")</f>
        <v>1177</v>
      </c>
      <c r="T17" s="13">
        <f>_xll.BDH("GILD US Equity","INVTRY_RAW_MATERIALS","FQ1 2023","FQ1 2023","Currency=USD","Period=FQ","BEST_FPERIOD_OVERRIDE=FQ","FILING_STATUS=MR","SCALING_FORMAT=MLN","Sort=A","Dates=H","DateFormat=P","Fill=—","Direction=H","UseDPDF=Y")</f>
        <v>1157</v>
      </c>
      <c r="U17" s="13">
        <f>_xll.BDH("GILD US Equity","INVTRY_RAW_MATERIALS","FQ2 2023","FQ2 2023","Currency=USD","Period=FQ","BEST_FPERIOD_OVERRIDE=FQ","FILING_STATUS=MR","SCALING_FORMAT=MLN","Sort=A","Dates=H","DateFormat=P","Fill=—","Direction=H","UseDPDF=Y")</f>
        <v>1231</v>
      </c>
      <c r="V17" s="13">
        <f>_xll.BDH("GILD US Equity","INVTRY_RAW_MATERIALS","FQ3 2023","FQ3 2023","Currency=USD","Period=FQ","BEST_FPERIOD_OVERRIDE=FQ","FILING_STATUS=MR","SCALING_FORMAT=MLN","Sort=A","Dates=H","DateFormat=P","Fill=—","Direction=H","UseDPDF=Y")</f>
        <v>1266</v>
      </c>
      <c r="W17" s="13">
        <f>_xll.BDH("GILD US Equity","INVTRY_RAW_MATERIALS","FQ4 2023","FQ4 2023","Currency=USD","Period=FQ","BEST_FPERIOD_OVERRIDE=FQ","FILING_STATUS=MR","SCALING_FORMAT=MLN","Sort=A","Dates=H","DateFormat=P","Fill=—","Direction=H","UseDPDF=Y")</f>
        <v>1246</v>
      </c>
      <c r="X17" s="13">
        <f>_xll.BDH("GILD US Equity","INVTRY_RAW_MATERIALS","FQ1 2024","FQ1 2024","Currency=USD","Period=FQ","BEST_FPERIOD_OVERRIDE=FQ","FILING_STATUS=MR","SCALING_FORMAT=MLN","Sort=A","Dates=H","DateFormat=P","Fill=—","Direction=H","UseDPDF=Y")</f>
        <v>1237</v>
      </c>
      <c r="Y17" s="13">
        <f>_xll.BDH("GILD US Equity","INVTRY_RAW_MATERIALS","FQ2 2024","FQ2 2024","Currency=USD","Period=FQ","BEST_FPERIOD_OVERRIDE=FQ","FILING_STATUS=MR","SCALING_FORMAT=MLN","Sort=A","Dates=H","DateFormat=P","Fill=—","Direction=H","UseDPDF=Y")</f>
        <v>1259</v>
      </c>
      <c r="Z17" s="13">
        <f>_xll.BDH("GILD US Equity","INVTRY_RAW_MATERIALS","FQ3 2024","FQ3 2024","Currency=USD","Period=FQ","BEST_FPERIOD_OVERRIDE=FQ","FILING_STATUS=MR","SCALING_FORMAT=MLN","Sort=A","Dates=H","DateFormat=P","Fill=—","Direction=H","UseDPDF=Y")</f>
        <v>1332</v>
      </c>
      <c r="AA17" s="13">
        <f>_xll.BDH("GILD US Equity","INVTRY_RAW_MATERIALS","FQ4 2024","FQ4 2024","Currency=USD","Period=FQ","BEST_FPERIOD_OVERRIDE=FQ","FILING_STATUS=MR","SCALING_FORMAT=MLN","Sort=A","Dates=H","DateFormat=P","Fill=—","Direction=H","UseDPDF=Y")</f>
        <v>1295</v>
      </c>
    </row>
    <row r="18" spans="1:27" x14ac:dyDescent="0.25">
      <c r="A18" s="10" t="s">
        <v>1700</v>
      </c>
      <c r="B18" s="10" t="s">
        <v>761</v>
      </c>
      <c r="C18" s="13">
        <f>_xll.BDH("GILD US Equity","INVTRY_IN_PROGRESS","FQ4 2018","FQ4 2018","Currency=USD","Period=FQ","BEST_FPERIOD_OVERRIDE=FQ","FILING_STATUS=MR","SCALING_FORMAT=MLN","Sort=A","Dates=H","DateFormat=P","Fill=—","Direction=H","UseDPDF=Y")</f>
        <v>235</v>
      </c>
      <c r="D18" s="13">
        <f>_xll.BDH("GILD US Equity","INVTRY_IN_PROGRESS","FQ1 2019","FQ1 2019","Currency=USD","Period=FQ","BEST_FPERIOD_OVERRIDE=FQ","FILING_STATUS=MR","SCALING_FORMAT=MLN","Sort=A","Dates=H","DateFormat=P","Fill=—","Direction=H","UseDPDF=Y")</f>
        <v>267</v>
      </c>
      <c r="E18" s="13">
        <f>_xll.BDH("GILD US Equity","INVTRY_IN_PROGRESS","FQ2 2019","FQ2 2019","Currency=USD","Period=FQ","BEST_FPERIOD_OVERRIDE=FQ","FILING_STATUS=MR","SCALING_FORMAT=MLN","Sort=A","Dates=H","DateFormat=P","Fill=—","Direction=H","UseDPDF=Y")</f>
        <v>265</v>
      </c>
      <c r="F18" s="13">
        <f>_xll.BDH("GILD US Equity","INVTRY_IN_PROGRESS","FQ3 2019","FQ3 2019","Currency=USD","Period=FQ","BEST_FPERIOD_OVERRIDE=FQ","FILING_STATUS=MR","SCALING_FORMAT=MLN","Sort=A","Dates=H","DateFormat=P","Fill=—","Direction=H","UseDPDF=Y")</f>
        <v>257</v>
      </c>
      <c r="G18" s="13">
        <f>_xll.BDH("GILD US Equity","INVTRY_IN_PROGRESS","FQ4 2019","FQ4 2019","Currency=USD","Period=FQ","BEST_FPERIOD_OVERRIDE=FQ","FILING_STATUS=MR","SCALING_FORMAT=MLN","Sort=A","Dates=H","DateFormat=P","Fill=—","Direction=H","UseDPDF=Y")</f>
        <v>170</v>
      </c>
      <c r="H18" s="13">
        <f>_xll.BDH("GILD US Equity","INVTRY_IN_PROGRESS","FQ1 2020","FQ1 2020","Currency=USD","Period=FQ","BEST_FPERIOD_OVERRIDE=FQ","FILING_STATUS=MR","SCALING_FORMAT=MLN","Sort=A","Dates=H","DateFormat=P","Fill=—","Direction=H","UseDPDF=Y")</f>
        <v>188</v>
      </c>
      <c r="I18" s="13">
        <f>_xll.BDH("GILD US Equity","INVTRY_IN_PROGRESS","FQ2 2020","FQ2 2020","Currency=USD","Period=FQ","BEST_FPERIOD_OVERRIDE=FQ","FILING_STATUS=MR","SCALING_FORMAT=MLN","Sort=A","Dates=H","DateFormat=P","Fill=—","Direction=H","UseDPDF=Y")</f>
        <v>180</v>
      </c>
      <c r="J18" s="13">
        <f>_xll.BDH("GILD US Equity","INVTRY_IN_PROGRESS","FQ3 2020","FQ3 2020","Currency=USD","Period=FQ","BEST_FPERIOD_OVERRIDE=FQ","FILING_STATUS=MR","SCALING_FORMAT=MLN","Sort=A","Dates=H","DateFormat=P","Fill=—","Direction=H","UseDPDF=Y")</f>
        <v>182</v>
      </c>
      <c r="K18" s="13">
        <f>_xll.BDH("GILD US Equity","INVTRY_IN_PROGRESS","FQ4 2020","FQ4 2020","Currency=USD","Period=FQ","BEST_FPERIOD_OVERRIDE=FQ","FILING_STATUS=MR","SCALING_FORMAT=MLN","Sort=A","Dates=H","DateFormat=P","Fill=—","Direction=H","UseDPDF=Y")</f>
        <v>976</v>
      </c>
      <c r="L18" s="13">
        <f>_xll.BDH("GILD US Equity","INVTRY_IN_PROGRESS","FQ1 2021","FQ1 2021","Currency=USD","Period=FQ","BEST_FPERIOD_OVERRIDE=FQ","FILING_STATUS=MR","SCALING_FORMAT=MLN","Sort=A","Dates=H","DateFormat=P","Fill=—","Direction=H","UseDPDF=Y")</f>
        <v>856</v>
      </c>
      <c r="M18" s="13">
        <f>_xll.BDH("GILD US Equity","INVTRY_IN_PROGRESS","FQ2 2021","FQ2 2021","Currency=USD","Period=FQ","BEST_FPERIOD_OVERRIDE=FQ","FILING_STATUS=MR","SCALING_FORMAT=MLN","Sort=A","Dates=H","DateFormat=P","Fill=—","Direction=H","UseDPDF=Y")</f>
        <v>924</v>
      </c>
      <c r="N18" s="13">
        <f>_xll.BDH("GILD US Equity","INVTRY_IN_PROGRESS","FQ3 2021","FQ3 2021","Currency=USD","Period=FQ","BEST_FPERIOD_OVERRIDE=FQ","FILING_STATUS=MR","SCALING_FORMAT=MLN","Sort=A","Dates=H","DateFormat=P","Fill=—","Direction=H","UseDPDF=Y")</f>
        <v>727</v>
      </c>
      <c r="O18" s="13">
        <f>_xll.BDH("GILD US Equity","INVTRY_IN_PROGRESS","FQ4 2021","FQ4 2021","Currency=USD","Period=FQ","BEST_FPERIOD_OVERRIDE=FQ","FILING_STATUS=MR","SCALING_FORMAT=MLN","Sort=A","Dates=H","DateFormat=P","Fill=—","Direction=H","UseDPDF=Y")</f>
        <v>590</v>
      </c>
      <c r="P18" s="13">
        <f>_xll.BDH("GILD US Equity","INVTRY_IN_PROGRESS","FQ1 2022","FQ1 2022","Currency=USD","Period=FQ","BEST_FPERIOD_OVERRIDE=FQ","FILING_STATUS=MR","SCALING_FORMAT=MLN","Sort=A","Dates=H","DateFormat=P","Fill=—","Direction=H","UseDPDF=Y")</f>
        <v>540</v>
      </c>
      <c r="Q18" s="13">
        <f>_xll.BDH("GILD US Equity","INVTRY_IN_PROGRESS","FQ2 2022","FQ2 2022","Currency=USD","Period=FQ","BEST_FPERIOD_OVERRIDE=FQ","FILING_STATUS=MR","SCALING_FORMAT=MLN","Sort=A","Dates=H","DateFormat=P","Fill=—","Direction=H","UseDPDF=Y")</f>
        <v>484</v>
      </c>
      <c r="R18" s="13">
        <f>_xll.BDH("GILD US Equity","INVTRY_IN_PROGRESS","FQ3 2022","FQ3 2022","Currency=USD","Period=FQ","BEST_FPERIOD_OVERRIDE=FQ","FILING_STATUS=MR","SCALING_FORMAT=MLN","Sort=A","Dates=H","DateFormat=P","Fill=—","Direction=H","UseDPDF=Y")</f>
        <v>430</v>
      </c>
      <c r="S18" s="13">
        <f>_xll.BDH("GILD US Equity","INVTRY_IN_PROGRESS","FQ4 2022","FQ4 2022","Currency=USD","Period=FQ","BEST_FPERIOD_OVERRIDE=FQ","FILING_STATUS=MR","SCALING_FORMAT=MLN","Sort=A","Dates=H","DateFormat=P","Fill=—","Direction=H","UseDPDF=Y")</f>
        <v>577</v>
      </c>
      <c r="T18" s="13">
        <f>_xll.BDH("GILD US Equity","INVTRY_IN_PROGRESS","FQ1 2023","FQ1 2023","Currency=USD","Period=FQ","BEST_FPERIOD_OVERRIDE=FQ","FILING_STATUS=MR","SCALING_FORMAT=MLN","Sort=A","Dates=H","DateFormat=P","Fill=—","Direction=H","UseDPDF=Y")</f>
        <v>570</v>
      </c>
      <c r="U18" s="13">
        <f>_xll.BDH("GILD US Equity","INVTRY_IN_PROGRESS","FQ2 2023","FQ2 2023","Currency=USD","Period=FQ","BEST_FPERIOD_OVERRIDE=FQ","FILING_STATUS=MR","SCALING_FORMAT=MLN","Sort=A","Dates=H","DateFormat=P","Fill=—","Direction=H","UseDPDF=Y")</f>
        <v>622</v>
      </c>
      <c r="V18" s="13">
        <f>_xll.BDH("GILD US Equity","INVTRY_IN_PROGRESS","FQ3 2023","FQ3 2023","Currency=USD","Period=FQ","BEST_FPERIOD_OVERRIDE=FQ","FILING_STATUS=MR","SCALING_FORMAT=MLN","Sort=A","Dates=H","DateFormat=P","Fill=—","Direction=H","UseDPDF=Y")</f>
        <v>614</v>
      </c>
      <c r="W18" s="13">
        <f>_xll.BDH("GILD US Equity","INVTRY_IN_PROGRESS","FQ4 2023","FQ4 2023","Currency=USD","Period=FQ","BEST_FPERIOD_OVERRIDE=FQ","FILING_STATUS=MR","SCALING_FORMAT=MLN","Sort=A","Dates=H","DateFormat=P","Fill=—","Direction=H","UseDPDF=Y")</f>
        <v>847</v>
      </c>
      <c r="X18" s="13">
        <f>_xll.BDH("GILD US Equity","INVTRY_IN_PROGRESS","FQ1 2024","FQ1 2024","Currency=USD","Period=FQ","BEST_FPERIOD_OVERRIDE=FQ","FILING_STATUS=MR","SCALING_FORMAT=MLN","Sort=A","Dates=H","DateFormat=P","Fill=—","Direction=H","UseDPDF=Y")</f>
        <v>778</v>
      </c>
      <c r="Y18" s="13">
        <f>_xll.BDH("GILD US Equity","INVTRY_IN_PROGRESS","FQ2 2024","FQ2 2024","Currency=USD","Period=FQ","BEST_FPERIOD_OVERRIDE=FQ","FILING_STATUS=MR","SCALING_FORMAT=MLN","Sort=A","Dates=H","DateFormat=P","Fill=—","Direction=H","UseDPDF=Y")</f>
        <v>803</v>
      </c>
      <c r="Z18" s="13">
        <f>_xll.BDH("GILD US Equity","INVTRY_IN_PROGRESS","FQ3 2024","FQ3 2024","Currency=USD","Period=FQ","BEST_FPERIOD_OVERRIDE=FQ","FILING_STATUS=MR","SCALING_FORMAT=MLN","Sort=A","Dates=H","DateFormat=P","Fill=—","Direction=H","UseDPDF=Y")</f>
        <v>684</v>
      </c>
      <c r="AA18" s="13">
        <f>_xll.BDH("GILD US Equity","INVTRY_IN_PROGRESS","FQ4 2024","FQ4 2024","Currency=USD","Period=FQ","BEST_FPERIOD_OVERRIDE=FQ","FILING_STATUS=MR","SCALING_FORMAT=MLN","Sort=A","Dates=H","DateFormat=P","Fill=—","Direction=H","UseDPDF=Y")</f>
        <v>847</v>
      </c>
    </row>
    <row r="19" spans="1:27" x14ac:dyDescent="0.25">
      <c r="A19" s="10" t="s">
        <v>1701</v>
      </c>
      <c r="B19" s="10" t="s">
        <v>763</v>
      </c>
      <c r="C19" s="13">
        <f>_xll.BDH("GILD US Equity","INVTRY_FINISHED_GOODS","FQ4 2018","FQ4 2018","Currency=USD","Period=FQ","BEST_FPERIOD_OVERRIDE=FQ","FILING_STATUS=MR","SCALING_FORMAT=MLN","Sort=A","Dates=H","DateFormat=P","Fill=—","Direction=H","UseDPDF=Y")</f>
        <v>507</v>
      </c>
      <c r="D19" s="13">
        <f>_xll.BDH("GILD US Equity","INVTRY_FINISHED_GOODS","FQ1 2019","FQ1 2019","Currency=USD","Period=FQ","BEST_FPERIOD_OVERRIDE=FQ","FILING_STATUS=MR","SCALING_FORMAT=MLN","Sort=A","Dates=H","DateFormat=P","Fill=—","Direction=H","UseDPDF=Y")</f>
        <v>501</v>
      </c>
      <c r="E19" s="13">
        <f>_xll.BDH("GILD US Equity","INVTRY_FINISHED_GOODS","FQ2 2019","FQ2 2019","Currency=USD","Period=FQ","BEST_FPERIOD_OVERRIDE=FQ","FILING_STATUS=MR","SCALING_FORMAT=MLN","Sort=A","Dates=H","DateFormat=P","Fill=—","Direction=H","UseDPDF=Y")</f>
        <v>498</v>
      </c>
      <c r="F19" s="13">
        <f>_xll.BDH("GILD US Equity","INVTRY_FINISHED_GOODS","FQ3 2019","FQ3 2019","Currency=USD","Period=FQ","BEST_FPERIOD_OVERRIDE=FQ","FILING_STATUS=MR","SCALING_FORMAT=MLN","Sort=A","Dates=H","DateFormat=P","Fill=—","Direction=H","UseDPDF=Y")</f>
        <v>524</v>
      </c>
      <c r="G19" s="13">
        <f>_xll.BDH("GILD US Equity","INVTRY_FINISHED_GOODS","FQ4 2019","FQ4 2019","Currency=USD","Period=FQ","BEST_FPERIOD_OVERRIDE=FQ","FILING_STATUS=MR","SCALING_FORMAT=MLN","Sort=A","Dates=H","DateFormat=P","Fill=—","Direction=H","UseDPDF=Y")</f>
        <v>549</v>
      </c>
      <c r="H19" s="13">
        <f>_xll.BDH("GILD US Equity","INVTRY_FINISHED_GOODS","FQ1 2020","FQ1 2020","Currency=USD","Period=FQ","BEST_FPERIOD_OVERRIDE=FQ","FILING_STATUS=MR","SCALING_FORMAT=MLN","Sort=A","Dates=H","DateFormat=P","Fill=—","Direction=H","UseDPDF=Y")</f>
        <v>596</v>
      </c>
      <c r="I19" s="13">
        <f>_xll.BDH("GILD US Equity","INVTRY_FINISHED_GOODS","FQ2 2020","FQ2 2020","Currency=USD","Period=FQ","BEST_FPERIOD_OVERRIDE=FQ","FILING_STATUS=MR","SCALING_FORMAT=MLN","Sort=A","Dates=H","DateFormat=P","Fill=—","Direction=H","UseDPDF=Y")</f>
        <v>645</v>
      </c>
      <c r="J19" s="13">
        <f>_xll.BDH("GILD US Equity","INVTRY_FINISHED_GOODS","FQ3 2020","FQ3 2020","Currency=USD","Period=FQ","BEST_FPERIOD_OVERRIDE=FQ","FILING_STATUS=MR","SCALING_FORMAT=MLN","Sort=A","Dates=H","DateFormat=P","Fill=—","Direction=H","UseDPDF=Y")</f>
        <v>710</v>
      </c>
      <c r="K19" s="13">
        <f>_xll.BDH("GILD US Equity","INVTRY_FINISHED_GOODS","FQ4 2020","FQ4 2020","Currency=USD","Period=FQ","BEST_FPERIOD_OVERRIDE=FQ","FILING_STATUS=MR","SCALING_FORMAT=MLN","Sort=A","Dates=H","DateFormat=P","Fill=—","Direction=H","UseDPDF=Y")</f>
        <v>958</v>
      </c>
      <c r="L19" s="13">
        <f>_xll.BDH("GILD US Equity","INVTRY_FINISHED_GOODS","FQ1 2021","FQ1 2021","Currency=USD","Period=FQ","BEST_FPERIOD_OVERRIDE=FQ","FILING_STATUS=MR","SCALING_FORMAT=MLN","Sort=A","Dates=H","DateFormat=P","Fill=—","Direction=H","UseDPDF=Y")</f>
        <v>1117</v>
      </c>
      <c r="M19" s="13">
        <f>_xll.BDH("GILD US Equity","INVTRY_FINISHED_GOODS","FQ2 2021","FQ2 2021","Currency=USD","Period=FQ","BEST_FPERIOD_OVERRIDE=FQ","FILING_STATUS=MR","SCALING_FORMAT=MLN","Sort=A","Dates=H","DateFormat=P","Fill=—","Direction=H","UseDPDF=Y")</f>
        <v>1043</v>
      </c>
      <c r="N19" s="13">
        <f>_xll.BDH("GILD US Equity","INVTRY_FINISHED_GOODS","FQ3 2021","FQ3 2021","Currency=USD","Period=FQ","BEST_FPERIOD_OVERRIDE=FQ","FILING_STATUS=MR","SCALING_FORMAT=MLN","Sort=A","Dates=H","DateFormat=P","Fill=—","Direction=H","UseDPDF=Y")</f>
        <v>1003</v>
      </c>
      <c r="O19" s="13">
        <f>_xll.BDH("GILD US Equity","INVTRY_FINISHED_GOODS","FQ4 2021","FQ4 2021","Currency=USD","Period=FQ","BEST_FPERIOD_OVERRIDE=FQ","FILING_STATUS=MR","SCALING_FORMAT=MLN","Sort=A","Dates=H","DateFormat=P","Fill=—","Direction=H","UseDPDF=Y")</f>
        <v>1032</v>
      </c>
      <c r="P19" s="13">
        <f>_xll.BDH("GILD US Equity","INVTRY_FINISHED_GOODS","FQ1 2022","FQ1 2022","Currency=USD","Period=FQ","BEST_FPERIOD_OVERRIDE=FQ","FILING_STATUS=MR","SCALING_FORMAT=MLN","Sort=A","Dates=H","DateFormat=P","Fill=—","Direction=H","UseDPDF=Y")</f>
        <v>1044</v>
      </c>
      <c r="Q19" s="13">
        <f>_xll.BDH("GILD US Equity","INVTRY_FINISHED_GOODS","FQ2 2022","FQ2 2022","Currency=USD","Period=FQ","BEST_FPERIOD_OVERRIDE=FQ","FILING_STATUS=MR","SCALING_FORMAT=MLN","Sort=A","Dates=H","DateFormat=P","Fill=—","Direction=H","UseDPDF=Y")</f>
        <v>1036</v>
      </c>
      <c r="R19" s="13">
        <f>_xll.BDH("GILD US Equity","INVTRY_FINISHED_GOODS","FQ3 2022","FQ3 2022","Currency=USD","Period=FQ","BEST_FPERIOD_OVERRIDE=FQ","FILING_STATUS=MR","SCALING_FORMAT=MLN","Sort=A","Dates=H","DateFormat=P","Fill=—","Direction=H","UseDPDF=Y")</f>
        <v>1039</v>
      </c>
      <c r="S19" s="13">
        <f>_xll.BDH("GILD US Equity","INVTRY_FINISHED_GOODS","FQ4 2022","FQ4 2022","Currency=USD","Period=FQ","BEST_FPERIOD_OVERRIDE=FQ","FILING_STATUS=MR","SCALING_FORMAT=MLN","Sort=A","Dates=H","DateFormat=P","Fill=—","Direction=H","UseDPDF=Y")</f>
        <v>1066</v>
      </c>
      <c r="T19" s="13">
        <f>_xll.BDH("GILD US Equity","INVTRY_FINISHED_GOODS","FQ1 2023","FQ1 2023","Currency=USD","Period=FQ","BEST_FPERIOD_OVERRIDE=FQ","FILING_STATUS=MR","SCALING_FORMAT=MLN","Sort=A","Dates=H","DateFormat=P","Fill=—","Direction=H","UseDPDF=Y")</f>
        <v>1283</v>
      </c>
      <c r="U19" s="13">
        <f>_xll.BDH("GILD US Equity","INVTRY_FINISHED_GOODS","FQ2 2023","FQ2 2023","Currency=USD","Period=FQ","BEST_FPERIOD_OVERRIDE=FQ","FILING_STATUS=MR","SCALING_FORMAT=MLN","Sort=A","Dates=H","DateFormat=P","Fill=—","Direction=H","UseDPDF=Y")</f>
        <v>1327</v>
      </c>
      <c r="V19" s="13">
        <f>_xll.BDH("GILD US Equity","INVTRY_FINISHED_GOODS","FQ3 2023","FQ3 2023","Currency=USD","Period=FQ","BEST_FPERIOD_OVERRIDE=FQ","FILING_STATUS=MR","SCALING_FORMAT=MLN","Sort=A","Dates=H","DateFormat=P","Fill=—","Direction=H","UseDPDF=Y")</f>
        <v>1323</v>
      </c>
      <c r="W19" s="13">
        <f>_xll.BDH("GILD US Equity","INVTRY_FINISHED_GOODS","FQ4 2023","FQ4 2023","Currency=USD","Period=FQ","BEST_FPERIOD_OVERRIDE=FQ","FILING_STATUS=MR","SCALING_FORMAT=MLN","Sort=A","Dates=H","DateFormat=P","Fill=—","Direction=H","UseDPDF=Y")</f>
        <v>1272</v>
      </c>
      <c r="X19" s="13">
        <f>_xll.BDH("GILD US Equity","INVTRY_FINISHED_GOODS","FQ1 2024","FQ1 2024","Currency=USD","Period=FQ","BEST_FPERIOD_OVERRIDE=FQ","FILING_STATUS=MR","SCALING_FORMAT=MLN","Sort=A","Dates=H","DateFormat=P","Fill=—","Direction=H","UseDPDF=Y")</f>
        <v>1348</v>
      </c>
      <c r="Y19" s="13">
        <f>_xll.BDH("GILD US Equity","INVTRY_FINISHED_GOODS","FQ2 2024","FQ2 2024","Currency=USD","Period=FQ","BEST_FPERIOD_OVERRIDE=FQ","FILING_STATUS=MR","SCALING_FORMAT=MLN","Sort=A","Dates=H","DateFormat=P","Fill=—","Direction=H","UseDPDF=Y")</f>
        <v>1326</v>
      </c>
      <c r="Z19" s="13">
        <f>_xll.BDH("GILD US Equity","INVTRY_FINISHED_GOODS","FQ3 2024","FQ3 2024","Currency=USD","Period=FQ","BEST_FPERIOD_OVERRIDE=FQ","FILING_STATUS=MR","SCALING_FORMAT=MLN","Sort=A","Dates=H","DateFormat=P","Fill=—","Direction=H","UseDPDF=Y")</f>
        <v>1419</v>
      </c>
      <c r="AA19" s="13">
        <f>_xll.BDH("GILD US Equity","INVTRY_FINISHED_GOODS","FQ4 2024","FQ4 2024","Currency=USD","Period=FQ","BEST_FPERIOD_OVERRIDE=FQ","FILING_STATUS=MR","SCALING_FORMAT=MLN","Sort=A","Dates=H","DateFormat=P","Fill=—","Direction=H","UseDPDF=Y")</f>
        <v>1447</v>
      </c>
    </row>
    <row r="20" spans="1:27" x14ac:dyDescent="0.25">
      <c r="A20" s="10" t="s">
        <v>1702</v>
      </c>
      <c r="B20" s="10" t="s">
        <v>765</v>
      </c>
      <c r="C20" s="13">
        <f>_xll.BDH("GILD US Equity","BS_OTHER_INV","FQ4 2018","FQ4 2018","Currency=USD","Period=FQ","BEST_FPERIOD_OVERRIDE=FQ","FILING_STATUS=MR","SCALING_FORMAT=MLN","Sort=A","Dates=H","DateFormat=P","Fill=—","Direction=H","UseDPDF=Y")</f>
        <v>-1816</v>
      </c>
      <c r="D20" s="13">
        <f>_xll.BDH("GILD US Equity","BS_OTHER_INV","FQ1 2019","FQ1 2019","Currency=USD","Period=FQ","BEST_FPERIOD_OVERRIDE=FQ","FILING_STATUS=MR","SCALING_FORMAT=MLN","Sort=A","Dates=H","DateFormat=P","Fill=—","Direction=H","UseDPDF=Y")</f>
        <v>-1730</v>
      </c>
      <c r="E20" s="13">
        <f>_xll.BDH("GILD US Equity","BS_OTHER_INV","FQ2 2019","FQ2 2019","Currency=USD","Period=FQ","BEST_FPERIOD_OVERRIDE=FQ","FILING_STATUS=MR","SCALING_FORMAT=MLN","Sort=A","Dates=H","DateFormat=P","Fill=—","Direction=H","UseDPDF=Y")</f>
        <v>-1711</v>
      </c>
      <c r="F20" s="13">
        <f>_xll.BDH("GILD US Equity","BS_OTHER_INV","FQ3 2019","FQ3 2019","Currency=USD","Period=FQ","BEST_FPERIOD_OVERRIDE=FQ","FILING_STATUS=MR","SCALING_FORMAT=MLN","Sort=A","Dates=H","DateFormat=P","Fill=—","Direction=H","UseDPDF=Y")</f>
        <v>-1675</v>
      </c>
      <c r="G20" s="13">
        <f>_xll.BDH("GILD US Equity","BS_OTHER_INV","FQ4 2019","FQ4 2019","Currency=USD","Period=FQ","BEST_FPERIOD_OVERRIDE=FQ","FILING_STATUS=MR","SCALING_FORMAT=MLN","Sort=A","Dates=H","DateFormat=P","Fill=—","Direction=H","UseDPDF=Y")</f>
        <v>-1145</v>
      </c>
      <c r="H20" s="13">
        <f>_xll.BDH("GILD US Equity","BS_OTHER_INV","FQ1 2020","FQ1 2020","Currency=USD","Period=FQ","BEST_FPERIOD_OVERRIDE=FQ","FILING_STATUS=MR","SCALING_FORMAT=MLN","Sort=A","Dates=H","DateFormat=P","Fill=—","Direction=H","UseDPDF=Y")</f>
        <v>-1035</v>
      </c>
      <c r="I20" s="13">
        <f>_xll.BDH("GILD US Equity","BS_OTHER_INV","FQ2 2020","FQ2 2020","Currency=USD","Period=FQ","BEST_FPERIOD_OVERRIDE=FQ","FILING_STATUS=MR","SCALING_FORMAT=MLN","Sort=A","Dates=H","DateFormat=P","Fill=—","Direction=H","UseDPDF=Y")</f>
        <v>-915</v>
      </c>
      <c r="J20" s="13">
        <f>_xll.BDH("GILD US Equity","BS_OTHER_INV","FQ3 2020","FQ3 2020","Currency=USD","Period=FQ","BEST_FPERIOD_OVERRIDE=FQ","FILING_STATUS=MR","SCALING_FORMAT=MLN","Sort=A","Dates=H","DateFormat=P","Fill=—","Direction=H","UseDPDF=Y")</f>
        <v>-945</v>
      </c>
      <c r="K20" s="13">
        <f>_xll.BDH("GILD US Equity","BS_OTHER_INV","FQ4 2020","FQ4 2020","Currency=USD","Period=FQ","BEST_FPERIOD_OVERRIDE=FQ","FILING_STATUS=MR","SCALING_FORMAT=MLN","Sort=A","Dates=H","DateFormat=P","Fill=—","Direction=H","UseDPDF=Y")</f>
        <v>-1331</v>
      </c>
      <c r="L20" s="13">
        <f>_xll.BDH("GILD US Equity","BS_OTHER_INV","FQ1 2021","FQ1 2021","Currency=USD","Period=FQ","BEST_FPERIOD_OVERRIDE=FQ","FILING_STATUS=MR","SCALING_FORMAT=MLN","Sort=A","Dates=H","DateFormat=P","Fill=—","Direction=H","UseDPDF=Y")</f>
        <v>-1217</v>
      </c>
      <c r="M20" s="13">
        <f>_xll.BDH("GILD US Equity","BS_OTHER_INV","FQ2 2021","FQ2 2021","Currency=USD","Period=FQ","BEST_FPERIOD_OVERRIDE=FQ","FILING_STATUS=MR","SCALING_FORMAT=MLN","Sort=A","Dates=H","DateFormat=P","Fill=—","Direction=H","UseDPDF=Y")</f>
        <v>-1216</v>
      </c>
      <c r="N20" s="13">
        <f>_xll.BDH("GILD US Equity","BS_OTHER_INV","FQ3 2021","FQ3 2021","Currency=USD","Period=FQ","BEST_FPERIOD_OVERRIDE=FQ","FILING_STATUS=MR","SCALING_FORMAT=MLN","Sort=A","Dates=H","DateFormat=P","Fill=—","Direction=H","UseDPDF=Y")</f>
        <v>-1121</v>
      </c>
      <c r="O20" s="13">
        <f>_xll.BDH("GILD US Equity","BS_OTHER_INV","FQ4 2021","FQ4 2021","Currency=USD","Period=FQ","BEST_FPERIOD_OVERRIDE=FQ","FILING_STATUS=MR","SCALING_FORMAT=MLN","Sort=A","Dates=H","DateFormat=P","Fill=—","Direction=H","UseDPDF=Y")</f>
        <v>-1116</v>
      </c>
      <c r="P20" s="13">
        <f>_xll.BDH("GILD US Equity","BS_OTHER_INV","FQ1 2022","FQ1 2022","Currency=USD","Period=FQ","BEST_FPERIOD_OVERRIDE=FQ","FILING_STATUS=MR","SCALING_FORMAT=MLN","Sort=A","Dates=H","DateFormat=P","Fill=—","Direction=H","UseDPDF=Y")</f>
        <v>-1193</v>
      </c>
      <c r="Q20" s="13">
        <f>_xll.BDH("GILD US Equity","BS_OTHER_INV","FQ2 2022","FQ2 2022","Currency=USD","Period=FQ","BEST_FPERIOD_OVERRIDE=FQ","FILING_STATUS=MR","SCALING_FORMAT=MLN","Sort=A","Dates=H","DateFormat=P","Fill=—","Direction=H","UseDPDF=Y")</f>
        <v>-1094</v>
      </c>
      <c r="R20" s="13">
        <f>_xll.BDH("GILD US Equity","BS_OTHER_INV","FQ3 2022","FQ3 2022","Currency=USD","Period=FQ","BEST_FPERIOD_OVERRIDE=FQ","FILING_STATUS=MR","SCALING_FORMAT=MLN","Sort=A","Dates=H","DateFormat=P","Fill=—","Direction=H","UseDPDF=Y")</f>
        <v>-1139</v>
      </c>
      <c r="S20" s="13">
        <f>_xll.BDH("GILD US Equity","BS_OTHER_INV","FQ4 2022","FQ4 2022","Currency=USD","Period=FQ","BEST_FPERIOD_OVERRIDE=FQ","FILING_STATUS=MR","SCALING_FORMAT=MLN","Sort=A","Dates=H","DateFormat=P","Fill=—","Direction=H","UseDPDF=Y")</f>
        <v>-1313</v>
      </c>
      <c r="T20" s="13">
        <f>_xll.BDH("GILD US Equity","BS_OTHER_INV","FQ1 2023","FQ1 2023","Currency=USD","Period=FQ","BEST_FPERIOD_OVERRIDE=FQ","FILING_STATUS=MR","SCALING_FORMAT=MLN","Sort=A","Dates=H","DateFormat=P","Fill=—","Direction=H","UseDPDF=Y")</f>
        <v>-1434</v>
      </c>
      <c r="U20" s="13">
        <f>_xll.BDH("GILD US Equity","BS_OTHER_INV","FQ2 2023","FQ2 2023","Currency=USD","Period=FQ","BEST_FPERIOD_OVERRIDE=FQ","FILING_STATUS=MR","SCALING_FORMAT=MLN","Sort=A","Dates=H","DateFormat=P","Fill=—","Direction=H","UseDPDF=Y")</f>
        <v>-1547</v>
      </c>
      <c r="V20" s="13">
        <f>_xll.BDH("GILD US Equity","BS_OTHER_INV","FQ3 2023","FQ3 2023","Currency=USD","Period=FQ","BEST_FPERIOD_OVERRIDE=FQ","FILING_STATUS=MR","SCALING_FORMAT=MLN","Sort=A","Dates=H","DateFormat=P","Fill=—","Direction=H","UseDPDF=Y")</f>
        <v>-1539</v>
      </c>
      <c r="W20" s="13">
        <f>_xll.BDH("GILD US Equity","BS_OTHER_INV","FQ4 2023","FQ4 2023","Currency=USD","Period=FQ","BEST_FPERIOD_OVERRIDE=FQ","FILING_STATUS=MR","SCALING_FORMAT=MLN","Sort=A","Dates=H","DateFormat=P","Fill=—","Direction=H","UseDPDF=Y")</f>
        <v>-1578</v>
      </c>
      <c r="X20" s="13">
        <f>_xll.BDH("GILD US Equity","BS_OTHER_INV","FQ1 2024","FQ1 2024","Currency=USD","Period=FQ","BEST_FPERIOD_OVERRIDE=FQ","FILING_STATUS=MR","SCALING_FORMAT=MLN","Sort=A","Dates=H","DateFormat=P","Fill=—","Direction=H","UseDPDF=Y")</f>
        <v>-1510</v>
      </c>
      <c r="Y20" s="13">
        <f>_xll.BDH("GILD US Equity","BS_OTHER_INV","FQ2 2024","FQ2 2024","Currency=USD","Period=FQ","BEST_FPERIOD_OVERRIDE=FQ","FILING_STATUS=MR","SCALING_FORMAT=MLN","Sort=A","Dates=H","DateFormat=P","Fill=—","Direction=H","UseDPDF=Y")</f>
        <v>-1362</v>
      </c>
      <c r="Z20" s="13">
        <f>_xll.BDH("GILD US Equity","BS_OTHER_INV","FQ3 2024","FQ3 2024","Currency=USD","Period=FQ","BEST_FPERIOD_OVERRIDE=FQ","FILING_STATUS=MR","SCALING_FORMAT=MLN","Sort=A","Dates=H","DateFormat=P","Fill=—","Direction=H","UseDPDF=Y")</f>
        <v>-1566</v>
      </c>
      <c r="AA20" s="13">
        <f>_xll.BDH("GILD US Equity","BS_OTHER_INV","FQ4 2024","FQ4 2024","Currency=USD","Period=FQ","BEST_FPERIOD_OVERRIDE=FQ","FILING_STATUS=MR","SCALING_FORMAT=MLN","Sort=A","Dates=H","DateFormat=P","Fill=—","Direction=H","UseDPDF=Y")</f>
        <v>-1879</v>
      </c>
    </row>
    <row r="21" spans="1:27" x14ac:dyDescent="0.25">
      <c r="A21" s="7" t="s">
        <v>90</v>
      </c>
      <c r="B21" s="7"/>
      <c r="C21" s="7" t="s">
        <v>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44"/>
  <sheetViews>
    <sheetView workbookViewId="0">
      <selection sqref="A1:XFD1048576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1703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94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31</v>
      </c>
      <c r="AA4" s="4" t="s">
        <v>32</v>
      </c>
    </row>
    <row r="5" spans="1:27" x14ac:dyDescent="0.25">
      <c r="A5" s="9" t="s">
        <v>34</v>
      </c>
      <c r="B5" s="9"/>
      <c r="C5" s="5" t="s">
        <v>96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5" t="s">
        <v>41</v>
      </c>
      <c r="K5" s="5" t="s">
        <v>42</v>
      </c>
      <c r="L5" s="5" t="s">
        <v>43</v>
      </c>
      <c r="M5" s="5" t="s">
        <v>44</v>
      </c>
      <c r="N5" s="5" t="s">
        <v>45</v>
      </c>
      <c r="O5" s="5" t="s">
        <v>46</v>
      </c>
      <c r="P5" s="5" t="s">
        <v>47</v>
      </c>
      <c r="Q5" s="5" t="s">
        <v>48</v>
      </c>
      <c r="R5" s="5" t="s">
        <v>49</v>
      </c>
      <c r="S5" s="5" t="s">
        <v>50</v>
      </c>
      <c r="T5" s="5" t="s">
        <v>51</v>
      </c>
      <c r="U5" s="5" t="s">
        <v>52</v>
      </c>
      <c r="V5" s="5" t="s">
        <v>53</v>
      </c>
      <c r="W5" s="5" t="s">
        <v>54</v>
      </c>
      <c r="X5" s="5" t="s">
        <v>55</v>
      </c>
      <c r="Y5" s="5" t="s">
        <v>56</v>
      </c>
      <c r="Z5" s="5" t="s">
        <v>57</v>
      </c>
      <c r="AA5" s="5" t="s">
        <v>58</v>
      </c>
    </row>
    <row r="6" spans="1:27" x14ac:dyDescent="0.25">
      <c r="A6" s="6" t="s">
        <v>1704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1705</v>
      </c>
      <c r="B7" s="10" t="s">
        <v>1706</v>
      </c>
      <c r="C7" s="13">
        <f>_xll.BDH("GILD US Equity","TRAIL_12M_CASH_FROM_OPER","FQ1 2019","FQ1 2019","Currency=USD","Period=FQ","BEST_FPERIOD_OVERRIDE=FQ","FILING_STATUS=MR","SCALING_FORMAT=MLN","Sort=A","Dates=H","DateFormat=P","Fill=—","Direction=H","UseDPDF=Y")</f>
        <v>7574</v>
      </c>
      <c r="D7" s="13">
        <f>_xll.BDH("GILD US Equity","TRAIL_12M_CASH_FROM_OPER","FQ2 2019","FQ2 2019","Currency=USD","Period=FQ","BEST_FPERIOD_OVERRIDE=FQ","FILING_STATUS=MR","SCALING_FORMAT=MLN","Sort=A","Dates=H","DateFormat=P","Fill=—","Direction=H","UseDPDF=Y")</f>
        <v>8343</v>
      </c>
      <c r="E7" s="13">
        <f>_xll.BDH("GILD US Equity","TRAIL_12M_CASH_FROM_OPER","FQ3 2019","FQ3 2019","Currency=USD","Period=FQ","BEST_FPERIOD_OVERRIDE=FQ","FILING_STATUS=MR","SCALING_FORMAT=MLN","Sort=A","Dates=H","DateFormat=P","Fill=—","Direction=H","UseDPDF=Y")</f>
        <v>9030</v>
      </c>
      <c r="F7" s="13">
        <f>_xll.BDH("GILD US Equity","TRAIL_12M_CASH_FROM_OPER","FQ4 2019","FQ4 2019","Currency=USD","Period=FQ","BEST_FPERIOD_OVERRIDE=FQ","FILING_STATUS=MR","SCALING_FORMAT=MLN","Sort=A","Dates=H","DateFormat=P","Fill=—","Direction=H","UseDPDF=Y")</f>
        <v>9265</v>
      </c>
      <c r="G7" s="13">
        <f>_xll.BDH("GILD US Equity","TRAIL_12M_CASH_FROM_OPER","FQ1 2020","FQ1 2020","Currency=USD","Period=FQ","BEST_FPERIOD_OVERRIDE=FQ","FILING_STATUS=MR","SCALING_FORMAT=MLN","Sort=A","Dates=H","DateFormat=P","Fill=—","Direction=H","UseDPDF=Y")</f>
        <v>9257</v>
      </c>
      <c r="H7" s="13">
        <f>_xll.BDH("GILD US Equity","TRAIL_12M_CASH_FROM_OPER","FQ2 2020","FQ2 2020","Currency=USD","Period=FQ","BEST_FPERIOD_OVERRIDE=FQ","FILING_STATUS=MR","SCALING_FORMAT=MLN","Sort=A","Dates=H","DateFormat=P","Fill=—","Direction=H","UseDPDF=Y")</f>
        <v>9481</v>
      </c>
      <c r="I7" s="13">
        <f>_xll.BDH("GILD US Equity","TRAIL_12M_CASH_FROM_OPER","FQ3 2020","FQ3 2020","Currency=USD","Period=FQ","BEST_FPERIOD_OVERRIDE=FQ","FILING_STATUS=MR","SCALING_FORMAT=MLN","Sort=A","Dates=H","DateFormat=P","Fill=—","Direction=H","UseDPDF=Y")</f>
        <v>8832</v>
      </c>
      <c r="J7" s="13">
        <f>_xll.BDH("GILD US Equity","TRAIL_12M_CASH_FROM_OPER","FQ4 2020","FQ4 2020","Currency=USD","Period=FQ","BEST_FPERIOD_OVERRIDE=FQ","FILING_STATUS=MR","SCALING_FORMAT=MLN","Sort=A","Dates=H","DateFormat=P","Fill=—","Direction=H","UseDPDF=Y")</f>
        <v>8168</v>
      </c>
      <c r="K7" s="13">
        <f>_xll.BDH("GILD US Equity","TRAIL_12M_CASH_FROM_OPER","FQ1 2021","FQ1 2021","Currency=USD","Period=FQ","BEST_FPERIOD_OVERRIDE=FQ","FILING_STATUS=MR","SCALING_FORMAT=MLN","Sort=A","Dates=H","DateFormat=P","Fill=—","Direction=H","UseDPDF=Y")</f>
        <v>9342</v>
      </c>
      <c r="L7" s="13">
        <f>_xll.BDH("GILD US Equity","TRAIL_12M_CASH_FROM_OPER","FQ2 2021","FQ2 2021","Currency=USD","Period=FQ","BEST_FPERIOD_OVERRIDE=FQ","FILING_STATUS=MR","SCALING_FORMAT=MLN","Sort=A","Dates=H","DateFormat=P","Fill=—","Direction=H","UseDPDF=Y")</f>
        <v>9092</v>
      </c>
      <c r="M7" s="13">
        <f>_xll.BDH("GILD US Equity","TRAIL_12M_CASH_FROM_OPER","FQ3 2021","FQ3 2021","Currency=USD","Period=FQ","BEST_FPERIOD_OVERRIDE=FQ","FILING_STATUS=MR","SCALING_FORMAT=MLN","Sort=A","Dates=H","DateFormat=P","Fill=—","Direction=H","UseDPDF=Y")</f>
        <v>10095</v>
      </c>
      <c r="N7" s="13">
        <f>_xll.BDH("GILD US Equity","TRAIL_12M_CASH_FROM_OPER","FQ4 2021","FQ4 2021","Currency=USD","Period=FQ","BEST_FPERIOD_OVERRIDE=FQ","FILING_STATUS=MR","SCALING_FORMAT=MLN","Sort=A","Dates=H","DateFormat=P","Fill=—","Direction=H","UseDPDF=Y")</f>
        <v>11384</v>
      </c>
      <c r="O7" s="13">
        <f>_xll.BDH("GILD US Equity","TRAIL_12M_CASH_FROM_OPER","FQ1 2022","FQ1 2022","Currency=USD","Period=FQ","BEST_FPERIOD_OVERRIDE=FQ","FILING_STATUS=MR","SCALING_FORMAT=MLN","Sort=A","Dates=H","DateFormat=P","Fill=—","Direction=H","UseDPDF=Y")</f>
        <v>10614</v>
      </c>
      <c r="P7" s="13">
        <f>_xll.BDH("GILD US Equity","TRAIL_12M_CASH_FROM_OPER","FQ2 2022","FQ2 2022","Currency=USD","Period=FQ","BEST_FPERIOD_OVERRIDE=FQ","FILING_STATUS=MR","SCALING_FORMAT=MLN","Sort=A","Dates=H","DateFormat=P","Fill=—","Direction=H","UseDPDF=Y")</f>
        <v>10100</v>
      </c>
      <c r="Q7" s="13">
        <f>_xll.BDH("GILD US Equity","TRAIL_12M_CASH_FROM_OPER","FQ3 2022","FQ3 2022","Currency=USD","Period=FQ","BEST_FPERIOD_OVERRIDE=FQ","FILING_STATUS=MR","SCALING_FORMAT=MLN","Sort=A","Dates=H","DateFormat=P","Fill=—","Direction=H","UseDPDF=Y")</f>
        <v>9710</v>
      </c>
      <c r="R7" s="13">
        <f>_xll.BDH("GILD US Equity","TRAIL_12M_CASH_FROM_OPER","FQ4 2022","FQ4 2022","Currency=USD","Period=FQ","BEST_FPERIOD_OVERRIDE=FQ","FILING_STATUS=MR","SCALING_FORMAT=MLN","Sort=A","Dates=H","DateFormat=P","Fill=—","Direction=H","UseDPDF=Y")</f>
        <v>9072</v>
      </c>
      <c r="S7" s="13">
        <f>_xll.BDH("GILD US Equity","TRAIL_12M_CASH_FROM_OPER","FQ1 2023","FQ1 2023","Currency=USD","Period=FQ","BEST_FPERIOD_OVERRIDE=FQ","FILING_STATUS=MR","SCALING_FORMAT=MLN","Sort=A","Dates=H","DateFormat=P","Fill=—","Direction=H","UseDPDF=Y")</f>
        <v>8976</v>
      </c>
      <c r="T7" s="13">
        <f>_xll.BDH("GILD US Equity","TRAIL_12M_CASH_FROM_OPER","FQ2 2023","FQ2 2023","Currency=USD","Period=FQ","BEST_FPERIOD_OVERRIDE=FQ","FILING_STATUS=MR","SCALING_FORMAT=MLN","Sort=A","Dates=H","DateFormat=P","Fill=—","Direction=H","UseDPDF=Y")</f>
        <v>9512</v>
      </c>
      <c r="U7" s="13">
        <f>_xll.BDH("GILD US Equity","TRAIL_12M_CASH_FROM_OPER","FQ3 2023","FQ3 2023","Currency=USD","Period=FQ","BEST_FPERIOD_OVERRIDE=FQ","FILING_STATUS=MR","SCALING_FORMAT=MLN","Sort=A","Dates=H","DateFormat=P","Fill=—","Direction=H","UseDPDF=Y")</f>
        <v>8404</v>
      </c>
      <c r="V7" s="13">
        <f>_xll.BDH("GILD US Equity","TRAIL_12M_CASH_FROM_OPER","FQ4 2023","FQ4 2023","Currency=USD","Period=FQ","BEST_FPERIOD_OVERRIDE=FQ","FILING_STATUS=MR","SCALING_FORMAT=MLN","Sort=A","Dates=H","DateFormat=P","Fill=—","Direction=H","UseDPDF=Y")</f>
        <v>8006</v>
      </c>
      <c r="W7" s="13">
        <f>_xll.BDH("GILD US Equity","TRAIL_12M_CASH_FROM_OPER","FQ1 2024","FQ1 2024","Currency=USD","Period=FQ","BEST_FPERIOD_OVERRIDE=FQ","FILING_STATUS=MR","SCALING_FORMAT=MLN","Sort=A","Dates=H","DateFormat=P","Fill=—","Direction=H","UseDPDF=Y")</f>
        <v>8481</v>
      </c>
      <c r="X7" s="13">
        <f>_xll.BDH("GILD US Equity","TRAIL_12M_CASH_FROM_OPER","FQ2 2024","FQ2 2024","Currency=USD","Period=FQ","BEST_FPERIOD_OVERRIDE=FQ","FILING_STATUS=MR","SCALING_FORMAT=MLN","Sort=A","Dates=H","DateFormat=P","Fill=—","Direction=H","UseDPDF=Y")</f>
        <v>7468</v>
      </c>
      <c r="Y7" s="13">
        <f>_xll.BDH("GILD US Equity","TRAIL_12M_CASH_FROM_OPER","FQ3 2024","FQ3 2024","Currency=USD","Period=FQ","BEST_FPERIOD_OVERRIDE=FQ","FILING_STATUS=MR","SCALING_FORMAT=MLN","Sort=A","Dates=H","DateFormat=P","Fill=—","Direction=H","UseDPDF=Y")</f>
        <v>10022</v>
      </c>
      <c r="Z7" s="13">
        <f>_xll.BDH("GILD US Equity","TRAIL_12M_CASH_FROM_OPER","FQ4 2024","FQ4 2024","Currency=USD","Period=FQ","BEST_FPERIOD_OVERRIDE=FQ","FILING_STATUS=MR","SCALING_FORMAT=MLN","Sort=A","Dates=H","DateFormat=P","Fill=—","Direction=H","UseDPDF=Y")</f>
        <v>10828</v>
      </c>
      <c r="AA7" s="13">
        <v>26860.38</v>
      </c>
    </row>
    <row r="8" spans="1:27" x14ac:dyDescent="0.25">
      <c r="A8" s="10" t="s">
        <v>1707</v>
      </c>
      <c r="B8" s="10" t="s">
        <v>1708</v>
      </c>
      <c r="C8" s="13">
        <f>_xll.BDH("GILD US Equity","TRAIL_12M_CAP_EXPEND","FQ1 2019","FQ1 2019","Currency=USD","Period=FQ","BEST_FPERIOD_OVERRIDE=FQ","FILING_STATUS=MR","SCALING_FORMAT=MLN","Sort=A","Dates=H","DateFormat=P","Fill=—","Direction=H","UseDPDF=Y")</f>
        <v>-949</v>
      </c>
      <c r="D8" s="13">
        <f>_xll.BDH("GILD US Equity","TRAIL_12M_CAP_EXPEND","FQ2 2019","FQ2 2019","Currency=USD","Period=FQ","BEST_FPERIOD_OVERRIDE=FQ","FILING_STATUS=MR","SCALING_FORMAT=MLN","Sort=A","Dates=H","DateFormat=P","Fill=—","Direction=H","UseDPDF=Y")</f>
        <v>-837</v>
      </c>
      <c r="E8" s="13">
        <f>_xll.BDH("GILD US Equity","TRAIL_12M_CAP_EXPEND","FQ3 2019","FQ3 2019","Currency=USD","Period=FQ","BEST_FPERIOD_OVERRIDE=FQ","FILING_STATUS=MR","SCALING_FORMAT=MLN","Sort=A","Dates=H","DateFormat=P","Fill=—","Direction=H","UseDPDF=Y")</f>
        <v>-870</v>
      </c>
      <c r="F8" s="13">
        <f>_xll.BDH("GILD US Equity","TRAIL_12M_CAP_EXPEND","FQ4 2019","FQ4 2019","Currency=USD","Period=FQ","BEST_FPERIOD_OVERRIDE=FQ","FILING_STATUS=MR","SCALING_FORMAT=MLN","Sort=A","Dates=H","DateFormat=P","Fill=—","Direction=H","UseDPDF=Y")</f>
        <v>-825</v>
      </c>
      <c r="G8" s="13">
        <f>_xll.BDH("GILD US Equity","TRAIL_12M_CAP_EXPEND","FQ1 2020","FQ1 2020","Currency=USD","Period=FQ","BEST_FPERIOD_OVERRIDE=FQ","FILING_STATUS=MR","SCALING_FORMAT=MLN","Sort=A","Dates=H","DateFormat=P","Fill=—","Direction=H","UseDPDF=Y")</f>
        <v>-759</v>
      </c>
      <c r="H8" s="13">
        <f>_xll.BDH("GILD US Equity","TRAIL_12M_CAP_EXPEND","FQ2 2020","FQ2 2020","Currency=USD","Period=FQ","BEST_FPERIOD_OVERRIDE=FQ","FILING_STATUS=MR","SCALING_FORMAT=MLN","Sort=A","Dates=H","DateFormat=P","Fill=—","Direction=H","UseDPDF=Y")</f>
        <v>-717</v>
      </c>
      <c r="I8" s="13">
        <f>_xll.BDH("GILD US Equity","TRAIL_12M_CAP_EXPEND","FQ3 2020","FQ3 2020","Currency=USD","Period=FQ","BEST_FPERIOD_OVERRIDE=FQ","FILING_STATUS=MR","SCALING_FORMAT=MLN","Sort=A","Dates=H","DateFormat=P","Fill=—","Direction=H","UseDPDF=Y")</f>
        <v>-672</v>
      </c>
      <c r="J8" s="13">
        <f>_xll.BDH("GILD US Equity","TRAIL_12M_CAP_EXPEND","FQ4 2020","FQ4 2020","Currency=USD","Period=FQ","BEST_FPERIOD_OVERRIDE=FQ","FILING_STATUS=MR","SCALING_FORMAT=MLN","Sort=A","Dates=H","DateFormat=P","Fill=—","Direction=H","UseDPDF=Y")</f>
        <v>-650</v>
      </c>
      <c r="K8" s="13">
        <f>_xll.BDH("GILD US Equity","TRAIL_12M_CAP_EXPEND","FQ1 2021","FQ1 2021","Currency=USD","Period=FQ","BEST_FPERIOD_OVERRIDE=FQ","FILING_STATUS=MR","SCALING_FORMAT=MLN","Sort=A","Dates=H","DateFormat=P","Fill=—","Direction=H","UseDPDF=Y")</f>
        <v>-644</v>
      </c>
      <c r="L8" s="13">
        <f>_xll.BDH("GILD US Equity","TRAIL_12M_CAP_EXPEND","FQ2 2021","FQ2 2021","Currency=USD","Period=FQ","BEST_FPERIOD_OVERRIDE=FQ","FILING_STATUS=MR","SCALING_FORMAT=MLN","Sort=A","Dates=H","DateFormat=P","Fill=—","Direction=H","UseDPDF=Y")</f>
        <v>-620</v>
      </c>
      <c r="M8" s="13">
        <f>_xll.BDH("GILD US Equity","TRAIL_12M_CAP_EXPEND","FQ3 2021","FQ3 2021","Currency=USD","Period=FQ","BEST_FPERIOD_OVERRIDE=FQ","FILING_STATUS=MR","SCALING_FORMAT=MLN","Sort=A","Dates=H","DateFormat=P","Fill=—","Direction=H","UseDPDF=Y")</f>
        <v>-604</v>
      </c>
      <c r="N8" s="13">
        <f>_xll.BDH("GILD US Equity","TRAIL_12M_CAP_EXPEND","FQ4 2021","FQ4 2021","Currency=USD","Period=FQ","BEST_FPERIOD_OVERRIDE=FQ","FILING_STATUS=MR","SCALING_FORMAT=MLN","Sort=A","Dates=H","DateFormat=P","Fill=—","Direction=H","UseDPDF=Y")</f>
        <v>-579</v>
      </c>
      <c r="O8" s="13">
        <f>_xll.BDH("GILD US Equity","TRAIL_12M_CAP_EXPEND","FQ1 2022","FQ1 2022","Currency=USD","Period=FQ","BEST_FPERIOD_OVERRIDE=FQ","FILING_STATUS=MR","SCALING_FORMAT=MLN","Sort=A","Dates=H","DateFormat=P","Fill=—","Direction=H","UseDPDF=Y")</f>
        <v>-661</v>
      </c>
      <c r="P8" s="13">
        <f>_xll.BDH("GILD US Equity","TRAIL_12M_CAP_EXPEND","FQ2 2022","FQ2 2022","Currency=USD","Period=FQ","BEST_FPERIOD_OVERRIDE=FQ","FILING_STATUS=MR","SCALING_FORMAT=MLN","Sort=A","Dates=H","DateFormat=P","Fill=—","Direction=H","UseDPDF=Y")</f>
        <v>-685</v>
      </c>
      <c r="Q8" s="13">
        <f>_xll.BDH("GILD US Equity","TRAIL_12M_CAP_EXPEND","FQ3 2022","FQ3 2022","Currency=USD","Period=FQ","BEST_FPERIOD_OVERRIDE=FQ","FILING_STATUS=MR","SCALING_FORMAT=MLN","Sort=A","Dates=H","DateFormat=P","Fill=—","Direction=H","UseDPDF=Y")</f>
        <v>-703</v>
      </c>
      <c r="R8" s="13">
        <f>_xll.BDH("GILD US Equity","TRAIL_12M_CAP_EXPEND","FQ4 2022","FQ4 2022","Currency=USD","Period=FQ","BEST_FPERIOD_OVERRIDE=FQ","FILING_STATUS=MR","SCALING_FORMAT=MLN","Sort=A","Dates=H","DateFormat=P","Fill=—","Direction=H","UseDPDF=Y")</f>
        <v>-728</v>
      </c>
      <c r="S8" s="13">
        <f>_xll.BDH("GILD US Equity","TRAIL_12M_CAP_EXPEND","FQ1 2023","FQ1 2023","Currency=USD","Period=FQ","BEST_FPERIOD_OVERRIDE=FQ","FILING_STATUS=MR","SCALING_FORMAT=MLN","Sort=A","Dates=H","DateFormat=P","Fill=—","Direction=H","UseDPDF=Y")</f>
        <v>-590</v>
      </c>
      <c r="T8" s="13">
        <f>_xll.BDH("GILD US Equity","TRAIL_12M_CAP_EXPEND","FQ2 2023","FQ2 2023","Currency=USD","Period=FQ","BEST_FPERIOD_OVERRIDE=FQ","FILING_STATUS=MR","SCALING_FORMAT=MLN","Sort=A","Dates=H","DateFormat=P","Fill=—","Direction=H","UseDPDF=Y")</f>
        <v>-586</v>
      </c>
      <c r="U8" s="13">
        <f>_xll.BDH("GILD US Equity","TRAIL_12M_CAP_EXPEND","FQ3 2023","FQ3 2023","Currency=USD","Period=FQ","BEST_FPERIOD_OVERRIDE=FQ","FILING_STATUS=MR","SCALING_FORMAT=MLN","Sort=A","Dates=H","DateFormat=P","Fill=—","Direction=H","UseDPDF=Y")</f>
        <v>-551</v>
      </c>
      <c r="V8" s="13">
        <f>_xll.BDH("GILD US Equity","TRAIL_12M_CAP_EXPEND","FQ4 2023","FQ4 2023","Currency=USD","Period=FQ","BEST_FPERIOD_OVERRIDE=FQ","FILING_STATUS=MR","SCALING_FORMAT=MLN","Sort=A","Dates=H","DateFormat=P","Fill=—","Direction=H","UseDPDF=Y")</f>
        <v>-585</v>
      </c>
      <c r="W8" s="13">
        <f>_xll.BDH("GILD US Equity","TRAIL_12M_CAP_EXPEND","FQ1 2024","FQ1 2024","Currency=USD","Period=FQ","BEST_FPERIOD_OVERRIDE=FQ","FILING_STATUS=MR","SCALING_FORMAT=MLN","Sort=A","Dates=H","DateFormat=P","Fill=—","Direction=H","UseDPDF=Y")</f>
        <v>-581</v>
      </c>
      <c r="X8" s="13">
        <f>_xll.BDH("GILD US Equity","TRAIL_12M_CAP_EXPEND","FQ2 2024","FQ2 2024","Currency=USD","Period=FQ","BEST_FPERIOD_OVERRIDE=FQ","FILING_STATUS=MR","SCALING_FORMAT=MLN","Sort=A","Dates=H","DateFormat=P","Fill=—","Direction=H","UseDPDF=Y")</f>
        <v>-572</v>
      </c>
      <c r="Y8" s="13">
        <f>_xll.BDH("GILD US Equity","TRAIL_12M_CAP_EXPEND","FQ3 2024","FQ3 2024","Currency=USD","Period=FQ","BEST_FPERIOD_OVERRIDE=FQ","FILING_STATUS=MR","SCALING_FORMAT=MLN","Sort=A","Dates=H","DateFormat=P","Fill=—","Direction=H","UseDPDF=Y")</f>
        <v>-591</v>
      </c>
      <c r="Z8" s="13">
        <f>_xll.BDH("GILD US Equity","TRAIL_12M_CAP_EXPEND","FQ4 2024","FQ4 2024","Currency=USD","Period=FQ","BEST_FPERIOD_OVERRIDE=FQ","FILING_STATUS=MR","SCALING_FORMAT=MLN","Sort=A","Dates=H","DateFormat=P","Fill=—","Direction=H","UseDPDF=Y")</f>
        <v>-523</v>
      </c>
      <c r="AA8" s="13"/>
    </row>
    <row r="9" spans="1:27" x14ac:dyDescent="0.25">
      <c r="A9" s="6" t="s">
        <v>88</v>
      </c>
      <c r="B9" s="6" t="s">
        <v>1709</v>
      </c>
      <c r="C9" s="19">
        <f>_xll.BDH("GILD US Equity","TRAIL_12M_FREE_CASH_FLOW","FQ1 2019","FQ1 2019","Currency=USD","Period=FQ","BEST_FPERIOD_OVERRIDE=FQ","FILING_STATUS=MR","SCALING_FORMAT=MLN","Sort=A","Dates=H","DateFormat=P","Fill=—","Direction=H","UseDPDF=Y")</f>
        <v>6625</v>
      </c>
      <c r="D9" s="19">
        <f>_xll.BDH("GILD US Equity","TRAIL_12M_FREE_CASH_FLOW","FQ2 2019","FQ2 2019","Currency=USD","Period=FQ","BEST_FPERIOD_OVERRIDE=FQ","FILING_STATUS=MR","SCALING_FORMAT=MLN","Sort=A","Dates=H","DateFormat=P","Fill=—","Direction=H","UseDPDF=Y")</f>
        <v>7506</v>
      </c>
      <c r="E9" s="19">
        <f>_xll.BDH("GILD US Equity","TRAIL_12M_FREE_CASH_FLOW","FQ3 2019","FQ3 2019","Currency=USD","Period=FQ","BEST_FPERIOD_OVERRIDE=FQ","FILING_STATUS=MR","SCALING_FORMAT=MLN","Sort=A","Dates=H","DateFormat=P","Fill=—","Direction=H","UseDPDF=Y")</f>
        <v>8160</v>
      </c>
      <c r="F9" s="19">
        <f>_xll.BDH("GILD US Equity","TRAIL_12M_FREE_CASH_FLOW","FQ4 2019","FQ4 2019","Currency=USD","Period=FQ","BEST_FPERIOD_OVERRIDE=FQ","FILING_STATUS=MR","SCALING_FORMAT=MLN","Sort=A","Dates=H","DateFormat=P","Fill=—","Direction=H","UseDPDF=Y")</f>
        <v>8440</v>
      </c>
      <c r="G9" s="19">
        <f>_xll.BDH("GILD US Equity","TRAIL_12M_FREE_CASH_FLOW","FQ1 2020","FQ1 2020","Currency=USD","Period=FQ","BEST_FPERIOD_OVERRIDE=FQ","FILING_STATUS=MR","SCALING_FORMAT=MLN","Sort=A","Dates=H","DateFormat=P","Fill=—","Direction=H","UseDPDF=Y")</f>
        <v>8498</v>
      </c>
      <c r="H9" s="19">
        <f>_xll.BDH("GILD US Equity","TRAIL_12M_FREE_CASH_FLOW","FQ2 2020","FQ2 2020","Currency=USD","Period=FQ","BEST_FPERIOD_OVERRIDE=FQ","FILING_STATUS=MR","SCALING_FORMAT=MLN","Sort=A","Dates=H","DateFormat=P","Fill=—","Direction=H","UseDPDF=Y")</f>
        <v>8764</v>
      </c>
      <c r="I9" s="19">
        <f>_xll.BDH("GILD US Equity","TRAIL_12M_FREE_CASH_FLOW","FQ3 2020","FQ3 2020","Currency=USD","Period=FQ","BEST_FPERIOD_OVERRIDE=FQ","FILING_STATUS=MR","SCALING_FORMAT=MLN","Sort=A","Dates=H","DateFormat=P","Fill=—","Direction=H","UseDPDF=Y")</f>
        <v>8160</v>
      </c>
      <c r="J9" s="19">
        <f>_xll.BDH("GILD US Equity","TRAIL_12M_FREE_CASH_FLOW","FQ4 2020","FQ4 2020","Currency=USD","Period=FQ","BEST_FPERIOD_OVERRIDE=FQ","FILING_STATUS=MR","SCALING_FORMAT=MLN","Sort=A","Dates=H","DateFormat=P","Fill=—","Direction=H","UseDPDF=Y")</f>
        <v>7518</v>
      </c>
      <c r="K9" s="19">
        <f>_xll.BDH("GILD US Equity","TRAIL_12M_FREE_CASH_FLOW","FQ1 2021","FQ1 2021","Currency=USD","Period=FQ","BEST_FPERIOD_OVERRIDE=FQ","FILING_STATUS=MR","SCALING_FORMAT=MLN","Sort=A","Dates=H","DateFormat=P","Fill=—","Direction=H","UseDPDF=Y")</f>
        <v>8698</v>
      </c>
      <c r="L9" s="19">
        <f>_xll.BDH("GILD US Equity","TRAIL_12M_FREE_CASH_FLOW","FQ2 2021","FQ2 2021","Currency=USD","Period=FQ","BEST_FPERIOD_OVERRIDE=FQ","FILING_STATUS=MR","SCALING_FORMAT=MLN","Sort=A","Dates=H","DateFormat=P","Fill=—","Direction=H","UseDPDF=Y")</f>
        <v>8472</v>
      </c>
      <c r="M9" s="19">
        <f>_xll.BDH("GILD US Equity","TRAIL_12M_FREE_CASH_FLOW","FQ3 2021","FQ3 2021","Currency=USD","Period=FQ","BEST_FPERIOD_OVERRIDE=FQ","FILING_STATUS=MR","SCALING_FORMAT=MLN","Sort=A","Dates=H","DateFormat=P","Fill=—","Direction=H","UseDPDF=Y")</f>
        <v>9491</v>
      </c>
      <c r="N9" s="19">
        <f>_xll.BDH("GILD US Equity","TRAIL_12M_FREE_CASH_FLOW","FQ4 2021","FQ4 2021","Currency=USD","Period=FQ","BEST_FPERIOD_OVERRIDE=FQ","FILING_STATUS=MR","SCALING_FORMAT=MLN","Sort=A","Dates=H","DateFormat=P","Fill=—","Direction=H","UseDPDF=Y")</f>
        <v>10805</v>
      </c>
      <c r="O9" s="19">
        <f>_xll.BDH("GILD US Equity","TRAIL_12M_FREE_CASH_FLOW","FQ1 2022","FQ1 2022","Currency=USD","Period=FQ","BEST_FPERIOD_OVERRIDE=FQ","FILING_STATUS=MR","SCALING_FORMAT=MLN","Sort=A","Dates=H","DateFormat=P","Fill=—","Direction=H","UseDPDF=Y")</f>
        <v>9953</v>
      </c>
      <c r="P9" s="19">
        <f>_xll.BDH("GILD US Equity","TRAIL_12M_FREE_CASH_FLOW","FQ2 2022","FQ2 2022","Currency=USD","Period=FQ","BEST_FPERIOD_OVERRIDE=FQ","FILING_STATUS=MR","SCALING_FORMAT=MLN","Sort=A","Dates=H","DateFormat=P","Fill=—","Direction=H","UseDPDF=Y")</f>
        <v>9415</v>
      </c>
      <c r="Q9" s="19">
        <f>_xll.BDH("GILD US Equity","TRAIL_12M_FREE_CASH_FLOW","FQ3 2022","FQ3 2022","Currency=USD","Period=FQ","BEST_FPERIOD_OVERRIDE=FQ","FILING_STATUS=MR","SCALING_FORMAT=MLN","Sort=A","Dates=H","DateFormat=P","Fill=—","Direction=H","UseDPDF=Y")</f>
        <v>9007</v>
      </c>
      <c r="R9" s="19">
        <f>_xll.BDH("GILD US Equity","TRAIL_12M_FREE_CASH_FLOW","FQ4 2022","FQ4 2022","Currency=USD","Period=FQ","BEST_FPERIOD_OVERRIDE=FQ","FILING_STATUS=MR","SCALING_FORMAT=MLN","Sort=A","Dates=H","DateFormat=P","Fill=—","Direction=H","UseDPDF=Y")</f>
        <v>8344</v>
      </c>
      <c r="S9" s="19">
        <f>_xll.BDH("GILD US Equity","TRAIL_12M_FREE_CASH_FLOW","FQ1 2023","FQ1 2023","Currency=USD","Period=FQ","BEST_FPERIOD_OVERRIDE=FQ","FILING_STATUS=MR","SCALING_FORMAT=MLN","Sort=A","Dates=H","DateFormat=P","Fill=—","Direction=H","UseDPDF=Y")</f>
        <v>8386</v>
      </c>
      <c r="T9" s="19">
        <f>_xll.BDH("GILD US Equity","TRAIL_12M_FREE_CASH_FLOW","FQ2 2023","FQ2 2023","Currency=USD","Period=FQ","BEST_FPERIOD_OVERRIDE=FQ","FILING_STATUS=MR","SCALING_FORMAT=MLN","Sort=A","Dates=H","DateFormat=P","Fill=—","Direction=H","UseDPDF=Y")</f>
        <v>8926</v>
      </c>
      <c r="U9" s="19">
        <f>_xll.BDH("GILD US Equity","TRAIL_12M_FREE_CASH_FLOW","FQ3 2023","FQ3 2023","Currency=USD","Period=FQ","BEST_FPERIOD_OVERRIDE=FQ","FILING_STATUS=MR","SCALING_FORMAT=MLN","Sort=A","Dates=H","DateFormat=P","Fill=—","Direction=H","UseDPDF=Y")</f>
        <v>7853</v>
      </c>
      <c r="V9" s="19">
        <f>_xll.BDH("GILD US Equity","TRAIL_12M_FREE_CASH_FLOW","FQ4 2023","FQ4 2023","Currency=USD","Period=FQ","BEST_FPERIOD_OVERRIDE=FQ","FILING_STATUS=MR","SCALING_FORMAT=MLN","Sort=A","Dates=H","DateFormat=P","Fill=—","Direction=H","UseDPDF=Y")</f>
        <v>7421</v>
      </c>
      <c r="W9" s="19">
        <f>_xll.BDH("GILD US Equity","TRAIL_12M_FREE_CASH_FLOW","FQ1 2024","FQ1 2024","Currency=USD","Period=FQ","BEST_FPERIOD_OVERRIDE=FQ","FILING_STATUS=MR","SCALING_FORMAT=MLN","Sort=A","Dates=H","DateFormat=P","Fill=—","Direction=H","UseDPDF=Y")</f>
        <v>7900</v>
      </c>
      <c r="X9" s="19">
        <f>_xll.BDH("GILD US Equity","TRAIL_12M_FREE_CASH_FLOW","FQ2 2024","FQ2 2024","Currency=USD","Period=FQ","BEST_FPERIOD_OVERRIDE=FQ","FILING_STATUS=MR","SCALING_FORMAT=MLN","Sort=A","Dates=H","DateFormat=P","Fill=—","Direction=H","UseDPDF=Y")</f>
        <v>6896</v>
      </c>
      <c r="Y9" s="19">
        <f>_xll.BDH("GILD US Equity","TRAIL_12M_FREE_CASH_FLOW","FQ3 2024","FQ3 2024","Currency=USD","Period=FQ","BEST_FPERIOD_OVERRIDE=FQ","FILING_STATUS=MR","SCALING_FORMAT=MLN","Sort=A","Dates=H","DateFormat=P","Fill=—","Direction=H","UseDPDF=Y")</f>
        <v>9431</v>
      </c>
      <c r="Z9" s="19">
        <f>_xll.BDH("GILD US Equity","TRAIL_12M_FREE_CASH_FLOW","FQ4 2024","FQ4 2024","Currency=USD","Period=FQ","BEST_FPERIOD_OVERRIDE=FQ","FILING_STATUS=MR","SCALING_FORMAT=MLN","Sort=A","Dates=H","DateFormat=P","Fill=—","Direction=H","UseDPDF=Y")</f>
        <v>10305</v>
      </c>
      <c r="AA9" s="19">
        <v>26296.046999999999</v>
      </c>
    </row>
    <row r="10" spans="1:27" x14ac:dyDescent="0.25">
      <c r="A10" s="11" t="s">
        <v>60</v>
      </c>
      <c r="B10" s="11" t="s">
        <v>61</v>
      </c>
      <c r="C10" s="25">
        <f>_xll.BDH("GILD US Equity","HISTORICAL_MARKET_CAP","FQ1 2019","FQ1 2019","Currency=USD","Period=FQ","BEST_FPERIOD_OVERRIDE=FQ","FILING_STATUS=MR","SCALING_FORMAT=MLN","Sort=A","Dates=H","DateFormat=P","Fill=—","Direction=H","UseDPDF=Y")</f>
        <v>82822.740000000005</v>
      </c>
      <c r="D10" s="25">
        <f>_xll.BDH("GILD US Equity","HISTORICAL_MARKET_CAP","FQ2 2019","FQ2 2019","Currency=USD","Period=FQ","BEST_FPERIOD_OVERRIDE=FQ","FILING_STATUS=MR","SCALING_FORMAT=MLN","Sort=A","Dates=H","DateFormat=P","Fill=—","Direction=H","UseDPDF=Y")</f>
        <v>85598.52</v>
      </c>
      <c r="E10" s="25">
        <f>_xll.BDH("GILD US Equity","HISTORICAL_MARKET_CAP","FQ3 2019","FQ3 2019","Currency=USD","Period=FQ","BEST_FPERIOD_OVERRIDE=FQ","FILING_STATUS=MR","SCALING_FORMAT=MLN","Sort=A","Dates=H","DateFormat=P","Fill=—","Direction=H","UseDPDF=Y")</f>
        <v>80239.08</v>
      </c>
      <c r="F10" s="25">
        <f>_xll.BDH("GILD US Equity","HISTORICAL_MARKET_CAP","FQ4 2019","FQ4 2019","Currency=USD","Period=FQ","BEST_FPERIOD_OVERRIDE=FQ","FILING_STATUS=MR","SCALING_FORMAT=MLN","Sort=A","Dates=H","DateFormat=P","Fill=—","Direction=H","UseDPDF=Y")</f>
        <v>82264.679999999993</v>
      </c>
      <c r="G10" s="25">
        <f>_xll.BDH("GILD US Equity","HISTORICAL_MARKET_CAP","FQ1 2020","FQ1 2020","Currency=USD","Period=FQ","BEST_FPERIOD_OVERRIDE=FQ","FILING_STATUS=MR","SCALING_FORMAT=MLN","Sort=A","Dates=H","DateFormat=P","Fill=—","Direction=H","UseDPDF=Y")</f>
        <v>93749.04</v>
      </c>
      <c r="H10" s="25">
        <f>_xll.BDH("GILD US Equity","HISTORICAL_MARKET_CAP","FQ2 2020","FQ2 2020","Currency=USD","Period=FQ","BEST_FPERIOD_OVERRIDE=FQ","FILING_STATUS=MR","SCALING_FORMAT=MLN","Sort=A","Dates=H","DateFormat=P","Fill=—","Direction=H","UseDPDF=Y")</f>
        <v>96482.76</v>
      </c>
      <c r="I10" s="25">
        <f>_xll.BDH("GILD US Equity","HISTORICAL_MARKET_CAP","FQ3 2020","FQ3 2020","Currency=USD","Period=FQ","BEST_FPERIOD_OVERRIDE=FQ","FILING_STATUS=MR","SCALING_FORMAT=MLN","Sort=A","Dates=H","DateFormat=P","Fill=—","Direction=H","UseDPDF=Y")</f>
        <v>79177.070000000007</v>
      </c>
      <c r="J10" s="25">
        <f>_xll.BDH("GILD US Equity","HISTORICAL_MARKET_CAP","FQ4 2020","FQ4 2020","Currency=USD","Period=FQ","BEST_FPERIOD_OVERRIDE=FQ","FILING_STATUS=MR","SCALING_FORMAT=MLN","Sort=A","Dates=H","DateFormat=P","Fill=—","Direction=H","UseDPDF=Y")</f>
        <v>73058.039999999994</v>
      </c>
      <c r="K10" s="25">
        <f>_xll.BDH("GILD US Equity","HISTORICAL_MARKET_CAP","FQ1 2021","FQ1 2021","Currency=USD","Period=FQ","BEST_FPERIOD_OVERRIDE=FQ","FILING_STATUS=MR","SCALING_FORMAT=MLN","Sort=A","Dates=H","DateFormat=P","Fill=—","Direction=H","UseDPDF=Y")</f>
        <v>81046.02</v>
      </c>
      <c r="L10" s="25">
        <f>_xll.BDH("GILD US Equity","HISTORICAL_MARKET_CAP","FQ2 2021","FQ2 2021","Currency=USD","Period=FQ","BEST_FPERIOD_OVERRIDE=FQ","FILING_STATUS=MR","SCALING_FORMAT=MLN","Sort=A","Dates=H","DateFormat=P","Fill=—","Direction=H","UseDPDF=Y")</f>
        <v>86350.44</v>
      </c>
      <c r="M10" s="25">
        <f>_xll.BDH("GILD US Equity","HISTORICAL_MARKET_CAP","FQ3 2021","FQ3 2021","Currency=USD","Period=FQ","BEST_FPERIOD_OVERRIDE=FQ","FILING_STATUS=MR","SCALING_FORMAT=MLN","Sort=A","Dates=H","DateFormat=P","Fill=—","Direction=H","UseDPDF=Y")</f>
        <v>87661.75</v>
      </c>
      <c r="N10" s="25">
        <f>_xll.BDH("GILD US Equity","HISTORICAL_MARKET_CAP","FQ4 2021","FQ4 2021","Currency=USD","Period=FQ","BEST_FPERIOD_OVERRIDE=FQ","FILING_STATUS=MR","SCALING_FORMAT=MLN","Sort=A","Dates=H","DateFormat=P","Fill=—","Direction=H","UseDPDF=Y")</f>
        <v>91052.94</v>
      </c>
      <c r="O10" s="25">
        <f>_xll.BDH("GILD US Equity","HISTORICAL_MARKET_CAP","FQ1 2022","FQ1 2022","Currency=USD","Period=FQ","BEST_FPERIOD_OVERRIDE=FQ","FILING_STATUS=MR","SCALING_FORMAT=MLN","Sort=A","Dates=H","DateFormat=P","Fill=—","Direction=H","UseDPDF=Y")</f>
        <v>74609.75</v>
      </c>
      <c r="P10" s="25">
        <f>_xll.BDH("GILD US Equity","HISTORICAL_MARKET_CAP","FQ2 2022","FQ2 2022","Currency=USD","Period=FQ","BEST_FPERIOD_OVERRIDE=FQ","FILING_STATUS=MR","SCALING_FORMAT=MLN","Sort=A","Dates=H","DateFormat=P","Fill=—","Direction=H","UseDPDF=Y")</f>
        <v>77509.740000000005</v>
      </c>
      <c r="Q10" s="25">
        <f>_xll.BDH("GILD US Equity","HISTORICAL_MARKET_CAP","FQ3 2022","FQ3 2022","Currency=USD","Period=FQ","BEST_FPERIOD_OVERRIDE=FQ","FILING_STATUS=MR","SCALING_FORMAT=MLN","Sort=A","Dates=H","DateFormat=P","Fill=—","Direction=H","UseDPDF=Y")</f>
        <v>77359.259999999995</v>
      </c>
      <c r="R10" s="25">
        <f>_xll.BDH("GILD US Equity","HISTORICAL_MARKET_CAP","FQ4 2022","FQ4 2022","Currency=USD","Period=FQ","BEST_FPERIOD_OVERRIDE=FQ","FILING_STATUS=MR","SCALING_FORMAT=MLN","Sort=A","Dates=H","DateFormat=P","Fill=—","Direction=H","UseDPDF=Y")</f>
        <v>107054.95</v>
      </c>
      <c r="S10" s="25">
        <f>_xll.BDH("GILD US Equity","HISTORICAL_MARKET_CAP","FQ1 2023","FQ1 2023","Currency=USD","Period=FQ","BEST_FPERIOD_OVERRIDE=FQ","FILING_STATUS=MR","SCALING_FORMAT=MLN","Sort=A","Dates=H","DateFormat=P","Fill=—","Direction=H","UseDPDF=Y")</f>
        <v>103546.56</v>
      </c>
      <c r="T10" s="25">
        <f>_xll.BDH("GILD US Equity","HISTORICAL_MARKET_CAP","FQ2 2023","FQ2 2023","Currency=USD","Period=FQ","BEST_FPERIOD_OVERRIDE=FQ","FILING_STATUS=MR","SCALING_FORMAT=MLN","Sort=A","Dates=H","DateFormat=P","Fill=—","Direction=H","UseDPDF=Y")</f>
        <v>96106.29</v>
      </c>
      <c r="U10" s="25">
        <f>_xll.BDH("GILD US Equity","HISTORICAL_MARKET_CAP","FQ3 2023","FQ3 2023","Currency=USD","Period=FQ","BEST_FPERIOD_OVERRIDE=FQ","FILING_STATUS=MR","SCALING_FORMAT=MLN","Sort=A","Dates=H","DateFormat=P","Fill=—","Direction=H","UseDPDF=Y")</f>
        <v>93450.18</v>
      </c>
      <c r="V10" s="25">
        <f>_xll.BDH("GILD US Equity","HISTORICAL_MARKET_CAP","FQ4 2023","FQ4 2023","Currency=USD","Period=FQ","BEST_FPERIOD_OVERRIDE=FQ","FILING_STATUS=MR","SCALING_FORMAT=MLN","Sort=A","Dates=H","DateFormat=P","Fill=—","Direction=H","UseDPDF=Y")</f>
        <v>100938.46</v>
      </c>
      <c r="W10" s="25">
        <f>_xll.BDH("GILD US Equity","HISTORICAL_MARKET_CAP","FQ1 2024","FQ1 2024","Currency=USD","Period=FQ","BEST_FPERIOD_OVERRIDE=FQ","FILING_STATUS=MR","SCALING_FORMAT=MLN","Sort=A","Dates=H","DateFormat=P","Fill=—","Direction=H","UseDPDF=Y")</f>
        <v>91269.5</v>
      </c>
      <c r="X10" s="25">
        <f>_xll.BDH("GILD US Equity","HISTORICAL_MARKET_CAP","FQ2 2024","FQ2 2024","Currency=USD","Period=FQ","BEST_FPERIOD_OVERRIDE=FQ","FILING_STATUS=MR","SCALING_FORMAT=MLN","Sort=A","Dates=H","DateFormat=P","Fill=—","Direction=H","UseDPDF=Y")</f>
        <v>85488.06</v>
      </c>
      <c r="Y10" s="25">
        <f>_xll.BDH("GILD US Equity","HISTORICAL_MARKET_CAP","FQ3 2024","FQ3 2024","Currency=USD","Period=FQ","BEST_FPERIOD_OVERRIDE=FQ","FILING_STATUS=MR","SCALING_FORMAT=MLN","Sort=A","Dates=H","DateFormat=P","Fill=—","Direction=H","UseDPDF=Y")</f>
        <v>104464.64</v>
      </c>
      <c r="Z10" s="25">
        <f>_xll.BDH("GILD US Equity","HISTORICAL_MARKET_CAP","FQ4 2024","FQ4 2024","Currency=USD","Period=FQ","BEST_FPERIOD_OVERRIDE=FQ","FILING_STATUS=MR","SCALING_FORMAT=MLN","Sort=A","Dates=H","DateFormat=P","Fill=—","Direction=H","UseDPDF=Y")</f>
        <v>115093.02</v>
      </c>
      <c r="AA10" s="25"/>
    </row>
    <row r="11" spans="1:27" x14ac:dyDescent="0.25">
      <c r="A11" s="6" t="s">
        <v>1710</v>
      </c>
      <c r="B11" s="6" t="s">
        <v>1711</v>
      </c>
      <c r="C11" s="20">
        <f>_xll.BDH("GILD US Equity","FREE_CASH_FLOW_YIELD","FQ1 2019","FQ1 2019","Currency=USD","Period=FQ","BEST_FPERIOD_OVERRIDE=FQ","FILING_STATUS=MR","Sort=A","Dates=H","DateFormat=P","Fill=—","Direction=H","UseDPDF=Y")</f>
        <v>7.8948999999999998</v>
      </c>
      <c r="D11" s="20">
        <f>_xll.BDH("GILD US Equity","FREE_CASH_FLOW_YIELD","FQ2 2019","FQ2 2019","Currency=USD","Period=FQ","BEST_FPERIOD_OVERRIDE=FQ","FILING_STATUS=MR","Sort=A","Dates=H","DateFormat=P","Fill=—","Direction=H","UseDPDF=Y")</f>
        <v>8.6557999999999993</v>
      </c>
      <c r="E11" s="20">
        <f>_xll.BDH("GILD US Equity","FREE_CASH_FLOW_YIELD","FQ3 2019","FQ3 2019","Currency=USD","Period=FQ","BEST_FPERIOD_OVERRIDE=FQ","FILING_STATUS=MR","Sort=A","Dates=H","DateFormat=P","Fill=—","Direction=H","UseDPDF=Y")</f>
        <v>10.098100000000001</v>
      </c>
      <c r="F11" s="20">
        <f>_xll.BDH("GILD US Equity","FREE_CASH_FLOW_YIELD","FQ4 2019","FQ4 2019","Currency=USD","Period=FQ","BEST_FPERIOD_OVERRIDE=FQ","FILING_STATUS=MR","Sort=A","Dates=H","DateFormat=P","Fill=—","Direction=H","UseDPDF=Y")</f>
        <v>10.2372</v>
      </c>
      <c r="G11" s="20">
        <f>_xll.BDH("GILD US Equity","FREE_CASH_FLOW_YIELD","FQ1 2020","FQ1 2020","Currency=USD","Period=FQ","BEST_FPERIOD_OVERRIDE=FQ","FILING_STATUS=MR","Sort=A","Dates=H","DateFormat=P","Fill=—","Direction=H","UseDPDF=Y")</f>
        <v>8.9734999999999996</v>
      </c>
      <c r="H11" s="20">
        <f>_xll.BDH("GILD US Equity","FREE_CASH_FLOW_YIELD","FQ2 2020","FQ2 2020","Currency=USD","Period=FQ","BEST_FPERIOD_OVERRIDE=FQ","FILING_STATUS=MR","Sort=A","Dates=H","DateFormat=P","Fill=—","Direction=H","UseDPDF=Y")</f>
        <v>9.0211000000000006</v>
      </c>
      <c r="I11" s="20">
        <f>_xll.BDH("GILD US Equity","FREE_CASH_FLOW_YIELD","FQ3 2020","FQ3 2020","Currency=USD","Period=FQ","BEST_FPERIOD_OVERRIDE=FQ","FILING_STATUS=MR","Sort=A","Dates=H","DateFormat=P","Fill=—","Direction=H","UseDPDF=Y")</f>
        <v>10.2547</v>
      </c>
      <c r="J11" s="20">
        <f>_xll.BDH("GILD US Equity","FREE_CASH_FLOW_YIELD","FQ4 2020","FQ4 2020","Currency=USD","Period=FQ","BEST_FPERIOD_OVERRIDE=FQ","FILING_STATUS=MR","Sort=A","Dates=H","DateFormat=P","Fill=—","Direction=H","UseDPDF=Y")</f>
        <v>10.2727</v>
      </c>
      <c r="K11" s="20">
        <f>_xll.BDH("GILD US Equity","FREE_CASH_FLOW_YIELD","FQ1 2021","FQ1 2021","Currency=USD","Period=FQ","BEST_FPERIOD_OVERRIDE=FQ","FILING_STATUS=MR","Sort=A","Dates=H","DateFormat=P","Fill=—","Direction=H","UseDPDF=Y")</f>
        <v>10.7212</v>
      </c>
      <c r="L11" s="20">
        <f>_xll.BDH("GILD US Equity","FREE_CASH_FLOW_YIELD","FQ2 2021","FQ2 2021","Currency=USD","Period=FQ","BEST_FPERIOD_OVERRIDE=FQ","FILING_STATUS=MR","Sort=A","Dates=H","DateFormat=P","Fill=—","Direction=H","UseDPDF=Y")</f>
        <v>9.8010999999999999</v>
      </c>
      <c r="M11" s="20">
        <f>_xll.BDH("GILD US Equity","FREE_CASH_FLOW_YIELD","FQ3 2021","FQ3 2021","Currency=USD","Period=FQ","BEST_FPERIOD_OVERRIDE=FQ","FILING_STATUS=MR","Sort=A","Dates=H","DateFormat=P","Fill=—","Direction=H","UseDPDF=Y")</f>
        <v>10.8218</v>
      </c>
      <c r="N11" s="20">
        <f>_xll.BDH("GILD US Equity","FREE_CASH_FLOW_YIELD","FQ4 2021","FQ4 2021","Currency=USD","Period=FQ","BEST_FPERIOD_OVERRIDE=FQ","FILING_STATUS=MR","Sort=A","Dates=H","DateFormat=P","Fill=—","Direction=H","UseDPDF=Y")</f>
        <v>11.8497</v>
      </c>
      <c r="O11" s="20">
        <f>_xll.BDH("GILD US Equity","FREE_CASH_FLOW_YIELD","FQ1 2022","FQ1 2022","Currency=USD","Period=FQ","BEST_FPERIOD_OVERRIDE=FQ","FILING_STATUS=MR","Sort=A","Dates=H","DateFormat=P","Fill=—","Direction=H","UseDPDF=Y")</f>
        <v>13.333500000000001</v>
      </c>
      <c r="P11" s="20">
        <f>_xll.BDH("GILD US Equity","FREE_CASH_FLOW_YIELD","FQ2 2022","FQ2 2022","Currency=USD","Period=FQ","BEST_FPERIOD_OVERRIDE=FQ","FILING_STATUS=MR","Sort=A","Dates=H","DateFormat=P","Fill=—","Direction=H","UseDPDF=Y")</f>
        <v>12.129200000000001</v>
      </c>
      <c r="Q11" s="20">
        <f>_xll.BDH("GILD US Equity","FREE_CASH_FLOW_YIELD","FQ3 2022","FQ3 2022","Currency=USD","Period=FQ","BEST_FPERIOD_OVERRIDE=FQ","FILING_STATUS=MR","Sort=A","Dates=H","DateFormat=P","Fill=—","Direction=H","UseDPDF=Y")</f>
        <v>11.629</v>
      </c>
      <c r="R11" s="20">
        <f>_xll.BDH("GILD US Equity","FREE_CASH_FLOW_YIELD","FQ4 2022","FQ4 2022","Currency=USD","Period=FQ","BEST_FPERIOD_OVERRIDE=FQ","FILING_STATUS=MR","Sort=A","Dates=H","DateFormat=P","Fill=—","Direction=H","UseDPDF=Y")</f>
        <v>7.7484999999999999</v>
      </c>
      <c r="S11" s="20">
        <f>_xll.BDH("GILD US Equity","FREE_CASH_FLOW_YIELD","FQ1 2023","FQ1 2023","Currency=USD","Period=FQ","BEST_FPERIOD_OVERRIDE=FQ","FILING_STATUS=MR","Sort=A","Dates=H","DateFormat=P","Fill=—","Direction=H","UseDPDF=Y")</f>
        <v>8.0665999999999993</v>
      </c>
      <c r="T11" s="20">
        <f>_xll.BDH("GILD US Equity","FREE_CASH_FLOW_YIELD","FQ2 2023","FQ2 2023","Currency=USD","Period=FQ","BEST_FPERIOD_OVERRIDE=FQ","FILING_STATUS=MR","Sort=A","Dates=H","DateFormat=P","Fill=—","Direction=H","UseDPDF=Y")</f>
        <v>9.2546999999999997</v>
      </c>
      <c r="U11" s="20">
        <f>_xll.BDH("GILD US Equity","FREE_CASH_FLOW_YIELD","FQ3 2023","FQ3 2023","Currency=USD","Period=FQ","BEST_FPERIOD_OVERRIDE=FQ","FILING_STATUS=MR","Sort=A","Dates=H","DateFormat=P","Fill=—","Direction=H","UseDPDF=Y")</f>
        <v>8.3865999999999996</v>
      </c>
      <c r="V11" s="20">
        <f>_xll.BDH("GILD US Equity","FREE_CASH_FLOW_YIELD","FQ4 2023","FQ4 2023","Currency=USD","Period=FQ","BEST_FPERIOD_OVERRIDE=FQ","FILING_STATUS=MR","Sort=A","Dates=H","DateFormat=P","Fill=—","Direction=H","UseDPDF=Y")</f>
        <v>7.3384999999999998</v>
      </c>
      <c r="W11" s="20">
        <f>_xll.BDH("GILD US Equity","FREE_CASH_FLOW_YIELD","FQ1 2024","FQ1 2024","Currency=USD","Period=FQ","BEST_FPERIOD_OVERRIDE=FQ","FILING_STATUS=MR","Sort=A","Dates=H","DateFormat=P","Fill=—","Direction=H","UseDPDF=Y")</f>
        <v>8.6417000000000002</v>
      </c>
      <c r="X11" s="20">
        <f>_xll.BDH("GILD US Equity","FREE_CASH_FLOW_YIELD","FQ2 2024","FQ2 2024","Currency=USD","Period=FQ","BEST_FPERIOD_OVERRIDE=FQ","FILING_STATUS=MR","Sort=A","Dates=H","DateFormat=P","Fill=—","Direction=H","UseDPDF=Y")</f>
        <v>8.0568000000000008</v>
      </c>
      <c r="Y11" s="20">
        <f>_xll.BDH("GILD US Equity","FREE_CASH_FLOW_YIELD","FQ3 2024","FQ3 2024","Currency=USD","Period=FQ","BEST_FPERIOD_OVERRIDE=FQ","FILING_STATUS=MR","Sort=A","Dates=H","DateFormat=P","Fill=—","Direction=H","UseDPDF=Y")</f>
        <v>9.0191999999999997</v>
      </c>
      <c r="Z11" s="20">
        <f>_xll.BDH("GILD US Equity","FREE_CASH_FLOW_YIELD","FQ4 2024","FQ4 2024","Currency=USD","Period=FQ","BEST_FPERIOD_OVERRIDE=FQ","FILING_STATUS=MR","Sort=A","Dates=H","DateFormat=P","Fill=—","Direction=H","UseDPDF=Y")</f>
        <v>8.9444999999999997</v>
      </c>
      <c r="AA11" s="20"/>
    </row>
    <row r="12" spans="1:27" x14ac:dyDescent="0.25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10" t="s">
        <v>1454</v>
      </c>
      <c r="B13" s="10" t="s">
        <v>1712</v>
      </c>
      <c r="C13" s="13">
        <f>_xll.BDH("GILD US Equity","T12M_DVDS_PAID","FQ1 2019","FQ1 2019","Currency=USD","Period=FQ","BEST_FPERIOD_OVERRIDE=FQ","FILING_STATUS=MR","SCALING_FORMAT=MLN","Sort=A","Dates=H","DateFormat=P","Fill=—","Direction=H","UseDPDF=Y")</f>
        <v>-3035</v>
      </c>
      <c r="D13" s="13">
        <f>_xll.BDH("GILD US Equity","T12M_DVDS_PAID","FQ2 2019","FQ2 2019","Currency=USD","Period=FQ","BEST_FPERIOD_OVERRIDE=FQ","FILING_STATUS=MR","SCALING_FORMAT=MLN","Sort=A","Dates=H","DateFormat=P","Fill=—","Direction=H","UseDPDF=Y")</f>
        <v>-3095</v>
      </c>
      <c r="E13" s="13">
        <f>_xll.BDH("GILD US Equity","T12M_DVDS_PAID","FQ3 2019","FQ3 2019","Currency=USD","Period=FQ","BEST_FPERIOD_OVERRIDE=FQ","FILING_STATUS=MR","SCALING_FORMAT=MLN","Sort=A","Dates=H","DateFormat=P","Fill=—","Direction=H","UseDPDF=Y")</f>
        <v>-3157</v>
      </c>
      <c r="F13" s="13">
        <f>_xll.BDH("GILD US Equity","T12M_DVDS_PAID","FQ4 2019","FQ4 2019","Currency=USD","Period=FQ","BEST_FPERIOD_OVERRIDE=FQ","FILING_STATUS=MR","SCALING_FORMAT=MLN","Sort=A","Dates=H","DateFormat=P","Fill=—","Direction=H","UseDPDF=Y")</f>
        <v>-3222</v>
      </c>
      <c r="G13" s="13">
        <f>_xll.BDH("GILD US Equity","T12M_DVDS_PAID","FQ1 2020","FQ1 2020","Currency=USD","Period=FQ","BEST_FPERIOD_OVERRIDE=FQ","FILING_STATUS=MR","SCALING_FORMAT=MLN","Sort=A","Dates=H","DateFormat=P","Fill=—","Direction=H","UseDPDF=Y")</f>
        <v>-3279</v>
      </c>
      <c r="H13" s="13">
        <f>_xll.BDH("GILD US Equity","T12M_DVDS_PAID","FQ2 2020","FQ2 2020","Currency=USD","Period=FQ","BEST_FPERIOD_OVERRIDE=FQ","FILING_STATUS=MR","SCALING_FORMAT=MLN","Sort=A","Dates=H","DateFormat=P","Fill=—","Direction=H","UseDPDF=Y")</f>
        <v>-3335</v>
      </c>
      <c r="I13" s="13">
        <f>_xll.BDH("GILD US Equity","T12M_DVDS_PAID","FQ3 2020","FQ3 2020","Currency=USD","Period=FQ","BEST_FPERIOD_OVERRIDE=FQ","FILING_STATUS=MR","SCALING_FORMAT=MLN","Sort=A","Dates=H","DateFormat=P","Fill=—","Direction=H","UseDPDF=Y")</f>
        <v>-3392</v>
      </c>
      <c r="J13" s="13">
        <f>_xll.BDH("GILD US Equity","T12M_DVDS_PAID","FQ4 2020","FQ4 2020","Currency=USD","Period=FQ","BEST_FPERIOD_OVERRIDE=FQ","FILING_STATUS=MR","SCALING_FORMAT=MLN","Sort=A","Dates=H","DateFormat=P","Fill=—","Direction=H","UseDPDF=Y")</f>
        <v>-3449</v>
      </c>
      <c r="K13" s="13">
        <f>_xll.BDH("GILD US Equity","T12M_DVDS_PAID","FQ1 2021","FQ1 2021","Currency=USD","Period=FQ","BEST_FPERIOD_OVERRIDE=FQ","FILING_STATUS=MR","SCALING_FORMAT=MLN","Sort=A","Dates=H","DateFormat=P","Fill=—","Direction=H","UseDPDF=Y")</f>
        <v>-3492</v>
      </c>
      <c r="L13" s="13">
        <f>_xll.BDH("GILD US Equity","T12M_DVDS_PAID","FQ2 2021","FQ2 2021","Currency=USD","Period=FQ","BEST_FPERIOD_OVERRIDE=FQ","FILING_STATUS=MR","SCALING_FORMAT=MLN","Sort=A","Dates=H","DateFormat=P","Fill=—","Direction=H","UseDPDF=Y")</f>
        <v>-3530</v>
      </c>
      <c r="M13" s="13">
        <f>_xll.BDH("GILD US Equity","T12M_DVDS_PAID","FQ3 2021","FQ3 2021","Currency=USD","Period=FQ","BEST_FPERIOD_OVERRIDE=FQ","FILING_STATUS=MR","SCALING_FORMAT=MLN","Sort=A","Dates=H","DateFormat=P","Fill=—","Direction=H","UseDPDF=Y")</f>
        <v>-3569</v>
      </c>
      <c r="N13" s="13">
        <f>_xll.BDH("GILD US Equity","T12M_DVDS_PAID","FQ4 2021","FQ4 2021","Currency=USD","Period=FQ","BEST_FPERIOD_OVERRIDE=FQ","FILING_STATUS=MR","SCALING_FORMAT=MLN","Sort=A","Dates=H","DateFormat=P","Fill=—","Direction=H","UseDPDF=Y")</f>
        <v>-3605</v>
      </c>
      <c r="O13" s="13">
        <f>_xll.BDH("GILD US Equity","T12M_DVDS_PAID","FQ1 2022","FQ1 2022","Currency=USD","Period=FQ","BEST_FPERIOD_OVERRIDE=FQ","FILING_STATUS=MR","SCALING_FORMAT=MLN","Sort=A","Dates=H","DateFormat=P","Fill=—","Direction=H","UseDPDF=Y")</f>
        <v>-3633</v>
      </c>
      <c r="P13" s="13">
        <f>_xll.BDH("GILD US Equity","T12M_DVDS_PAID","FQ2 2022","FQ2 2022","Currency=USD","Period=FQ","BEST_FPERIOD_OVERRIDE=FQ","FILING_STATUS=MR","SCALING_FORMAT=MLN","Sort=A","Dates=H","DateFormat=P","Fill=—","Direction=H","UseDPDF=Y")</f>
        <v>-3659</v>
      </c>
      <c r="Q13" s="13">
        <f>_xll.BDH("GILD US Equity","T12M_DVDS_PAID","FQ3 2022","FQ3 2022","Currency=USD","Period=FQ","BEST_FPERIOD_OVERRIDE=FQ","FILING_STATUS=MR","SCALING_FORMAT=MLN","Sort=A","Dates=H","DateFormat=P","Fill=—","Direction=H","UseDPDF=Y")</f>
        <v>-3688</v>
      </c>
      <c r="R13" s="13">
        <f>_xll.BDH("GILD US Equity","T12M_DVDS_PAID","FQ4 2022","FQ4 2022","Currency=USD","Period=FQ","BEST_FPERIOD_OVERRIDE=FQ","FILING_STATUS=MR","SCALING_FORMAT=MLN","Sort=A","Dates=H","DateFormat=P","Fill=—","Direction=H","UseDPDF=Y")</f>
        <v>-3709</v>
      </c>
      <c r="S13" s="13">
        <f>_xll.BDH("GILD US Equity","T12M_DVDS_PAID","FQ1 2023","FQ1 2023","Currency=USD","Period=FQ","BEST_FPERIOD_OVERRIDE=FQ","FILING_STATUS=MR","SCALING_FORMAT=MLN","Sort=A","Dates=H","DateFormat=P","Fill=—","Direction=H","UseDPDF=Y")</f>
        <v>-3733</v>
      </c>
      <c r="T13" s="13">
        <f>_xll.BDH("GILD US Equity","T12M_DVDS_PAID","FQ2 2023","FQ2 2023","Currency=USD","Period=FQ","BEST_FPERIOD_OVERRIDE=FQ","FILING_STATUS=MR","SCALING_FORMAT=MLN","Sort=A","Dates=H","DateFormat=P","Fill=—","Direction=H","UseDPDF=Y")</f>
        <v>-3757</v>
      </c>
      <c r="U13" s="13">
        <f>_xll.BDH("GILD US Equity","T12M_DVDS_PAID","FQ3 2023","FQ3 2023","Currency=USD","Period=FQ","BEST_FPERIOD_OVERRIDE=FQ","FILING_STATUS=MR","SCALING_FORMAT=MLN","Sort=A","Dates=H","DateFormat=P","Fill=—","Direction=H","UseDPDF=Y")</f>
        <v>-3781</v>
      </c>
      <c r="V13" s="13">
        <f>_xll.BDH("GILD US Equity","T12M_DVDS_PAID","FQ4 2023","FQ4 2023","Currency=USD","Period=FQ","BEST_FPERIOD_OVERRIDE=FQ","FILING_STATUS=MR","SCALING_FORMAT=MLN","Sort=A","Dates=H","DateFormat=P","Fill=—","Direction=H","UseDPDF=Y")</f>
        <v>-3809</v>
      </c>
      <c r="W13" s="13">
        <f>_xll.BDH("GILD US Equity","T12M_DVDS_PAID","FQ1 2024","FQ1 2024","Currency=USD","Period=FQ","BEST_FPERIOD_OVERRIDE=FQ","FILING_STATUS=MR","SCALING_FORMAT=MLN","Sort=A","Dates=H","DateFormat=P","Fill=—","Direction=H","UseDPDF=Y")</f>
        <v>-3830</v>
      </c>
      <c r="X13" s="13">
        <f>_xll.BDH("GILD US Equity","T12M_DVDS_PAID","FQ2 2024","FQ2 2024","Currency=USD","Period=FQ","BEST_FPERIOD_OVERRIDE=FQ","FILING_STATUS=MR","SCALING_FORMAT=MLN","Sort=A","Dates=H","DateFormat=P","Fill=—","Direction=H","UseDPDF=Y")</f>
        <v>-3858</v>
      </c>
      <c r="Y13" s="13">
        <f>_xll.BDH("GILD US Equity","T12M_DVDS_PAID","FQ3 2024","FQ3 2024","Currency=USD","Period=FQ","BEST_FPERIOD_OVERRIDE=FQ","FILING_STATUS=MR","SCALING_FORMAT=MLN","Sort=A","Dates=H","DateFormat=P","Fill=—","Direction=H","UseDPDF=Y")</f>
        <v>-3888</v>
      </c>
      <c r="Z13" s="13">
        <f>_xll.BDH("GILD US Equity","T12M_DVDS_PAID","FQ4 2024","FQ4 2024","Currency=USD","Period=FQ","BEST_FPERIOD_OVERRIDE=FQ","FILING_STATUS=MR","SCALING_FORMAT=MLN","Sort=A","Dates=H","DateFormat=P","Fill=—","Direction=H","UseDPDF=Y")</f>
        <v>-3918</v>
      </c>
      <c r="AA13" s="13"/>
    </row>
    <row r="14" spans="1:27" x14ac:dyDescent="0.25">
      <c r="A14" s="10" t="s">
        <v>1713</v>
      </c>
      <c r="B14" s="10" t="s">
        <v>1714</v>
      </c>
      <c r="C14" s="13">
        <f>_xll.BDH("GILD US Equity","T12M_NET_CAPITAL_STOCK","FQ1 2019","FQ1 2019","Currency=USD","Period=FQ","BEST_FPERIOD_OVERRIDE=FQ","FILING_STATUS=MR","SCALING_FORMAT=MLN","Sort=A","Dates=H","DateFormat=P","Fill=—","Direction=H","UseDPDF=Y")</f>
        <v>-2414</v>
      </c>
      <c r="D14" s="13">
        <f>_xll.BDH("GILD US Equity","T12M_NET_CAPITAL_STOCK","FQ2 2019","FQ2 2019","Currency=USD","Period=FQ","BEST_FPERIOD_OVERRIDE=FQ","FILING_STATUS=MR","SCALING_FORMAT=MLN","Sort=A","Dates=H","DateFormat=P","Fill=—","Direction=H","UseDPDF=Y")</f>
        <v>-2562</v>
      </c>
      <c r="E14" s="13">
        <f>_xll.BDH("GILD US Equity","T12M_NET_CAPITAL_STOCK","FQ3 2019","FQ3 2019","Currency=USD","Period=FQ","BEST_FPERIOD_OVERRIDE=FQ","FILING_STATUS=MR","SCALING_FORMAT=MLN","Sort=A","Dates=H","DateFormat=P","Fill=—","Direction=H","UseDPDF=Y")</f>
        <v>-2374</v>
      </c>
      <c r="F14" s="13">
        <f>_xll.BDH("GILD US Equity","T12M_NET_CAPITAL_STOCK","FQ4 2019","FQ4 2019","Currency=USD","Period=FQ","BEST_FPERIOD_OVERRIDE=FQ","FILING_STATUS=MR","SCALING_FORMAT=MLN","Sort=A","Dates=H","DateFormat=P","Fill=—","Direction=H","UseDPDF=Y")</f>
        <v>-1540</v>
      </c>
      <c r="G14" s="13">
        <f>_xll.BDH("GILD US Equity","T12M_NET_CAPITAL_STOCK","FQ1 2020","FQ1 2020","Currency=USD","Period=FQ","BEST_FPERIOD_OVERRIDE=FQ","FILING_STATUS=MR","SCALING_FORMAT=MLN","Sort=A","Dates=H","DateFormat=P","Fill=—","Direction=H","UseDPDF=Y")</f>
        <v>-1960</v>
      </c>
      <c r="H14" s="13">
        <f>_xll.BDH("GILD US Equity","T12M_NET_CAPITAL_STOCK","FQ2 2020","FQ2 2020","Currency=USD","Period=FQ","BEST_FPERIOD_OVERRIDE=FQ","FILING_STATUS=MR","SCALING_FORMAT=MLN","Sort=A","Dates=H","DateFormat=P","Fill=—","Direction=H","UseDPDF=Y")</f>
        <v>-1429</v>
      </c>
      <c r="I14" s="13">
        <f>_xll.BDH("GILD US Equity","T12M_NET_CAPITAL_STOCK","FQ3 2020","FQ3 2020","Currency=USD","Period=FQ","BEST_FPERIOD_OVERRIDE=FQ","FILING_STATUS=MR","SCALING_FORMAT=MLN","Sort=A","Dates=H","DateFormat=P","Fill=—","Direction=H","UseDPDF=Y")</f>
        <v>-1413</v>
      </c>
      <c r="J14" s="13">
        <f>_xll.BDH("GILD US Equity","T12M_NET_CAPITAL_STOCK","FQ4 2020","FQ4 2020","Currency=USD","Period=FQ","BEST_FPERIOD_OVERRIDE=FQ","FILING_STATUS=MR","SCALING_FORMAT=MLN","Sort=A","Dates=H","DateFormat=P","Fill=—","Direction=H","UseDPDF=Y")</f>
        <v>-1327</v>
      </c>
      <c r="K14" s="13">
        <f>_xll.BDH("GILD US Equity","T12M_NET_CAPITAL_STOCK","FQ1 2021","FQ1 2021","Currency=USD","Period=FQ","BEST_FPERIOD_OVERRIDE=FQ","FILING_STATUS=MR","SCALING_FORMAT=MLN","Sort=A","Dates=H","DateFormat=P","Fill=—","Direction=H","UseDPDF=Y")</f>
        <v>-397</v>
      </c>
      <c r="L14" s="13">
        <f>_xll.BDH("GILD US Equity","T12M_NET_CAPITAL_STOCK","FQ2 2021","FQ2 2021","Currency=USD","Period=FQ","BEST_FPERIOD_OVERRIDE=FQ","FILING_STATUS=MR","SCALING_FORMAT=MLN","Sort=A","Dates=H","DateFormat=P","Fill=—","Direction=H","UseDPDF=Y")</f>
        <v>-409</v>
      </c>
      <c r="M14" s="13">
        <f>_xll.BDH("GILD US Equity","T12M_NET_CAPITAL_STOCK","FQ3 2021","FQ3 2021","Currency=USD","Period=FQ","BEST_FPERIOD_OVERRIDE=FQ","FILING_STATUS=MR","SCALING_FORMAT=MLN","Sort=A","Dates=H","DateFormat=P","Fill=—","Direction=H","UseDPDF=Y")</f>
        <v>-332</v>
      </c>
      <c r="N14" s="13">
        <f>_xll.BDH("GILD US Equity","T12M_NET_CAPITAL_STOCK","FQ4 2021","FQ4 2021","Currency=USD","Period=FQ","BEST_FPERIOD_OVERRIDE=FQ","FILING_STATUS=MR","SCALING_FORMAT=MLN","Sort=A","Dates=H","DateFormat=P","Fill=—","Direction=H","UseDPDF=Y")</f>
        <v>-377</v>
      </c>
      <c r="O14" s="13">
        <f>_xll.BDH("GILD US Equity","T12M_NET_CAPITAL_STOCK","FQ1 2022","FQ1 2022","Currency=USD","Period=FQ","BEST_FPERIOD_OVERRIDE=FQ","FILING_STATUS=MR","SCALING_FORMAT=MLN","Sort=A","Dates=H","DateFormat=P","Fill=—","Direction=H","UseDPDF=Y")</f>
        <v>-414</v>
      </c>
      <c r="P14" s="13">
        <f>_xll.BDH("GILD US Equity","T12M_NET_CAPITAL_STOCK","FQ2 2022","FQ2 2022","Currency=USD","Period=FQ","BEST_FPERIOD_OVERRIDE=FQ","FILING_STATUS=MR","SCALING_FORMAT=MLN","Sort=A","Dates=H","DateFormat=P","Fill=—","Direction=H","UseDPDF=Y")</f>
        <v>-452</v>
      </c>
      <c r="Q14" s="13">
        <f>_xll.BDH("GILD US Equity","T12M_NET_CAPITAL_STOCK","FQ3 2022","FQ3 2022","Currency=USD","Period=FQ","BEST_FPERIOD_OVERRIDE=FQ","FILING_STATUS=MR","SCALING_FORMAT=MLN","Sort=A","Dates=H","DateFormat=P","Fill=—","Direction=H","UseDPDF=Y")</f>
        <v>-508</v>
      </c>
      <c r="R14" s="13">
        <f>_xll.BDH("GILD US Equity","T12M_NET_CAPITAL_STOCK","FQ4 2022","FQ4 2022","Currency=USD","Period=FQ","BEST_FPERIOD_OVERRIDE=FQ","FILING_STATUS=MR","SCALING_FORMAT=MLN","Sort=A","Dates=H","DateFormat=P","Fill=—","Direction=H","UseDPDF=Y")</f>
        <v>-1087</v>
      </c>
      <c r="S14" s="13">
        <f>_xll.BDH("GILD US Equity","T12M_NET_CAPITAL_STOCK","FQ1 2023","FQ1 2023","Currency=USD","Period=FQ","BEST_FPERIOD_OVERRIDE=FQ","FILING_STATUS=MR","SCALING_FORMAT=MLN","Sort=A","Dates=H","DateFormat=P","Fill=—","Direction=H","UseDPDF=Y")</f>
        <v>-1132</v>
      </c>
      <c r="T14" s="13">
        <f>_xll.BDH("GILD US Equity","T12M_NET_CAPITAL_STOCK","FQ2 2023","FQ2 2023","Currency=USD","Period=FQ","BEST_FPERIOD_OVERRIDE=FQ","FILING_STATUS=MR","SCALING_FORMAT=MLN","Sort=A","Dates=H","DateFormat=P","Fill=—","Direction=H","UseDPDF=Y")</f>
        <v>-1187</v>
      </c>
      <c r="U14" s="13">
        <f>_xll.BDH("GILD US Equity","T12M_NET_CAPITAL_STOCK","FQ3 2023","FQ3 2023","Currency=USD","Period=FQ","BEST_FPERIOD_OVERRIDE=FQ","FILING_STATUS=MR","SCALING_FORMAT=MLN","Sort=A","Dates=H","DateFormat=P","Fill=—","Direction=H","UseDPDF=Y")</f>
        <v>-1260</v>
      </c>
      <c r="V14" s="13">
        <f>_xll.BDH("GILD US Equity","T12M_NET_CAPITAL_STOCK","FQ4 2023","FQ4 2023","Currency=USD","Period=FQ","BEST_FPERIOD_OVERRIDE=FQ","FILING_STATUS=MR","SCALING_FORMAT=MLN","Sort=A","Dates=H","DateFormat=P","Fill=—","Direction=H","UseDPDF=Y")</f>
        <v>-767</v>
      </c>
      <c r="W14" s="13">
        <f>_xll.BDH("GILD US Equity","T12M_NET_CAPITAL_STOCK","FQ1 2024","FQ1 2024","Currency=USD","Period=FQ","BEST_FPERIOD_OVERRIDE=FQ","FILING_STATUS=MR","SCALING_FORMAT=MLN","Sort=A","Dates=H","DateFormat=P","Fill=—","Direction=H","UseDPDF=Y")</f>
        <v>-718</v>
      </c>
      <c r="X14" s="13">
        <f>_xll.BDH("GILD US Equity","T12M_NET_CAPITAL_STOCK","FQ2 2024","FQ2 2024","Currency=USD","Period=FQ","BEST_FPERIOD_OVERRIDE=FQ","FILING_STATUS=MR","SCALING_FORMAT=MLN","Sort=A","Dates=H","DateFormat=P","Fill=—","Direction=H","UseDPDF=Y")</f>
        <v>-689</v>
      </c>
      <c r="Y14" s="13">
        <f>_xll.BDH("GILD US Equity","T12M_NET_CAPITAL_STOCK","FQ3 2024","FQ3 2024","Currency=USD","Period=FQ","BEST_FPERIOD_OVERRIDE=FQ","FILING_STATUS=MR","SCALING_FORMAT=MLN","Sort=A","Dates=H","DateFormat=P","Fill=—","Direction=H","UseDPDF=Y")</f>
        <v>-674</v>
      </c>
      <c r="Z14" s="13">
        <f>_xll.BDH("GILD US Equity","T12M_NET_CAPITAL_STOCK","FQ4 2024","FQ4 2024","Currency=USD","Period=FQ","BEST_FPERIOD_OVERRIDE=FQ","FILING_STATUS=MR","SCALING_FORMAT=MLN","Sort=A","Dates=H","DateFormat=P","Fill=—","Direction=H","UseDPDF=Y")</f>
        <v>-728</v>
      </c>
      <c r="AA14" s="13"/>
    </row>
    <row r="15" spans="1:27" x14ac:dyDescent="0.25">
      <c r="A15" s="10" t="s">
        <v>1715</v>
      </c>
      <c r="B15" s="10" t="s">
        <v>1716</v>
      </c>
      <c r="C15" s="13" t="str">
        <f>_xll.BDH("GILD US Equity","T12M_CHG_ST_BORROWINGS","FQ1 2019","FQ1 2019","Currency=USD","Period=FQ","BEST_FPERIOD_OVERRIDE=FQ","FILING_STATUS=MR","SCALING_FORMAT=MLN","Sort=A","Dates=H","DateFormat=P","Fill=—","Direction=H","UseDPDF=Y")</f>
        <v>—</v>
      </c>
      <c r="D15" s="13" t="str">
        <f>_xll.BDH("GILD US Equity","T12M_CHG_ST_BORROWINGS","FQ2 2019","FQ2 2019","Currency=USD","Period=FQ","BEST_FPERIOD_OVERRIDE=FQ","FILING_STATUS=MR","SCALING_FORMAT=MLN","Sort=A","Dates=H","DateFormat=P","Fill=—","Direction=H","UseDPDF=Y")</f>
        <v>—</v>
      </c>
      <c r="E15" s="13">
        <f>_xll.BDH("GILD US Equity","T12M_CHG_ST_BORROWINGS","FQ3 2019","FQ3 2019","Currency=USD","Period=FQ","BEST_FPERIOD_OVERRIDE=FQ","FILING_STATUS=MR","SCALING_FORMAT=MLN","Sort=A","Dates=H","DateFormat=P","Fill=—","Direction=H","UseDPDF=Y")</f>
        <v>0</v>
      </c>
      <c r="F15" s="13">
        <f>_xll.BDH("GILD US Equity","T12M_CHG_ST_BORROWINGS","FQ4 2019","FQ4 2019","Currency=USD","Period=FQ","BEST_FPERIOD_OVERRIDE=FQ","FILING_STATUS=MR","SCALING_FORMAT=MLN","Sort=A","Dates=H","DateFormat=P","Fill=—","Direction=H","UseDPDF=Y")</f>
        <v>0</v>
      </c>
      <c r="G15" s="13">
        <f>_xll.BDH("GILD US Equity","T12M_CHG_ST_BORROWINGS","FQ1 2020","FQ1 2020","Currency=USD","Period=FQ","BEST_FPERIOD_OVERRIDE=FQ","FILING_STATUS=MR","SCALING_FORMAT=MLN","Sort=A","Dates=H","DateFormat=P","Fill=—","Direction=H","UseDPDF=Y")</f>
        <v>0</v>
      </c>
      <c r="H15" s="13">
        <f>_xll.BDH("GILD US Equity","T12M_CHG_ST_BORROWINGS","FQ2 2020","FQ2 2020","Currency=USD","Period=FQ","BEST_FPERIOD_OVERRIDE=FQ","FILING_STATUS=MR","SCALING_FORMAT=MLN","Sort=A","Dates=H","DateFormat=P","Fill=—","Direction=H","UseDPDF=Y")</f>
        <v>0</v>
      </c>
      <c r="I15" s="13">
        <f>_xll.BDH("GILD US Equity","T12M_CHG_ST_BORROWINGS","FQ3 2020","FQ3 2020","Currency=USD","Period=FQ","BEST_FPERIOD_OVERRIDE=FQ","FILING_STATUS=MR","SCALING_FORMAT=MLN","Sort=A","Dates=H","DateFormat=P","Fill=—","Direction=H","UseDPDF=Y")</f>
        <v>0</v>
      </c>
      <c r="J15" s="13">
        <f>_xll.BDH("GILD US Equity","T12M_CHG_ST_BORROWINGS","FQ4 2020","FQ4 2020","Currency=USD","Period=FQ","BEST_FPERIOD_OVERRIDE=FQ","FILING_STATUS=MR","SCALING_FORMAT=MLN","Sort=A","Dates=H","DateFormat=P","Fill=—","Direction=H","UseDPDF=Y")</f>
        <v>0</v>
      </c>
      <c r="K15" s="13" t="str">
        <f>_xll.BDH("GILD US Equity","T12M_CHG_ST_BORROWINGS","FQ1 2021","FQ1 2021","Currency=USD","Period=FQ","BEST_FPERIOD_OVERRIDE=FQ","FILING_STATUS=MR","SCALING_FORMAT=MLN","Sort=A","Dates=H","DateFormat=P","Fill=—","Direction=H","UseDPDF=Y")</f>
        <v>—</v>
      </c>
      <c r="L15" s="13" t="str">
        <f>_xll.BDH("GILD US Equity","T12M_CHG_ST_BORROWINGS","FQ2 2021","FQ2 2021","Currency=USD","Period=FQ","BEST_FPERIOD_OVERRIDE=FQ","FILING_STATUS=MR","SCALING_FORMAT=MLN","Sort=A","Dates=H","DateFormat=P","Fill=—","Direction=H","UseDPDF=Y")</f>
        <v>—</v>
      </c>
      <c r="M15" s="13" t="str">
        <f>_xll.BDH("GILD US Equity","T12M_CHG_ST_BORROWINGS","FQ3 2021","FQ3 2021","Currency=USD","Period=FQ","BEST_FPERIOD_OVERRIDE=FQ","FILING_STATUS=MR","SCALING_FORMAT=MLN","Sort=A","Dates=H","DateFormat=P","Fill=—","Direction=H","UseDPDF=Y")</f>
        <v>—</v>
      </c>
      <c r="N15" s="13" t="str">
        <f>_xll.BDH("GILD US Equity","T12M_CHG_ST_BORROWINGS","FQ4 2021","FQ4 2021","Currency=USD","Period=FQ","BEST_FPERIOD_OVERRIDE=FQ","FILING_STATUS=MR","SCALING_FORMAT=MLN","Sort=A","Dates=H","DateFormat=P","Fill=—","Direction=H","UseDPDF=Y")</f>
        <v>—</v>
      </c>
      <c r="O15" s="13" t="str">
        <f>_xll.BDH("GILD US Equity","T12M_CHG_ST_BORROWINGS","FQ1 2022","FQ1 2022","Currency=USD","Period=FQ","BEST_FPERIOD_OVERRIDE=FQ","FILING_STATUS=MR","SCALING_FORMAT=MLN","Sort=A","Dates=H","DateFormat=P","Fill=—","Direction=H","UseDPDF=Y")</f>
        <v>—</v>
      </c>
      <c r="P15" s="13" t="str">
        <f>_xll.BDH("GILD US Equity","T12M_CHG_ST_BORROWINGS","FQ2 2022","FQ2 2022","Currency=USD","Period=FQ","BEST_FPERIOD_OVERRIDE=FQ","FILING_STATUS=MR","SCALING_FORMAT=MLN","Sort=A","Dates=H","DateFormat=P","Fill=—","Direction=H","UseDPDF=Y")</f>
        <v>—</v>
      </c>
      <c r="Q15" s="13" t="str">
        <f>_xll.BDH("GILD US Equity","T12M_CHG_ST_BORROWINGS","FQ3 2022","FQ3 2022","Currency=USD","Period=FQ","BEST_FPERIOD_OVERRIDE=FQ","FILING_STATUS=MR","SCALING_FORMAT=MLN","Sort=A","Dates=H","DateFormat=P","Fill=—","Direction=H","UseDPDF=Y")</f>
        <v>—</v>
      </c>
      <c r="R15" s="13" t="str">
        <f>_xll.BDH("GILD US Equity","T12M_CHG_ST_BORROWINGS","FQ4 2022","FQ4 2022","Currency=USD","Period=FQ","BEST_FPERIOD_OVERRIDE=FQ","FILING_STATUS=MR","SCALING_FORMAT=MLN","Sort=A","Dates=H","DateFormat=P","Fill=—","Direction=H","UseDPDF=Y")</f>
        <v>—</v>
      </c>
      <c r="S15" s="13" t="str">
        <f>_xll.BDH("GILD US Equity","T12M_CHG_ST_BORROWINGS","FQ1 2023","FQ1 2023","Currency=USD","Period=FQ","BEST_FPERIOD_OVERRIDE=FQ","FILING_STATUS=MR","SCALING_FORMAT=MLN","Sort=A","Dates=H","DateFormat=P","Fill=—","Direction=H","UseDPDF=Y")</f>
        <v>—</v>
      </c>
      <c r="T15" s="13" t="str">
        <f>_xll.BDH("GILD US Equity","T12M_CHG_ST_BORROWINGS","FQ2 2023","FQ2 2023","Currency=USD","Period=FQ","BEST_FPERIOD_OVERRIDE=FQ","FILING_STATUS=MR","SCALING_FORMAT=MLN","Sort=A","Dates=H","DateFormat=P","Fill=—","Direction=H","UseDPDF=Y")</f>
        <v>—</v>
      </c>
      <c r="U15" s="13" t="str">
        <f>_xll.BDH("GILD US Equity","T12M_CHG_ST_BORROWINGS","FQ3 2023","FQ3 2023","Currency=USD","Period=FQ","BEST_FPERIOD_OVERRIDE=FQ","FILING_STATUS=MR","SCALING_FORMAT=MLN","Sort=A","Dates=H","DateFormat=P","Fill=—","Direction=H","UseDPDF=Y")</f>
        <v>—</v>
      </c>
      <c r="V15" s="13" t="str">
        <f>_xll.BDH("GILD US Equity","T12M_CHG_ST_BORROWINGS","FQ4 2023","FQ4 2023","Currency=USD","Period=FQ","BEST_FPERIOD_OVERRIDE=FQ","FILING_STATUS=MR","SCALING_FORMAT=MLN","Sort=A","Dates=H","DateFormat=P","Fill=—","Direction=H","UseDPDF=Y")</f>
        <v>—</v>
      </c>
      <c r="W15" s="13" t="str">
        <f>_xll.BDH("GILD US Equity","T12M_CHG_ST_BORROWINGS","FQ1 2024","FQ1 2024","Currency=USD","Period=FQ","BEST_FPERIOD_OVERRIDE=FQ","FILING_STATUS=MR","SCALING_FORMAT=MLN","Sort=A","Dates=H","DateFormat=P","Fill=—","Direction=H","UseDPDF=Y")</f>
        <v>—</v>
      </c>
      <c r="X15" s="13" t="str">
        <f>_xll.BDH("GILD US Equity","T12M_CHG_ST_BORROWINGS","FQ2 2024","FQ2 2024","Currency=USD","Period=FQ","BEST_FPERIOD_OVERRIDE=FQ","FILING_STATUS=MR","SCALING_FORMAT=MLN","Sort=A","Dates=H","DateFormat=P","Fill=—","Direction=H","UseDPDF=Y")</f>
        <v>—</v>
      </c>
      <c r="Y15" s="13" t="str">
        <f>_xll.BDH("GILD US Equity","T12M_CHG_ST_BORROWINGS","FQ3 2024","FQ3 2024","Currency=USD","Period=FQ","BEST_FPERIOD_OVERRIDE=FQ","FILING_STATUS=MR","SCALING_FORMAT=MLN","Sort=A","Dates=H","DateFormat=P","Fill=—","Direction=H","UseDPDF=Y")</f>
        <v>—</v>
      </c>
      <c r="Z15" s="13" t="str">
        <f>_xll.BDH("GILD US Equity","T12M_CHG_ST_BORROWINGS","FQ4 2024","FQ4 2024","Currency=USD","Period=FQ","BEST_FPERIOD_OVERRIDE=FQ","FILING_STATUS=MR","SCALING_FORMAT=MLN","Sort=A","Dates=H","DateFormat=P","Fill=—","Direction=H","UseDPDF=Y")</f>
        <v>—</v>
      </c>
      <c r="AA15" s="13"/>
    </row>
    <row r="16" spans="1:27" x14ac:dyDescent="0.25">
      <c r="A16" s="10" t="s">
        <v>1717</v>
      </c>
      <c r="B16" s="10" t="s">
        <v>1718</v>
      </c>
      <c r="C16" s="13">
        <f>_xll.BDH("GILD US Equity","T12M_CHG_LT_DEBT","FQ1 2019","FQ1 2019","Currency=USD","Period=FQ","BEST_FPERIOD_OVERRIDE=FQ","FILING_STATUS=MR","SCALING_FORMAT=MLN","Sort=A","Dates=H","DateFormat=P","Fill=—","Direction=H","UseDPDF=Y")</f>
        <v>-2500</v>
      </c>
      <c r="D16" s="13">
        <f>_xll.BDH("GILD US Equity","T12M_CHG_LT_DEBT","FQ2 2019","FQ2 2019","Currency=USD","Period=FQ","BEST_FPERIOD_OVERRIDE=FQ","FILING_STATUS=MR","SCALING_FORMAT=MLN","Sort=A","Dates=H","DateFormat=P","Fill=—","Direction=H","UseDPDF=Y")</f>
        <v>-3000</v>
      </c>
      <c r="E16" s="13">
        <f>_xll.BDH("GILD US Equity","T12M_CHG_LT_DEBT","FQ3 2019","FQ3 2019","Currency=USD","Period=FQ","BEST_FPERIOD_OVERRIDE=FQ","FILING_STATUS=MR","SCALING_FORMAT=MLN","Sort=A","Dates=H","DateFormat=P","Fill=—","Direction=H","UseDPDF=Y")</f>
        <v>-2750</v>
      </c>
      <c r="F16" s="13">
        <f>_xll.BDH("GILD US Equity","T12M_CHG_LT_DEBT","FQ4 2019","FQ4 2019","Currency=USD","Period=FQ","BEST_FPERIOD_OVERRIDE=FQ","FILING_STATUS=MR","SCALING_FORMAT=MLN","Sort=A","Dates=H","DateFormat=P","Fill=—","Direction=H","UseDPDF=Y")</f>
        <v>-2750</v>
      </c>
      <c r="G16" s="13">
        <f>_xll.BDH("GILD US Equity","T12M_CHG_LT_DEBT","FQ1 2020","FQ1 2020","Currency=USD","Period=FQ","BEST_FPERIOD_OVERRIDE=FQ","FILING_STATUS=MR","SCALING_FORMAT=MLN","Sort=A","Dates=H","DateFormat=P","Fill=—","Direction=H","UseDPDF=Y")</f>
        <v>-2500</v>
      </c>
      <c r="H16" s="13">
        <f>_xll.BDH("GILD US Equity","T12M_CHG_LT_DEBT","FQ2 2020","FQ2 2020","Currency=USD","Period=FQ","BEST_FPERIOD_OVERRIDE=FQ","FILING_STATUS=MR","SCALING_FORMAT=MLN","Sort=A","Dates=H","DateFormat=P","Fill=—","Direction=H","UseDPDF=Y")</f>
        <v>-2000</v>
      </c>
      <c r="I16" s="13">
        <f>_xll.BDH("GILD US Equity","T12M_CHG_LT_DEBT","FQ3 2020","FQ3 2020","Currency=USD","Period=FQ","BEST_FPERIOD_OVERRIDE=FQ","FILING_STATUS=MR","SCALING_FORMAT=MLN","Sort=A","Dates=H","DateFormat=P","Fill=—","Direction=H","UseDPDF=Y")</f>
        <v>4689</v>
      </c>
      <c r="J16" s="13">
        <f>_xll.BDH("GILD US Equity","T12M_CHG_LT_DEBT","FQ4 2020","FQ4 2020","Currency=USD","Period=FQ","BEST_FPERIOD_OVERRIDE=FQ","FILING_STATUS=MR","SCALING_FORMAT=MLN","Sort=A","Dates=H","DateFormat=P","Fill=—","Direction=H","UseDPDF=Y")</f>
        <v>5684</v>
      </c>
      <c r="K16" s="13">
        <f>_xll.BDH("GILD US Equity","T12M_CHG_LT_DEBT","FQ1 2021","FQ1 2021","Currency=USD","Period=FQ","BEST_FPERIOD_OVERRIDE=FQ","FILING_STATUS=MR","SCALING_FORMAT=MLN","Sort=A","Dates=H","DateFormat=P","Fill=—","Direction=H","UseDPDF=Y")</f>
        <v>4934</v>
      </c>
      <c r="L16" s="13">
        <f>_xll.BDH("GILD US Equity","T12M_CHG_LT_DEBT","FQ2 2021","FQ2 2021","Currency=USD","Period=FQ","BEST_FPERIOD_OVERRIDE=FQ","FILING_STATUS=MR","SCALING_FORMAT=MLN","Sort=A","Dates=H","DateFormat=P","Fill=—","Direction=H","UseDPDF=Y")</f>
        <v>4934</v>
      </c>
      <c r="M16" s="13">
        <f>_xll.BDH("GILD US Equity","T12M_CHG_LT_DEBT","FQ3 2021","FQ3 2021","Currency=USD","Period=FQ","BEST_FPERIOD_OVERRIDE=FQ","FILING_STATUS=MR","SCALING_FORMAT=MLN","Sort=A","Dates=H","DateFormat=P","Fill=—","Direction=H","UseDPDF=Y")</f>
        <v>-2755</v>
      </c>
      <c r="N16" s="13">
        <f>_xll.BDH("GILD US Equity","T12M_CHG_LT_DEBT","FQ4 2021","FQ4 2021","Currency=USD","Period=FQ","BEST_FPERIOD_OVERRIDE=FQ","FILING_STATUS=MR","SCALING_FORMAT=MLN","Sort=A","Dates=H","DateFormat=P","Fill=—","Direction=H","UseDPDF=Y")</f>
        <v>-4750</v>
      </c>
      <c r="O16" s="13">
        <f>_xll.BDH("GILD US Equity","T12M_CHG_LT_DEBT","FQ1 2022","FQ1 2022","Currency=USD","Period=FQ","BEST_FPERIOD_OVERRIDE=FQ","FILING_STATUS=MR","SCALING_FORMAT=MLN","Sort=A","Dates=H","DateFormat=P","Fill=—","Direction=H","UseDPDF=Y")</f>
        <v>-4000</v>
      </c>
      <c r="P16" s="13">
        <f>_xll.BDH("GILD US Equity","T12M_CHG_LT_DEBT","FQ2 2022","FQ2 2022","Currency=USD","Period=FQ","BEST_FPERIOD_OVERRIDE=FQ","FILING_STATUS=MR","SCALING_FORMAT=MLN","Sort=A","Dates=H","DateFormat=P","Fill=—","Direction=H","UseDPDF=Y")</f>
        <v>-4000</v>
      </c>
      <c r="Q16" s="13">
        <f>_xll.BDH("GILD US Equity","T12M_CHG_LT_DEBT","FQ3 2022","FQ3 2022","Currency=USD","Period=FQ","BEST_FPERIOD_OVERRIDE=FQ","FILING_STATUS=MR","SCALING_FORMAT=MLN","Sort=A","Dates=H","DateFormat=P","Fill=—","Direction=H","UseDPDF=Y")</f>
        <v>-2500</v>
      </c>
      <c r="R16" s="13">
        <f>_xll.BDH("GILD US Equity","T12M_CHG_LT_DEBT","FQ4 2022","FQ4 2022","Currency=USD","Period=FQ","BEST_FPERIOD_OVERRIDE=FQ","FILING_STATUS=MR","SCALING_FORMAT=MLN","Sort=A","Dates=H","DateFormat=P","Fill=—","Direction=H","UseDPDF=Y")</f>
        <v>-1500</v>
      </c>
      <c r="S16" s="13">
        <f>_xll.BDH("GILD US Equity","T12M_CHG_LT_DEBT","FQ1 2023","FQ1 2023","Currency=USD","Period=FQ","BEST_FPERIOD_OVERRIDE=FQ","FILING_STATUS=MR","SCALING_FORMAT=MLN","Sort=A","Dates=H","DateFormat=P","Fill=—","Direction=H","UseDPDF=Y")</f>
        <v>-1000</v>
      </c>
      <c r="T16" s="13">
        <f>_xll.BDH("GILD US Equity","T12M_CHG_LT_DEBT","FQ2 2023","FQ2 2023","Currency=USD","Period=FQ","BEST_FPERIOD_OVERRIDE=FQ","FILING_STATUS=MR","SCALING_FORMAT=MLN","Sort=A","Dates=H","DateFormat=P","Fill=—","Direction=H","UseDPDF=Y")</f>
        <v>-1000</v>
      </c>
      <c r="U16" s="13">
        <f>_xll.BDH("GILD US Equity","T12M_CHG_LT_DEBT","FQ3 2023","FQ3 2023","Currency=USD","Period=FQ","BEST_FPERIOD_OVERRIDE=FQ","FILING_STATUS=MR","SCALING_FORMAT=MLN","Sort=A","Dates=H","DateFormat=P","Fill=—","Direction=H","UseDPDF=Y")</f>
        <v>-271</v>
      </c>
      <c r="V16" s="13">
        <f>_xll.BDH("GILD US Equity","T12M_CHG_LT_DEBT","FQ4 2023","FQ4 2023","Currency=USD","Period=FQ","BEST_FPERIOD_OVERRIDE=FQ","FILING_STATUS=MR","SCALING_FORMAT=MLN","Sort=A","Dates=H","DateFormat=P","Fill=—","Direction=H","UseDPDF=Y")</f>
        <v>-270</v>
      </c>
      <c r="W16" s="13">
        <f>_xll.BDH("GILD US Equity","T12M_CHG_LT_DEBT","FQ1 2024","FQ1 2024","Currency=USD","Period=FQ","BEST_FPERIOD_OVERRIDE=FQ","FILING_STATUS=MR","SCALING_FORMAT=MLN","Sort=A","Dates=H","DateFormat=P","Fill=—","Direction=H","UseDPDF=Y")</f>
        <v>-270</v>
      </c>
      <c r="X16" s="13">
        <f>_xll.BDH("GILD US Equity","T12M_CHG_LT_DEBT","FQ2 2024","FQ2 2024","Currency=USD","Period=FQ","BEST_FPERIOD_OVERRIDE=FQ","FILING_STATUS=MR","SCALING_FORMAT=MLN","Sort=A","Dates=H","DateFormat=P","Fill=—","Direction=H","UseDPDF=Y")</f>
        <v>-2121</v>
      </c>
      <c r="Y16" s="13">
        <f>_xll.BDH("GILD US Equity","T12M_CHG_LT_DEBT","FQ3 2024","FQ3 2024","Currency=USD","Period=FQ","BEST_FPERIOD_OVERRIDE=FQ","FILING_STATUS=MR","SCALING_FORMAT=MLN","Sort=A","Dates=H","DateFormat=P","Fill=—","Direction=H","UseDPDF=Y")</f>
        <v>-1962</v>
      </c>
      <c r="Z16" s="13">
        <f>_xll.BDH("GILD US Equity","T12M_CHG_LT_DEBT","FQ4 2024","FQ4 2024","Currency=USD","Period=FQ","BEST_FPERIOD_OVERRIDE=FQ","FILING_STATUS=MR","SCALING_FORMAT=MLN","Sort=A","Dates=H","DateFormat=P","Fill=—","Direction=H","UseDPDF=Y")</f>
        <v>1494</v>
      </c>
      <c r="AA16" s="13"/>
    </row>
    <row r="17" spans="1:27" x14ac:dyDescent="0.25">
      <c r="A17" s="10" t="s">
        <v>1462</v>
      </c>
      <c r="B17" s="10" t="s">
        <v>1719</v>
      </c>
      <c r="C17" s="13">
        <f>_xll.BDH("GILD US Equity","T12_OTHER_CFF","FQ1 2019","FQ1 2019","Currency=USD","Period=FQ","BEST_FPERIOD_OVERRIDE=FQ","FILING_STATUS=MR","SCALING_FORMAT=MLN","Sort=A","Dates=H","DateFormat=P","Fill=—","Direction=H","UseDPDF=Y")</f>
        <v>-231</v>
      </c>
      <c r="D17" s="13">
        <f>_xll.BDH("GILD US Equity","T12_OTHER_CFF","FQ2 2019","FQ2 2019","Currency=USD","Period=FQ","BEST_FPERIOD_OVERRIDE=FQ","FILING_STATUS=MR","SCALING_FORMAT=MLN","Sort=A","Dates=H","DateFormat=P","Fill=—","Direction=H","UseDPDF=Y")</f>
        <v>-166</v>
      </c>
      <c r="E17" s="13">
        <f>_xll.BDH("GILD US Equity","T12_OTHER_CFF","FQ3 2019","FQ3 2019","Currency=USD","Period=FQ","BEST_FPERIOD_OVERRIDE=FQ","FILING_STATUS=MR","SCALING_FORMAT=MLN","Sort=A","Dates=H","DateFormat=P","Fill=—","Direction=H","UseDPDF=Y")</f>
        <v>-210</v>
      </c>
      <c r="F17" s="13">
        <f>_xll.BDH("GILD US Equity","T12_OTHER_CFF","FQ4 2019","FQ4 2019","Currency=USD","Period=FQ","BEST_FPERIOD_OVERRIDE=FQ","FILING_STATUS=MR","SCALING_FORMAT=MLN","Sort=A","Dates=H","DateFormat=P","Fill=—","Direction=H","UseDPDF=Y")</f>
        <v>-124</v>
      </c>
      <c r="G17" s="13">
        <f>_xll.BDH("GILD US Equity","T12_OTHER_CFF","FQ1 2020","FQ1 2020","Currency=USD","Period=FQ","BEST_FPERIOD_OVERRIDE=FQ","FILING_STATUS=MR","SCALING_FORMAT=MLN","Sort=A","Dates=H","DateFormat=P","Fill=—","Direction=H","UseDPDF=Y")</f>
        <v>-223</v>
      </c>
      <c r="H17" s="13">
        <f>_xll.BDH("GILD US Equity","T12_OTHER_CFF","FQ2 2020","FQ2 2020","Currency=USD","Period=FQ","BEST_FPERIOD_OVERRIDE=FQ","FILING_STATUS=MR","SCALING_FORMAT=MLN","Sort=A","Dates=H","DateFormat=P","Fill=—","Direction=H","UseDPDF=Y")</f>
        <v>-180</v>
      </c>
      <c r="I17" s="13">
        <f>_xll.BDH("GILD US Equity","T12_OTHER_CFF","FQ3 2020","FQ3 2020","Currency=USD","Period=FQ","BEST_FPERIOD_OVERRIDE=FQ","FILING_STATUS=MR","SCALING_FORMAT=MLN","Sort=A","Dates=H","DateFormat=P","Fill=—","Direction=H","UseDPDF=Y")</f>
        <v>-97</v>
      </c>
      <c r="J17" s="13">
        <f>_xll.BDH("GILD US Equity","T12_OTHER_CFF","FQ4 2020","FQ4 2020","Currency=USD","Period=FQ","BEST_FPERIOD_OVERRIDE=FQ","FILING_STATUS=MR","SCALING_FORMAT=MLN","Sort=A","Dates=H","DateFormat=P","Fill=—","Direction=H","UseDPDF=Y")</f>
        <v>-95</v>
      </c>
      <c r="K17" s="13">
        <f>_xll.BDH("GILD US Equity","T12_OTHER_CFF","FQ1 2021","FQ1 2021","Currency=USD","Period=FQ","BEST_FPERIOD_OVERRIDE=FQ","FILING_STATUS=MR","SCALING_FORMAT=MLN","Sort=A","Dates=H","DateFormat=P","Fill=—","Direction=H","UseDPDF=Y")</f>
        <v>-60</v>
      </c>
      <c r="L17" s="13">
        <f>_xll.BDH("GILD US Equity","T12_OTHER_CFF","FQ2 2021","FQ2 2021","Currency=USD","Period=FQ","BEST_FPERIOD_OVERRIDE=FQ","FILING_STATUS=MR","SCALING_FORMAT=MLN","Sort=A","Dates=H","DateFormat=P","Fill=—","Direction=H","UseDPDF=Y")</f>
        <v>-73</v>
      </c>
      <c r="M17" s="13">
        <f>_xll.BDH("GILD US Equity","T12_OTHER_CFF","FQ3 2021","FQ3 2021","Currency=USD","Period=FQ","BEST_FPERIOD_OVERRIDE=FQ","FILING_STATUS=MR","SCALING_FORMAT=MLN","Sort=A","Dates=H","DateFormat=P","Fill=—","Direction=H","UseDPDF=Y")</f>
        <v>-133</v>
      </c>
      <c r="N17" s="13">
        <f>_xll.BDH("GILD US Equity","T12_OTHER_CFF","FQ4 2021","FQ4 2021","Currency=USD","Period=FQ","BEST_FPERIOD_OVERRIDE=FQ","FILING_STATUS=MR","SCALING_FORMAT=MLN","Sort=A","Dates=H","DateFormat=P","Fill=—","Direction=H","UseDPDF=Y")</f>
        <v>-180</v>
      </c>
      <c r="O17" s="13">
        <f>_xll.BDH("GILD US Equity","T12_OTHER_CFF","FQ1 2022","FQ1 2022","Currency=USD","Period=FQ","BEST_FPERIOD_OVERRIDE=FQ","FILING_STATUS=MR","SCALING_FORMAT=MLN","Sort=A","Dates=H","DateFormat=P","Fill=—","Direction=H","UseDPDF=Y")</f>
        <v>-177</v>
      </c>
      <c r="P17" s="13">
        <f>_xll.BDH("GILD US Equity","T12_OTHER_CFF","FQ2 2022","FQ2 2022","Currency=USD","Period=FQ","BEST_FPERIOD_OVERRIDE=FQ","FILING_STATUS=MR","SCALING_FORMAT=MLN","Sort=A","Dates=H","DateFormat=P","Fill=—","Direction=H","UseDPDF=Y")</f>
        <v>-253</v>
      </c>
      <c r="Q17" s="13">
        <f>_xll.BDH("GILD US Equity","T12_OTHER_CFF","FQ3 2022","FQ3 2022","Currency=USD","Period=FQ","BEST_FPERIOD_OVERRIDE=FQ","FILING_STATUS=MR","SCALING_FORMAT=MLN","Sort=A","Dates=H","DateFormat=P","Fill=—","Direction=H","UseDPDF=Y")</f>
        <v>-308</v>
      </c>
      <c r="R17" s="13">
        <f>_xll.BDH("GILD US Equity","T12_OTHER_CFF","FQ4 2022","FQ4 2022","Currency=USD","Period=FQ","BEST_FPERIOD_OVERRIDE=FQ","FILING_STATUS=MR","SCALING_FORMAT=MLN","Sort=A","Dates=H","DateFormat=P","Fill=—","Direction=H","UseDPDF=Y")</f>
        <v>-236</v>
      </c>
      <c r="S17" s="13">
        <f>_xll.BDH("GILD US Equity","T12_OTHER_CFF","FQ1 2023","FQ1 2023","Currency=USD","Period=FQ","BEST_FPERIOD_OVERRIDE=FQ","FILING_STATUS=MR","SCALING_FORMAT=MLN","Sort=A","Dates=H","DateFormat=P","Fill=—","Direction=H","UseDPDF=Y")</f>
        <v>-249</v>
      </c>
      <c r="T17" s="13">
        <f>_xll.BDH("GILD US Equity","T12_OTHER_CFF","FQ2 2023","FQ2 2023","Currency=USD","Period=FQ","BEST_FPERIOD_OVERRIDE=FQ","FILING_STATUS=MR","SCALING_FORMAT=MLN","Sort=A","Dates=H","DateFormat=P","Fill=—","Direction=H","UseDPDF=Y")</f>
        <v>-206</v>
      </c>
      <c r="U17" s="13">
        <f>_xll.BDH("GILD US Equity","T12_OTHER_CFF","FQ3 2023","FQ3 2023","Currency=USD","Period=FQ","BEST_FPERIOD_OVERRIDE=FQ","FILING_STATUS=MR","SCALING_FORMAT=MLN","Sort=A","Dates=H","DateFormat=P","Fill=—","Direction=H","UseDPDF=Y")</f>
        <v>-173</v>
      </c>
      <c r="V17" s="13">
        <f>_xll.BDH("GILD US Equity","T12_OTHER_CFF","FQ4 2023","FQ4 2023","Currency=USD","Period=FQ","BEST_FPERIOD_OVERRIDE=FQ","FILING_STATUS=MR","SCALING_FORMAT=MLN","Sort=A","Dates=H","DateFormat=P","Fill=—","Direction=H","UseDPDF=Y")</f>
        <v>-222</v>
      </c>
      <c r="W17" s="13">
        <f>_xll.BDH("GILD US Equity","T12_OTHER_CFF","FQ1 2024","FQ1 2024","Currency=USD","Period=FQ","BEST_FPERIOD_OVERRIDE=FQ","FILING_STATUS=MR","SCALING_FORMAT=MLN","Sort=A","Dates=H","DateFormat=P","Fill=—","Direction=H","UseDPDF=Y")</f>
        <v>-235</v>
      </c>
      <c r="X17" s="13">
        <f>_xll.BDH("GILD US Equity","T12_OTHER_CFF","FQ2 2024","FQ2 2024","Currency=USD","Period=FQ","BEST_FPERIOD_OVERRIDE=FQ","FILING_STATUS=MR","SCALING_FORMAT=MLN","Sort=A","Dates=H","DateFormat=P","Fill=—","Direction=H","UseDPDF=Y")</f>
        <v>-262</v>
      </c>
      <c r="Y17" s="13">
        <f>_xll.BDH("GILD US Equity","T12_OTHER_CFF","FQ3 2024","FQ3 2024","Currency=USD","Period=FQ","BEST_FPERIOD_OVERRIDE=FQ","FILING_STATUS=MR","SCALING_FORMAT=MLN","Sort=A","Dates=H","DateFormat=P","Fill=—","Direction=H","UseDPDF=Y")</f>
        <v>-216</v>
      </c>
      <c r="Z17" s="13">
        <f>_xll.BDH("GILD US Equity","T12_OTHER_CFF","FQ4 2024","FQ4 2024","Currency=USD","Period=FQ","BEST_FPERIOD_OVERRIDE=FQ","FILING_STATUS=MR","SCALING_FORMAT=MLN","Sort=A","Dates=H","DateFormat=P","Fill=—","Direction=H","UseDPDF=Y")</f>
        <v>-321</v>
      </c>
      <c r="AA17" s="13"/>
    </row>
    <row r="18" spans="1:27" x14ac:dyDescent="0.25">
      <c r="A18" s="6" t="s">
        <v>1720</v>
      </c>
      <c r="B18" s="6" t="s">
        <v>1721</v>
      </c>
      <c r="C18" s="19">
        <f>_xll.BDH("GILD US Equity","T12_CFF","FQ1 2019","FQ1 2019","Currency=USD","Period=FQ","BEST_FPERIOD_OVERRIDE=FQ","FILING_STATUS=MR","SCALING_FORMAT=MLN","Sort=A","Dates=H","DateFormat=P","Fill=—","Direction=H","UseDPDF=Y")</f>
        <v>-8180</v>
      </c>
      <c r="D18" s="19">
        <f>_xll.BDH("GILD US Equity","T12_CFF","FQ2 2019","FQ2 2019","Currency=USD","Period=FQ","BEST_FPERIOD_OVERRIDE=FQ","FILING_STATUS=MR","SCALING_FORMAT=MLN","Sort=A","Dates=H","DateFormat=P","Fill=—","Direction=H","UseDPDF=Y")</f>
        <v>-8823</v>
      </c>
      <c r="E18" s="19">
        <f>_xll.BDH("GILD US Equity","T12_CFF","FQ3 2019","FQ3 2019","Currency=USD","Period=FQ","BEST_FPERIOD_OVERRIDE=FQ","FILING_STATUS=MR","SCALING_FORMAT=MLN","Sort=A","Dates=H","DateFormat=P","Fill=—","Direction=H","UseDPDF=Y")</f>
        <v>-8491</v>
      </c>
      <c r="F18" s="19">
        <f>_xll.BDH("GILD US Equity","T12_CFF","FQ4 2019","FQ4 2019","Currency=USD","Period=FQ","BEST_FPERIOD_OVERRIDE=FQ","FILING_STATUS=MR","SCALING_FORMAT=MLN","Sort=A","Dates=H","DateFormat=P","Fill=—","Direction=H","UseDPDF=Y")</f>
        <v>-7636</v>
      </c>
      <c r="G18" s="19">
        <f>_xll.BDH("GILD US Equity","T12_CFF","FQ1 2020","FQ1 2020","Currency=USD","Period=FQ","BEST_FPERIOD_OVERRIDE=FQ","FILING_STATUS=MR","SCALING_FORMAT=MLN","Sort=A","Dates=H","DateFormat=P","Fill=—","Direction=H","UseDPDF=Y")</f>
        <v>-7962</v>
      </c>
      <c r="H18" s="19">
        <f>_xll.BDH("GILD US Equity","T12_CFF","FQ2 2020","FQ2 2020","Currency=USD","Period=FQ","BEST_FPERIOD_OVERRIDE=FQ","FILING_STATUS=MR","SCALING_FORMAT=MLN","Sort=A","Dates=H","DateFormat=P","Fill=—","Direction=H","UseDPDF=Y")</f>
        <v>-6944</v>
      </c>
      <c r="I18" s="19">
        <f>_xll.BDH("GILD US Equity","T12_CFF","FQ3 2020","FQ3 2020","Currency=USD","Period=FQ","BEST_FPERIOD_OVERRIDE=FQ","FILING_STATUS=MR","SCALING_FORMAT=MLN","Sort=A","Dates=H","DateFormat=P","Fill=—","Direction=H","UseDPDF=Y")</f>
        <v>-213</v>
      </c>
      <c r="J18" s="19">
        <f>_xll.BDH("GILD US Equity","T12_CFF","FQ4 2020","FQ4 2020","Currency=USD","Period=FQ","BEST_FPERIOD_OVERRIDE=FQ","FILING_STATUS=MR","SCALING_FORMAT=MLN","Sort=A","Dates=H","DateFormat=P","Fill=—","Direction=H","UseDPDF=Y")</f>
        <v>813</v>
      </c>
      <c r="K18" s="19">
        <f>_xll.BDH("GILD US Equity","T12_CFF","FQ1 2021","FQ1 2021","Currency=USD","Period=FQ","BEST_FPERIOD_OVERRIDE=FQ","FILING_STATUS=MR","SCALING_FORMAT=MLN","Sort=A","Dates=H","DateFormat=P","Fill=—","Direction=H","UseDPDF=Y")</f>
        <v>985</v>
      </c>
      <c r="L18" s="19">
        <f>_xll.BDH("GILD US Equity","T12_CFF","FQ2 2021","FQ2 2021","Currency=USD","Period=FQ","BEST_FPERIOD_OVERRIDE=FQ","FILING_STATUS=MR","SCALING_FORMAT=MLN","Sort=A","Dates=H","DateFormat=P","Fill=—","Direction=H","UseDPDF=Y")</f>
        <v>922</v>
      </c>
      <c r="M18" s="19">
        <f>_xll.BDH("GILD US Equity","T12_CFF","FQ3 2021","FQ3 2021","Currency=USD","Period=FQ","BEST_FPERIOD_OVERRIDE=FQ","FILING_STATUS=MR","SCALING_FORMAT=MLN","Sort=A","Dates=H","DateFormat=P","Fill=—","Direction=H","UseDPDF=Y")</f>
        <v>-6789</v>
      </c>
      <c r="N18" s="19">
        <f>_xll.BDH("GILD US Equity","T12_CFF","FQ4 2021","FQ4 2021","Currency=USD","Period=FQ","BEST_FPERIOD_OVERRIDE=FQ","FILING_STATUS=MR","SCALING_FORMAT=MLN","Sort=A","Dates=H","DateFormat=P","Fill=—","Direction=H","UseDPDF=Y")</f>
        <v>-8912</v>
      </c>
      <c r="O18" s="19">
        <f>_xll.BDH("GILD US Equity","T12_CFF","FQ1 2022","FQ1 2022","Currency=USD","Period=FQ","BEST_FPERIOD_OVERRIDE=FQ","FILING_STATUS=MR","SCALING_FORMAT=MLN","Sort=A","Dates=H","DateFormat=P","Fill=—","Direction=H","UseDPDF=Y")</f>
        <v>-8224</v>
      </c>
      <c r="P18" s="19">
        <f>_xll.BDH("GILD US Equity","T12_CFF","FQ2 2022","FQ2 2022","Currency=USD","Period=FQ","BEST_FPERIOD_OVERRIDE=FQ","FILING_STATUS=MR","SCALING_FORMAT=MLN","Sort=A","Dates=H","DateFormat=P","Fill=—","Direction=H","UseDPDF=Y")</f>
        <v>-8364</v>
      </c>
      <c r="Q18" s="19">
        <f>_xll.BDH("GILD US Equity","T12_CFF","FQ3 2022","FQ3 2022","Currency=USD","Period=FQ","BEST_FPERIOD_OVERRIDE=FQ","FILING_STATUS=MR","SCALING_FORMAT=MLN","Sort=A","Dates=H","DateFormat=P","Fill=—","Direction=H","UseDPDF=Y")</f>
        <v>-7004</v>
      </c>
      <c r="R18" s="19">
        <f>_xll.BDH("GILD US Equity","T12_CFF","FQ4 2022","FQ4 2022","Currency=USD","Period=FQ","BEST_FPERIOD_OVERRIDE=FQ","FILING_STATUS=MR","SCALING_FORMAT=MLN","Sort=A","Dates=H","DateFormat=P","Fill=—","Direction=H","UseDPDF=Y")</f>
        <v>-6532</v>
      </c>
      <c r="S18" s="19">
        <f>_xll.BDH("GILD US Equity","T12_CFF","FQ1 2023","FQ1 2023","Currency=USD","Period=FQ","BEST_FPERIOD_OVERRIDE=FQ","FILING_STATUS=MR","SCALING_FORMAT=MLN","Sort=A","Dates=H","DateFormat=P","Fill=—","Direction=H","UseDPDF=Y")</f>
        <v>-6114</v>
      </c>
      <c r="T18" s="19">
        <f>_xll.BDH("GILD US Equity","T12_CFF","FQ2 2023","FQ2 2023","Currency=USD","Period=FQ","BEST_FPERIOD_OVERRIDE=FQ","FILING_STATUS=MR","SCALING_FORMAT=MLN","Sort=A","Dates=H","DateFormat=P","Fill=—","Direction=H","UseDPDF=Y")</f>
        <v>-6150</v>
      </c>
      <c r="U18" s="19">
        <f>_xll.BDH("GILD US Equity","T12_CFF","FQ3 2023","FQ3 2023","Currency=USD","Period=FQ","BEST_FPERIOD_OVERRIDE=FQ","FILING_STATUS=MR","SCALING_FORMAT=MLN","Sort=A","Dates=H","DateFormat=P","Fill=—","Direction=H","UseDPDF=Y")</f>
        <v>-5485</v>
      </c>
      <c r="V18" s="19">
        <f>_xll.BDH("GILD US Equity","T12_CFF","FQ4 2023","FQ4 2023","Currency=USD","Period=FQ","BEST_FPERIOD_OVERRIDE=FQ","FILING_STATUS=MR","SCALING_FORMAT=MLN","Sort=A","Dates=H","DateFormat=P","Fill=—","Direction=H","UseDPDF=Y")</f>
        <v>-5068</v>
      </c>
      <c r="W18" s="19">
        <f>_xll.BDH("GILD US Equity","T12_CFF","FQ1 2024","FQ1 2024","Currency=USD","Period=FQ","BEST_FPERIOD_OVERRIDE=FQ","FILING_STATUS=MR","SCALING_FORMAT=MLN","Sort=A","Dates=H","DateFormat=P","Fill=—","Direction=H","UseDPDF=Y")</f>
        <v>-5053</v>
      </c>
      <c r="X18" s="19">
        <f>_xll.BDH("GILD US Equity","T12_CFF","FQ2 2024","FQ2 2024","Currency=USD","Period=FQ","BEST_FPERIOD_OVERRIDE=FQ","FILING_STATUS=MR","SCALING_FORMAT=MLN","Sort=A","Dates=H","DateFormat=P","Fill=—","Direction=H","UseDPDF=Y")</f>
        <v>-6930</v>
      </c>
      <c r="Y18" s="19">
        <f>_xll.BDH("GILD US Equity","T12_CFF","FQ3 2024","FQ3 2024","Currency=USD","Period=FQ","BEST_FPERIOD_OVERRIDE=FQ","FILING_STATUS=MR","SCALING_FORMAT=MLN","Sort=A","Dates=H","DateFormat=P","Fill=—","Direction=H","UseDPDF=Y")</f>
        <v>-6740</v>
      </c>
      <c r="Z18" s="19">
        <f>_xll.BDH("GILD US Equity","T12_CFF","FQ4 2024","FQ4 2024","Currency=USD","Period=FQ","BEST_FPERIOD_OVERRIDE=FQ","FILING_STATUS=MR","SCALING_FORMAT=MLN","Sort=A","Dates=H","DateFormat=P","Fill=—","Direction=H","UseDPDF=Y")</f>
        <v>-3473</v>
      </c>
      <c r="AA18" s="19"/>
    </row>
    <row r="19" spans="1:27" x14ac:dyDescent="0.25">
      <c r="A19" s="11" t="s">
        <v>60</v>
      </c>
      <c r="B19" s="11" t="s">
        <v>61</v>
      </c>
      <c r="C19" s="25">
        <f>_xll.BDH("GILD US Equity","HISTORICAL_MARKET_CAP","FQ1 2019","FQ1 2019","Currency=USD","Period=FQ","BEST_FPERIOD_OVERRIDE=FQ","FILING_STATUS=MR","SCALING_FORMAT=MLN","Sort=A","Dates=H","DateFormat=P","Fill=—","Direction=H","UseDPDF=Y")</f>
        <v>82822.740000000005</v>
      </c>
      <c r="D19" s="25">
        <f>_xll.BDH("GILD US Equity","HISTORICAL_MARKET_CAP","FQ2 2019","FQ2 2019","Currency=USD","Period=FQ","BEST_FPERIOD_OVERRIDE=FQ","FILING_STATUS=MR","SCALING_FORMAT=MLN","Sort=A","Dates=H","DateFormat=P","Fill=—","Direction=H","UseDPDF=Y")</f>
        <v>85598.52</v>
      </c>
      <c r="E19" s="25">
        <f>_xll.BDH("GILD US Equity","HISTORICAL_MARKET_CAP","FQ3 2019","FQ3 2019","Currency=USD","Period=FQ","BEST_FPERIOD_OVERRIDE=FQ","FILING_STATUS=MR","SCALING_FORMAT=MLN","Sort=A","Dates=H","DateFormat=P","Fill=—","Direction=H","UseDPDF=Y")</f>
        <v>80239.08</v>
      </c>
      <c r="F19" s="25">
        <f>_xll.BDH("GILD US Equity","HISTORICAL_MARKET_CAP","FQ4 2019","FQ4 2019","Currency=USD","Period=FQ","BEST_FPERIOD_OVERRIDE=FQ","FILING_STATUS=MR","SCALING_FORMAT=MLN","Sort=A","Dates=H","DateFormat=P","Fill=—","Direction=H","UseDPDF=Y")</f>
        <v>82264.679999999993</v>
      </c>
      <c r="G19" s="25">
        <f>_xll.BDH("GILD US Equity","HISTORICAL_MARKET_CAP","FQ1 2020","FQ1 2020","Currency=USD","Period=FQ","BEST_FPERIOD_OVERRIDE=FQ","FILING_STATUS=MR","SCALING_FORMAT=MLN","Sort=A","Dates=H","DateFormat=P","Fill=—","Direction=H","UseDPDF=Y")</f>
        <v>93749.04</v>
      </c>
      <c r="H19" s="25">
        <f>_xll.BDH("GILD US Equity","HISTORICAL_MARKET_CAP","FQ2 2020","FQ2 2020","Currency=USD","Period=FQ","BEST_FPERIOD_OVERRIDE=FQ","FILING_STATUS=MR","SCALING_FORMAT=MLN","Sort=A","Dates=H","DateFormat=P","Fill=—","Direction=H","UseDPDF=Y")</f>
        <v>96482.76</v>
      </c>
      <c r="I19" s="25">
        <f>_xll.BDH("GILD US Equity","HISTORICAL_MARKET_CAP","FQ3 2020","FQ3 2020","Currency=USD","Period=FQ","BEST_FPERIOD_OVERRIDE=FQ","FILING_STATUS=MR","SCALING_FORMAT=MLN","Sort=A","Dates=H","DateFormat=P","Fill=—","Direction=H","UseDPDF=Y")</f>
        <v>79177.070000000007</v>
      </c>
      <c r="J19" s="25">
        <f>_xll.BDH("GILD US Equity","HISTORICAL_MARKET_CAP","FQ4 2020","FQ4 2020","Currency=USD","Period=FQ","BEST_FPERIOD_OVERRIDE=FQ","FILING_STATUS=MR","SCALING_FORMAT=MLN","Sort=A","Dates=H","DateFormat=P","Fill=—","Direction=H","UseDPDF=Y")</f>
        <v>73058.039999999994</v>
      </c>
      <c r="K19" s="25">
        <f>_xll.BDH("GILD US Equity","HISTORICAL_MARKET_CAP","FQ1 2021","FQ1 2021","Currency=USD","Period=FQ","BEST_FPERIOD_OVERRIDE=FQ","FILING_STATUS=MR","SCALING_FORMAT=MLN","Sort=A","Dates=H","DateFormat=P","Fill=—","Direction=H","UseDPDF=Y")</f>
        <v>81046.02</v>
      </c>
      <c r="L19" s="25">
        <f>_xll.BDH("GILD US Equity","HISTORICAL_MARKET_CAP","FQ2 2021","FQ2 2021","Currency=USD","Period=FQ","BEST_FPERIOD_OVERRIDE=FQ","FILING_STATUS=MR","SCALING_FORMAT=MLN","Sort=A","Dates=H","DateFormat=P","Fill=—","Direction=H","UseDPDF=Y")</f>
        <v>86350.44</v>
      </c>
      <c r="M19" s="25">
        <f>_xll.BDH("GILD US Equity","HISTORICAL_MARKET_CAP","FQ3 2021","FQ3 2021","Currency=USD","Period=FQ","BEST_FPERIOD_OVERRIDE=FQ","FILING_STATUS=MR","SCALING_FORMAT=MLN","Sort=A","Dates=H","DateFormat=P","Fill=—","Direction=H","UseDPDF=Y")</f>
        <v>87661.75</v>
      </c>
      <c r="N19" s="25">
        <f>_xll.BDH("GILD US Equity","HISTORICAL_MARKET_CAP","FQ4 2021","FQ4 2021","Currency=USD","Period=FQ","BEST_FPERIOD_OVERRIDE=FQ","FILING_STATUS=MR","SCALING_FORMAT=MLN","Sort=A","Dates=H","DateFormat=P","Fill=—","Direction=H","UseDPDF=Y")</f>
        <v>91052.94</v>
      </c>
      <c r="O19" s="25">
        <f>_xll.BDH("GILD US Equity","HISTORICAL_MARKET_CAP","FQ1 2022","FQ1 2022","Currency=USD","Period=FQ","BEST_FPERIOD_OVERRIDE=FQ","FILING_STATUS=MR","SCALING_FORMAT=MLN","Sort=A","Dates=H","DateFormat=P","Fill=—","Direction=H","UseDPDF=Y")</f>
        <v>74609.75</v>
      </c>
      <c r="P19" s="25">
        <f>_xll.BDH("GILD US Equity","HISTORICAL_MARKET_CAP","FQ2 2022","FQ2 2022","Currency=USD","Period=FQ","BEST_FPERIOD_OVERRIDE=FQ","FILING_STATUS=MR","SCALING_FORMAT=MLN","Sort=A","Dates=H","DateFormat=P","Fill=—","Direction=H","UseDPDF=Y")</f>
        <v>77509.740000000005</v>
      </c>
      <c r="Q19" s="25">
        <f>_xll.BDH("GILD US Equity","HISTORICAL_MARKET_CAP","FQ3 2022","FQ3 2022","Currency=USD","Period=FQ","BEST_FPERIOD_OVERRIDE=FQ","FILING_STATUS=MR","SCALING_FORMAT=MLN","Sort=A","Dates=H","DateFormat=P","Fill=—","Direction=H","UseDPDF=Y")</f>
        <v>77359.259999999995</v>
      </c>
      <c r="R19" s="25">
        <f>_xll.BDH("GILD US Equity","HISTORICAL_MARKET_CAP","FQ4 2022","FQ4 2022","Currency=USD","Period=FQ","BEST_FPERIOD_OVERRIDE=FQ","FILING_STATUS=MR","SCALING_FORMAT=MLN","Sort=A","Dates=H","DateFormat=P","Fill=—","Direction=H","UseDPDF=Y")</f>
        <v>107054.95</v>
      </c>
      <c r="S19" s="25">
        <f>_xll.BDH("GILD US Equity","HISTORICAL_MARKET_CAP","FQ1 2023","FQ1 2023","Currency=USD","Period=FQ","BEST_FPERIOD_OVERRIDE=FQ","FILING_STATUS=MR","SCALING_FORMAT=MLN","Sort=A","Dates=H","DateFormat=P","Fill=—","Direction=H","UseDPDF=Y")</f>
        <v>103546.56</v>
      </c>
      <c r="T19" s="25">
        <f>_xll.BDH("GILD US Equity","HISTORICAL_MARKET_CAP","FQ2 2023","FQ2 2023","Currency=USD","Period=FQ","BEST_FPERIOD_OVERRIDE=FQ","FILING_STATUS=MR","SCALING_FORMAT=MLN","Sort=A","Dates=H","DateFormat=P","Fill=—","Direction=H","UseDPDF=Y")</f>
        <v>96106.29</v>
      </c>
      <c r="U19" s="25">
        <f>_xll.BDH("GILD US Equity","HISTORICAL_MARKET_CAP","FQ3 2023","FQ3 2023","Currency=USD","Period=FQ","BEST_FPERIOD_OVERRIDE=FQ","FILING_STATUS=MR","SCALING_FORMAT=MLN","Sort=A","Dates=H","DateFormat=P","Fill=—","Direction=H","UseDPDF=Y")</f>
        <v>93450.18</v>
      </c>
      <c r="V19" s="25">
        <f>_xll.BDH("GILD US Equity","HISTORICAL_MARKET_CAP","FQ4 2023","FQ4 2023","Currency=USD","Period=FQ","BEST_FPERIOD_OVERRIDE=FQ","FILING_STATUS=MR","SCALING_FORMAT=MLN","Sort=A","Dates=H","DateFormat=P","Fill=—","Direction=H","UseDPDF=Y")</f>
        <v>100938.46</v>
      </c>
      <c r="W19" s="25">
        <f>_xll.BDH("GILD US Equity","HISTORICAL_MARKET_CAP","FQ1 2024","FQ1 2024","Currency=USD","Period=FQ","BEST_FPERIOD_OVERRIDE=FQ","FILING_STATUS=MR","SCALING_FORMAT=MLN","Sort=A","Dates=H","DateFormat=P","Fill=—","Direction=H","UseDPDF=Y")</f>
        <v>91269.5</v>
      </c>
      <c r="X19" s="25">
        <f>_xll.BDH("GILD US Equity","HISTORICAL_MARKET_CAP","FQ2 2024","FQ2 2024","Currency=USD","Period=FQ","BEST_FPERIOD_OVERRIDE=FQ","FILING_STATUS=MR","SCALING_FORMAT=MLN","Sort=A","Dates=H","DateFormat=P","Fill=—","Direction=H","UseDPDF=Y")</f>
        <v>85488.06</v>
      </c>
      <c r="Y19" s="25">
        <f>_xll.BDH("GILD US Equity","HISTORICAL_MARKET_CAP","FQ3 2024","FQ3 2024","Currency=USD","Period=FQ","BEST_FPERIOD_OVERRIDE=FQ","FILING_STATUS=MR","SCALING_FORMAT=MLN","Sort=A","Dates=H","DateFormat=P","Fill=—","Direction=H","UseDPDF=Y")</f>
        <v>104464.64</v>
      </c>
      <c r="Z19" s="25">
        <f>_xll.BDH("GILD US Equity","HISTORICAL_MARKET_CAP","FQ4 2024","FQ4 2024","Currency=USD","Period=FQ","BEST_FPERIOD_OVERRIDE=FQ","FILING_STATUS=MR","SCALING_FORMAT=MLN","Sort=A","Dates=H","DateFormat=P","Fill=—","Direction=H","UseDPDF=Y")</f>
        <v>115093.02</v>
      </c>
      <c r="AA19" s="25"/>
    </row>
    <row r="20" spans="1:27" x14ac:dyDescent="0.25">
      <c r="A20" s="6" t="s">
        <v>1722</v>
      </c>
      <c r="B20" s="6" t="s">
        <v>1723</v>
      </c>
      <c r="C20" s="20">
        <f>_xll.BDH("GILD US Equity","SHAREHOLDER_YIELD_CFF","FQ1 2019","FQ1 2019","Currency=USD","Period=FQ","BEST_FPERIOD_OVERRIDE=FQ","FILING_STATUS=MR","Sort=A","Dates=H","DateFormat=P","Fill=—","Direction=H","UseDPDF=Y")</f>
        <v>9.8765000000000001</v>
      </c>
      <c r="D20" s="20">
        <f>_xll.BDH("GILD US Equity","SHAREHOLDER_YIELD_CFF","FQ2 2019","FQ2 2019","Currency=USD","Period=FQ","BEST_FPERIOD_OVERRIDE=FQ","FILING_STATUS=MR","Sort=A","Dates=H","DateFormat=P","Fill=—","Direction=H","UseDPDF=Y")</f>
        <v>10.307399999999999</v>
      </c>
      <c r="E20" s="20">
        <f>_xll.BDH("GILD US Equity","SHAREHOLDER_YIELD_CFF","FQ3 2019","FQ3 2019","Currency=USD","Period=FQ","BEST_FPERIOD_OVERRIDE=FQ","FILING_STATUS=MR","Sort=A","Dates=H","DateFormat=P","Fill=—","Direction=H","UseDPDF=Y")</f>
        <v>10.582100000000001</v>
      </c>
      <c r="F20" s="20">
        <f>_xll.BDH("GILD US Equity","SHAREHOLDER_YIELD_CFF","FQ4 2019","FQ4 2019","Currency=USD","Period=FQ","BEST_FPERIOD_OVERRIDE=FQ","FILING_STATUS=MR","Sort=A","Dates=H","DateFormat=P","Fill=—","Direction=H","UseDPDF=Y")</f>
        <v>9.2821999999999996</v>
      </c>
      <c r="G20" s="20">
        <f>_xll.BDH("GILD US Equity","SHAREHOLDER_YIELD_CFF","FQ1 2020","FQ1 2020","Currency=USD","Period=FQ","BEST_FPERIOD_OVERRIDE=FQ","FILING_STATUS=MR","Sort=A","Dates=H","DateFormat=P","Fill=—","Direction=H","UseDPDF=Y")</f>
        <v>8.4929000000000006</v>
      </c>
      <c r="H20" s="20">
        <f>_xll.BDH("GILD US Equity","SHAREHOLDER_YIELD_CFF","FQ2 2020","FQ2 2020","Currency=USD","Period=FQ","BEST_FPERIOD_OVERRIDE=FQ","FILING_STATUS=MR","Sort=A","Dates=H","DateFormat=P","Fill=—","Direction=H","UseDPDF=Y")</f>
        <v>7.1970999999999998</v>
      </c>
      <c r="I20" s="20">
        <f>_xll.BDH("GILD US Equity","SHAREHOLDER_YIELD_CFF","FQ3 2020","FQ3 2020","Currency=USD","Period=FQ","BEST_FPERIOD_OVERRIDE=FQ","FILING_STATUS=MR","Sort=A","Dates=H","DateFormat=P","Fill=—","Direction=H","UseDPDF=Y")</f>
        <v>0.26900000000000002</v>
      </c>
      <c r="J20" s="20">
        <f>_xll.BDH("GILD US Equity","SHAREHOLDER_YIELD_CFF","FQ4 2020","FQ4 2020","Currency=USD","Period=FQ","BEST_FPERIOD_OVERRIDE=FQ","FILING_STATUS=MR","Sort=A","Dates=H","DateFormat=P","Fill=—","Direction=H","UseDPDF=Y")</f>
        <v>-1.1128</v>
      </c>
      <c r="K20" s="20">
        <f>_xll.BDH("GILD US Equity","SHAREHOLDER_YIELD_CFF","FQ1 2021","FQ1 2021","Currency=USD","Period=FQ","BEST_FPERIOD_OVERRIDE=FQ","FILING_STATUS=MR","Sort=A","Dates=H","DateFormat=P","Fill=—","Direction=H","UseDPDF=Y")</f>
        <v>-1.2154</v>
      </c>
      <c r="L20" s="20">
        <f>_xll.BDH("GILD US Equity","SHAREHOLDER_YIELD_CFF","FQ2 2021","FQ2 2021","Currency=USD","Period=FQ","BEST_FPERIOD_OVERRIDE=FQ","FILING_STATUS=MR","Sort=A","Dates=H","DateFormat=P","Fill=—","Direction=H","UseDPDF=Y")</f>
        <v>-1.0677000000000001</v>
      </c>
      <c r="M20" s="20">
        <f>_xll.BDH("GILD US Equity","SHAREHOLDER_YIELD_CFF","FQ3 2021","FQ3 2021","Currency=USD","Period=FQ","BEST_FPERIOD_OVERRIDE=FQ","FILING_STATUS=MR","Sort=A","Dates=H","DateFormat=P","Fill=—","Direction=H","UseDPDF=Y")</f>
        <v>7.7445000000000004</v>
      </c>
      <c r="N20" s="20">
        <f>_xll.BDH("GILD US Equity","SHAREHOLDER_YIELD_CFF","FQ4 2021","FQ4 2021","Currency=USD","Period=FQ","BEST_FPERIOD_OVERRIDE=FQ","FILING_STATUS=MR","Sort=A","Dates=H","DateFormat=P","Fill=—","Direction=H","UseDPDF=Y")</f>
        <v>9.7876999999999992</v>
      </c>
      <c r="O20" s="20">
        <f>_xll.BDH("GILD US Equity","SHAREHOLDER_YIELD_CFF","FQ1 2022","FQ1 2022","Currency=USD","Period=FQ","BEST_FPERIOD_OVERRIDE=FQ","FILING_STATUS=MR","Sort=A","Dates=H","DateFormat=P","Fill=—","Direction=H","UseDPDF=Y")</f>
        <v>11.0227</v>
      </c>
      <c r="P20" s="20">
        <f>_xll.BDH("GILD US Equity","SHAREHOLDER_YIELD_CFF","FQ2 2022","FQ2 2022","Currency=USD","Period=FQ","BEST_FPERIOD_OVERRIDE=FQ","FILING_STATUS=MR","Sort=A","Dates=H","DateFormat=P","Fill=—","Direction=H","UseDPDF=Y")</f>
        <v>10.790900000000001</v>
      </c>
      <c r="Q20" s="20">
        <f>_xll.BDH("GILD US Equity","SHAREHOLDER_YIELD_CFF","FQ3 2022","FQ3 2022","Currency=USD","Period=FQ","BEST_FPERIOD_OVERRIDE=FQ","FILING_STATUS=MR","Sort=A","Dates=H","DateFormat=P","Fill=—","Direction=H","UseDPDF=Y")</f>
        <v>9.0539000000000005</v>
      </c>
      <c r="R20" s="20">
        <f>_xll.BDH("GILD US Equity","SHAREHOLDER_YIELD_CFF","FQ4 2022","FQ4 2022","Currency=USD","Period=FQ","BEST_FPERIOD_OVERRIDE=FQ","FILING_STATUS=MR","Sort=A","Dates=H","DateFormat=P","Fill=—","Direction=H","UseDPDF=Y")</f>
        <v>6.1014999999999997</v>
      </c>
      <c r="S20" s="20">
        <f>_xll.BDH("GILD US Equity","SHAREHOLDER_YIELD_CFF","FQ1 2023","FQ1 2023","Currency=USD","Period=FQ","BEST_FPERIOD_OVERRIDE=FQ","FILING_STATUS=MR","Sort=A","Dates=H","DateFormat=P","Fill=—","Direction=H","UseDPDF=Y")</f>
        <v>5.9046000000000003</v>
      </c>
      <c r="T20" s="20">
        <f>_xll.BDH("GILD US Equity","SHAREHOLDER_YIELD_CFF","FQ2 2023","FQ2 2023","Currency=USD","Period=FQ","BEST_FPERIOD_OVERRIDE=FQ","FILING_STATUS=MR","Sort=A","Dates=H","DateFormat=P","Fill=—","Direction=H","UseDPDF=Y")</f>
        <v>6.3992000000000004</v>
      </c>
      <c r="U20" s="20">
        <f>_xll.BDH("GILD US Equity","SHAREHOLDER_YIELD_CFF","FQ3 2023","FQ3 2023","Currency=USD","Period=FQ","BEST_FPERIOD_OVERRIDE=FQ","FILING_STATUS=MR","Sort=A","Dates=H","DateFormat=P","Fill=—","Direction=H","UseDPDF=Y")</f>
        <v>5.8693999999999997</v>
      </c>
      <c r="V20" s="20">
        <f>_xll.BDH("GILD US Equity","SHAREHOLDER_YIELD_CFF","FQ4 2023","FQ4 2023","Currency=USD","Period=FQ","BEST_FPERIOD_OVERRIDE=FQ","FILING_STATUS=MR","Sort=A","Dates=H","DateFormat=P","Fill=—","Direction=H","UseDPDF=Y")</f>
        <v>5.0209000000000001</v>
      </c>
      <c r="W20" s="20">
        <f>_xll.BDH("GILD US Equity","SHAREHOLDER_YIELD_CFF","FQ1 2024","FQ1 2024","Currency=USD","Period=FQ","BEST_FPERIOD_OVERRIDE=FQ","FILING_STATUS=MR","Sort=A","Dates=H","DateFormat=P","Fill=—","Direction=H","UseDPDF=Y")</f>
        <v>5.5364000000000004</v>
      </c>
      <c r="X20" s="20">
        <f>_xll.BDH("GILD US Equity","SHAREHOLDER_YIELD_CFF","FQ2 2024","FQ2 2024","Currency=USD","Period=FQ","BEST_FPERIOD_OVERRIDE=FQ","FILING_STATUS=MR","Sort=A","Dates=H","DateFormat=P","Fill=—","Direction=H","UseDPDF=Y")</f>
        <v>8.1064000000000007</v>
      </c>
      <c r="Y20" s="20">
        <f>_xll.BDH("GILD US Equity","SHAREHOLDER_YIELD_CFF","FQ3 2024","FQ3 2024","Currency=USD","Period=FQ","BEST_FPERIOD_OVERRIDE=FQ","FILING_STATUS=MR","Sort=A","Dates=H","DateFormat=P","Fill=—","Direction=H","UseDPDF=Y")</f>
        <v>6.4519000000000002</v>
      </c>
      <c r="Z20" s="20">
        <f>_xll.BDH("GILD US Equity","SHAREHOLDER_YIELD_CFF","FQ4 2024","FQ4 2024","Currency=USD","Period=FQ","BEST_FPERIOD_OVERRIDE=FQ","FILING_STATUS=MR","Sort=A","Dates=H","DateFormat=P","Fill=—","Direction=H","UseDPDF=Y")</f>
        <v>3.0175999999999998</v>
      </c>
      <c r="AA20" s="20"/>
    </row>
    <row r="21" spans="1:27" x14ac:dyDescent="0.25">
      <c r="A21" s="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x14ac:dyDescent="0.25">
      <c r="A22" s="10" t="s">
        <v>1724</v>
      </c>
      <c r="B22" s="10" t="s">
        <v>1712</v>
      </c>
      <c r="C22" s="13">
        <f>_xll.BDH("GILD US Equity","T12M_DVDS_PAID","FQ1 2019","FQ1 2019","Currency=USD","Period=FQ","BEST_FPERIOD_OVERRIDE=FQ","FILING_STATUS=MR","SCALING_FORMAT=MLN","Sort=A","Dates=H","DateFormat=P","Fill=—","Direction=H","UseDPDF=Y")</f>
        <v>-3035</v>
      </c>
      <c r="D22" s="13">
        <f>_xll.BDH("GILD US Equity","T12M_DVDS_PAID","FQ2 2019","FQ2 2019","Currency=USD","Period=FQ","BEST_FPERIOD_OVERRIDE=FQ","FILING_STATUS=MR","SCALING_FORMAT=MLN","Sort=A","Dates=H","DateFormat=P","Fill=—","Direction=H","UseDPDF=Y")</f>
        <v>-3095</v>
      </c>
      <c r="E22" s="13">
        <f>_xll.BDH("GILD US Equity","T12M_DVDS_PAID","FQ3 2019","FQ3 2019","Currency=USD","Period=FQ","BEST_FPERIOD_OVERRIDE=FQ","FILING_STATUS=MR","SCALING_FORMAT=MLN","Sort=A","Dates=H","DateFormat=P","Fill=—","Direction=H","UseDPDF=Y")</f>
        <v>-3157</v>
      </c>
      <c r="F22" s="13">
        <f>_xll.BDH("GILD US Equity","T12M_DVDS_PAID","FQ4 2019","FQ4 2019","Currency=USD","Period=FQ","BEST_FPERIOD_OVERRIDE=FQ","FILING_STATUS=MR","SCALING_FORMAT=MLN","Sort=A","Dates=H","DateFormat=P","Fill=—","Direction=H","UseDPDF=Y")</f>
        <v>-3222</v>
      </c>
      <c r="G22" s="13">
        <f>_xll.BDH("GILD US Equity","T12M_DVDS_PAID","FQ1 2020","FQ1 2020","Currency=USD","Period=FQ","BEST_FPERIOD_OVERRIDE=FQ","FILING_STATUS=MR","SCALING_FORMAT=MLN","Sort=A","Dates=H","DateFormat=P","Fill=—","Direction=H","UseDPDF=Y")</f>
        <v>-3279</v>
      </c>
      <c r="H22" s="13">
        <f>_xll.BDH("GILD US Equity","T12M_DVDS_PAID","FQ2 2020","FQ2 2020","Currency=USD","Period=FQ","BEST_FPERIOD_OVERRIDE=FQ","FILING_STATUS=MR","SCALING_FORMAT=MLN","Sort=A","Dates=H","DateFormat=P","Fill=—","Direction=H","UseDPDF=Y")</f>
        <v>-3335</v>
      </c>
      <c r="I22" s="13">
        <f>_xll.BDH("GILD US Equity","T12M_DVDS_PAID","FQ3 2020","FQ3 2020","Currency=USD","Period=FQ","BEST_FPERIOD_OVERRIDE=FQ","FILING_STATUS=MR","SCALING_FORMAT=MLN","Sort=A","Dates=H","DateFormat=P","Fill=—","Direction=H","UseDPDF=Y")</f>
        <v>-3392</v>
      </c>
      <c r="J22" s="13">
        <f>_xll.BDH("GILD US Equity","T12M_DVDS_PAID","FQ4 2020","FQ4 2020","Currency=USD","Period=FQ","BEST_FPERIOD_OVERRIDE=FQ","FILING_STATUS=MR","SCALING_FORMAT=MLN","Sort=A","Dates=H","DateFormat=P","Fill=—","Direction=H","UseDPDF=Y")</f>
        <v>-3449</v>
      </c>
      <c r="K22" s="13">
        <f>_xll.BDH("GILD US Equity","T12M_DVDS_PAID","FQ1 2021","FQ1 2021","Currency=USD","Period=FQ","BEST_FPERIOD_OVERRIDE=FQ","FILING_STATUS=MR","SCALING_FORMAT=MLN","Sort=A","Dates=H","DateFormat=P","Fill=—","Direction=H","UseDPDF=Y")</f>
        <v>-3492</v>
      </c>
      <c r="L22" s="13">
        <f>_xll.BDH("GILD US Equity","T12M_DVDS_PAID","FQ2 2021","FQ2 2021","Currency=USD","Period=FQ","BEST_FPERIOD_OVERRIDE=FQ","FILING_STATUS=MR","SCALING_FORMAT=MLN","Sort=A","Dates=H","DateFormat=P","Fill=—","Direction=H","UseDPDF=Y")</f>
        <v>-3530</v>
      </c>
      <c r="M22" s="13">
        <f>_xll.BDH("GILD US Equity","T12M_DVDS_PAID","FQ3 2021","FQ3 2021","Currency=USD","Period=FQ","BEST_FPERIOD_OVERRIDE=FQ","FILING_STATUS=MR","SCALING_FORMAT=MLN","Sort=A","Dates=H","DateFormat=P","Fill=—","Direction=H","UseDPDF=Y")</f>
        <v>-3569</v>
      </c>
      <c r="N22" s="13">
        <f>_xll.BDH("GILD US Equity","T12M_DVDS_PAID","FQ4 2021","FQ4 2021","Currency=USD","Period=FQ","BEST_FPERIOD_OVERRIDE=FQ","FILING_STATUS=MR","SCALING_FORMAT=MLN","Sort=A","Dates=H","DateFormat=P","Fill=—","Direction=H","UseDPDF=Y")</f>
        <v>-3605</v>
      </c>
      <c r="O22" s="13">
        <f>_xll.BDH("GILD US Equity","T12M_DVDS_PAID","FQ1 2022","FQ1 2022","Currency=USD","Period=FQ","BEST_FPERIOD_OVERRIDE=FQ","FILING_STATUS=MR","SCALING_FORMAT=MLN","Sort=A","Dates=H","DateFormat=P","Fill=—","Direction=H","UseDPDF=Y")</f>
        <v>-3633</v>
      </c>
      <c r="P22" s="13">
        <f>_xll.BDH("GILD US Equity","T12M_DVDS_PAID","FQ2 2022","FQ2 2022","Currency=USD","Period=FQ","BEST_FPERIOD_OVERRIDE=FQ","FILING_STATUS=MR","SCALING_FORMAT=MLN","Sort=A","Dates=H","DateFormat=P","Fill=—","Direction=H","UseDPDF=Y")</f>
        <v>-3659</v>
      </c>
      <c r="Q22" s="13">
        <f>_xll.BDH("GILD US Equity","T12M_DVDS_PAID","FQ3 2022","FQ3 2022","Currency=USD","Period=FQ","BEST_FPERIOD_OVERRIDE=FQ","FILING_STATUS=MR","SCALING_FORMAT=MLN","Sort=A","Dates=H","DateFormat=P","Fill=—","Direction=H","UseDPDF=Y")</f>
        <v>-3688</v>
      </c>
      <c r="R22" s="13">
        <f>_xll.BDH("GILD US Equity","T12M_DVDS_PAID","FQ4 2022","FQ4 2022","Currency=USD","Period=FQ","BEST_FPERIOD_OVERRIDE=FQ","FILING_STATUS=MR","SCALING_FORMAT=MLN","Sort=A","Dates=H","DateFormat=P","Fill=—","Direction=H","UseDPDF=Y")</f>
        <v>-3709</v>
      </c>
      <c r="S22" s="13">
        <f>_xll.BDH("GILD US Equity","T12M_DVDS_PAID","FQ1 2023","FQ1 2023","Currency=USD","Period=FQ","BEST_FPERIOD_OVERRIDE=FQ","FILING_STATUS=MR","SCALING_FORMAT=MLN","Sort=A","Dates=H","DateFormat=P","Fill=—","Direction=H","UseDPDF=Y")</f>
        <v>-3733</v>
      </c>
      <c r="T22" s="13">
        <f>_xll.BDH("GILD US Equity","T12M_DVDS_PAID","FQ2 2023","FQ2 2023","Currency=USD","Period=FQ","BEST_FPERIOD_OVERRIDE=FQ","FILING_STATUS=MR","SCALING_FORMAT=MLN","Sort=A","Dates=H","DateFormat=P","Fill=—","Direction=H","UseDPDF=Y")</f>
        <v>-3757</v>
      </c>
      <c r="U22" s="13">
        <f>_xll.BDH("GILD US Equity","T12M_DVDS_PAID","FQ3 2023","FQ3 2023","Currency=USD","Period=FQ","BEST_FPERIOD_OVERRIDE=FQ","FILING_STATUS=MR","SCALING_FORMAT=MLN","Sort=A","Dates=H","DateFormat=P","Fill=—","Direction=H","UseDPDF=Y")</f>
        <v>-3781</v>
      </c>
      <c r="V22" s="13">
        <f>_xll.BDH("GILD US Equity","T12M_DVDS_PAID","FQ4 2023","FQ4 2023","Currency=USD","Period=FQ","BEST_FPERIOD_OVERRIDE=FQ","FILING_STATUS=MR","SCALING_FORMAT=MLN","Sort=A","Dates=H","DateFormat=P","Fill=—","Direction=H","UseDPDF=Y")</f>
        <v>-3809</v>
      </c>
      <c r="W22" s="13">
        <f>_xll.BDH("GILD US Equity","T12M_DVDS_PAID","FQ1 2024","FQ1 2024","Currency=USD","Period=FQ","BEST_FPERIOD_OVERRIDE=FQ","FILING_STATUS=MR","SCALING_FORMAT=MLN","Sort=A","Dates=H","DateFormat=P","Fill=—","Direction=H","UseDPDF=Y")</f>
        <v>-3830</v>
      </c>
      <c r="X22" s="13">
        <f>_xll.BDH("GILD US Equity","T12M_DVDS_PAID","FQ2 2024","FQ2 2024","Currency=USD","Period=FQ","BEST_FPERIOD_OVERRIDE=FQ","FILING_STATUS=MR","SCALING_FORMAT=MLN","Sort=A","Dates=H","DateFormat=P","Fill=—","Direction=H","UseDPDF=Y")</f>
        <v>-3858</v>
      </c>
      <c r="Y22" s="13">
        <f>_xll.BDH("GILD US Equity","T12M_DVDS_PAID","FQ3 2024","FQ3 2024","Currency=USD","Period=FQ","BEST_FPERIOD_OVERRIDE=FQ","FILING_STATUS=MR","SCALING_FORMAT=MLN","Sort=A","Dates=H","DateFormat=P","Fill=—","Direction=H","UseDPDF=Y")</f>
        <v>-3888</v>
      </c>
      <c r="Z22" s="13">
        <f>_xll.BDH("GILD US Equity","T12M_DVDS_PAID","FQ4 2024","FQ4 2024","Currency=USD","Period=FQ","BEST_FPERIOD_OVERRIDE=FQ","FILING_STATUS=MR","SCALING_FORMAT=MLN","Sort=A","Dates=H","DateFormat=P","Fill=—","Direction=H","UseDPDF=Y")</f>
        <v>-3918</v>
      </c>
      <c r="AA22" s="13"/>
    </row>
    <row r="23" spans="1:27" x14ac:dyDescent="0.25">
      <c r="A23" s="10" t="s">
        <v>1725</v>
      </c>
      <c r="B23" s="10" t="s">
        <v>1714</v>
      </c>
      <c r="C23" s="13">
        <f>_xll.BDH("GILD US Equity","T12M_NET_CAPITAL_STOCK","FQ1 2019","FQ1 2019","Currency=USD","Period=FQ","BEST_FPERIOD_OVERRIDE=FQ","FILING_STATUS=MR","SCALING_FORMAT=MLN","Sort=A","Dates=H","DateFormat=P","Fill=—","Direction=H","UseDPDF=Y")</f>
        <v>-2414</v>
      </c>
      <c r="D23" s="13">
        <f>_xll.BDH("GILD US Equity","T12M_NET_CAPITAL_STOCK","FQ2 2019","FQ2 2019","Currency=USD","Period=FQ","BEST_FPERIOD_OVERRIDE=FQ","FILING_STATUS=MR","SCALING_FORMAT=MLN","Sort=A","Dates=H","DateFormat=P","Fill=—","Direction=H","UseDPDF=Y")</f>
        <v>-2562</v>
      </c>
      <c r="E23" s="13">
        <f>_xll.BDH("GILD US Equity","T12M_NET_CAPITAL_STOCK","FQ3 2019","FQ3 2019","Currency=USD","Period=FQ","BEST_FPERIOD_OVERRIDE=FQ","FILING_STATUS=MR","SCALING_FORMAT=MLN","Sort=A","Dates=H","DateFormat=P","Fill=—","Direction=H","UseDPDF=Y")</f>
        <v>-2374</v>
      </c>
      <c r="F23" s="13">
        <f>_xll.BDH("GILD US Equity","T12M_NET_CAPITAL_STOCK","FQ4 2019","FQ4 2019","Currency=USD","Period=FQ","BEST_FPERIOD_OVERRIDE=FQ","FILING_STATUS=MR","SCALING_FORMAT=MLN","Sort=A","Dates=H","DateFormat=P","Fill=—","Direction=H","UseDPDF=Y")</f>
        <v>-1540</v>
      </c>
      <c r="G23" s="13">
        <f>_xll.BDH("GILD US Equity","T12M_NET_CAPITAL_STOCK","FQ1 2020","FQ1 2020","Currency=USD","Period=FQ","BEST_FPERIOD_OVERRIDE=FQ","FILING_STATUS=MR","SCALING_FORMAT=MLN","Sort=A","Dates=H","DateFormat=P","Fill=—","Direction=H","UseDPDF=Y")</f>
        <v>-1960</v>
      </c>
      <c r="H23" s="13">
        <f>_xll.BDH("GILD US Equity","T12M_NET_CAPITAL_STOCK","FQ2 2020","FQ2 2020","Currency=USD","Period=FQ","BEST_FPERIOD_OVERRIDE=FQ","FILING_STATUS=MR","SCALING_FORMAT=MLN","Sort=A","Dates=H","DateFormat=P","Fill=—","Direction=H","UseDPDF=Y")</f>
        <v>-1429</v>
      </c>
      <c r="I23" s="13">
        <f>_xll.BDH("GILD US Equity","T12M_NET_CAPITAL_STOCK","FQ3 2020","FQ3 2020","Currency=USD","Period=FQ","BEST_FPERIOD_OVERRIDE=FQ","FILING_STATUS=MR","SCALING_FORMAT=MLN","Sort=A","Dates=H","DateFormat=P","Fill=—","Direction=H","UseDPDF=Y")</f>
        <v>-1413</v>
      </c>
      <c r="J23" s="13">
        <f>_xll.BDH("GILD US Equity","T12M_NET_CAPITAL_STOCK","FQ4 2020","FQ4 2020","Currency=USD","Period=FQ","BEST_FPERIOD_OVERRIDE=FQ","FILING_STATUS=MR","SCALING_FORMAT=MLN","Sort=A","Dates=H","DateFormat=P","Fill=—","Direction=H","UseDPDF=Y")</f>
        <v>-1327</v>
      </c>
      <c r="K23" s="13">
        <f>_xll.BDH("GILD US Equity","T12M_NET_CAPITAL_STOCK","FQ1 2021","FQ1 2021","Currency=USD","Period=FQ","BEST_FPERIOD_OVERRIDE=FQ","FILING_STATUS=MR","SCALING_FORMAT=MLN","Sort=A","Dates=H","DateFormat=P","Fill=—","Direction=H","UseDPDF=Y")</f>
        <v>-397</v>
      </c>
      <c r="L23" s="13">
        <f>_xll.BDH("GILD US Equity","T12M_NET_CAPITAL_STOCK","FQ2 2021","FQ2 2021","Currency=USD","Period=FQ","BEST_FPERIOD_OVERRIDE=FQ","FILING_STATUS=MR","SCALING_FORMAT=MLN","Sort=A","Dates=H","DateFormat=P","Fill=—","Direction=H","UseDPDF=Y")</f>
        <v>-409</v>
      </c>
      <c r="M23" s="13">
        <f>_xll.BDH("GILD US Equity","T12M_NET_CAPITAL_STOCK","FQ3 2021","FQ3 2021","Currency=USD","Period=FQ","BEST_FPERIOD_OVERRIDE=FQ","FILING_STATUS=MR","SCALING_FORMAT=MLN","Sort=A","Dates=H","DateFormat=P","Fill=—","Direction=H","UseDPDF=Y")</f>
        <v>-332</v>
      </c>
      <c r="N23" s="13">
        <f>_xll.BDH("GILD US Equity","T12M_NET_CAPITAL_STOCK","FQ4 2021","FQ4 2021","Currency=USD","Period=FQ","BEST_FPERIOD_OVERRIDE=FQ","FILING_STATUS=MR","SCALING_FORMAT=MLN","Sort=A","Dates=H","DateFormat=P","Fill=—","Direction=H","UseDPDF=Y")</f>
        <v>-377</v>
      </c>
      <c r="O23" s="13">
        <f>_xll.BDH("GILD US Equity","T12M_NET_CAPITAL_STOCK","FQ1 2022","FQ1 2022","Currency=USD","Period=FQ","BEST_FPERIOD_OVERRIDE=FQ","FILING_STATUS=MR","SCALING_FORMAT=MLN","Sort=A","Dates=H","DateFormat=P","Fill=—","Direction=H","UseDPDF=Y")</f>
        <v>-414</v>
      </c>
      <c r="P23" s="13">
        <f>_xll.BDH("GILD US Equity","T12M_NET_CAPITAL_STOCK","FQ2 2022","FQ2 2022","Currency=USD","Period=FQ","BEST_FPERIOD_OVERRIDE=FQ","FILING_STATUS=MR","SCALING_FORMAT=MLN","Sort=A","Dates=H","DateFormat=P","Fill=—","Direction=H","UseDPDF=Y")</f>
        <v>-452</v>
      </c>
      <c r="Q23" s="13">
        <f>_xll.BDH("GILD US Equity","T12M_NET_CAPITAL_STOCK","FQ3 2022","FQ3 2022","Currency=USD","Period=FQ","BEST_FPERIOD_OVERRIDE=FQ","FILING_STATUS=MR","SCALING_FORMAT=MLN","Sort=A","Dates=H","DateFormat=P","Fill=—","Direction=H","UseDPDF=Y")</f>
        <v>-508</v>
      </c>
      <c r="R23" s="13">
        <f>_xll.BDH("GILD US Equity","T12M_NET_CAPITAL_STOCK","FQ4 2022","FQ4 2022","Currency=USD","Period=FQ","BEST_FPERIOD_OVERRIDE=FQ","FILING_STATUS=MR","SCALING_FORMAT=MLN","Sort=A","Dates=H","DateFormat=P","Fill=—","Direction=H","UseDPDF=Y")</f>
        <v>-1087</v>
      </c>
      <c r="S23" s="13">
        <f>_xll.BDH("GILD US Equity","T12M_NET_CAPITAL_STOCK","FQ1 2023","FQ1 2023","Currency=USD","Period=FQ","BEST_FPERIOD_OVERRIDE=FQ","FILING_STATUS=MR","SCALING_FORMAT=MLN","Sort=A","Dates=H","DateFormat=P","Fill=—","Direction=H","UseDPDF=Y")</f>
        <v>-1132</v>
      </c>
      <c r="T23" s="13">
        <f>_xll.BDH("GILD US Equity","T12M_NET_CAPITAL_STOCK","FQ2 2023","FQ2 2023","Currency=USD","Period=FQ","BEST_FPERIOD_OVERRIDE=FQ","FILING_STATUS=MR","SCALING_FORMAT=MLN","Sort=A","Dates=H","DateFormat=P","Fill=—","Direction=H","UseDPDF=Y")</f>
        <v>-1187</v>
      </c>
      <c r="U23" s="13">
        <f>_xll.BDH("GILD US Equity","T12M_NET_CAPITAL_STOCK","FQ3 2023","FQ3 2023","Currency=USD","Period=FQ","BEST_FPERIOD_OVERRIDE=FQ","FILING_STATUS=MR","SCALING_FORMAT=MLN","Sort=A","Dates=H","DateFormat=P","Fill=—","Direction=H","UseDPDF=Y")</f>
        <v>-1260</v>
      </c>
      <c r="V23" s="13">
        <f>_xll.BDH("GILD US Equity","T12M_NET_CAPITAL_STOCK","FQ4 2023","FQ4 2023","Currency=USD","Period=FQ","BEST_FPERIOD_OVERRIDE=FQ","FILING_STATUS=MR","SCALING_FORMAT=MLN","Sort=A","Dates=H","DateFormat=P","Fill=—","Direction=H","UseDPDF=Y")</f>
        <v>-767</v>
      </c>
      <c r="W23" s="13">
        <f>_xll.BDH("GILD US Equity","T12M_NET_CAPITAL_STOCK","FQ1 2024","FQ1 2024","Currency=USD","Period=FQ","BEST_FPERIOD_OVERRIDE=FQ","FILING_STATUS=MR","SCALING_FORMAT=MLN","Sort=A","Dates=H","DateFormat=P","Fill=—","Direction=H","UseDPDF=Y")</f>
        <v>-718</v>
      </c>
      <c r="X23" s="13">
        <f>_xll.BDH("GILD US Equity","T12M_NET_CAPITAL_STOCK","FQ2 2024","FQ2 2024","Currency=USD","Period=FQ","BEST_FPERIOD_OVERRIDE=FQ","FILING_STATUS=MR","SCALING_FORMAT=MLN","Sort=A","Dates=H","DateFormat=P","Fill=—","Direction=H","UseDPDF=Y")</f>
        <v>-689</v>
      </c>
      <c r="Y23" s="13">
        <f>_xll.BDH("GILD US Equity","T12M_NET_CAPITAL_STOCK","FQ3 2024","FQ3 2024","Currency=USD","Period=FQ","BEST_FPERIOD_OVERRIDE=FQ","FILING_STATUS=MR","SCALING_FORMAT=MLN","Sort=A","Dates=H","DateFormat=P","Fill=—","Direction=H","UseDPDF=Y")</f>
        <v>-674</v>
      </c>
      <c r="Z23" s="13">
        <f>_xll.BDH("GILD US Equity","T12M_NET_CAPITAL_STOCK","FQ4 2024","FQ4 2024","Currency=USD","Period=FQ","BEST_FPERIOD_OVERRIDE=FQ","FILING_STATUS=MR","SCALING_FORMAT=MLN","Sort=A","Dates=H","DateFormat=P","Fill=—","Direction=H","UseDPDF=Y")</f>
        <v>-728</v>
      </c>
      <c r="AA23" s="13"/>
    </row>
    <row r="24" spans="1:27" x14ac:dyDescent="0.25">
      <c r="A24" s="6" t="s">
        <v>1726</v>
      </c>
      <c r="B24" s="6" t="s">
        <v>1727</v>
      </c>
      <c r="C24" s="19">
        <f>_xll.BDH("GILD US Equity","RETURNED_CAPITAL_EX_DEBT","FQ1 2019","FQ1 2019","Currency=USD","Period=FQ","BEST_FPERIOD_OVERRIDE=FQ","FILING_STATUS=MR","SCALING_FORMAT=MLN","Sort=A","Dates=H","DateFormat=P","Fill=—","Direction=H","UseDPDF=Y")</f>
        <v>5449</v>
      </c>
      <c r="D24" s="19">
        <f>_xll.BDH("GILD US Equity","RETURNED_CAPITAL_EX_DEBT","FQ2 2019","FQ2 2019","Currency=USD","Period=FQ","BEST_FPERIOD_OVERRIDE=FQ","FILING_STATUS=MR","SCALING_FORMAT=MLN","Sort=A","Dates=H","DateFormat=P","Fill=—","Direction=H","UseDPDF=Y")</f>
        <v>5657</v>
      </c>
      <c r="E24" s="19">
        <f>_xll.BDH("GILD US Equity","RETURNED_CAPITAL_EX_DEBT","FQ3 2019","FQ3 2019","Currency=USD","Period=FQ","BEST_FPERIOD_OVERRIDE=FQ","FILING_STATUS=MR","SCALING_FORMAT=MLN","Sort=A","Dates=H","DateFormat=P","Fill=—","Direction=H","UseDPDF=Y")</f>
        <v>5531</v>
      </c>
      <c r="F24" s="19">
        <f>_xll.BDH("GILD US Equity","RETURNED_CAPITAL_EX_DEBT","FQ4 2019","FQ4 2019","Currency=USD","Period=FQ","BEST_FPERIOD_OVERRIDE=FQ","FILING_STATUS=MR","SCALING_FORMAT=MLN","Sort=A","Dates=H","DateFormat=P","Fill=—","Direction=H","UseDPDF=Y")</f>
        <v>4762</v>
      </c>
      <c r="G24" s="19">
        <f>_xll.BDH("GILD US Equity","RETURNED_CAPITAL_EX_DEBT","FQ1 2020","FQ1 2020","Currency=USD","Period=FQ","BEST_FPERIOD_OVERRIDE=FQ","FILING_STATUS=MR","SCALING_FORMAT=MLN","Sort=A","Dates=H","DateFormat=P","Fill=—","Direction=H","UseDPDF=Y")</f>
        <v>5239</v>
      </c>
      <c r="H24" s="19">
        <f>_xll.BDH("GILD US Equity","RETURNED_CAPITAL_EX_DEBT","FQ2 2020","FQ2 2020","Currency=USD","Period=FQ","BEST_FPERIOD_OVERRIDE=FQ","FILING_STATUS=MR","SCALING_FORMAT=MLN","Sort=A","Dates=H","DateFormat=P","Fill=—","Direction=H","UseDPDF=Y")</f>
        <v>4764</v>
      </c>
      <c r="I24" s="19">
        <f>_xll.BDH("GILD US Equity","RETURNED_CAPITAL_EX_DEBT","FQ3 2020","FQ3 2020","Currency=USD","Period=FQ","BEST_FPERIOD_OVERRIDE=FQ","FILING_STATUS=MR","SCALING_FORMAT=MLN","Sort=A","Dates=H","DateFormat=P","Fill=—","Direction=H","UseDPDF=Y")</f>
        <v>4805</v>
      </c>
      <c r="J24" s="19">
        <f>_xll.BDH("GILD US Equity","RETURNED_CAPITAL_EX_DEBT","FQ4 2020","FQ4 2020","Currency=USD","Period=FQ","BEST_FPERIOD_OVERRIDE=FQ","FILING_STATUS=MR","SCALING_FORMAT=MLN","Sort=A","Dates=H","DateFormat=P","Fill=—","Direction=H","UseDPDF=Y")</f>
        <v>4776</v>
      </c>
      <c r="K24" s="19">
        <f>_xll.BDH("GILD US Equity","RETURNED_CAPITAL_EX_DEBT","FQ1 2021","FQ1 2021","Currency=USD","Period=FQ","BEST_FPERIOD_OVERRIDE=FQ","FILING_STATUS=MR","SCALING_FORMAT=MLN","Sort=A","Dates=H","DateFormat=P","Fill=—","Direction=H","UseDPDF=Y")</f>
        <v>3889</v>
      </c>
      <c r="L24" s="19">
        <f>_xll.BDH("GILD US Equity","RETURNED_CAPITAL_EX_DEBT","FQ2 2021","FQ2 2021","Currency=USD","Period=FQ","BEST_FPERIOD_OVERRIDE=FQ","FILING_STATUS=MR","SCALING_FORMAT=MLN","Sort=A","Dates=H","DateFormat=P","Fill=—","Direction=H","UseDPDF=Y")</f>
        <v>3939</v>
      </c>
      <c r="M24" s="19">
        <f>_xll.BDH("GILD US Equity","RETURNED_CAPITAL_EX_DEBT","FQ3 2021","FQ3 2021","Currency=USD","Period=FQ","BEST_FPERIOD_OVERRIDE=FQ","FILING_STATUS=MR","SCALING_FORMAT=MLN","Sort=A","Dates=H","DateFormat=P","Fill=—","Direction=H","UseDPDF=Y")</f>
        <v>3901</v>
      </c>
      <c r="N24" s="19">
        <f>_xll.BDH("GILD US Equity","RETURNED_CAPITAL_EX_DEBT","FQ4 2021","FQ4 2021","Currency=USD","Period=FQ","BEST_FPERIOD_OVERRIDE=FQ","FILING_STATUS=MR","SCALING_FORMAT=MLN","Sort=A","Dates=H","DateFormat=P","Fill=—","Direction=H","UseDPDF=Y")</f>
        <v>3982</v>
      </c>
      <c r="O24" s="19">
        <f>_xll.BDH("GILD US Equity","RETURNED_CAPITAL_EX_DEBT","FQ1 2022","FQ1 2022","Currency=USD","Period=FQ","BEST_FPERIOD_OVERRIDE=FQ","FILING_STATUS=MR","SCALING_FORMAT=MLN","Sort=A","Dates=H","DateFormat=P","Fill=—","Direction=H","UseDPDF=Y")</f>
        <v>4047</v>
      </c>
      <c r="P24" s="19">
        <f>_xll.BDH("GILD US Equity","RETURNED_CAPITAL_EX_DEBT","FQ2 2022","FQ2 2022","Currency=USD","Period=FQ","BEST_FPERIOD_OVERRIDE=FQ","FILING_STATUS=MR","SCALING_FORMAT=MLN","Sort=A","Dates=H","DateFormat=P","Fill=—","Direction=H","UseDPDF=Y")</f>
        <v>4111</v>
      </c>
      <c r="Q24" s="19">
        <f>_xll.BDH("GILD US Equity","RETURNED_CAPITAL_EX_DEBT","FQ3 2022","FQ3 2022","Currency=USD","Period=FQ","BEST_FPERIOD_OVERRIDE=FQ","FILING_STATUS=MR","SCALING_FORMAT=MLN","Sort=A","Dates=H","DateFormat=P","Fill=—","Direction=H","UseDPDF=Y")</f>
        <v>4196</v>
      </c>
      <c r="R24" s="19">
        <f>_xll.BDH("GILD US Equity","RETURNED_CAPITAL_EX_DEBT","FQ4 2022","FQ4 2022","Currency=USD","Period=FQ","BEST_FPERIOD_OVERRIDE=FQ","FILING_STATUS=MR","SCALING_FORMAT=MLN","Sort=A","Dates=H","DateFormat=P","Fill=—","Direction=H","UseDPDF=Y")</f>
        <v>4796</v>
      </c>
      <c r="S24" s="19">
        <f>_xll.BDH("GILD US Equity","RETURNED_CAPITAL_EX_DEBT","FQ1 2023","FQ1 2023","Currency=USD","Period=FQ","BEST_FPERIOD_OVERRIDE=FQ","FILING_STATUS=MR","SCALING_FORMAT=MLN","Sort=A","Dates=H","DateFormat=P","Fill=—","Direction=H","UseDPDF=Y")</f>
        <v>4865</v>
      </c>
      <c r="T24" s="19">
        <f>_xll.BDH("GILD US Equity","RETURNED_CAPITAL_EX_DEBT","FQ2 2023","FQ2 2023","Currency=USD","Period=FQ","BEST_FPERIOD_OVERRIDE=FQ","FILING_STATUS=MR","SCALING_FORMAT=MLN","Sort=A","Dates=H","DateFormat=P","Fill=—","Direction=H","UseDPDF=Y")</f>
        <v>4944</v>
      </c>
      <c r="U24" s="19">
        <f>_xll.BDH("GILD US Equity","RETURNED_CAPITAL_EX_DEBT","FQ3 2023","FQ3 2023","Currency=USD","Period=FQ","BEST_FPERIOD_OVERRIDE=FQ","FILING_STATUS=MR","SCALING_FORMAT=MLN","Sort=A","Dates=H","DateFormat=P","Fill=—","Direction=H","UseDPDF=Y")</f>
        <v>5041</v>
      </c>
      <c r="V24" s="19">
        <f>_xll.BDH("GILD US Equity","RETURNED_CAPITAL_EX_DEBT","FQ4 2023","FQ4 2023","Currency=USD","Period=FQ","BEST_FPERIOD_OVERRIDE=FQ","FILING_STATUS=MR","SCALING_FORMAT=MLN","Sort=A","Dates=H","DateFormat=P","Fill=—","Direction=H","UseDPDF=Y")</f>
        <v>4576</v>
      </c>
      <c r="W24" s="19">
        <f>_xll.BDH("GILD US Equity","RETURNED_CAPITAL_EX_DEBT","FQ1 2024","FQ1 2024","Currency=USD","Period=FQ","BEST_FPERIOD_OVERRIDE=FQ","FILING_STATUS=MR","SCALING_FORMAT=MLN","Sort=A","Dates=H","DateFormat=P","Fill=—","Direction=H","UseDPDF=Y")</f>
        <v>4548</v>
      </c>
      <c r="X24" s="19">
        <f>_xll.BDH("GILD US Equity","RETURNED_CAPITAL_EX_DEBT","FQ2 2024","FQ2 2024","Currency=USD","Period=FQ","BEST_FPERIOD_OVERRIDE=FQ","FILING_STATUS=MR","SCALING_FORMAT=MLN","Sort=A","Dates=H","DateFormat=P","Fill=—","Direction=H","UseDPDF=Y")</f>
        <v>4547</v>
      </c>
      <c r="Y24" s="19">
        <f>_xll.BDH("GILD US Equity","RETURNED_CAPITAL_EX_DEBT","FQ3 2024","FQ3 2024","Currency=USD","Period=FQ","BEST_FPERIOD_OVERRIDE=FQ","FILING_STATUS=MR","SCALING_FORMAT=MLN","Sort=A","Dates=H","DateFormat=P","Fill=—","Direction=H","UseDPDF=Y")</f>
        <v>4562</v>
      </c>
      <c r="Z24" s="19">
        <f>_xll.BDH("GILD US Equity","RETURNED_CAPITAL_EX_DEBT","FQ4 2024","FQ4 2024","Currency=USD","Period=FQ","BEST_FPERIOD_OVERRIDE=FQ","FILING_STATUS=MR","SCALING_FORMAT=MLN","Sort=A","Dates=H","DateFormat=P","Fill=—","Direction=H","UseDPDF=Y")</f>
        <v>4646</v>
      </c>
      <c r="AA24" s="19"/>
    </row>
    <row r="25" spans="1:27" x14ac:dyDescent="0.25">
      <c r="A25" s="11" t="s">
        <v>60</v>
      </c>
      <c r="B25" s="11" t="s">
        <v>61</v>
      </c>
      <c r="C25" s="25">
        <f>_xll.BDH("GILD US Equity","HISTORICAL_MARKET_CAP","FQ1 2019","FQ1 2019","Currency=USD","Period=FQ","BEST_FPERIOD_OVERRIDE=FQ","FILING_STATUS=MR","SCALING_FORMAT=MLN","Sort=A","Dates=H","DateFormat=P","Fill=—","Direction=H","UseDPDF=Y")</f>
        <v>82822.740000000005</v>
      </c>
      <c r="D25" s="25">
        <f>_xll.BDH("GILD US Equity","HISTORICAL_MARKET_CAP","FQ2 2019","FQ2 2019","Currency=USD","Period=FQ","BEST_FPERIOD_OVERRIDE=FQ","FILING_STATUS=MR","SCALING_FORMAT=MLN","Sort=A","Dates=H","DateFormat=P","Fill=—","Direction=H","UseDPDF=Y")</f>
        <v>85598.52</v>
      </c>
      <c r="E25" s="25">
        <f>_xll.BDH("GILD US Equity","HISTORICAL_MARKET_CAP","FQ3 2019","FQ3 2019","Currency=USD","Period=FQ","BEST_FPERIOD_OVERRIDE=FQ","FILING_STATUS=MR","SCALING_FORMAT=MLN","Sort=A","Dates=H","DateFormat=P","Fill=—","Direction=H","UseDPDF=Y")</f>
        <v>80239.08</v>
      </c>
      <c r="F25" s="25">
        <f>_xll.BDH("GILD US Equity","HISTORICAL_MARKET_CAP","FQ4 2019","FQ4 2019","Currency=USD","Period=FQ","BEST_FPERIOD_OVERRIDE=FQ","FILING_STATUS=MR","SCALING_FORMAT=MLN","Sort=A","Dates=H","DateFormat=P","Fill=—","Direction=H","UseDPDF=Y")</f>
        <v>82264.679999999993</v>
      </c>
      <c r="G25" s="25">
        <f>_xll.BDH("GILD US Equity","HISTORICAL_MARKET_CAP","FQ1 2020","FQ1 2020","Currency=USD","Period=FQ","BEST_FPERIOD_OVERRIDE=FQ","FILING_STATUS=MR","SCALING_FORMAT=MLN","Sort=A","Dates=H","DateFormat=P","Fill=—","Direction=H","UseDPDF=Y")</f>
        <v>93749.04</v>
      </c>
      <c r="H25" s="25">
        <f>_xll.BDH("GILD US Equity","HISTORICAL_MARKET_CAP","FQ2 2020","FQ2 2020","Currency=USD","Period=FQ","BEST_FPERIOD_OVERRIDE=FQ","FILING_STATUS=MR","SCALING_FORMAT=MLN","Sort=A","Dates=H","DateFormat=P","Fill=—","Direction=H","UseDPDF=Y")</f>
        <v>96482.76</v>
      </c>
      <c r="I25" s="25">
        <f>_xll.BDH("GILD US Equity","HISTORICAL_MARKET_CAP","FQ3 2020","FQ3 2020","Currency=USD","Period=FQ","BEST_FPERIOD_OVERRIDE=FQ","FILING_STATUS=MR","SCALING_FORMAT=MLN","Sort=A","Dates=H","DateFormat=P","Fill=—","Direction=H","UseDPDF=Y")</f>
        <v>79177.070000000007</v>
      </c>
      <c r="J25" s="25">
        <f>_xll.BDH("GILD US Equity","HISTORICAL_MARKET_CAP","FQ4 2020","FQ4 2020","Currency=USD","Period=FQ","BEST_FPERIOD_OVERRIDE=FQ","FILING_STATUS=MR","SCALING_FORMAT=MLN","Sort=A","Dates=H","DateFormat=P","Fill=—","Direction=H","UseDPDF=Y")</f>
        <v>73058.039999999994</v>
      </c>
      <c r="K25" s="25">
        <f>_xll.BDH("GILD US Equity","HISTORICAL_MARKET_CAP","FQ1 2021","FQ1 2021","Currency=USD","Period=FQ","BEST_FPERIOD_OVERRIDE=FQ","FILING_STATUS=MR","SCALING_FORMAT=MLN","Sort=A","Dates=H","DateFormat=P","Fill=—","Direction=H","UseDPDF=Y")</f>
        <v>81046.02</v>
      </c>
      <c r="L25" s="25">
        <f>_xll.BDH("GILD US Equity","HISTORICAL_MARKET_CAP","FQ2 2021","FQ2 2021","Currency=USD","Period=FQ","BEST_FPERIOD_OVERRIDE=FQ","FILING_STATUS=MR","SCALING_FORMAT=MLN","Sort=A","Dates=H","DateFormat=P","Fill=—","Direction=H","UseDPDF=Y")</f>
        <v>86350.44</v>
      </c>
      <c r="M25" s="25">
        <f>_xll.BDH("GILD US Equity","HISTORICAL_MARKET_CAP","FQ3 2021","FQ3 2021","Currency=USD","Period=FQ","BEST_FPERIOD_OVERRIDE=FQ","FILING_STATUS=MR","SCALING_FORMAT=MLN","Sort=A","Dates=H","DateFormat=P","Fill=—","Direction=H","UseDPDF=Y")</f>
        <v>87661.75</v>
      </c>
      <c r="N25" s="25">
        <f>_xll.BDH("GILD US Equity","HISTORICAL_MARKET_CAP","FQ4 2021","FQ4 2021","Currency=USD","Period=FQ","BEST_FPERIOD_OVERRIDE=FQ","FILING_STATUS=MR","SCALING_FORMAT=MLN","Sort=A","Dates=H","DateFormat=P","Fill=—","Direction=H","UseDPDF=Y")</f>
        <v>91052.94</v>
      </c>
      <c r="O25" s="25">
        <f>_xll.BDH("GILD US Equity","HISTORICAL_MARKET_CAP","FQ1 2022","FQ1 2022","Currency=USD","Period=FQ","BEST_FPERIOD_OVERRIDE=FQ","FILING_STATUS=MR","SCALING_FORMAT=MLN","Sort=A","Dates=H","DateFormat=P","Fill=—","Direction=H","UseDPDF=Y")</f>
        <v>74609.75</v>
      </c>
      <c r="P25" s="25">
        <f>_xll.BDH("GILD US Equity","HISTORICAL_MARKET_CAP","FQ2 2022","FQ2 2022","Currency=USD","Period=FQ","BEST_FPERIOD_OVERRIDE=FQ","FILING_STATUS=MR","SCALING_FORMAT=MLN","Sort=A","Dates=H","DateFormat=P","Fill=—","Direction=H","UseDPDF=Y")</f>
        <v>77509.740000000005</v>
      </c>
      <c r="Q25" s="25">
        <f>_xll.BDH("GILD US Equity","HISTORICAL_MARKET_CAP","FQ3 2022","FQ3 2022","Currency=USD","Period=FQ","BEST_FPERIOD_OVERRIDE=FQ","FILING_STATUS=MR","SCALING_FORMAT=MLN","Sort=A","Dates=H","DateFormat=P","Fill=—","Direction=H","UseDPDF=Y")</f>
        <v>77359.259999999995</v>
      </c>
      <c r="R25" s="25">
        <f>_xll.BDH("GILD US Equity","HISTORICAL_MARKET_CAP","FQ4 2022","FQ4 2022","Currency=USD","Period=FQ","BEST_FPERIOD_OVERRIDE=FQ","FILING_STATUS=MR","SCALING_FORMAT=MLN","Sort=A","Dates=H","DateFormat=P","Fill=—","Direction=H","UseDPDF=Y")</f>
        <v>107054.95</v>
      </c>
      <c r="S25" s="25">
        <f>_xll.BDH("GILD US Equity","HISTORICAL_MARKET_CAP","FQ1 2023","FQ1 2023","Currency=USD","Period=FQ","BEST_FPERIOD_OVERRIDE=FQ","FILING_STATUS=MR","SCALING_FORMAT=MLN","Sort=A","Dates=H","DateFormat=P","Fill=—","Direction=H","UseDPDF=Y")</f>
        <v>103546.56</v>
      </c>
      <c r="T25" s="25">
        <f>_xll.BDH("GILD US Equity","HISTORICAL_MARKET_CAP","FQ2 2023","FQ2 2023","Currency=USD","Period=FQ","BEST_FPERIOD_OVERRIDE=FQ","FILING_STATUS=MR","SCALING_FORMAT=MLN","Sort=A","Dates=H","DateFormat=P","Fill=—","Direction=H","UseDPDF=Y")</f>
        <v>96106.29</v>
      </c>
      <c r="U25" s="25">
        <f>_xll.BDH("GILD US Equity","HISTORICAL_MARKET_CAP","FQ3 2023","FQ3 2023","Currency=USD","Period=FQ","BEST_FPERIOD_OVERRIDE=FQ","FILING_STATUS=MR","SCALING_FORMAT=MLN","Sort=A","Dates=H","DateFormat=P","Fill=—","Direction=H","UseDPDF=Y")</f>
        <v>93450.18</v>
      </c>
      <c r="V25" s="25">
        <f>_xll.BDH("GILD US Equity","HISTORICAL_MARKET_CAP","FQ4 2023","FQ4 2023","Currency=USD","Period=FQ","BEST_FPERIOD_OVERRIDE=FQ","FILING_STATUS=MR","SCALING_FORMAT=MLN","Sort=A","Dates=H","DateFormat=P","Fill=—","Direction=H","UseDPDF=Y")</f>
        <v>100938.46</v>
      </c>
      <c r="W25" s="25">
        <f>_xll.BDH("GILD US Equity","HISTORICAL_MARKET_CAP","FQ1 2024","FQ1 2024","Currency=USD","Period=FQ","BEST_FPERIOD_OVERRIDE=FQ","FILING_STATUS=MR","SCALING_FORMAT=MLN","Sort=A","Dates=H","DateFormat=P","Fill=—","Direction=H","UseDPDF=Y")</f>
        <v>91269.5</v>
      </c>
      <c r="X25" s="25">
        <f>_xll.BDH("GILD US Equity","HISTORICAL_MARKET_CAP","FQ2 2024","FQ2 2024","Currency=USD","Period=FQ","BEST_FPERIOD_OVERRIDE=FQ","FILING_STATUS=MR","SCALING_FORMAT=MLN","Sort=A","Dates=H","DateFormat=P","Fill=—","Direction=H","UseDPDF=Y")</f>
        <v>85488.06</v>
      </c>
      <c r="Y25" s="25">
        <f>_xll.BDH("GILD US Equity","HISTORICAL_MARKET_CAP","FQ3 2024","FQ3 2024","Currency=USD","Period=FQ","BEST_FPERIOD_OVERRIDE=FQ","FILING_STATUS=MR","SCALING_FORMAT=MLN","Sort=A","Dates=H","DateFormat=P","Fill=—","Direction=H","UseDPDF=Y")</f>
        <v>104464.64</v>
      </c>
      <c r="Z25" s="25">
        <f>_xll.BDH("GILD US Equity","HISTORICAL_MARKET_CAP","FQ4 2024","FQ4 2024","Currency=USD","Period=FQ","BEST_FPERIOD_OVERRIDE=FQ","FILING_STATUS=MR","SCALING_FORMAT=MLN","Sort=A","Dates=H","DateFormat=P","Fill=—","Direction=H","UseDPDF=Y")</f>
        <v>115093.02</v>
      </c>
      <c r="AA25" s="25"/>
    </row>
    <row r="26" spans="1:27" x14ac:dyDescent="0.25">
      <c r="A26" s="6" t="s">
        <v>1728</v>
      </c>
      <c r="B26" s="6" t="s">
        <v>1729</v>
      </c>
      <c r="C26" s="20">
        <f>_xll.BDH("GILD US Equity","SHAREHOLDER_YIELD_EX_DEBT","FQ1 2019","FQ1 2019","Currency=USD","Period=FQ","BEST_FPERIOD_OVERRIDE=FQ","FILING_STATUS=MR","Sort=A","Dates=H","DateFormat=P","Fill=—","Direction=H","UseDPDF=Y")</f>
        <v>6.5791000000000004</v>
      </c>
      <c r="D26" s="20">
        <f>_xll.BDH("GILD US Equity","SHAREHOLDER_YIELD_EX_DEBT","FQ2 2019","FQ2 2019","Currency=USD","Period=FQ","BEST_FPERIOD_OVERRIDE=FQ","FILING_STATUS=MR","Sort=A","Dates=H","DateFormat=P","Fill=—","Direction=H","UseDPDF=Y")</f>
        <v>6.6087999999999996</v>
      </c>
      <c r="E26" s="20">
        <f>_xll.BDH("GILD US Equity","SHAREHOLDER_YIELD_EX_DEBT","FQ3 2019","FQ3 2019","Currency=USD","Period=FQ","BEST_FPERIOD_OVERRIDE=FQ","FILING_STATUS=MR","Sort=A","Dates=H","DateFormat=P","Fill=—","Direction=H","UseDPDF=Y")</f>
        <v>6.8930999999999996</v>
      </c>
      <c r="F26" s="20">
        <f>_xll.BDH("GILD US Equity","SHAREHOLDER_YIELD_EX_DEBT","FQ4 2019","FQ4 2019","Currency=USD","Period=FQ","BEST_FPERIOD_OVERRIDE=FQ","FILING_STATUS=MR","Sort=A","Dates=H","DateFormat=P","Fill=—","Direction=H","UseDPDF=Y")</f>
        <v>5.7885999999999997</v>
      </c>
      <c r="G26" s="20">
        <f>_xll.BDH("GILD US Equity","SHAREHOLDER_YIELD_EX_DEBT","FQ1 2020","FQ1 2020","Currency=USD","Period=FQ","BEST_FPERIOD_OVERRIDE=FQ","FILING_STATUS=MR","Sort=A","Dates=H","DateFormat=P","Fill=—","Direction=H","UseDPDF=Y")</f>
        <v>5.5883000000000003</v>
      </c>
      <c r="H26" s="20">
        <f>_xll.BDH("GILD US Equity","SHAREHOLDER_YIELD_EX_DEBT","FQ2 2020","FQ2 2020","Currency=USD","Period=FQ","BEST_FPERIOD_OVERRIDE=FQ","FILING_STATUS=MR","Sort=A","Dates=H","DateFormat=P","Fill=—","Direction=H","UseDPDF=Y")</f>
        <v>4.9377000000000004</v>
      </c>
      <c r="I26" s="20">
        <f>_xll.BDH("GILD US Equity","SHAREHOLDER_YIELD_EX_DEBT","FQ3 2020","FQ3 2020","Currency=USD","Period=FQ","BEST_FPERIOD_OVERRIDE=FQ","FILING_STATUS=MR","Sort=A","Dates=H","DateFormat=P","Fill=—","Direction=H","UseDPDF=Y")</f>
        <v>6.0686999999999998</v>
      </c>
      <c r="J26" s="20">
        <f>_xll.BDH("GILD US Equity","SHAREHOLDER_YIELD_EX_DEBT","FQ4 2020","FQ4 2020","Currency=USD","Period=FQ","BEST_FPERIOD_OVERRIDE=FQ","FILING_STATUS=MR","Sort=A","Dates=H","DateFormat=P","Fill=—","Direction=H","UseDPDF=Y")</f>
        <v>6.5373000000000001</v>
      </c>
      <c r="K26" s="20">
        <f>_xll.BDH("GILD US Equity","SHAREHOLDER_YIELD_EX_DEBT","FQ1 2021","FQ1 2021","Currency=USD","Period=FQ","BEST_FPERIOD_OVERRIDE=FQ","FILING_STATUS=MR","Sort=A","Dates=H","DateFormat=P","Fill=—","Direction=H","UseDPDF=Y")</f>
        <v>4.7984999999999998</v>
      </c>
      <c r="L26" s="20">
        <f>_xll.BDH("GILD US Equity","SHAREHOLDER_YIELD_EX_DEBT","FQ2 2021","FQ2 2021","Currency=USD","Period=FQ","BEST_FPERIOD_OVERRIDE=FQ","FILING_STATUS=MR","Sort=A","Dates=H","DateFormat=P","Fill=—","Direction=H","UseDPDF=Y")</f>
        <v>4.5616000000000003</v>
      </c>
      <c r="M26" s="20">
        <f>_xll.BDH("GILD US Equity","SHAREHOLDER_YIELD_EX_DEBT","FQ3 2021","FQ3 2021","Currency=USD","Period=FQ","BEST_FPERIOD_OVERRIDE=FQ","FILING_STATUS=MR","Sort=A","Dates=H","DateFormat=P","Fill=—","Direction=H","UseDPDF=Y")</f>
        <v>4.4500999999999999</v>
      </c>
      <c r="N26" s="20">
        <f>_xll.BDH("GILD US Equity","SHAREHOLDER_YIELD_EX_DEBT","FQ4 2021","FQ4 2021","Currency=USD","Period=FQ","BEST_FPERIOD_OVERRIDE=FQ","FILING_STATUS=MR","Sort=A","Dates=H","DateFormat=P","Fill=—","Direction=H","UseDPDF=Y")</f>
        <v>4.3733000000000004</v>
      </c>
      <c r="O26" s="20">
        <f>_xll.BDH("GILD US Equity","SHAREHOLDER_YIELD_EX_DEBT","FQ1 2022","FQ1 2022","Currency=USD","Period=FQ","BEST_FPERIOD_OVERRIDE=FQ","FILING_STATUS=MR","Sort=A","Dates=H","DateFormat=P","Fill=—","Direction=H","UseDPDF=Y")</f>
        <v>5.4241999999999999</v>
      </c>
      <c r="P26" s="20">
        <f>_xll.BDH("GILD US Equity","SHAREHOLDER_YIELD_EX_DEBT","FQ2 2022","FQ2 2022","Currency=USD","Period=FQ","BEST_FPERIOD_OVERRIDE=FQ","FILING_STATUS=MR","Sort=A","Dates=H","DateFormat=P","Fill=—","Direction=H","UseDPDF=Y")</f>
        <v>5.3037999999999998</v>
      </c>
      <c r="Q26" s="20">
        <f>_xll.BDH("GILD US Equity","SHAREHOLDER_YIELD_EX_DEBT","FQ3 2022","FQ3 2022","Currency=USD","Period=FQ","BEST_FPERIOD_OVERRIDE=FQ","FILING_STATUS=MR","Sort=A","Dates=H","DateFormat=P","Fill=—","Direction=H","UseDPDF=Y")</f>
        <v>5.4240000000000004</v>
      </c>
      <c r="R26" s="20">
        <f>_xll.BDH("GILD US Equity","SHAREHOLDER_YIELD_EX_DEBT","FQ4 2022","FQ4 2022","Currency=USD","Period=FQ","BEST_FPERIOD_OVERRIDE=FQ","FILING_STATUS=MR","Sort=A","Dates=H","DateFormat=P","Fill=—","Direction=H","UseDPDF=Y")</f>
        <v>4.4798999999999998</v>
      </c>
      <c r="S26" s="20">
        <f>_xll.BDH("GILD US Equity","SHAREHOLDER_YIELD_EX_DEBT","FQ1 2023","FQ1 2023","Currency=USD","Period=FQ","BEST_FPERIOD_OVERRIDE=FQ","FILING_STATUS=MR","Sort=A","Dates=H","DateFormat=P","Fill=—","Direction=H","UseDPDF=Y")</f>
        <v>4.6984000000000004</v>
      </c>
      <c r="T26" s="20">
        <f>_xll.BDH("GILD US Equity","SHAREHOLDER_YIELD_EX_DEBT","FQ2 2023","FQ2 2023","Currency=USD","Period=FQ","BEST_FPERIOD_OVERRIDE=FQ","FILING_STATUS=MR","Sort=A","Dates=H","DateFormat=P","Fill=—","Direction=H","UseDPDF=Y")</f>
        <v>5.1443000000000003</v>
      </c>
      <c r="U26" s="20">
        <f>_xll.BDH("GILD US Equity","SHAREHOLDER_YIELD_EX_DEBT","FQ3 2023","FQ3 2023","Currency=USD","Period=FQ","BEST_FPERIOD_OVERRIDE=FQ","FILING_STATUS=MR","Sort=A","Dates=H","DateFormat=P","Fill=—","Direction=H","UseDPDF=Y")</f>
        <v>5.3943000000000003</v>
      </c>
      <c r="V26" s="20">
        <f>_xll.BDH("GILD US Equity","SHAREHOLDER_YIELD_EX_DEBT","FQ4 2023","FQ4 2023","Currency=USD","Period=FQ","BEST_FPERIOD_OVERRIDE=FQ","FILING_STATUS=MR","Sort=A","Dates=H","DateFormat=P","Fill=—","Direction=H","UseDPDF=Y")</f>
        <v>4.5335000000000001</v>
      </c>
      <c r="W26" s="20">
        <f>_xll.BDH("GILD US Equity","SHAREHOLDER_YIELD_EX_DEBT","FQ1 2024","FQ1 2024","Currency=USD","Period=FQ","BEST_FPERIOD_OVERRIDE=FQ","FILING_STATUS=MR","Sort=A","Dates=H","DateFormat=P","Fill=—","Direction=H","UseDPDF=Y")</f>
        <v>4.9829999999999997</v>
      </c>
      <c r="X26" s="20">
        <f>_xll.BDH("GILD US Equity","SHAREHOLDER_YIELD_EX_DEBT","FQ2 2024","FQ2 2024","Currency=USD","Period=FQ","BEST_FPERIOD_OVERRIDE=FQ","FILING_STATUS=MR","Sort=A","Dates=H","DateFormat=P","Fill=—","Direction=H","UseDPDF=Y")</f>
        <v>5.3189000000000002</v>
      </c>
      <c r="Y26" s="20">
        <f>_xll.BDH("GILD US Equity","SHAREHOLDER_YIELD_EX_DEBT","FQ3 2024","FQ3 2024","Currency=USD","Period=FQ","BEST_FPERIOD_OVERRIDE=FQ","FILING_STATUS=MR","Sort=A","Dates=H","DateFormat=P","Fill=—","Direction=H","UseDPDF=Y")</f>
        <v>4.367</v>
      </c>
      <c r="Z26" s="20">
        <f>_xll.BDH("GILD US Equity","SHAREHOLDER_YIELD_EX_DEBT","FQ4 2024","FQ4 2024","Currency=USD","Period=FQ","BEST_FPERIOD_OVERRIDE=FQ","FILING_STATUS=MR","Sort=A","Dates=H","DateFormat=P","Fill=—","Direction=H","UseDPDF=Y")</f>
        <v>4.0366999999999997</v>
      </c>
      <c r="AA26" s="20"/>
    </row>
    <row r="27" spans="1:27" x14ac:dyDescent="0.25">
      <c r="A27" s="6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x14ac:dyDescent="0.25">
      <c r="A28" s="6" t="s">
        <v>1730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x14ac:dyDescent="0.25">
      <c r="A29" s="10" t="s">
        <v>1705</v>
      </c>
      <c r="B29" s="10" t="s">
        <v>1706</v>
      </c>
      <c r="C29" s="13">
        <f>_xll.BDH("GILD US Equity","TRAIL_12M_CASH_FROM_OPER","FQ1 2019","FQ1 2019","Currency=USD","Period=FQ","BEST_FPERIOD_OVERRIDE=FQ","FILING_STATUS=MR","SCALING_FORMAT=MLN","Sort=A","Dates=H","DateFormat=P","Fill=—","Direction=H","UseDPDF=Y")</f>
        <v>7574</v>
      </c>
      <c r="D29" s="13">
        <f>_xll.BDH("GILD US Equity","TRAIL_12M_CASH_FROM_OPER","FQ2 2019","FQ2 2019","Currency=USD","Period=FQ","BEST_FPERIOD_OVERRIDE=FQ","FILING_STATUS=MR","SCALING_FORMAT=MLN","Sort=A","Dates=H","DateFormat=P","Fill=—","Direction=H","UseDPDF=Y")</f>
        <v>8343</v>
      </c>
      <c r="E29" s="13">
        <f>_xll.BDH("GILD US Equity","TRAIL_12M_CASH_FROM_OPER","FQ3 2019","FQ3 2019","Currency=USD","Period=FQ","BEST_FPERIOD_OVERRIDE=FQ","FILING_STATUS=MR","SCALING_FORMAT=MLN","Sort=A","Dates=H","DateFormat=P","Fill=—","Direction=H","UseDPDF=Y")</f>
        <v>9030</v>
      </c>
      <c r="F29" s="13">
        <f>_xll.BDH("GILD US Equity","TRAIL_12M_CASH_FROM_OPER","FQ4 2019","FQ4 2019","Currency=USD","Period=FQ","BEST_FPERIOD_OVERRIDE=FQ","FILING_STATUS=MR","SCALING_FORMAT=MLN","Sort=A","Dates=H","DateFormat=P","Fill=—","Direction=H","UseDPDF=Y")</f>
        <v>9265</v>
      </c>
      <c r="G29" s="13">
        <f>_xll.BDH("GILD US Equity","TRAIL_12M_CASH_FROM_OPER","FQ1 2020","FQ1 2020","Currency=USD","Period=FQ","BEST_FPERIOD_OVERRIDE=FQ","FILING_STATUS=MR","SCALING_FORMAT=MLN","Sort=A","Dates=H","DateFormat=P","Fill=—","Direction=H","UseDPDF=Y")</f>
        <v>9257</v>
      </c>
      <c r="H29" s="13">
        <f>_xll.BDH("GILD US Equity","TRAIL_12M_CASH_FROM_OPER","FQ2 2020","FQ2 2020","Currency=USD","Period=FQ","BEST_FPERIOD_OVERRIDE=FQ","FILING_STATUS=MR","SCALING_FORMAT=MLN","Sort=A","Dates=H","DateFormat=P","Fill=—","Direction=H","UseDPDF=Y")</f>
        <v>9481</v>
      </c>
      <c r="I29" s="13">
        <f>_xll.BDH("GILD US Equity","TRAIL_12M_CASH_FROM_OPER","FQ3 2020","FQ3 2020","Currency=USD","Period=FQ","BEST_FPERIOD_OVERRIDE=FQ","FILING_STATUS=MR","SCALING_FORMAT=MLN","Sort=A","Dates=H","DateFormat=P","Fill=—","Direction=H","UseDPDF=Y")</f>
        <v>8832</v>
      </c>
      <c r="J29" s="13">
        <f>_xll.BDH("GILD US Equity","TRAIL_12M_CASH_FROM_OPER","FQ4 2020","FQ4 2020","Currency=USD","Period=FQ","BEST_FPERIOD_OVERRIDE=FQ","FILING_STATUS=MR","SCALING_FORMAT=MLN","Sort=A","Dates=H","DateFormat=P","Fill=—","Direction=H","UseDPDF=Y")</f>
        <v>8168</v>
      </c>
      <c r="K29" s="13">
        <f>_xll.BDH("GILD US Equity","TRAIL_12M_CASH_FROM_OPER","FQ1 2021","FQ1 2021","Currency=USD","Period=FQ","BEST_FPERIOD_OVERRIDE=FQ","FILING_STATUS=MR","SCALING_FORMAT=MLN","Sort=A","Dates=H","DateFormat=P","Fill=—","Direction=H","UseDPDF=Y")</f>
        <v>9342</v>
      </c>
      <c r="L29" s="13">
        <f>_xll.BDH("GILD US Equity","TRAIL_12M_CASH_FROM_OPER","FQ2 2021","FQ2 2021","Currency=USD","Period=FQ","BEST_FPERIOD_OVERRIDE=FQ","FILING_STATUS=MR","SCALING_FORMAT=MLN","Sort=A","Dates=H","DateFormat=P","Fill=—","Direction=H","UseDPDF=Y")</f>
        <v>9092</v>
      </c>
      <c r="M29" s="13">
        <f>_xll.BDH("GILD US Equity","TRAIL_12M_CASH_FROM_OPER","FQ3 2021","FQ3 2021","Currency=USD","Period=FQ","BEST_FPERIOD_OVERRIDE=FQ","FILING_STATUS=MR","SCALING_FORMAT=MLN","Sort=A","Dates=H","DateFormat=P","Fill=—","Direction=H","UseDPDF=Y")</f>
        <v>10095</v>
      </c>
      <c r="N29" s="13">
        <f>_xll.BDH("GILD US Equity","TRAIL_12M_CASH_FROM_OPER","FQ4 2021","FQ4 2021","Currency=USD","Period=FQ","BEST_FPERIOD_OVERRIDE=FQ","FILING_STATUS=MR","SCALING_FORMAT=MLN","Sort=A","Dates=H","DateFormat=P","Fill=—","Direction=H","UseDPDF=Y")</f>
        <v>11384</v>
      </c>
      <c r="O29" s="13">
        <f>_xll.BDH("GILD US Equity","TRAIL_12M_CASH_FROM_OPER","FQ1 2022","FQ1 2022","Currency=USD","Period=FQ","BEST_FPERIOD_OVERRIDE=FQ","FILING_STATUS=MR","SCALING_FORMAT=MLN","Sort=A","Dates=H","DateFormat=P","Fill=—","Direction=H","UseDPDF=Y")</f>
        <v>10614</v>
      </c>
      <c r="P29" s="13">
        <f>_xll.BDH("GILD US Equity","TRAIL_12M_CASH_FROM_OPER","FQ2 2022","FQ2 2022","Currency=USD","Period=FQ","BEST_FPERIOD_OVERRIDE=FQ","FILING_STATUS=MR","SCALING_FORMAT=MLN","Sort=A","Dates=H","DateFormat=P","Fill=—","Direction=H","UseDPDF=Y")</f>
        <v>10100</v>
      </c>
      <c r="Q29" s="13">
        <f>_xll.BDH("GILD US Equity","TRAIL_12M_CASH_FROM_OPER","FQ3 2022","FQ3 2022","Currency=USD","Period=FQ","BEST_FPERIOD_OVERRIDE=FQ","FILING_STATUS=MR","SCALING_FORMAT=MLN","Sort=A","Dates=H","DateFormat=P","Fill=—","Direction=H","UseDPDF=Y")</f>
        <v>9710</v>
      </c>
      <c r="R29" s="13">
        <f>_xll.BDH("GILD US Equity","TRAIL_12M_CASH_FROM_OPER","FQ4 2022","FQ4 2022","Currency=USD","Period=FQ","BEST_FPERIOD_OVERRIDE=FQ","FILING_STATUS=MR","SCALING_FORMAT=MLN","Sort=A","Dates=H","DateFormat=P","Fill=—","Direction=H","UseDPDF=Y")</f>
        <v>9072</v>
      </c>
      <c r="S29" s="13">
        <f>_xll.BDH("GILD US Equity","TRAIL_12M_CASH_FROM_OPER","FQ1 2023","FQ1 2023","Currency=USD","Period=FQ","BEST_FPERIOD_OVERRIDE=FQ","FILING_STATUS=MR","SCALING_FORMAT=MLN","Sort=A","Dates=H","DateFormat=P","Fill=—","Direction=H","UseDPDF=Y")</f>
        <v>8976</v>
      </c>
      <c r="T29" s="13">
        <f>_xll.BDH("GILD US Equity","TRAIL_12M_CASH_FROM_OPER","FQ2 2023","FQ2 2023","Currency=USD","Period=FQ","BEST_FPERIOD_OVERRIDE=FQ","FILING_STATUS=MR","SCALING_FORMAT=MLN","Sort=A","Dates=H","DateFormat=P","Fill=—","Direction=H","UseDPDF=Y")</f>
        <v>9512</v>
      </c>
      <c r="U29" s="13">
        <f>_xll.BDH("GILD US Equity","TRAIL_12M_CASH_FROM_OPER","FQ3 2023","FQ3 2023","Currency=USD","Period=FQ","BEST_FPERIOD_OVERRIDE=FQ","FILING_STATUS=MR","SCALING_FORMAT=MLN","Sort=A","Dates=H","DateFormat=P","Fill=—","Direction=H","UseDPDF=Y")</f>
        <v>8404</v>
      </c>
      <c r="V29" s="13">
        <f>_xll.BDH("GILD US Equity","TRAIL_12M_CASH_FROM_OPER","FQ4 2023","FQ4 2023","Currency=USD","Period=FQ","BEST_FPERIOD_OVERRIDE=FQ","FILING_STATUS=MR","SCALING_FORMAT=MLN","Sort=A","Dates=H","DateFormat=P","Fill=—","Direction=H","UseDPDF=Y")</f>
        <v>8006</v>
      </c>
      <c r="W29" s="13">
        <f>_xll.BDH("GILD US Equity","TRAIL_12M_CASH_FROM_OPER","FQ1 2024","FQ1 2024","Currency=USD","Period=FQ","BEST_FPERIOD_OVERRIDE=FQ","FILING_STATUS=MR","SCALING_FORMAT=MLN","Sort=A","Dates=H","DateFormat=P","Fill=—","Direction=H","UseDPDF=Y")</f>
        <v>8481</v>
      </c>
      <c r="X29" s="13">
        <f>_xll.BDH("GILD US Equity","TRAIL_12M_CASH_FROM_OPER","FQ2 2024","FQ2 2024","Currency=USD","Period=FQ","BEST_FPERIOD_OVERRIDE=FQ","FILING_STATUS=MR","SCALING_FORMAT=MLN","Sort=A","Dates=H","DateFormat=P","Fill=—","Direction=H","UseDPDF=Y")</f>
        <v>7468</v>
      </c>
      <c r="Y29" s="13">
        <f>_xll.BDH("GILD US Equity","TRAIL_12M_CASH_FROM_OPER","FQ3 2024","FQ3 2024","Currency=USD","Period=FQ","BEST_FPERIOD_OVERRIDE=FQ","FILING_STATUS=MR","SCALING_FORMAT=MLN","Sort=A","Dates=H","DateFormat=P","Fill=—","Direction=H","UseDPDF=Y")</f>
        <v>10022</v>
      </c>
      <c r="Z29" s="13">
        <f>_xll.BDH("GILD US Equity","TRAIL_12M_CASH_FROM_OPER","FQ4 2024","FQ4 2024","Currency=USD","Period=FQ","BEST_FPERIOD_OVERRIDE=FQ","FILING_STATUS=MR","SCALING_FORMAT=MLN","Sort=A","Dates=H","DateFormat=P","Fill=—","Direction=H","UseDPDF=Y")</f>
        <v>10828</v>
      </c>
      <c r="AA29" s="13">
        <v>26860.38</v>
      </c>
    </row>
    <row r="30" spans="1:27" x14ac:dyDescent="0.25">
      <c r="A30" s="10" t="s">
        <v>1707</v>
      </c>
      <c r="B30" s="10" t="s">
        <v>1708</v>
      </c>
      <c r="C30" s="13">
        <f>_xll.BDH("GILD US Equity","TRAIL_12M_CAP_EXPEND","FQ1 2019","FQ1 2019","Currency=USD","Period=FQ","BEST_FPERIOD_OVERRIDE=FQ","FILING_STATUS=MR","SCALING_FORMAT=MLN","Sort=A","Dates=H","DateFormat=P","Fill=—","Direction=H","UseDPDF=Y")</f>
        <v>-949</v>
      </c>
      <c r="D30" s="13">
        <f>_xll.BDH("GILD US Equity","TRAIL_12M_CAP_EXPEND","FQ2 2019","FQ2 2019","Currency=USD","Period=FQ","BEST_FPERIOD_OVERRIDE=FQ","FILING_STATUS=MR","SCALING_FORMAT=MLN","Sort=A","Dates=H","DateFormat=P","Fill=—","Direction=H","UseDPDF=Y")</f>
        <v>-837</v>
      </c>
      <c r="E30" s="13">
        <f>_xll.BDH("GILD US Equity","TRAIL_12M_CAP_EXPEND","FQ3 2019","FQ3 2019","Currency=USD","Period=FQ","BEST_FPERIOD_OVERRIDE=FQ","FILING_STATUS=MR","SCALING_FORMAT=MLN","Sort=A","Dates=H","DateFormat=P","Fill=—","Direction=H","UseDPDF=Y")</f>
        <v>-870</v>
      </c>
      <c r="F30" s="13">
        <f>_xll.BDH("GILD US Equity","TRAIL_12M_CAP_EXPEND","FQ4 2019","FQ4 2019","Currency=USD","Period=FQ","BEST_FPERIOD_OVERRIDE=FQ","FILING_STATUS=MR","SCALING_FORMAT=MLN","Sort=A","Dates=H","DateFormat=P","Fill=—","Direction=H","UseDPDF=Y")</f>
        <v>-825</v>
      </c>
      <c r="G30" s="13">
        <f>_xll.BDH("GILD US Equity","TRAIL_12M_CAP_EXPEND","FQ1 2020","FQ1 2020","Currency=USD","Period=FQ","BEST_FPERIOD_OVERRIDE=FQ","FILING_STATUS=MR","SCALING_FORMAT=MLN","Sort=A","Dates=H","DateFormat=P","Fill=—","Direction=H","UseDPDF=Y")</f>
        <v>-759</v>
      </c>
      <c r="H30" s="13">
        <f>_xll.BDH("GILD US Equity","TRAIL_12M_CAP_EXPEND","FQ2 2020","FQ2 2020","Currency=USD","Period=FQ","BEST_FPERIOD_OVERRIDE=FQ","FILING_STATUS=MR","SCALING_FORMAT=MLN","Sort=A","Dates=H","DateFormat=P","Fill=—","Direction=H","UseDPDF=Y")</f>
        <v>-717</v>
      </c>
      <c r="I30" s="13">
        <f>_xll.BDH("GILD US Equity","TRAIL_12M_CAP_EXPEND","FQ3 2020","FQ3 2020","Currency=USD","Period=FQ","BEST_FPERIOD_OVERRIDE=FQ","FILING_STATUS=MR","SCALING_FORMAT=MLN","Sort=A","Dates=H","DateFormat=P","Fill=—","Direction=H","UseDPDF=Y")</f>
        <v>-672</v>
      </c>
      <c r="J30" s="13">
        <f>_xll.BDH("GILD US Equity","TRAIL_12M_CAP_EXPEND","FQ4 2020","FQ4 2020","Currency=USD","Period=FQ","BEST_FPERIOD_OVERRIDE=FQ","FILING_STATUS=MR","SCALING_FORMAT=MLN","Sort=A","Dates=H","DateFormat=P","Fill=—","Direction=H","UseDPDF=Y")</f>
        <v>-650</v>
      </c>
      <c r="K30" s="13">
        <f>_xll.BDH("GILD US Equity","TRAIL_12M_CAP_EXPEND","FQ1 2021","FQ1 2021","Currency=USD","Period=FQ","BEST_FPERIOD_OVERRIDE=FQ","FILING_STATUS=MR","SCALING_FORMAT=MLN","Sort=A","Dates=H","DateFormat=P","Fill=—","Direction=H","UseDPDF=Y")</f>
        <v>-644</v>
      </c>
      <c r="L30" s="13">
        <f>_xll.BDH("GILD US Equity","TRAIL_12M_CAP_EXPEND","FQ2 2021","FQ2 2021","Currency=USD","Period=FQ","BEST_FPERIOD_OVERRIDE=FQ","FILING_STATUS=MR","SCALING_FORMAT=MLN","Sort=A","Dates=H","DateFormat=P","Fill=—","Direction=H","UseDPDF=Y")</f>
        <v>-620</v>
      </c>
      <c r="M30" s="13">
        <f>_xll.BDH("GILD US Equity","TRAIL_12M_CAP_EXPEND","FQ3 2021","FQ3 2021","Currency=USD","Period=FQ","BEST_FPERIOD_OVERRIDE=FQ","FILING_STATUS=MR","SCALING_FORMAT=MLN","Sort=A","Dates=H","DateFormat=P","Fill=—","Direction=H","UseDPDF=Y")</f>
        <v>-604</v>
      </c>
      <c r="N30" s="13">
        <f>_xll.BDH("GILD US Equity","TRAIL_12M_CAP_EXPEND","FQ4 2021","FQ4 2021","Currency=USD","Period=FQ","BEST_FPERIOD_OVERRIDE=FQ","FILING_STATUS=MR","SCALING_FORMAT=MLN","Sort=A","Dates=H","DateFormat=P","Fill=—","Direction=H","UseDPDF=Y")</f>
        <v>-579</v>
      </c>
      <c r="O30" s="13">
        <f>_xll.BDH("GILD US Equity","TRAIL_12M_CAP_EXPEND","FQ1 2022","FQ1 2022","Currency=USD","Period=FQ","BEST_FPERIOD_OVERRIDE=FQ","FILING_STATUS=MR","SCALING_FORMAT=MLN","Sort=A","Dates=H","DateFormat=P","Fill=—","Direction=H","UseDPDF=Y")</f>
        <v>-661</v>
      </c>
      <c r="P30" s="13">
        <f>_xll.BDH("GILD US Equity","TRAIL_12M_CAP_EXPEND","FQ2 2022","FQ2 2022","Currency=USD","Period=FQ","BEST_FPERIOD_OVERRIDE=FQ","FILING_STATUS=MR","SCALING_FORMAT=MLN","Sort=A","Dates=H","DateFormat=P","Fill=—","Direction=H","UseDPDF=Y")</f>
        <v>-685</v>
      </c>
      <c r="Q30" s="13">
        <f>_xll.BDH("GILD US Equity","TRAIL_12M_CAP_EXPEND","FQ3 2022","FQ3 2022","Currency=USD","Period=FQ","BEST_FPERIOD_OVERRIDE=FQ","FILING_STATUS=MR","SCALING_FORMAT=MLN","Sort=A","Dates=H","DateFormat=P","Fill=—","Direction=H","UseDPDF=Y")</f>
        <v>-703</v>
      </c>
      <c r="R30" s="13">
        <f>_xll.BDH("GILD US Equity","TRAIL_12M_CAP_EXPEND","FQ4 2022","FQ4 2022","Currency=USD","Period=FQ","BEST_FPERIOD_OVERRIDE=FQ","FILING_STATUS=MR","SCALING_FORMAT=MLN","Sort=A","Dates=H","DateFormat=P","Fill=—","Direction=H","UseDPDF=Y")</f>
        <v>-728</v>
      </c>
      <c r="S30" s="13">
        <f>_xll.BDH("GILD US Equity","TRAIL_12M_CAP_EXPEND","FQ1 2023","FQ1 2023","Currency=USD","Period=FQ","BEST_FPERIOD_OVERRIDE=FQ","FILING_STATUS=MR","SCALING_FORMAT=MLN","Sort=A","Dates=H","DateFormat=P","Fill=—","Direction=H","UseDPDF=Y")</f>
        <v>-590</v>
      </c>
      <c r="T30" s="13">
        <f>_xll.BDH("GILD US Equity","TRAIL_12M_CAP_EXPEND","FQ2 2023","FQ2 2023","Currency=USD","Period=FQ","BEST_FPERIOD_OVERRIDE=FQ","FILING_STATUS=MR","SCALING_FORMAT=MLN","Sort=A","Dates=H","DateFormat=P","Fill=—","Direction=H","UseDPDF=Y")</f>
        <v>-586</v>
      </c>
      <c r="U30" s="13">
        <f>_xll.BDH("GILD US Equity","TRAIL_12M_CAP_EXPEND","FQ3 2023","FQ3 2023","Currency=USD","Period=FQ","BEST_FPERIOD_OVERRIDE=FQ","FILING_STATUS=MR","SCALING_FORMAT=MLN","Sort=A","Dates=H","DateFormat=P","Fill=—","Direction=H","UseDPDF=Y")</f>
        <v>-551</v>
      </c>
      <c r="V30" s="13">
        <f>_xll.BDH("GILD US Equity","TRAIL_12M_CAP_EXPEND","FQ4 2023","FQ4 2023","Currency=USD","Period=FQ","BEST_FPERIOD_OVERRIDE=FQ","FILING_STATUS=MR","SCALING_FORMAT=MLN","Sort=A","Dates=H","DateFormat=P","Fill=—","Direction=H","UseDPDF=Y")</f>
        <v>-585</v>
      </c>
      <c r="W30" s="13">
        <f>_xll.BDH("GILD US Equity","TRAIL_12M_CAP_EXPEND","FQ1 2024","FQ1 2024","Currency=USD","Period=FQ","BEST_FPERIOD_OVERRIDE=FQ","FILING_STATUS=MR","SCALING_FORMAT=MLN","Sort=A","Dates=H","DateFormat=P","Fill=—","Direction=H","UseDPDF=Y")</f>
        <v>-581</v>
      </c>
      <c r="X30" s="13">
        <f>_xll.BDH("GILD US Equity","TRAIL_12M_CAP_EXPEND","FQ2 2024","FQ2 2024","Currency=USD","Period=FQ","BEST_FPERIOD_OVERRIDE=FQ","FILING_STATUS=MR","SCALING_FORMAT=MLN","Sort=A","Dates=H","DateFormat=P","Fill=—","Direction=H","UseDPDF=Y")</f>
        <v>-572</v>
      </c>
      <c r="Y30" s="13">
        <f>_xll.BDH("GILD US Equity","TRAIL_12M_CAP_EXPEND","FQ3 2024","FQ3 2024","Currency=USD","Period=FQ","BEST_FPERIOD_OVERRIDE=FQ","FILING_STATUS=MR","SCALING_FORMAT=MLN","Sort=A","Dates=H","DateFormat=P","Fill=—","Direction=H","UseDPDF=Y")</f>
        <v>-591</v>
      </c>
      <c r="Z30" s="13">
        <f>_xll.BDH("GILD US Equity","TRAIL_12M_CAP_EXPEND","FQ4 2024","FQ4 2024","Currency=USD","Period=FQ","BEST_FPERIOD_OVERRIDE=FQ","FILING_STATUS=MR","SCALING_FORMAT=MLN","Sort=A","Dates=H","DateFormat=P","Fill=—","Direction=H","UseDPDF=Y")</f>
        <v>-523</v>
      </c>
      <c r="AA30" s="13"/>
    </row>
    <row r="31" spans="1:27" x14ac:dyDescent="0.25">
      <c r="A31" s="10" t="s">
        <v>1731</v>
      </c>
      <c r="B31" s="10" t="s">
        <v>1732</v>
      </c>
      <c r="C31" s="13">
        <f>_xll.BDH("GILD US Equity","AFTER_TAX_INTEREST_EXPENSE","FQ1 2019","FQ1 2019","Currency=USD","Period=FQ","BEST_FPERIOD_OVERRIDE=FQ","FILING_STATUS=MR","SCALING_FORMAT=MLN","FA_ADJUSTED=GAAP","Sort=A","Dates=H","DateFormat=P","Fill=—","Direction=H","UseDPDF=Y")</f>
        <v>755.35350000000005</v>
      </c>
      <c r="D31" s="13">
        <f>_xll.BDH("GILD US Equity","AFTER_TAX_INTEREST_EXPENSE","FQ2 2019","FQ2 2019","Currency=USD","Period=FQ","BEST_FPERIOD_OVERRIDE=FQ","FILING_STATUS=MR","SCALING_FORMAT=MLN","FA_ADJUSTED=GAAP","Sort=A","Dates=H","DateFormat=P","Fill=—","Direction=H","UseDPDF=Y")</f>
        <v>720.5847</v>
      </c>
      <c r="E31" s="13">
        <f>_xll.BDH("GILD US Equity","AFTER_TAX_INTEREST_EXPENSE","FQ3 2019","FQ3 2019","Currency=USD","Period=FQ","BEST_FPERIOD_OVERRIDE=FQ","FILING_STATUS=MR","SCALING_FORMAT=MLN","FA_ADJUSTED=GAAP","Sort=A","Dates=H","DateFormat=P","Fill=—","Direction=H","UseDPDF=Y")</f>
        <v>632.07060000000001</v>
      </c>
      <c r="F31" s="13" t="str">
        <f>_xll.BDH("GILD US Equity","AFTER_TAX_INTEREST_EXPENSE","FQ4 2019","FQ4 2019","Currency=USD","Period=FQ","BEST_FPERIOD_OVERRIDE=FQ","FILING_STATUS=MR","SCALING_FORMAT=MLN","FA_ADJUSTED=GAAP","Sort=A","Dates=H","DateFormat=P","Fill=—","Direction=H","UseDPDF=Y")</f>
        <v>—</v>
      </c>
      <c r="G31" s="13" t="str">
        <f>_xll.BDH("GILD US Equity","AFTER_TAX_INTEREST_EXPENSE","FQ1 2020","FQ1 2020","Currency=USD","Period=FQ","BEST_FPERIOD_OVERRIDE=FQ","FILING_STATUS=MR","SCALING_FORMAT=MLN","FA_ADJUSTED=GAAP","Sort=A","Dates=H","DateFormat=P","Fill=—","Direction=H","UseDPDF=Y")</f>
        <v>—</v>
      </c>
      <c r="H31" s="13" t="str">
        <f>_xll.BDH("GILD US Equity","AFTER_TAX_INTEREST_EXPENSE","FQ2 2020","FQ2 2020","Currency=USD","Period=FQ","BEST_FPERIOD_OVERRIDE=FQ","FILING_STATUS=MR","SCALING_FORMAT=MLN","FA_ADJUSTED=GAAP","Sort=A","Dates=H","DateFormat=P","Fill=—","Direction=H","UseDPDF=Y")</f>
        <v>—</v>
      </c>
      <c r="I31" s="13">
        <f>_xll.BDH("GILD US Equity","AFTER_TAX_INTEREST_EXPENSE","FQ3 2020","FQ3 2020","Currency=USD","Period=FQ","BEST_FPERIOD_OVERRIDE=FQ","FILING_STATUS=MR","SCALING_FORMAT=MLN","FA_ADJUSTED=GAAP","Sort=A","Dates=H","DateFormat=P","Fill=—","Direction=H","UseDPDF=Y")</f>
        <v>674.6241</v>
      </c>
      <c r="J31" s="13">
        <f>_xll.BDH("GILD US Equity","AFTER_TAX_INTEREST_EXPENSE","FQ4 2020","FQ4 2020","Currency=USD","Period=FQ","BEST_FPERIOD_OVERRIDE=FQ","FILING_STATUS=MR","SCALING_FORMAT=MLN","FA_ADJUSTED=GAAP","Sort=A","Dates=H","DateFormat=P","Fill=—","Direction=H","UseDPDF=Y")</f>
        <v>52.472099999999998</v>
      </c>
      <c r="K31" s="13">
        <f>_xll.BDH("GILD US Equity","AFTER_TAX_INTEREST_EXPENSE","FQ1 2021","FQ1 2021","Currency=USD","Period=FQ","BEST_FPERIOD_OVERRIDE=FQ","FILING_STATUS=MR","SCALING_FORMAT=MLN","FA_ADJUSTED=GAAP","Sort=A","Dates=H","DateFormat=P","Fill=—","Direction=H","UseDPDF=Y")</f>
        <v>141.45079999999999</v>
      </c>
      <c r="L31" s="13">
        <f>_xll.BDH("GILD US Equity","AFTER_TAX_INTEREST_EXPENSE","FQ2 2021","FQ2 2021","Currency=USD","Period=FQ","BEST_FPERIOD_OVERRIDE=FQ","FILING_STATUS=MR","SCALING_FORMAT=MLN","FA_ADJUSTED=GAAP","Sort=A","Dates=H","DateFormat=P","Fill=—","Direction=H","UseDPDF=Y")</f>
        <v>776.51430000000005</v>
      </c>
      <c r="M31" s="13">
        <f>_xll.BDH("GILD US Equity","AFTER_TAX_INTEREST_EXPENSE","FQ3 2021","FQ3 2021","Currency=USD","Period=FQ","BEST_FPERIOD_OVERRIDE=FQ","FILING_STATUS=MR","SCALING_FORMAT=MLN","FA_ADJUSTED=GAAP","Sort=A","Dates=H","DateFormat=P","Fill=—","Direction=H","UseDPDF=Y")</f>
        <v>813.25080000000003</v>
      </c>
      <c r="N31" s="13">
        <f>_xll.BDH("GILD US Equity","AFTER_TAX_INTEREST_EXPENSE","FQ4 2021","FQ4 2021","Currency=USD","Period=FQ","BEST_FPERIOD_OVERRIDE=FQ","FILING_STATUS=MR","SCALING_FORMAT=MLN","FA_ADJUSTED=GAAP","Sort=A","Dates=H","DateFormat=P","Fill=—","Direction=H","UseDPDF=Y")</f>
        <v>749.84310000000005</v>
      </c>
      <c r="O31" s="13">
        <f>_xll.BDH("GILD US Equity","AFTER_TAX_INTEREST_EXPENSE","FQ1 2022","FQ1 2022","Currency=USD","Period=FQ","BEST_FPERIOD_OVERRIDE=FQ","FILING_STATUS=MR","SCALING_FORMAT=MLN","FA_ADJUSTED=GAAP","Sort=A","Dates=H","DateFormat=P","Fill=—","Direction=H","UseDPDF=Y")</f>
        <v>752.3306</v>
      </c>
      <c r="P31" s="13">
        <f>_xll.BDH("GILD US Equity","AFTER_TAX_INTEREST_EXPENSE","FQ2 2022","FQ2 2022","Currency=USD","Period=FQ","BEST_FPERIOD_OVERRIDE=FQ","FILING_STATUS=MR","SCALING_FORMAT=MLN","FA_ADJUSTED=GAAP","Sort=A","Dates=H","DateFormat=P","Fill=—","Direction=H","UseDPDF=Y")</f>
        <v>716.92719999999997</v>
      </c>
      <c r="Q31" s="13">
        <f>_xll.BDH("GILD US Equity","AFTER_TAX_INTEREST_EXPENSE","FQ3 2022","FQ3 2022","Currency=USD","Period=FQ","BEST_FPERIOD_OVERRIDE=FQ","FILING_STATUS=MR","SCALING_FORMAT=MLN","FA_ADJUSTED=GAAP","Sort=A","Dates=H","DateFormat=P","Fill=—","Direction=H","UseDPDF=Y")</f>
        <v>689.92139999999995</v>
      </c>
      <c r="R31" s="13">
        <f>_xll.BDH("GILD US Equity","AFTER_TAX_INTEREST_EXPENSE","FQ4 2022","FQ4 2022","Currency=USD","Period=FQ","BEST_FPERIOD_OVERRIDE=FQ","FILING_STATUS=MR","SCALING_FORMAT=MLN","FA_ADJUSTED=GAAP","Sort=A","Dates=H","DateFormat=P","Fill=—","Direction=H","UseDPDF=Y")</f>
        <v>735.08360000000005</v>
      </c>
      <c r="S31" s="13">
        <f>_xll.BDH("GILD US Equity","AFTER_TAX_INTEREST_EXPENSE","FQ1 2023","FQ1 2023","Currency=USD","Period=FQ","BEST_FPERIOD_OVERRIDE=FQ","FILING_STATUS=MR","SCALING_FORMAT=MLN","FA_ADJUSTED=GAAP","Sort=A","Dates=H","DateFormat=P","Fill=—","Direction=H","UseDPDF=Y")</f>
        <v>707.30309999999997</v>
      </c>
      <c r="T31" s="13">
        <f>_xll.BDH("GILD US Equity","AFTER_TAX_INTEREST_EXPENSE","FQ2 2023","FQ2 2023","Currency=USD","Period=FQ","BEST_FPERIOD_OVERRIDE=FQ","FILING_STATUS=MR","SCALING_FORMAT=MLN","FA_ADJUSTED=GAAP","Sort=A","Dates=H","DateFormat=P","Fill=—","Direction=H","UseDPDF=Y")</f>
        <v>678.12159999999994</v>
      </c>
      <c r="U31" s="13">
        <f>_xll.BDH("GILD US Equity","AFTER_TAX_INTEREST_EXPENSE","FQ3 2023","FQ3 2023","Currency=USD","Period=FQ","BEST_FPERIOD_OVERRIDE=FQ","FILING_STATUS=MR","SCALING_FORMAT=MLN","FA_ADJUSTED=GAAP","Sort=A","Dates=H","DateFormat=P","Fill=—","Direction=H","UseDPDF=Y")</f>
        <v>740.101</v>
      </c>
      <c r="V31" s="13">
        <f>_xll.BDH("GILD US Equity","AFTER_TAX_INTEREST_EXPENSE","FQ4 2023","FQ4 2023","Currency=USD","Period=FQ","BEST_FPERIOD_OVERRIDE=FQ","FILING_STATUS=MR","SCALING_FORMAT=MLN","FA_ADJUSTED=GAAP","Sort=A","Dates=H","DateFormat=P","Fill=—","Direction=H","UseDPDF=Y")</f>
        <v>772.40120000000002</v>
      </c>
      <c r="W31" s="13">
        <f>_xll.BDH("GILD US Equity","AFTER_TAX_INTEREST_EXPENSE","FQ1 2024","FQ1 2024","Currency=USD","Period=FQ","BEST_FPERIOD_OVERRIDE=FQ","FILING_STATUS=MR","SCALING_FORMAT=MLN","FA_ADJUSTED=GAAP","Sort=A","Dates=H","DateFormat=P","Fill=—","Direction=H","UseDPDF=Y")</f>
        <v>413.69830000000002</v>
      </c>
      <c r="X31" s="13">
        <f>_xll.BDH("GILD US Equity","AFTER_TAX_INTEREST_EXPENSE","FQ2 2024","FQ2 2024","Currency=USD","Period=FQ","BEST_FPERIOD_OVERRIDE=FQ","FILING_STATUS=MR","SCALING_FORMAT=MLN","FA_ADJUSTED=GAAP","Sort=A","Dates=H","DateFormat=P","Fill=—","Direction=H","UseDPDF=Y")</f>
        <v>654.39639999999997</v>
      </c>
      <c r="Y31" s="13">
        <f>_xll.BDH("GILD US Equity","AFTER_TAX_INTEREST_EXPENSE","FQ3 2024","FQ3 2024","Currency=USD","Period=FQ","BEST_FPERIOD_OVERRIDE=FQ","FILING_STATUS=MR","SCALING_FORMAT=MLN","FA_ADJUSTED=GAAP","Sort=A","Dates=H","DateFormat=P","Fill=—","Direction=H","UseDPDF=Y")</f>
        <v>634.77269999999999</v>
      </c>
      <c r="Z31" s="13">
        <f>_xll.BDH("GILD US Equity","AFTER_TAX_INTEREST_EXPENSE","FQ4 2024","FQ4 2024","Currency=USD","Period=FQ","BEST_FPERIOD_OVERRIDE=FQ","FILING_STATUS=MR","SCALING_FORMAT=MLN","FA_ADJUSTED=GAAP","Sort=A","Dates=H","DateFormat=P","Fill=—","Direction=H","UseDPDF=Y")</f>
        <v>677.97400000000005</v>
      </c>
      <c r="AA31" s="13"/>
    </row>
    <row r="32" spans="1:27" x14ac:dyDescent="0.25">
      <c r="A32" s="6" t="s">
        <v>1733</v>
      </c>
      <c r="B32" s="6" t="s">
        <v>205</v>
      </c>
      <c r="C32" s="19">
        <f>_xll.BDH("GILD US Equity","TRAIL_12M_FREE_CASH_FLOW_FIRM","FQ1 2019","FQ1 2019","Currency=USD","Period=FQ","BEST_FPERIOD_OVERRIDE=FQ","FILING_STATUS=MR","SCALING_FORMAT=MLN","FA_ADJUSTED=GAAP","Sort=A","Dates=H","DateFormat=P","Fill=—","Direction=H","UseDPDF=Y")</f>
        <v>7380.3535000000002</v>
      </c>
      <c r="D32" s="19">
        <f>_xll.BDH("GILD US Equity","TRAIL_12M_FREE_CASH_FLOW_FIRM","FQ2 2019","FQ2 2019","Currency=USD","Period=FQ","BEST_FPERIOD_OVERRIDE=FQ","FILING_STATUS=MR","SCALING_FORMAT=MLN","FA_ADJUSTED=GAAP","Sort=A","Dates=H","DateFormat=P","Fill=—","Direction=H","UseDPDF=Y")</f>
        <v>8226.5846999999994</v>
      </c>
      <c r="E32" s="19">
        <f>_xll.BDH("GILD US Equity","TRAIL_12M_FREE_CASH_FLOW_FIRM","FQ3 2019","FQ3 2019","Currency=USD","Period=FQ","BEST_FPERIOD_OVERRIDE=FQ","FILING_STATUS=MR","SCALING_FORMAT=MLN","FA_ADJUSTED=GAAP","Sort=A","Dates=H","DateFormat=P","Fill=—","Direction=H","UseDPDF=Y")</f>
        <v>8792.0705999999991</v>
      </c>
      <c r="F32" s="19" t="str">
        <f>_xll.BDH("GILD US Equity","TRAIL_12M_FREE_CASH_FLOW_FIRM","FQ4 2019","FQ4 2019","Currency=USD","Period=FQ","BEST_FPERIOD_OVERRIDE=FQ","FILING_STATUS=MR","SCALING_FORMAT=MLN","FA_ADJUSTED=GAAP","Sort=A","Dates=H","DateFormat=P","Fill=—","Direction=H","UseDPDF=Y")</f>
        <v>—</v>
      </c>
      <c r="G32" s="19" t="str">
        <f>_xll.BDH("GILD US Equity","TRAIL_12M_FREE_CASH_FLOW_FIRM","FQ1 2020","FQ1 2020","Currency=USD","Period=FQ","BEST_FPERIOD_OVERRIDE=FQ","FILING_STATUS=MR","SCALING_FORMAT=MLN","FA_ADJUSTED=GAAP","Sort=A","Dates=H","DateFormat=P","Fill=—","Direction=H","UseDPDF=Y")</f>
        <v>—</v>
      </c>
      <c r="H32" s="19" t="str">
        <f>_xll.BDH("GILD US Equity","TRAIL_12M_FREE_CASH_FLOW_FIRM","FQ2 2020","FQ2 2020","Currency=USD","Period=FQ","BEST_FPERIOD_OVERRIDE=FQ","FILING_STATUS=MR","SCALING_FORMAT=MLN","FA_ADJUSTED=GAAP","Sort=A","Dates=H","DateFormat=P","Fill=—","Direction=H","UseDPDF=Y")</f>
        <v>—</v>
      </c>
      <c r="I32" s="19">
        <f>_xll.BDH("GILD US Equity","TRAIL_12M_FREE_CASH_FLOW_FIRM","FQ3 2020","FQ3 2020","Currency=USD","Period=FQ","BEST_FPERIOD_OVERRIDE=FQ","FILING_STATUS=MR","SCALING_FORMAT=MLN","FA_ADJUSTED=GAAP","Sort=A","Dates=H","DateFormat=P","Fill=—","Direction=H","UseDPDF=Y")</f>
        <v>8834.6241000000009</v>
      </c>
      <c r="J32" s="19">
        <f>_xll.BDH("GILD US Equity","TRAIL_12M_FREE_CASH_FLOW_FIRM","FQ4 2020","FQ4 2020","Currency=USD","Period=FQ","BEST_FPERIOD_OVERRIDE=FQ","FILING_STATUS=MR","SCALING_FORMAT=MLN","FA_ADJUSTED=GAAP","Sort=A","Dates=H","DateFormat=P","Fill=—","Direction=H","UseDPDF=Y")</f>
        <v>7570.4721</v>
      </c>
      <c r="K32" s="19">
        <f>_xll.BDH("GILD US Equity","TRAIL_12M_FREE_CASH_FLOW_FIRM","FQ1 2021","FQ1 2021","Currency=USD","Period=FQ","BEST_FPERIOD_OVERRIDE=FQ","FILING_STATUS=MR","SCALING_FORMAT=MLN","FA_ADJUSTED=GAAP","Sort=A","Dates=H","DateFormat=P","Fill=—","Direction=H","UseDPDF=Y")</f>
        <v>8839.4508000000005</v>
      </c>
      <c r="L32" s="19">
        <f>_xll.BDH("GILD US Equity","TRAIL_12M_FREE_CASH_FLOW_FIRM","FQ2 2021","FQ2 2021","Currency=USD","Period=FQ","BEST_FPERIOD_OVERRIDE=FQ","FILING_STATUS=MR","SCALING_FORMAT=MLN","FA_ADJUSTED=GAAP","Sort=A","Dates=H","DateFormat=P","Fill=—","Direction=H","UseDPDF=Y")</f>
        <v>9248.5143000000007</v>
      </c>
      <c r="M32" s="19">
        <f>_xll.BDH("GILD US Equity","TRAIL_12M_FREE_CASH_FLOW_FIRM","FQ3 2021","FQ3 2021","Currency=USD","Period=FQ","BEST_FPERIOD_OVERRIDE=FQ","FILING_STATUS=MR","SCALING_FORMAT=MLN","FA_ADJUSTED=GAAP","Sort=A","Dates=H","DateFormat=P","Fill=—","Direction=H","UseDPDF=Y")</f>
        <v>10304.2508</v>
      </c>
      <c r="N32" s="19">
        <f>_xll.BDH("GILD US Equity","TRAIL_12M_FREE_CASH_FLOW_FIRM","FQ4 2021","FQ4 2021","Currency=USD","Period=FQ","BEST_FPERIOD_OVERRIDE=FQ","FILING_STATUS=MR","SCALING_FORMAT=MLN","FA_ADJUSTED=GAAP","Sort=A","Dates=H","DateFormat=P","Fill=—","Direction=H","UseDPDF=Y")</f>
        <v>11554.8431</v>
      </c>
      <c r="O32" s="19">
        <f>_xll.BDH("GILD US Equity","TRAIL_12M_FREE_CASH_FLOW_FIRM","FQ1 2022","FQ1 2022","Currency=USD","Period=FQ","BEST_FPERIOD_OVERRIDE=FQ","FILING_STATUS=MR","SCALING_FORMAT=MLN","FA_ADJUSTED=GAAP","Sort=A","Dates=H","DateFormat=P","Fill=—","Direction=H","UseDPDF=Y")</f>
        <v>10705.330599999999</v>
      </c>
      <c r="P32" s="19">
        <f>_xll.BDH("GILD US Equity","TRAIL_12M_FREE_CASH_FLOW_FIRM","FQ2 2022","FQ2 2022","Currency=USD","Period=FQ","BEST_FPERIOD_OVERRIDE=FQ","FILING_STATUS=MR","SCALING_FORMAT=MLN","FA_ADJUSTED=GAAP","Sort=A","Dates=H","DateFormat=P","Fill=—","Direction=H","UseDPDF=Y")</f>
        <v>10131.9272</v>
      </c>
      <c r="Q32" s="19">
        <f>_xll.BDH("GILD US Equity","TRAIL_12M_FREE_CASH_FLOW_FIRM","FQ3 2022","FQ3 2022","Currency=USD","Period=FQ","BEST_FPERIOD_OVERRIDE=FQ","FILING_STATUS=MR","SCALING_FORMAT=MLN","FA_ADJUSTED=GAAP","Sort=A","Dates=H","DateFormat=P","Fill=—","Direction=H","UseDPDF=Y")</f>
        <v>9696.9213999999993</v>
      </c>
      <c r="R32" s="19">
        <f>_xll.BDH("GILD US Equity","TRAIL_12M_FREE_CASH_FLOW_FIRM","FQ4 2022","FQ4 2022","Currency=USD","Period=FQ","BEST_FPERIOD_OVERRIDE=FQ","FILING_STATUS=MR","SCALING_FORMAT=MLN","FA_ADJUSTED=GAAP","Sort=A","Dates=H","DateFormat=P","Fill=—","Direction=H","UseDPDF=Y")</f>
        <v>9079.0835999999999</v>
      </c>
      <c r="S32" s="19">
        <f>_xll.BDH("GILD US Equity","TRAIL_12M_FREE_CASH_FLOW_FIRM","FQ1 2023","FQ1 2023","Currency=USD","Period=FQ","BEST_FPERIOD_OVERRIDE=FQ","FILING_STATUS=MR","SCALING_FORMAT=MLN","FA_ADJUSTED=GAAP","Sort=A","Dates=H","DateFormat=P","Fill=—","Direction=H","UseDPDF=Y")</f>
        <v>9093.3030999999992</v>
      </c>
      <c r="T32" s="19">
        <f>_xll.BDH("GILD US Equity","TRAIL_12M_FREE_CASH_FLOW_FIRM","FQ2 2023","FQ2 2023","Currency=USD","Period=FQ","BEST_FPERIOD_OVERRIDE=FQ","FILING_STATUS=MR","SCALING_FORMAT=MLN","FA_ADJUSTED=GAAP","Sort=A","Dates=H","DateFormat=P","Fill=—","Direction=H","UseDPDF=Y")</f>
        <v>9604.1216000000004</v>
      </c>
      <c r="U32" s="19">
        <f>_xll.BDH("GILD US Equity","TRAIL_12M_FREE_CASH_FLOW_FIRM","FQ3 2023","FQ3 2023","Currency=USD","Period=FQ","BEST_FPERIOD_OVERRIDE=FQ","FILING_STATUS=MR","SCALING_FORMAT=MLN","FA_ADJUSTED=GAAP","Sort=A","Dates=H","DateFormat=P","Fill=—","Direction=H","UseDPDF=Y")</f>
        <v>8593.1010000000006</v>
      </c>
      <c r="V32" s="19">
        <f>_xll.BDH("GILD US Equity","TRAIL_12M_FREE_CASH_FLOW_FIRM","FQ4 2023","FQ4 2023","Currency=USD","Period=FQ","BEST_FPERIOD_OVERRIDE=FQ","FILING_STATUS=MR","SCALING_FORMAT=MLN","FA_ADJUSTED=GAAP","Sort=A","Dates=H","DateFormat=P","Fill=—","Direction=H","UseDPDF=Y")</f>
        <v>8193.4012000000002</v>
      </c>
      <c r="W32" s="19">
        <f>_xll.BDH("GILD US Equity","TRAIL_12M_FREE_CASH_FLOW_FIRM","FQ1 2024","FQ1 2024","Currency=USD","Period=FQ","BEST_FPERIOD_OVERRIDE=FQ","FILING_STATUS=MR","SCALING_FORMAT=MLN","FA_ADJUSTED=GAAP","Sort=A","Dates=H","DateFormat=P","Fill=—","Direction=H","UseDPDF=Y")</f>
        <v>8313.6983</v>
      </c>
      <c r="X32" s="19">
        <f>_xll.BDH("GILD US Equity","TRAIL_12M_FREE_CASH_FLOW_FIRM","FQ2 2024","FQ2 2024","Currency=USD","Period=FQ","BEST_FPERIOD_OVERRIDE=FQ","FILING_STATUS=MR","SCALING_FORMAT=MLN","FA_ADJUSTED=GAAP","Sort=A","Dates=H","DateFormat=P","Fill=—","Direction=H","UseDPDF=Y")</f>
        <v>7550.3963999999996</v>
      </c>
      <c r="Y32" s="19">
        <f>_xll.BDH("GILD US Equity","TRAIL_12M_FREE_CASH_FLOW_FIRM","FQ3 2024","FQ3 2024","Currency=USD","Period=FQ","BEST_FPERIOD_OVERRIDE=FQ","FILING_STATUS=MR","SCALING_FORMAT=MLN","FA_ADJUSTED=GAAP","Sort=A","Dates=H","DateFormat=P","Fill=—","Direction=H","UseDPDF=Y")</f>
        <v>10065.7727</v>
      </c>
      <c r="Z32" s="19">
        <f>_xll.BDH("GILD US Equity","TRAIL_12M_FREE_CASH_FLOW_FIRM","FQ4 2024","FQ4 2024","Currency=USD","Period=FQ","BEST_FPERIOD_OVERRIDE=FQ","FILING_STATUS=MR","SCALING_FORMAT=MLN","FA_ADJUSTED=GAAP","Sort=A","Dates=H","DateFormat=P","Fill=—","Direction=H","UseDPDF=Y")</f>
        <v>10982.974</v>
      </c>
      <c r="AA32" s="19"/>
    </row>
    <row r="33" spans="1:27" x14ac:dyDescent="0.25">
      <c r="A33" s="11" t="s">
        <v>1734</v>
      </c>
      <c r="B33" s="11" t="s">
        <v>69</v>
      </c>
      <c r="C33" s="25">
        <f>_xll.BDH("GILD US Equity","ENTERPRISE_VALUE","FQ1 2019","FQ1 2019","Currency=USD","Period=FQ","BEST_FPERIOD_OVERRIDE=FQ","FILING_STATUS=MR","SCALING_FORMAT=MLN","Sort=A","Dates=H","DateFormat=P","Fill=—","Direction=H","UseDPDF=Y")</f>
        <v>79919.740000000005</v>
      </c>
      <c r="D33" s="25">
        <f>_xll.BDH("GILD US Equity","ENTERPRISE_VALUE","FQ2 2019","FQ2 2019","Currency=USD","Period=FQ","BEST_FPERIOD_OVERRIDE=FQ","FILING_STATUS=MR","SCALING_FORMAT=MLN","Sort=A","Dates=H","DateFormat=P","Fill=—","Direction=H","UseDPDF=Y")</f>
        <v>82136.52</v>
      </c>
      <c r="E33" s="25">
        <f>_xll.BDH("GILD US Equity","ENTERPRISE_VALUE","FQ3 2019","FQ3 2019","Currency=USD","Period=FQ","BEST_FPERIOD_OVERRIDE=FQ","FILING_STATUS=MR","SCALING_FORMAT=MLN","Sort=A","Dates=H","DateFormat=P","Fill=—","Direction=H","UseDPDF=Y")</f>
        <v>80620.08</v>
      </c>
      <c r="F33" s="25">
        <f>_xll.BDH("GILD US Equity","ENTERPRISE_VALUE","FQ4 2019","FQ4 2019","Currency=USD","Period=FQ","BEST_FPERIOD_OVERRIDE=FQ","FILING_STATUS=MR","SCALING_FORMAT=MLN","Sort=A","Dates=H","DateFormat=P","Fill=—","Direction=H","UseDPDF=Y")</f>
        <v>81867.679999999993</v>
      </c>
      <c r="G33" s="25">
        <f>_xll.BDH("GILD US Equity","ENTERPRISE_VALUE","FQ1 2020","FQ1 2020","Currency=USD","Period=FQ","BEST_FPERIOD_OVERRIDE=FQ","FILING_STATUS=MR","SCALING_FORMAT=MLN","Sort=A","Dates=H","DateFormat=P","Fill=—","Direction=H","UseDPDF=Y")</f>
        <v>93644.04</v>
      </c>
      <c r="H33" s="25">
        <f>_xll.BDH("GILD US Equity","ENTERPRISE_VALUE","FQ2 2020","FQ2 2020","Currency=USD","Period=FQ","BEST_FPERIOD_OVERRIDE=FQ","FILING_STATUS=MR","SCALING_FORMAT=MLN","Sort=A","Dates=H","DateFormat=P","Fill=—","Direction=H","UseDPDF=Y")</f>
        <v>99509.759999999995</v>
      </c>
      <c r="I33" s="25">
        <f>_xll.BDH("GILD US Equity","ENTERPRISE_VALUE","FQ3 2020","FQ3 2020","Currency=USD","Period=FQ","BEST_FPERIOD_OVERRIDE=FQ","FILING_STATUS=MR","SCALING_FORMAT=MLN","Sort=A","Dates=H","DateFormat=P","Fill=—","Direction=H","UseDPDF=Y")</f>
        <v>82444.070000000007</v>
      </c>
      <c r="J33" s="25">
        <f>_xll.BDH("GILD US Equity","ENTERPRISE_VALUE","FQ4 2020","FQ4 2020","Currency=USD","Period=FQ","BEST_FPERIOD_OVERRIDE=FQ","FILING_STATUS=MR","SCALING_FORMAT=MLN","Sort=A","Dates=H","DateFormat=P","Fill=—","Direction=H","UseDPDF=Y")</f>
        <v>97284.04</v>
      </c>
      <c r="K33" s="25">
        <f>_xll.BDH("GILD US Equity","ENTERPRISE_VALUE","FQ1 2021","FQ1 2021","Currency=USD","Period=FQ","BEST_FPERIOD_OVERRIDE=FQ","FILING_STATUS=MR","SCALING_FORMAT=MLN","Sort=A","Dates=H","DateFormat=P","Fill=—","Direction=H","UseDPDF=Y")</f>
        <v>104979.02</v>
      </c>
      <c r="L33" s="25">
        <f>_xll.BDH("GILD US Equity","ENTERPRISE_VALUE","FQ2 2021","FQ2 2021","Currency=USD","Period=FQ","BEST_FPERIOD_OVERRIDE=FQ","FILING_STATUS=MR","SCALING_FORMAT=MLN","Sort=A","Dates=H","DateFormat=P","Fill=—","Direction=H","UseDPDF=Y")</f>
        <v>109171.44</v>
      </c>
      <c r="M33" s="25">
        <f>_xll.BDH("GILD US Equity","ENTERPRISE_VALUE","FQ3 2021","FQ3 2021","Currency=USD","Period=FQ","BEST_FPERIOD_OVERRIDE=FQ","FILING_STATUS=MR","SCALING_FORMAT=MLN","Sort=A","Dates=H","DateFormat=P","Fill=—","Direction=H","UseDPDF=Y")</f>
        <v>108511.75</v>
      </c>
      <c r="N33" s="25">
        <f>_xll.BDH("GILD US Equity","ENTERPRISE_VALUE","FQ4 2021","FQ4 2021","Currency=USD","Period=FQ","BEST_FPERIOD_OVERRIDE=FQ","FILING_STATUS=MR","SCALING_FORMAT=MLN","Sort=A","Dates=H","DateFormat=P","Fill=—","Direction=H","UseDPDF=Y")</f>
        <v>110503.94</v>
      </c>
      <c r="O33" s="25">
        <f>_xll.BDH("GILD US Equity","ENTERPRISE_VALUE","FQ1 2022","FQ1 2022","Currency=USD","Period=FQ","BEST_FPERIOD_OVERRIDE=FQ","FILING_STATUS=MR","SCALING_FORMAT=MLN","Sort=A","Dates=H","DateFormat=P","Fill=—","Direction=H","UseDPDF=Y")</f>
        <v>94053.75</v>
      </c>
      <c r="P33" s="25">
        <f>_xll.BDH("GILD US Equity","ENTERPRISE_VALUE","FQ2 2022","FQ2 2022","Currency=USD","Period=FQ","BEST_FPERIOD_OVERRIDE=FQ","FILING_STATUS=MR","SCALING_FORMAT=MLN","Sort=A","Dates=H","DateFormat=P","Fill=—","Direction=H","UseDPDF=Y")</f>
        <v>96704.74</v>
      </c>
      <c r="Q33" s="25">
        <f>_xll.BDH("GILD US Equity","ENTERPRISE_VALUE","FQ3 2022","FQ3 2022","Currency=USD","Period=FQ","BEST_FPERIOD_OVERRIDE=FQ","FILING_STATUS=MR","SCALING_FORMAT=MLN","Sort=A","Dates=H","DateFormat=P","Fill=—","Direction=H","UseDPDF=Y")</f>
        <v>95616.26</v>
      </c>
      <c r="R33" s="25">
        <f>_xll.BDH("GILD US Equity","ENTERPRISE_VALUE","FQ4 2022","FQ4 2022","Currency=USD","Period=FQ","BEST_FPERIOD_OVERRIDE=FQ","FILING_STATUS=MR","SCALING_FORMAT=MLN","Sort=A","Dates=H","DateFormat=P","Fill=—","Direction=H","UseDPDF=Y")</f>
        <v>125201.95</v>
      </c>
      <c r="S33" s="25">
        <f>_xll.BDH("GILD US Equity","ENTERPRISE_VALUE","FQ1 2023","FQ1 2023","Currency=USD","Period=FQ","BEST_FPERIOD_OVERRIDE=FQ","FILING_STATUS=MR","SCALING_FORMAT=MLN","Sort=A","Dates=H","DateFormat=P","Fill=—","Direction=H","UseDPDF=Y")</f>
        <v>121528.56</v>
      </c>
      <c r="T33" s="25">
        <f>_xll.BDH("GILD US Equity","ENTERPRISE_VALUE","FQ2 2023","FQ2 2023","Currency=USD","Period=FQ","BEST_FPERIOD_OVERRIDE=FQ","FILING_STATUS=MR","SCALING_FORMAT=MLN","Sort=A","Dates=H","DateFormat=P","Fill=—","Direction=H","UseDPDF=Y")</f>
        <v>113287.29</v>
      </c>
      <c r="U33" s="25">
        <f>_xll.BDH("GILD US Equity","ENTERPRISE_VALUE","FQ3 2023","FQ3 2023","Currency=USD","Period=FQ","BEST_FPERIOD_OVERRIDE=FQ","FILING_STATUS=MR","SCALING_FORMAT=MLN","Sort=A","Dates=H","DateFormat=P","Fill=—","Direction=H","UseDPDF=Y")</f>
        <v>110340.18</v>
      </c>
      <c r="V33" s="25">
        <f>_xll.BDH("GILD US Equity","ENTERPRISE_VALUE","FQ4 2023","FQ4 2023","Currency=USD","Period=FQ","BEST_FPERIOD_OVERRIDE=FQ","FILING_STATUS=MR","SCALING_FORMAT=MLN","Sort=A","Dates=H","DateFormat=P","Fill=—","Direction=H","UseDPDF=Y")</f>
        <v>118085.46</v>
      </c>
      <c r="W33" s="25">
        <f>_xll.BDH("GILD US Equity","ENTERPRISE_VALUE","FQ1 2024","FQ1 2024","Currency=USD","Period=FQ","BEST_FPERIOD_OVERRIDE=FQ","FILING_STATUS=MR","SCALING_FORMAT=MLN","Sort=A","Dates=H","DateFormat=P","Fill=—","Direction=H","UseDPDF=Y")</f>
        <v>111661.5</v>
      </c>
      <c r="X33" s="25">
        <f>_xll.BDH("GILD US Equity","ENTERPRISE_VALUE","FQ2 2024","FQ2 2024","Currency=USD","Period=FQ","BEST_FPERIOD_OVERRIDE=FQ","FILING_STATUS=MR","SCALING_FORMAT=MLN","Sort=A","Dates=H","DateFormat=P","Fill=—","Direction=H","UseDPDF=Y")</f>
        <v>105982.06</v>
      </c>
      <c r="Y33" s="25">
        <f>_xll.BDH("GILD US Equity","ENTERPRISE_VALUE","FQ3 2024","FQ3 2024","Currency=USD","Period=FQ","BEST_FPERIOD_OVERRIDE=FQ","FILING_STATUS=MR","SCALING_FORMAT=MLN","Sort=A","Dates=H","DateFormat=P","Fill=—","Direction=H","UseDPDF=Y")</f>
        <v>122592.64</v>
      </c>
      <c r="Z33" s="25">
        <f>_xll.BDH("GILD US Equity","ENTERPRISE_VALUE","FQ4 2024","FQ4 2024","Currency=USD","Period=FQ","BEST_FPERIOD_OVERRIDE=FQ","FILING_STATUS=MR","SCALING_FORMAT=MLN","Sort=A","Dates=H","DateFormat=P","Fill=—","Direction=H","UseDPDF=Y")</f>
        <v>132340.01999999999</v>
      </c>
      <c r="AA33" s="25"/>
    </row>
    <row r="34" spans="1:27" x14ac:dyDescent="0.25">
      <c r="A34" s="6" t="s">
        <v>1735</v>
      </c>
      <c r="B34" s="6" t="s">
        <v>1736</v>
      </c>
      <c r="C34" s="20">
        <f>_xll.BDH("GILD US Equity","T12M_FCF_TO_FIRM_YIELD","FQ1 2019","FQ1 2019","Currency=USD","Period=FQ","BEST_FPERIOD_OVERRIDE=FQ","FILING_STATUS=MR","FA_ADJUSTED=GAAP","Sort=A","Dates=H","DateFormat=P","Fill=—","Direction=H","UseDPDF=Y")</f>
        <v>9.3413000000000004</v>
      </c>
      <c r="D34" s="20">
        <f>_xll.BDH("GILD US Equity","T12M_FCF_TO_FIRM_YIELD","FQ2 2019","FQ2 2019","Currency=USD","Period=FQ","BEST_FPERIOD_OVERRIDE=FQ","FILING_STATUS=MR","FA_ADJUSTED=GAAP","Sort=A","Dates=H","DateFormat=P","Fill=—","Direction=H","UseDPDF=Y")</f>
        <v>10.053599999999999</v>
      </c>
      <c r="E34" s="20">
        <f>_xll.BDH("GILD US Equity","T12M_FCF_TO_FIRM_YIELD","FQ3 2019","FQ3 2019","Currency=USD","Period=FQ","BEST_FPERIOD_OVERRIDE=FQ","FILING_STATUS=MR","FA_ADJUSTED=GAAP","Sort=A","Dates=H","DateFormat=P","Fill=—","Direction=H","UseDPDF=Y")</f>
        <v>10.990399999999999</v>
      </c>
      <c r="F34" s="20" t="str">
        <f>_xll.BDH("GILD US Equity","T12M_FCF_TO_FIRM_YIELD","FQ4 2019","FQ4 2019","Currency=USD","Period=FQ","BEST_FPERIOD_OVERRIDE=FQ","FILING_STATUS=MR","FA_ADJUSTED=GAAP","Sort=A","Dates=H","DateFormat=P","Fill=—","Direction=H","UseDPDF=Y")</f>
        <v>—</v>
      </c>
      <c r="G34" s="20" t="str">
        <f>_xll.BDH("GILD US Equity","T12M_FCF_TO_FIRM_YIELD","FQ1 2020","FQ1 2020","Currency=USD","Period=FQ","BEST_FPERIOD_OVERRIDE=FQ","FILING_STATUS=MR","FA_ADJUSTED=GAAP","Sort=A","Dates=H","DateFormat=P","Fill=—","Direction=H","UseDPDF=Y")</f>
        <v>—</v>
      </c>
      <c r="H34" s="20" t="str">
        <f>_xll.BDH("GILD US Equity","T12M_FCF_TO_FIRM_YIELD","FQ2 2020","FQ2 2020","Currency=USD","Period=FQ","BEST_FPERIOD_OVERRIDE=FQ","FILING_STATUS=MR","FA_ADJUSTED=GAAP","Sort=A","Dates=H","DateFormat=P","Fill=—","Direction=H","UseDPDF=Y")</f>
        <v>—</v>
      </c>
      <c r="I34" s="20">
        <f>_xll.BDH("GILD US Equity","T12M_FCF_TO_FIRM_YIELD","FQ3 2020","FQ3 2020","Currency=USD","Period=FQ","BEST_FPERIOD_OVERRIDE=FQ","FILING_STATUS=MR","FA_ADJUSTED=GAAP","Sort=A","Dates=H","DateFormat=P","Fill=—","Direction=H","UseDPDF=Y")</f>
        <v>10.7159</v>
      </c>
      <c r="J34" s="20">
        <f>_xll.BDH("GILD US Equity","T12M_FCF_TO_FIRM_YIELD","FQ4 2020","FQ4 2020","Currency=USD","Period=FQ","BEST_FPERIOD_OVERRIDE=FQ","FILING_STATUS=MR","FA_ADJUSTED=GAAP","Sort=A","Dates=H","DateFormat=P","Fill=—","Direction=H","UseDPDF=Y")</f>
        <v>7.7817999999999996</v>
      </c>
      <c r="K34" s="20">
        <f>_xll.BDH("GILD US Equity","T12M_FCF_TO_FIRM_YIELD","FQ1 2021","FQ1 2021","Currency=USD","Period=FQ","BEST_FPERIOD_OVERRIDE=FQ","FILING_STATUS=MR","FA_ADJUSTED=GAAP","Sort=A","Dates=H","DateFormat=P","Fill=—","Direction=H","UseDPDF=Y")</f>
        <v>8.4201999999999995</v>
      </c>
      <c r="L34" s="20">
        <f>_xll.BDH("GILD US Equity","T12M_FCF_TO_FIRM_YIELD","FQ2 2021","FQ2 2021","Currency=USD","Period=FQ","BEST_FPERIOD_OVERRIDE=FQ","FILING_STATUS=MR","FA_ADJUSTED=GAAP","Sort=A","Dates=H","DateFormat=P","Fill=—","Direction=H","UseDPDF=Y")</f>
        <v>8.4716000000000005</v>
      </c>
      <c r="M34" s="20">
        <f>_xll.BDH("GILD US Equity","T12M_FCF_TO_FIRM_YIELD","FQ3 2021","FQ3 2021","Currency=USD","Period=FQ","BEST_FPERIOD_OVERRIDE=FQ","FILING_STATUS=MR","FA_ADJUSTED=GAAP","Sort=A","Dates=H","DateFormat=P","Fill=—","Direction=H","UseDPDF=Y")</f>
        <v>9.4960000000000004</v>
      </c>
      <c r="N34" s="20">
        <f>_xll.BDH("GILD US Equity","T12M_FCF_TO_FIRM_YIELD","FQ4 2021","FQ4 2021","Currency=USD","Period=FQ","BEST_FPERIOD_OVERRIDE=FQ","FILING_STATUS=MR","FA_ADJUSTED=GAAP","Sort=A","Dates=H","DateFormat=P","Fill=—","Direction=H","UseDPDF=Y")</f>
        <v>10.4565</v>
      </c>
      <c r="O34" s="20">
        <f>_xll.BDH("GILD US Equity","T12M_FCF_TO_FIRM_YIELD","FQ1 2022","FQ1 2022","Currency=USD","Period=FQ","BEST_FPERIOD_OVERRIDE=FQ","FILING_STATUS=MR","FA_ADJUSTED=GAAP","Sort=A","Dates=H","DateFormat=P","Fill=—","Direction=H","UseDPDF=Y")</f>
        <v>11.382099999999999</v>
      </c>
      <c r="P34" s="20">
        <f>_xll.BDH("GILD US Equity","T12M_FCF_TO_FIRM_YIELD","FQ2 2022","FQ2 2022","Currency=USD","Period=FQ","BEST_FPERIOD_OVERRIDE=FQ","FILING_STATUS=MR","FA_ADJUSTED=GAAP","Sort=A","Dates=H","DateFormat=P","Fill=—","Direction=H","UseDPDF=Y")</f>
        <v>10.4772</v>
      </c>
      <c r="Q34" s="20">
        <f>_xll.BDH("GILD US Equity","T12M_FCF_TO_FIRM_YIELD","FQ3 2022","FQ3 2022","Currency=USD","Period=FQ","BEST_FPERIOD_OVERRIDE=FQ","FILING_STATUS=MR","FA_ADJUSTED=GAAP","Sort=A","Dates=H","DateFormat=P","Fill=—","Direction=H","UseDPDF=Y")</f>
        <v>10.141500000000001</v>
      </c>
      <c r="R34" s="20">
        <f>_xll.BDH("GILD US Equity","T12M_FCF_TO_FIRM_YIELD","FQ4 2022","FQ4 2022","Currency=USD","Period=FQ","BEST_FPERIOD_OVERRIDE=FQ","FILING_STATUS=MR","FA_ADJUSTED=GAAP","Sort=A","Dates=H","DateFormat=P","Fill=—","Direction=H","UseDPDF=Y")</f>
        <v>7.2515999999999998</v>
      </c>
      <c r="S34" s="20">
        <f>_xll.BDH("GILD US Equity","T12M_FCF_TO_FIRM_YIELD","FQ1 2023","FQ1 2023","Currency=USD","Period=FQ","BEST_FPERIOD_OVERRIDE=FQ","FILING_STATUS=MR","FA_ADJUSTED=GAAP","Sort=A","Dates=H","DateFormat=P","Fill=—","Direction=H","UseDPDF=Y")</f>
        <v>7.4824000000000002</v>
      </c>
      <c r="T34" s="20">
        <f>_xll.BDH("GILD US Equity","T12M_FCF_TO_FIRM_YIELD","FQ2 2023","FQ2 2023","Currency=USD","Period=FQ","BEST_FPERIOD_OVERRIDE=FQ","FILING_STATUS=MR","FA_ADJUSTED=GAAP","Sort=A","Dates=H","DateFormat=P","Fill=—","Direction=H","UseDPDF=Y")</f>
        <v>8.4777000000000005</v>
      </c>
      <c r="U34" s="20">
        <f>_xll.BDH("GILD US Equity","T12M_FCF_TO_FIRM_YIELD","FQ3 2023","FQ3 2023","Currency=USD","Period=FQ","BEST_FPERIOD_OVERRIDE=FQ","FILING_STATUS=MR","FA_ADJUSTED=GAAP","Sort=A","Dates=H","DateFormat=P","Fill=—","Direction=H","UseDPDF=Y")</f>
        <v>7.7877999999999998</v>
      </c>
      <c r="V34" s="20">
        <f>_xll.BDH("GILD US Equity","T12M_FCF_TO_FIRM_YIELD","FQ4 2023","FQ4 2023","Currency=USD","Period=FQ","BEST_FPERIOD_OVERRIDE=FQ","FILING_STATUS=MR","FA_ADJUSTED=GAAP","Sort=A","Dates=H","DateFormat=P","Fill=—","Direction=H","UseDPDF=Y")</f>
        <v>6.9385000000000003</v>
      </c>
      <c r="W34" s="20">
        <f>_xll.BDH("GILD US Equity","T12M_FCF_TO_FIRM_YIELD","FQ1 2024","FQ1 2024","Currency=USD","Period=FQ","BEST_FPERIOD_OVERRIDE=FQ","FILING_STATUS=MR","FA_ADJUSTED=GAAP","Sort=A","Dates=H","DateFormat=P","Fill=—","Direction=H","UseDPDF=Y")</f>
        <v>7.4454000000000002</v>
      </c>
      <c r="X34" s="20">
        <f>_xll.BDH("GILD US Equity","T12M_FCF_TO_FIRM_YIELD","FQ2 2024","FQ2 2024","Currency=USD","Period=FQ","BEST_FPERIOD_OVERRIDE=FQ","FILING_STATUS=MR","FA_ADJUSTED=GAAP","Sort=A","Dates=H","DateFormat=P","Fill=—","Direction=H","UseDPDF=Y")</f>
        <v>7.1242000000000001</v>
      </c>
      <c r="Y34" s="20">
        <f>_xll.BDH("GILD US Equity","T12M_FCF_TO_FIRM_YIELD","FQ3 2024","FQ3 2024","Currency=USD","Period=FQ","BEST_FPERIOD_OVERRIDE=FQ","FILING_STATUS=MR","FA_ADJUSTED=GAAP","Sort=A","Dates=H","DateFormat=P","Fill=—","Direction=H","UseDPDF=Y")</f>
        <v>8.2106999999999992</v>
      </c>
      <c r="Z34" s="20">
        <f>_xll.BDH("GILD US Equity","T12M_FCF_TO_FIRM_YIELD","FQ4 2024","FQ4 2024","Currency=USD","Period=FQ","BEST_FPERIOD_OVERRIDE=FQ","FILING_STATUS=MR","FA_ADJUSTED=GAAP","Sort=A","Dates=H","DateFormat=P","Fill=—","Direction=H","UseDPDF=Y")</f>
        <v>8.2990999999999993</v>
      </c>
      <c r="AA34" s="20"/>
    </row>
    <row r="35" spans="1:27" x14ac:dyDescent="0.25">
      <c r="A35" s="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 x14ac:dyDescent="0.25">
      <c r="A36" s="10" t="s">
        <v>1724</v>
      </c>
      <c r="B36" s="10" t="s">
        <v>1712</v>
      </c>
      <c r="C36" s="13">
        <f>_xll.BDH("GILD US Equity","T12M_DVDS_PAID","FQ1 2019","FQ1 2019","Currency=USD","Period=FQ","BEST_FPERIOD_OVERRIDE=FQ","FILING_STATUS=MR","SCALING_FORMAT=MLN","Sort=A","Dates=H","DateFormat=P","Fill=—","Direction=H","UseDPDF=Y")</f>
        <v>-3035</v>
      </c>
      <c r="D36" s="13">
        <f>_xll.BDH("GILD US Equity","T12M_DVDS_PAID","FQ2 2019","FQ2 2019","Currency=USD","Period=FQ","BEST_FPERIOD_OVERRIDE=FQ","FILING_STATUS=MR","SCALING_FORMAT=MLN","Sort=A","Dates=H","DateFormat=P","Fill=—","Direction=H","UseDPDF=Y")</f>
        <v>-3095</v>
      </c>
      <c r="E36" s="13">
        <f>_xll.BDH("GILD US Equity","T12M_DVDS_PAID","FQ3 2019","FQ3 2019","Currency=USD","Period=FQ","BEST_FPERIOD_OVERRIDE=FQ","FILING_STATUS=MR","SCALING_FORMAT=MLN","Sort=A","Dates=H","DateFormat=P","Fill=—","Direction=H","UseDPDF=Y")</f>
        <v>-3157</v>
      </c>
      <c r="F36" s="13">
        <f>_xll.BDH("GILD US Equity","T12M_DVDS_PAID","FQ4 2019","FQ4 2019","Currency=USD","Period=FQ","BEST_FPERIOD_OVERRIDE=FQ","FILING_STATUS=MR","SCALING_FORMAT=MLN","Sort=A","Dates=H","DateFormat=P","Fill=—","Direction=H","UseDPDF=Y")</f>
        <v>-3222</v>
      </c>
      <c r="G36" s="13">
        <f>_xll.BDH("GILD US Equity","T12M_DVDS_PAID","FQ1 2020","FQ1 2020","Currency=USD","Period=FQ","BEST_FPERIOD_OVERRIDE=FQ","FILING_STATUS=MR","SCALING_FORMAT=MLN","Sort=A","Dates=H","DateFormat=P","Fill=—","Direction=H","UseDPDF=Y")</f>
        <v>-3279</v>
      </c>
      <c r="H36" s="13">
        <f>_xll.BDH("GILD US Equity","T12M_DVDS_PAID","FQ2 2020","FQ2 2020","Currency=USD","Period=FQ","BEST_FPERIOD_OVERRIDE=FQ","FILING_STATUS=MR","SCALING_FORMAT=MLN","Sort=A","Dates=H","DateFormat=P","Fill=—","Direction=H","UseDPDF=Y")</f>
        <v>-3335</v>
      </c>
      <c r="I36" s="13">
        <f>_xll.BDH("GILD US Equity","T12M_DVDS_PAID","FQ3 2020","FQ3 2020","Currency=USD","Period=FQ","BEST_FPERIOD_OVERRIDE=FQ","FILING_STATUS=MR","SCALING_FORMAT=MLN","Sort=A","Dates=H","DateFormat=P","Fill=—","Direction=H","UseDPDF=Y")</f>
        <v>-3392</v>
      </c>
      <c r="J36" s="13">
        <f>_xll.BDH("GILD US Equity","T12M_DVDS_PAID","FQ4 2020","FQ4 2020","Currency=USD","Period=FQ","BEST_FPERIOD_OVERRIDE=FQ","FILING_STATUS=MR","SCALING_FORMAT=MLN","Sort=A","Dates=H","DateFormat=P","Fill=—","Direction=H","UseDPDF=Y")</f>
        <v>-3449</v>
      </c>
      <c r="K36" s="13">
        <f>_xll.BDH("GILD US Equity","T12M_DVDS_PAID","FQ1 2021","FQ1 2021","Currency=USD","Period=FQ","BEST_FPERIOD_OVERRIDE=FQ","FILING_STATUS=MR","SCALING_FORMAT=MLN","Sort=A","Dates=H","DateFormat=P","Fill=—","Direction=H","UseDPDF=Y")</f>
        <v>-3492</v>
      </c>
      <c r="L36" s="13">
        <f>_xll.BDH("GILD US Equity","T12M_DVDS_PAID","FQ2 2021","FQ2 2021","Currency=USD","Period=FQ","BEST_FPERIOD_OVERRIDE=FQ","FILING_STATUS=MR","SCALING_FORMAT=MLN","Sort=A","Dates=H","DateFormat=P","Fill=—","Direction=H","UseDPDF=Y")</f>
        <v>-3530</v>
      </c>
      <c r="M36" s="13">
        <f>_xll.BDH("GILD US Equity","T12M_DVDS_PAID","FQ3 2021","FQ3 2021","Currency=USD","Period=FQ","BEST_FPERIOD_OVERRIDE=FQ","FILING_STATUS=MR","SCALING_FORMAT=MLN","Sort=A","Dates=H","DateFormat=P","Fill=—","Direction=H","UseDPDF=Y")</f>
        <v>-3569</v>
      </c>
      <c r="N36" s="13">
        <f>_xll.BDH("GILD US Equity","T12M_DVDS_PAID","FQ4 2021","FQ4 2021","Currency=USD","Period=FQ","BEST_FPERIOD_OVERRIDE=FQ","FILING_STATUS=MR","SCALING_FORMAT=MLN","Sort=A","Dates=H","DateFormat=P","Fill=—","Direction=H","UseDPDF=Y")</f>
        <v>-3605</v>
      </c>
      <c r="O36" s="13">
        <f>_xll.BDH("GILD US Equity","T12M_DVDS_PAID","FQ1 2022","FQ1 2022","Currency=USD","Period=FQ","BEST_FPERIOD_OVERRIDE=FQ","FILING_STATUS=MR","SCALING_FORMAT=MLN","Sort=A","Dates=H","DateFormat=P","Fill=—","Direction=H","UseDPDF=Y")</f>
        <v>-3633</v>
      </c>
      <c r="P36" s="13">
        <f>_xll.BDH("GILD US Equity","T12M_DVDS_PAID","FQ2 2022","FQ2 2022","Currency=USD","Period=FQ","BEST_FPERIOD_OVERRIDE=FQ","FILING_STATUS=MR","SCALING_FORMAT=MLN","Sort=A","Dates=H","DateFormat=P","Fill=—","Direction=H","UseDPDF=Y")</f>
        <v>-3659</v>
      </c>
      <c r="Q36" s="13">
        <f>_xll.BDH("GILD US Equity","T12M_DVDS_PAID","FQ3 2022","FQ3 2022","Currency=USD","Period=FQ","BEST_FPERIOD_OVERRIDE=FQ","FILING_STATUS=MR","SCALING_FORMAT=MLN","Sort=A","Dates=H","DateFormat=P","Fill=—","Direction=H","UseDPDF=Y")</f>
        <v>-3688</v>
      </c>
      <c r="R36" s="13">
        <f>_xll.BDH("GILD US Equity","T12M_DVDS_PAID","FQ4 2022","FQ4 2022","Currency=USD","Period=FQ","BEST_FPERIOD_OVERRIDE=FQ","FILING_STATUS=MR","SCALING_FORMAT=MLN","Sort=A","Dates=H","DateFormat=P","Fill=—","Direction=H","UseDPDF=Y")</f>
        <v>-3709</v>
      </c>
      <c r="S36" s="13">
        <f>_xll.BDH("GILD US Equity","T12M_DVDS_PAID","FQ1 2023","FQ1 2023","Currency=USD","Period=FQ","BEST_FPERIOD_OVERRIDE=FQ","FILING_STATUS=MR","SCALING_FORMAT=MLN","Sort=A","Dates=H","DateFormat=P","Fill=—","Direction=H","UseDPDF=Y")</f>
        <v>-3733</v>
      </c>
      <c r="T36" s="13">
        <f>_xll.BDH("GILD US Equity","T12M_DVDS_PAID","FQ2 2023","FQ2 2023","Currency=USD","Period=FQ","BEST_FPERIOD_OVERRIDE=FQ","FILING_STATUS=MR","SCALING_FORMAT=MLN","Sort=A","Dates=H","DateFormat=P","Fill=—","Direction=H","UseDPDF=Y")</f>
        <v>-3757</v>
      </c>
      <c r="U36" s="13">
        <f>_xll.BDH("GILD US Equity","T12M_DVDS_PAID","FQ3 2023","FQ3 2023","Currency=USD","Period=FQ","BEST_FPERIOD_OVERRIDE=FQ","FILING_STATUS=MR","SCALING_FORMAT=MLN","Sort=A","Dates=H","DateFormat=P","Fill=—","Direction=H","UseDPDF=Y")</f>
        <v>-3781</v>
      </c>
      <c r="V36" s="13">
        <f>_xll.BDH("GILD US Equity","T12M_DVDS_PAID","FQ4 2023","FQ4 2023","Currency=USD","Period=FQ","BEST_FPERIOD_OVERRIDE=FQ","FILING_STATUS=MR","SCALING_FORMAT=MLN","Sort=A","Dates=H","DateFormat=P","Fill=—","Direction=H","UseDPDF=Y")</f>
        <v>-3809</v>
      </c>
      <c r="W36" s="13">
        <f>_xll.BDH("GILD US Equity","T12M_DVDS_PAID","FQ1 2024","FQ1 2024","Currency=USD","Period=FQ","BEST_FPERIOD_OVERRIDE=FQ","FILING_STATUS=MR","SCALING_FORMAT=MLN","Sort=A","Dates=H","DateFormat=P","Fill=—","Direction=H","UseDPDF=Y")</f>
        <v>-3830</v>
      </c>
      <c r="X36" s="13">
        <f>_xll.BDH("GILD US Equity","T12M_DVDS_PAID","FQ2 2024","FQ2 2024","Currency=USD","Period=FQ","BEST_FPERIOD_OVERRIDE=FQ","FILING_STATUS=MR","SCALING_FORMAT=MLN","Sort=A","Dates=H","DateFormat=P","Fill=—","Direction=H","UseDPDF=Y")</f>
        <v>-3858</v>
      </c>
      <c r="Y36" s="13">
        <f>_xll.BDH("GILD US Equity","T12M_DVDS_PAID","FQ3 2024","FQ3 2024","Currency=USD","Period=FQ","BEST_FPERIOD_OVERRIDE=FQ","FILING_STATUS=MR","SCALING_FORMAT=MLN","Sort=A","Dates=H","DateFormat=P","Fill=—","Direction=H","UseDPDF=Y")</f>
        <v>-3888</v>
      </c>
      <c r="Z36" s="13">
        <f>_xll.BDH("GILD US Equity","T12M_DVDS_PAID","FQ4 2024","FQ4 2024","Currency=USD","Period=FQ","BEST_FPERIOD_OVERRIDE=FQ","FILING_STATUS=MR","SCALING_FORMAT=MLN","Sort=A","Dates=H","DateFormat=P","Fill=—","Direction=H","UseDPDF=Y")</f>
        <v>-3918</v>
      </c>
      <c r="AA36" s="13"/>
    </row>
    <row r="37" spans="1:27" x14ac:dyDescent="0.25">
      <c r="A37" s="10" t="s">
        <v>1725</v>
      </c>
      <c r="B37" s="10" t="s">
        <v>1714</v>
      </c>
      <c r="C37" s="13">
        <f>_xll.BDH("GILD US Equity","T12M_NET_CAPITAL_STOCK","FQ1 2019","FQ1 2019","Currency=USD","Period=FQ","BEST_FPERIOD_OVERRIDE=FQ","FILING_STATUS=MR","SCALING_FORMAT=MLN","Sort=A","Dates=H","DateFormat=P","Fill=—","Direction=H","UseDPDF=Y")</f>
        <v>-2414</v>
      </c>
      <c r="D37" s="13">
        <f>_xll.BDH("GILD US Equity","T12M_NET_CAPITAL_STOCK","FQ2 2019","FQ2 2019","Currency=USD","Period=FQ","BEST_FPERIOD_OVERRIDE=FQ","FILING_STATUS=MR","SCALING_FORMAT=MLN","Sort=A","Dates=H","DateFormat=P","Fill=—","Direction=H","UseDPDF=Y")</f>
        <v>-2562</v>
      </c>
      <c r="E37" s="13">
        <f>_xll.BDH("GILD US Equity","T12M_NET_CAPITAL_STOCK","FQ3 2019","FQ3 2019","Currency=USD","Period=FQ","BEST_FPERIOD_OVERRIDE=FQ","FILING_STATUS=MR","SCALING_FORMAT=MLN","Sort=A","Dates=H","DateFormat=P","Fill=—","Direction=H","UseDPDF=Y")</f>
        <v>-2374</v>
      </c>
      <c r="F37" s="13">
        <f>_xll.BDH("GILD US Equity","T12M_NET_CAPITAL_STOCK","FQ4 2019","FQ4 2019","Currency=USD","Period=FQ","BEST_FPERIOD_OVERRIDE=FQ","FILING_STATUS=MR","SCALING_FORMAT=MLN","Sort=A","Dates=H","DateFormat=P","Fill=—","Direction=H","UseDPDF=Y")</f>
        <v>-1540</v>
      </c>
      <c r="G37" s="13">
        <f>_xll.BDH("GILD US Equity","T12M_NET_CAPITAL_STOCK","FQ1 2020","FQ1 2020","Currency=USD","Period=FQ","BEST_FPERIOD_OVERRIDE=FQ","FILING_STATUS=MR","SCALING_FORMAT=MLN","Sort=A","Dates=H","DateFormat=P","Fill=—","Direction=H","UseDPDF=Y")</f>
        <v>-1960</v>
      </c>
      <c r="H37" s="13">
        <f>_xll.BDH("GILD US Equity","T12M_NET_CAPITAL_STOCK","FQ2 2020","FQ2 2020","Currency=USD","Period=FQ","BEST_FPERIOD_OVERRIDE=FQ","FILING_STATUS=MR","SCALING_FORMAT=MLN","Sort=A","Dates=H","DateFormat=P","Fill=—","Direction=H","UseDPDF=Y")</f>
        <v>-1429</v>
      </c>
      <c r="I37" s="13">
        <f>_xll.BDH("GILD US Equity","T12M_NET_CAPITAL_STOCK","FQ3 2020","FQ3 2020","Currency=USD","Period=FQ","BEST_FPERIOD_OVERRIDE=FQ","FILING_STATUS=MR","SCALING_FORMAT=MLN","Sort=A","Dates=H","DateFormat=P","Fill=—","Direction=H","UseDPDF=Y")</f>
        <v>-1413</v>
      </c>
      <c r="J37" s="13">
        <f>_xll.BDH("GILD US Equity","T12M_NET_CAPITAL_STOCK","FQ4 2020","FQ4 2020","Currency=USD","Period=FQ","BEST_FPERIOD_OVERRIDE=FQ","FILING_STATUS=MR","SCALING_FORMAT=MLN","Sort=A","Dates=H","DateFormat=P","Fill=—","Direction=H","UseDPDF=Y")</f>
        <v>-1327</v>
      </c>
      <c r="K37" s="13">
        <f>_xll.BDH("GILD US Equity","T12M_NET_CAPITAL_STOCK","FQ1 2021","FQ1 2021","Currency=USD","Period=FQ","BEST_FPERIOD_OVERRIDE=FQ","FILING_STATUS=MR","SCALING_FORMAT=MLN","Sort=A","Dates=H","DateFormat=P","Fill=—","Direction=H","UseDPDF=Y")</f>
        <v>-397</v>
      </c>
      <c r="L37" s="13">
        <f>_xll.BDH("GILD US Equity","T12M_NET_CAPITAL_STOCK","FQ2 2021","FQ2 2021","Currency=USD","Period=FQ","BEST_FPERIOD_OVERRIDE=FQ","FILING_STATUS=MR","SCALING_FORMAT=MLN","Sort=A","Dates=H","DateFormat=P","Fill=—","Direction=H","UseDPDF=Y")</f>
        <v>-409</v>
      </c>
      <c r="M37" s="13">
        <f>_xll.BDH("GILD US Equity","T12M_NET_CAPITAL_STOCK","FQ3 2021","FQ3 2021","Currency=USD","Period=FQ","BEST_FPERIOD_OVERRIDE=FQ","FILING_STATUS=MR","SCALING_FORMAT=MLN","Sort=A","Dates=H","DateFormat=P","Fill=—","Direction=H","UseDPDF=Y")</f>
        <v>-332</v>
      </c>
      <c r="N37" s="13">
        <f>_xll.BDH("GILD US Equity","T12M_NET_CAPITAL_STOCK","FQ4 2021","FQ4 2021","Currency=USD","Period=FQ","BEST_FPERIOD_OVERRIDE=FQ","FILING_STATUS=MR","SCALING_FORMAT=MLN","Sort=A","Dates=H","DateFormat=P","Fill=—","Direction=H","UseDPDF=Y")</f>
        <v>-377</v>
      </c>
      <c r="O37" s="13">
        <f>_xll.BDH("GILD US Equity","T12M_NET_CAPITAL_STOCK","FQ1 2022","FQ1 2022","Currency=USD","Period=FQ","BEST_FPERIOD_OVERRIDE=FQ","FILING_STATUS=MR","SCALING_FORMAT=MLN","Sort=A","Dates=H","DateFormat=P","Fill=—","Direction=H","UseDPDF=Y")</f>
        <v>-414</v>
      </c>
      <c r="P37" s="13">
        <f>_xll.BDH("GILD US Equity","T12M_NET_CAPITAL_STOCK","FQ2 2022","FQ2 2022","Currency=USD","Period=FQ","BEST_FPERIOD_OVERRIDE=FQ","FILING_STATUS=MR","SCALING_FORMAT=MLN","Sort=A","Dates=H","DateFormat=P","Fill=—","Direction=H","UseDPDF=Y")</f>
        <v>-452</v>
      </c>
      <c r="Q37" s="13">
        <f>_xll.BDH("GILD US Equity","T12M_NET_CAPITAL_STOCK","FQ3 2022","FQ3 2022","Currency=USD","Period=FQ","BEST_FPERIOD_OVERRIDE=FQ","FILING_STATUS=MR","SCALING_FORMAT=MLN","Sort=A","Dates=H","DateFormat=P","Fill=—","Direction=H","UseDPDF=Y")</f>
        <v>-508</v>
      </c>
      <c r="R37" s="13">
        <f>_xll.BDH("GILD US Equity","T12M_NET_CAPITAL_STOCK","FQ4 2022","FQ4 2022","Currency=USD","Period=FQ","BEST_FPERIOD_OVERRIDE=FQ","FILING_STATUS=MR","SCALING_FORMAT=MLN","Sort=A","Dates=H","DateFormat=P","Fill=—","Direction=H","UseDPDF=Y")</f>
        <v>-1087</v>
      </c>
      <c r="S37" s="13">
        <f>_xll.BDH("GILD US Equity","T12M_NET_CAPITAL_STOCK","FQ1 2023","FQ1 2023","Currency=USD","Period=FQ","BEST_FPERIOD_OVERRIDE=FQ","FILING_STATUS=MR","SCALING_FORMAT=MLN","Sort=A","Dates=H","DateFormat=P","Fill=—","Direction=H","UseDPDF=Y")</f>
        <v>-1132</v>
      </c>
      <c r="T37" s="13">
        <f>_xll.BDH("GILD US Equity","T12M_NET_CAPITAL_STOCK","FQ2 2023","FQ2 2023","Currency=USD","Period=FQ","BEST_FPERIOD_OVERRIDE=FQ","FILING_STATUS=MR","SCALING_FORMAT=MLN","Sort=A","Dates=H","DateFormat=P","Fill=—","Direction=H","UseDPDF=Y")</f>
        <v>-1187</v>
      </c>
      <c r="U37" s="13">
        <f>_xll.BDH("GILD US Equity","T12M_NET_CAPITAL_STOCK","FQ3 2023","FQ3 2023","Currency=USD","Period=FQ","BEST_FPERIOD_OVERRIDE=FQ","FILING_STATUS=MR","SCALING_FORMAT=MLN","Sort=A","Dates=H","DateFormat=P","Fill=—","Direction=H","UseDPDF=Y")</f>
        <v>-1260</v>
      </c>
      <c r="V37" s="13">
        <f>_xll.BDH("GILD US Equity","T12M_NET_CAPITAL_STOCK","FQ4 2023","FQ4 2023","Currency=USD","Period=FQ","BEST_FPERIOD_OVERRIDE=FQ","FILING_STATUS=MR","SCALING_FORMAT=MLN","Sort=A","Dates=H","DateFormat=P","Fill=—","Direction=H","UseDPDF=Y")</f>
        <v>-767</v>
      </c>
      <c r="W37" s="13">
        <f>_xll.BDH("GILD US Equity","T12M_NET_CAPITAL_STOCK","FQ1 2024","FQ1 2024","Currency=USD","Period=FQ","BEST_FPERIOD_OVERRIDE=FQ","FILING_STATUS=MR","SCALING_FORMAT=MLN","Sort=A","Dates=H","DateFormat=P","Fill=—","Direction=H","UseDPDF=Y")</f>
        <v>-718</v>
      </c>
      <c r="X37" s="13">
        <f>_xll.BDH("GILD US Equity","T12M_NET_CAPITAL_STOCK","FQ2 2024","FQ2 2024","Currency=USD","Period=FQ","BEST_FPERIOD_OVERRIDE=FQ","FILING_STATUS=MR","SCALING_FORMAT=MLN","Sort=A","Dates=H","DateFormat=P","Fill=—","Direction=H","UseDPDF=Y")</f>
        <v>-689</v>
      </c>
      <c r="Y37" s="13">
        <f>_xll.BDH("GILD US Equity","T12M_NET_CAPITAL_STOCK","FQ3 2024","FQ3 2024","Currency=USD","Period=FQ","BEST_FPERIOD_OVERRIDE=FQ","FILING_STATUS=MR","SCALING_FORMAT=MLN","Sort=A","Dates=H","DateFormat=P","Fill=—","Direction=H","UseDPDF=Y")</f>
        <v>-674</v>
      </c>
      <c r="Z37" s="13">
        <f>_xll.BDH("GILD US Equity","T12M_NET_CAPITAL_STOCK","FQ4 2024","FQ4 2024","Currency=USD","Period=FQ","BEST_FPERIOD_OVERRIDE=FQ","FILING_STATUS=MR","SCALING_FORMAT=MLN","Sort=A","Dates=H","DateFormat=P","Fill=—","Direction=H","UseDPDF=Y")</f>
        <v>-728</v>
      </c>
      <c r="AA37" s="13"/>
    </row>
    <row r="38" spans="1:27" x14ac:dyDescent="0.25">
      <c r="A38" s="10" t="s">
        <v>1737</v>
      </c>
      <c r="B38" s="10" t="s">
        <v>1716</v>
      </c>
      <c r="C38" s="13" t="str">
        <f>_xll.BDH("GILD US Equity","T12M_CHG_ST_BORROWINGS","FQ1 2019","FQ1 2019","Currency=USD","Period=FQ","BEST_FPERIOD_OVERRIDE=FQ","FILING_STATUS=MR","SCALING_FORMAT=MLN","Sort=A","Dates=H","DateFormat=P","Fill=—","Direction=H","UseDPDF=Y")</f>
        <v>—</v>
      </c>
      <c r="D38" s="13" t="str">
        <f>_xll.BDH("GILD US Equity","T12M_CHG_ST_BORROWINGS","FQ2 2019","FQ2 2019","Currency=USD","Period=FQ","BEST_FPERIOD_OVERRIDE=FQ","FILING_STATUS=MR","SCALING_FORMAT=MLN","Sort=A","Dates=H","DateFormat=P","Fill=—","Direction=H","UseDPDF=Y")</f>
        <v>—</v>
      </c>
      <c r="E38" s="13">
        <f>_xll.BDH("GILD US Equity","T12M_CHG_ST_BORROWINGS","FQ3 2019","FQ3 2019","Currency=USD","Period=FQ","BEST_FPERIOD_OVERRIDE=FQ","FILING_STATUS=MR","SCALING_FORMAT=MLN","Sort=A","Dates=H","DateFormat=P","Fill=—","Direction=H","UseDPDF=Y")</f>
        <v>0</v>
      </c>
      <c r="F38" s="13">
        <f>_xll.BDH("GILD US Equity","T12M_CHG_ST_BORROWINGS","FQ4 2019","FQ4 2019","Currency=USD","Period=FQ","BEST_FPERIOD_OVERRIDE=FQ","FILING_STATUS=MR","SCALING_FORMAT=MLN","Sort=A","Dates=H","DateFormat=P","Fill=—","Direction=H","UseDPDF=Y")</f>
        <v>0</v>
      </c>
      <c r="G38" s="13">
        <f>_xll.BDH("GILD US Equity","T12M_CHG_ST_BORROWINGS","FQ1 2020","FQ1 2020","Currency=USD","Period=FQ","BEST_FPERIOD_OVERRIDE=FQ","FILING_STATUS=MR","SCALING_FORMAT=MLN","Sort=A","Dates=H","DateFormat=P","Fill=—","Direction=H","UseDPDF=Y")</f>
        <v>0</v>
      </c>
      <c r="H38" s="13">
        <f>_xll.BDH("GILD US Equity","T12M_CHG_ST_BORROWINGS","FQ2 2020","FQ2 2020","Currency=USD","Period=FQ","BEST_FPERIOD_OVERRIDE=FQ","FILING_STATUS=MR","SCALING_FORMAT=MLN","Sort=A","Dates=H","DateFormat=P","Fill=—","Direction=H","UseDPDF=Y")</f>
        <v>0</v>
      </c>
      <c r="I38" s="13">
        <f>_xll.BDH("GILD US Equity","T12M_CHG_ST_BORROWINGS","FQ3 2020","FQ3 2020","Currency=USD","Period=FQ","BEST_FPERIOD_OVERRIDE=FQ","FILING_STATUS=MR","SCALING_FORMAT=MLN","Sort=A","Dates=H","DateFormat=P","Fill=—","Direction=H","UseDPDF=Y")</f>
        <v>0</v>
      </c>
      <c r="J38" s="13">
        <f>_xll.BDH("GILD US Equity","T12M_CHG_ST_BORROWINGS","FQ4 2020","FQ4 2020","Currency=USD","Period=FQ","BEST_FPERIOD_OVERRIDE=FQ","FILING_STATUS=MR","SCALING_FORMAT=MLN","Sort=A","Dates=H","DateFormat=P","Fill=—","Direction=H","UseDPDF=Y")</f>
        <v>0</v>
      </c>
      <c r="K38" s="13" t="str">
        <f>_xll.BDH("GILD US Equity","T12M_CHG_ST_BORROWINGS","FQ1 2021","FQ1 2021","Currency=USD","Period=FQ","BEST_FPERIOD_OVERRIDE=FQ","FILING_STATUS=MR","SCALING_FORMAT=MLN","Sort=A","Dates=H","DateFormat=P","Fill=—","Direction=H","UseDPDF=Y")</f>
        <v>—</v>
      </c>
      <c r="L38" s="13" t="str">
        <f>_xll.BDH("GILD US Equity","T12M_CHG_ST_BORROWINGS","FQ2 2021","FQ2 2021","Currency=USD","Period=FQ","BEST_FPERIOD_OVERRIDE=FQ","FILING_STATUS=MR","SCALING_FORMAT=MLN","Sort=A","Dates=H","DateFormat=P","Fill=—","Direction=H","UseDPDF=Y")</f>
        <v>—</v>
      </c>
      <c r="M38" s="13" t="str">
        <f>_xll.BDH("GILD US Equity","T12M_CHG_ST_BORROWINGS","FQ3 2021","FQ3 2021","Currency=USD","Period=FQ","BEST_FPERIOD_OVERRIDE=FQ","FILING_STATUS=MR","SCALING_FORMAT=MLN","Sort=A","Dates=H","DateFormat=P","Fill=—","Direction=H","UseDPDF=Y")</f>
        <v>—</v>
      </c>
      <c r="N38" s="13" t="str">
        <f>_xll.BDH("GILD US Equity","T12M_CHG_ST_BORROWINGS","FQ4 2021","FQ4 2021","Currency=USD","Period=FQ","BEST_FPERIOD_OVERRIDE=FQ","FILING_STATUS=MR","SCALING_FORMAT=MLN","Sort=A","Dates=H","DateFormat=P","Fill=—","Direction=H","UseDPDF=Y")</f>
        <v>—</v>
      </c>
      <c r="O38" s="13" t="str">
        <f>_xll.BDH("GILD US Equity","T12M_CHG_ST_BORROWINGS","FQ1 2022","FQ1 2022","Currency=USD","Period=FQ","BEST_FPERIOD_OVERRIDE=FQ","FILING_STATUS=MR","SCALING_FORMAT=MLN","Sort=A","Dates=H","DateFormat=P","Fill=—","Direction=H","UseDPDF=Y")</f>
        <v>—</v>
      </c>
      <c r="P38" s="13" t="str">
        <f>_xll.BDH("GILD US Equity","T12M_CHG_ST_BORROWINGS","FQ2 2022","FQ2 2022","Currency=USD","Period=FQ","BEST_FPERIOD_OVERRIDE=FQ","FILING_STATUS=MR","SCALING_FORMAT=MLN","Sort=A","Dates=H","DateFormat=P","Fill=—","Direction=H","UseDPDF=Y")</f>
        <v>—</v>
      </c>
      <c r="Q38" s="13" t="str">
        <f>_xll.BDH("GILD US Equity","T12M_CHG_ST_BORROWINGS","FQ3 2022","FQ3 2022","Currency=USD","Period=FQ","BEST_FPERIOD_OVERRIDE=FQ","FILING_STATUS=MR","SCALING_FORMAT=MLN","Sort=A","Dates=H","DateFormat=P","Fill=—","Direction=H","UseDPDF=Y")</f>
        <v>—</v>
      </c>
      <c r="R38" s="13" t="str">
        <f>_xll.BDH("GILD US Equity","T12M_CHG_ST_BORROWINGS","FQ4 2022","FQ4 2022","Currency=USD","Period=FQ","BEST_FPERIOD_OVERRIDE=FQ","FILING_STATUS=MR","SCALING_FORMAT=MLN","Sort=A","Dates=H","DateFormat=P","Fill=—","Direction=H","UseDPDF=Y")</f>
        <v>—</v>
      </c>
      <c r="S38" s="13" t="str">
        <f>_xll.BDH("GILD US Equity","T12M_CHG_ST_BORROWINGS","FQ1 2023","FQ1 2023","Currency=USD","Period=FQ","BEST_FPERIOD_OVERRIDE=FQ","FILING_STATUS=MR","SCALING_FORMAT=MLN","Sort=A","Dates=H","DateFormat=P","Fill=—","Direction=H","UseDPDF=Y")</f>
        <v>—</v>
      </c>
      <c r="T38" s="13" t="str">
        <f>_xll.BDH("GILD US Equity","T12M_CHG_ST_BORROWINGS","FQ2 2023","FQ2 2023","Currency=USD","Period=FQ","BEST_FPERIOD_OVERRIDE=FQ","FILING_STATUS=MR","SCALING_FORMAT=MLN","Sort=A","Dates=H","DateFormat=P","Fill=—","Direction=H","UseDPDF=Y")</f>
        <v>—</v>
      </c>
      <c r="U38" s="13" t="str">
        <f>_xll.BDH("GILD US Equity","T12M_CHG_ST_BORROWINGS","FQ3 2023","FQ3 2023","Currency=USD","Period=FQ","BEST_FPERIOD_OVERRIDE=FQ","FILING_STATUS=MR","SCALING_FORMAT=MLN","Sort=A","Dates=H","DateFormat=P","Fill=—","Direction=H","UseDPDF=Y")</f>
        <v>—</v>
      </c>
      <c r="V38" s="13" t="str">
        <f>_xll.BDH("GILD US Equity","T12M_CHG_ST_BORROWINGS","FQ4 2023","FQ4 2023","Currency=USD","Period=FQ","BEST_FPERIOD_OVERRIDE=FQ","FILING_STATUS=MR","SCALING_FORMAT=MLN","Sort=A","Dates=H","DateFormat=P","Fill=—","Direction=H","UseDPDF=Y")</f>
        <v>—</v>
      </c>
      <c r="W38" s="13" t="str">
        <f>_xll.BDH("GILD US Equity","T12M_CHG_ST_BORROWINGS","FQ1 2024","FQ1 2024","Currency=USD","Period=FQ","BEST_FPERIOD_OVERRIDE=FQ","FILING_STATUS=MR","SCALING_FORMAT=MLN","Sort=A","Dates=H","DateFormat=P","Fill=—","Direction=H","UseDPDF=Y")</f>
        <v>—</v>
      </c>
      <c r="X38" s="13" t="str">
        <f>_xll.BDH("GILD US Equity","T12M_CHG_ST_BORROWINGS","FQ2 2024","FQ2 2024","Currency=USD","Period=FQ","BEST_FPERIOD_OVERRIDE=FQ","FILING_STATUS=MR","SCALING_FORMAT=MLN","Sort=A","Dates=H","DateFormat=P","Fill=—","Direction=H","UseDPDF=Y")</f>
        <v>—</v>
      </c>
      <c r="Y38" s="13" t="str">
        <f>_xll.BDH("GILD US Equity","T12M_CHG_ST_BORROWINGS","FQ3 2024","FQ3 2024","Currency=USD","Period=FQ","BEST_FPERIOD_OVERRIDE=FQ","FILING_STATUS=MR","SCALING_FORMAT=MLN","Sort=A","Dates=H","DateFormat=P","Fill=—","Direction=H","UseDPDF=Y")</f>
        <v>—</v>
      </c>
      <c r="Z38" s="13" t="str">
        <f>_xll.BDH("GILD US Equity","T12M_CHG_ST_BORROWINGS","FQ4 2024","FQ4 2024","Currency=USD","Period=FQ","BEST_FPERIOD_OVERRIDE=FQ","FILING_STATUS=MR","SCALING_FORMAT=MLN","Sort=A","Dates=H","DateFormat=P","Fill=—","Direction=H","UseDPDF=Y")</f>
        <v>—</v>
      </c>
      <c r="AA38" s="13"/>
    </row>
    <row r="39" spans="1:27" x14ac:dyDescent="0.25">
      <c r="A39" s="10" t="s">
        <v>1738</v>
      </c>
      <c r="B39" s="10" t="s">
        <v>1718</v>
      </c>
      <c r="C39" s="13">
        <f>_xll.BDH("GILD US Equity","T12M_CHG_LT_DEBT","FQ1 2019","FQ1 2019","Currency=USD","Period=FQ","BEST_FPERIOD_OVERRIDE=FQ","FILING_STATUS=MR","SCALING_FORMAT=MLN","Sort=A","Dates=H","DateFormat=P","Fill=—","Direction=H","UseDPDF=Y")</f>
        <v>-2500</v>
      </c>
      <c r="D39" s="13">
        <f>_xll.BDH("GILD US Equity","T12M_CHG_LT_DEBT","FQ2 2019","FQ2 2019","Currency=USD","Period=FQ","BEST_FPERIOD_OVERRIDE=FQ","FILING_STATUS=MR","SCALING_FORMAT=MLN","Sort=A","Dates=H","DateFormat=P","Fill=—","Direction=H","UseDPDF=Y")</f>
        <v>-3000</v>
      </c>
      <c r="E39" s="13">
        <f>_xll.BDH("GILD US Equity","T12M_CHG_LT_DEBT","FQ3 2019","FQ3 2019","Currency=USD","Period=FQ","BEST_FPERIOD_OVERRIDE=FQ","FILING_STATUS=MR","SCALING_FORMAT=MLN","Sort=A","Dates=H","DateFormat=P","Fill=—","Direction=H","UseDPDF=Y")</f>
        <v>-2750</v>
      </c>
      <c r="F39" s="13">
        <f>_xll.BDH("GILD US Equity","T12M_CHG_LT_DEBT","FQ4 2019","FQ4 2019","Currency=USD","Period=FQ","BEST_FPERIOD_OVERRIDE=FQ","FILING_STATUS=MR","SCALING_FORMAT=MLN","Sort=A","Dates=H","DateFormat=P","Fill=—","Direction=H","UseDPDF=Y")</f>
        <v>-2750</v>
      </c>
      <c r="G39" s="13">
        <f>_xll.BDH("GILD US Equity","T12M_CHG_LT_DEBT","FQ1 2020","FQ1 2020","Currency=USD","Period=FQ","BEST_FPERIOD_OVERRIDE=FQ","FILING_STATUS=MR","SCALING_FORMAT=MLN","Sort=A","Dates=H","DateFormat=P","Fill=—","Direction=H","UseDPDF=Y")</f>
        <v>-2500</v>
      </c>
      <c r="H39" s="13">
        <f>_xll.BDH("GILD US Equity","T12M_CHG_LT_DEBT","FQ2 2020","FQ2 2020","Currency=USD","Period=FQ","BEST_FPERIOD_OVERRIDE=FQ","FILING_STATUS=MR","SCALING_FORMAT=MLN","Sort=A","Dates=H","DateFormat=P","Fill=—","Direction=H","UseDPDF=Y")</f>
        <v>-2000</v>
      </c>
      <c r="I39" s="13">
        <f>_xll.BDH("GILD US Equity","T12M_CHG_LT_DEBT","FQ3 2020","FQ3 2020","Currency=USD","Period=FQ","BEST_FPERIOD_OVERRIDE=FQ","FILING_STATUS=MR","SCALING_FORMAT=MLN","Sort=A","Dates=H","DateFormat=P","Fill=—","Direction=H","UseDPDF=Y")</f>
        <v>4689</v>
      </c>
      <c r="J39" s="13">
        <f>_xll.BDH("GILD US Equity","T12M_CHG_LT_DEBT","FQ4 2020","FQ4 2020","Currency=USD","Period=FQ","BEST_FPERIOD_OVERRIDE=FQ","FILING_STATUS=MR","SCALING_FORMAT=MLN","Sort=A","Dates=H","DateFormat=P","Fill=—","Direction=H","UseDPDF=Y")</f>
        <v>5684</v>
      </c>
      <c r="K39" s="13">
        <f>_xll.BDH("GILD US Equity","T12M_CHG_LT_DEBT","FQ1 2021","FQ1 2021","Currency=USD","Period=FQ","BEST_FPERIOD_OVERRIDE=FQ","FILING_STATUS=MR","SCALING_FORMAT=MLN","Sort=A","Dates=H","DateFormat=P","Fill=—","Direction=H","UseDPDF=Y")</f>
        <v>4934</v>
      </c>
      <c r="L39" s="13">
        <f>_xll.BDH("GILD US Equity","T12M_CHG_LT_DEBT","FQ2 2021","FQ2 2021","Currency=USD","Period=FQ","BEST_FPERIOD_OVERRIDE=FQ","FILING_STATUS=MR","SCALING_FORMAT=MLN","Sort=A","Dates=H","DateFormat=P","Fill=—","Direction=H","UseDPDF=Y")</f>
        <v>4934</v>
      </c>
      <c r="M39" s="13">
        <f>_xll.BDH("GILD US Equity","T12M_CHG_LT_DEBT","FQ3 2021","FQ3 2021","Currency=USD","Period=FQ","BEST_FPERIOD_OVERRIDE=FQ","FILING_STATUS=MR","SCALING_FORMAT=MLN","Sort=A","Dates=H","DateFormat=P","Fill=—","Direction=H","UseDPDF=Y")</f>
        <v>-2755</v>
      </c>
      <c r="N39" s="13">
        <f>_xll.BDH("GILD US Equity","T12M_CHG_LT_DEBT","FQ4 2021","FQ4 2021","Currency=USD","Period=FQ","BEST_FPERIOD_OVERRIDE=FQ","FILING_STATUS=MR","SCALING_FORMAT=MLN","Sort=A","Dates=H","DateFormat=P","Fill=—","Direction=H","UseDPDF=Y")</f>
        <v>-4750</v>
      </c>
      <c r="O39" s="13">
        <f>_xll.BDH("GILD US Equity","T12M_CHG_LT_DEBT","FQ1 2022","FQ1 2022","Currency=USD","Period=FQ","BEST_FPERIOD_OVERRIDE=FQ","FILING_STATUS=MR","SCALING_FORMAT=MLN","Sort=A","Dates=H","DateFormat=P","Fill=—","Direction=H","UseDPDF=Y")</f>
        <v>-4000</v>
      </c>
      <c r="P39" s="13">
        <f>_xll.BDH("GILD US Equity","T12M_CHG_LT_DEBT","FQ2 2022","FQ2 2022","Currency=USD","Period=FQ","BEST_FPERIOD_OVERRIDE=FQ","FILING_STATUS=MR","SCALING_FORMAT=MLN","Sort=A","Dates=H","DateFormat=P","Fill=—","Direction=H","UseDPDF=Y")</f>
        <v>-4000</v>
      </c>
      <c r="Q39" s="13">
        <f>_xll.BDH("GILD US Equity","T12M_CHG_LT_DEBT","FQ3 2022","FQ3 2022","Currency=USD","Period=FQ","BEST_FPERIOD_OVERRIDE=FQ","FILING_STATUS=MR","SCALING_FORMAT=MLN","Sort=A","Dates=H","DateFormat=P","Fill=—","Direction=H","UseDPDF=Y")</f>
        <v>-2500</v>
      </c>
      <c r="R39" s="13">
        <f>_xll.BDH("GILD US Equity","T12M_CHG_LT_DEBT","FQ4 2022","FQ4 2022","Currency=USD","Period=FQ","BEST_FPERIOD_OVERRIDE=FQ","FILING_STATUS=MR","SCALING_FORMAT=MLN","Sort=A","Dates=H","DateFormat=P","Fill=—","Direction=H","UseDPDF=Y")</f>
        <v>-1500</v>
      </c>
      <c r="S39" s="13">
        <f>_xll.BDH("GILD US Equity","T12M_CHG_LT_DEBT","FQ1 2023","FQ1 2023","Currency=USD","Period=FQ","BEST_FPERIOD_OVERRIDE=FQ","FILING_STATUS=MR","SCALING_FORMAT=MLN","Sort=A","Dates=H","DateFormat=P","Fill=—","Direction=H","UseDPDF=Y")</f>
        <v>-1000</v>
      </c>
      <c r="T39" s="13">
        <f>_xll.BDH("GILD US Equity","T12M_CHG_LT_DEBT","FQ2 2023","FQ2 2023","Currency=USD","Period=FQ","BEST_FPERIOD_OVERRIDE=FQ","FILING_STATUS=MR","SCALING_FORMAT=MLN","Sort=A","Dates=H","DateFormat=P","Fill=—","Direction=H","UseDPDF=Y")</f>
        <v>-1000</v>
      </c>
      <c r="U39" s="13">
        <f>_xll.BDH("GILD US Equity","T12M_CHG_LT_DEBT","FQ3 2023","FQ3 2023","Currency=USD","Period=FQ","BEST_FPERIOD_OVERRIDE=FQ","FILING_STATUS=MR","SCALING_FORMAT=MLN","Sort=A","Dates=H","DateFormat=P","Fill=—","Direction=H","UseDPDF=Y")</f>
        <v>-271</v>
      </c>
      <c r="V39" s="13">
        <f>_xll.BDH("GILD US Equity","T12M_CHG_LT_DEBT","FQ4 2023","FQ4 2023","Currency=USD","Period=FQ","BEST_FPERIOD_OVERRIDE=FQ","FILING_STATUS=MR","SCALING_FORMAT=MLN","Sort=A","Dates=H","DateFormat=P","Fill=—","Direction=H","UseDPDF=Y")</f>
        <v>-270</v>
      </c>
      <c r="W39" s="13">
        <f>_xll.BDH("GILD US Equity","T12M_CHG_LT_DEBT","FQ1 2024","FQ1 2024","Currency=USD","Period=FQ","BEST_FPERIOD_OVERRIDE=FQ","FILING_STATUS=MR","SCALING_FORMAT=MLN","Sort=A","Dates=H","DateFormat=P","Fill=—","Direction=H","UseDPDF=Y")</f>
        <v>-270</v>
      </c>
      <c r="X39" s="13">
        <f>_xll.BDH("GILD US Equity","T12M_CHG_LT_DEBT","FQ2 2024","FQ2 2024","Currency=USD","Period=FQ","BEST_FPERIOD_OVERRIDE=FQ","FILING_STATUS=MR","SCALING_FORMAT=MLN","Sort=A","Dates=H","DateFormat=P","Fill=—","Direction=H","UseDPDF=Y")</f>
        <v>-2121</v>
      </c>
      <c r="Y39" s="13">
        <f>_xll.BDH("GILD US Equity","T12M_CHG_LT_DEBT","FQ3 2024","FQ3 2024","Currency=USD","Period=FQ","BEST_FPERIOD_OVERRIDE=FQ","FILING_STATUS=MR","SCALING_FORMAT=MLN","Sort=A","Dates=H","DateFormat=P","Fill=—","Direction=H","UseDPDF=Y")</f>
        <v>-1962</v>
      </c>
      <c r="Z39" s="13">
        <f>_xll.BDH("GILD US Equity","T12M_CHG_LT_DEBT","FQ4 2024","FQ4 2024","Currency=USD","Period=FQ","BEST_FPERIOD_OVERRIDE=FQ","FILING_STATUS=MR","SCALING_FORMAT=MLN","Sort=A","Dates=H","DateFormat=P","Fill=—","Direction=H","UseDPDF=Y")</f>
        <v>1494</v>
      </c>
      <c r="AA39" s="13"/>
    </row>
    <row r="40" spans="1:27" x14ac:dyDescent="0.25">
      <c r="A40" s="10" t="s">
        <v>1739</v>
      </c>
      <c r="B40" s="10" t="s">
        <v>1719</v>
      </c>
      <c r="C40" s="13">
        <f>_xll.BDH("GILD US Equity","T12_OTHER_CFF","FQ1 2019","FQ1 2019","Currency=USD","Period=FQ","BEST_FPERIOD_OVERRIDE=FQ","FILING_STATUS=MR","SCALING_FORMAT=MLN","Sort=A","Dates=H","DateFormat=P","Fill=—","Direction=H","UseDPDF=Y")</f>
        <v>-231</v>
      </c>
      <c r="D40" s="13">
        <f>_xll.BDH("GILD US Equity","T12_OTHER_CFF","FQ2 2019","FQ2 2019","Currency=USD","Period=FQ","BEST_FPERIOD_OVERRIDE=FQ","FILING_STATUS=MR","SCALING_FORMAT=MLN","Sort=A","Dates=H","DateFormat=P","Fill=—","Direction=H","UseDPDF=Y")</f>
        <v>-166</v>
      </c>
      <c r="E40" s="13">
        <f>_xll.BDH("GILD US Equity","T12_OTHER_CFF","FQ3 2019","FQ3 2019","Currency=USD","Period=FQ","BEST_FPERIOD_OVERRIDE=FQ","FILING_STATUS=MR","SCALING_FORMAT=MLN","Sort=A","Dates=H","DateFormat=P","Fill=—","Direction=H","UseDPDF=Y")</f>
        <v>-210</v>
      </c>
      <c r="F40" s="13">
        <f>_xll.BDH("GILD US Equity","T12_OTHER_CFF","FQ4 2019","FQ4 2019","Currency=USD","Period=FQ","BEST_FPERIOD_OVERRIDE=FQ","FILING_STATUS=MR","SCALING_FORMAT=MLN","Sort=A","Dates=H","DateFormat=P","Fill=—","Direction=H","UseDPDF=Y")</f>
        <v>-124</v>
      </c>
      <c r="G40" s="13">
        <f>_xll.BDH("GILD US Equity","T12_OTHER_CFF","FQ1 2020","FQ1 2020","Currency=USD","Period=FQ","BEST_FPERIOD_OVERRIDE=FQ","FILING_STATUS=MR","SCALING_FORMAT=MLN","Sort=A","Dates=H","DateFormat=P","Fill=—","Direction=H","UseDPDF=Y")</f>
        <v>-223</v>
      </c>
      <c r="H40" s="13">
        <f>_xll.BDH("GILD US Equity","T12_OTHER_CFF","FQ2 2020","FQ2 2020","Currency=USD","Period=FQ","BEST_FPERIOD_OVERRIDE=FQ","FILING_STATUS=MR","SCALING_FORMAT=MLN","Sort=A","Dates=H","DateFormat=P","Fill=—","Direction=H","UseDPDF=Y")</f>
        <v>-180</v>
      </c>
      <c r="I40" s="13">
        <f>_xll.BDH("GILD US Equity","T12_OTHER_CFF","FQ3 2020","FQ3 2020","Currency=USD","Period=FQ","BEST_FPERIOD_OVERRIDE=FQ","FILING_STATUS=MR","SCALING_FORMAT=MLN","Sort=A","Dates=H","DateFormat=P","Fill=—","Direction=H","UseDPDF=Y")</f>
        <v>-97</v>
      </c>
      <c r="J40" s="13">
        <f>_xll.BDH("GILD US Equity","T12_OTHER_CFF","FQ4 2020","FQ4 2020","Currency=USD","Period=FQ","BEST_FPERIOD_OVERRIDE=FQ","FILING_STATUS=MR","SCALING_FORMAT=MLN","Sort=A","Dates=H","DateFormat=P","Fill=—","Direction=H","UseDPDF=Y")</f>
        <v>-95</v>
      </c>
      <c r="K40" s="13">
        <f>_xll.BDH("GILD US Equity","T12_OTHER_CFF","FQ1 2021","FQ1 2021","Currency=USD","Period=FQ","BEST_FPERIOD_OVERRIDE=FQ","FILING_STATUS=MR","SCALING_FORMAT=MLN","Sort=A","Dates=H","DateFormat=P","Fill=—","Direction=H","UseDPDF=Y")</f>
        <v>-60</v>
      </c>
      <c r="L40" s="13">
        <f>_xll.BDH("GILD US Equity","T12_OTHER_CFF","FQ2 2021","FQ2 2021","Currency=USD","Period=FQ","BEST_FPERIOD_OVERRIDE=FQ","FILING_STATUS=MR","SCALING_FORMAT=MLN","Sort=A","Dates=H","DateFormat=P","Fill=—","Direction=H","UseDPDF=Y")</f>
        <v>-73</v>
      </c>
      <c r="M40" s="13">
        <f>_xll.BDH("GILD US Equity","T12_OTHER_CFF","FQ3 2021","FQ3 2021","Currency=USD","Period=FQ","BEST_FPERIOD_OVERRIDE=FQ","FILING_STATUS=MR","SCALING_FORMAT=MLN","Sort=A","Dates=H","DateFormat=P","Fill=—","Direction=H","UseDPDF=Y")</f>
        <v>-133</v>
      </c>
      <c r="N40" s="13">
        <f>_xll.BDH("GILD US Equity","T12_OTHER_CFF","FQ4 2021","FQ4 2021","Currency=USD","Period=FQ","BEST_FPERIOD_OVERRIDE=FQ","FILING_STATUS=MR","SCALING_FORMAT=MLN","Sort=A","Dates=H","DateFormat=P","Fill=—","Direction=H","UseDPDF=Y")</f>
        <v>-180</v>
      </c>
      <c r="O40" s="13">
        <f>_xll.BDH("GILD US Equity","T12_OTHER_CFF","FQ1 2022","FQ1 2022","Currency=USD","Period=FQ","BEST_FPERIOD_OVERRIDE=FQ","FILING_STATUS=MR","SCALING_FORMAT=MLN","Sort=A","Dates=H","DateFormat=P","Fill=—","Direction=H","UseDPDF=Y")</f>
        <v>-177</v>
      </c>
      <c r="P40" s="13">
        <f>_xll.BDH("GILD US Equity","T12_OTHER_CFF","FQ2 2022","FQ2 2022","Currency=USD","Period=FQ","BEST_FPERIOD_OVERRIDE=FQ","FILING_STATUS=MR","SCALING_FORMAT=MLN","Sort=A","Dates=H","DateFormat=P","Fill=—","Direction=H","UseDPDF=Y")</f>
        <v>-253</v>
      </c>
      <c r="Q40" s="13">
        <f>_xll.BDH("GILD US Equity","T12_OTHER_CFF","FQ3 2022","FQ3 2022","Currency=USD","Period=FQ","BEST_FPERIOD_OVERRIDE=FQ","FILING_STATUS=MR","SCALING_FORMAT=MLN","Sort=A","Dates=H","DateFormat=P","Fill=—","Direction=H","UseDPDF=Y")</f>
        <v>-308</v>
      </c>
      <c r="R40" s="13">
        <f>_xll.BDH("GILD US Equity","T12_OTHER_CFF","FQ4 2022","FQ4 2022","Currency=USD","Period=FQ","BEST_FPERIOD_OVERRIDE=FQ","FILING_STATUS=MR","SCALING_FORMAT=MLN","Sort=A","Dates=H","DateFormat=P","Fill=—","Direction=H","UseDPDF=Y")</f>
        <v>-236</v>
      </c>
      <c r="S40" s="13">
        <f>_xll.BDH("GILD US Equity","T12_OTHER_CFF","FQ1 2023","FQ1 2023","Currency=USD","Period=FQ","BEST_FPERIOD_OVERRIDE=FQ","FILING_STATUS=MR","SCALING_FORMAT=MLN","Sort=A","Dates=H","DateFormat=P","Fill=—","Direction=H","UseDPDF=Y")</f>
        <v>-249</v>
      </c>
      <c r="T40" s="13">
        <f>_xll.BDH("GILD US Equity","T12_OTHER_CFF","FQ2 2023","FQ2 2023","Currency=USD","Period=FQ","BEST_FPERIOD_OVERRIDE=FQ","FILING_STATUS=MR","SCALING_FORMAT=MLN","Sort=A","Dates=H","DateFormat=P","Fill=—","Direction=H","UseDPDF=Y")</f>
        <v>-206</v>
      </c>
      <c r="U40" s="13">
        <f>_xll.BDH("GILD US Equity","T12_OTHER_CFF","FQ3 2023","FQ3 2023","Currency=USD","Period=FQ","BEST_FPERIOD_OVERRIDE=FQ","FILING_STATUS=MR","SCALING_FORMAT=MLN","Sort=A","Dates=H","DateFormat=P","Fill=—","Direction=H","UseDPDF=Y")</f>
        <v>-173</v>
      </c>
      <c r="V40" s="13">
        <f>_xll.BDH("GILD US Equity","T12_OTHER_CFF","FQ4 2023","FQ4 2023","Currency=USD","Period=FQ","BEST_FPERIOD_OVERRIDE=FQ","FILING_STATUS=MR","SCALING_FORMAT=MLN","Sort=A","Dates=H","DateFormat=P","Fill=—","Direction=H","UseDPDF=Y")</f>
        <v>-222</v>
      </c>
      <c r="W40" s="13">
        <f>_xll.BDH("GILD US Equity","T12_OTHER_CFF","FQ1 2024","FQ1 2024","Currency=USD","Period=FQ","BEST_FPERIOD_OVERRIDE=FQ","FILING_STATUS=MR","SCALING_FORMAT=MLN","Sort=A","Dates=H","DateFormat=P","Fill=—","Direction=H","UseDPDF=Y")</f>
        <v>-235</v>
      </c>
      <c r="X40" s="13">
        <f>_xll.BDH("GILD US Equity","T12_OTHER_CFF","FQ2 2024","FQ2 2024","Currency=USD","Period=FQ","BEST_FPERIOD_OVERRIDE=FQ","FILING_STATUS=MR","SCALING_FORMAT=MLN","Sort=A","Dates=H","DateFormat=P","Fill=—","Direction=H","UseDPDF=Y")</f>
        <v>-262</v>
      </c>
      <c r="Y40" s="13">
        <f>_xll.BDH("GILD US Equity","T12_OTHER_CFF","FQ3 2024","FQ3 2024","Currency=USD","Period=FQ","BEST_FPERIOD_OVERRIDE=FQ","FILING_STATUS=MR","SCALING_FORMAT=MLN","Sort=A","Dates=H","DateFormat=P","Fill=—","Direction=H","UseDPDF=Y")</f>
        <v>-216</v>
      </c>
      <c r="Z40" s="13">
        <f>_xll.BDH("GILD US Equity","T12_OTHER_CFF","FQ4 2024","FQ4 2024","Currency=USD","Period=FQ","BEST_FPERIOD_OVERRIDE=FQ","FILING_STATUS=MR","SCALING_FORMAT=MLN","Sort=A","Dates=H","DateFormat=P","Fill=—","Direction=H","UseDPDF=Y")</f>
        <v>-321</v>
      </c>
      <c r="AA40" s="13"/>
    </row>
    <row r="41" spans="1:27" x14ac:dyDescent="0.25">
      <c r="A41" s="6" t="s">
        <v>1720</v>
      </c>
      <c r="B41" s="6" t="s">
        <v>1721</v>
      </c>
      <c r="C41" s="19">
        <f>_xll.BDH("GILD US Equity","T12_CFF","FQ1 2019","FQ1 2019","Currency=USD","Period=FQ","BEST_FPERIOD_OVERRIDE=FQ","FILING_STATUS=MR","SCALING_FORMAT=MLN","Sort=A","Dates=H","DateFormat=P","Fill=—","Direction=H","UseDPDF=Y")</f>
        <v>-8180</v>
      </c>
      <c r="D41" s="19">
        <f>_xll.BDH("GILD US Equity","T12_CFF","FQ2 2019","FQ2 2019","Currency=USD","Period=FQ","BEST_FPERIOD_OVERRIDE=FQ","FILING_STATUS=MR","SCALING_FORMAT=MLN","Sort=A","Dates=H","DateFormat=P","Fill=—","Direction=H","UseDPDF=Y")</f>
        <v>-8823</v>
      </c>
      <c r="E41" s="19">
        <f>_xll.BDH("GILD US Equity","T12_CFF","FQ3 2019","FQ3 2019","Currency=USD","Period=FQ","BEST_FPERIOD_OVERRIDE=FQ","FILING_STATUS=MR","SCALING_FORMAT=MLN","Sort=A","Dates=H","DateFormat=P","Fill=—","Direction=H","UseDPDF=Y")</f>
        <v>-8491</v>
      </c>
      <c r="F41" s="19">
        <f>_xll.BDH("GILD US Equity","T12_CFF","FQ4 2019","FQ4 2019","Currency=USD","Period=FQ","BEST_FPERIOD_OVERRIDE=FQ","FILING_STATUS=MR","SCALING_FORMAT=MLN","Sort=A","Dates=H","DateFormat=P","Fill=—","Direction=H","UseDPDF=Y")</f>
        <v>-7636</v>
      </c>
      <c r="G41" s="19">
        <f>_xll.BDH("GILD US Equity","T12_CFF","FQ1 2020","FQ1 2020","Currency=USD","Period=FQ","BEST_FPERIOD_OVERRIDE=FQ","FILING_STATUS=MR","SCALING_FORMAT=MLN","Sort=A","Dates=H","DateFormat=P","Fill=—","Direction=H","UseDPDF=Y")</f>
        <v>-7962</v>
      </c>
      <c r="H41" s="19">
        <f>_xll.BDH("GILD US Equity","T12_CFF","FQ2 2020","FQ2 2020","Currency=USD","Period=FQ","BEST_FPERIOD_OVERRIDE=FQ","FILING_STATUS=MR","SCALING_FORMAT=MLN","Sort=A","Dates=H","DateFormat=P","Fill=—","Direction=H","UseDPDF=Y")</f>
        <v>-6944</v>
      </c>
      <c r="I41" s="19">
        <f>_xll.BDH("GILD US Equity","T12_CFF","FQ3 2020","FQ3 2020","Currency=USD","Period=FQ","BEST_FPERIOD_OVERRIDE=FQ","FILING_STATUS=MR","SCALING_FORMAT=MLN","Sort=A","Dates=H","DateFormat=P","Fill=—","Direction=H","UseDPDF=Y")</f>
        <v>-213</v>
      </c>
      <c r="J41" s="19">
        <f>_xll.BDH("GILD US Equity","T12_CFF","FQ4 2020","FQ4 2020","Currency=USD","Period=FQ","BEST_FPERIOD_OVERRIDE=FQ","FILING_STATUS=MR","SCALING_FORMAT=MLN","Sort=A","Dates=H","DateFormat=P","Fill=—","Direction=H","UseDPDF=Y")</f>
        <v>813</v>
      </c>
      <c r="K41" s="19">
        <f>_xll.BDH("GILD US Equity","T12_CFF","FQ1 2021","FQ1 2021","Currency=USD","Period=FQ","BEST_FPERIOD_OVERRIDE=FQ","FILING_STATUS=MR","SCALING_FORMAT=MLN","Sort=A","Dates=H","DateFormat=P","Fill=—","Direction=H","UseDPDF=Y")</f>
        <v>985</v>
      </c>
      <c r="L41" s="19">
        <f>_xll.BDH("GILD US Equity","T12_CFF","FQ2 2021","FQ2 2021","Currency=USD","Period=FQ","BEST_FPERIOD_OVERRIDE=FQ","FILING_STATUS=MR","SCALING_FORMAT=MLN","Sort=A","Dates=H","DateFormat=P","Fill=—","Direction=H","UseDPDF=Y")</f>
        <v>922</v>
      </c>
      <c r="M41" s="19">
        <f>_xll.BDH("GILD US Equity","T12_CFF","FQ3 2021","FQ3 2021","Currency=USD","Period=FQ","BEST_FPERIOD_OVERRIDE=FQ","FILING_STATUS=MR","SCALING_FORMAT=MLN","Sort=A","Dates=H","DateFormat=P","Fill=—","Direction=H","UseDPDF=Y")</f>
        <v>-6789</v>
      </c>
      <c r="N41" s="19">
        <f>_xll.BDH("GILD US Equity","T12_CFF","FQ4 2021","FQ4 2021","Currency=USD","Period=FQ","BEST_FPERIOD_OVERRIDE=FQ","FILING_STATUS=MR","SCALING_FORMAT=MLN","Sort=A","Dates=H","DateFormat=P","Fill=—","Direction=H","UseDPDF=Y")</f>
        <v>-8912</v>
      </c>
      <c r="O41" s="19">
        <f>_xll.BDH("GILD US Equity","T12_CFF","FQ1 2022","FQ1 2022","Currency=USD","Period=FQ","BEST_FPERIOD_OVERRIDE=FQ","FILING_STATUS=MR","SCALING_FORMAT=MLN","Sort=A","Dates=H","DateFormat=P","Fill=—","Direction=H","UseDPDF=Y")</f>
        <v>-8224</v>
      </c>
      <c r="P41" s="19">
        <f>_xll.BDH("GILD US Equity","T12_CFF","FQ2 2022","FQ2 2022","Currency=USD","Period=FQ","BEST_FPERIOD_OVERRIDE=FQ","FILING_STATUS=MR","SCALING_FORMAT=MLN","Sort=A","Dates=H","DateFormat=P","Fill=—","Direction=H","UseDPDF=Y")</f>
        <v>-8364</v>
      </c>
      <c r="Q41" s="19">
        <f>_xll.BDH("GILD US Equity","T12_CFF","FQ3 2022","FQ3 2022","Currency=USD","Period=FQ","BEST_FPERIOD_OVERRIDE=FQ","FILING_STATUS=MR","SCALING_FORMAT=MLN","Sort=A","Dates=H","DateFormat=P","Fill=—","Direction=H","UseDPDF=Y")</f>
        <v>-7004</v>
      </c>
      <c r="R41" s="19">
        <f>_xll.BDH("GILD US Equity","T12_CFF","FQ4 2022","FQ4 2022","Currency=USD","Period=FQ","BEST_FPERIOD_OVERRIDE=FQ","FILING_STATUS=MR","SCALING_FORMAT=MLN","Sort=A","Dates=H","DateFormat=P","Fill=—","Direction=H","UseDPDF=Y")</f>
        <v>-6532</v>
      </c>
      <c r="S41" s="19">
        <f>_xll.BDH("GILD US Equity","T12_CFF","FQ1 2023","FQ1 2023","Currency=USD","Period=FQ","BEST_FPERIOD_OVERRIDE=FQ","FILING_STATUS=MR","SCALING_FORMAT=MLN","Sort=A","Dates=H","DateFormat=P","Fill=—","Direction=H","UseDPDF=Y")</f>
        <v>-6114</v>
      </c>
      <c r="T41" s="19">
        <f>_xll.BDH("GILD US Equity","T12_CFF","FQ2 2023","FQ2 2023","Currency=USD","Period=FQ","BEST_FPERIOD_OVERRIDE=FQ","FILING_STATUS=MR","SCALING_FORMAT=MLN","Sort=A","Dates=H","DateFormat=P","Fill=—","Direction=H","UseDPDF=Y")</f>
        <v>-6150</v>
      </c>
      <c r="U41" s="19">
        <f>_xll.BDH("GILD US Equity","T12_CFF","FQ3 2023","FQ3 2023","Currency=USD","Period=FQ","BEST_FPERIOD_OVERRIDE=FQ","FILING_STATUS=MR","SCALING_FORMAT=MLN","Sort=A","Dates=H","DateFormat=P","Fill=—","Direction=H","UseDPDF=Y")</f>
        <v>-5485</v>
      </c>
      <c r="V41" s="19">
        <f>_xll.BDH("GILD US Equity","T12_CFF","FQ4 2023","FQ4 2023","Currency=USD","Period=FQ","BEST_FPERIOD_OVERRIDE=FQ","FILING_STATUS=MR","SCALING_FORMAT=MLN","Sort=A","Dates=H","DateFormat=P","Fill=—","Direction=H","UseDPDF=Y")</f>
        <v>-5068</v>
      </c>
      <c r="W41" s="19">
        <f>_xll.BDH("GILD US Equity","T12_CFF","FQ1 2024","FQ1 2024","Currency=USD","Period=FQ","BEST_FPERIOD_OVERRIDE=FQ","FILING_STATUS=MR","SCALING_FORMAT=MLN","Sort=A","Dates=H","DateFormat=P","Fill=—","Direction=H","UseDPDF=Y")</f>
        <v>-5053</v>
      </c>
      <c r="X41" s="19">
        <f>_xll.BDH("GILD US Equity","T12_CFF","FQ2 2024","FQ2 2024","Currency=USD","Period=FQ","BEST_FPERIOD_OVERRIDE=FQ","FILING_STATUS=MR","SCALING_FORMAT=MLN","Sort=A","Dates=H","DateFormat=P","Fill=—","Direction=H","UseDPDF=Y")</f>
        <v>-6930</v>
      </c>
      <c r="Y41" s="19">
        <f>_xll.BDH("GILD US Equity","T12_CFF","FQ3 2024","FQ3 2024","Currency=USD","Period=FQ","BEST_FPERIOD_OVERRIDE=FQ","FILING_STATUS=MR","SCALING_FORMAT=MLN","Sort=A","Dates=H","DateFormat=P","Fill=—","Direction=H","UseDPDF=Y")</f>
        <v>-6740</v>
      </c>
      <c r="Z41" s="19">
        <f>_xll.BDH("GILD US Equity","T12_CFF","FQ4 2024","FQ4 2024","Currency=USD","Period=FQ","BEST_FPERIOD_OVERRIDE=FQ","FILING_STATUS=MR","SCALING_FORMAT=MLN","Sort=A","Dates=H","DateFormat=P","Fill=—","Direction=H","UseDPDF=Y")</f>
        <v>-3473</v>
      </c>
      <c r="AA41" s="19"/>
    </row>
    <row r="42" spans="1:27" x14ac:dyDescent="0.25">
      <c r="A42" s="11" t="s">
        <v>1734</v>
      </c>
      <c r="B42" s="11" t="s">
        <v>69</v>
      </c>
      <c r="C42" s="25">
        <f>_xll.BDH("GILD US Equity","ENTERPRISE_VALUE","FQ1 2019","FQ1 2019","Currency=USD","Period=FQ","BEST_FPERIOD_OVERRIDE=FQ","FILING_STATUS=MR","SCALING_FORMAT=MLN","Sort=A","Dates=H","DateFormat=P","Fill=—","Direction=H","UseDPDF=Y")</f>
        <v>79919.740000000005</v>
      </c>
      <c r="D42" s="25">
        <f>_xll.BDH("GILD US Equity","ENTERPRISE_VALUE","FQ2 2019","FQ2 2019","Currency=USD","Period=FQ","BEST_FPERIOD_OVERRIDE=FQ","FILING_STATUS=MR","SCALING_FORMAT=MLN","Sort=A","Dates=H","DateFormat=P","Fill=—","Direction=H","UseDPDF=Y")</f>
        <v>82136.52</v>
      </c>
      <c r="E42" s="25">
        <f>_xll.BDH("GILD US Equity","ENTERPRISE_VALUE","FQ3 2019","FQ3 2019","Currency=USD","Period=FQ","BEST_FPERIOD_OVERRIDE=FQ","FILING_STATUS=MR","SCALING_FORMAT=MLN","Sort=A","Dates=H","DateFormat=P","Fill=—","Direction=H","UseDPDF=Y")</f>
        <v>80620.08</v>
      </c>
      <c r="F42" s="25">
        <f>_xll.BDH("GILD US Equity","ENTERPRISE_VALUE","FQ4 2019","FQ4 2019","Currency=USD","Period=FQ","BEST_FPERIOD_OVERRIDE=FQ","FILING_STATUS=MR","SCALING_FORMAT=MLN","Sort=A","Dates=H","DateFormat=P","Fill=—","Direction=H","UseDPDF=Y")</f>
        <v>81867.679999999993</v>
      </c>
      <c r="G42" s="25">
        <f>_xll.BDH("GILD US Equity","ENTERPRISE_VALUE","FQ1 2020","FQ1 2020","Currency=USD","Period=FQ","BEST_FPERIOD_OVERRIDE=FQ","FILING_STATUS=MR","SCALING_FORMAT=MLN","Sort=A","Dates=H","DateFormat=P","Fill=—","Direction=H","UseDPDF=Y")</f>
        <v>93644.04</v>
      </c>
      <c r="H42" s="25">
        <f>_xll.BDH("GILD US Equity","ENTERPRISE_VALUE","FQ2 2020","FQ2 2020","Currency=USD","Period=FQ","BEST_FPERIOD_OVERRIDE=FQ","FILING_STATUS=MR","SCALING_FORMAT=MLN","Sort=A","Dates=H","DateFormat=P","Fill=—","Direction=H","UseDPDF=Y")</f>
        <v>99509.759999999995</v>
      </c>
      <c r="I42" s="25">
        <f>_xll.BDH("GILD US Equity","ENTERPRISE_VALUE","FQ3 2020","FQ3 2020","Currency=USD","Period=FQ","BEST_FPERIOD_OVERRIDE=FQ","FILING_STATUS=MR","SCALING_FORMAT=MLN","Sort=A","Dates=H","DateFormat=P","Fill=—","Direction=H","UseDPDF=Y")</f>
        <v>82444.070000000007</v>
      </c>
      <c r="J42" s="25">
        <f>_xll.BDH("GILD US Equity","ENTERPRISE_VALUE","FQ4 2020","FQ4 2020","Currency=USD","Period=FQ","BEST_FPERIOD_OVERRIDE=FQ","FILING_STATUS=MR","SCALING_FORMAT=MLN","Sort=A","Dates=H","DateFormat=P","Fill=—","Direction=H","UseDPDF=Y")</f>
        <v>97284.04</v>
      </c>
      <c r="K42" s="25">
        <f>_xll.BDH("GILD US Equity","ENTERPRISE_VALUE","FQ1 2021","FQ1 2021","Currency=USD","Period=FQ","BEST_FPERIOD_OVERRIDE=FQ","FILING_STATUS=MR","SCALING_FORMAT=MLN","Sort=A","Dates=H","DateFormat=P","Fill=—","Direction=H","UseDPDF=Y")</f>
        <v>104979.02</v>
      </c>
      <c r="L42" s="25">
        <f>_xll.BDH("GILD US Equity","ENTERPRISE_VALUE","FQ2 2021","FQ2 2021","Currency=USD","Period=FQ","BEST_FPERIOD_OVERRIDE=FQ","FILING_STATUS=MR","SCALING_FORMAT=MLN","Sort=A","Dates=H","DateFormat=P","Fill=—","Direction=H","UseDPDF=Y")</f>
        <v>109171.44</v>
      </c>
      <c r="M42" s="25">
        <f>_xll.BDH("GILD US Equity","ENTERPRISE_VALUE","FQ3 2021","FQ3 2021","Currency=USD","Period=FQ","BEST_FPERIOD_OVERRIDE=FQ","FILING_STATUS=MR","SCALING_FORMAT=MLN","Sort=A","Dates=H","DateFormat=P","Fill=—","Direction=H","UseDPDF=Y")</f>
        <v>108511.75</v>
      </c>
      <c r="N42" s="25">
        <f>_xll.BDH("GILD US Equity","ENTERPRISE_VALUE","FQ4 2021","FQ4 2021","Currency=USD","Period=FQ","BEST_FPERIOD_OVERRIDE=FQ","FILING_STATUS=MR","SCALING_FORMAT=MLN","Sort=A","Dates=H","DateFormat=P","Fill=—","Direction=H","UseDPDF=Y")</f>
        <v>110503.94</v>
      </c>
      <c r="O42" s="25">
        <f>_xll.BDH("GILD US Equity","ENTERPRISE_VALUE","FQ1 2022","FQ1 2022","Currency=USD","Period=FQ","BEST_FPERIOD_OVERRIDE=FQ","FILING_STATUS=MR","SCALING_FORMAT=MLN","Sort=A","Dates=H","DateFormat=P","Fill=—","Direction=H","UseDPDF=Y")</f>
        <v>94053.75</v>
      </c>
      <c r="P42" s="25">
        <f>_xll.BDH("GILD US Equity","ENTERPRISE_VALUE","FQ2 2022","FQ2 2022","Currency=USD","Period=FQ","BEST_FPERIOD_OVERRIDE=FQ","FILING_STATUS=MR","SCALING_FORMAT=MLN","Sort=A","Dates=H","DateFormat=P","Fill=—","Direction=H","UseDPDF=Y")</f>
        <v>96704.74</v>
      </c>
      <c r="Q42" s="25">
        <f>_xll.BDH("GILD US Equity","ENTERPRISE_VALUE","FQ3 2022","FQ3 2022","Currency=USD","Period=FQ","BEST_FPERIOD_OVERRIDE=FQ","FILING_STATUS=MR","SCALING_FORMAT=MLN","Sort=A","Dates=H","DateFormat=P","Fill=—","Direction=H","UseDPDF=Y")</f>
        <v>95616.26</v>
      </c>
      <c r="R42" s="25">
        <f>_xll.BDH("GILD US Equity","ENTERPRISE_VALUE","FQ4 2022","FQ4 2022","Currency=USD","Period=FQ","BEST_FPERIOD_OVERRIDE=FQ","FILING_STATUS=MR","SCALING_FORMAT=MLN","Sort=A","Dates=H","DateFormat=P","Fill=—","Direction=H","UseDPDF=Y")</f>
        <v>125201.95</v>
      </c>
      <c r="S42" s="25">
        <f>_xll.BDH("GILD US Equity","ENTERPRISE_VALUE","FQ1 2023","FQ1 2023","Currency=USD","Period=FQ","BEST_FPERIOD_OVERRIDE=FQ","FILING_STATUS=MR","SCALING_FORMAT=MLN","Sort=A","Dates=H","DateFormat=P","Fill=—","Direction=H","UseDPDF=Y")</f>
        <v>121528.56</v>
      </c>
      <c r="T42" s="25">
        <f>_xll.BDH("GILD US Equity","ENTERPRISE_VALUE","FQ2 2023","FQ2 2023","Currency=USD","Period=FQ","BEST_FPERIOD_OVERRIDE=FQ","FILING_STATUS=MR","SCALING_FORMAT=MLN","Sort=A","Dates=H","DateFormat=P","Fill=—","Direction=H","UseDPDF=Y")</f>
        <v>113287.29</v>
      </c>
      <c r="U42" s="25">
        <f>_xll.BDH("GILD US Equity","ENTERPRISE_VALUE","FQ3 2023","FQ3 2023","Currency=USD","Period=FQ","BEST_FPERIOD_OVERRIDE=FQ","FILING_STATUS=MR","SCALING_FORMAT=MLN","Sort=A","Dates=H","DateFormat=P","Fill=—","Direction=H","UseDPDF=Y")</f>
        <v>110340.18</v>
      </c>
      <c r="V42" s="25">
        <f>_xll.BDH("GILD US Equity","ENTERPRISE_VALUE","FQ4 2023","FQ4 2023","Currency=USD","Period=FQ","BEST_FPERIOD_OVERRIDE=FQ","FILING_STATUS=MR","SCALING_FORMAT=MLN","Sort=A","Dates=H","DateFormat=P","Fill=—","Direction=H","UseDPDF=Y")</f>
        <v>118085.46</v>
      </c>
      <c r="W42" s="25">
        <f>_xll.BDH("GILD US Equity","ENTERPRISE_VALUE","FQ1 2024","FQ1 2024","Currency=USD","Period=FQ","BEST_FPERIOD_OVERRIDE=FQ","FILING_STATUS=MR","SCALING_FORMAT=MLN","Sort=A","Dates=H","DateFormat=P","Fill=—","Direction=H","UseDPDF=Y")</f>
        <v>111661.5</v>
      </c>
      <c r="X42" s="25">
        <f>_xll.BDH("GILD US Equity","ENTERPRISE_VALUE","FQ2 2024","FQ2 2024","Currency=USD","Period=FQ","BEST_FPERIOD_OVERRIDE=FQ","FILING_STATUS=MR","SCALING_FORMAT=MLN","Sort=A","Dates=H","DateFormat=P","Fill=—","Direction=H","UseDPDF=Y")</f>
        <v>105982.06</v>
      </c>
      <c r="Y42" s="25">
        <f>_xll.BDH("GILD US Equity","ENTERPRISE_VALUE","FQ3 2024","FQ3 2024","Currency=USD","Period=FQ","BEST_FPERIOD_OVERRIDE=FQ","FILING_STATUS=MR","SCALING_FORMAT=MLN","Sort=A","Dates=H","DateFormat=P","Fill=—","Direction=H","UseDPDF=Y")</f>
        <v>122592.64</v>
      </c>
      <c r="Z42" s="25">
        <f>_xll.BDH("GILD US Equity","ENTERPRISE_VALUE","FQ4 2024","FQ4 2024","Currency=USD","Period=FQ","BEST_FPERIOD_OVERRIDE=FQ","FILING_STATUS=MR","SCALING_FORMAT=MLN","Sort=A","Dates=H","DateFormat=P","Fill=—","Direction=H","UseDPDF=Y")</f>
        <v>132340.01999999999</v>
      </c>
      <c r="AA42" s="25"/>
    </row>
    <row r="43" spans="1:27" x14ac:dyDescent="0.25">
      <c r="A43" s="6" t="s">
        <v>1740</v>
      </c>
      <c r="B43" s="6" t="s">
        <v>1741</v>
      </c>
      <c r="C43" s="20">
        <f>_xll.BDH("GILD US Equity","CAPITAL_YIELD","FQ1 2019","FQ1 2019","Currency=USD","Period=FQ","BEST_FPERIOD_OVERRIDE=FQ","FILING_STATUS=MR","Sort=A","Dates=H","DateFormat=P","Fill=—","Direction=H","UseDPDF=Y")</f>
        <v>10.235300000000001</v>
      </c>
      <c r="D43" s="20">
        <f>_xll.BDH("GILD US Equity","CAPITAL_YIELD","FQ2 2019","FQ2 2019","Currency=USD","Period=FQ","BEST_FPERIOD_OVERRIDE=FQ","FILING_STATUS=MR","Sort=A","Dates=H","DateFormat=P","Fill=—","Direction=H","UseDPDF=Y")</f>
        <v>10.741899999999999</v>
      </c>
      <c r="E43" s="20">
        <f>_xll.BDH("GILD US Equity","CAPITAL_YIELD","FQ3 2019","FQ3 2019","Currency=USD","Period=FQ","BEST_FPERIOD_OVERRIDE=FQ","FILING_STATUS=MR","Sort=A","Dates=H","DateFormat=P","Fill=—","Direction=H","UseDPDF=Y")</f>
        <v>10.5321</v>
      </c>
      <c r="F43" s="20">
        <f>_xll.BDH("GILD US Equity","CAPITAL_YIELD","FQ4 2019","FQ4 2019","Currency=USD","Period=FQ","BEST_FPERIOD_OVERRIDE=FQ","FILING_STATUS=MR","Sort=A","Dates=H","DateFormat=P","Fill=—","Direction=H","UseDPDF=Y")</f>
        <v>9.3271999999999995</v>
      </c>
      <c r="G43" s="20">
        <f>_xll.BDH("GILD US Equity","CAPITAL_YIELD","FQ1 2020","FQ1 2020","Currency=USD","Period=FQ","BEST_FPERIOD_OVERRIDE=FQ","FILING_STATUS=MR","Sort=A","Dates=H","DateFormat=P","Fill=—","Direction=H","UseDPDF=Y")</f>
        <v>8.5023999999999997</v>
      </c>
      <c r="H43" s="20">
        <f>_xll.BDH("GILD US Equity","CAPITAL_YIELD","FQ2 2020","FQ2 2020","Currency=USD","Period=FQ","BEST_FPERIOD_OVERRIDE=FQ","FILING_STATUS=MR","Sort=A","Dates=H","DateFormat=P","Fill=—","Direction=H","UseDPDF=Y")</f>
        <v>6.9782000000000002</v>
      </c>
      <c r="I43" s="20">
        <f>_xll.BDH("GILD US Equity","CAPITAL_YIELD","FQ3 2020","FQ3 2020","Currency=USD","Period=FQ","BEST_FPERIOD_OVERRIDE=FQ","FILING_STATUS=MR","Sort=A","Dates=H","DateFormat=P","Fill=—","Direction=H","UseDPDF=Y")</f>
        <v>0.25840000000000002</v>
      </c>
      <c r="J43" s="20">
        <f>_xll.BDH("GILD US Equity","CAPITAL_YIELD","FQ4 2020","FQ4 2020","Currency=USD","Period=FQ","BEST_FPERIOD_OVERRIDE=FQ","FILING_STATUS=MR","Sort=A","Dates=H","DateFormat=P","Fill=—","Direction=H","UseDPDF=Y")</f>
        <v>-0.8357</v>
      </c>
      <c r="K43" s="20">
        <f>_xll.BDH("GILD US Equity","CAPITAL_YIELD","FQ1 2021","FQ1 2021","Currency=USD","Period=FQ","BEST_FPERIOD_OVERRIDE=FQ","FILING_STATUS=MR","Sort=A","Dates=H","DateFormat=P","Fill=—","Direction=H","UseDPDF=Y")</f>
        <v>-0.93830000000000002</v>
      </c>
      <c r="L43" s="20">
        <f>_xll.BDH("GILD US Equity","CAPITAL_YIELD","FQ2 2021","FQ2 2021","Currency=USD","Period=FQ","BEST_FPERIOD_OVERRIDE=FQ","FILING_STATUS=MR","Sort=A","Dates=H","DateFormat=P","Fill=—","Direction=H","UseDPDF=Y")</f>
        <v>-0.84450000000000003</v>
      </c>
      <c r="M43" s="20">
        <f>_xll.BDH("GILD US Equity","CAPITAL_YIELD","FQ3 2021","FQ3 2021","Currency=USD","Period=FQ","BEST_FPERIOD_OVERRIDE=FQ","FILING_STATUS=MR","Sort=A","Dates=H","DateFormat=P","Fill=—","Direction=H","UseDPDF=Y")</f>
        <v>6.2565</v>
      </c>
      <c r="N43" s="20">
        <f>_xll.BDH("GILD US Equity","CAPITAL_YIELD","FQ4 2021","FQ4 2021","Currency=USD","Period=FQ","BEST_FPERIOD_OVERRIDE=FQ","FILING_STATUS=MR","Sort=A","Dates=H","DateFormat=P","Fill=—","Direction=H","UseDPDF=Y")</f>
        <v>8.0648999999999997</v>
      </c>
      <c r="O43" s="20">
        <f>_xll.BDH("GILD US Equity","CAPITAL_YIELD","FQ1 2022","FQ1 2022","Currency=USD","Period=FQ","BEST_FPERIOD_OVERRIDE=FQ","FILING_STATUS=MR","Sort=A","Dates=H","DateFormat=P","Fill=—","Direction=H","UseDPDF=Y")</f>
        <v>8.7439</v>
      </c>
      <c r="P43" s="20">
        <f>_xll.BDH("GILD US Equity","CAPITAL_YIELD","FQ2 2022","FQ2 2022","Currency=USD","Period=FQ","BEST_FPERIOD_OVERRIDE=FQ","FILING_STATUS=MR","Sort=A","Dates=H","DateFormat=P","Fill=—","Direction=H","UseDPDF=Y")</f>
        <v>8.6489999999999991</v>
      </c>
      <c r="Q43" s="20">
        <f>_xll.BDH("GILD US Equity","CAPITAL_YIELD","FQ3 2022","FQ3 2022","Currency=USD","Period=FQ","BEST_FPERIOD_OVERRIDE=FQ","FILING_STATUS=MR","Sort=A","Dates=H","DateFormat=P","Fill=—","Direction=H","UseDPDF=Y")</f>
        <v>7.3250999999999999</v>
      </c>
      <c r="R43" s="20">
        <f>_xll.BDH("GILD US Equity","CAPITAL_YIELD","FQ4 2022","FQ4 2022","Currency=USD","Period=FQ","BEST_FPERIOD_OVERRIDE=FQ","FILING_STATUS=MR","Sort=A","Dates=H","DateFormat=P","Fill=—","Direction=H","UseDPDF=Y")</f>
        <v>5.2172000000000001</v>
      </c>
      <c r="S43" s="20">
        <f>_xll.BDH("GILD US Equity","CAPITAL_YIELD","FQ1 2023","FQ1 2023","Currency=USD","Period=FQ","BEST_FPERIOD_OVERRIDE=FQ","FILING_STATUS=MR","Sort=A","Dates=H","DateFormat=P","Fill=—","Direction=H","UseDPDF=Y")</f>
        <v>5.0308999999999999</v>
      </c>
      <c r="T43" s="20">
        <f>_xll.BDH("GILD US Equity","CAPITAL_YIELD","FQ2 2023","FQ2 2023","Currency=USD","Period=FQ","BEST_FPERIOD_OVERRIDE=FQ","FILING_STATUS=MR","Sort=A","Dates=H","DateFormat=P","Fill=—","Direction=H","UseDPDF=Y")</f>
        <v>5.4287000000000001</v>
      </c>
      <c r="U43" s="20">
        <f>_xll.BDH("GILD US Equity","CAPITAL_YIELD","FQ3 2023","FQ3 2023","Currency=USD","Period=FQ","BEST_FPERIOD_OVERRIDE=FQ","FILING_STATUS=MR","Sort=A","Dates=H","DateFormat=P","Fill=—","Direction=H","UseDPDF=Y")</f>
        <v>4.9710000000000001</v>
      </c>
      <c r="V43" s="20">
        <f>_xll.BDH("GILD US Equity","CAPITAL_YIELD","FQ4 2023","FQ4 2023","Currency=USD","Period=FQ","BEST_FPERIOD_OVERRIDE=FQ","FILING_STATUS=MR","Sort=A","Dates=H","DateFormat=P","Fill=—","Direction=H","UseDPDF=Y")</f>
        <v>4.2918000000000003</v>
      </c>
      <c r="W43" s="20">
        <f>_xll.BDH("GILD US Equity","CAPITAL_YIELD","FQ1 2024","FQ1 2024","Currency=USD","Period=FQ","BEST_FPERIOD_OVERRIDE=FQ","FILING_STATUS=MR","Sort=A","Dates=H","DateFormat=P","Fill=—","Direction=H","UseDPDF=Y")</f>
        <v>4.5252999999999997</v>
      </c>
      <c r="X43" s="20">
        <f>_xll.BDH("GILD US Equity","CAPITAL_YIELD","FQ2 2024","FQ2 2024","Currency=USD","Period=FQ","BEST_FPERIOD_OVERRIDE=FQ","FILING_STATUS=MR","Sort=A","Dates=H","DateFormat=P","Fill=—","Direction=H","UseDPDF=Y")</f>
        <v>6.5388000000000002</v>
      </c>
      <c r="Y43" s="20">
        <f>_xll.BDH("GILD US Equity","CAPITAL_YIELD","FQ3 2024","FQ3 2024","Currency=USD","Period=FQ","BEST_FPERIOD_OVERRIDE=FQ","FILING_STATUS=MR","Sort=A","Dates=H","DateFormat=P","Fill=—","Direction=H","UseDPDF=Y")</f>
        <v>5.4978999999999996</v>
      </c>
      <c r="Z43" s="20">
        <f>_xll.BDH("GILD US Equity","CAPITAL_YIELD","FQ4 2024","FQ4 2024","Currency=USD","Period=FQ","BEST_FPERIOD_OVERRIDE=FQ","FILING_STATUS=MR","Sort=A","Dates=H","DateFormat=P","Fill=—","Direction=H","UseDPDF=Y")</f>
        <v>2.6242999999999999</v>
      </c>
      <c r="AA43" s="20"/>
    </row>
    <row r="44" spans="1:27" x14ac:dyDescent="0.25">
      <c r="A44" s="7" t="s">
        <v>90</v>
      </c>
      <c r="B44" s="7"/>
      <c r="C44" s="7" t="s">
        <v>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24"/>
  <sheetViews>
    <sheetView workbookViewId="0">
      <selection activeCell="L13" sqref="L13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1742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1743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1744</v>
      </c>
      <c r="B7" s="10" t="s">
        <v>1745</v>
      </c>
      <c r="C7" s="14">
        <f>_xll.BDH("GILD US Equity","TAX_EFFICIENCY","FQ4 2018","FQ4 2018","Currency=USD","Period=FQ","BEST_FPERIOD_OVERRIDE=FQ","FILING_STATUS=MR","FA_ADJUSTED=GAAP","Sort=A","Dates=H","DateFormat=P","Fill=—","Direction=H","UseDPDF=Y")</f>
        <v>69.944900000000004</v>
      </c>
      <c r="D7" s="14">
        <f>_xll.BDH("GILD US Equity","TAX_EFFICIENCY","FQ1 2019","FQ1 2019","Currency=USD","Period=FQ","BEST_FPERIOD_OVERRIDE=FQ","FILING_STATUS=MR","FA_ADJUSTED=GAAP","Sort=A","Dates=H","DateFormat=P","Fill=—","Direction=H","UseDPDF=Y")</f>
        <v>72.597300000000004</v>
      </c>
      <c r="E7" s="14">
        <f>_xll.BDH("GILD US Equity","TAX_EFFICIENCY","FQ2 2019","FQ2 2019","Currency=USD","Period=FQ","BEST_FPERIOD_OVERRIDE=FQ","FILING_STATUS=MR","FA_ADJUSTED=GAAP","Sort=A","Dates=H","DateFormat=P","Fill=—","Direction=H","UseDPDF=Y")</f>
        <v>70.556899999999999</v>
      </c>
      <c r="F7" s="14">
        <f>_xll.BDH("GILD US Equity","TAX_EFFICIENCY","FQ3 2019","FQ3 2019","Currency=USD","Period=FQ","BEST_FPERIOD_OVERRIDE=FQ","FILING_STATUS=MR","FA_ADJUSTED=GAAP","Sort=A","Dates=H","DateFormat=P","Fill=—","Direction=H","UseDPDF=Y")</f>
        <v>62.994199999999999</v>
      </c>
      <c r="G7" s="14">
        <f>_xll.BDH("GILD US Equity","TAX_EFFICIENCY","FQ4 2019","FQ4 2019","Currency=USD","Period=FQ","BEST_FPERIOD_OVERRIDE=FQ","FILING_STATUS=MR","FA_ADJUSTED=GAAP","Sort=A","Dates=H","DateFormat=P","Fill=—","Direction=H","UseDPDF=Y")</f>
        <v>104.3798</v>
      </c>
      <c r="H7" s="14">
        <f>_xll.BDH("GILD US Equity","TAX_EFFICIENCY","FQ1 2020","FQ1 2020","Currency=USD","Period=FQ","BEST_FPERIOD_OVERRIDE=FQ","FILING_STATUS=MR","FA_ADJUSTED=GAAP","Sort=A","Dates=H","DateFormat=P","Fill=—","Direction=H","UseDPDF=Y")</f>
        <v>103.0958</v>
      </c>
      <c r="I7" s="14">
        <f>_xll.BDH("GILD US Equity","TAX_EFFICIENCY","FQ2 2020","FQ2 2020","Currency=USD","Period=FQ","BEST_FPERIOD_OVERRIDE=FQ","FILING_STATUS=MR","FA_ADJUSTED=GAAP","Sort=A","Dates=H","DateFormat=P","Fill=—","Direction=H","UseDPDF=Y")</f>
        <v>45.087699999999998</v>
      </c>
      <c r="J7" s="14">
        <f>_xll.BDH("GILD US Equity","TAX_EFFICIENCY","FQ3 2020","FQ3 2020","Currency=USD","Period=FQ","BEST_FPERIOD_OVERRIDE=FQ","FILING_STATUS=MR","FA_ADJUSTED=GAAP","Sort=A","Dates=H","DateFormat=P","Fill=—","Direction=H","UseDPDF=Y")</f>
        <v>72.209599999999995</v>
      </c>
      <c r="K7" s="14">
        <f>_xll.BDH("GILD US Equity","TAX_EFFICIENCY","FQ4 2020","FQ4 2020","Currency=USD","Period=FQ","BEST_FPERIOD_OVERRIDE=FQ","FILING_STATUS=MR","FA_ADJUSTED=GAAP","Sort=A","Dates=H","DateFormat=P","Fill=—","Direction=H","UseDPDF=Y")</f>
        <v>7.3696999999999999</v>
      </c>
      <c r="L7" s="14">
        <f>_xll.BDH("GILD US Equity","TAX_EFFICIENCY","FQ1 2021","FQ1 2021","Currency=USD","Period=FQ","BEST_FPERIOD_OVERRIDE=FQ","FILING_STATUS=MR","FA_ADJUSTED=GAAP","Sort=A","Dates=H","DateFormat=P","Fill=—","Direction=H","UseDPDF=Y")</f>
        <v>15.5959</v>
      </c>
      <c r="M7" s="14">
        <f>_xll.BDH("GILD US Equity","TAX_EFFICIENCY","FQ2 2021","FQ2 2021","Currency=USD","Period=FQ","BEST_FPERIOD_OVERRIDE=FQ","FILING_STATUS=MR","FA_ADJUSTED=GAAP","Sort=A","Dates=H","DateFormat=P","Fill=—","Direction=H","UseDPDF=Y")</f>
        <v>76.8155</v>
      </c>
      <c r="N7" s="14">
        <f>_xll.BDH("GILD US Equity","TAX_EFFICIENCY","FQ3 2021","FQ3 2021","Currency=USD","Period=FQ","BEST_FPERIOD_OVERRIDE=FQ","FILING_STATUS=MR","FA_ADJUSTED=GAAP","Sort=A","Dates=H","DateFormat=P","Fill=—","Direction=H","UseDPDF=Y")</f>
        <v>79.224299999999999</v>
      </c>
      <c r="O7" s="14">
        <f>_xll.BDH("GILD US Equity","TAX_EFFICIENCY","FQ4 2021","FQ4 2021","Currency=USD","Period=FQ","BEST_FPERIOD_OVERRIDE=FQ","FILING_STATUS=MR","FA_ADJUSTED=GAAP","Sort=A","Dates=H","DateFormat=P","Fill=—","Direction=H","UseDPDF=Y")</f>
        <v>75.199299999999994</v>
      </c>
      <c r="P7" s="14">
        <f>_xll.BDH("GILD US Equity","TAX_EFFICIENCY","FQ1 2022","FQ1 2022","Currency=USD","Period=FQ","BEST_FPERIOD_OVERRIDE=FQ","FILING_STATUS=MR","FA_ADJUSTED=GAAP","Sort=A","Dates=H","DateFormat=P","Fill=—","Direction=H","UseDPDF=Y")</f>
        <v>77.021500000000003</v>
      </c>
      <c r="Q7" s="14">
        <f>_xll.BDH("GILD US Equity","TAX_EFFICIENCY","FQ2 2022","FQ2 2022","Currency=USD","Period=FQ","BEST_FPERIOD_OVERRIDE=FQ","FILING_STATUS=MR","FA_ADJUSTED=GAAP","Sort=A","Dates=H","DateFormat=P","Fill=—","Direction=H","UseDPDF=Y")</f>
        <v>74.567400000000006</v>
      </c>
      <c r="R7" s="14">
        <f>_xll.BDH("GILD US Equity","TAX_EFFICIENCY","FQ3 2022","FQ3 2022","Currency=USD","Period=FQ","BEST_FPERIOD_OVERRIDE=FQ","FILING_STATUS=MR","FA_ADJUSTED=GAAP","Sort=A","Dates=H","DateFormat=P","Fill=—","Direction=H","UseDPDF=Y")</f>
        <v>73.403800000000004</v>
      </c>
      <c r="S7" s="14">
        <f>_xll.BDH("GILD US Equity","TAX_EFFICIENCY","FQ4 2022","FQ4 2022","Currency=USD","Period=FQ","BEST_FPERIOD_OVERRIDE=FQ","FILING_STATUS=MR","FA_ADJUSTED=GAAP","Sort=A","Dates=H","DateFormat=P","Fill=—","Direction=H","UseDPDF=Y")</f>
        <v>78.981800000000007</v>
      </c>
      <c r="T7" s="14">
        <f>_xll.BDH("GILD US Equity","TAX_EFFICIENCY","FQ1 2023","FQ1 2023","Currency=USD","Period=FQ","BEST_FPERIOD_OVERRIDE=FQ","FILING_STATUS=MR","FA_ADJUSTED=GAAP","Sort=A","Dates=H","DateFormat=P","Fill=—","Direction=H","UseDPDF=Y")</f>
        <v>76.837299999999999</v>
      </c>
      <c r="U7" s="14">
        <f>_xll.BDH("GILD US Equity","TAX_EFFICIENCY","FQ2 2023","FQ2 2023","Currency=USD","Period=FQ","BEST_FPERIOD_OVERRIDE=FQ","FILING_STATUS=MR","FA_ADJUSTED=GAAP","Sort=A","Dates=H","DateFormat=P","Fill=—","Direction=H","UseDPDF=Y")</f>
        <v>74.602099999999993</v>
      </c>
      <c r="V7" s="14">
        <f>_xll.BDH("GILD US Equity","TAX_EFFICIENCY","FQ3 2023","FQ3 2023","Currency=USD","Period=FQ","BEST_FPERIOD_OVERRIDE=FQ","FILING_STATUS=MR","FA_ADJUSTED=GAAP","Sort=A","Dates=H","DateFormat=P","Fill=—","Direction=H","UseDPDF=Y")</f>
        <v>81.168800000000005</v>
      </c>
      <c r="W7" s="14">
        <f>_xll.BDH("GILD US Equity","TAX_EFFICIENCY","FQ4 2023","FQ4 2023","Currency=USD","Period=FQ","BEST_FPERIOD_OVERRIDE=FQ","FILING_STATUS=MR","FA_ADJUSTED=GAAP","Sort=A","Dates=H","DateFormat=P","Fill=—","Direction=H","UseDPDF=Y")</f>
        <v>82.565600000000003</v>
      </c>
      <c r="X7" s="14">
        <f>_xll.BDH("GILD US Equity","TAX_EFFICIENCY","FQ1 2024","FQ1 2024","Currency=USD","Period=FQ","BEST_FPERIOD_OVERRIDE=FQ","FILING_STATUS=MR","FA_ADJUSTED=GAAP","Sort=A","Dates=H","DateFormat=P","Fill=—","Direction=H","UseDPDF=Y")</f>
        <v>45.065199999999997</v>
      </c>
      <c r="Y7" s="14">
        <f>_xll.BDH("GILD US Equity","TAX_EFFICIENCY","FQ2 2024","FQ2 2024","Currency=USD","Period=FQ","BEST_FPERIOD_OVERRIDE=FQ","FILING_STATUS=MR","FA_ADJUSTED=GAAP","Sort=A","Dates=H","DateFormat=P","Fill=—","Direction=H","UseDPDF=Y")</f>
        <v>68.421099999999996</v>
      </c>
      <c r="Z7" s="14">
        <f>_xll.BDH("GILD US Equity","TAX_EFFICIENCY","FQ3 2024","FQ3 2024","Currency=USD","Period=FQ","BEST_FPERIOD_OVERRIDE=FQ","FILING_STATUS=MR","FA_ADJUSTED=GAAP","Sort=A","Dates=H","DateFormat=P","Fill=—","Direction=H","UseDPDF=Y")</f>
        <v>71.590900000000005</v>
      </c>
      <c r="AA7" s="14">
        <f>_xll.BDH("GILD US Equity","TAX_EFFICIENCY","FQ4 2024","FQ4 2024","Currency=USD","Period=FQ","BEST_FPERIOD_OVERRIDE=FQ","FILING_STATUS=MR","FA_ADJUSTED=GAAP","Sort=A","Dates=H","DateFormat=P","Fill=—","Direction=H","UseDPDF=Y")</f>
        <v>69.464500000000001</v>
      </c>
    </row>
    <row r="8" spans="1:27" x14ac:dyDescent="0.25">
      <c r="A8" s="6" t="s">
        <v>1746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x14ac:dyDescent="0.25">
      <c r="A9" s="10" t="s">
        <v>1747</v>
      </c>
      <c r="B9" s="10" t="s">
        <v>1748</v>
      </c>
      <c r="C9" s="14">
        <f>_xll.BDH("GILD US Equity","NORM_NET_INC_TO_NET_INC_FO_COM","FQ4 2018","FQ4 2018","Currency=USD","Period=FQ","BEST_FPERIOD_OVERRIDE=FQ","FILING_STATUS=MR","FA_ADJUSTED=GAAP","Sort=A","Dates=H","DateFormat=P","Fill=—","Direction=H","UseDPDF=Y")</f>
        <v>1.2690999999999999</v>
      </c>
      <c r="D9" s="14">
        <f>_xll.BDH("GILD US Equity","NORM_NET_INC_TO_NET_INC_FO_COM","FQ1 2019","FQ1 2019","Currency=USD","Period=FQ","BEST_FPERIOD_OVERRIDE=FQ","FILING_STATUS=MR","FA_ADJUSTED=GAAP","Sort=A","Dates=H","DateFormat=P","Fill=—","Direction=H","UseDPDF=Y")</f>
        <v>1.2367999999999999</v>
      </c>
      <c r="E9" s="14">
        <f>_xll.BDH("GILD US Equity","NORM_NET_INC_TO_NET_INC_FO_COM","FQ2 2019","FQ2 2019","Currency=USD","Period=FQ","BEST_FPERIOD_OVERRIDE=FQ","FILING_STATUS=MR","FA_ADJUSTED=GAAP","Sort=A","Dates=H","DateFormat=P","Fill=—","Direction=H","UseDPDF=Y")</f>
        <v>1.2123999999999999</v>
      </c>
      <c r="F9" s="14">
        <f>_xll.BDH("GILD US Equity","NORM_NET_INC_TO_NET_INC_FO_COM","FQ3 2019","FQ3 2019","Currency=USD","Period=FQ","BEST_FPERIOD_OVERRIDE=FQ","FILING_STATUS=MR","FA_ADJUSTED=GAAP","Sort=A","Dates=H","DateFormat=P","Fill=—","Direction=H","UseDPDF=Y")</f>
        <v>2.6461000000000001</v>
      </c>
      <c r="G9" s="14">
        <f>_xll.BDH("GILD US Equity","NORM_NET_INC_TO_NET_INC_FO_COM","FQ4 2019","FQ4 2019","Currency=USD","Period=FQ","BEST_FPERIOD_OVERRIDE=FQ","FILING_STATUS=MR","FA_ADJUSTED=GAAP","Sort=A","Dates=H","DateFormat=P","Fill=—","Direction=H","UseDPDF=Y")</f>
        <v>1.2665999999999999</v>
      </c>
      <c r="H9" s="14">
        <f>_xll.BDH("GILD US Equity","NORM_NET_INC_TO_NET_INC_FO_COM","FQ1 2020","FQ1 2020","Currency=USD","Period=FQ","BEST_FPERIOD_OVERRIDE=FQ","FILING_STATUS=MR","FA_ADJUSTED=GAAP","Sort=A","Dates=H","DateFormat=P","Fill=—","Direction=H","UseDPDF=Y")</f>
        <v>1.4268000000000001</v>
      </c>
      <c r="I9" s="14" t="str">
        <f>_xll.BDH("GILD US Equity","NORM_NET_INC_TO_NET_INC_FO_COM","FQ2 2020","FQ2 2020","Currency=USD","Period=FQ","BEST_FPERIOD_OVERRIDE=FQ","FILING_STATUS=MR","FA_ADJUSTED=GAAP","Sort=A","Dates=H","DateFormat=P","Fill=—","Direction=H","UseDPDF=Y")</f>
        <v>—</v>
      </c>
      <c r="J9" s="14">
        <f>_xll.BDH("GILD US Equity","NORM_NET_INC_TO_NET_INC_FO_COM","FQ3 2020","FQ3 2020","Currency=USD","Period=FQ","BEST_FPERIOD_OVERRIDE=FQ","FILING_STATUS=MR","FA_ADJUSTED=GAAP","Sort=A","Dates=H","DateFormat=P","Fill=—","Direction=H","UseDPDF=Y")</f>
        <v>5.4409999999999998</v>
      </c>
      <c r="K9" s="14">
        <f>_xll.BDH("GILD US Equity","NORM_NET_INC_TO_NET_INC_FO_COM","FQ4 2020","FQ4 2020","Currency=USD","Period=FQ","BEST_FPERIOD_OVERRIDE=FQ","FILING_STATUS=MR","FA_ADJUSTED=GAAP","Sort=A","Dates=H","DateFormat=P","Fill=—","Direction=H","UseDPDF=Y")</f>
        <v>66.497600000000006</v>
      </c>
      <c r="L9" s="14">
        <f>_xll.BDH("GILD US Equity","NORM_NET_INC_TO_NET_INC_FO_COM","FQ1 2021","FQ1 2021","Currency=USD","Period=FQ","BEST_FPERIOD_OVERRIDE=FQ","FILING_STATUS=MR","FA_ADJUSTED=GAAP","Sort=A","Dates=H","DateFormat=P","Fill=—","Direction=H","UseDPDF=Y")</f>
        <v>28.797999999999998</v>
      </c>
      <c r="M9" s="14">
        <f>_xll.BDH("GILD US Equity","NORM_NET_INC_TO_NET_INC_FO_COM","FQ2 2021","FQ2 2021","Currency=USD","Period=FQ","BEST_FPERIOD_OVERRIDE=FQ","FILING_STATUS=MR","FA_ADJUSTED=GAAP","Sort=A","Dates=H","DateFormat=P","Fill=—","Direction=H","UseDPDF=Y")</f>
        <v>1.8208</v>
      </c>
      <c r="N9" s="14">
        <f>_xll.BDH("GILD US Equity","NORM_NET_INC_TO_NET_INC_FO_COM","FQ3 2021","FQ3 2021","Currency=USD","Period=FQ","BEST_FPERIOD_OVERRIDE=FQ","FILING_STATUS=MR","FA_ADJUSTED=GAAP","Sort=A","Dates=H","DateFormat=P","Fill=—","Direction=H","UseDPDF=Y")</f>
        <v>1.3362000000000001</v>
      </c>
      <c r="O9" s="14">
        <f>_xll.BDH("GILD US Equity","NORM_NET_INC_TO_NET_INC_FO_COM","FQ4 2021","FQ4 2021","Currency=USD","Period=FQ","BEST_FPERIOD_OVERRIDE=FQ","FILING_STATUS=MR","FA_ADJUSTED=GAAP","Sort=A","Dates=H","DateFormat=P","Fill=—","Direction=H","UseDPDF=Y")</f>
        <v>1.3492999999999999</v>
      </c>
      <c r="P9" s="14">
        <f>_xll.BDH("GILD US Equity","NORM_NET_INC_TO_NET_INC_FO_COM","FQ1 2022","FQ1 2022","Currency=USD","Period=FQ","BEST_FPERIOD_OVERRIDE=FQ","FILING_STATUS=MR","FA_ADJUSTED=GAAP","Sort=A","Dates=H","DateFormat=P","Fill=—","Direction=H","UseDPDF=Y")</f>
        <v>1.7586999999999999</v>
      </c>
      <c r="Q9" s="14">
        <f>_xll.BDH("GILD US Equity","NORM_NET_INC_TO_NET_INC_FO_COM","FQ2 2022","FQ2 2022","Currency=USD","Period=FQ","BEST_FPERIOD_OVERRIDE=FQ","FILING_STATUS=MR","FA_ADJUSTED=GAAP","Sort=A","Dates=H","DateFormat=P","Fill=—","Direction=H","UseDPDF=Y")</f>
        <v>1.8942000000000001</v>
      </c>
      <c r="R9" s="14">
        <f>_xll.BDH("GILD US Equity","NORM_NET_INC_TO_NET_INC_FO_COM","FQ3 2022","FQ3 2022","Currency=USD","Period=FQ","BEST_FPERIOD_OVERRIDE=FQ","FILING_STATUS=MR","FA_ADJUSTED=GAAP","Sort=A","Dates=H","DateFormat=P","Fill=—","Direction=H","UseDPDF=Y")</f>
        <v>2.3001</v>
      </c>
      <c r="S9" s="14">
        <f>_xll.BDH("GILD US Equity","NORM_NET_INC_TO_NET_INC_FO_COM","FQ4 2022","FQ4 2022","Currency=USD","Period=FQ","BEST_FPERIOD_OVERRIDE=FQ","FILING_STATUS=MR","FA_ADJUSTED=GAAP","Sort=A","Dates=H","DateFormat=P","Fill=—","Direction=H","UseDPDF=Y")</f>
        <v>1.873</v>
      </c>
      <c r="T9" s="14">
        <f>_xll.BDH("GILD US Equity","NORM_NET_INC_TO_NET_INC_FO_COM","FQ1 2023","FQ1 2023","Currency=USD","Period=FQ","BEST_FPERIOD_OVERRIDE=FQ","FILING_STATUS=MR","FA_ADJUSTED=GAAP","Sort=A","Dates=H","DateFormat=P","Fill=—","Direction=H","UseDPDF=Y")</f>
        <v>1.4533</v>
      </c>
      <c r="U9" s="14">
        <f>_xll.BDH("GILD US Equity","NORM_NET_INC_TO_NET_INC_FO_COM","FQ2 2023","FQ2 2023","Currency=USD","Period=FQ","BEST_FPERIOD_OVERRIDE=FQ","FILING_STATUS=MR","FA_ADJUSTED=GAAP","Sort=A","Dates=H","DateFormat=P","Fill=—","Direction=H","UseDPDF=Y")</f>
        <v>1.4164000000000001</v>
      </c>
      <c r="V9" s="14">
        <f>_xll.BDH("GILD US Equity","NORM_NET_INC_TO_NET_INC_FO_COM","FQ3 2023","FQ3 2023","Currency=USD","Period=FQ","BEST_FPERIOD_OVERRIDE=FQ","FILING_STATUS=MR","FA_ADJUSTED=GAAP","Sort=A","Dates=H","DateFormat=P","Fill=—","Direction=H","UseDPDF=Y")</f>
        <v>1.2790999999999999</v>
      </c>
      <c r="W9" s="14">
        <f>_xll.BDH("GILD US Equity","NORM_NET_INC_TO_NET_INC_FO_COM","FQ4 2023","FQ4 2023","Currency=USD","Period=FQ","BEST_FPERIOD_OVERRIDE=FQ","FILING_STATUS=MR","FA_ADJUSTED=GAAP","Sort=A","Dates=H","DateFormat=P","Fill=—","Direction=H","UseDPDF=Y")</f>
        <v>1.3425</v>
      </c>
      <c r="X9" s="14">
        <f>_xll.BDH("GILD US Equity","NORM_NET_INC_TO_NET_INC_FO_COM","FQ1 2024","FQ1 2024","Currency=USD","Period=FQ","BEST_FPERIOD_OVERRIDE=FQ","FILING_STATUS=MR","FA_ADJUSTED=GAAP","Sort=A","Dates=H","DateFormat=P","Fill=—","Direction=H","UseDPDF=Y")</f>
        <v>14.635</v>
      </c>
      <c r="Y9" s="14">
        <f>_xll.BDH("GILD US Equity","NORM_NET_INC_TO_NET_INC_FO_COM","FQ2 2024","FQ2 2024","Currency=USD","Period=FQ","BEST_FPERIOD_OVERRIDE=FQ","FILING_STATUS=MR","FA_ADJUSTED=GAAP","Sort=A","Dates=H","DateFormat=P","Fill=—","Direction=H","UseDPDF=Y")</f>
        <v>7.3291000000000004</v>
      </c>
      <c r="Z9" s="14">
        <f>_xll.BDH("GILD US Equity","NORM_NET_INC_TO_NET_INC_FO_COM","FQ3 2024","FQ3 2024","Currency=USD","Period=FQ","BEST_FPERIOD_OVERRIDE=FQ","FILING_STATUS=MR","FA_ADJUSTED=GAAP","Sort=A","Dates=H","DateFormat=P","Fill=—","Direction=H","UseDPDF=Y")</f>
        <v>61.091999999999999</v>
      </c>
      <c r="AA9" s="14">
        <f>_xll.BDH("GILD US Equity","NORM_NET_INC_TO_NET_INC_FO_COM","FQ4 2024","FQ4 2024","Currency=USD","Period=FQ","BEST_FPERIOD_OVERRIDE=FQ","FILING_STATUS=MR","FA_ADJUSTED=GAAP","Sort=A","Dates=H","DateFormat=P","Fill=—","Direction=H","UseDPDF=Y")</f>
        <v>15.9308</v>
      </c>
    </row>
    <row r="10" spans="1:27" x14ac:dyDescent="0.25">
      <c r="A10" s="6" t="s">
        <v>1749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x14ac:dyDescent="0.25">
      <c r="A11" s="10" t="s">
        <v>1750</v>
      </c>
      <c r="B11" s="10" t="s">
        <v>1751</v>
      </c>
      <c r="C11" s="14">
        <f>_xll.BDH("GILD US Equity","INT_BURDEN","FQ4 2018","FQ4 2018","Currency=USD","Period=FQ","BEST_FPERIOD_OVERRIDE=FQ","FILING_STATUS=MR","FA_ADJUSTED=GAAP","Sort=A","Dates=H","DateFormat=P","Fill=—","Direction=H","UseDPDF=Y")</f>
        <v>87.866200000000006</v>
      </c>
      <c r="D11" s="14">
        <f>_xll.BDH("GILD US Equity","INT_BURDEN","FQ1 2019","FQ1 2019","Currency=USD","Period=FQ","BEST_FPERIOD_OVERRIDE=FQ","FILING_STATUS=MR","FA_ADJUSTED=GAAP","Sort=A","Dates=H","DateFormat=P","Fill=—","Direction=H","UseDPDF=Y")</f>
        <v>88.631600000000006</v>
      </c>
      <c r="E11" s="14">
        <f>_xll.BDH("GILD US Equity","INT_BURDEN","FQ2 2019","FQ2 2019","Currency=USD","Period=FQ","BEST_FPERIOD_OVERRIDE=FQ","FILING_STATUS=MR","FA_ADJUSTED=GAAP","Sort=A","Dates=H","DateFormat=P","Fill=—","Direction=H","UseDPDF=Y")</f>
        <v>89.189499999999995</v>
      </c>
      <c r="F11" s="14">
        <f>_xll.BDH("GILD US Equity","INT_BURDEN","FQ3 2019","FQ3 2019","Currency=USD","Period=FQ","BEST_FPERIOD_OVERRIDE=FQ","FILING_STATUS=MR","FA_ADJUSTED=GAAP","Sort=A","Dates=H","DateFormat=P","Fill=—","Direction=H","UseDPDF=Y")</f>
        <v>80.904600000000002</v>
      </c>
      <c r="G11" s="14">
        <f>_xll.BDH("GILD US Equity","INT_BURDEN","FQ4 2019","FQ4 2019","Currency=USD","Period=FQ","BEST_FPERIOD_OVERRIDE=FQ","FILING_STATUS=MR","FA_ADJUSTED=GAAP","Sort=A","Dates=H","DateFormat=P","Fill=—","Direction=H","UseDPDF=Y")</f>
        <v>83.834299999999999</v>
      </c>
      <c r="H11" s="14">
        <f>_xll.BDH("GILD US Equity","INT_BURDEN","FQ1 2020","FQ1 2020","Currency=USD","Period=FQ","BEST_FPERIOD_OVERRIDE=FQ","FILING_STATUS=MR","FA_ADJUSTED=GAAP","Sort=A","Dates=H","DateFormat=P","Fill=—","Direction=H","UseDPDF=Y")</f>
        <v>83.054400000000001</v>
      </c>
      <c r="I11" s="14">
        <f>_xll.BDH("GILD US Equity","INT_BURDEN","FQ2 2020","FQ2 2020","Currency=USD","Period=FQ","BEST_FPERIOD_OVERRIDE=FQ","FILING_STATUS=MR","FA_ADJUSTED=GAAP","Sort=A","Dates=H","DateFormat=P","Fill=—","Direction=H","UseDPDF=Y")</f>
        <v>-141.0891</v>
      </c>
      <c r="J11" s="14">
        <f>_xll.BDH("GILD US Equity","INT_BURDEN","FQ3 2020","FQ3 2020","Currency=USD","Period=FQ","BEST_FPERIOD_OVERRIDE=FQ","FILING_STATUS=MR","FA_ADJUSTED=GAAP","Sort=A","Dates=H","DateFormat=P","Fill=—","Direction=H","UseDPDF=Y")</f>
        <v>64.653899999999993</v>
      </c>
      <c r="K11" s="14">
        <f>_xll.BDH("GILD US Equity","INT_BURDEN","FQ4 2020","FQ4 2020","Currency=USD","Period=FQ","BEST_FPERIOD_OVERRIDE=FQ","FILING_STATUS=MR","FA_ADJUSTED=GAAP","Sort=A","Dates=H","DateFormat=P","Fill=—","Direction=H","UseDPDF=Y")</f>
        <v>62.9099</v>
      </c>
      <c r="L11" s="14">
        <f>_xll.BDH("GILD US Equity","INT_BURDEN","FQ1 2021","FQ1 2021","Currency=USD","Period=FQ","BEST_FPERIOD_OVERRIDE=FQ","FILING_STATUS=MR","FA_ADJUSTED=GAAP","Sort=A","Dates=H","DateFormat=P","Fill=—","Direction=H","UseDPDF=Y")</f>
        <v>65.8703</v>
      </c>
      <c r="M11" s="14">
        <f>_xll.BDH("GILD US Equity","INT_BURDEN","FQ2 2021","FQ2 2021","Currency=USD","Period=FQ","BEST_FPERIOD_OVERRIDE=FQ","FILING_STATUS=MR","FA_ADJUSTED=GAAP","Sort=A","Dates=H","DateFormat=P","Fill=—","Direction=H","UseDPDF=Y")</f>
        <v>86.866600000000005</v>
      </c>
      <c r="N11" s="14">
        <f>_xll.BDH("GILD US Equity","INT_BURDEN","FQ3 2021","FQ3 2021","Currency=USD","Period=FQ","BEST_FPERIOD_OVERRIDE=FQ","FILING_STATUS=MR","FA_ADJUSTED=GAAP","Sort=A","Dates=H","DateFormat=P","Fill=—","Direction=H","UseDPDF=Y")</f>
        <v>90.0608</v>
      </c>
      <c r="O11" s="14">
        <f>_xll.BDH("GILD US Equity","INT_BURDEN","FQ4 2021","FQ4 2021","Currency=USD","Period=FQ","BEST_FPERIOD_OVERRIDE=FQ","FILING_STATUS=MR","FA_ADJUSTED=GAAP","Sort=A","Dates=H","DateFormat=P","Fill=—","Direction=H","UseDPDF=Y")</f>
        <v>89.212199999999996</v>
      </c>
      <c r="P11" s="14">
        <f>_xll.BDH("GILD US Equity","INT_BURDEN","FQ1 2022","FQ1 2022","Currency=USD","Period=FQ","BEST_FPERIOD_OVERRIDE=FQ","FILING_STATUS=MR","FA_ADJUSTED=GAAP","Sort=A","Dates=H","DateFormat=P","Fill=—","Direction=H","UseDPDF=Y")</f>
        <v>85.651700000000005</v>
      </c>
      <c r="Q11" s="14">
        <f>_xll.BDH("GILD US Equity","INT_BURDEN","FQ2 2022","FQ2 2022","Currency=USD","Period=FQ","BEST_FPERIOD_OVERRIDE=FQ","FILING_STATUS=MR","FA_ADJUSTED=GAAP","Sort=A","Dates=H","DateFormat=P","Fill=—","Direction=H","UseDPDF=Y")</f>
        <v>85.144300000000001</v>
      </c>
      <c r="R11" s="14">
        <f>_xll.BDH("GILD US Equity","INT_BURDEN","FQ3 2022","FQ3 2022","Currency=USD","Period=FQ","BEST_FPERIOD_OVERRIDE=FQ","FILING_STATUS=MR","FA_ADJUSTED=GAAP","Sort=A","Dates=H","DateFormat=P","Fill=—","Direction=H","UseDPDF=Y")</f>
        <v>82.747299999999996</v>
      </c>
      <c r="S11" s="14">
        <f>_xll.BDH("GILD US Equity","INT_BURDEN","FQ4 2022","FQ4 2022","Currency=USD","Period=FQ","BEST_FPERIOD_OVERRIDE=FQ","FILING_STATUS=MR","FA_ADJUSTED=GAAP","Sort=A","Dates=H","DateFormat=P","Fill=—","Direction=H","UseDPDF=Y")</f>
        <v>86.133300000000006</v>
      </c>
      <c r="T11" s="14">
        <f>_xll.BDH("GILD US Equity","INT_BURDEN","FQ1 2023","FQ1 2023","Currency=USD","Period=FQ","BEST_FPERIOD_OVERRIDE=FQ","FILING_STATUS=MR","FA_ADJUSTED=GAAP","Sort=A","Dates=H","DateFormat=P","Fill=—","Direction=H","UseDPDF=Y")</f>
        <v>88.674599999999998</v>
      </c>
      <c r="U11" s="14">
        <f>_xll.BDH("GILD US Equity","INT_BURDEN","FQ2 2023","FQ2 2023","Currency=USD","Period=FQ","BEST_FPERIOD_OVERRIDE=FQ","FILING_STATUS=MR","FA_ADJUSTED=GAAP","Sort=A","Dates=H","DateFormat=P","Fill=—","Direction=H","UseDPDF=Y")</f>
        <v>88.919799999999995</v>
      </c>
      <c r="V11" s="14">
        <f>_xll.BDH("GILD US Equity","INT_BURDEN","FQ3 2023","FQ3 2023","Currency=USD","Period=FQ","BEST_FPERIOD_OVERRIDE=FQ","FILING_STATUS=MR","FA_ADJUSTED=GAAP","Sort=A","Dates=H","DateFormat=P","Fill=—","Direction=H","UseDPDF=Y")</f>
        <v>88.733599999999996</v>
      </c>
      <c r="W11" s="14">
        <f>_xll.BDH("GILD US Equity","INT_BURDEN","FQ4 2023","FQ4 2023","Currency=USD","Period=FQ","BEST_FPERIOD_OVERRIDE=FQ","FILING_STATUS=MR","FA_ADJUSTED=GAAP","Sort=A","Dates=H","DateFormat=P","Fill=—","Direction=H","UseDPDF=Y")</f>
        <v>87.903599999999997</v>
      </c>
      <c r="X11" s="14">
        <f>_xll.BDH("GILD US Equity","INT_BURDEN","FQ1 2024","FQ1 2024","Currency=USD","Period=FQ","BEST_FPERIOD_OVERRIDE=FQ","FILING_STATUS=MR","FA_ADJUSTED=GAAP","Sort=A","Dates=H","DateFormat=P","Fill=—","Direction=H","UseDPDF=Y")</f>
        <v>52.595500000000001</v>
      </c>
      <c r="Y11" s="14">
        <f>_xll.BDH("GILD US Equity","INT_BURDEN","FQ2 2024","FQ2 2024","Currency=USD","Period=FQ","BEST_FPERIOD_OVERRIDE=FQ","FILING_STATUS=MR","FA_ADJUSTED=GAAP","Sort=A","Dates=H","DateFormat=P","Fill=—","Direction=H","UseDPDF=Y")</f>
        <v>61.241500000000002</v>
      </c>
      <c r="Z11" s="14">
        <f>_xll.BDH("GILD US Equity","INT_BURDEN","FQ3 2024","FQ3 2024","Currency=USD","Period=FQ","BEST_FPERIOD_OVERRIDE=FQ","FILING_STATUS=MR","FA_ADJUSTED=GAAP","Sort=A","Dates=H","DateFormat=P","Fill=—","Direction=H","UseDPDF=Y")</f>
        <v>15.2249</v>
      </c>
      <c r="AA11" s="14">
        <f>_xll.BDH("GILD US Equity","INT_BURDEN","FQ4 2024","FQ4 2024","Currency=USD","Period=FQ","BEST_FPERIOD_OVERRIDE=FQ","FILING_STATUS=MR","FA_ADJUSTED=GAAP","Sort=A","Dates=H","DateFormat=P","Fill=—","Direction=H","UseDPDF=Y")</f>
        <v>41.451700000000002</v>
      </c>
    </row>
    <row r="12" spans="1:27" x14ac:dyDescent="0.25">
      <c r="A12" s="6" t="s">
        <v>398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10" t="s">
        <v>1752</v>
      </c>
      <c r="B13" s="10" t="s">
        <v>1753</v>
      </c>
      <c r="C13" s="14">
        <f>_xll.BDH("GILD US Equity","T12_EBIT_TO_REVENUE","FQ4 2018","FQ4 2018","Currency=USD","Period=FQ","BEST_FPERIOD_OVERRIDE=FQ","FILING_STATUS=MR","FA_ADJUSTED=GAAP","Sort=A","Dates=H","DateFormat=P","Fill=—","Direction=H","UseDPDF=Y")</f>
        <v>40.113900000000001</v>
      </c>
      <c r="D13" s="14">
        <f>_xll.BDH("GILD US Equity","T12_EBIT_TO_REVENUE","FQ1 2019","FQ1 2019","Currency=USD","Period=FQ","BEST_FPERIOD_OVERRIDE=FQ","FILING_STATUS=MR","FA_ADJUSTED=GAAP","Sort=A","Dates=H","DateFormat=P","Fill=—","Direction=H","UseDPDF=Y")</f>
        <v>41.026000000000003</v>
      </c>
      <c r="E13" s="14">
        <f>_xll.BDH("GILD US Equity","T12_EBIT_TO_REVENUE","FQ2 2019","FQ2 2019","Currency=USD","Period=FQ","BEST_FPERIOD_OVERRIDE=FQ","FILING_STATUS=MR","FA_ADJUSTED=GAAP","Sort=A","Dates=H","DateFormat=P","Fill=—","Direction=H","UseDPDF=Y")</f>
        <v>42.326799999999999</v>
      </c>
      <c r="F13" s="14">
        <f>_xll.BDH("GILD US Equity","T12_EBIT_TO_REVENUE","FQ3 2019","FQ3 2019","Currency=USD","Period=FQ","BEST_FPERIOD_OVERRIDE=FQ","FILING_STATUS=MR","FA_ADJUSTED=GAAP","Sort=A","Dates=H","DateFormat=P","Fill=—","Direction=H","UseDPDF=Y")</f>
        <v>23.626200000000001</v>
      </c>
      <c r="G13" s="14">
        <f>_xll.BDH("GILD US Equity","T12_EBIT_TO_REVENUE","FQ4 2019","FQ4 2019","Currency=USD","Period=FQ","BEST_FPERIOD_OVERRIDE=FQ","FILING_STATUS=MR","FA_ADJUSTED=GAAP","Sort=A","Dates=H","DateFormat=P","Fill=—","Direction=H","UseDPDF=Y")</f>
        <v>27.4177</v>
      </c>
      <c r="H13" s="14">
        <f>_xll.BDH("GILD US Equity","T12_EBIT_TO_REVENUE","FQ1 2020","FQ1 2020","Currency=USD","Period=FQ","BEST_FPERIOD_OVERRIDE=FQ","FILING_STATUS=MR","FA_ADJUSTED=GAAP","Sort=A","Dates=H","DateFormat=P","Fill=—","Direction=H","UseDPDF=Y")</f>
        <v>25.5107</v>
      </c>
      <c r="I13" s="14">
        <f>_xll.BDH("GILD US Equity","T12_EBIT_TO_REVENUE","FQ2 2020","FQ2 2020","Currency=USD","Period=FQ","BEST_FPERIOD_OVERRIDE=FQ","FILING_STATUS=MR","FA_ADJUSTED=GAAP","Sort=A","Dates=H","DateFormat=P","Fill=—","Direction=H","UseDPDF=Y")</f>
        <v>1.8220000000000001</v>
      </c>
      <c r="J13" s="14">
        <f>_xll.BDH("GILD US Equity","T12_EBIT_TO_REVENUE","FQ3 2020","FQ3 2020","Currency=USD","Period=FQ","BEST_FPERIOD_OVERRIDE=FQ","FILING_STATUS=MR","FA_ADJUSTED=GAAP","Sort=A","Dates=H","DateFormat=P","Fill=—","Direction=H","UseDPDF=Y")</f>
        <v>11.733700000000001</v>
      </c>
      <c r="K13" s="14">
        <f>_xll.BDH("GILD US Equity","T12_EBIT_TO_REVENUE","FQ4 2020","FQ4 2020","Currency=USD","Period=FQ","BEST_FPERIOD_OVERRIDE=FQ","FILING_STATUS=MR","FA_ADJUSTED=GAAP","Sort=A","Dates=H","DateFormat=P","Fill=—","Direction=H","UseDPDF=Y")</f>
        <v>10.745699999999999</v>
      </c>
      <c r="L13" s="14">
        <f>_xll.BDH("GILD US Equity","T12_EBIT_TO_REVENUE","FQ1 2021","FQ1 2021","Currency=USD","Period=FQ","BEST_FPERIOD_OVERRIDE=FQ","FILING_STATUS=MR","FA_ADJUSTED=GAAP","Sort=A","Dates=H","DateFormat=P","Fill=—","Direction=H","UseDPDF=Y")</f>
        <v>11.461399999999999</v>
      </c>
      <c r="M13" s="14">
        <f>_xll.BDH("GILD US Equity","T12_EBIT_TO_REVENUE","FQ2 2021","FQ2 2021","Currency=USD","Period=FQ","BEST_FPERIOD_OVERRIDE=FQ","FILING_STATUS=MR","FA_ADJUSTED=GAAP","Sort=A","Dates=H","DateFormat=P","Fill=—","Direction=H","UseDPDF=Y")</f>
        <v>29.0412</v>
      </c>
      <c r="N13" s="14">
        <f>_xll.BDH("GILD US Equity","T12_EBIT_TO_REVENUE","FQ3 2021","FQ3 2021","Currency=USD","Period=FQ","BEST_FPERIOD_OVERRIDE=FQ","FILING_STATUS=MR","FA_ADJUSTED=GAAP","Sort=A","Dates=H","DateFormat=P","Fill=—","Direction=H","UseDPDF=Y")</f>
        <v>37.708300000000001</v>
      </c>
      <c r="O13" s="14">
        <f>_xll.BDH("GILD US Equity","T12_EBIT_TO_REVENUE","FQ4 2021","FQ4 2021","Currency=USD","Period=FQ","BEST_FPERIOD_OVERRIDE=FQ","FILING_STATUS=MR","FA_ADJUSTED=GAAP","Sort=A","Dates=H","DateFormat=P","Fill=—","Direction=H","UseDPDF=Y")</f>
        <v>33.982799999999997</v>
      </c>
      <c r="P13" s="14">
        <f>_xll.BDH("GILD US Equity","T12_EBIT_TO_REVENUE","FQ1 2022","FQ1 2022","Currency=USD","Period=FQ","BEST_FPERIOD_OVERRIDE=FQ","FILING_STATUS=MR","FA_ADJUSTED=GAAP","Sort=A","Dates=H","DateFormat=P","Fill=—","Direction=H","UseDPDF=Y")</f>
        <v>24.912600000000001</v>
      </c>
      <c r="Q13" s="14">
        <f>_xll.BDH("GILD US Equity","T12_EBIT_TO_REVENUE","FQ2 2022","FQ2 2022","Currency=USD","Period=FQ","BEST_FPERIOD_OVERRIDE=FQ","FILING_STATUS=MR","FA_ADJUSTED=GAAP","Sort=A","Dates=H","DateFormat=P","Fill=—","Direction=H","UseDPDF=Y")</f>
        <v>23.6816</v>
      </c>
      <c r="R13" s="14">
        <f>_xll.BDH("GILD US Equity","T12_EBIT_TO_REVENUE","FQ3 2022","FQ3 2022","Currency=USD","Period=FQ","BEST_FPERIOD_OVERRIDE=FQ","FILING_STATUS=MR","FA_ADJUSTED=GAAP","Sort=A","Dates=H","DateFormat=P","Fill=—","Direction=H","UseDPDF=Y")</f>
        <v>20.227699999999999</v>
      </c>
      <c r="S13" s="14">
        <f>_xll.BDH("GILD US Equity","T12_EBIT_TO_REVENUE","FQ4 2022","FQ4 2022","Currency=USD","Period=FQ","BEST_FPERIOD_OVERRIDE=FQ","FILING_STATUS=MR","FA_ADJUSTED=GAAP","Sort=A","Dates=H","DateFormat=P","Fill=—","Direction=H","UseDPDF=Y")</f>
        <v>24.7425</v>
      </c>
      <c r="T13" s="14">
        <f>_xll.BDH("GILD US Equity","T12_EBIT_TO_REVENUE","FQ1 2023","FQ1 2023","Currency=USD","Period=FQ","BEST_FPERIOD_OVERRIDE=FQ","FILING_STATUS=MR","FA_ADJUSTED=GAAP","Sort=A","Dates=H","DateFormat=P","Fill=—","Direction=H","UseDPDF=Y")</f>
        <v>30.299900000000001</v>
      </c>
      <c r="U13" s="14">
        <f>_xll.BDH("GILD US Equity","T12_EBIT_TO_REVENUE","FQ2 2023","FQ2 2023","Currency=USD","Period=FQ","BEST_FPERIOD_OVERRIDE=FQ","FILING_STATUS=MR","FA_ADJUSTED=GAAP","Sort=A","Dates=H","DateFormat=P","Fill=—","Direction=H","UseDPDF=Y")</f>
        <v>30.191400000000002</v>
      </c>
      <c r="V13" s="14">
        <f>_xll.BDH("GILD US Equity","T12_EBIT_TO_REVENUE","FQ3 2023","FQ3 2023","Currency=USD","Period=FQ","BEST_FPERIOD_OVERRIDE=FQ","FILING_STATUS=MR","FA_ADJUSTED=GAAP","Sort=A","Dates=H","DateFormat=P","Fill=—","Direction=H","UseDPDF=Y")</f>
        <v>29.779900000000001</v>
      </c>
      <c r="W13" s="14">
        <f>_xll.BDH("GILD US Equity","T12_EBIT_TO_REVENUE","FQ4 2023","FQ4 2023","Currency=USD","Period=FQ","BEST_FPERIOD_OVERRIDE=FQ","FILING_STATUS=MR","FA_ADJUSTED=GAAP","Sort=A","Dates=H","DateFormat=P","Fill=—","Direction=H","UseDPDF=Y")</f>
        <v>28.779</v>
      </c>
      <c r="X13" s="14">
        <f>_xll.BDH("GILD US Equity","T12_EBIT_TO_REVENUE","FQ1 2024","FQ1 2024","Currency=USD","Period=FQ","BEST_FPERIOD_OVERRIDE=FQ","FILING_STATUS=MR","FA_ADJUSTED=GAAP","Sort=A","Dates=H","DateFormat=P","Fill=—","Direction=H","UseDPDF=Y")</f>
        <v>7.4386999999999999</v>
      </c>
      <c r="Y13" s="14">
        <f>_xll.BDH("GILD US Equity","T12_EBIT_TO_REVENUE","FQ2 2024","FQ2 2024","Currency=USD","Period=FQ","BEST_FPERIOD_OVERRIDE=FQ","FILING_STATUS=MR","FA_ADJUSTED=GAAP","Sort=A","Dates=H","DateFormat=P","Fill=—","Direction=H","UseDPDF=Y")</f>
        <v>9.0379000000000005</v>
      </c>
      <c r="Z13" s="14">
        <f>_xll.BDH("GILD US Equity","T12_EBIT_TO_REVENUE","FQ3 2024","FQ3 2024","Currency=USD","Period=FQ","BEST_FPERIOD_OVERRIDE=FQ","FILING_STATUS=MR","FA_ADJUSTED=GAAP","Sort=A","Dates=H","DateFormat=P","Fill=—","Direction=H","UseDPDF=Y")</f>
        <v>4.0849000000000002</v>
      </c>
      <c r="AA13" s="14">
        <f>_xll.BDH("GILD US Equity","T12_EBIT_TO_REVENUE","FQ4 2024","FQ4 2024","Currency=USD","Period=FQ","BEST_FPERIOD_OVERRIDE=FQ","FILING_STATUS=MR","FA_ADJUSTED=GAAP","Sort=A","Dates=H","DateFormat=P","Fill=—","Direction=H","UseDPDF=Y")</f>
        <v>5.7976999999999999</v>
      </c>
    </row>
    <row r="14" spans="1:27" x14ac:dyDescent="0.25">
      <c r="A14" s="6" t="s">
        <v>1754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x14ac:dyDescent="0.25">
      <c r="A15" s="10" t="s">
        <v>1755</v>
      </c>
      <c r="B15" s="10" t="s">
        <v>1756</v>
      </c>
      <c r="C15" s="14">
        <f>_xll.BDH("GILD US Equity","ASSET_TURNOVER","FQ4 2018","FQ4 2018","Currency=USD","Period=FQ","BEST_FPERIOD_OVERRIDE=FQ","FILING_STATUS=MR","FA_ADJUSTED=GAAP","Sort=A","Dates=H","DateFormat=P","Fill=—","Direction=H","UseDPDF=Y")</f>
        <v>0.33040000000000003</v>
      </c>
      <c r="D15" s="14">
        <f>_xll.BDH("GILD US Equity","ASSET_TURNOVER","FQ1 2019","FQ1 2019","Currency=USD","Period=FQ","BEST_FPERIOD_OVERRIDE=FQ","FILING_STATUS=MR","FA_ADJUSTED=GAAP","Sort=A","Dates=H","DateFormat=P","Fill=—","Direction=H","UseDPDF=Y")</f>
        <v>0.34820000000000001</v>
      </c>
      <c r="E15" s="14">
        <f>_xll.BDH("GILD US Equity","ASSET_TURNOVER","FQ2 2019","FQ2 2019","Currency=USD","Period=FQ","BEST_FPERIOD_OVERRIDE=FQ","FILING_STATUS=MR","FA_ADJUSTED=GAAP","Sort=A","Dates=H","DateFormat=P","Fill=—","Direction=H","UseDPDF=Y")</f>
        <v>0.3478</v>
      </c>
      <c r="F15" s="14">
        <f>_xll.BDH("GILD US Equity","ASSET_TURNOVER","FQ3 2019","FQ3 2019","Currency=USD","Period=FQ","BEST_FPERIOD_OVERRIDE=FQ","FILING_STATUS=MR","FA_ADJUSTED=GAAP","Sort=A","Dates=H","DateFormat=P","Fill=—","Direction=H","UseDPDF=Y")</f>
        <v>0.36230000000000001</v>
      </c>
      <c r="G15" s="14">
        <f>_xll.BDH("GILD US Equity","ASSET_TURNOVER","FQ4 2019","FQ4 2019","Currency=USD","Period=FQ","BEST_FPERIOD_OVERRIDE=FQ","FILING_STATUS=MR","FA_ADJUSTED=GAAP","Sort=A","Dates=H","DateFormat=P","Fill=—","Direction=H","UseDPDF=Y")</f>
        <v>0.35830000000000001</v>
      </c>
      <c r="H15" s="14">
        <f>_xll.BDH("GILD US Equity","ASSET_TURNOVER","FQ1 2020","FQ1 2020","Currency=USD","Period=FQ","BEST_FPERIOD_OVERRIDE=FQ","FILING_STATUS=MR","FA_ADJUSTED=GAAP","Sort=A","Dates=H","DateFormat=P","Fill=—","Direction=H","UseDPDF=Y")</f>
        <v>0.37059999999999998</v>
      </c>
      <c r="I15" s="14">
        <f>_xll.BDH("GILD US Equity","ASSET_TURNOVER","FQ2 2020","FQ2 2020","Currency=USD","Period=FQ","BEST_FPERIOD_OVERRIDE=FQ","FILING_STATUS=MR","FA_ADJUSTED=GAAP","Sort=A","Dates=H","DateFormat=P","Fill=—","Direction=H","UseDPDF=Y")</f>
        <v>0.37219999999999998</v>
      </c>
      <c r="J15" s="14">
        <f>_xll.BDH("GILD US Equity","ASSET_TURNOVER","FQ3 2020","FQ3 2020","Currency=USD","Period=FQ","BEST_FPERIOD_OVERRIDE=FQ","FILING_STATUS=MR","FA_ADJUSTED=GAAP","Sort=A","Dates=H","DateFormat=P","Fill=—","Direction=H","UseDPDF=Y")</f>
        <v>0.38569999999999999</v>
      </c>
      <c r="K15" s="14">
        <f>_xll.BDH("GILD US Equity","ASSET_TURNOVER","FQ4 2020","FQ4 2020","Currency=USD","Period=FQ","BEST_FPERIOD_OVERRIDE=FQ","FILING_STATUS=MR","FA_ADJUSTED=GAAP","Sort=A","Dates=H","DateFormat=P","Fill=—","Direction=H","UseDPDF=Y")</f>
        <v>0.37969999999999998</v>
      </c>
      <c r="L15" s="14">
        <f>_xll.BDH("GILD US Equity","ASSET_TURNOVER","FQ1 2021","FQ1 2021","Currency=USD","Period=FQ","BEST_FPERIOD_OVERRIDE=FQ","FILING_STATUS=MR","FA_ADJUSTED=GAAP","Sort=A","Dates=H","DateFormat=P","Fill=—","Direction=H","UseDPDF=Y")</f>
        <v>0.40179999999999999</v>
      </c>
      <c r="M15" s="14">
        <f>_xll.BDH("GILD US Equity","ASSET_TURNOVER","FQ2 2021","FQ2 2021","Currency=USD","Period=FQ","BEST_FPERIOD_OVERRIDE=FQ","FILING_STATUS=MR","FA_ADJUSTED=GAAP","Sort=A","Dates=H","DateFormat=P","Fill=—","Direction=H","UseDPDF=Y")</f>
        <v>0.4299</v>
      </c>
      <c r="N15" s="14">
        <f>_xll.BDH("GILD US Equity","ASSET_TURNOVER","FQ3 2021","FQ3 2021","Currency=USD","Period=FQ","BEST_FPERIOD_OVERRIDE=FQ","FILING_STATUS=MR","FA_ADJUSTED=GAAP","Sort=A","Dates=H","DateFormat=P","Fill=—","Direction=H","UseDPDF=Y")</f>
        <v>0.42949999999999999</v>
      </c>
      <c r="O15" s="14">
        <f>_xll.BDH("GILD US Equity","ASSET_TURNOVER","FQ4 2021","FQ4 2021","Currency=USD","Period=FQ","BEST_FPERIOD_OVERRIDE=FQ","FILING_STATUS=MR","FA_ADJUSTED=GAAP","Sort=A","Dates=H","DateFormat=P","Fill=—","Direction=H","UseDPDF=Y")</f>
        <v>0.40050000000000002</v>
      </c>
      <c r="P15" s="14">
        <f>_xll.BDH("GILD US Equity","ASSET_TURNOVER","FQ1 2022","FQ1 2022","Currency=USD","Period=FQ","BEST_FPERIOD_OVERRIDE=FQ","FILING_STATUS=MR","FA_ADJUSTED=GAAP","Sort=A","Dates=H","DateFormat=P","Fill=—","Direction=H","UseDPDF=Y")</f>
        <v>0.42080000000000001</v>
      </c>
      <c r="Q15" s="14">
        <f>_xll.BDH("GILD US Equity","ASSET_TURNOVER","FQ2 2022","FQ2 2022","Currency=USD","Period=FQ","BEST_FPERIOD_OVERRIDE=FQ","FILING_STATUS=MR","FA_ADJUSTED=GAAP","Sort=A","Dates=H","DateFormat=P","Fill=—","Direction=H","UseDPDF=Y")</f>
        <v>0.42049999999999998</v>
      </c>
      <c r="R15" s="14">
        <f>_xll.BDH("GILD US Equity","ASSET_TURNOVER","FQ3 2022","FQ3 2022","Currency=USD","Period=FQ","BEST_FPERIOD_OVERRIDE=FQ","FILING_STATUS=MR","FA_ADJUSTED=GAAP","Sort=A","Dates=H","DateFormat=P","Fill=—","Direction=H","UseDPDF=Y")</f>
        <v>0.41860000000000003</v>
      </c>
      <c r="S15" s="14">
        <f>_xll.BDH("GILD US Equity","ASSET_TURNOVER","FQ4 2022","FQ4 2022","Currency=USD","Period=FQ","BEST_FPERIOD_OVERRIDE=FQ","FILING_STATUS=MR","FA_ADJUSTED=GAAP","Sort=A","Dates=H","DateFormat=P","Fill=—","Direction=H","UseDPDF=Y")</f>
        <v>0.41610000000000003</v>
      </c>
      <c r="T15" s="14">
        <f>_xll.BDH("GILD US Equity","ASSET_TURNOVER","FQ1 2023","FQ1 2023","Currency=USD","Period=FQ","BEST_FPERIOD_OVERRIDE=FQ","FILING_STATUS=MR","FA_ADJUSTED=GAAP","Sort=A","Dates=H","DateFormat=P","Fill=—","Direction=H","UseDPDF=Y")</f>
        <v>0.43280000000000002</v>
      </c>
      <c r="U15" s="14">
        <f>_xll.BDH("GILD US Equity","ASSET_TURNOVER","FQ2 2023","FQ2 2023","Currency=USD","Period=FQ","BEST_FPERIOD_OVERRIDE=FQ","FILING_STATUS=MR","FA_ADJUSTED=GAAP","Sort=A","Dates=H","DateFormat=P","Fill=—","Direction=H","UseDPDF=Y")</f>
        <v>0.43740000000000001</v>
      </c>
      <c r="V15" s="14">
        <f>_xll.BDH("GILD US Equity","ASSET_TURNOVER","FQ3 2023","FQ3 2023","Currency=USD","Period=FQ","BEST_FPERIOD_OVERRIDE=FQ","FILING_STATUS=MR","FA_ADJUSTED=GAAP","Sort=A","Dates=H","DateFormat=P","Fill=—","Direction=H","UseDPDF=Y")</f>
        <v>0.4385</v>
      </c>
      <c r="W15" s="14">
        <f>_xll.BDH("GILD US Equity","ASSET_TURNOVER","FQ4 2023","FQ4 2023","Currency=USD","Period=FQ","BEST_FPERIOD_OVERRIDE=FQ","FILING_STATUS=MR","FA_ADJUSTED=GAAP","Sort=A","Dates=H","DateFormat=P","Fill=—","Direction=H","UseDPDF=Y")</f>
        <v>0.43280000000000002</v>
      </c>
      <c r="X15" s="14">
        <f>_xll.BDH("GILD US Equity","ASSET_TURNOVER","FQ1 2024","FQ1 2024","Currency=USD","Period=FQ","BEST_FPERIOD_OVERRIDE=FQ","FILING_STATUS=MR","FA_ADJUSTED=GAAP","Sort=A","Dates=H","DateFormat=P","Fill=—","Direction=H","UseDPDF=Y")</f>
        <v>0.46460000000000001</v>
      </c>
      <c r="Y15" s="14">
        <f>_xll.BDH("GILD US Equity","ASSET_TURNOVER","FQ2 2024","FQ2 2024","Currency=USD","Period=FQ","BEST_FPERIOD_OVERRIDE=FQ","FILING_STATUS=MR","FA_ADJUSTED=GAAP","Sort=A","Dates=H","DateFormat=P","Fill=—","Direction=H","UseDPDF=Y")</f>
        <v>0.47970000000000002</v>
      </c>
      <c r="Z15" s="14">
        <f>_xll.BDH("GILD US Equity","ASSET_TURNOVER","FQ3 2024","FQ3 2024","Currency=USD","Period=FQ","BEST_FPERIOD_OVERRIDE=FQ","FILING_STATUS=MR","FA_ADJUSTED=GAAP","Sort=A","Dates=H","DateFormat=P","Fill=—","Direction=H","UseDPDF=Y")</f>
        <v>0.48420000000000002</v>
      </c>
      <c r="AA15" s="14">
        <f>_xll.BDH("GILD US Equity","ASSET_TURNOVER","FQ4 2024","FQ4 2024","Currency=USD","Period=FQ","BEST_FPERIOD_OVERRIDE=FQ","FILING_STATUS=MR","FA_ADJUSTED=GAAP","Sort=A","Dates=H","DateFormat=P","Fill=—","Direction=H","UseDPDF=Y")</f>
        <v>0.4748</v>
      </c>
    </row>
    <row r="16" spans="1:27" x14ac:dyDescent="0.25">
      <c r="A16" s="6" t="s">
        <v>1757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x14ac:dyDescent="0.25">
      <c r="A17" s="10" t="s">
        <v>1758</v>
      </c>
      <c r="B17" s="10" t="s">
        <v>1759</v>
      </c>
      <c r="C17" s="14">
        <f>_xll.BDH("GILD US Equity","FNCL_LVRG","FQ4 2018","FQ4 2018","Currency=USD","Period=FQ","BEST_FPERIOD_OVERRIDE=FQ","FILING_STATUS=MR","Sort=A","Dates=H","DateFormat=P","Fill=—","Direction=H","UseDPDF=Y")</f>
        <v>2.8923000000000001</v>
      </c>
      <c r="D17" s="14">
        <f>_xll.BDH("GILD US Equity","FNCL_LVRG","FQ1 2019","FQ1 2019","Currency=USD","Period=FQ","BEST_FPERIOD_OVERRIDE=FQ","FILING_STATUS=MR","Sort=A","Dates=H","DateFormat=P","Fill=—","Direction=H","UseDPDF=Y")</f>
        <v>2.9192</v>
      </c>
      <c r="E17" s="14">
        <f>_xll.BDH("GILD US Equity","FNCL_LVRG","FQ2 2019","FQ2 2019","Currency=USD","Period=FQ","BEST_FPERIOD_OVERRIDE=FQ","FILING_STATUS=MR","Sort=A","Dates=H","DateFormat=P","Fill=—","Direction=H","UseDPDF=Y")</f>
        <v>2.8283</v>
      </c>
      <c r="F17" s="14">
        <f>_xll.BDH("GILD US Equity","FNCL_LVRG","FQ3 2019","FQ3 2019","Currency=USD","Period=FQ","BEST_FPERIOD_OVERRIDE=FQ","FILING_STATUS=MR","Sort=A","Dates=H","DateFormat=P","Fill=—","Direction=H","UseDPDF=Y")</f>
        <v>2.831</v>
      </c>
      <c r="G17" s="14">
        <f>_xll.BDH("GILD US Equity","FNCL_LVRG","FQ4 2019","FQ4 2019","Currency=USD","Period=FQ","BEST_FPERIOD_OVERRIDE=FQ","FILING_STATUS=MR","Sort=A","Dates=H","DateFormat=P","Fill=—","Direction=H","UseDPDF=Y")</f>
        <v>2.8003</v>
      </c>
      <c r="H17" s="14">
        <f>_xll.BDH("GILD US Equity","FNCL_LVRG","FQ1 2020","FQ1 2020","Currency=USD","Period=FQ","BEST_FPERIOD_OVERRIDE=FQ","FILING_STATUS=MR","Sort=A","Dates=H","DateFormat=P","Fill=—","Direction=H","UseDPDF=Y")</f>
        <v>2.7216999999999998</v>
      </c>
      <c r="I17" s="14">
        <f>_xll.BDH("GILD US Equity","FNCL_LVRG","FQ2 2020","FQ2 2020","Currency=USD","Period=FQ","BEST_FPERIOD_OVERRIDE=FQ","FILING_STATUS=MR","Sort=A","Dates=H","DateFormat=P","Fill=—","Direction=H","UseDPDF=Y")</f>
        <v>2.8851</v>
      </c>
      <c r="J17" s="14">
        <f>_xll.BDH("GILD US Equity","FNCL_LVRG","FQ3 2020","FQ3 2020","Currency=USD","Period=FQ","BEST_FPERIOD_OVERRIDE=FQ","FILING_STATUS=MR","Sort=A","Dates=H","DateFormat=P","Fill=—","Direction=H","UseDPDF=Y")</f>
        <v>3.2930999999999999</v>
      </c>
      <c r="K17" s="14">
        <f>_xll.BDH("GILD US Equity","FNCL_LVRG","FQ4 2020","FQ4 2020","Currency=USD","Period=FQ","BEST_FPERIOD_OVERRIDE=FQ","FILING_STATUS=MR","Sort=A","Dates=H","DateFormat=P","Fill=—","Direction=H","UseDPDF=Y")</f>
        <v>3.6267999999999998</v>
      </c>
      <c r="L17" s="14">
        <f>_xll.BDH("GILD US Equity","FNCL_LVRG","FQ1 2021","FQ1 2021","Currency=USD","Period=FQ","BEST_FPERIOD_OVERRIDE=FQ","FILING_STATUS=MR","Sort=A","Dates=H","DateFormat=P","Fill=—","Direction=H","UseDPDF=Y")</f>
        <v>3.6577000000000002</v>
      </c>
      <c r="M17" s="14">
        <f>_xll.BDH("GILD US Equity","FNCL_LVRG","FQ2 2021","FQ2 2021","Currency=USD","Period=FQ","BEST_FPERIOD_OVERRIDE=FQ","FILING_STATUS=MR","Sort=A","Dates=H","DateFormat=P","Fill=—","Direction=H","UseDPDF=Y")</f>
        <v>3.5047000000000001</v>
      </c>
      <c r="N17" s="14">
        <f>_xll.BDH("GILD US Equity","FNCL_LVRG","FQ3 2021","FQ3 2021","Currency=USD","Period=FQ","BEST_FPERIOD_OVERRIDE=FQ","FILING_STATUS=MR","Sort=A","Dates=H","DateFormat=P","Fill=—","Direction=H","UseDPDF=Y")</f>
        <v>3.2808000000000002</v>
      </c>
      <c r="O17" s="14">
        <f>_xll.BDH("GILD US Equity","FNCL_LVRG","FQ4 2021","FQ4 2021","Currency=USD","Period=FQ","BEST_FPERIOD_OVERRIDE=FQ","FILING_STATUS=MR","Sort=A","Dates=H","DateFormat=P","Fill=—","Direction=H","UseDPDF=Y")</f>
        <v>3.1747000000000001</v>
      </c>
      <c r="P17" s="14">
        <f>_xll.BDH("GILD US Equity","FNCL_LVRG","FQ1 2022","FQ1 2022","Currency=USD","Period=FQ","BEST_FPERIOD_OVERRIDE=FQ","FILING_STATUS=MR","Sort=A","Dates=H","DateFormat=P","Fill=—","Direction=H","UseDPDF=Y")</f>
        <v>3.1962000000000002</v>
      </c>
      <c r="Q17" s="14">
        <f>_xll.BDH("GILD US Equity","FNCL_LVRG","FQ2 2022","FQ2 2022","Currency=USD","Period=FQ","BEST_FPERIOD_OVERRIDE=FQ","FILING_STATUS=MR","Sort=A","Dates=H","DateFormat=P","Fill=—","Direction=H","UseDPDF=Y")</f>
        <v>3.1360000000000001</v>
      </c>
      <c r="R17" s="14">
        <f>_xll.BDH("GILD US Equity","FNCL_LVRG","FQ3 2022","FQ3 2022","Currency=USD","Period=FQ","BEST_FPERIOD_OVERRIDE=FQ","FILING_STATUS=MR","Sort=A","Dates=H","DateFormat=P","Fill=—","Direction=H","UseDPDF=Y")</f>
        <v>3.0356999999999998</v>
      </c>
      <c r="S17" s="14">
        <f>_xll.BDH("GILD US Equity","FNCL_LVRG","FQ4 2022","FQ4 2022","Currency=USD","Period=FQ","BEST_FPERIOD_OVERRIDE=FQ","FILING_STATUS=MR","Sort=A","Dates=H","DateFormat=P","Fill=—","Direction=H","UseDPDF=Y")</f>
        <v>2.9708000000000001</v>
      </c>
      <c r="T17" s="14">
        <f>_xll.BDH("GILD US Equity","FNCL_LVRG","FQ1 2023","FQ1 2023","Currency=USD","Period=FQ","BEST_FPERIOD_OVERRIDE=FQ","FILING_STATUS=MR","Sort=A","Dates=H","DateFormat=P","Fill=—","Direction=H","UseDPDF=Y")</f>
        <v>2.9605999999999999</v>
      </c>
      <c r="U17" s="14">
        <f>_xll.BDH("GILD US Equity","FNCL_LVRG","FQ2 2023","FQ2 2023","Currency=USD","Period=FQ","BEST_FPERIOD_OVERRIDE=FQ","FILING_STATUS=MR","Sort=A","Dates=H","DateFormat=P","Fill=—","Direction=H","UseDPDF=Y")</f>
        <v>2.9466000000000001</v>
      </c>
      <c r="V17" s="14">
        <f>_xll.BDH("GILD US Equity","FNCL_LVRG","FQ3 2023","FQ3 2023","Currency=USD","Period=FQ","BEST_FPERIOD_OVERRIDE=FQ","FILING_STATUS=MR","Sort=A","Dates=H","DateFormat=P","Fill=—","Direction=H","UseDPDF=Y")</f>
        <v>2.8687</v>
      </c>
      <c r="W17" s="14">
        <f>_xll.BDH("GILD US Equity","FNCL_LVRG","FQ4 2023","FQ4 2023","Currency=USD","Period=FQ","BEST_FPERIOD_OVERRIDE=FQ","FILING_STATUS=MR","Sort=A","Dates=H","DateFormat=P","Fill=—","Direction=H","UseDPDF=Y")</f>
        <v>2.7576000000000001</v>
      </c>
      <c r="X17" s="14">
        <f>_xll.BDH("GILD US Equity","FNCL_LVRG","FQ1 2024","FQ1 2024","Currency=USD","Period=FQ","BEST_FPERIOD_OVERRIDE=FQ","FILING_STATUS=MR","Sort=A","Dates=H","DateFormat=P","Fill=—","Direction=H","UseDPDF=Y")</f>
        <v>2.9331</v>
      </c>
      <c r="Y17" s="14">
        <f>_xll.BDH("GILD US Equity","FNCL_LVRG","FQ2 2024","FQ2 2024","Currency=USD","Period=FQ","BEST_FPERIOD_OVERRIDE=FQ","FILING_STATUS=MR","Sort=A","Dates=H","DateFormat=P","Fill=—","Direction=H","UseDPDF=Y")</f>
        <v>3.0672999999999999</v>
      </c>
      <c r="Z17" s="14">
        <f>_xll.BDH("GILD US Equity","FNCL_LVRG","FQ3 2024","FQ3 2024","Currency=USD","Period=FQ","BEST_FPERIOD_OVERRIDE=FQ","FILING_STATUS=MR","Sort=A","Dates=H","DateFormat=P","Fill=—","Direction=H","UseDPDF=Y")</f>
        <v>2.9411999999999998</v>
      </c>
      <c r="AA17" s="14">
        <f>_xll.BDH("GILD US Equity","FNCL_LVRG","FQ4 2024","FQ4 2024","Currency=USD","Period=FQ","BEST_FPERIOD_OVERRIDE=FQ","FILING_STATUS=MR","Sort=A","Dates=H","DateFormat=P","Fill=—","Direction=H","UseDPDF=Y")</f>
        <v>3.0028999999999999</v>
      </c>
    </row>
    <row r="18" spans="1:27" x14ac:dyDescent="0.25">
      <c r="A18" s="10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25">
      <c r="A19" s="10" t="s">
        <v>1760</v>
      </c>
      <c r="B19" s="10" t="s">
        <v>1761</v>
      </c>
      <c r="C19" s="14">
        <f>_xll.BDH("GILD US Equity","NORMALIZED_ROE","FQ4 2018","FQ4 2018","Currency=USD","Period=FQ","BEST_FPERIOD_OVERRIDE=FQ","FILING_STATUS=MR","FA_ADJUSTED=GAAP","Sort=A","Dates=H","DateFormat=P","Fill=—","Direction=H","UseDPDF=Y")</f>
        <v>33.101399999999998</v>
      </c>
      <c r="D19" s="14">
        <f>_xll.BDH("GILD US Equity","NORMALIZED_ROE","FQ1 2019","FQ1 2019","Currency=USD","Period=FQ","BEST_FPERIOD_OVERRIDE=FQ","FILING_STATUS=MR","FA_ADJUSTED=GAAP","Sort=A","Dates=H","DateFormat=P","Fill=—","Direction=H","UseDPDF=Y")</f>
        <v>34.257899999999999</v>
      </c>
      <c r="E19" s="14">
        <f>_xll.BDH("GILD US Equity","NORMALIZED_ROE","FQ2 2019","FQ2 2019","Currency=USD","Period=FQ","BEST_FPERIOD_OVERRIDE=FQ","FILING_STATUS=MR","FA_ADJUSTED=GAAP","Sort=A","Dates=H","DateFormat=P","Fill=—","Direction=H","UseDPDF=Y")</f>
        <v>32.604799999999997</v>
      </c>
      <c r="F19" s="14">
        <f>_xll.BDH("GILD US Equity","NORMALIZED_ROE","FQ3 2019","FQ3 2019","Currency=USD","Period=FQ","BEST_FPERIOD_OVERRIDE=FQ","FILING_STATUS=MR","FA_ADJUSTED=GAAP","Sort=A","Dates=H","DateFormat=P","Fill=—","Direction=H","UseDPDF=Y")</f>
        <v>32.7896</v>
      </c>
      <c r="G19" s="14">
        <f>_xll.BDH("GILD US Equity","NORMALIZED_ROE","FQ4 2019","FQ4 2019","Currency=USD","Period=FQ","BEST_FPERIOD_OVERRIDE=FQ","FILING_STATUS=MR","FA_ADJUSTED=GAAP","Sort=A","Dates=H","DateFormat=P","Fill=—","Direction=H","UseDPDF=Y")</f>
        <v>31.071200000000001</v>
      </c>
      <c r="H19" s="14">
        <f>_xll.BDH("GILD US Equity","NORMALIZED_ROE","FQ1 2020","FQ1 2020","Currency=USD","Period=FQ","BEST_FPERIOD_OVERRIDE=FQ","FILING_STATUS=MR","FA_ADJUSTED=GAAP","Sort=A","Dates=H","DateFormat=P","Fill=—","Direction=H","UseDPDF=Y")</f>
        <v>32.168700000000001</v>
      </c>
      <c r="I19" s="14">
        <f>_xll.BDH("GILD US Equity","NORMALIZED_ROE","FQ2 2020","FQ2 2020","Currency=USD","Period=FQ","BEST_FPERIOD_OVERRIDE=FQ","FILING_STATUS=MR","FA_ADJUSTED=GAAP","Sort=A","Dates=H","DateFormat=P","Fill=—","Direction=H","UseDPDF=Y")</f>
        <v>31.060700000000001</v>
      </c>
      <c r="J19" s="14">
        <f>_xll.BDH("GILD US Equity","NORMALIZED_ROE","FQ3 2020","FQ3 2020","Currency=USD","Period=FQ","BEST_FPERIOD_OVERRIDE=FQ","FILING_STATUS=MR","FA_ADJUSTED=GAAP","Sort=A","Dates=H","DateFormat=P","Fill=—","Direction=H","UseDPDF=Y")</f>
        <v>36.264899999999997</v>
      </c>
      <c r="K19" s="14">
        <f>_xll.BDH("GILD US Equity","NORMALIZED_ROE","FQ4 2020","FQ4 2020","Currency=USD","Period=FQ","BEST_FPERIOD_OVERRIDE=FQ","FILING_STATUS=MR","FA_ADJUSTED=GAAP","Sort=A","Dates=H","DateFormat=P","Fill=—","Direction=H","UseDPDF=Y")</f>
        <v>40.165999999999997</v>
      </c>
      <c r="L19" s="14">
        <f>_xll.BDH("GILD US Equity","NORMALIZED_ROE","FQ1 2021","FQ1 2021","Currency=USD","Period=FQ","BEST_FPERIOD_OVERRIDE=FQ","FILING_STATUS=MR","FA_ADJUSTED=GAAP","Sort=A","Dates=H","DateFormat=P","Fill=—","Direction=H","UseDPDF=Y")</f>
        <v>42.264400000000002</v>
      </c>
      <c r="M19" s="14">
        <f>_xll.BDH("GILD US Equity","NORMALIZED_ROE","FQ2 2021","FQ2 2021","Currency=USD","Period=FQ","BEST_FPERIOD_OVERRIDE=FQ","FILING_STATUS=MR","FA_ADJUSTED=GAAP","Sort=A","Dates=H","DateFormat=P","Fill=—","Direction=H","UseDPDF=Y")</f>
        <v>49.823500000000003</v>
      </c>
      <c r="N19" s="14">
        <f>_xll.BDH("GILD US Equity","NORMALIZED_ROE","FQ3 2021","FQ3 2021","Currency=USD","Period=FQ","BEST_FPERIOD_OVERRIDE=FQ","FILING_STATUS=MR","FA_ADJUSTED=GAAP","Sort=A","Dates=H","DateFormat=P","Fill=—","Direction=H","UseDPDF=Y")</f>
        <v>50.7774</v>
      </c>
      <c r="O19" s="14">
        <f>_xll.BDH("GILD US Equity","NORMALIZED_ROE","FQ4 2021","FQ4 2021","Currency=USD","Period=FQ","BEST_FPERIOD_OVERRIDE=FQ","FILING_STATUS=MR","FA_ADJUSTED=GAAP","Sort=A","Dates=H","DateFormat=P","Fill=—","Direction=H","UseDPDF=Y")</f>
        <v>42.777799999999999</v>
      </c>
      <c r="P19" s="14">
        <f>_xll.BDH("GILD US Equity","NORMALIZED_ROE","FQ1 2022","FQ1 2022","Currency=USD","Period=FQ","BEST_FPERIOD_OVERRIDE=FQ","FILING_STATUS=MR","FA_ADJUSTED=GAAP","Sort=A","Dates=H","DateFormat=P","Fill=—","Direction=H","UseDPDF=Y")</f>
        <v>40.847900000000003</v>
      </c>
      <c r="Q19" s="14">
        <f>_xll.BDH("GILD US Equity","NORMALIZED_ROE","FQ2 2022","FQ2 2022","Currency=USD","Period=FQ","BEST_FPERIOD_OVERRIDE=FQ","FILING_STATUS=MR","FA_ADJUSTED=GAAP","Sort=A","Dates=H","DateFormat=P","Fill=—","Direction=H","UseDPDF=Y")</f>
        <v>39.241500000000002</v>
      </c>
      <c r="R19" s="14">
        <f>_xll.BDH("GILD US Equity","NORMALIZED_ROE","FQ3 2022","FQ3 2022","Currency=USD","Period=FQ","BEST_FPERIOD_OVERRIDE=FQ","FILING_STATUS=MR","FA_ADJUSTED=GAAP","Sort=A","Dates=H","DateFormat=P","Fill=—","Direction=H","UseDPDF=Y")</f>
        <v>36.043599999999998</v>
      </c>
      <c r="S19" s="14">
        <f>_xll.BDH("GILD US Equity","NORMALIZED_ROE","FQ4 2022","FQ4 2022","Currency=USD","Period=FQ","BEST_FPERIOD_OVERRIDE=FQ","FILING_STATUS=MR","FA_ADJUSTED=GAAP","Sort=A","Dates=H","DateFormat=P","Fill=—","Direction=H","UseDPDF=Y")</f>
        <v>40.656399999999998</v>
      </c>
      <c r="T19" s="14">
        <f>_xll.BDH("GILD US Equity","NORMALIZED_ROE","FQ1 2023","FQ1 2023","Currency=USD","Period=FQ","BEST_FPERIOD_OVERRIDE=FQ","FILING_STATUS=MR","FA_ADJUSTED=GAAP","Sort=A","Dates=H","DateFormat=P","Fill=—","Direction=H","UseDPDF=Y")</f>
        <v>39.652200000000001</v>
      </c>
      <c r="U19" s="14">
        <f>_xll.BDH("GILD US Equity","NORMALIZED_ROE","FQ2 2023","FQ2 2023","Currency=USD","Period=FQ","BEST_FPERIOD_OVERRIDE=FQ","FILING_STATUS=MR","FA_ADJUSTED=GAAP","Sort=A","Dates=H","DateFormat=P","Fill=—","Direction=H","UseDPDF=Y")</f>
        <v>37.530799999999999</v>
      </c>
      <c r="V19" s="14">
        <f>_xll.BDH("GILD US Equity","NORMALIZED_ROE","FQ3 2023","FQ3 2023","Currency=USD","Period=FQ","BEST_FPERIOD_OVERRIDE=FQ","FILING_STATUS=MR","FA_ADJUSTED=GAAP","Sort=A","Dates=H","DateFormat=P","Fill=—","Direction=H","UseDPDF=Y")</f>
        <v>34.632300000000001</v>
      </c>
      <c r="W19" s="14">
        <f>_xll.BDH("GILD US Equity","NORMALIZED_ROE","FQ4 2023","FQ4 2023","Currency=USD","Period=FQ","BEST_FPERIOD_OVERRIDE=FQ","FILING_STATUS=MR","FA_ADJUSTED=GAAP","Sort=A","Dates=H","DateFormat=P","Fill=—","Direction=H","UseDPDF=Y")</f>
        <v>34.505600000000001</v>
      </c>
      <c r="X19" s="14">
        <f>_xll.BDH("GILD US Equity","NORMALIZED_ROE","FQ1 2024","FQ1 2024","Currency=USD","Period=FQ","BEST_FPERIOD_OVERRIDE=FQ","FILING_STATUS=MR","FA_ADJUSTED=GAAP","Sort=A","Dates=H","DateFormat=P","Fill=—","Direction=H","UseDPDF=Y")</f>
        <v>36.762099999999997</v>
      </c>
      <c r="Y19" s="14">
        <f>_xll.BDH("GILD US Equity","NORMALIZED_ROE","FQ2 2024","FQ2 2024","Currency=USD","Period=FQ","BEST_FPERIOD_OVERRIDE=FQ","FILING_STATUS=MR","FA_ADJUSTED=GAAP","Sort=A","Dates=H","DateFormat=P","Fill=—","Direction=H","UseDPDF=Y")</f>
        <v>39.136499999999998</v>
      </c>
      <c r="Z19" s="14">
        <f>_xll.BDH("GILD US Equity","NORMALIZED_ROE","FQ3 2024","FQ3 2024","Currency=USD","Period=FQ","BEST_FPERIOD_OVERRIDE=FQ","FILING_STATUS=MR","FA_ADJUSTED=GAAP","Sort=A","Dates=H","DateFormat=P","Fill=—","Direction=H","UseDPDF=Y")</f>
        <v>37.743499999999997</v>
      </c>
      <c r="AA19" s="14">
        <f>_xll.BDH("GILD US Equity","NORMALIZED_ROE","FQ4 2024","FQ4 2024","Currency=USD","Period=FQ","BEST_FPERIOD_OVERRIDE=FQ","FILING_STATUS=MR","FA_ADJUSTED=GAAP","Sort=A","Dates=H","DateFormat=P","Fill=—","Direction=H","UseDPDF=Y")</f>
        <v>36.272399999999998</v>
      </c>
    </row>
    <row r="20" spans="1:27" x14ac:dyDescent="0.25">
      <c r="A20" s="1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5">
      <c r="A21" s="10" t="s">
        <v>1762</v>
      </c>
      <c r="B21" s="10" t="s">
        <v>1763</v>
      </c>
      <c r="C21" s="14">
        <f>_xll.BDH("GILD US Equity","5_YEAR_AVERAGE_ADJUSTED_ROE","FQ4 2018","FQ4 2018","Currency=USD","Period=FQ","BEST_FPERIOD_OVERRIDE=FQ","FILING_STATUS=MR","FA_ADJUSTED=GAAP","Sort=A","Dates=H","DateFormat=P","Fill=—","Direction=H","UseDPDF=Y")</f>
        <v>39.814300000000003</v>
      </c>
      <c r="D21" s="14">
        <f>_xll.BDH("GILD US Equity","5_YEAR_AVERAGE_ADJUSTED_ROE","FQ1 2019","FQ1 2019","Currency=USD","Period=FQ","BEST_FPERIOD_OVERRIDE=FQ","FILING_STATUS=MR","FA_ADJUSTED=GAAP","Sort=A","Dates=H","DateFormat=P","Fill=—","Direction=H","UseDPDF=Y")</f>
        <v>36.037399999999998</v>
      </c>
      <c r="E21" s="14">
        <f>_xll.BDH("GILD US Equity","5_YEAR_AVERAGE_ADJUSTED_ROE","FQ2 2019","FQ2 2019","Currency=USD","Period=FQ","BEST_FPERIOD_OVERRIDE=FQ","FILING_STATUS=MR","FA_ADJUSTED=GAAP","Sort=A","Dates=H","DateFormat=P","Fill=—","Direction=H","UseDPDF=Y")</f>
        <v>33.526200000000003</v>
      </c>
      <c r="F21" s="14">
        <f>_xll.BDH("GILD US Equity","5_YEAR_AVERAGE_ADJUSTED_ROE","FQ3 2019","FQ3 2019","Currency=USD","Period=FQ","BEST_FPERIOD_OVERRIDE=FQ","FILING_STATUS=MR","FA_ADJUSTED=GAAP","Sort=A","Dates=H","DateFormat=P","Fill=—","Direction=H","UseDPDF=Y")</f>
        <v>32.717799999999997</v>
      </c>
      <c r="G21" s="14">
        <f>_xll.BDH("GILD US Equity","5_YEAR_AVERAGE_ADJUSTED_ROE","FQ4 2019","FQ4 2019","Currency=USD","Period=FQ","BEST_FPERIOD_OVERRIDE=FQ","FILING_STATUS=MR","FA_ADJUSTED=GAAP","Sort=A","Dates=H","DateFormat=P","Fill=—","Direction=H","UseDPDF=Y")</f>
        <v>32.765000000000001</v>
      </c>
      <c r="H21" s="14">
        <f>_xll.BDH("GILD US Equity","5_YEAR_AVERAGE_ADJUSTED_ROE","FQ1 2020","FQ1 2020","Currency=USD","Period=FQ","BEST_FPERIOD_OVERRIDE=FQ","FILING_STATUS=MR","FA_ADJUSTED=GAAP","Sort=A","Dates=H","DateFormat=P","Fill=—","Direction=H","UseDPDF=Y")</f>
        <v>32.578400000000002</v>
      </c>
      <c r="I21" s="14">
        <f>_xll.BDH("GILD US Equity","5_YEAR_AVERAGE_ADJUSTED_ROE","FQ2 2020","FQ2 2020","Currency=USD","Period=FQ","BEST_FPERIOD_OVERRIDE=FQ","FILING_STATUS=MR","FA_ADJUSTED=GAAP","Sort=A","Dates=H","DateFormat=P","Fill=—","Direction=H","UseDPDF=Y")</f>
        <v>31.939</v>
      </c>
      <c r="J21" s="14">
        <f>_xll.BDH("GILD US Equity","5_YEAR_AVERAGE_ADJUSTED_ROE","FQ3 2020","FQ3 2020","Currency=USD","Period=FQ","BEST_FPERIOD_OVERRIDE=FQ","FILING_STATUS=MR","FA_ADJUSTED=GAAP","Sort=A","Dates=H","DateFormat=P","Fill=—","Direction=H","UseDPDF=Y")</f>
        <v>32.670999999999999</v>
      </c>
      <c r="K21" s="14">
        <f>_xll.BDH("GILD US Equity","5_YEAR_AVERAGE_ADJUSTED_ROE","FQ4 2020","FQ4 2020","Currency=USD","Period=FQ","BEST_FPERIOD_OVERRIDE=FQ","FILING_STATUS=MR","FA_ADJUSTED=GAAP","Sort=A","Dates=H","DateFormat=P","Fill=—","Direction=H","UseDPDF=Y")</f>
        <v>34.146299999999997</v>
      </c>
      <c r="L21" s="14">
        <f>_xll.BDH("GILD US Equity","5_YEAR_AVERAGE_ADJUSTED_ROE","FQ1 2021","FQ1 2021","Currency=USD","Period=FQ","BEST_FPERIOD_OVERRIDE=FQ","FILING_STATUS=MR","FA_ADJUSTED=GAAP","Sort=A","Dates=H","DateFormat=P","Fill=—","Direction=H","UseDPDF=Y")</f>
        <v>36.384900000000002</v>
      </c>
      <c r="M21" s="14">
        <f>_xll.BDH("GILD US Equity","5_YEAR_AVERAGE_ADJUSTED_ROE","FQ2 2021","FQ2 2021","Currency=USD","Period=FQ","BEST_FPERIOD_OVERRIDE=FQ","FILING_STATUS=MR","FA_ADJUSTED=GAAP","Sort=A","Dates=H","DateFormat=P","Fill=—","Direction=H","UseDPDF=Y")</f>
        <v>39.915900000000001</v>
      </c>
      <c r="N21" s="14">
        <f>_xll.BDH("GILD US Equity","5_YEAR_AVERAGE_ADJUSTED_ROE","FQ3 2021","FQ3 2021","Currency=USD","Period=FQ","BEST_FPERIOD_OVERRIDE=FQ","FILING_STATUS=MR","FA_ADJUSTED=GAAP","Sort=A","Dates=H","DateFormat=P","Fill=—","Direction=H","UseDPDF=Y")</f>
        <v>43.859200000000001</v>
      </c>
      <c r="O21" s="14">
        <f>_xll.BDH("GILD US Equity","5_YEAR_AVERAGE_ADJUSTED_ROE","FQ4 2021","FQ4 2021","Currency=USD","Period=FQ","BEST_FPERIOD_OVERRIDE=FQ","FILING_STATUS=MR","FA_ADJUSTED=GAAP","Sort=A","Dates=H","DateFormat=P","Fill=—","Direction=H","UseDPDF=Y")</f>
        <v>45.161799999999999</v>
      </c>
      <c r="P21" s="14">
        <f>_xll.BDH("GILD US Equity","5_YEAR_AVERAGE_ADJUSTED_ROE","FQ1 2022","FQ1 2022","Currency=USD","Period=FQ","BEST_FPERIOD_OVERRIDE=FQ","FILING_STATUS=MR","FA_ADJUSTED=GAAP","Sort=A","Dates=H","DateFormat=P","Fill=—","Direction=H","UseDPDF=Y")</f>
        <v>45.298200000000001</v>
      </c>
      <c r="Q21" s="14">
        <f>_xll.BDH("GILD US Equity","5_YEAR_AVERAGE_ADJUSTED_ROE","FQ2 2022","FQ2 2022","Currency=USD","Period=FQ","BEST_FPERIOD_OVERRIDE=FQ","FILING_STATUS=MR","FA_ADJUSTED=GAAP","Sort=A","Dates=H","DateFormat=P","Fill=—","Direction=H","UseDPDF=Y")</f>
        <v>44.693600000000004</v>
      </c>
      <c r="R21" s="14">
        <f>_xll.BDH("GILD US Equity","5_YEAR_AVERAGE_ADJUSTED_ROE","FQ3 2022","FQ3 2022","Currency=USD","Period=FQ","BEST_FPERIOD_OVERRIDE=FQ","FILING_STATUS=MR","FA_ADJUSTED=GAAP","Sort=A","Dates=H","DateFormat=P","Fill=—","Direction=H","UseDPDF=Y")</f>
        <v>41.937600000000003</v>
      </c>
      <c r="S21" s="14">
        <f>_xll.BDH("GILD US Equity","5_YEAR_AVERAGE_ADJUSTED_ROE","FQ4 2022","FQ4 2022","Currency=USD","Period=FQ","BEST_FPERIOD_OVERRIDE=FQ","FILING_STATUS=MR","FA_ADJUSTED=GAAP","Sort=A","Dates=H","DateFormat=P","Fill=—","Direction=H","UseDPDF=Y")</f>
        <v>39.913400000000003</v>
      </c>
      <c r="T21" s="14">
        <f>_xll.BDH("GILD US Equity","5_YEAR_AVERAGE_ADJUSTED_ROE","FQ1 2023","FQ1 2023","Currency=USD","Period=FQ","BEST_FPERIOD_OVERRIDE=FQ","FILING_STATUS=MR","FA_ADJUSTED=GAAP","Sort=A","Dates=H","DateFormat=P","Fill=—","Direction=H","UseDPDF=Y")</f>
        <v>39.2883</v>
      </c>
      <c r="U21" s="14">
        <f>_xll.BDH("GILD US Equity","5_YEAR_AVERAGE_ADJUSTED_ROE","FQ2 2023","FQ2 2023","Currency=USD","Period=FQ","BEST_FPERIOD_OVERRIDE=FQ","FILING_STATUS=MR","FA_ADJUSTED=GAAP","Sort=A","Dates=H","DateFormat=P","Fill=—","Direction=H","UseDPDF=Y")</f>
        <v>38.624899999999997</v>
      </c>
      <c r="V21" s="14">
        <f>_xll.BDH("GILD US Equity","5_YEAR_AVERAGE_ADJUSTED_ROE","FQ3 2023","FQ3 2023","Currency=USD","Period=FQ","BEST_FPERIOD_OVERRIDE=FQ","FILING_STATUS=MR","FA_ADJUSTED=GAAP","Sort=A","Dates=H","DateFormat=P","Fill=—","Direction=H","UseDPDF=Y")</f>
        <v>37.703000000000003</v>
      </c>
      <c r="W21" s="14">
        <f>_xll.BDH("GILD US Equity","5_YEAR_AVERAGE_ADJUSTED_ROE","FQ4 2023","FQ4 2023","Currency=USD","Period=FQ","BEST_FPERIOD_OVERRIDE=FQ","FILING_STATUS=MR","FA_ADJUSTED=GAAP","Sort=A","Dates=H","DateFormat=P","Fill=—","Direction=H","UseDPDF=Y")</f>
        <v>37.395400000000002</v>
      </c>
      <c r="X21" s="14">
        <f>_xll.BDH("GILD US Equity","5_YEAR_AVERAGE_ADJUSTED_ROE","FQ1 2024","FQ1 2024","Currency=USD","Period=FQ","BEST_FPERIOD_OVERRIDE=FQ","FILING_STATUS=MR","FA_ADJUSTED=GAAP","Sort=A","Dates=H","DateFormat=P","Fill=—","Direction=H","UseDPDF=Y")</f>
        <v>36.616599999999998</v>
      </c>
      <c r="Y21" s="14">
        <f>_xll.BDH("GILD US Equity","5_YEAR_AVERAGE_ADJUSTED_ROE","FQ2 2024","FQ2 2024","Currency=USD","Period=FQ","BEST_FPERIOD_OVERRIDE=FQ","FILING_STATUS=MR","FA_ADJUSTED=GAAP","Sort=A","Dates=H","DateFormat=P","Fill=—","Direction=H","UseDPDF=Y")</f>
        <v>36.513399999999997</v>
      </c>
      <c r="Z21" s="14">
        <f>_xll.BDH("GILD US Equity","5_YEAR_AVERAGE_ADJUSTED_ROE","FQ3 2024","FQ3 2024","Currency=USD","Period=FQ","BEST_FPERIOD_OVERRIDE=FQ","FILING_STATUS=MR","FA_ADJUSTED=GAAP","Sort=A","Dates=H","DateFormat=P","Fill=—","Direction=H","UseDPDF=Y")</f>
        <v>36.555999999999997</v>
      </c>
      <c r="AA21" s="14">
        <f>_xll.BDH("GILD US Equity","5_YEAR_AVERAGE_ADJUSTED_ROE","FQ4 2024","FQ4 2024","Currency=USD","Period=FQ","BEST_FPERIOD_OVERRIDE=FQ","FILING_STATUS=MR","FA_ADJUSTED=GAAP","Sort=A","Dates=H","DateFormat=P","Fill=—","Direction=H","UseDPDF=Y")</f>
        <v>36.884</v>
      </c>
    </row>
    <row r="22" spans="1:27" x14ac:dyDescent="0.25">
      <c r="A22" s="10" t="s">
        <v>1764</v>
      </c>
      <c r="B22" s="10" t="s">
        <v>1506</v>
      </c>
      <c r="C22" s="14">
        <f>_xll.BDH("GILD US Equity","DVD_PAYOUT_RATIO","FQ4 2018","FQ4 2018","Currency=USD","Period=FQ","BEST_FPERIOD_OVERRIDE=FQ","FILING_STATUS=MR","FA_ADJUSTED=GAAP","Sort=A","Dates=H","DateFormat=P","Fill=—","Direction=H","UseDPDF=Y")</f>
        <v>24700</v>
      </c>
      <c r="D22" s="14">
        <f>_xll.BDH("GILD US Equity","DVD_PAYOUT_RATIO","FQ1 2019","FQ1 2019","Currency=USD","Period=FQ","BEST_FPERIOD_OVERRIDE=FQ","FILING_STATUS=MR","FA_ADJUSTED=GAAP","Sort=A","Dates=H","DateFormat=P","Fill=—","Direction=H","UseDPDF=Y")</f>
        <v>41.367100000000001</v>
      </c>
      <c r="E22" s="14">
        <f>_xll.BDH("GILD US Equity","DVD_PAYOUT_RATIO","FQ2 2019","FQ2 2019","Currency=USD","Period=FQ","BEST_FPERIOD_OVERRIDE=FQ","FILING_STATUS=MR","FA_ADJUSTED=GAAP","Sort=A","Dates=H","DateFormat=P","Fill=—","Direction=H","UseDPDF=Y")</f>
        <v>42.553199999999997</v>
      </c>
      <c r="F22" s="14" t="str">
        <f>_xll.BDH("GILD US Equity","DVD_PAYOUT_RATIO","FQ3 2019","FQ3 2019","Currency=USD","Period=FQ","BEST_FPERIOD_OVERRIDE=FQ","FILING_STATUS=MR","FA_ADJUSTED=GAAP","Sort=A","Dates=H","DateFormat=P","Fill=—","Direction=H","UseDPDF=Y")</f>
        <v>—</v>
      </c>
      <c r="G22" s="14">
        <f>_xll.BDH("GILD US Equity","DVD_PAYOUT_RATIO","FQ4 2019","FQ4 2019","Currency=USD","Period=FQ","BEST_FPERIOD_OVERRIDE=FQ","FILING_STATUS=MR","FA_ADJUSTED=GAAP","Sort=A","Dates=H","DateFormat=P","Fill=—","Direction=H","UseDPDF=Y")</f>
        <v>29.970300000000002</v>
      </c>
      <c r="H22" s="14">
        <f>_xll.BDH("GILD US Equity","DVD_PAYOUT_RATIO","FQ1 2020","FQ1 2020","Currency=USD","Period=FQ","BEST_FPERIOD_OVERRIDE=FQ","FILING_STATUS=MR","FA_ADJUSTED=GAAP","Sort=A","Dates=H","DateFormat=P","Fill=—","Direction=H","UseDPDF=Y")</f>
        <v>56.350700000000003</v>
      </c>
      <c r="I22" s="14" t="str">
        <f>_xll.BDH("GILD US Equity","DVD_PAYOUT_RATIO","FQ2 2020","FQ2 2020","Currency=USD","Period=FQ","BEST_FPERIOD_OVERRIDE=FQ","FILING_STATUS=MR","FA_ADJUSTED=GAAP","Sort=A","Dates=H","DateFormat=P","Fill=—","Direction=H","UseDPDF=Y")</f>
        <v>—</v>
      </c>
      <c r="J22" s="14">
        <f>_xll.BDH("GILD US Equity","DVD_PAYOUT_RATIO","FQ3 2020","FQ3 2020","Currency=USD","Period=FQ","BEST_FPERIOD_OVERRIDE=FQ","FILING_STATUS=MR","FA_ADJUSTED=GAAP","Sort=A","Dates=H","DateFormat=P","Fill=—","Direction=H","UseDPDF=Y")</f>
        <v>240.5556</v>
      </c>
      <c r="K22" s="14">
        <f>_xll.BDH("GILD US Equity","DVD_PAYOUT_RATIO","FQ4 2020","FQ4 2020","Currency=USD","Period=FQ","BEST_FPERIOD_OVERRIDE=FQ","FILING_STATUS=MR","FA_ADJUSTED=GAAP","Sort=A","Dates=H","DateFormat=P","Fill=—","Direction=H","UseDPDF=Y")</f>
        <v>55.770499999999998</v>
      </c>
      <c r="L22" s="14">
        <f>_xll.BDH("GILD US Equity","DVD_PAYOUT_RATIO","FQ1 2021","FQ1 2021","Currency=USD","Period=FQ","BEST_FPERIOD_OVERRIDE=FQ","FILING_STATUS=MR","FA_ADJUSTED=GAAP","Sort=A","Dates=H","DateFormat=P","Fill=—","Direction=H","UseDPDF=Y")</f>
        <v>52.400199999999998</v>
      </c>
      <c r="M22" s="14">
        <f>_xll.BDH("GILD US Equity","DVD_PAYOUT_RATIO","FQ2 2021","FQ2 2021","Currency=USD","Period=FQ","BEST_FPERIOD_OVERRIDE=FQ","FILING_STATUS=MR","FA_ADJUSTED=GAAP","Sort=A","Dates=H","DateFormat=P","Fill=—","Direction=H","UseDPDF=Y")</f>
        <v>59.329799999999999</v>
      </c>
      <c r="N22" s="14">
        <f>_xll.BDH("GILD US Equity","DVD_PAYOUT_RATIO","FQ3 2021","FQ3 2021","Currency=USD","Period=FQ","BEST_FPERIOD_OVERRIDE=FQ","FILING_STATUS=MR","FA_ADJUSTED=GAAP","Sort=A","Dates=H","DateFormat=P","Fill=—","Direction=H","UseDPDF=Y")</f>
        <v>34.915100000000002</v>
      </c>
      <c r="O22" s="14">
        <f>_xll.BDH("GILD US Equity","DVD_PAYOUT_RATIO","FQ4 2021","FQ4 2021","Currency=USD","Period=FQ","BEST_FPERIOD_OVERRIDE=FQ","FILING_STATUS=MR","FA_ADJUSTED=GAAP","Sort=A","Dates=H","DateFormat=P","Fill=—","Direction=H","UseDPDF=Y")</f>
        <v>233.44499999999999</v>
      </c>
      <c r="P22" s="14">
        <f>_xll.BDH("GILD US Equity","DVD_PAYOUT_RATIO","FQ1 2022","FQ1 2022","Currency=USD","Period=FQ","BEST_FPERIOD_OVERRIDE=FQ","FILING_STATUS=MR","FA_ADJUSTED=GAAP","Sort=A","Dates=H","DateFormat=P","Fill=—","Direction=H","UseDPDF=Y")</f>
        <v>4905.2632000000003</v>
      </c>
      <c r="Q22" s="14">
        <f>_xll.BDH("GILD US Equity","DVD_PAYOUT_RATIO","FQ2 2022","FQ2 2022","Currency=USD","Period=FQ","BEST_FPERIOD_OVERRIDE=FQ","FILING_STATUS=MR","FA_ADJUSTED=GAAP","Sort=A","Dates=H","DateFormat=P","Fill=—","Direction=H","UseDPDF=Y")</f>
        <v>81.468500000000006</v>
      </c>
      <c r="R22" s="14">
        <f>_xll.BDH("GILD US Equity","DVD_PAYOUT_RATIO","FQ3 2022","FQ3 2022","Currency=USD","Period=FQ","BEST_FPERIOD_OVERRIDE=FQ","FILING_STATUS=MR","FA_ADJUSTED=GAAP","Sort=A","Dates=H","DateFormat=P","Fill=—","Direction=H","UseDPDF=Y")</f>
        <v>51.2102</v>
      </c>
      <c r="S22" s="14">
        <f>_xll.BDH("GILD US Equity","DVD_PAYOUT_RATIO","FQ4 2022","FQ4 2022","Currency=USD","Period=FQ","BEST_FPERIOD_OVERRIDE=FQ","FILING_STATUS=MR","FA_ADJUSTED=GAAP","Sort=A","Dates=H","DateFormat=P","Fill=—","Direction=H","UseDPDF=Y")</f>
        <v>55.729300000000002</v>
      </c>
      <c r="T22" s="14">
        <f>_xll.BDH("GILD US Equity","DVD_PAYOUT_RATIO","FQ1 2023","FQ1 2023","Currency=USD","Period=FQ","BEST_FPERIOD_OVERRIDE=FQ","FILING_STATUS=MR","FA_ADJUSTED=GAAP","Sort=A","Dates=H","DateFormat=P","Fill=—","Direction=H","UseDPDF=Y")</f>
        <v>94.752499999999998</v>
      </c>
      <c r="U22" s="14">
        <f>_xll.BDH("GILD US Equity","DVD_PAYOUT_RATIO","FQ2 2023","FQ2 2023","Currency=USD","Period=FQ","BEST_FPERIOD_OVERRIDE=FQ","FILING_STATUS=MR","FA_ADJUSTED=GAAP","Sort=A","Dates=H","DateFormat=P","Fill=—","Direction=H","UseDPDF=Y")</f>
        <v>91.291899999999998</v>
      </c>
      <c r="V22" s="14">
        <f>_xll.BDH("GILD US Equity","DVD_PAYOUT_RATIO","FQ3 2023","FQ3 2023","Currency=USD","Period=FQ","BEST_FPERIOD_OVERRIDE=FQ","FILING_STATUS=MR","FA_ADJUSTED=GAAP","Sort=A","Dates=H","DateFormat=P","Fill=—","Direction=H","UseDPDF=Y")</f>
        <v>43.695599999999999</v>
      </c>
      <c r="W22" s="14">
        <f>_xll.BDH("GILD US Equity","DVD_PAYOUT_RATIO","FQ4 2023","FQ4 2023","Currency=USD","Period=FQ","BEST_FPERIOD_OVERRIDE=FQ","FILING_STATUS=MR","FA_ADJUSTED=GAAP","Sort=A","Dates=H","DateFormat=P","Fill=—","Direction=H","UseDPDF=Y")</f>
        <v>65.500299999999996</v>
      </c>
      <c r="X22" s="14" t="str">
        <f>_xll.BDH("GILD US Equity","DVD_PAYOUT_RATIO","FQ1 2024","FQ1 2024","Currency=USD","Period=FQ","BEST_FPERIOD_OVERRIDE=FQ","FILING_STATUS=MR","FA_ADJUSTED=GAAP","Sort=A","Dates=H","DateFormat=P","Fill=—","Direction=H","UseDPDF=Y")</f>
        <v>—</v>
      </c>
      <c r="Y22" s="14">
        <f>_xll.BDH("GILD US Equity","DVD_PAYOUT_RATIO","FQ2 2024","FQ2 2024","Currency=USD","Period=FQ","BEST_FPERIOD_OVERRIDE=FQ","FILING_STATUS=MR","FA_ADJUSTED=GAAP","Sort=A","Dates=H","DateFormat=P","Fill=—","Direction=H","UseDPDF=Y")</f>
        <v>60.594799999999999</v>
      </c>
      <c r="Z22" s="14">
        <f>_xll.BDH("GILD US Equity","DVD_PAYOUT_RATIO","FQ3 2024","FQ3 2024","Currency=USD","Period=FQ","BEST_FPERIOD_OVERRIDE=FQ","FILING_STATUS=MR","FA_ADJUSTED=GAAP","Sort=A","Dates=H","DateFormat=P","Fill=—","Direction=H","UseDPDF=Y")</f>
        <v>77.972899999999996</v>
      </c>
      <c r="AA22" s="14">
        <f>_xll.BDH("GILD US Equity","DVD_PAYOUT_RATIO","FQ4 2024","FQ4 2024","Currency=USD","Period=FQ","BEST_FPERIOD_OVERRIDE=FQ","FILING_STATUS=MR","FA_ADJUSTED=GAAP","Sort=A","Dates=H","DateFormat=P","Fill=—","Direction=H","UseDPDF=Y")</f>
        <v>53.895699999999998</v>
      </c>
    </row>
    <row r="23" spans="1:27" x14ac:dyDescent="0.25">
      <c r="A23" s="10" t="s">
        <v>1507</v>
      </c>
      <c r="B23" s="10" t="s">
        <v>1508</v>
      </c>
      <c r="C23" s="14">
        <f>_xll.BDH("GILD US Equity","SUSTAIN_GROWTH_RT","FQ4 2018","FQ4 2018","Currency=USD","Period=FQ","BEST_FPERIOD_OVERRIDE=FQ","FILING_STATUS=MR","FA_ADJUSTED=GAAP","Sort=A","Dates=H","DateFormat=P","Fill=—","Direction=H","UseDPDF=Y")</f>
        <v>-6416.2662</v>
      </c>
      <c r="D23" s="14">
        <f>_xll.BDH("GILD US Equity","SUSTAIN_GROWTH_RT","FQ1 2019","FQ1 2019","Currency=USD","Period=FQ","BEST_FPERIOD_OVERRIDE=FQ","FILING_STATUS=MR","FA_ADJUSTED=GAAP","Sort=A","Dates=H","DateFormat=P","Fill=—","Direction=H","UseDPDF=Y")</f>
        <v>16.241099999999999</v>
      </c>
      <c r="E23" s="14">
        <f>_xll.BDH("GILD US Equity","SUSTAIN_GROWTH_RT","FQ2 2019","FQ2 2019","Currency=USD","Period=FQ","BEST_FPERIOD_OVERRIDE=FQ","FILING_STATUS=MR","FA_ADJUSTED=GAAP","Sort=A","Dates=H","DateFormat=P","Fill=—","Direction=H","UseDPDF=Y")</f>
        <v>15.448700000000001</v>
      </c>
      <c r="F23" s="14" t="str">
        <f>_xll.BDH("GILD US Equity","SUSTAIN_GROWTH_RT","FQ3 2019","FQ3 2019","Currency=USD","Period=FQ","BEST_FPERIOD_OVERRIDE=FQ","FILING_STATUS=MR","FA_ADJUSTED=GAAP","Sort=A","Dates=H","DateFormat=P","Fill=—","Direction=H","UseDPDF=Y")</f>
        <v>—</v>
      </c>
      <c r="G23" s="14">
        <f>_xll.BDH("GILD US Equity","SUSTAIN_GROWTH_RT","FQ4 2019","FQ4 2019","Currency=USD","Period=FQ","BEST_FPERIOD_OVERRIDE=FQ","FILING_STATUS=MR","FA_ADJUSTED=GAAP","Sort=A","Dates=H","DateFormat=P","Fill=—","Direction=H","UseDPDF=Y")</f>
        <v>17.178899999999999</v>
      </c>
      <c r="H23" s="14">
        <f>_xll.BDH("GILD US Equity","SUSTAIN_GROWTH_RT","FQ1 2020","FQ1 2020","Currency=USD","Period=FQ","BEST_FPERIOD_OVERRIDE=FQ","FILING_STATUS=MR","FA_ADJUSTED=GAAP","Sort=A","Dates=H","DateFormat=P","Fill=—","Direction=H","UseDPDF=Y")</f>
        <v>9.8408999999999995</v>
      </c>
      <c r="I23" s="14" t="str">
        <f>_xll.BDH("GILD US Equity","SUSTAIN_GROWTH_RT","FQ2 2020","FQ2 2020","Currency=USD","Period=FQ","BEST_FPERIOD_OVERRIDE=FQ","FILING_STATUS=MR","FA_ADJUSTED=GAAP","Sort=A","Dates=H","DateFormat=P","Fill=—","Direction=H","UseDPDF=Y")</f>
        <v>—</v>
      </c>
      <c r="J23" s="14">
        <f>_xll.BDH("GILD US Equity","SUSTAIN_GROWTH_RT","FQ3 2020","FQ3 2020","Currency=USD","Period=FQ","BEST_FPERIOD_OVERRIDE=FQ","FILING_STATUS=MR","FA_ADJUSTED=GAAP","Sort=A","Dates=H","DateFormat=P","Fill=—","Direction=H","UseDPDF=Y")</f>
        <v>-9.3681999999999999</v>
      </c>
      <c r="K23" s="14">
        <f>_xll.BDH("GILD US Equity","SUSTAIN_GROWTH_RT","FQ4 2020","FQ4 2020","Currency=USD","Period=FQ","BEST_FPERIOD_OVERRIDE=FQ","FILING_STATUS=MR","FA_ADJUSTED=GAAP","Sort=A","Dates=H","DateFormat=P","Fill=—","Direction=H","UseDPDF=Y")</f>
        <v>0.26719999999999999</v>
      </c>
      <c r="L23" s="14">
        <f>_xll.BDH("GILD US Equity","SUSTAIN_GROWTH_RT","FQ1 2021","FQ1 2021","Currency=USD","Period=FQ","BEST_FPERIOD_OVERRIDE=FQ","FILING_STATUS=MR","FA_ADJUSTED=GAAP","Sort=A","Dates=H","DateFormat=P","Fill=—","Direction=H","UseDPDF=Y")</f>
        <v>0.6986</v>
      </c>
      <c r="M23" s="14">
        <f>_xll.BDH("GILD US Equity","SUSTAIN_GROWTH_RT","FQ2 2021","FQ2 2021","Currency=USD","Period=FQ","BEST_FPERIOD_OVERRIDE=FQ","FILING_STATUS=MR","FA_ADJUSTED=GAAP","Sort=A","Dates=H","DateFormat=P","Fill=—","Direction=H","UseDPDF=Y")</f>
        <v>11.128500000000001</v>
      </c>
      <c r="N23" s="14">
        <f>_xll.BDH("GILD US Equity","SUSTAIN_GROWTH_RT","FQ3 2021","FQ3 2021","Currency=USD","Period=FQ","BEST_FPERIOD_OVERRIDE=FQ","FILING_STATUS=MR","FA_ADJUSTED=GAAP","Sort=A","Dates=H","DateFormat=P","Fill=—","Direction=H","UseDPDF=Y")</f>
        <v>24.732800000000001</v>
      </c>
      <c r="O23" s="14">
        <f>_xll.BDH("GILD US Equity","SUSTAIN_GROWTH_RT","FQ4 2021","FQ4 2021","Currency=USD","Period=FQ","BEST_FPERIOD_OVERRIDE=FQ","FILING_STATUS=MR","FA_ADJUSTED=GAAP","Sort=A","Dates=H","DateFormat=P","Fill=—","Direction=H","UseDPDF=Y")</f>
        <v>-42.305799999999998</v>
      </c>
      <c r="P23" s="14">
        <f>_xll.BDH("GILD US Equity","SUSTAIN_GROWTH_RT","FQ1 2022","FQ1 2022","Currency=USD","Period=FQ","BEST_FPERIOD_OVERRIDE=FQ","FILING_STATUS=MR","FA_ADJUSTED=GAAP","Sort=A","Dates=H","DateFormat=P","Fill=—","Direction=H","UseDPDF=Y")</f>
        <v>-1116.0659000000001</v>
      </c>
      <c r="Q23" s="14">
        <f>_xll.BDH("GILD US Equity","SUSTAIN_GROWTH_RT","FQ2 2022","FQ2 2022","Currency=USD","Period=FQ","BEST_FPERIOD_OVERRIDE=FQ","FILING_STATUS=MR","FA_ADJUSTED=GAAP","Sort=A","Dates=H","DateFormat=P","Fill=—","Direction=H","UseDPDF=Y")</f>
        <v>3.8391000000000002</v>
      </c>
      <c r="R23" s="14">
        <f>_xll.BDH("GILD US Equity","SUSTAIN_GROWTH_RT","FQ3 2022","FQ3 2022","Currency=USD","Period=FQ","BEST_FPERIOD_OVERRIDE=FQ","FILING_STATUS=MR","FA_ADJUSTED=GAAP","Sort=A","Dates=H","DateFormat=P","Fill=—","Direction=H","UseDPDF=Y")</f>
        <v>7.6456999999999997</v>
      </c>
      <c r="S23" s="14">
        <f>_xll.BDH("GILD US Equity","SUSTAIN_GROWTH_RT","FQ4 2022","FQ4 2022","Currency=USD","Period=FQ","BEST_FPERIOD_OVERRIDE=FQ","FILING_STATUS=MR","FA_ADJUSTED=GAAP","Sort=A","Dates=H","DateFormat=P","Fill=—","Direction=H","UseDPDF=Y")</f>
        <v>9.6097999999999999</v>
      </c>
      <c r="T23" s="14">
        <f>_xll.BDH("GILD US Equity","SUSTAIN_GROWTH_RT","FQ1 2023","FQ1 2023","Currency=USD","Period=FQ","BEST_FPERIOD_OVERRIDE=FQ","FILING_STATUS=MR","FA_ADJUSTED=GAAP","Sort=A","Dates=H","DateFormat=P","Fill=—","Direction=H","UseDPDF=Y")</f>
        <v>1.4318</v>
      </c>
      <c r="U23" s="14">
        <f>_xll.BDH("GILD US Equity","SUSTAIN_GROWTH_RT","FQ2 2023","FQ2 2023","Currency=USD","Period=FQ","BEST_FPERIOD_OVERRIDE=FQ","FILING_STATUS=MR","FA_ADJUSTED=GAAP","Sort=A","Dates=H","DateFormat=P","Fill=—","Direction=H","UseDPDF=Y")</f>
        <v>2.3073999999999999</v>
      </c>
      <c r="V23" s="14">
        <f>_xll.BDH("GILD US Equity","SUSTAIN_GROWTH_RT","FQ3 2023","FQ3 2023","Currency=USD","Period=FQ","BEST_FPERIOD_OVERRIDE=FQ","FILING_STATUS=MR","FA_ADJUSTED=GAAP","Sort=A","Dates=H","DateFormat=P","Fill=—","Direction=H","UseDPDF=Y")</f>
        <v>15.245100000000001</v>
      </c>
      <c r="W23" s="14">
        <f>_xll.BDH("GILD US Equity","SUSTAIN_GROWTH_RT","FQ4 2023","FQ4 2023","Currency=USD","Period=FQ","BEST_FPERIOD_OVERRIDE=FQ","FILING_STATUS=MR","FA_ADJUSTED=GAAP","Sort=A","Dates=H","DateFormat=P","Fill=—","Direction=H","UseDPDF=Y")</f>
        <v>8.8673999999999999</v>
      </c>
      <c r="X23" s="14" t="str">
        <f>_xll.BDH("GILD US Equity","SUSTAIN_GROWTH_RT","FQ1 2024","FQ1 2024","Currency=USD","Period=FQ","BEST_FPERIOD_OVERRIDE=FQ","FILING_STATUS=MR","FA_ADJUSTED=GAAP","Sort=A","Dates=H","DateFormat=P","Fill=—","Direction=H","UseDPDF=Y")</f>
        <v>—</v>
      </c>
      <c r="Y23" s="14">
        <f>_xll.BDH("GILD US Equity","SUSTAIN_GROWTH_RT","FQ2 2024","FQ2 2024","Currency=USD","Period=FQ","BEST_FPERIOD_OVERRIDE=FQ","FILING_STATUS=MR","FA_ADJUSTED=GAAP","Sort=A","Dates=H","DateFormat=P","Fill=—","Direction=H","UseDPDF=Y")</f>
        <v>2.1042000000000001</v>
      </c>
      <c r="Z23" s="14">
        <f>_xll.BDH("GILD US Equity","SUSTAIN_GROWTH_RT","FQ3 2024","FQ3 2024","Currency=USD","Period=FQ","BEST_FPERIOD_OVERRIDE=FQ","FILING_STATUS=MR","FA_ADJUSTED=GAAP","Sort=A","Dates=H","DateFormat=P","Fill=—","Direction=H","UseDPDF=Y")</f>
        <v>0.1361</v>
      </c>
      <c r="AA23" s="14">
        <f>_xll.BDH("GILD US Equity","SUSTAIN_GROWTH_RT","FQ4 2024","FQ4 2024","Currency=USD","Period=FQ","BEST_FPERIOD_OVERRIDE=FQ","FILING_STATUS=MR","FA_ADJUSTED=GAAP","Sort=A","Dates=H","DateFormat=P","Fill=—","Direction=H","UseDPDF=Y")</f>
        <v>1.0497000000000001</v>
      </c>
    </row>
    <row r="24" spans="1:27" x14ac:dyDescent="0.25">
      <c r="A24" s="7" t="s">
        <v>90</v>
      </c>
      <c r="B24" s="7"/>
      <c r="C24" s="7" t="s">
        <v>5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4"/>
  <sheetViews>
    <sheetView workbookViewId="0">
      <selection activeCell="H16" sqref="A1:XFD1048576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129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130</v>
      </c>
      <c r="B7" s="10" t="s">
        <v>131</v>
      </c>
      <c r="C7" s="13">
        <f>_xll.BDH("GILD US Equity","BEST_SALES","FQ2 2019","FQ2 2019","Currency=USD","Period=FQ","BEST_FPERIOD_OVERRIDE=FQ","FILING_STATUS=MR","Sort=A","Dates=H","DateFormat=P","Fill=—","Direction=H","UseDPDF=Y")</f>
        <v>5538.2629999999999</v>
      </c>
      <c r="D7" s="13">
        <f>_xll.BDH("GILD US Equity","BEST_SALES","FQ3 2019","FQ3 2019","Currency=USD","Period=FQ","BEST_FPERIOD_OVERRIDE=FQ","FILING_STATUS=MR","Sort=A","Dates=H","DateFormat=P","Fill=—","Direction=H","UseDPDF=Y")</f>
        <v>5608.81</v>
      </c>
      <c r="E7" s="13">
        <f>_xll.BDH("GILD US Equity","BEST_SALES","FQ4 2019","FQ4 2019","Currency=USD","Period=FQ","BEST_FPERIOD_OVERRIDE=FQ","FILING_STATUS=MR","Sort=A","Dates=H","DateFormat=P","Fill=—","Direction=H","UseDPDF=Y")</f>
        <v>5707.5709999999999</v>
      </c>
      <c r="F7" s="13">
        <f>_xll.BDH("GILD US Equity","BEST_SALES","FQ1 2020","FQ1 2020","Currency=USD","Period=FQ","BEST_FPERIOD_OVERRIDE=FQ","FILING_STATUS=MR","Sort=A","Dates=H","DateFormat=P","Fill=—","Direction=H","UseDPDF=Y")</f>
        <v>5463.5259999999998</v>
      </c>
      <c r="G7" s="13">
        <f>_xll.BDH("GILD US Equity","BEST_SALES","FQ2 2020","FQ2 2020","Currency=USD","Period=FQ","BEST_FPERIOD_OVERRIDE=FQ","FILING_STATUS=MR","Sort=A","Dates=H","DateFormat=P","Fill=—","Direction=H","UseDPDF=Y")</f>
        <v>5313.6189999999997</v>
      </c>
      <c r="H7" s="13">
        <f>_xll.BDH("GILD US Equity","BEST_SALES","FQ3 2020","FQ3 2020","Currency=USD","Period=FQ","BEST_FPERIOD_OVERRIDE=FQ","FILING_STATUS=MR","Sort=A","Dates=H","DateFormat=P","Fill=—","Direction=H","UseDPDF=Y")</f>
        <v>6300.125</v>
      </c>
      <c r="I7" s="13">
        <f>_xll.BDH("GILD US Equity","BEST_SALES","FQ4 2020","FQ4 2020","Currency=USD","Period=FQ","BEST_FPERIOD_OVERRIDE=FQ","FILING_STATUS=MR","Sort=A","Dates=H","DateFormat=P","Fill=—","Direction=H","UseDPDF=Y")</f>
        <v>7039.92</v>
      </c>
      <c r="J7" s="13">
        <f>_xll.BDH("GILD US Equity","BEST_SALES","FQ1 2021","FQ1 2021","Currency=USD","Period=FQ","BEST_FPERIOD_OVERRIDE=FQ","FILING_STATUS=MR","Sort=A","Dates=H","DateFormat=P","Fill=—","Direction=H","UseDPDF=Y")</f>
        <v>6736.5240000000003</v>
      </c>
      <c r="K7" s="13">
        <f>_xll.BDH("GILD US Equity","BEST_SALES","FQ2 2021","FQ2 2021","Currency=USD","Period=FQ","BEST_FPERIOD_OVERRIDE=FQ","FILING_STATUS=MR","Sort=A","Dates=H","DateFormat=P","Fill=—","Direction=H","UseDPDF=Y")</f>
        <v>6063.0450000000001</v>
      </c>
      <c r="L7" s="13">
        <f>_xll.BDH("GILD US Equity","BEST_SALES","FQ3 2021","FQ3 2021","Currency=USD","Period=FQ","BEST_FPERIOD_OVERRIDE=FQ","FILING_STATUS=MR","Sort=A","Dates=H","DateFormat=P","Fill=—","Direction=H","UseDPDF=Y")</f>
        <v>6296.81</v>
      </c>
      <c r="M7" s="13">
        <f>_xll.BDH("GILD US Equity","BEST_SALES","FQ4 2021","FQ4 2021","Currency=USD","Period=FQ","BEST_FPERIOD_OVERRIDE=FQ","FILING_STATUS=MR","Sort=A","Dates=H","DateFormat=P","Fill=—","Direction=H","UseDPDF=Y")</f>
        <v>6621.3040000000001</v>
      </c>
      <c r="N7" s="13">
        <f>_xll.BDH("GILD US Equity","BEST_SALES","FQ1 2022","FQ1 2022","Currency=USD","Period=FQ","BEST_FPERIOD_OVERRIDE=FQ","FILING_STATUS=MR","Sort=A","Dates=H","DateFormat=P","Fill=—","Direction=H","UseDPDF=Y")</f>
        <v>6225.3180000000002</v>
      </c>
      <c r="O7" s="13">
        <f>_xll.BDH("GILD US Equity","BEST_SALES","FQ2 2022","FQ2 2022","Currency=USD","Period=FQ","BEST_FPERIOD_OVERRIDE=FQ","FILING_STATUS=MR","Sort=A","Dates=H","DateFormat=P","Fill=—","Direction=H","UseDPDF=Y")</f>
        <v>5841.16</v>
      </c>
      <c r="P7" s="13">
        <f>_xll.BDH("GILD US Equity","BEST_SALES","FQ3 2022","FQ3 2022","Currency=USD","Period=FQ","BEST_FPERIOD_OVERRIDE=FQ","FILING_STATUS=MR","Sort=A","Dates=H","DateFormat=P","Fill=—","Direction=H","UseDPDF=Y")</f>
        <v>6119.72</v>
      </c>
      <c r="Q7" s="13">
        <f>_xll.BDH("GILD US Equity","BEST_SALES","FQ4 2022","FQ4 2022","Currency=USD","Period=FQ","BEST_FPERIOD_OVERRIDE=FQ","FILING_STATUS=MR","Sort=A","Dates=H","DateFormat=P","Fill=—","Direction=H","UseDPDF=Y")</f>
        <v>6636.875</v>
      </c>
      <c r="R7" s="13">
        <f>_xll.BDH("GILD US Equity","BEST_SALES","FQ1 2023","FQ1 2023","Currency=USD","Period=FQ","BEST_FPERIOD_OVERRIDE=FQ","FILING_STATUS=MR","Sort=A","Dates=H","DateFormat=P","Fill=—","Direction=H","UseDPDF=Y")</f>
        <v>6326.125</v>
      </c>
      <c r="S7" s="13">
        <f>_xll.BDH("GILD US Equity","BEST_SALES","FQ2 2023","FQ2 2023","Currency=USD","Period=FQ","BEST_FPERIOD_OVERRIDE=FQ","FILING_STATUS=MR","Sort=A","Dates=H","DateFormat=P","Fill=—","Direction=H","UseDPDF=Y")</f>
        <v>6443.5420000000004</v>
      </c>
      <c r="T7" s="13">
        <f>_xll.BDH("GILD US Equity","BEST_SALES","FQ3 2023","FQ3 2023","Currency=USD","Period=FQ","BEST_FPERIOD_OVERRIDE=FQ","FILING_STATUS=MR","Sort=A","Dates=H","DateFormat=P","Fill=—","Direction=H","UseDPDF=Y")</f>
        <v>6794.0829999999996</v>
      </c>
      <c r="U7" s="13">
        <f>_xll.BDH("GILD US Equity","BEST_SALES","FQ4 2023","FQ4 2023","Currency=USD","Period=FQ","BEST_FPERIOD_OVERRIDE=FQ","FILING_STATUS=MR","Sort=A","Dates=H","DateFormat=P","Fill=—","Direction=H","UseDPDF=Y")</f>
        <v>7101.75</v>
      </c>
      <c r="V7" s="13">
        <f>_xll.BDH("GILD US Equity","BEST_SALES","FQ1 2024","FQ1 2024","Currency=USD","Period=FQ","BEST_FPERIOD_OVERRIDE=FQ","FILING_STATUS=MR","Sort=A","Dates=H","DateFormat=P","Fill=—","Direction=H","UseDPDF=Y")</f>
        <v>6341.25</v>
      </c>
      <c r="W7" s="13">
        <f>_xll.BDH("GILD US Equity","BEST_SALES","FQ2 2024","FQ2 2024","Currency=USD","Period=FQ","BEST_FPERIOD_OVERRIDE=FQ","FILING_STATUS=MR","Sort=A","Dates=H","DateFormat=P","Fill=—","Direction=H","UseDPDF=Y")</f>
        <v>6731.64</v>
      </c>
      <c r="X7" s="13">
        <f>_xll.BDH("GILD US Equity","BEST_SALES","FQ3 2024","FQ3 2024","Currency=USD","Period=FQ","BEST_FPERIOD_OVERRIDE=FQ","FILING_STATUS=MR","Sort=A","Dates=H","DateFormat=P","Fill=—","Direction=H","UseDPDF=Y")</f>
        <v>6998.0829999999996</v>
      </c>
      <c r="Y7" s="13">
        <f>_xll.BDH("GILD US Equity","BEST_SALES","FQ4 2024","FQ4 2024","Currency=USD","Period=FQ","BEST_FPERIOD_OVERRIDE=FQ","FILING_STATUS=MR","Sort=A","Dates=H","DateFormat=P","Fill=—","Direction=H","UseDPDF=Y")</f>
        <v>7134.44</v>
      </c>
      <c r="Z7" s="13">
        <v>6764.3159999999998</v>
      </c>
      <c r="AA7" s="13">
        <v>6947.6840000000002</v>
      </c>
    </row>
    <row r="8" spans="1:27" x14ac:dyDescent="0.25">
      <c r="A8" s="10" t="s">
        <v>132</v>
      </c>
      <c r="B8" s="10" t="s">
        <v>133</v>
      </c>
      <c r="C8" s="13">
        <f>_xll.BDH("GILD US Equity","IS_COMP_SALES","FQ2 2019","FQ2 2019","Currency=USD","Period=FQ","BEST_FPERIOD_OVERRIDE=FQ","FILING_STATUS=MR","SCALING_FORMAT=MLN","Sort=A","Dates=H","DateFormat=P","Fill=—","Direction=H","UseDPDF=Y")</f>
        <v>5685</v>
      </c>
      <c r="D8" s="13">
        <f>_xll.BDH("GILD US Equity","IS_COMP_SALES","FQ3 2019","FQ3 2019","Currency=USD","Period=FQ","BEST_FPERIOD_OVERRIDE=FQ","FILING_STATUS=MR","SCALING_FORMAT=MLN","Sort=A","Dates=H","DateFormat=P","Fill=—","Direction=H","UseDPDF=Y")</f>
        <v>5604</v>
      </c>
      <c r="E8" s="13">
        <f>_xll.BDH("GILD US Equity","IS_COMP_SALES","FQ4 2019","FQ4 2019","Currency=USD","Period=FQ","BEST_FPERIOD_OVERRIDE=FQ","FILING_STATUS=MR","SCALING_FORMAT=MLN","Sort=A","Dates=H","DateFormat=P","Fill=—","Direction=H","UseDPDF=Y")</f>
        <v>5879</v>
      </c>
      <c r="F8" s="13">
        <f>_xll.BDH("GILD US Equity","IS_COMP_SALES","FQ1 2020","FQ1 2020","Currency=USD","Period=FQ","BEST_FPERIOD_OVERRIDE=FQ","FILING_STATUS=MR","SCALING_FORMAT=MLN","Sort=A","Dates=H","DateFormat=P","Fill=—","Direction=H","UseDPDF=Y")</f>
        <v>5548</v>
      </c>
      <c r="G8" s="13">
        <f>_xll.BDH("GILD US Equity","IS_COMP_SALES","FQ2 2020","FQ2 2020","Currency=USD","Period=FQ","BEST_FPERIOD_OVERRIDE=FQ","FILING_STATUS=MR","SCALING_FORMAT=MLN","Sort=A","Dates=H","DateFormat=P","Fill=—","Direction=H","UseDPDF=Y")</f>
        <v>5143</v>
      </c>
      <c r="H8" s="13">
        <f>_xll.BDH("GILD US Equity","IS_COMP_SALES","FQ3 2020","FQ3 2020","Currency=USD","Period=FQ","BEST_FPERIOD_OVERRIDE=FQ","FILING_STATUS=MR","SCALING_FORMAT=MLN","Sort=A","Dates=H","DateFormat=P","Fill=—","Direction=H","UseDPDF=Y")</f>
        <v>6577</v>
      </c>
      <c r="I8" s="13">
        <f>_xll.BDH("GILD US Equity","IS_COMP_SALES","FQ4 2020","FQ4 2020","Currency=USD","Period=FQ","BEST_FPERIOD_OVERRIDE=FQ","FILING_STATUS=MR","SCALING_FORMAT=MLN","Sort=A","Dates=H","DateFormat=P","Fill=—","Direction=H","UseDPDF=Y")</f>
        <v>7421</v>
      </c>
      <c r="J8" s="13">
        <f>_xll.BDH("GILD US Equity","IS_COMP_SALES","FQ1 2021","FQ1 2021","Currency=USD","Period=FQ","BEST_FPERIOD_OVERRIDE=FQ","FILING_STATUS=MR","SCALING_FORMAT=MLN","Sort=A","Dates=H","DateFormat=P","Fill=—","Direction=H","UseDPDF=Y")</f>
        <v>6423</v>
      </c>
      <c r="K8" s="13">
        <f>_xll.BDH("GILD US Equity","IS_COMP_SALES","FQ2 2021","FQ2 2021","Currency=USD","Period=FQ","BEST_FPERIOD_OVERRIDE=FQ","FILING_STATUS=MR","SCALING_FORMAT=MLN","Sort=A","Dates=H","DateFormat=P","Fill=—","Direction=H","UseDPDF=Y")</f>
        <v>6217</v>
      </c>
      <c r="L8" s="13">
        <f>_xll.BDH("GILD US Equity","IS_COMP_SALES","FQ3 2021","FQ3 2021","Currency=USD","Period=FQ","BEST_FPERIOD_OVERRIDE=FQ","FILING_STATUS=MR","SCALING_FORMAT=MLN","Sort=A","Dates=H","DateFormat=P","Fill=—","Direction=H","UseDPDF=Y")</f>
        <v>7421</v>
      </c>
      <c r="M8" s="13">
        <f>_xll.BDH("GILD US Equity","IS_COMP_SALES","FQ4 2021","FQ4 2021","Currency=USD","Period=FQ","BEST_FPERIOD_OVERRIDE=FQ","FILING_STATUS=MR","SCALING_FORMAT=MLN","Sort=A","Dates=H","DateFormat=P","Fill=—","Direction=H","UseDPDF=Y")</f>
        <v>7244</v>
      </c>
      <c r="N8" s="13">
        <f>_xll.BDH("GILD US Equity","IS_COMP_SALES","FQ1 2022","FQ1 2022","Currency=USD","Period=FQ","BEST_FPERIOD_OVERRIDE=FQ","FILING_STATUS=MR","SCALING_FORMAT=MLN","Sort=A","Dates=H","DateFormat=P","Fill=—","Direction=H","UseDPDF=Y")</f>
        <v>6590</v>
      </c>
      <c r="O8" s="13">
        <f>_xll.BDH("GILD US Equity","IS_COMP_SALES","FQ2 2022","FQ2 2022","Currency=USD","Period=FQ","BEST_FPERIOD_OVERRIDE=FQ","FILING_STATUS=MR","SCALING_FORMAT=MLN","Sort=A","Dates=H","DateFormat=P","Fill=—","Direction=H","UseDPDF=Y")</f>
        <v>6260</v>
      </c>
      <c r="P8" s="13">
        <f>_xll.BDH("GILD US Equity","IS_COMP_SALES","FQ3 2022","FQ3 2022","Currency=USD","Period=FQ","BEST_FPERIOD_OVERRIDE=FQ","FILING_STATUS=MR","SCALING_FORMAT=MLN","Sort=A","Dates=H","DateFormat=P","Fill=—","Direction=H","UseDPDF=Y")</f>
        <v>7042</v>
      </c>
      <c r="Q8" s="13">
        <f>_xll.BDH("GILD US Equity","IS_COMP_SALES","FQ4 2022","FQ4 2022","Currency=USD","Period=FQ","BEST_FPERIOD_OVERRIDE=FQ","FILING_STATUS=MR","SCALING_FORMAT=MLN","Sort=A","Dates=H","DateFormat=P","Fill=—","Direction=H","UseDPDF=Y")</f>
        <v>7389</v>
      </c>
      <c r="R8" s="13">
        <f>_xll.BDH("GILD US Equity","IS_COMP_SALES","FQ1 2023","FQ1 2023","Currency=USD","Period=FQ","BEST_FPERIOD_OVERRIDE=FQ","FILING_STATUS=MR","SCALING_FORMAT=MLN","Sort=A","Dates=H","DateFormat=P","Fill=—","Direction=H","UseDPDF=Y")</f>
        <v>6352</v>
      </c>
      <c r="S8" s="13">
        <f>_xll.BDH("GILD US Equity","IS_COMP_SALES","FQ2 2023","FQ2 2023","Currency=USD","Period=FQ","BEST_FPERIOD_OVERRIDE=FQ","FILING_STATUS=MR","SCALING_FORMAT=MLN","Sort=A","Dates=H","DateFormat=P","Fill=—","Direction=H","UseDPDF=Y")</f>
        <v>6599</v>
      </c>
      <c r="T8" s="13">
        <f>_xll.BDH("GILD US Equity","IS_COMP_SALES","FQ3 2023","FQ3 2023","Currency=USD","Period=FQ","BEST_FPERIOD_OVERRIDE=FQ","FILING_STATUS=MR","SCALING_FORMAT=MLN","Sort=A","Dates=H","DateFormat=P","Fill=—","Direction=H","UseDPDF=Y")</f>
        <v>7051</v>
      </c>
      <c r="U8" s="13">
        <f>_xll.BDH("GILD US Equity","IS_COMP_SALES","FQ4 2023","FQ4 2023","Currency=USD","Period=FQ","BEST_FPERIOD_OVERRIDE=FQ","FILING_STATUS=MR","SCALING_FORMAT=MLN","Sort=A","Dates=H","DateFormat=P","Fill=—","Direction=H","UseDPDF=Y")</f>
        <v>7115</v>
      </c>
      <c r="V8" s="13">
        <f>_xll.BDH("GILD US Equity","IS_COMP_SALES","FQ1 2024","FQ1 2024","Currency=USD","Period=FQ","BEST_FPERIOD_OVERRIDE=FQ","FILING_STATUS=MR","SCALING_FORMAT=MLN","Sort=A","Dates=H","DateFormat=P","Fill=—","Direction=H","UseDPDF=Y")</f>
        <v>6686</v>
      </c>
      <c r="W8" s="13">
        <f>_xll.BDH("GILD US Equity","IS_COMP_SALES","FQ2 2024","FQ2 2024","Currency=USD","Period=FQ","BEST_FPERIOD_OVERRIDE=FQ","FILING_STATUS=MR","SCALING_FORMAT=MLN","Sort=A","Dates=H","DateFormat=P","Fill=—","Direction=H","UseDPDF=Y")</f>
        <v>6954</v>
      </c>
      <c r="X8" s="13">
        <f>_xll.BDH("GILD US Equity","IS_COMP_SALES","FQ3 2024","FQ3 2024","Currency=USD","Period=FQ","BEST_FPERIOD_OVERRIDE=FQ","FILING_STATUS=MR","SCALING_FORMAT=MLN","Sort=A","Dates=H","DateFormat=P","Fill=—","Direction=H","UseDPDF=Y")</f>
        <v>7545</v>
      </c>
      <c r="Y8" s="13">
        <f>_xll.BDH("GILD US Equity","IS_COMP_SALES","FQ4 2024","FQ4 2024","Currency=USD","Period=FQ","BEST_FPERIOD_OVERRIDE=FQ","FILING_STATUS=MR","SCALING_FORMAT=MLN","Sort=A","Dates=H","DateFormat=P","Fill=—","Direction=H","UseDPDF=Y")</f>
        <v>7569</v>
      </c>
      <c r="Z8" s="13"/>
      <c r="AA8" s="13"/>
    </row>
    <row r="9" spans="1:27" x14ac:dyDescent="0.25">
      <c r="A9" s="11" t="s">
        <v>134</v>
      </c>
      <c r="B9" s="11"/>
      <c r="C9" s="25">
        <v>2.6495130332380401</v>
      </c>
      <c r="D9" s="25">
        <v>-8.5757941524145107E-2</v>
      </c>
      <c r="E9" s="25">
        <v>3.0035368811005601</v>
      </c>
      <c r="F9" s="25">
        <v>1.54614437636062</v>
      </c>
      <c r="G9" s="25">
        <v>-3.2109754199538898</v>
      </c>
      <c r="H9" s="25">
        <v>4.39475407233983</v>
      </c>
      <c r="I9" s="25">
        <v>5.4131296946556198</v>
      </c>
      <c r="J9" s="25">
        <v>-4.6540916353894097</v>
      </c>
      <c r="K9" s="25">
        <v>2.5392356480943099</v>
      </c>
      <c r="L9" s="25">
        <v>17.853325731600599</v>
      </c>
      <c r="M9" s="25">
        <v>9.4044315137924492</v>
      </c>
      <c r="N9" s="25">
        <v>5.8580461271215301</v>
      </c>
      <c r="O9" s="25">
        <v>7.1704935321066401</v>
      </c>
      <c r="P9" s="25">
        <v>15.0706241462028</v>
      </c>
      <c r="Q9" s="25">
        <v>11.3325171861757</v>
      </c>
      <c r="R9" s="25">
        <v>0.40901815882550502</v>
      </c>
      <c r="S9" s="25">
        <v>2.4126171599409099</v>
      </c>
      <c r="T9" s="25">
        <v>3.7814816215816101</v>
      </c>
      <c r="U9" s="25">
        <v>0.18657373182666201</v>
      </c>
      <c r="V9" s="25">
        <v>5.4366252710427796</v>
      </c>
      <c r="W9" s="25">
        <v>3.3032069451129198</v>
      </c>
      <c r="X9" s="25">
        <v>7.8152402593681796</v>
      </c>
      <c r="Y9" s="25">
        <v>6.0910176552049</v>
      </c>
      <c r="Z9" s="25"/>
      <c r="AA9" s="25"/>
    </row>
    <row r="10" spans="1:27" x14ac:dyDescent="0.25">
      <c r="A10" s="10" t="s">
        <v>135</v>
      </c>
      <c r="B10" s="10" t="s">
        <v>71</v>
      </c>
      <c r="C10" s="13">
        <f>_xll.BDH("GILD US Equity","SALES_REV_TURN","FQ2 2019","FQ2 2019","Currency=USD","Period=FQ","BEST_FPERIOD_OVERRIDE=FQ","FILING_STATUS=MR","SCALING_FORMAT=MLN","FA_ADJUSTED=GAAP","Sort=A","Dates=H","DateFormat=P","Fill=—","Direction=H","UseDPDF=Y")</f>
        <v>5685</v>
      </c>
      <c r="D10" s="13">
        <f>_xll.BDH("GILD US Equity","SALES_REV_TURN","FQ3 2019","FQ3 2019","Currency=USD","Period=FQ","BEST_FPERIOD_OVERRIDE=FQ","FILING_STATUS=MR","SCALING_FORMAT=MLN","FA_ADJUSTED=GAAP","Sort=A","Dates=H","DateFormat=P","Fill=—","Direction=H","UseDPDF=Y")</f>
        <v>5604</v>
      </c>
      <c r="E10" s="13">
        <f>_xll.BDH("GILD US Equity","SALES_REV_TURN","FQ4 2019","FQ4 2019","Currency=USD","Period=FQ","BEST_FPERIOD_OVERRIDE=FQ","FILING_STATUS=MR","SCALING_FORMAT=MLN","FA_ADJUSTED=GAAP","Sort=A","Dates=H","DateFormat=P","Fill=—","Direction=H","UseDPDF=Y")</f>
        <v>5879</v>
      </c>
      <c r="F10" s="13">
        <f>_xll.BDH("GILD US Equity","SALES_REV_TURN","FQ1 2020","FQ1 2020","Currency=USD","Period=FQ","BEST_FPERIOD_OVERRIDE=FQ","FILING_STATUS=MR","SCALING_FORMAT=MLN","FA_ADJUSTED=GAAP","Sort=A","Dates=H","DateFormat=P","Fill=—","Direction=H","UseDPDF=Y")</f>
        <v>5548</v>
      </c>
      <c r="G10" s="13">
        <f>_xll.BDH("GILD US Equity","SALES_REV_TURN","FQ2 2020","FQ2 2020","Currency=USD","Period=FQ","BEST_FPERIOD_OVERRIDE=FQ","FILING_STATUS=MR","SCALING_FORMAT=MLN","FA_ADJUSTED=GAAP","Sort=A","Dates=H","DateFormat=P","Fill=—","Direction=H","UseDPDF=Y")</f>
        <v>5143</v>
      </c>
      <c r="H10" s="13">
        <f>_xll.BDH("GILD US Equity","SALES_REV_TURN","FQ3 2020","FQ3 2020","Currency=USD","Period=FQ","BEST_FPERIOD_OVERRIDE=FQ","FILING_STATUS=MR","SCALING_FORMAT=MLN","FA_ADJUSTED=GAAP","Sort=A","Dates=H","DateFormat=P","Fill=—","Direction=H","UseDPDF=Y")</f>
        <v>6577</v>
      </c>
      <c r="I10" s="13">
        <f>_xll.BDH("GILD US Equity","SALES_REV_TURN","FQ4 2020","FQ4 2020","Currency=USD","Period=FQ","BEST_FPERIOD_OVERRIDE=FQ","FILING_STATUS=MR","SCALING_FORMAT=MLN","FA_ADJUSTED=GAAP","Sort=A","Dates=H","DateFormat=P","Fill=—","Direction=H","UseDPDF=Y")</f>
        <v>7421</v>
      </c>
      <c r="J10" s="13">
        <f>_xll.BDH("GILD US Equity","SALES_REV_TURN","FQ1 2021","FQ1 2021","Currency=USD","Period=FQ","BEST_FPERIOD_OVERRIDE=FQ","FILING_STATUS=MR","SCALING_FORMAT=MLN","FA_ADJUSTED=GAAP","Sort=A","Dates=H","DateFormat=P","Fill=—","Direction=H","UseDPDF=Y")</f>
        <v>6423</v>
      </c>
      <c r="K10" s="13">
        <f>_xll.BDH("GILD US Equity","SALES_REV_TURN","FQ2 2021","FQ2 2021","Currency=USD","Period=FQ","BEST_FPERIOD_OVERRIDE=FQ","FILING_STATUS=MR","SCALING_FORMAT=MLN","FA_ADJUSTED=GAAP","Sort=A","Dates=H","DateFormat=P","Fill=—","Direction=H","UseDPDF=Y")</f>
        <v>6217</v>
      </c>
      <c r="L10" s="13">
        <f>_xll.BDH("GILD US Equity","SALES_REV_TURN","FQ3 2021","FQ3 2021","Currency=USD","Period=FQ","BEST_FPERIOD_OVERRIDE=FQ","FILING_STATUS=MR","SCALING_FORMAT=MLN","FA_ADJUSTED=GAAP","Sort=A","Dates=H","DateFormat=P","Fill=—","Direction=H","UseDPDF=Y")</f>
        <v>7421</v>
      </c>
      <c r="M10" s="13">
        <f>_xll.BDH("GILD US Equity","SALES_REV_TURN","FQ4 2021","FQ4 2021","Currency=USD","Period=FQ","BEST_FPERIOD_OVERRIDE=FQ","FILING_STATUS=MR","SCALING_FORMAT=MLN","FA_ADJUSTED=GAAP","Sort=A","Dates=H","DateFormat=P","Fill=—","Direction=H","UseDPDF=Y")</f>
        <v>7244</v>
      </c>
      <c r="N10" s="13">
        <f>_xll.BDH("GILD US Equity","SALES_REV_TURN","FQ1 2022","FQ1 2022","Currency=USD","Period=FQ","BEST_FPERIOD_OVERRIDE=FQ","FILING_STATUS=MR","SCALING_FORMAT=MLN","FA_ADJUSTED=GAAP","Sort=A","Dates=H","DateFormat=P","Fill=—","Direction=H","UseDPDF=Y")</f>
        <v>6590</v>
      </c>
      <c r="O10" s="13">
        <f>_xll.BDH("GILD US Equity","SALES_REV_TURN","FQ2 2022","FQ2 2022","Currency=USD","Period=FQ","BEST_FPERIOD_OVERRIDE=FQ","FILING_STATUS=MR","SCALING_FORMAT=MLN","FA_ADJUSTED=GAAP","Sort=A","Dates=H","DateFormat=P","Fill=—","Direction=H","UseDPDF=Y")</f>
        <v>6260</v>
      </c>
      <c r="P10" s="13">
        <f>_xll.BDH("GILD US Equity","SALES_REV_TURN","FQ3 2022","FQ3 2022","Currency=USD","Period=FQ","BEST_FPERIOD_OVERRIDE=FQ","FILING_STATUS=MR","SCALING_FORMAT=MLN","FA_ADJUSTED=GAAP","Sort=A","Dates=H","DateFormat=P","Fill=—","Direction=H","UseDPDF=Y")</f>
        <v>7042</v>
      </c>
      <c r="Q10" s="13">
        <f>_xll.BDH("GILD US Equity","SALES_REV_TURN","FQ4 2022","FQ4 2022","Currency=USD","Period=FQ","BEST_FPERIOD_OVERRIDE=FQ","FILING_STATUS=MR","SCALING_FORMAT=MLN","FA_ADJUSTED=GAAP","Sort=A","Dates=H","DateFormat=P","Fill=—","Direction=H","UseDPDF=Y")</f>
        <v>7389</v>
      </c>
      <c r="R10" s="13">
        <f>_xll.BDH("GILD US Equity","SALES_REV_TURN","FQ1 2023","FQ1 2023","Currency=USD","Period=FQ","BEST_FPERIOD_OVERRIDE=FQ","FILING_STATUS=MR","SCALING_FORMAT=MLN","FA_ADJUSTED=GAAP","Sort=A","Dates=H","DateFormat=P","Fill=—","Direction=H","UseDPDF=Y")</f>
        <v>6352</v>
      </c>
      <c r="S10" s="13">
        <f>_xll.BDH("GILD US Equity","SALES_REV_TURN","FQ2 2023","FQ2 2023","Currency=USD","Period=FQ","BEST_FPERIOD_OVERRIDE=FQ","FILING_STATUS=MR","SCALING_FORMAT=MLN","FA_ADJUSTED=GAAP","Sort=A","Dates=H","DateFormat=P","Fill=—","Direction=H","UseDPDF=Y")</f>
        <v>6599</v>
      </c>
      <c r="T10" s="13">
        <f>_xll.BDH("GILD US Equity","SALES_REV_TURN","FQ3 2023","FQ3 2023","Currency=USD","Period=FQ","BEST_FPERIOD_OVERRIDE=FQ","FILING_STATUS=MR","SCALING_FORMAT=MLN","FA_ADJUSTED=GAAP","Sort=A","Dates=H","DateFormat=P","Fill=—","Direction=H","UseDPDF=Y")</f>
        <v>7051</v>
      </c>
      <c r="U10" s="13">
        <f>_xll.BDH("GILD US Equity","SALES_REV_TURN","FQ4 2023","FQ4 2023","Currency=USD","Period=FQ","BEST_FPERIOD_OVERRIDE=FQ","FILING_STATUS=MR","SCALING_FORMAT=MLN","FA_ADJUSTED=GAAP","Sort=A","Dates=H","DateFormat=P","Fill=—","Direction=H","UseDPDF=Y")</f>
        <v>7115</v>
      </c>
      <c r="V10" s="13">
        <f>_xll.BDH("GILD US Equity","SALES_REV_TURN","FQ1 2024","FQ1 2024","Currency=USD","Period=FQ","BEST_FPERIOD_OVERRIDE=FQ","FILING_STATUS=MR","SCALING_FORMAT=MLN","FA_ADJUSTED=GAAP","Sort=A","Dates=H","DateFormat=P","Fill=—","Direction=H","UseDPDF=Y")</f>
        <v>6686</v>
      </c>
      <c r="W10" s="13">
        <f>_xll.BDH("GILD US Equity","SALES_REV_TURN","FQ2 2024","FQ2 2024","Currency=USD","Period=FQ","BEST_FPERIOD_OVERRIDE=FQ","FILING_STATUS=MR","SCALING_FORMAT=MLN","FA_ADJUSTED=GAAP","Sort=A","Dates=H","DateFormat=P","Fill=—","Direction=H","UseDPDF=Y")</f>
        <v>6953</v>
      </c>
      <c r="X10" s="13">
        <f>_xll.BDH("GILD US Equity","SALES_REV_TURN","FQ3 2024","FQ3 2024","Currency=USD","Period=FQ","BEST_FPERIOD_OVERRIDE=FQ","FILING_STATUS=MR","SCALING_FORMAT=MLN","FA_ADJUSTED=GAAP","Sort=A","Dates=H","DateFormat=P","Fill=—","Direction=H","UseDPDF=Y")</f>
        <v>7545</v>
      </c>
      <c r="Y10" s="13">
        <f>_xll.BDH("GILD US Equity","SALES_REV_TURN","FQ4 2024","FQ4 2024","Currency=USD","Period=FQ","BEST_FPERIOD_OVERRIDE=FQ","FILING_STATUS=MR","SCALING_FORMAT=MLN","FA_ADJUSTED=GAAP","Sort=A","Dates=H","DateFormat=P","Fill=—","Direction=H","UseDPDF=Y")</f>
        <v>7569</v>
      </c>
      <c r="Z10" s="13"/>
      <c r="AA10" s="13"/>
    </row>
    <row r="11" spans="1:27" x14ac:dyDescent="0.25">
      <c r="A11" s="10" t="s">
        <v>136</v>
      </c>
      <c r="B11" s="10" t="s">
        <v>71</v>
      </c>
      <c r="C11" s="13">
        <f>_xll.BDH("GILD US Equity","SALES_REV_TURN","FQ2 2019","FQ2 2019","Currency=USD","Period=FQ","BEST_FPERIOD_OVERRIDE=FQ","FILING_STATUS=MR","SCALING_FORMAT=MLN","FA_ADJUSTED=Adjusted","Sort=A","Dates=H","DateFormat=P","Fill=—","Direction=H","UseDPDF=Y")</f>
        <v>5685</v>
      </c>
      <c r="D11" s="13">
        <f>_xll.BDH("GILD US Equity","SALES_REV_TURN","FQ3 2019","FQ3 2019","Currency=USD","Period=FQ","BEST_FPERIOD_OVERRIDE=FQ","FILING_STATUS=MR","SCALING_FORMAT=MLN","FA_ADJUSTED=Adjusted","Sort=A","Dates=H","DateFormat=P","Fill=—","Direction=H","UseDPDF=Y")</f>
        <v>5604</v>
      </c>
      <c r="E11" s="13">
        <f>_xll.BDH("GILD US Equity","SALES_REV_TURN","FQ4 2019","FQ4 2019","Currency=USD","Period=FQ","BEST_FPERIOD_OVERRIDE=FQ","FILING_STATUS=MR","SCALING_FORMAT=MLN","FA_ADJUSTED=Adjusted","Sort=A","Dates=H","DateFormat=P","Fill=—","Direction=H","UseDPDF=Y")</f>
        <v>5879</v>
      </c>
      <c r="F11" s="13">
        <f>_xll.BDH("GILD US Equity","SALES_REV_TURN","FQ1 2020","FQ1 2020","Currency=USD","Period=FQ","BEST_FPERIOD_OVERRIDE=FQ","FILING_STATUS=MR","SCALING_FORMAT=MLN","FA_ADJUSTED=Adjusted","Sort=A","Dates=H","DateFormat=P","Fill=—","Direction=H","UseDPDF=Y")</f>
        <v>5548</v>
      </c>
      <c r="G11" s="13">
        <f>_xll.BDH("GILD US Equity","SALES_REV_TURN","FQ2 2020","FQ2 2020","Currency=USD","Period=FQ","BEST_FPERIOD_OVERRIDE=FQ","FILING_STATUS=MR","SCALING_FORMAT=MLN","FA_ADJUSTED=Adjusted","Sort=A","Dates=H","DateFormat=P","Fill=—","Direction=H","UseDPDF=Y")</f>
        <v>5143</v>
      </c>
      <c r="H11" s="13">
        <f>_xll.BDH("GILD US Equity","SALES_REV_TURN","FQ3 2020","FQ3 2020","Currency=USD","Period=FQ","BEST_FPERIOD_OVERRIDE=FQ","FILING_STATUS=MR","SCALING_FORMAT=MLN","FA_ADJUSTED=Adjusted","Sort=A","Dates=H","DateFormat=P","Fill=—","Direction=H","UseDPDF=Y")</f>
        <v>6577</v>
      </c>
      <c r="I11" s="13">
        <f>_xll.BDH("GILD US Equity","SALES_REV_TURN","FQ4 2020","FQ4 2020","Currency=USD","Period=FQ","BEST_FPERIOD_OVERRIDE=FQ","FILING_STATUS=MR","SCALING_FORMAT=MLN","FA_ADJUSTED=Adjusted","Sort=A","Dates=H","DateFormat=P","Fill=—","Direction=H","UseDPDF=Y")</f>
        <v>7421</v>
      </c>
      <c r="J11" s="13">
        <f>_xll.BDH("GILD US Equity","SALES_REV_TURN","FQ1 2021","FQ1 2021","Currency=USD","Period=FQ","BEST_FPERIOD_OVERRIDE=FQ","FILING_STATUS=MR","SCALING_FORMAT=MLN","FA_ADJUSTED=Adjusted","Sort=A","Dates=H","DateFormat=P","Fill=—","Direction=H","UseDPDF=Y")</f>
        <v>6423</v>
      </c>
      <c r="K11" s="13">
        <f>_xll.BDH("GILD US Equity","SALES_REV_TURN","FQ2 2021","FQ2 2021","Currency=USD","Period=FQ","BEST_FPERIOD_OVERRIDE=FQ","FILING_STATUS=MR","SCALING_FORMAT=MLN","FA_ADJUSTED=Adjusted","Sort=A","Dates=H","DateFormat=P","Fill=—","Direction=H","UseDPDF=Y")</f>
        <v>6217</v>
      </c>
      <c r="L11" s="13">
        <f>_xll.BDH("GILD US Equity","SALES_REV_TURN","FQ3 2021","FQ3 2021","Currency=USD","Period=FQ","BEST_FPERIOD_OVERRIDE=FQ","FILING_STATUS=MR","SCALING_FORMAT=MLN","FA_ADJUSTED=Adjusted","Sort=A","Dates=H","DateFormat=P","Fill=—","Direction=H","UseDPDF=Y")</f>
        <v>7421</v>
      </c>
      <c r="M11" s="13">
        <f>_xll.BDH("GILD US Equity","SALES_REV_TURN","FQ4 2021","FQ4 2021","Currency=USD","Period=FQ","BEST_FPERIOD_OVERRIDE=FQ","FILING_STATUS=MR","SCALING_FORMAT=MLN","FA_ADJUSTED=Adjusted","Sort=A","Dates=H","DateFormat=P","Fill=—","Direction=H","UseDPDF=Y")</f>
        <v>7244</v>
      </c>
      <c r="N11" s="13">
        <f>_xll.BDH("GILD US Equity","SALES_REV_TURN","FQ1 2022","FQ1 2022","Currency=USD","Period=FQ","BEST_FPERIOD_OVERRIDE=FQ","FILING_STATUS=MR","SCALING_FORMAT=MLN","FA_ADJUSTED=Adjusted","Sort=A","Dates=H","DateFormat=P","Fill=—","Direction=H","UseDPDF=Y")</f>
        <v>6590</v>
      </c>
      <c r="O11" s="13">
        <f>_xll.BDH("GILD US Equity","SALES_REV_TURN","FQ2 2022","FQ2 2022","Currency=USD","Period=FQ","BEST_FPERIOD_OVERRIDE=FQ","FILING_STATUS=MR","SCALING_FORMAT=MLN","FA_ADJUSTED=Adjusted","Sort=A","Dates=H","DateFormat=P","Fill=—","Direction=H","UseDPDF=Y")</f>
        <v>6260</v>
      </c>
      <c r="P11" s="13">
        <f>_xll.BDH("GILD US Equity","SALES_REV_TURN","FQ3 2022","FQ3 2022","Currency=USD","Period=FQ","BEST_FPERIOD_OVERRIDE=FQ","FILING_STATUS=MR","SCALING_FORMAT=MLN","FA_ADJUSTED=Adjusted","Sort=A","Dates=H","DateFormat=P","Fill=—","Direction=H","UseDPDF=Y")</f>
        <v>7042</v>
      </c>
      <c r="Q11" s="13">
        <f>_xll.BDH("GILD US Equity","SALES_REV_TURN","FQ4 2022","FQ4 2022","Currency=USD","Period=FQ","BEST_FPERIOD_OVERRIDE=FQ","FILING_STATUS=MR","SCALING_FORMAT=MLN","FA_ADJUSTED=Adjusted","Sort=A","Dates=H","DateFormat=P","Fill=—","Direction=H","UseDPDF=Y")</f>
        <v>7389</v>
      </c>
      <c r="R11" s="13">
        <f>_xll.BDH("GILD US Equity","SALES_REV_TURN","FQ1 2023","FQ1 2023","Currency=USD","Period=FQ","BEST_FPERIOD_OVERRIDE=FQ","FILING_STATUS=MR","SCALING_FORMAT=MLN","FA_ADJUSTED=Adjusted","Sort=A","Dates=H","DateFormat=P","Fill=—","Direction=H","UseDPDF=Y")</f>
        <v>6352</v>
      </c>
      <c r="S11" s="13">
        <f>_xll.BDH("GILD US Equity","SALES_REV_TURN","FQ2 2023","FQ2 2023","Currency=USD","Period=FQ","BEST_FPERIOD_OVERRIDE=FQ","FILING_STATUS=MR","SCALING_FORMAT=MLN","FA_ADJUSTED=Adjusted","Sort=A","Dates=H","DateFormat=P","Fill=—","Direction=H","UseDPDF=Y")</f>
        <v>6599</v>
      </c>
      <c r="T11" s="13">
        <f>_xll.BDH("GILD US Equity","SALES_REV_TURN","FQ3 2023","FQ3 2023","Currency=USD","Period=FQ","BEST_FPERIOD_OVERRIDE=FQ","FILING_STATUS=MR","SCALING_FORMAT=MLN","FA_ADJUSTED=Adjusted","Sort=A","Dates=H","DateFormat=P","Fill=—","Direction=H","UseDPDF=Y")</f>
        <v>7051</v>
      </c>
      <c r="U11" s="13">
        <f>_xll.BDH("GILD US Equity","SALES_REV_TURN","FQ4 2023","FQ4 2023","Currency=USD","Period=FQ","BEST_FPERIOD_OVERRIDE=FQ","FILING_STATUS=MR","SCALING_FORMAT=MLN","FA_ADJUSTED=Adjusted","Sort=A","Dates=H","DateFormat=P","Fill=—","Direction=H","UseDPDF=Y")</f>
        <v>7115</v>
      </c>
      <c r="V11" s="13">
        <f>_xll.BDH("GILD US Equity","SALES_REV_TURN","FQ1 2024","FQ1 2024","Currency=USD","Period=FQ","BEST_FPERIOD_OVERRIDE=FQ","FILING_STATUS=MR","SCALING_FORMAT=MLN","FA_ADJUSTED=Adjusted","Sort=A","Dates=H","DateFormat=P","Fill=—","Direction=H","UseDPDF=Y")</f>
        <v>6686</v>
      </c>
      <c r="W11" s="13">
        <f>_xll.BDH("GILD US Equity","SALES_REV_TURN","FQ2 2024","FQ2 2024","Currency=USD","Period=FQ","BEST_FPERIOD_OVERRIDE=FQ","FILING_STATUS=MR","SCALING_FORMAT=MLN","FA_ADJUSTED=Adjusted","Sort=A","Dates=H","DateFormat=P","Fill=—","Direction=H","UseDPDF=Y")</f>
        <v>6953</v>
      </c>
      <c r="X11" s="13">
        <f>_xll.BDH("GILD US Equity","SALES_REV_TURN","FQ3 2024","FQ3 2024","Currency=USD","Period=FQ","BEST_FPERIOD_OVERRIDE=FQ","FILING_STATUS=MR","SCALING_FORMAT=MLN","FA_ADJUSTED=Adjusted","Sort=A","Dates=H","DateFormat=P","Fill=—","Direction=H","UseDPDF=Y")</f>
        <v>7545</v>
      </c>
      <c r="Y11" s="13">
        <f>_xll.BDH("GILD US Equity","SALES_REV_TURN","FQ4 2024","FQ4 2024","Currency=USD","Period=FQ","BEST_FPERIOD_OVERRIDE=FQ","FILING_STATUS=MR","SCALING_FORMAT=MLN","FA_ADJUSTED=Adjusted","Sort=A","Dates=H","DateFormat=P","Fill=—","Direction=H","UseDPDF=Y")</f>
        <v>7569</v>
      </c>
      <c r="Z11" s="13"/>
      <c r="AA11" s="13"/>
    </row>
    <row r="12" spans="1:27" x14ac:dyDescent="0.25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5">
      <c r="A13" s="6" t="s">
        <v>137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x14ac:dyDescent="0.25">
      <c r="A14" s="10" t="s">
        <v>130</v>
      </c>
      <c r="B14" s="10" t="s">
        <v>138</v>
      </c>
      <c r="C14" s="14">
        <f>_xll.BDH("GILD US Equity","BEST_EPS","FQ2 2019","FQ2 2019","Currency=USD","Period=FQ","BEST_FPERIOD_OVERRIDE=FQ","FILING_STATUS=MR","Sort=A","Dates=H","DateFormat=P","Fill=—","Direction=H","UseDPDF=Y")</f>
        <v>1.7190000000000001</v>
      </c>
      <c r="D14" s="14">
        <f>_xll.BDH("GILD US Equity","BEST_EPS","FQ3 2019","FQ3 2019","Currency=USD","Period=FQ","BEST_FPERIOD_OVERRIDE=FQ","FILING_STATUS=MR","Sort=A","Dates=H","DateFormat=P","Fill=—","Direction=H","UseDPDF=Y")</f>
        <v>1.7310000000000001</v>
      </c>
      <c r="E14" s="14">
        <f>_xll.BDH("GILD US Equity","BEST_EPS","FQ4 2019","FQ4 2019","Currency=USD","Period=FQ","BEST_FPERIOD_OVERRIDE=FQ","FILING_STATUS=MR","Sort=A","Dates=H","DateFormat=P","Fill=—","Direction=H","UseDPDF=Y")</f>
        <v>1.67</v>
      </c>
      <c r="F14" s="14">
        <f>_xll.BDH("GILD US Equity","BEST_EPS","FQ1 2020","FQ1 2020","Currency=USD","Period=FQ","BEST_FPERIOD_OVERRIDE=FQ","FILING_STATUS=MR","Sort=A","Dates=H","DateFormat=P","Fill=—","Direction=H","UseDPDF=Y")</f>
        <v>1.575</v>
      </c>
      <c r="G14" s="14">
        <f>_xll.BDH("GILD US Equity","BEST_EPS","FQ2 2020","FQ2 2020","Currency=USD","Period=FQ","BEST_FPERIOD_OVERRIDE=FQ","FILING_STATUS=MR","Sort=A","Dates=H","DateFormat=P","Fill=—","Direction=H","UseDPDF=Y")</f>
        <v>1.4379999999999999</v>
      </c>
      <c r="H14" s="14">
        <f>_xll.BDH("GILD US Equity","BEST_EPS","FQ3 2020","FQ3 2020","Currency=USD","Period=FQ","BEST_FPERIOD_OVERRIDE=FQ","FILING_STATUS=MR","Sort=A","Dates=H","DateFormat=P","Fill=—","Direction=H","UseDPDF=Y")</f>
        <v>1.887</v>
      </c>
      <c r="I14" s="14">
        <f>_xll.BDH("GILD US Equity","BEST_EPS","FQ4 2020","FQ4 2020","Currency=USD","Period=FQ","BEST_FPERIOD_OVERRIDE=FQ","FILING_STATUS=MR","Sort=A","Dates=H","DateFormat=P","Fill=—","Direction=H","UseDPDF=Y")</f>
        <v>2.0259999999999998</v>
      </c>
      <c r="J14" s="14">
        <f>_xll.BDH("GILD US Equity","BEST_EPS","FQ1 2021","FQ1 2021","Currency=USD","Period=FQ","BEST_FPERIOD_OVERRIDE=FQ","FILING_STATUS=MR","Sort=A","Dates=H","DateFormat=P","Fill=—","Direction=H","UseDPDF=Y")</f>
        <v>2.0680000000000001</v>
      </c>
      <c r="K14" s="14">
        <f>_xll.BDH("GILD US Equity","BEST_EPS","FQ2 2021","FQ2 2021","Currency=USD","Period=FQ","BEST_FPERIOD_OVERRIDE=FQ","FILING_STATUS=MR","Sort=A","Dates=H","DateFormat=P","Fill=—","Direction=H","UseDPDF=Y")</f>
        <v>1.7470000000000001</v>
      </c>
      <c r="L14" s="14">
        <f>_xll.BDH("GILD US Equity","BEST_EPS","FQ3 2021","FQ3 2021","Currency=USD","Period=FQ","BEST_FPERIOD_OVERRIDE=FQ","FILING_STATUS=MR","Sort=A","Dates=H","DateFormat=P","Fill=—","Direction=H","UseDPDF=Y")</f>
        <v>1.778</v>
      </c>
      <c r="M14" s="14">
        <f>_xll.BDH("GILD US Equity","BEST_EPS","FQ4 2021","FQ4 2021","Currency=USD","Period=FQ","BEST_FPERIOD_OVERRIDE=FQ","FILING_STATUS=MR","Sort=A","Dates=H","DateFormat=P","Fill=—","Direction=H","UseDPDF=Y")</f>
        <v>1.5720000000000001</v>
      </c>
      <c r="N14" s="14">
        <f>_xll.BDH("GILD US Equity","BEST_EPS","FQ1 2022","FQ1 2022","Currency=USD","Period=FQ","BEST_FPERIOD_OVERRIDE=FQ","FILING_STATUS=MR","Sort=A","Dates=H","DateFormat=P","Fill=—","Direction=H","UseDPDF=Y")</f>
        <v>1.867</v>
      </c>
      <c r="O14" s="14">
        <f>_xll.BDH("GILD US Equity","BEST_EPS","FQ2 2022","FQ2 2022","Currency=USD","Period=FQ","BEST_FPERIOD_OVERRIDE=FQ","FILING_STATUS=MR","Sort=A","Dates=H","DateFormat=P","Fill=—","Direction=H","UseDPDF=Y")</f>
        <v>1.5109999999999999</v>
      </c>
      <c r="P14" s="14">
        <f>_xll.BDH("GILD US Equity","BEST_EPS","FQ3 2022","FQ3 2022","Currency=USD","Period=FQ","BEST_FPERIOD_OVERRIDE=FQ","FILING_STATUS=MR","Sort=A","Dates=H","DateFormat=P","Fill=—","Direction=H","UseDPDF=Y")</f>
        <v>1.427</v>
      </c>
      <c r="Q14" s="14">
        <f>_xll.BDH("GILD US Equity","BEST_EPS","FQ4 2022","FQ4 2022","Currency=USD","Period=FQ","BEST_FPERIOD_OVERRIDE=FQ","FILING_STATUS=MR","Sort=A","Dates=H","DateFormat=P","Fill=—","Direction=H","UseDPDF=Y")</f>
        <v>1.506</v>
      </c>
      <c r="R14" s="14">
        <f>_xll.BDH("GILD US Equity","BEST_EPS","FQ1 2023","FQ1 2023","Currency=USD","Period=FQ","BEST_FPERIOD_OVERRIDE=FQ","FILING_STATUS=MR","Sort=A","Dates=H","DateFormat=P","Fill=—","Direction=H","UseDPDF=Y")</f>
        <v>1.5289999999999999</v>
      </c>
      <c r="S14" s="14">
        <f>_xll.BDH("GILD US Equity","BEST_EPS","FQ2 2023","FQ2 2023","Currency=USD","Period=FQ","BEST_FPERIOD_OVERRIDE=FQ","FILING_STATUS=MR","Sort=A","Dates=H","DateFormat=P","Fill=—","Direction=H","UseDPDF=Y")</f>
        <v>1.64</v>
      </c>
      <c r="T14" s="14">
        <f>_xll.BDH("GILD US Equity","BEST_EPS","FQ3 2023","FQ3 2023","Currency=USD","Period=FQ","BEST_FPERIOD_OVERRIDE=FQ","FILING_STATUS=MR","Sort=A","Dates=H","DateFormat=P","Fill=—","Direction=H","UseDPDF=Y")</f>
        <v>1.9179999999999999</v>
      </c>
      <c r="U14" s="14">
        <f>_xll.BDH("GILD US Equity","BEST_EPS","FQ4 2023","FQ4 2023","Currency=USD","Period=FQ","BEST_FPERIOD_OVERRIDE=FQ","FILING_STATUS=MR","Sort=A","Dates=H","DateFormat=P","Fill=—","Direction=H","UseDPDF=Y")</f>
        <v>1.7390000000000001</v>
      </c>
      <c r="V14" s="14">
        <f>_xll.BDH("GILD US Equity","BEST_EPS","FQ1 2024","FQ1 2024","Currency=USD","Period=FQ","BEST_FPERIOD_OVERRIDE=FQ","FILING_STATUS=MR","Sort=A","Dates=H","DateFormat=P","Fill=—","Direction=H","UseDPDF=Y")</f>
        <v>-0.90700000000000003</v>
      </c>
      <c r="W14" s="14">
        <f>_xll.BDH("GILD US Equity","BEST_EPS","FQ2 2024","FQ2 2024","Currency=USD","Period=FQ","BEST_FPERIOD_OVERRIDE=FQ","FILING_STATUS=MR","Sort=A","Dates=H","DateFormat=P","Fill=—","Direction=H","UseDPDF=Y")</f>
        <v>1.5920000000000001</v>
      </c>
      <c r="X14" s="14">
        <f>_xll.BDH("GILD US Equity","BEST_EPS","FQ3 2024","FQ3 2024","Currency=USD","Period=FQ","BEST_FPERIOD_OVERRIDE=FQ","FILING_STATUS=MR","Sort=A","Dates=H","DateFormat=P","Fill=—","Direction=H","UseDPDF=Y")</f>
        <v>1.5009999999999999</v>
      </c>
      <c r="Y14" s="14">
        <f>_xll.BDH("GILD US Equity","BEST_EPS","FQ4 2024","FQ4 2024","Currency=USD","Period=FQ","BEST_FPERIOD_OVERRIDE=FQ","FILING_STATUS=MR","Sort=A","Dates=H","DateFormat=P","Fill=—","Direction=H","UseDPDF=Y")</f>
        <v>1.708</v>
      </c>
      <c r="Z14" s="14">
        <v>1.7589999999999999</v>
      </c>
      <c r="AA14" s="14">
        <v>1.94</v>
      </c>
    </row>
    <row r="15" spans="1:27" x14ac:dyDescent="0.25">
      <c r="A15" s="10" t="s">
        <v>132</v>
      </c>
      <c r="B15" s="10" t="s">
        <v>139</v>
      </c>
      <c r="C15" s="14">
        <f>_xll.BDH("GILD US Equity","IS_COMP_EPS_EXCL_STOCK_COMP","FQ2 2019","FQ2 2019","Currency=USD","Period=FQ","BEST_FPERIOD_OVERRIDE=FQ","FILING_STATUS=MR","Sort=A","Dates=H","DateFormat=P","Fill=—","Direction=H","UseDPDF=Y")</f>
        <v>1.82</v>
      </c>
      <c r="D15" s="14">
        <f>_xll.BDH("GILD US Equity","IS_COMP_EPS_EXCL_STOCK_COMP","FQ3 2019","FQ3 2019","Currency=USD","Period=FQ","BEST_FPERIOD_OVERRIDE=FQ","FILING_STATUS=MR","Sort=A","Dates=H","DateFormat=P","Fill=—","Direction=H","UseDPDF=Y")</f>
        <v>1.75</v>
      </c>
      <c r="E15" s="14">
        <f>_xll.BDH("GILD US Equity","IS_COMP_EPS_EXCL_STOCK_COMP","FQ4 2019","FQ4 2019","Currency=USD","Period=FQ","BEST_FPERIOD_OVERRIDE=FQ","FILING_STATUS=MR","Sort=A","Dates=H","DateFormat=P","Fill=—","Direction=H","UseDPDF=Y")</f>
        <v>1.3</v>
      </c>
      <c r="F15" s="14">
        <f>_xll.BDH("GILD US Equity","IS_COMP_EPS_EXCL_STOCK_COMP","FQ1 2020","FQ1 2020","Currency=USD","Period=FQ","BEST_FPERIOD_OVERRIDE=FQ","FILING_STATUS=MR","Sort=A","Dates=H","DateFormat=P","Fill=—","Direction=H","UseDPDF=Y")</f>
        <v>1.68</v>
      </c>
      <c r="G15" s="14">
        <f>_xll.BDH("GILD US Equity","IS_COMP_EPS_EXCL_STOCK_COMP","FQ2 2020","FQ2 2020","Currency=USD","Period=FQ","BEST_FPERIOD_OVERRIDE=FQ","FILING_STATUS=MR","Sort=A","Dates=H","DateFormat=P","Fill=—","Direction=H","UseDPDF=Y")</f>
        <v>1.1100000000000001</v>
      </c>
      <c r="H15" s="14">
        <f>_xll.BDH("GILD US Equity","IS_COMP_EPS_EXCL_STOCK_COMP","FQ3 2020","FQ3 2020","Currency=USD","Period=FQ","BEST_FPERIOD_OVERRIDE=FQ","FILING_STATUS=MR","Sort=A","Dates=H","DateFormat=P","Fill=—","Direction=H","UseDPDF=Y")</f>
        <v>2.11</v>
      </c>
      <c r="I15" s="14">
        <f>_xll.BDH("GILD US Equity","IS_COMP_EPS_EXCL_STOCK_COMP","FQ4 2020","FQ4 2020","Currency=USD","Period=FQ","BEST_FPERIOD_OVERRIDE=FQ","FILING_STATUS=MR","Sort=A","Dates=H","DateFormat=P","Fill=—","Direction=H","UseDPDF=Y")</f>
        <v>2.19</v>
      </c>
      <c r="J15" s="14">
        <f>_xll.BDH("GILD US Equity","IS_COMP_EPS_EXCL_STOCK_COMP","FQ1 2021","FQ1 2021","Currency=USD","Period=FQ","BEST_FPERIOD_OVERRIDE=FQ","FILING_STATUS=MR","Sort=A","Dates=H","DateFormat=P","Fill=—","Direction=H","UseDPDF=Y")</f>
        <v>2.08</v>
      </c>
      <c r="K15" s="14">
        <f>_xll.BDH("GILD US Equity","IS_COMP_EPS_EXCL_STOCK_COMP","FQ2 2021","FQ2 2021","Currency=USD","Period=FQ","BEST_FPERIOD_OVERRIDE=FQ","FILING_STATUS=MR","Sort=A","Dates=H","DateFormat=P","Fill=—","Direction=H","UseDPDF=Y")</f>
        <v>1.87</v>
      </c>
      <c r="L15" s="14">
        <f>_xll.BDH("GILD US Equity","IS_COMP_EPS_EXCL_STOCK_COMP","FQ3 2021","FQ3 2021","Currency=USD","Period=FQ","BEST_FPERIOD_OVERRIDE=FQ","FILING_STATUS=MR","Sort=A","Dates=H","DateFormat=P","Fill=—","Direction=H","UseDPDF=Y")</f>
        <v>2.65</v>
      </c>
      <c r="M15" s="14">
        <f>_xll.BDH("GILD US Equity","IS_COMP_EPS_EXCL_STOCK_COMP","FQ4 2021","FQ4 2021","Currency=USD","Period=FQ","BEST_FPERIOD_OVERRIDE=FQ","FILING_STATUS=MR","Sort=A","Dates=H","DateFormat=P","Fill=—","Direction=H","UseDPDF=Y")</f>
        <v>0.69</v>
      </c>
      <c r="N15" s="14">
        <f>_xll.BDH("GILD US Equity","IS_COMP_EPS_EXCL_STOCK_COMP","FQ1 2022","FQ1 2022","Currency=USD","Period=FQ","BEST_FPERIOD_OVERRIDE=FQ","FILING_STATUS=MR","Sort=A","Dates=H","DateFormat=P","Fill=—","Direction=H","UseDPDF=Y")</f>
        <v>2.12</v>
      </c>
      <c r="O15" s="14">
        <f>_xll.BDH("GILD US Equity","IS_COMP_EPS_EXCL_STOCK_COMP","FQ2 2022","FQ2 2022","Currency=USD","Period=FQ","BEST_FPERIOD_OVERRIDE=FQ","FILING_STATUS=MR","Sort=A","Dates=H","DateFormat=P","Fill=—","Direction=H","UseDPDF=Y")</f>
        <v>1.58</v>
      </c>
      <c r="P15" s="14">
        <f>_xll.BDH("GILD US Equity","IS_COMP_EPS_EXCL_STOCK_COMP","FQ3 2022","FQ3 2022","Currency=USD","Period=FQ","BEST_FPERIOD_OVERRIDE=FQ","FILING_STATUS=MR","Sort=A","Dates=H","DateFormat=P","Fill=—","Direction=H","UseDPDF=Y")</f>
        <v>1.9</v>
      </c>
      <c r="Q15" s="14">
        <f>_xll.BDH("GILD US Equity","IS_COMP_EPS_EXCL_STOCK_COMP","FQ4 2022","FQ4 2022","Currency=USD","Period=FQ","BEST_FPERIOD_OVERRIDE=FQ","FILING_STATUS=MR","Sort=A","Dates=H","DateFormat=P","Fill=—","Direction=H","UseDPDF=Y")</f>
        <v>1.67</v>
      </c>
      <c r="R15" s="14">
        <f>_xll.BDH("GILD US Equity","IS_COMP_EPS_EXCL_STOCK_COMP","FQ1 2023","FQ1 2023","Currency=USD","Period=FQ","BEST_FPERIOD_OVERRIDE=FQ","FILING_STATUS=MR","Sort=A","Dates=H","DateFormat=P","Fill=—","Direction=H","UseDPDF=Y")</f>
        <v>1.37</v>
      </c>
      <c r="S15" s="14">
        <f>_xll.BDH("GILD US Equity","IS_COMP_EPS_EXCL_STOCK_COMP","FQ2 2023","FQ2 2023","Currency=USD","Period=FQ","BEST_FPERIOD_OVERRIDE=FQ","FILING_STATUS=MR","Sort=A","Dates=H","DateFormat=P","Fill=—","Direction=H","UseDPDF=Y")</f>
        <v>1.34</v>
      </c>
      <c r="T15" s="14">
        <f>_xll.BDH("GILD US Equity","IS_COMP_EPS_EXCL_STOCK_COMP","FQ3 2023","FQ3 2023","Currency=USD","Period=FQ","BEST_FPERIOD_OVERRIDE=FQ","FILING_STATUS=MR","Sort=A","Dates=H","DateFormat=P","Fill=—","Direction=H","UseDPDF=Y")</f>
        <v>2.29</v>
      </c>
      <c r="U15" s="14">
        <f>_xll.BDH("GILD US Equity","IS_COMP_EPS_EXCL_STOCK_COMP","FQ4 2023","FQ4 2023","Currency=USD","Period=FQ","BEST_FPERIOD_OVERRIDE=FQ","FILING_STATUS=MR","Sort=A","Dates=H","DateFormat=P","Fill=—","Direction=H","UseDPDF=Y")</f>
        <v>1.72</v>
      </c>
      <c r="V15" s="14">
        <f>_xll.BDH("GILD US Equity","IS_COMP_EPS_EXCL_STOCK_COMP","FQ1 2024","FQ1 2024","Currency=USD","Period=FQ","BEST_FPERIOD_OVERRIDE=FQ","FILING_STATUS=MR","Sort=A","Dates=H","DateFormat=P","Fill=—","Direction=H","UseDPDF=Y")</f>
        <v>-1.32</v>
      </c>
      <c r="W15" s="14">
        <f>_xll.BDH("GILD US Equity","IS_COMP_EPS_EXCL_STOCK_COMP","FQ2 2024","FQ2 2024","Currency=USD","Period=FQ","BEST_FPERIOD_OVERRIDE=FQ","FILING_STATUS=MR","Sort=A","Dates=H","DateFormat=P","Fill=—","Direction=H","UseDPDF=Y")</f>
        <v>2.0099999999999998</v>
      </c>
      <c r="X15" s="14">
        <f>_xll.BDH("GILD US Equity","IS_COMP_EPS_EXCL_STOCK_COMP","FQ3 2024","FQ3 2024","Currency=USD","Period=FQ","BEST_FPERIOD_OVERRIDE=FQ","FILING_STATUS=MR","Sort=A","Dates=H","DateFormat=P","Fill=—","Direction=H","UseDPDF=Y")</f>
        <v>2.02</v>
      </c>
      <c r="Y15" s="14">
        <f>_xll.BDH("GILD US Equity","IS_COMP_EPS_EXCL_STOCK_COMP","FQ4 2024","FQ4 2024","Currency=USD","Period=FQ","BEST_FPERIOD_OVERRIDE=FQ","FILING_STATUS=MR","Sort=A","Dates=H","DateFormat=P","Fill=—","Direction=H","UseDPDF=Y")</f>
        <v>1.9</v>
      </c>
      <c r="Z15" s="14"/>
      <c r="AA15" s="14"/>
    </row>
    <row r="16" spans="1:27" x14ac:dyDescent="0.25">
      <c r="A16" s="11" t="s">
        <v>140</v>
      </c>
      <c r="B16" s="11"/>
      <c r="C16" s="25">
        <v>5.8755090168702697</v>
      </c>
      <c r="D16" s="25">
        <v>1.09763142692085</v>
      </c>
      <c r="E16" s="25">
        <v>-22.1556886227545</v>
      </c>
      <c r="F16" s="25">
        <v>6.6666666666666696</v>
      </c>
      <c r="G16" s="25">
        <v>-22.8094575799722</v>
      </c>
      <c r="H16" s="25">
        <v>11.8177000529942</v>
      </c>
      <c r="I16" s="25">
        <v>8.0947680157946795</v>
      </c>
      <c r="J16" s="25">
        <v>0.580270793036751</v>
      </c>
      <c r="K16" s="25">
        <v>7.0406410990269004</v>
      </c>
      <c r="L16" s="25">
        <v>49.043869516310501</v>
      </c>
      <c r="M16" s="25">
        <v>-56.106870229007598</v>
      </c>
      <c r="N16" s="25">
        <v>13.551151580075</v>
      </c>
      <c r="O16" s="25">
        <v>4.5665122435473302</v>
      </c>
      <c r="P16" s="25">
        <v>33.146461107217903</v>
      </c>
      <c r="Q16" s="25">
        <v>10.889774236387799</v>
      </c>
      <c r="R16" s="25">
        <v>-10.3989535644212</v>
      </c>
      <c r="S16" s="25">
        <v>-18.292682926829301</v>
      </c>
      <c r="T16" s="25">
        <v>19.3952033368092</v>
      </c>
      <c r="U16" s="25">
        <v>-1.09258194364578</v>
      </c>
      <c r="V16" s="25">
        <v>-45.534729878721102</v>
      </c>
      <c r="W16" s="25">
        <v>26.2562814070352</v>
      </c>
      <c r="X16" s="25">
        <v>34.576948700866097</v>
      </c>
      <c r="Y16" s="25">
        <v>11.2412177985948</v>
      </c>
      <c r="Z16" s="25"/>
      <c r="AA16" s="25"/>
    </row>
    <row r="17" spans="1:27" x14ac:dyDescent="0.25">
      <c r="A17" s="10" t="s">
        <v>135</v>
      </c>
      <c r="B17" s="10" t="s">
        <v>104</v>
      </c>
      <c r="C17" s="14">
        <f>_xll.BDH("GILD US Equity","IS_DILUTED_EPS","FQ2 2019","FQ2 2019","Currency=USD","Period=FQ","BEST_FPERIOD_OVERRIDE=FQ","FILING_STATUS=MR","FA_ADJUSTED=GAAP","Sort=A","Dates=H","DateFormat=P","Fill=—","Direction=H","UseDPDF=Y")</f>
        <v>1.47</v>
      </c>
      <c r="D17" s="14">
        <f>_xll.BDH("GILD US Equity","IS_DILUTED_EPS","FQ3 2019","FQ3 2019","Currency=USD","Period=FQ","BEST_FPERIOD_OVERRIDE=FQ","FILING_STATUS=MR","FA_ADJUSTED=GAAP","Sort=A","Dates=H","DateFormat=P","Fill=—","Direction=H","UseDPDF=Y")</f>
        <v>-0.92</v>
      </c>
      <c r="E17" s="14">
        <f>_xll.BDH("GILD US Equity","IS_DILUTED_EPS","FQ4 2019","FQ4 2019","Currency=USD","Period=FQ","BEST_FPERIOD_OVERRIDE=FQ","FILING_STATUS=MR","FA_ADJUSTED=GAAP","Sort=A","Dates=H","DateFormat=P","Fill=—","Direction=H","UseDPDF=Y")</f>
        <v>2.12</v>
      </c>
      <c r="F17" s="14">
        <f>_xll.BDH("GILD US Equity","IS_DILUTED_EPS","FQ1 2020","FQ1 2020","Currency=USD","Period=FQ","BEST_FPERIOD_OVERRIDE=FQ","FILING_STATUS=MR","FA_ADJUSTED=GAAP","Sort=A","Dates=H","DateFormat=P","Fill=—","Direction=H","UseDPDF=Y")</f>
        <v>1.22</v>
      </c>
      <c r="G17" s="14">
        <f>_xll.BDH("GILD US Equity","IS_DILUTED_EPS","FQ2 2020","FQ2 2020","Currency=USD","Period=FQ","BEST_FPERIOD_OVERRIDE=FQ","FILING_STATUS=MR","FA_ADJUSTED=GAAP","Sort=A","Dates=H","DateFormat=P","Fill=—","Direction=H","UseDPDF=Y")</f>
        <v>-2.66</v>
      </c>
      <c r="H17" s="14">
        <f>_xll.BDH("GILD US Equity","IS_DILUTED_EPS","FQ3 2020","FQ3 2020","Currency=USD","Period=FQ","BEST_FPERIOD_OVERRIDE=FQ","FILING_STATUS=MR","FA_ADJUSTED=GAAP","Sort=A","Dates=H","DateFormat=P","Fill=—","Direction=H","UseDPDF=Y")</f>
        <v>0.28999999999999998</v>
      </c>
      <c r="I17" s="14">
        <f>_xll.BDH("GILD US Equity","IS_DILUTED_EPS","FQ4 2020","FQ4 2020","Currency=USD","Period=FQ","BEST_FPERIOD_OVERRIDE=FQ","FILING_STATUS=MR","FA_ADJUSTED=GAAP","Sort=A","Dates=H","DateFormat=P","Fill=—","Direction=H","UseDPDF=Y")</f>
        <v>1.23</v>
      </c>
      <c r="J17" s="14">
        <f>_xll.BDH("GILD US Equity","IS_DILUTED_EPS","FQ1 2021","FQ1 2021","Currency=USD","Period=FQ","BEST_FPERIOD_OVERRIDE=FQ","FILING_STATUS=MR","FA_ADJUSTED=GAAP","Sort=A","Dates=H","DateFormat=P","Fill=—","Direction=H","UseDPDF=Y")</f>
        <v>1.37</v>
      </c>
      <c r="K17" s="14">
        <f>_xll.BDH("GILD US Equity","IS_DILUTED_EPS","FQ2 2021","FQ2 2021","Currency=USD","Period=FQ","BEST_FPERIOD_OVERRIDE=FQ","FILING_STATUS=MR","FA_ADJUSTED=GAAP","Sort=A","Dates=H","DateFormat=P","Fill=—","Direction=H","UseDPDF=Y")</f>
        <v>1.21</v>
      </c>
      <c r="L17" s="14">
        <f>_xll.BDH("GILD US Equity","IS_DILUTED_EPS","FQ3 2021","FQ3 2021","Currency=USD","Period=FQ","BEST_FPERIOD_OVERRIDE=FQ","FILING_STATUS=MR","FA_ADJUSTED=GAAP","Sort=A","Dates=H","DateFormat=P","Fill=—","Direction=H","UseDPDF=Y")</f>
        <v>2.0499999999999998</v>
      </c>
      <c r="M17" s="14">
        <f>_xll.BDH("GILD US Equity","IS_DILUTED_EPS","FQ4 2021","FQ4 2021","Currency=USD","Period=FQ","BEST_FPERIOD_OVERRIDE=FQ","FILING_STATUS=MR","FA_ADJUSTED=GAAP","Sort=A","Dates=H","DateFormat=P","Fill=—","Direction=H","UseDPDF=Y")</f>
        <v>0.3</v>
      </c>
      <c r="N17" s="14">
        <f>_xll.BDH("GILD US Equity","IS_DILUTED_EPS","FQ1 2022","FQ1 2022","Currency=USD","Period=FQ","BEST_FPERIOD_OVERRIDE=FQ","FILING_STATUS=MR","FA_ADJUSTED=GAAP","Sort=A","Dates=H","DateFormat=P","Fill=—","Direction=H","UseDPDF=Y")</f>
        <v>0.02</v>
      </c>
      <c r="O17" s="14">
        <f>_xll.BDH("GILD US Equity","IS_DILUTED_EPS","FQ2 2022","FQ2 2022","Currency=USD","Period=FQ","BEST_FPERIOD_OVERRIDE=FQ","FILING_STATUS=MR","FA_ADJUSTED=GAAP","Sort=A","Dates=H","DateFormat=P","Fill=—","Direction=H","UseDPDF=Y")</f>
        <v>0.91</v>
      </c>
      <c r="P17" s="14">
        <f>_xll.BDH("GILD US Equity","IS_DILUTED_EPS","FQ3 2022","FQ3 2022","Currency=USD","Period=FQ","BEST_FPERIOD_OVERRIDE=FQ","FILING_STATUS=MR","FA_ADJUSTED=GAAP","Sort=A","Dates=H","DateFormat=P","Fill=—","Direction=H","UseDPDF=Y")</f>
        <v>1.42</v>
      </c>
      <c r="Q17" s="14">
        <f>_xll.BDH("GILD US Equity","IS_DILUTED_EPS","FQ4 2022","FQ4 2022","Currency=USD","Period=FQ","BEST_FPERIOD_OVERRIDE=FQ","FILING_STATUS=MR","FA_ADJUSTED=GAAP","Sort=A","Dates=H","DateFormat=P","Fill=—","Direction=H","UseDPDF=Y")</f>
        <v>1.3</v>
      </c>
      <c r="R17" s="14">
        <f>_xll.BDH("GILD US Equity","IS_DILUTED_EPS","FQ1 2023","FQ1 2023","Currency=USD","Period=FQ","BEST_FPERIOD_OVERRIDE=FQ","FILING_STATUS=MR","FA_ADJUSTED=GAAP","Sort=A","Dates=H","DateFormat=P","Fill=—","Direction=H","UseDPDF=Y")</f>
        <v>0.8</v>
      </c>
      <c r="S17" s="14">
        <f>_xll.BDH("GILD US Equity","IS_DILUTED_EPS","FQ2 2023","FQ2 2023","Currency=USD","Period=FQ","BEST_FPERIOD_OVERRIDE=FQ","FILING_STATUS=MR","FA_ADJUSTED=GAAP","Sort=A","Dates=H","DateFormat=P","Fill=—","Direction=H","UseDPDF=Y")</f>
        <v>0.83</v>
      </c>
      <c r="T17" s="14">
        <f>_xll.BDH("GILD US Equity","IS_DILUTED_EPS","FQ3 2023","FQ3 2023","Currency=USD","Period=FQ","BEST_FPERIOD_OVERRIDE=FQ","FILING_STATUS=MR","FA_ADJUSTED=GAAP","Sort=A","Dates=H","DateFormat=P","Fill=—","Direction=H","UseDPDF=Y")</f>
        <v>1.73</v>
      </c>
      <c r="U17" s="14">
        <f>_xll.BDH("GILD US Equity","IS_DILUTED_EPS","FQ4 2023","FQ4 2023","Currency=USD","Period=FQ","BEST_FPERIOD_OVERRIDE=FQ","FILING_STATUS=MR","FA_ADJUSTED=GAAP","Sort=A","Dates=H","DateFormat=P","Fill=—","Direction=H","UseDPDF=Y")</f>
        <v>1.1399999999999999</v>
      </c>
      <c r="V17" s="14">
        <f>_xll.BDH("GILD US Equity","IS_DILUTED_EPS","FQ1 2024","FQ1 2024","Currency=USD","Period=FQ","BEST_FPERIOD_OVERRIDE=FQ","FILING_STATUS=MR","FA_ADJUSTED=GAAP","Sort=A","Dates=H","DateFormat=P","Fill=—","Direction=H","UseDPDF=Y")</f>
        <v>-3.34</v>
      </c>
      <c r="W17" s="14">
        <f>_xll.BDH("GILD US Equity","IS_DILUTED_EPS","FQ2 2024","FQ2 2024","Currency=USD","Period=FQ","BEST_FPERIOD_OVERRIDE=FQ","FILING_STATUS=MR","FA_ADJUSTED=GAAP","Sort=A","Dates=H","DateFormat=P","Fill=—","Direction=H","UseDPDF=Y")</f>
        <v>1.29</v>
      </c>
      <c r="X17" s="14">
        <f>_xll.BDH("GILD US Equity","IS_DILUTED_EPS","FQ3 2024","FQ3 2024","Currency=USD","Period=FQ","BEST_FPERIOD_OVERRIDE=FQ","FILING_STATUS=MR","FA_ADJUSTED=GAAP","Sort=A","Dates=H","DateFormat=P","Fill=—","Direction=H","UseDPDF=Y")</f>
        <v>1</v>
      </c>
      <c r="Y17" s="14">
        <f>_xll.BDH("GILD US Equity","IS_DILUTED_EPS","FQ4 2024","FQ4 2024","Currency=USD","Period=FQ","BEST_FPERIOD_OVERRIDE=FQ","FILING_STATUS=MR","FA_ADJUSTED=GAAP","Sort=A","Dates=H","DateFormat=P","Fill=—","Direction=H","UseDPDF=Y")</f>
        <v>1.42</v>
      </c>
      <c r="Z17" s="14"/>
      <c r="AA17" s="14"/>
    </row>
    <row r="18" spans="1:27" x14ac:dyDescent="0.25">
      <c r="A18" s="10" t="s">
        <v>136</v>
      </c>
      <c r="B18" s="10" t="s">
        <v>82</v>
      </c>
      <c r="C18" s="14">
        <f>_xll.BDH("GILD US Equity","IS_DIL_EPS_CONT_OPS","FQ2 2019","FQ2 2019","Currency=USD","Period=FQ","BEST_FPERIOD_OVERRIDE=FQ","FILING_STATUS=MR","Sort=A","Dates=H","DateFormat=P","Fill=—","Direction=H","UseDPDF=Y")</f>
        <v>1.5201</v>
      </c>
      <c r="D18" s="14">
        <f>_xll.BDH("GILD US Equity","IS_DIL_EPS_CONT_OPS","FQ3 2019","FQ3 2019","Currency=USD","Period=FQ","BEST_FPERIOD_OVERRIDE=FQ","FILING_STATUS=MR","Sort=A","Dates=H","DateFormat=P","Fill=—","Direction=H","UseDPDF=Y")</f>
        <v>1.4549000000000001</v>
      </c>
      <c r="E18" s="14">
        <f>_xll.BDH("GILD US Equity","IS_DIL_EPS_CONT_OPS","FQ4 2019","FQ4 2019","Currency=USD","Period=FQ","BEST_FPERIOD_OVERRIDE=FQ","FILING_STATUS=MR","Sort=A","Dates=H","DateFormat=P","Fill=—","Direction=H","UseDPDF=Y")</f>
        <v>0.90790000000000004</v>
      </c>
      <c r="F18" s="14">
        <f>_xll.BDH("GILD US Equity","IS_DIL_EPS_CONT_OPS","FQ1 2020","FQ1 2020","Currency=USD","Period=FQ","BEST_FPERIOD_OVERRIDE=FQ","FILING_STATUS=MR","Sort=A","Dates=H","DateFormat=P","Fill=—","Direction=H","UseDPDF=Y")</f>
        <v>1.6830000000000001</v>
      </c>
      <c r="G18" s="14">
        <f>_xll.BDH("GILD US Equity","IS_DIL_EPS_CONT_OPS","FQ2 2020","FQ2 2020","Currency=USD","Period=FQ","BEST_FPERIOD_OVERRIDE=FQ","FILING_STATUS=MR","Sort=A","Dates=H","DateFormat=P","Fill=—","Direction=H","UseDPDF=Y")</f>
        <v>0.93710000000000004</v>
      </c>
      <c r="H18" s="14">
        <f>_xll.BDH("GILD US Equity","IS_DIL_EPS_CONT_OPS","FQ3 2020","FQ3 2020","Currency=USD","Period=FQ","BEST_FPERIOD_OVERRIDE=FQ","FILING_STATUS=MR","Sort=A","Dates=H","DateFormat=P","Fill=—","Direction=H","UseDPDF=Y")</f>
        <v>1.9325000000000001</v>
      </c>
      <c r="I18" s="14">
        <f>_xll.BDH("GILD US Equity","IS_DIL_EPS_CONT_OPS","FQ4 2020","FQ4 2020","Currency=USD","Period=FQ","BEST_FPERIOD_OVERRIDE=FQ","FILING_STATUS=MR","Sort=A","Dates=H","DateFormat=P","Fill=—","Direction=H","UseDPDF=Y")</f>
        <v>1.9306000000000001</v>
      </c>
      <c r="J18" s="14">
        <f>_xll.BDH("GILD US Equity","IS_DIL_EPS_CONT_OPS","FQ1 2021","FQ1 2021","Currency=USD","Period=FQ","BEST_FPERIOD_OVERRIDE=FQ","FILING_STATUS=MR","Sort=A","Dates=H","DateFormat=P","Fill=—","Direction=H","UseDPDF=Y")</f>
        <v>2.0823999999999998</v>
      </c>
      <c r="K18" s="14">
        <f>_xll.BDH("GILD US Equity","IS_DIL_EPS_CONT_OPS","FQ2 2021","FQ2 2021","Currency=USD","Period=FQ","BEST_FPERIOD_OVERRIDE=FQ","FILING_STATUS=MR","Sort=A","Dates=H","DateFormat=P","Fill=—","Direction=H","UseDPDF=Y")</f>
        <v>1.5156000000000001</v>
      </c>
      <c r="L18" s="14">
        <f>_xll.BDH("GILD US Equity","IS_DIL_EPS_CONT_OPS","FQ3 2021","FQ3 2021","Currency=USD","Period=FQ","BEST_FPERIOD_OVERRIDE=FQ","FILING_STATUS=MR","Sort=A","Dates=H","DateFormat=P","Fill=—","Direction=H","UseDPDF=Y")</f>
        <v>2.3035999999999999</v>
      </c>
      <c r="M18" s="14">
        <f>_xll.BDH("GILD US Equity","IS_DIL_EPS_CONT_OPS","FQ4 2021","FQ4 2021","Currency=USD","Period=FQ","BEST_FPERIOD_OVERRIDE=FQ","FILING_STATUS=MR","Sort=A","Dates=H","DateFormat=P","Fill=—","Direction=H","UseDPDF=Y")</f>
        <v>0.75219999999999998</v>
      </c>
      <c r="N18" s="14">
        <f>_xll.BDH("GILD US Equity","IS_DIL_EPS_CONT_OPS","FQ1 2022","FQ1 2022","Currency=USD","Period=FQ","BEST_FPERIOD_OVERRIDE=FQ","FILING_STATUS=MR","Sort=A","Dates=H","DateFormat=P","Fill=—","Direction=H","UseDPDF=Y")</f>
        <v>1.7236</v>
      </c>
      <c r="O18" s="14">
        <f>_xll.BDH("GILD US Equity","IS_DIL_EPS_CONT_OPS","FQ2 2022","FQ2 2022","Currency=USD","Period=FQ","BEST_FPERIOD_OVERRIDE=FQ","FILING_STATUS=MR","Sort=A","Dates=H","DateFormat=P","Fill=—","Direction=H","UseDPDF=Y")</f>
        <v>1.4328000000000001</v>
      </c>
      <c r="P18" s="14">
        <f>_xll.BDH("GILD US Equity","IS_DIL_EPS_CONT_OPS","FQ3 2022","FQ3 2022","Currency=USD","Period=FQ","BEST_FPERIOD_OVERRIDE=FQ","FILING_STATUS=MR","Sort=A","Dates=H","DateFormat=P","Fill=—","Direction=H","UseDPDF=Y")</f>
        <v>2.1774</v>
      </c>
      <c r="Q18" s="14">
        <f>_xll.BDH("GILD US Equity","IS_DIL_EPS_CONT_OPS","FQ4 2022","FQ4 2022","Currency=USD","Period=FQ","BEST_FPERIOD_OVERRIDE=FQ","FILING_STATUS=MR","Sort=A","Dates=H","DateFormat=P","Fill=—","Direction=H","UseDPDF=Y")</f>
        <v>1.4937</v>
      </c>
      <c r="R18" s="14">
        <f>_xll.BDH("GILD US Equity","IS_DIL_EPS_CONT_OPS","FQ1 2023","FQ1 2023","Currency=USD","Period=FQ","BEST_FPERIOD_OVERRIDE=FQ","FILING_STATUS=MR","Sort=A","Dates=H","DateFormat=P","Fill=—","Direction=H","UseDPDF=Y")</f>
        <v>1.3385</v>
      </c>
      <c r="S18" s="14">
        <f>_xll.BDH("GILD US Equity","IS_DIL_EPS_CONT_OPS","FQ2 2023","FQ2 2023","Currency=USD","Period=FQ","BEST_FPERIOD_OVERRIDE=FQ","FILING_STATUS=MR","Sort=A","Dates=H","DateFormat=P","Fill=—","Direction=H","UseDPDF=Y")</f>
        <v>1.1574</v>
      </c>
      <c r="T18" s="14">
        <f>_xll.BDH("GILD US Equity","IS_DIL_EPS_CONT_OPS","FQ3 2023","FQ3 2023","Currency=USD","Period=FQ","BEST_FPERIOD_OVERRIDE=FQ","FILING_STATUS=MR","Sort=A","Dates=H","DateFormat=P","Fill=—","Direction=H","UseDPDF=Y")</f>
        <v>1.9764999999999999</v>
      </c>
      <c r="U18" s="14">
        <f>_xll.BDH("GILD US Equity","IS_DIL_EPS_CONT_OPS","FQ4 2023","FQ4 2023","Currency=USD","Period=FQ","BEST_FPERIOD_OVERRIDE=FQ","FILING_STATUS=MR","Sort=A","Dates=H","DateFormat=P","Fill=—","Direction=H","UseDPDF=Y")</f>
        <v>1.5740000000000001</v>
      </c>
      <c r="V18" s="14">
        <f>_xll.BDH("GILD US Equity","IS_DIL_EPS_CONT_OPS","FQ1 2024","FQ1 2024","Currency=USD","Period=FQ","BEST_FPERIOD_OVERRIDE=FQ","FILING_STATUS=MR","Sort=A","Dates=H","DateFormat=P","Fill=—","Direction=H","UseDPDF=Y")</f>
        <v>0.93140000000000001</v>
      </c>
      <c r="W18" s="14">
        <f>_xll.BDH("GILD US Equity","IS_DIL_EPS_CONT_OPS","FQ2 2024","FQ2 2024","Currency=USD","Period=FQ","BEST_FPERIOD_OVERRIDE=FQ","FILING_STATUS=MR","Sort=A","Dates=H","DateFormat=P","Fill=—","Direction=H","UseDPDF=Y")</f>
        <v>1.6713</v>
      </c>
      <c r="X18" s="14">
        <f>_xll.BDH("GILD US Equity","IS_DIL_EPS_CONT_OPS","FQ3 2024","FQ3 2024","Currency=USD","Period=FQ","BEST_FPERIOD_OVERRIDE=FQ","FILING_STATUS=MR","Sort=A","Dates=H","DateFormat=P","Fill=—","Direction=H","UseDPDF=Y")</f>
        <v>1.9713000000000001</v>
      </c>
      <c r="Y18" s="14">
        <f>_xll.BDH("GILD US Equity","IS_DIL_EPS_CONT_OPS","FQ4 2024","FQ4 2024","Currency=USD","Period=FQ","BEST_FPERIOD_OVERRIDE=FQ","FILING_STATUS=MR","Sort=A","Dates=H","DateFormat=P","Fill=—","Direction=H","UseDPDF=Y")</f>
        <v>1.5314000000000001</v>
      </c>
      <c r="Z18" s="14"/>
      <c r="AA18" s="14"/>
    </row>
    <row r="19" spans="1:27" x14ac:dyDescent="0.25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5">
      <c r="A20" s="6" t="s">
        <v>141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10" t="s">
        <v>130</v>
      </c>
      <c r="B21" s="10" t="s">
        <v>142</v>
      </c>
      <c r="C21" s="13">
        <f>_xll.BDH("GILD US Equity","BEST_OPP","FQ2 2019","FQ2 2019","Currency=USD","Period=FQ","BEST_FPERIOD_OVERRIDE=FQ","FILING_STATUS=MR","Sort=A","Dates=H","DateFormat=P","Fill=—","Direction=H","UseDPDF=Y")</f>
        <v>2873</v>
      </c>
      <c r="D21" s="13">
        <f>_xll.BDH("GILD US Equity","BEST_OPP","FQ3 2019","FQ3 2019","Currency=USD","Period=FQ","BEST_FPERIOD_OVERRIDE=FQ","FILING_STATUS=MR","Sort=A","Dates=H","DateFormat=P","Fill=—","Direction=H","UseDPDF=Y")</f>
        <v>2953.625</v>
      </c>
      <c r="E21" s="13">
        <f>_xll.BDH("GILD US Equity","BEST_OPP","FQ4 2019","FQ4 2019","Currency=USD","Period=FQ","BEST_FPERIOD_OVERRIDE=FQ","FILING_STATUS=MR","Sort=A","Dates=H","DateFormat=P","Fill=—","Direction=H","UseDPDF=Y")</f>
        <v>2810</v>
      </c>
      <c r="F21" s="13">
        <f>_xll.BDH("GILD US Equity","BEST_OPP","FQ1 2020","FQ1 2020","Currency=USD","Period=FQ","BEST_FPERIOD_OVERRIDE=FQ","FILING_STATUS=MR","Sort=A","Dates=H","DateFormat=P","Fill=—","Direction=H","UseDPDF=Y")</f>
        <v>2616.444</v>
      </c>
      <c r="G21" s="13">
        <f>_xll.BDH("GILD US Equity","BEST_OPP","FQ2 2020","FQ2 2020","Currency=USD","Period=FQ","BEST_FPERIOD_OVERRIDE=FQ","FILING_STATUS=MR","Sort=A","Dates=H","DateFormat=P","Fill=—","Direction=H","UseDPDF=Y")</f>
        <v>2389.364</v>
      </c>
      <c r="H21" s="13">
        <f>_xll.BDH("GILD US Equity","BEST_OPP","FQ3 2020","FQ3 2020","Currency=USD","Period=FQ","BEST_FPERIOD_OVERRIDE=FQ","FILING_STATUS=MR","Sort=A","Dates=H","DateFormat=P","Fill=—","Direction=H","UseDPDF=Y")</f>
        <v>3138</v>
      </c>
      <c r="I21" s="13">
        <f>_xll.BDH("GILD US Equity","BEST_OPP","FQ4 2020","FQ4 2020","Currency=USD","Period=FQ","BEST_FPERIOD_OVERRIDE=FQ","FILING_STATUS=MR","Sort=A","Dates=H","DateFormat=P","Fill=—","Direction=H","UseDPDF=Y")</f>
        <v>3260.5630000000001</v>
      </c>
      <c r="J21" s="13">
        <f>_xll.BDH("GILD US Equity","BEST_OPP","FQ1 2021","FQ1 2021","Currency=USD","Period=FQ","BEST_FPERIOD_OVERRIDE=FQ","FILING_STATUS=MR","Sort=A","Dates=H","DateFormat=P","Fill=—","Direction=H","UseDPDF=Y")</f>
        <v>3552.9290000000001</v>
      </c>
      <c r="K21" s="13">
        <f>_xll.BDH("GILD US Equity","BEST_OPP","FQ2 2021","FQ2 2021","Currency=USD","Period=FQ","BEST_FPERIOD_OVERRIDE=FQ","FILING_STATUS=MR","Sort=A","Dates=H","DateFormat=P","Fill=—","Direction=H","UseDPDF=Y")</f>
        <v>3063</v>
      </c>
      <c r="L21" s="13">
        <f>_xll.BDH("GILD US Equity","BEST_OPP","FQ3 2021","FQ3 2021","Currency=USD","Period=FQ","BEST_FPERIOD_OVERRIDE=FQ","FILING_STATUS=MR","Sort=A","Dates=H","DateFormat=P","Fill=—","Direction=H","UseDPDF=Y")</f>
        <v>3098.8820000000001</v>
      </c>
      <c r="M21" s="13">
        <f>_xll.BDH("GILD US Equity","BEST_OPP","FQ4 2021","FQ4 2021","Currency=USD","Period=FQ","BEST_FPERIOD_OVERRIDE=FQ","FILING_STATUS=MR","Sort=A","Dates=H","DateFormat=P","Fill=—","Direction=H","UseDPDF=Y")</f>
        <v>2766.7890000000002</v>
      </c>
      <c r="N21" s="13">
        <f>_xll.BDH("GILD US Equity","BEST_OPP","FQ1 2022","FQ1 2022","Currency=USD","Period=FQ","BEST_FPERIOD_OVERRIDE=FQ","FILING_STATUS=MR","Sort=A","Dates=H","DateFormat=P","Fill=—","Direction=H","UseDPDF=Y")</f>
        <v>3065.2779999999998</v>
      </c>
      <c r="O21" s="13">
        <f>_xll.BDH("GILD US Equity","BEST_OPP","FQ2 2022","FQ2 2022","Currency=USD","Period=FQ","BEST_FPERIOD_OVERRIDE=FQ","FILING_STATUS=MR","Sort=A","Dates=H","DateFormat=P","Fill=—","Direction=H","UseDPDF=Y")</f>
        <v>2608.1999999999998</v>
      </c>
      <c r="P21" s="13">
        <f>_xll.BDH("GILD US Equity","BEST_OPP","FQ3 2022","FQ3 2022","Currency=USD","Period=FQ","BEST_FPERIOD_OVERRIDE=FQ","FILING_STATUS=MR","Sort=A","Dates=H","DateFormat=P","Fill=—","Direction=H","UseDPDF=Y")</f>
        <v>2504.7730000000001</v>
      </c>
      <c r="Q21" s="13">
        <f>_xll.BDH("GILD US Equity","BEST_OPP","FQ4 2022","FQ4 2022","Currency=USD","Period=FQ","BEST_FPERIOD_OVERRIDE=FQ","FILING_STATUS=MR","Sort=A","Dates=H","DateFormat=P","Fill=—","Direction=H","UseDPDF=Y")</f>
        <v>2600.6</v>
      </c>
      <c r="R21" s="13">
        <f>_xll.BDH("GILD US Equity","BEST_OPP","FQ1 2023","FQ1 2023","Currency=USD","Period=FQ","BEST_FPERIOD_OVERRIDE=FQ","FILING_STATUS=MR","Sort=A","Dates=H","DateFormat=P","Fill=—","Direction=H","UseDPDF=Y")</f>
        <v>2599.7139999999999</v>
      </c>
      <c r="S21" s="13">
        <f>_xll.BDH("GILD US Equity","BEST_OPP","FQ2 2023","FQ2 2023","Currency=USD","Period=FQ","BEST_FPERIOD_OVERRIDE=FQ","FILING_STATUS=MR","Sort=A","Dates=H","DateFormat=P","Fill=—","Direction=H","UseDPDF=Y")</f>
        <v>2764.3679999999999</v>
      </c>
      <c r="T21" s="13">
        <f>_xll.BDH("GILD US Equity","BEST_OPP","FQ3 2023","FQ3 2023","Currency=USD","Period=FQ","BEST_FPERIOD_OVERRIDE=FQ","FILING_STATUS=MR","Sort=A","Dates=H","DateFormat=P","Fill=—","Direction=H","UseDPDF=Y")</f>
        <v>3048.85</v>
      </c>
      <c r="U21" s="13">
        <f>_xll.BDH("GILD US Equity","BEST_OPP","FQ4 2023","FQ4 2023","Currency=USD","Period=FQ","BEST_FPERIOD_OVERRIDE=FQ","FILING_STATUS=MR","Sort=A","Dates=H","DateFormat=P","Fill=—","Direction=H","UseDPDF=Y")</f>
        <v>2878.5790000000002</v>
      </c>
      <c r="V21" s="13">
        <f>_xll.BDH("GILD US Equity","BEST_OPP","FQ1 2024","FQ1 2024","Currency=USD","Period=FQ","BEST_FPERIOD_OVERRIDE=FQ","FILING_STATUS=MR","Sort=A","Dates=H","DateFormat=P","Fill=—","Direction=H","UseDPDF=Y")</f>
        <v>-1743.4290000000001</v>
      </c>
      <c r="W21" s="13">
        <f>_xll.BDH("GILD US Equity","BEST_OPP","FQ2 2024","FQ2 2024","Currency=USD","Period=FQ","BEST_FPERIOD_OVERRIDE=FQ","FILING_STATUS=MR","Sort=A","Dates=H","DateFormat=P","Fill=—","Direction=H","UseDPDF=Y")</f>
        <v>2710.65</v>
      </c>
      <c r="X21" s="13">
        <f>_xll.BDH("GILD US Equity","BEST_OPP","FQ3 2024","FQ3 2024","Currency=USD","Period=FQ","BEST_FPERIOD_OVERRIDE=FQ","FILING_STATUS=MR","Sort=A","Dates=H","DateFormat=P","Fill=—","Direction=H","UseDPDF=Y")</f>
        <v>2630.7</v>
      </c>
      <c r="Y21" s="13">
        <f>_xll.BDH("GILD US Equity","BEST_OPP","FQ4 2024","FQ4 2024","Currency=USD","Period=FQ","BEST_FPERIOD_OVERRIDE=FQ","FILING_STATUS=MR","Sort=A","Dates=H","DateFormat=P","Fill=—","Direction=H","UseDPDF=Y")</f>
        <v>2902.9470000000001</v>
      </c>
      <c r="Z21" s="13">
        <v>2821.3530000000001</v>
      </c>
      <c r="AA21" s="13">
        <v>3173.3130000000001</v>
      </c>
    </row>
    <row r="22" spans="1:27" x14ac:dyDescent="0.25">
      <c r="A22" s="10" t="s">
        <v>132</v>
      </c>
      <c r="B22" s="10" t="s">
        <v>143</v>
      </c>
      <c r="C22" s="13">
        <f>_xll.BDH("GILD US Equity","IS_COMPARABLE_EBIT","FQ2 2019","FQ2 2019","Currency=USD","Period=FQ","BEST_FPERIOD_OVERRIDE=FQ","FILING_STATUS=MR","SCALING_FORMAT=MLN","Sort=A","Dates=H","DateFormat=P","Fill=—","Direction=H","UseDPDF=Y")</f>
        <v>3040</v>
      </c>
      <c r="D22" s="13">
        <f>_xll.BDH("GILD US Equity","IS_COMPARABLE_EBIT","FQ3 2019","FQ3 2019","Currency=USD","Period=FQ","BEST_FPERIOD_OVERRIDE=FQ","FILING_STATUS=MR","SCALING_FORMAT=MLN","Sort=A","Dates=H","DateFormat=P","Fill=—","Direction=H","UseDPDF=Y")</f>
        <v>2866</v>
      </c>
      <c r="E22" s="13">
        <f>_xll.BDH("GILD US Equity","IS_COMPARABLE_EBIT","FQ4 2019","FQ4 2019","Currency=USD","Period=FQ","BEST_FPERIOD_OVERRIDE=FQ","FILING_STATUS=MR","SCALING_FORMAT=MLN","Sort=A","Dates=H","DateFormat=P","Fill=—","Direction=H","UseDPDF=Y")</f>
        <v>1383</v>
      </c>
      <c r="F22" s="13">
        <f>_xll.BDH("GILD US Equity","IS_COMPARABLE_EBIT","FQ1 2020","FQ1 2020","Currency=USD","Period=FQ","BEST_FPERIOD_OVERRIDE=FQ","FILING_STATUS=MR","SCALING_FORMAT=MLN","Sort=A","Dates=H","DateFormat=P","Fill=—","Direction=H","UseDPDF=Y")</f>
        <v>2765</v>
      </c>
      <c r="G22" s="13">
        <f>_xll.BDH("GILD US Equity","IS_COMPARABLE_EBIT","FQ2 2020","FQ2 2020","Currency=USD","Period=FQ","BEST_FPERIOD_OVERRIDE=FQ","FILING_STATUS=MR","SCALING_FORMAT=MLN","Sort=A","Dates=H","DateFormat=P","Fill=—","Direction=H","UseDPDF=Y")</f>
        <v>1995</v>
      </c>
      <c r="H22" s="13">
        <f>_xll.BDH("GILD US Equity","IS_COMPARABLE_EBIT","FQ3 2020","FQ3 2020","Currency=USD","Period=FQ","BEST_FPERIOD_OVERRIDE=FQ","FILING_STATUS=MR","SCALING_FORMAT=MLN","Sort=A","Dates=H","DateFormat=P","Fill=—","Direction=H","UseDPDF=Y")</f>
        <v>3452</v>
      </c>
      <c r="I22" s="13">
        <f>_xll.BDH("GILD US Equity","IS_COMPARABLE_EBIT","FQ4 2020","FQ4 2020","Currency=USD","Period=FQ","BEST_FPERIOD_OVERRIDE=FQ","FILING_STATUS=MR","SCALING_FORMAT=MLN","Sort=A","Dates=H","DateFormat=P","Fill=—","Direction=H","UseDPDF=Y")</f>
        <v>3492</v>
      </c>
      <c r="J22" s="13">
        <f>_xll.BDH("GILD US Equity","IS_COMPARABLE_EBIT","FQ1 2021","FQ1 2021","Currency=USD","Period=FQ","BEST_FPERIOD_OVERRIDE=FQ","FILING_STATUS=MR","SCALING_FORMAT=MLN","Sort=A","Dates=H","DateFormat=P","Fill=—","Direction=H","UseDPDF=Y")</f>
        <v>3486</v>
      </c>
      <c r="K22" s="13">
        <f>_xll.BDH("GILD US Equity","IS_COMPARABLE_EBIT","FQ2 2021","FQ2 2021","Currency=USD","Period=FQ","BEST_FPERIOD_OVERRIDE=FQ","FILING_STATUS=MR","SCALING_FORMAT=MLN","Sort=A","Dates=H","DateFormat=P","Fill=—","Direction=H","UseDPDF=Y")</f>
        <v>3176</v>
      </c>
      <c r="L22" s="13">
        <f>_xll.BDH("GILD US Equity","IS_COMPARABLE_EBIT","FQ3 2021","FQ3 2021","Currency=USD","Period=FQ","BEST_FPERIOD_OVERRIDE=FQ","FILING_STATUS=MR","SCALING_FORMAT=MLN","Sort=A","Dates=H","DateFormat=P","Fill=—","Direction=H","UseDPDF=Y")</f>
        <v>4379</v>
      </c>
      <c r="M22" s="13">
        <f>_xll.BDH("GILD US Equity","IS_COMPARABLE_EBIT","FQ4 2021","FQ4 2021","Currency=USD","Period=FQ","BEST_FPERIOD_OVERRIDE=FQ","FILING_STATUS=MR","SCALING_FORMAT=MLN","Sort=A","Dates=H","DateFormat=P","Fill=—","Direction=H","UseDPDF=Y")</f>
        <v>1507</v>
      </c>
      <c r="N22" s="13">
        <f>_xll.BDH("GILD US Equity","IS_COMPARABLE_EBIT","FQ1 2022","FQ1 2022","Currency=USD","Period=FQ","BEST_FPERIOD_OVERRIDE=FQ","FILING_STATUS=MR","SCALING_FORMAT=MLN","Sort=A","Dates=H","DateFormat=P","Fill=—","Direction=H","UseDPDF=Y")</f>
        <v>3524</v>
      </c>
      <c r="O22" s="13">
        <f>_xll.BDH("GILD US Equity","IS_COMPARABLE_EBIT","FQ2 2022","FQ2 2022","Currency=USD","Period=FQ","BEST_FPERIOD_OVERRIDE=FQ","FILING_STATUS=MR","SCALING_FORMAT=MLN","Sort=A","Dates=H","DateFormat=P","Fill=—","Direction=H","UseDPDF=Y")</f>
        <v>2670</v>
      </c>
      <c r="P22" s="13">
        <f>_xll.BDH("GILD US Equity","IS_COMPARABLE_EBIT","FQ3 2022","FQ3 2022","Currency=USD","Period=FQ","BEST_FPERIOD_OVERRIDE=FQ","FILING_STATUS=MR","SCALING_FORMAT=MLN","Sort=A","Dates=H","DateFormat=P","Fill=—","Direction=H","UseDPDF=Y")</f>
        <v>3287</v>
      </c>
      <c r="Q22" s="13">
        <f>_xll.BDH("GILD US Equity","IS_COMPARABLE_EBIT","FQ4 2022","FQ4 2022","Currency=USD","Period=FQ","BEST_FPERIOD_OVERRIDE=FQ","FILING_STATUS=MR","SCALING_FORMAT=MLN","Sort=A","Dates=H","DateFormat=P","Fill=—","Direction=H","UseDPDF=Y")</f>
        <v>2699</v>
      </c>
      <c r="R22" s="13">
        <f>_xll.BDH("GILD US Equity","IS_COMPARABLE_EBIT","FQ1 2023","FQ1 2023","Currency=USD","Period=FQ","BEST_FPERIOD_OVERRIDE=FQ","FILING_STATUS=MR","SCALING_FORMAT=MLN","Sort=A","Dates=H","DateFormat=P","Fill=—","Direction=H","UseDPDF=Y")</f>
        <v>2243</v>
      </c>
      <c r="S22" s="13">
        <f>_xll.BDH("GILD US Equity","IS_COMPARABLE_EBIT","FQ2 2023","FQ2 2023","Currency=USD","Period=FQ","BEST_FPERIOD_OVERRIDE=FQ","FILING_STATUS=MR","SCALING_FORMAT=MLN","Sort=A","Dates=H","DateFormat=P","Fill=—","Direction=H","UseDPDF=Y")</f>
        <v>2277</v>
      </c>
      <c r="T22" s="13">
        <f>_xll.BDH("GILD US Equity","IS_COMPARABLE_EBIT","FQ3 2023","FQ3 2023","Currency=USD","Period=FQ","BEST_FPERIOD_OVERRIDE=FQ","FILING_STATUS=MR","SCALING_FORMAT=MLN","Sort=A","Dates=H","DateFormat=P","Fill=—","Direction=H","UseDPDF=Y")</f>
        <v>3224</v>
      </c>
      <c r="U22" s="13">
        <f>_xll.BDH("GILD US Equity","IS_COMPARABLE_EBIT","FQ4 2023","FQ4 2023","Currency=USD","Period=FQ","BEST_FPERIOD_OVERRIDE=FQ","FILING_STATUS=MR","SCALING_FORMAT=MLN","Sort=A","Dates=H","DateFormat=P","Fill=—","Direction=H","UseDPDF=Y")</f>
        <v>2739</v>
      </c>
      <c r="V22" s="13">
        <f>_xll.BDH("GILD US Equity","IS_COMPARABLE_EBIT","FQ1 2024","FQ1 2024","Currency=USD","Period=FQ","BEST_FPERIOD_OVERRIDE=FQ","FILING_STATUS=MR","SCALING_FORMAT=MLN","Sort=A","Dates=H","DateFormat=P","Fill=—","Direction=H","UseDPDF=Y")</f>
        <v>-1117</v>
      </c>
      <c r="W22" s="13">
        <f>_xll.BDH("GILD US Equity","IS_COMPARABLE_EBIT","FQ2 2024","FQ2 2024","Currency=USD","Period=FQ","BEST_FPERIOD_OVERRIDE=FQ","FILING_STATUS=MR","SCALING_FORMAT=MLN","Sort=A","Dates=H","DateFormat=P","Fill=—","Direction=H","UseDPDF=Y")</f>
        <v>3265</v>
      </c>
      <c r="X22" s="13">
        <f>_xll.BDH("GILD US Equity","IS_COMPARABLE_EBIT","FQ3 2024","FQ3 2024","Currency=USD","Period=FQ","BEST_FPERIOD_OVERRIDE=FQ","FILING_STATUS=MR","SCALING_FORMAT=MLN","Sort=A","Dates=H","DateFormat=P","Fill=—","Direction=H","UseDPDF=Y")</f>
        <v>3258</v>
      </c>
      <c r="Y22" s="13">
        <f>_xll.BDH("GILD US Equity","IS_COMPARABLE_EBIT","FQ4 2024","FQ4 2024","Currency=USD","Period=FQ","BEST_FPERIOD_OVERRIDE=FQ","FILING_STATUS=MR","SCALING_FORMAT=MLN","Sort=A","Dates=H","DateFormat=P","Fill=—","Direction=H","UseDPDF=Y")</f>
        <v>3114</v>
      </c>
      <c r="Z22" s="13"/>
      <c r="AA22" s="13"/>
    </row>
    <row r="23" spans="1:27" x14ac:dyDescent="0.25">
      <c r="A23" s="11" t="s">
        <v>144</v>
      </c>
      <c r="B23" s="11"/>
      <c r="C23" s="25">
        <v>5.8127392969021896</v>
      </c>
      <c r="D23" s="25">
        <v>-2.9666934698887002</v>
      </c>
      <c r="E23" s="25">
        <v>-50.782918149466198</v>
      </c>
      <c r="F23" s="25">
        <v>5.6777825170345704</v>
      </c>
      <c r="G23" s="25">
        <v>-16.5049778936989</v>
      </c>
      <c r="H23" s="25">
        <v>10.006373486297001</v>
      </c>
      <c r="I23" s="25">
        <v>7.0980686464270102</v>
      </c>
      <c r="J23" s="25">
        <v>-1.8837697009988099</v>
      </c>
      <c r="K23" s="25">
        <v>3.6891936010447299</v>
      </c>
      <c r="L23" s="25">
        <v>41.309026932938998</v>
      </c>
      <c r="M23" s="25">
        <v>-45.532528862880397</v>
      </c>
      <c r="N23" s="25">
        <v>14.9651026758421</v>
      </c>
      <c r="O23" s="25">
        <v>2.3694501955371599</v>
      </c>
      <c r="P23" s="25">
        <v>31.229456721227798</v>
      </c>
      <c r="Q23" s="25">
        <v>3.78374221333539</v>
      </c>
      <c r="R23" s="25">
        <v>-13.7212785714121</v>
      </c>
      <c r="S23" s="25">
        <v>-17.6303589102464</v>
      </c>
      <c r="T23" s="25">
        <v>5.7447890188103701</v>
      </c>
      <c r="U23" s="25">
        <v>-4.8488855091348997</v>
      </c>
      <c r="V23" s="25">
        <v>35.9308580963148</v>
      </c>
      <c r="W23" s="25">
        <v>20.4508143803147</v>
      </c>
      <c r="X23" s="25">
        <v>23.845364351693501</v>
      </c>
      <c r="Y23" s="25">
        <v>7.27030152462308</v>
      </c>
      <c r="Z23" s="25"/>
      <c r="AA23" s="25"/>
    </row>
    <row r="24" spans="1:27" x14ac:dyDescent="0.25">
      <c r="A24" s="10" t="s">
        <v>135</v>
      </c>
      <c r="B24" s="10" t="s">
        <v>141</v>
      </c>
      <c r="C24" s="13">
        <f>_xll.BDH("GILD US Equity","EBIT","FQ2 2019","FQ2 2019","Currency=USD","Period=FQ","BEST_FPERIOD_OVERRIDE=FQ","FILING_STATUS=MR","SCALING_FORMAT=MLN","FA_ADJUSTED=GAAP","Sort=A","Dates=H","DateFormat=P","Fill=—","Direction=H","UseDPDF=Y")</f>
        <v>2430</v>
      </c>
      <c r="D24" s="13">
        <f>_xll.BDH("GILD US Equity","EBIT","FQ3 2019","FQ3 2019","Currency=USD","Period=FQ","BEST_FPERIOD_OVERRIDE=FQ","FILING_STATUS=MR","SCALING_FORMAT=MLN","FA_ADJUSTED=GAAP","Sort=A","Dates=H","DateFormat=P","Fill=—","Direction=H","UseDPDF=Y")</f>
        <v>-1473</v>
      </c>
      <c r="E24" s="13">
        <f>_xll.BDH("GILD US Equity","EBIT","FQ4 2019","FQ4 2019","Currency=USD","Period=FQ","BEST_FPERIOD_OVERRIDE=FQ","FILING_STATUS=MR","SCALING_FORMAT=MLN","FA_ADJUSTED=GAAP","Sort=A","Dates=H","DateFormat=P","Fill=—","Direction=H","UseDPDF=Y")</f>
        <v>1093</v>
      </c>
      <c r="F24" s="13">
        <f>_xll.BDH("GILD US Equity","EBIT","FQ1 2020","FQ1 2020","Currency=USD","Period=FQ","BEST_FPERIOD_OVERRIDE=FQ","FILING_STATUS=MR","SCALING_FORMAT=MLN","FA_ADJUSTED=GAAP","Sort=A","Dates=H","DateFormat=P","Fill=—","Direction=H","UseDPDF=Y")</f>
        <v>2402</v>
      </c>
      <c r="G24" s="13">
        <f>_xll.BDH("GILD US Equity","EBIT","FQ2 2020","FQ2 2020","Currency=USD","Period=FQ","BEST_FPERIOD_OVERRIDE=FQ","FILING_STATUS=MR","SCALING_FORMAT=MLN","FA_ADJUSTED=GAAP","Sort=A","Dates=H","DateFormat=P","Fill=—","Direction=H","UseDPDF=Y")</f>
        <v>-2983</v>
      </c>
      <c r="H24" s="13">
        <f>_xll.BDH("GILD US Equity","EBIT","FQ3 2020","FQ3 2020","Currency=USD","Period=FQ","BEST_FPERIOD_OVERRIDE=FQ","FILING_STATUS=MR","SCALING_FORMAT=MLN","FA_ADJUSTED=GAAP","Sort=A","Dates=H","DateFormat=P","Fill=—","Direction=H","UseDPDF=Y")</f>
        <v>2001</v>
      </c>
      <c r="I24" s="13">
        <f>_xll.BDH("GILD US Equity","EBIT","FQ4 2020","FQ4 2020","Currency=USD","Period=FQ","BEST_FPERIOD_OVERRIDE=FQ","FILING_STATUS=MR","SCALING_FORMAT=MLN","FA_ADJUSTED=GAAP","Sort=A","Dates=H","DateFormat=P","Fill=—","Direction=H","UseDPDF=Y")</f>
        <v>2651</v>
      </c>
      <c r="J24" s="13">
        <f>_xll.BDH("GILD US Equity","EBIT","FQ1 2021","FQ1 2021","Currency=USD","Period=FQ","BEST_FPERIOD_OVERRIDE=FQ","FILING_STATUS=MR","SCALING_FORMAT=MLN","FA_ADJUSTED=GAAP","Sort=A","Dates=H","DateFormat=P","Fill=—","Direction=H","UseDPDF=Y")</f>
        <v>2890</v>
      </c>
      <c r="K24" s="13">
        <f>_xll.BDH("GILD US Equity","EBIT","FQ2 2021","FQ2 2021","Currency=USD","Period=FQ","BEST_FPERIOD_OVERRIDE=FQ","FILING_STATUS=MR","SCALING_FORMAT=MLN","FA_ADJUSTED=GAAP","Sort=A","Dates=H","DateFormat=P","Fill=—","Direction=H","UseDPDF=Y")</f>
        <v>2246</v>
      </c>
      <c r="L24" s="13">
        <f>_xll.BDH("GILD US Equity","EBIT","FQ3 2021","FQ3 2021","Currency=USD","Period=FQ","BEST_FPERIOD_OVERRIDE=FQ","FILING_STATUS=MR","SCALING_FORMAT=MLN","FA_ADJUSTED=GAAP","Sort=A","Dates=H","DateFormat=P","Fill=—","Direction=H","UseDPDF=Y")</f>
        <v>3842</v>
      </c>
      <c r="M24" s="13">
        <f>_xll.BDH("GILD US Equity","EBIT","FQ4 2021","FQ4 2021","Currency=USD","Period=FQ","BEST_FPERIOD_OVERRIDE=FQ","FILING_STATUS=MR","SCALING_FORMAT=MLN","FA_ADJUSTED=GAAP","Sort=A","Dates=H","DateFormat=P","Fill=—","Direction=H","UseDPDF=Y")</f>
        <v>940</v>
      </c>
      <c r="N24" s="13">
        <f>_xll.BDH("GILD US Equity","EBIT","FQ1 2022","FQ1 2022","Currency=USD","Period=FQ","BEST_FPERIOD_OVERRIDE=FQ","FILING_STATUS=MR","SCALING_FORMAT=MLN","FA_ADJUSTED=GAAP","Sort=A","Dates=H","DateFormat=P","Fill=—","Direction=H","UseDPDF=Y")</f>
        <v>197</v>
      </c>
      <c r="O24" s="13">
        <f>_xll.BDH("GILD US Equity","EBIT","FQ2 2022","FQ2 2022","Currency=USD","Period=FQ","BEST_FPERIOD_OVERRIDE=FQ","FILING_STATUS=MR","SCALING_FORMAT=MLN","FA_ADJUSTED=GAAP","Sort=A","Dates=H","DateFormat=P","Fill=—","Direction=H","UseDPDF=Y")</f>
        <v>2029</v>
      </c>
      <c r="P24" s="13">
        <f>_xll.BDH("GILD US Equity","EBIT","FQ3 2022","FQ3 2022","Currency=USD","Period=FQ","BEST_FPERIOD_OVERRIDE=FQ","FILING_STATUS=MR","SCALING_FORMAT=MLN","FA_ADJUSTED=GAAP","Sort=A","Dates=H","DateFormat=P","Fill=—","Direction=H","UseDPDF=Y")</f>
        <v>2837</v>
      </c>
      <c r="Q24" s="13">
        <f>_xll.BDH("GILD US Equity","EBIT","FQ4 2022","FQ4 2022","Currency=USD","Period=FQ","BEST_FPERIOD_OVERRIDE=FQ","FILING_STATUS=MR","SCALING_FORMAT=MLN","FA_ADJUSTED=GAAP","Sort=A","Dates=H","DateFormat=P","Fill=—","Direction=H","UseDPDF=Y")</f>
        <v>2267</v>
      </c>
      <c r="R24" s="13">
        <f>_xll.BDH("GILD US Equity","EBIT","FQ1 2023","FQ1 2023","Currency=USD","Period=FQ","BEST_FPERIOD_OVERRIDE=FQ","FILING_STATUS=MR","SCALING_FORMAT=MLN","FA_ADJUSTED=GAAP","Sort=A","Dates=H","DateFormat=P","Fill=—","Direction=H","UseDPDF=Y")</f>
        <v>1705</v>
      </c>
      <c r="S24" s="13">
        <f>_xll.BDH("GILD US Equity","EBIT","FQ2 2023","FQ2 2023","Currency=USD","Period=FQ","BEST_FPERIOD_OVERRIDE=FQ","FILING_STATUS=MR","SCALING_FORMAT=MLN","FA_ADJUSTED=GAAP","Sort=A","Dates=H","DateFormat=P","Fill=—","Direction=H","UseDPDF=Y")</f>
        <v>1665</v>
      </c>
      <c r="T24" s="13">
        <f>_xll.BDH("GILD US Equity","EBIT","FQ3 2023","FQ3 2023","Currency=USD","Period=FQ","BEST_FPERIOD_OVERRIDE=FQ","FILING_STATUS=MR","SCALING_FORMAT=MLN","FA_ADJUSTED=GAAP","Sort=A","Dates=H","DateFormat=P","Fill=—","Direction=H","UseDPDF=Y")</f>
        <v>2623</v>
      </c>
      <c r="U24" s="13">
        <f>_xll.BDH("GILD US Equity","EBIT","FQ4 2023","FQ4 2023","Currency=USD","Period=FQ","BEST_FPERIOD_OVERRIDE=FQ","FILING_STATUS=MR","SCALING_FORMAT=MLN","FA_ADJUSTED=GAAP","Sort=A","Dates=H","DateFormat=P","Fill=—","Direction=H","UseDPDF=Y")</f>
        <v>1612</v>
      </c>
      <c r="V24" s="13">
        <f>_xll.BDH("GILD US Equity","EBIT","FQ1 2024","FQ1 2024","Currency=USD","Period=FQ","BEST_FPERIOD_OVERRIDE=FQ","FILING_STATUS=MR","SCALING_FORMAT=MLN","FA_ADJUSTED=GAAP","Sort=A","Dates=H","DateFormat=P","Fill=—","Direction=H","UseDPDF=Y")</f>
        <v>-4322</v>
      </c>
      <c r="W24" s="13">
        <f>_xll.BDH("GILD US Equity","EBIT","FQ2 2024","FQ2 2024","Currency=USD","Period=FQ","BEST_FPERIOD_OVERRIDE=FQ","FILING_STATUS=MR","SCALING_FORMAT=MLN","FA_ADJUSTED=GAAP","Sort=A","Dates=H","DateFormat=P","Fill=—","Direction=H","UseDPDF=Y")</f>
        <v>2644</v>
      </c>
      <c r="X24" s="13">
        <f>_xll.BDH("GILD US Equity","EBIT","FQ3 2024","FQ3 2024","Currency=USD","Period=FQ","BEST_FPERIOD_OVERRIDE=FQ","FILING_STATUS=MR","SCALING_FORMAT=MLN","FA_ADJUSTED=GAAP","Sort=A","Dates=H","DateFormat=P","Fill=—","Direction=H","UseDPDF=Y")</f>
        <v>888</v>
      </c>
      <c r="Y24" s="13">
        <f>_xll.BDH("GILD US Equity","EBIT","FQ4 2024","FQ4 2024","Currency=USD","Period=FQ","BEST_FPERIOD_OVERRIDE=FQ","FILING_STATUS=MR","SCALING_FORMAT=MLN","FA_ADJUSTED=GAAP","Sort=A","Dates=H","DateFormat=P","Fill=—","Direction=H","UseDPDF=Y")</f>
        <v>2451</v>
      </c>
      <c r="Z24" s="13"/>
      <c r="AA24" s="13"/>
    </row>
    <row r="25" spans="1:27" x14ac:dyDescent="0.25">
      <c r="A25" s="10" t="s">
        <v>136</v>
      </c>
      <c r="B25" s="10" t="s">
        <v>141</v>
      </c>
      <c r="C25" s="13">
        <f>_xll.BDH("GILD US Equity","EBIT","FQ2 2019","FQ2 2019","Currency=USD","Period=FQ","BEST_FPERIOD_OVERRIDE=FQ","FILING_STATUS=MR","SCALING_FORMAT=MLN","FA_ADJUSTED=Adjusted","Sort=A","Dates=H","DateFormat=P","Fill=—","Direction=H","UseDPDF=Y")</f>
        <v>2594</v>
      </c>
      <c r="D25" s="13">
        <f>_xll.BDH("GILD US Equity","EBIT","FQ3 2019","FQ3 2019","Currency=USD","Period=FQ","BEST_FPERIOD_OVERRIDE=FQ","FILING_STATUS=MR","SCALING_FORMAT=MLN","FA_ADJUSTED=Adjusted","Sort=A","Dates=H","DateFormat=P","Fill=—","Direction=H","UseDPDF=Y")</f>
        <v>2496</v>
      </c>
      <c r="E25" s="13">
        <f>_xll.BDH("GILD US Equity","EBIT","FQ4 2019","FQ4 2019","Currency=USD","Period=FQ","BEST_FPERIOD_OVERRIDE=FQ","FILING_STATUS=MR","SCALING_FORMAT=MLN","FA_ADJUSTED=Adjusted","Sort=A","Dates=H","DateFormat=P","Fill=—","Direction=H","UseDPDF=Y")</f>
        <v>1889</v>
      </c>
      <c r="F25" s="13">
        <f>_xll.BDH("GILD US Equity","EBIT","FQ1 2020","FQ1 2020","Currency=USD","Period=FQ","BEST_FPERIOD_OVERRIDE=FQ","FILING_STATUS=MR","SCALING_FORMAT=MLN","FA_ADJUSTED=Adjusted","Sort=A","Dates=H","DateFormat=P","Fill=—","Direction=H","UseDPDF=Y")</f>
        <v>2765</v>
      </c>
      <c r="G25" s="13">
        <f>_xll.BDH("GILD US Equity","EBIT","FQ2 2020","FQ2 2020","Currency=USD","Period=FQ","BEST_FPERIOD_OVERRIDE=FQ","FILING_STATUS=MR","SCALING_FORMAT=MLN","FA_ADJUSTED=Adjusted","Sort=A","Dates=H","DateFormat=P","Fill=—","Direction=H","UseDPDF=Y")</f>
        <v>1729</v>
      </c>
      <c r="H25" s="13">
        <f>_xll.BDH("GILD US Equity","EBIT","FQ3 2020","FQ3 2020","Currency=USD","Period=FQ","BEST_FPERIOD_OVERRIDE=FQ","FILING_STATUS=MR","SCALING_FORMAT=MLN","FA_ADJUSTED=Adjusted","Sort=A","Dates=H","DateFormat=P","Fill=—","Direction=H","UseDPDF=Y")</f>
        <v>3186</v>
      </c>
      <c r="I25" s="13">
        <f>_xll.BDH("GILD US Equity","EBIT","FQ4 2020","FQ4 2020","Currency=USD","Period=FQ","BEST_FPERIOD_OVERRIDE=FQ","FILING_STATUS=MR","SCALING_FORMAT=MLN","FA_ADJUSTED=Adjusted","Sort=A","Dates=H","DateFormat=P","Fill=—","Direction=H","UseDPDF=Y")</f>
        <v>3075</v>
      </c>
      <c r="J25" s="13">
        <f>_xll.BDH("GILD US Equity","EBIT","FQ1 2021","FQ1 2021","Currency=USD","Period=FQ","BEST_FPERIOD_OVERRIDE=FQ","FILING_STATUS=MR","SCALING_FORMAT=MLN","FA_ADJUSTED=Adjusted","Sort=A","Dates=H","DateFormat=P","Fill=—","Direction=H","UseDPDF=Y")</f>
        <v>3486</v>
      </c>
      <c r="K25" s="13">
        <f>_xll.BDH("GILD US Equity","EBIT","FQ2 2021","FQ2 2021","Currency=USD","Period=FQ","BEST_FPERIOD_OVERRIDE=FQ","FILING_STATUS=MR","SCALING_FORMAT=MLN","FA_ADJUSTED=Adjusted","Sort=A","Dates=H","DateFormat=P","Fill=—","Direction=H","UseDPDF=Y")</f>
        <v>2622</v>
      </c>
      <c r="L25" s="13">
        <f>_xll.BDH("GILD US Equity","EBIT","FQ3 2021","FQ3 2021","Currency=USD","Period=FQ","BEST_FPERIOD_OVERRIDE=FQ","FILING_STATUS=MR","SCALING_FORMAT=MLN","FA_ADJUSTED=Adjusted","Sort=A","Dates=H","DateFormat=P","Fill=—","Direction=H","UseDPDF=Y")</f>
        <v>3844</v>
      </c>
      <c r="M25" s="13">
        <f>_xll.BDH("GILD US Equity","EBIT","FQ4 2021","FQ4 2021","Currency=USD","Period=FQ","BEST_FPERIOD_OVERRIDE=FQ","FILING_STATUS=MR","SCALING_FORMAT=MLN","FA_ADJUSTED=Adjusted","Sort=A","Dates=H","DateFormat=P","Fill=—","Direction=H","UseDPDF=Y")</f>
        <v>1621.7974999999999</v>
      </c>
      <c r="N25" s="13">
        <f>_xll.BDH("GILD US Equity","EBIT","FQ1 2022","FQ1 2022","Currency=USD","Period=FQ","BEST_FPERIOD_OVERRIDE=FQ","FILING_STATUS=MR","SCALING_FORMAT=MLN","FA_ADJUSTED=Adjusted","Sort=A","Dates=H","DateFormat=P","Fill=—","Direction=H","UseDPDF=Y")</f>
        <v>2967</v>
      </c>
      <c r="O25" s="13">
        <f>_xll.BDH("GILD US Equity","EBIT","FQ2 2022","FQ2 2022","Currency=USD","Period=FQ","BEST_FPERIOD_OVERRIDE=FQ","FILING_STATUS=MR","SCALING_FORMAT=MLN","FA_ADJUSTED=Adjusted","Sort=A","Dates=H","DateFormat=P","Fill=—","Direction=H","UseDPDF=Y")</f>
        <v>2752</v>
      </c>
      <c r="P25" s="13">
        <f>_xll.BDH("GILD US Equity","EBIT","FQ3 2022","FQ3 2022","Currency=USD","Period=FQ","BEST_FPERIOD_OVERRIDE=FQ","FILING_STATUS=MR","SCALING_FORMAT=MLN","FA_ADJUSTED=Adjusted","Sort=A","Dates=H","DateFormat=P","Fill=—","Direction=H","UseDPDF=Y")</f>
        <v>3711</v>
      </c>
      <c r="Q25" s="13">
        <f>_xll.BDH("GILD US Equity","EBIT","FQ4 2022","FQ4 2022","Currency=USD","Period=FQ","BEST_FPERIOD_OVERRIDE=FQ","FILING_STATUS=MR","SCALING_FORMAT=MLN","FA_ADJUSTED=Adjusted","Sort=A","Dates=H","DateFormat=P","Fill=—","Direction=H","UseDPDF=Y")</f>
        <v>2429</v>
      </c>
      <c r="R25" s="13">
        <f>_xll.BDH("GILD US Equity","EBIT","FQ1 2023","FQ1 2023","Currency=USD","Period=FQ","BEST_FPERIOD_OVERRIDE=FQ","FILING_STATUS=MR","SCALING_FORMAT=MLN","FA_ADJUSTED=Adjusted","Sort=A","Dates=H","DateFormat=P","Fill=—","Direction=H","UseDPDF=Y")</f>
        <v>2195</v>
      </c>
      <c r="S25" s="13">
        <f>_xll.BDH("GILD US Equity","EBIT","FQ2 2023","FQ2 2023","Currency=USD","Period=FQ","BEST_FPERIOD_OVERRIDE=FQ","FILING_STATUS=MR","SCALING_FORMAT=MLN","FA_ADJUSTED=Adjusted","Sort=A","Dates=H","DateFormat=P","Fill=—","Direction=H","UseDPDF=Y")</f>
        <v>1863</v>
      </c>
      <c r="T25" s="13">
        <f>_xll.BDH("GILD US Equity","EBIT","FQ3 2023","FQ3 2023","Currency=USD","Period=FQ","BEST_FPERIOD_OVERRIDE=FQ","FILING_STATUS=MR","SCALING_FORMAT=MLN","FA_ADJUSTED=Adjusted","Sort=A","Dates=H","DateFormat=P","Fill=—","Direction=H","UseDPDF=Y")</f>
        <v>2903</v>
      </c>
      <c r="U25" s="13">
        <f>_xll.BDH("GILD US Equity","EBIT","FQ4 2023","FQ4 2023","Currency=USD","Period=FQ","BEST_FPERIOD_OVERRIDE=FQ","FILING_STATUS=MR","SCALING_FORMAT=MLN","FA_ADJUSTED=Adjusted","Sort=A","Dates=H","DateFormat=P","Fill=—","Direction=H","UseDPDF=Y")</f>
        <v>2506</v>
      </c>
      <c r="V25" s="13">
        <f>_xll.BDH("GILD US Equity","EBIT","FQ1 2024","FQ1 2024","Currency=USD","Period=FQ","BEST_FPERIOD_OVERRIDE=FQ","FILING_STATUS=MR","SCALING_FORMAT=MLN","FA_ADJUSTED=Adjusted","Sort=A","Dates=H","DateFormat=P","Fill=—","Direction=H","UseDPDF=Y")</f>
        <v>2435</v>
      </c>
      <c r="W25" s="13">
        <f>_xll.BDH("GILD US Equity","EBIT","FQ2 2024","FQ2 2024","Currency=USD","Period=FQ","BEST_FPERIOD_OVERRIDE=FQ","FILING_STATUS=MR","SCALING_FORMAT=MLN","FA_ADJUSTED=Adjusted","Sort=A","Dates=H","DateFormat=P","Fill=—","Direction=H","UseDPDF=Y")</f>
        <v>3116</v>
      </c>
      <c r="X25" s="13">
        <f>_xll.BDH("GILD US Equity","EBIT","FQ3 2024","FQ3 2024","Currency=USD","Period=FQ","BEST_FPERIOD_OVERRIDE=FQ","FILING_STATUS=MR","SCALING_FORMAT=MLN","FA_ADJUSTED=Adjusted","Sort=A","Dates=H","DateFormat=P","Fill=—","Direction=H","UseDPDF=Y")</f>
        <v>3184</v>
      </c>
      <c r="Y25" s="13">
        <f>_xll.BDH("GILD US Equity","EBIT","FQ4 2024","FQ4 2024","Currency=USD","Period=FQ","BEST_FPERIOD_OVERRIDE=FQ","FILING_STATUS=MR","SCALING_FORMAT=MLN","FA_ADJUSTED=Adjusted","Sort=A","Dates=H","DateFormat=P","Fill=—","Direction=H","UseDPDF=Y")</f>
        <v>2524</v>
      </c>
      <c r="Z25" s="13"/>
      <c r="AA25" s="13"/>
    </row>
    <row r="26" spans="1:27" x14ac:dyDescent="0.25">
      <c r="A26" s="1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5">
      <c r="A27" s="6" t="s">
        <v>78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x14ac:dyDescent="0.25">
      <c r="A28" s="10" t="s">
        <v>130</v>
      </c>
      <c r="B28" s="10" t="s">
        <v>145</v>
      </c>
      <c r="C28" s="13">
        <f>_xll.BDH("GILD US Equity","BEST_EBITDA","FQ2 2019","FQ2 2019","Currency=USD","Period=FQ","BEST_FPERIOD_OVERRIDE=FQ","FILING_STATUS=MR","Sort=A","Dates=H","DateFormat=P","Fill=—","Direction=H","UseDPDF=Y")</f>
        <v>3146.3330000000001</v>
      </c>
      <c r="D28" s="13">
        <f>_xll.BDH("GILD US Equity","BEST_EBITDA","FQ3 2019","FQ3 2019","Currency=USD","Period=FQ","BEST_FPERIOD_OVERRIDE=FQ","FILING_STATUS=MR","Sort=A","Dates=H","DateFormat=P","Fill=—","Direction=H","UseDPDF=Y")</f>
        <v>3307</v>
      </c>
      <c r="E28" s="13">
        <f>_xll.BDH("GILD US Equity","BEST_EBITDA","FQ4 2019","FQ4 2019","Currency=USD","Period=FQ","BEST_FPERIOD_OVERRIDE=FQ","FILING_STATUS=MR","Sort=A","Dates=H","DateFormat=P","Fill=—","Direction=H","UseDPDF=Y")</f>
        <v>2971.25</v>
      </c>
      <c r="F28" s="13">
        <f>_xll.BDH("GILD US Equity","BEST_EBITDA","FQ1 2020","FQ1 2020","Currency=USD","Period=FQ","BEST_FPERIOD_OVERRIDE=FQ","FILING_STATUS=MR","Sort=A","Dates=H","DateFormat=P","Fill=—","Direction=H","UseDPDF=Y")</f>
        <v>2930.3330000000001</v>
      </c>
      <c r="G28" s="13">
        <f>_xll.BDH("GILD US Equity","BEST_EBITDA","FQ2 2020","FQ2 2020","Currency=USD","Period=FQ","BEST_FPERIOD_OVERRIDE=FQ","FILING_STATUS=MR","Sort=A","Dates=H","DateFormat=P","Fill=—","Direction=H","UseDPDF=Y")</f>
        <v>2744</v>
      </c>
      <c r="H28" s="13">
        <f>_xll.BDH("GILD US Equity","BEST_EBITDA","FQ3 2020","FQ3 2020","Currency=USD","Period=FQ","BEST_FPERIOD_OVERRIDE=FQ","FILING_STATUS=MR","Sort=A","Dates=H","DateFormat=P","Fill=—","Direction=H","UseDPDF=Y")</f>
        <v>4051.25</v>
      </c>
      <c r="I28" s="13">
        <f>_xll.BDH("GILD US Equity","BEST_EBITDA","FQ4 2020","FQ4 2020","Currency=USD","Period=FQ","BEST_FPERIOD_OVERRIDE=FQ","FILING_STATUS=MR","Sort=A","Dates=H","DateFormat=P","Fill=—","Direction=H","UseDPDF=Y")</f>
        <v>3877</v>
      </c>
      <c r="J28" s="13">
        <f>_xll.BDH("GILD US Equity","BEST_EBITDA","FQ1 2021","FQ1 2021","Currency=USD","Period=FQ","BEST_FPERIOD_OVERRIDE=FQ","FILING_STATUS=MR","Sort=A","Dates=H","DateFormat=P","Fill=—","Direction=H","UseDPDF=Y")</f>
        <v>3802</v>
      </c>
      <c r="K28" s="13">
        <f>_xll.BDH("GILD US Equity","BEST_EBITDA","FQ2 2021","FQ2 2021","Currency=USD","Period=FQ","BEST_FPERIOD_OVERRIDE=FQ","FILING_STATUS=MR","Sort=A","Dates=H","DateFormat=P","Fill=—","Direction=H","UseDPDF=Y")</f>
        <v>3394</v>
      </c>
      <c r="L28" s="13">
        <f>_xll.BDH("GILD US Equity","BEST_EBITDA","FQ3 2021","FQ3 2021","Currency=USD","Period=FQ","BEST_FPERIOD_OVERRIDE=FQ","FILING_STATUS=MR","Sort=A","Dates=H","DateFormat=P","Fill=—","Direction=H","UseDPDF=Y")</f>
        <v>3719.3330000000001</v>
      </c>
      <c r="M28" s="13">
        <f>_xll.BDH("GILD US Equity","BEST_EBITDA","FQ4 2021","FQ4 2021","Currency=USD","Period=FQ","BEST_FPERIOD_OVERRIDE=FQ","FILING_STATUS=MR","Sort=A","Dates=H","DateFormat=P","Fill=—","Direction=H","UseDPDF=Y")</f>
        <v>3324.8</v>
      </c>
      <c r="N28" s="13">
        <f>_xll.BDH("GILD US Equity","BEST_EBITDA","FQ1 2022","FQ1 2022","Currency=USD","Period=FQ","BEST_FPERIOD_OVERRIDE=FQ","FILING_STATUS=MR","Sort=A","Dates=H","DateFormat=P","Fill=—","Direction=H","UseDPDF=Y")</f>
        <v>3219</v>
      </c>
      <c r="O28" s="13">
        <f>_xll.BDH("GILD US Equity","BEST_EBITDA","FQ2 2022","FQ2 2022","Currency=USD","Period=FQ","BEST_FPERIOD_OVERRIDE=FQ","FILING_STATUS=MR","Sort=A","Dates=H","DateFormat=P","Fill=—","Direction=H","UseDPDF=Y")</f>
        <v>2730.8</v>
      </c>
      <c r="P28" s="13">
        <f>_xll.BDH("GILD US Equity","BEST_EBITDA","FQ3 2022","FQ3 2022","Currency=USD","Period=FQ","BEST_FPERIOD_OVERRIDE=FQ","FILING_STATUS=MR","Sort=A","Dates=H","DateFormat=P","Fill=—","Direction=H","UseDPDF=Y")</f>
        <v>2712.8</v>
      </c>
      <c r="Q28" s="13">
        <f>_xll.BDH("GILD US Equity","BEST_EBITDA","FQ4 2022","FQ4 2022","Currency=USD","Period=FQ","BEST_FPERIOD_OVERRIDE=FQ","FILING_STATUS=MR","Sort=A","Dates=H","DateFormat=P","Fill=—","Direction=H","UseDPDF=Y")</f>
        <v>2685.8</v>
      </c>
      <c r="R28" s="13">
        <f>_xll.BDH("GILD US Equity","BEST_EBITDA","FQ1 2023","FQ1 2023","Currency=USD","Period=FQ","BEST_FPERIOD_OVERRIDE=FQ","FILING_STATUS=MR","Sort=A","Dates=H","DateFormat=P","Fill=—","Direction=H","UseDPDF=Y")</f>
        <v>2903</v>
      </c>
      <c r="S28" s="13">
        <f>_xll.BDH("GILD US Equity","BEST_EBITDA","FQ2 2023","FQ2 2023","Currency=USD","Period=FQ","BEST_FPERIOD_OVERRIDE=FQ","FILING_STATUS=MR","Sort=A","Dates=H","DateFormat=P","Fill=—","Direction=H","UseDPDF=Y")</f>
        <v>2937</v>
      </c>
      <c r="T28" s="13">
        <f>_xll.BDH("GILD US Equity","BEST_EBITDA","FQ3 2023","FQ3 2023","Currency=USD","Period=FQ","BEST_FPERIOD_OVERRIDE=FQ","FILING_STATUS=MR","Sort=A","Dates=H","DateFormat=P","Fill=—","Direction=H","UseDPDF=Y")</f>
        <v>3378</v>
      </c>
      <c r="U28" s="13">
        <f>_xll.BDH("GILD US Equity","BEST_EBITDA","FQ4 2023","FQ4 2023","Currency=USD","Period=FQ","BEST_FPERIOD_OVERRIDE=FQ","FILING_STATUS=MR","Sort=A","Dates=H","DateFormat=P","Fill=—","Direction=H","UseDPDF=Y")</f>
        <v>3137.4290000000001</v>
      </c>
      <c r="V28" s="13">
        <f>_xll.BDH("GILD US Equity","BEST_EBITDA","FQ1 2024","FQ1 2024","Currency=USD","Period=FQ","BEST_FPERIOD_OVERRIDE=FQ","FILING_STATUS=MR","Sort=A","Dates=H","DateFormat=P","Fill=—","Direction=H","UseDPDF=Y")</f>
        <v>-1138.75</v>
      </c>
      <c r="W28" s="13">
        <f>_xll.BDH("GILD US Equity","BEST_EBITDA","FQ2 2024","FQ2 2024","Currency=USD","Period=FQ","BEST_FPERIOD_OVERRIDE=FQ","FILING_STATUS=MR","Sort=A","Dates=H","DateFormat=P","Fill=—","Direction=H","UseDPDF=Y")</f>
        <v>3347</v>
      </c>
      <c r="X28" s="13">
        <f>_xll.BDH("GILD US Equity","BEST_EBITDA","FQ3 2024","FQ3 2024","Currency=USD","Period=FQ","BEST_FPERIOD_OVERRIDE=FQ","FILING_STATUS=MR","Sort=A","Dates=H","DateFormat=P","Fill=—","Direction=H","UseDPDF=Y")</f>
        <v>3429</v>
      </c>
      <c r="Y28" s="13">
        <f>_xll.BDH("GILD US Equity","BEST_EBITDA","FQ4 2024","FQ4 2024","Currency=USD","Period=FQ","BEST_FPERIOD_OVERRIDE=FQ","FILING_STATUS=MR","Sort=A","Dates=H","DateFormat=P","Fill=—","Direction=H","UseDPDF=Y")</f>
        <v>3479</v>
      </c>
      <c r="Z28" s="13">
        <v>3141</v>
      </c>
      <c r="AA28" s="13">
        <v>3626</v>
      </c>
    </row>
    <row r="29" spans="1:27" x14ac:dyDescent="0.25">
      <c r="A29" s="10" t="s">
        <v>132</v>
      </c>
      <c r="B29" s="10" t="s">
        <v>146</v>
      </c>
      <c r="C29" s="13">
        <f>_xll.BDH("GILD US Equity","IS_COMPARABLE_EBITDA","FQ2 2019","FQ2 2019","Currency=USD","Period=FQ","BEST_FPERIOD_OVERRIDE=FQ","FILING_STATUS=MR","SCALING_FORMAT=MLN","Sort=A","Dates=H","DateFormat=P","Fill=—","Direction=H","UseDPDF=Y")</f>
        <v>3040</v>
      </c>
      <c r="D29" s="13">
        <f>_xll.BDH("GILD US Equity","IS_COMPARABLE_EBITDA","FQ3 2019","FQ3 2019","Currency=USD","Period=FQ","BEST_FPERIOD_OVERRIDE=FQ","FILING_STATUS=MR","SCALING_FORMAT=MLN","Sort=A","Dates=H","DateFormat=P","Fill=—","Direction=H","UseDPDF=Y")</f>
        <v>3213</v>
      </c>
      <c r="E29" s="13">
        <f>_xll.BDH("GILD US Equity","IS_COMPARABLE_EBITDA","FQ4 2019","FQ4 2019","Currency=USD","Period=FQ","BEST_FPERIOD_OVERRIDE=FQ","FILING_STATUS=MR","SCALING_FORMAT=MLN","Sort=A","Dates=H","DateFormat=P","Fill=—","Direction=H","UseDPDF=Y")</f>
        <v>1733</v>
      </c>
      <c r="F29" s="13">
        <f>_xll.BDH("GILD US Equity","IS_COMPARABLE_EBITDA","FQ1 2020","FQ1 2020","Currency=USD","Period=FQ","BEST_FPERIOD_OVERRIDE=FQ","FILING_STATUS=MR","SCALING_FORMAT=MLN","Sort=A","Dates=H","DateFormat=P","Fill=—","Direction=H","UseDPDF=Y")</f>
        <v>3114</v>
      </c>
      <c r="G29" s="13">
        <f>_xll.BDH("GILD US Equity","IS_COMPARABLE_EBITDA","FQ2 2020","FQ2 2020","Currency=USD","Period=FQ","BEST_FPERIOD_OVERRIDE=FQ","FILING_STATUS=MR","SCALING_FORMAT=MLN","Sort=A","Dates=H","DateFormat=P","Fill=—","Direction=H","UseDPDF=Y")</f>
        <v>2344</v>
      </c>
      <c r="H29" s="13">
        <f>_xll.BDH("GILD US Equity","IS_COMPARABLE_EBITDA","FQ3 2020","FQ3 2020","Currency=USD","Period=FQ","BEST_FPERIOD_OVERRIDE=FQ","FILING_STATUS=MR","SCALING_FORMAT=MLN","Sort=A","Dates=H","DateFormat=P","Fill=—","Direction=H","UseDPDF=Y")</f>
        <v>3452</v>
      </c>
      <c r="I29" s="13">
        <f>_xll.BDH("GILD US Equity","IS_COMPARABLE_EBITDA","FQ4 2020","FQ4 2020","Currency=USD","Period=FQ","BEST_FPERIOD_OVERRIDE=FQ","FILING_STATUS=MR","SCALING_FORMAT=MLN","Sort=A","Dates=H","DateFormat=P","Fill=—","Direction=H","UseDPDF=Y")</f>
        <v>3919</v>
      </c>
      <c r="J29" s="13">
        <f>_xll.BDH("GILD US Equity","IS_COMPARABLE_EBITDA","FQ1 2021","FQ1 2021","Currency=USD","Period=FQ","BEST_FPERIOD_OVERRIDE=FQ","FILING_STATUS=MR","SCALING_FORMAT=MLN","Sort=A","Dates=H","DateFormat=P","Fill=—","Direction=H","UseDPDF=Y")</f>
        <v>3486</v>
      </c>
      <c r="K29" s="13">
        <f>_xll.BDH("GILD US Equity","IS_COMPARABLE_EBITDA","FQ2 2021","FQ2 2021","Currency=USD","Period=FQ","BEST_FPERIOD_OVERRIDE=FQ","FILING_STATUS=MR","SCALING_FORMAT=MLN","Sort=A","Dates=H","DateFormat=P","Fill=—","Direction=H","UseDPDF=Y")</f>
        <v>3176</v>
      </c>
      <c r="L29" s="13">
        <f>_xll.BDH("GILD US Equity","IS_COMPARABLE_EBITDA","FQ3 2021","FQ3 2021","Currency=USD","Period=FQ","BEST_FPERIOD_OVERRIDE=FQ","FILING_STATUS=MR","SCALING_FORMAT=MLN","Sort=A","Dates=H","DateFormat=P","Fill=—","Direction=H","UseDPDF=Y")</f>
        <v>4902</v>
      </c>
      <c r="M29" s="13">
        <f>_xll.BDH("GILD US Equity","IS_COMPARABLE_EBITDA","FQ4 2021","FQ4 2021","Currency=USD","Period=FQ","BEST_FPERIOD_OVERRIDE=FQ","FILING_STATUS=MR","SCALING_FORMAT=MLN","Sort=A","Dates=H","DateFormat=P","Fill=—","Direction=H","UseDPDF=Y")</f>
        <v>2042</v>
      </c>
      <c r="N29" s="13" t="str">
        <f>_xll.BDH("GILD US Equity","IS_COMPARABLE_EBITDA","FQ1 2022","FQ1 2022","Currency=USD","Period=FQ","BEST_FPERIOD_OVERRIDE=FQ","FILING_STATUS=MR","SCALING_FORMAT=MLN","Sort=A","Dates=H","DateFormat=P","Fill=—","Direction=H","UseDPDF=Y")</f>
        <v>—</v>
      </c>
      <c r="O29" s="13" t="str">
        <f>_xll.BDH("GILD US Equity","IS_COMPARABLE_EBITDA","FQ2 2022","FQ2 2022","Currency=USD","Period=FQ","BEST_FPERIOD_OVERRIDE=FQ","FILING_STATUS=MR","SCALING_FORMAT=MLN","Sort=A","Dates=H","DateFormat=P","Fill=—","Direction=H","UseDPDF=Y")</f>
        <v>—</v>
      </c>
      <c r="P29" s="13" t="str">
        <f>_xll.BDH("GILD US Equity","IS_COMPARABLE_EBITDA","FQ3 2022","FQ3 2022","Currency=USD","Period=FQ","BEST_FPERIOD_OVERRIDE=FQ","FILING_STATUS=MR","SCALING_FORMAT=MLN","Sort=A","Dates=H","DateFormat=P","Fill=—","Direction=H","UseDPDF=Y")</f>
        <v>—</v>
      </c>
      <c r="Q29" s="13">
        <f>_xll.BDH("GILD US Equity","IS_COMPARABLE_EBITDA","FQ4 2022","FQ4 2022","Currency=USD","Period=FQ","BEST_FPERIOD_OVERRIDE=FQ","FILING_STATUS=MR","SCALING_FORMAT=MLN","Sort=A","Dates=H","DateFormat=P","Fill=—","Direction=H","UseDPDF=Y")</f>
        <v>3620</v>
      </c>
      <c r="R29" s="13" t="str">
        <f>_xll.BDH("GILD US Equity","IS_COMPARABLE_EBITDA","FQ1 2023","FQ1 2023","Currency=USD","Period=FQ","BEST_FPERIOD_OVERRIDE=FQ","FILING_STATUS=MR","SCALING_FORMAT=MLN","Sort=A","Dates=H","DateFormat=P","Fill=—","Direction=H","UseDPDF=Y")</f>
        <v>—</v>
      </c>
      <c r="S29" s="13" t="str">
        <f>_xll.BDH("GILD US Equity","IS_COMPARABLE_EBITDA","FQ2 2023","FQ2 2023","Currency=USD","Period=FQ","BEST_FPERIOD_OVERRIDE=FQ","FILING_STATUS=MR","SCALING_FORMAT=MLN","Sort=A","Dates=H","DateFormat=P","Fill=—","Direction=H","UseDPDF=Y")</f>
        <v>—</v>
      </c>
      <c r="T29" s="13" t="str">
        <f>_xll.BDH("GILD US Equity","IS_COMPARABLE_EBITDA","FQ3 2023","FQ3 2023","Currency=USD","Period=FQ","BEST_FPERIOD_OVERRIDE=FQ","FILING_STATUS=MR","SCALING_FORMAT=MLN","Sort=A","Dates=H","DateFormat=P","Fill=—","Direction=H","UseDPDF=Y")</f>
        <v>—</v>
      </c>
      <c r="U29" s="13" t="str">
        <f>_xll.BDH("GILD US Equity","IS_COMPARABLE_EBITDA","FQ4 2023","FQ4 2023","Currency=USD","Period=FQ","BEST_FPERIOD_OVERRIDE=FQ","FILING_STATUS=MR","SCALING_FORMAT=MLN","Sort=A","Dates=H","DateFormat=P","Fill=—","Direction=H","UseDPDF=Y")</f>
        <v>—</v>
      </c>
      <c r="V29" s="13">
        <f>_xll.BDH("GILD US Equity","IS_COMPARABLE_EBITDA","FQ1 2024","FQ1 2024","Currency=USD","Period=FQ","BEST_FPERIOD_OVERRIDE=FQ","FILING_STATUS=MR","SCALING_FORMAT=MLN","Sort=A","Dates=H","DateFormat=P","Fill=—","Direction=H","UseDPDF=Y")</f>
        <v>-538</v>
      </c>
      <c r="W29" s="13">
        <f>_xll.BDH("GILD US Equity","IS_COMPARABLE_EBITDA","FQ2 2024","FQ2 2024","Currency=USD","Period=FQ","BEST_FPERIOD_OVERRIDE=FQ","FILING_STATUS=MR","SCALING_FORMAT=MLN","Sort=A","Dates=H","DateFormat=P","Fill=—","Direction=H","UseDPDF=Y")</f>
        <v>3959</v>
      </c>
      <c r="X29" s="13" t="str">
        <f>_xll.BDH("GILD US Equity","IS_COMPARABLE_EBITDA","FQ3 2024","FQ3 2024","Currency=USD","Period=FQ","BEST_FPERIOD_OVERRIDE=FQ","FILING_STATUS=MR","SCALING_FORMAT=MLN","Sort=A","Dates=H","DateFormat=P","Fill=—","Direction=H","UseDPDF=Y")</f>
        <v>—</v>
      </c>
      <c r="Y29" s="13">
        <f>_xll.BDH("GILD US Equity","IS_COMPARABLE_EBITDA","FQ4 2024","FQ4 2024","Currency=USD","Period=FQ","BEST_FPERIOD_OVERRIDE=FQ","FILING_STATUS=MR","SCALING_FORMAT=MLN","Sort=A","Dates=H","DateFormat=P","Fill=—","Direction=H","UseDPDF=Y")</f>
        <v>3807</v>
      </c>
      <c r="Z29" s="13"/>
      <c r="AA29" s="13"/>
    </row>
    <row r="30" spans="1:27" x14ac:dyDescent="0.25">
      <c r="A30" s="11" t="s">
        <v>147</v>
      </c>
      <c r="B30" s="11"/>
      <c r="C30" s="25">
        <v>-3.37958505981408</v>
      </c>
      <c r="D30" s="25">
        <v>-2.8424553976413698</v>
      </c>
      <c r="E30" s="25">
        <v>-41.674379469920098</v>
      </c>
      <c r="F30" s="25">
        <v>6.2677859478769102</v>
      </c>
      <c r="G30" s="25">
        <v>-14.5772594752187</v>
      </c>
      <c r="H30" s="25">
        <v>-14.7917309472385</v>
      </c>
      <c r="I30" s="25">
        <v>1.0833118390508101</v>
      </c>
      <c r="J30" s="25">
        <v>-8.3114150447133106</v>
      </c>
      <c r="K30" s="25">
        <v>-6.4230995875073704</v>
      </c>
      <c r="L30" s="25">
        <v>31.797825040134899</v>
      </c>
      <c r="M30" s="25">
        <v>-38.582771896053899</v>
      </c>
      <c r="N30" s="25" t="s">
        <v>148</v>
      </c>
      <c r="O30" s="25" t="s">
        <v>148</v>
      </c>
      <c r="P30" s="25" t="s">
        <v>148</v>
      </c>
      <c r="Q30" s="25">
        <v>34.7829324596023</v>
      </c>
      <c r="R30" s="25" t="s">
        <v>148</v>
      </c>
      <c r="S30" s="25" t="s">
        <v>148</v>
      </c>
      <c r="T30" s="25" t="s">
        <v>148</v>
      </c>
      <c r="U30" s="25" t="s">
        <v>148</v>
      </c>
      <c r="V30" s="25">
        <v>52.755214050493997</v>
      </c>
      <c r="W30" s="25">
        <v>18.2850313713774</v>
      </c>
      <c r="X30" s="25" t="s">
        <v>148</v>
      </c>
      <c r="Y30" s="25">
        <v>9.4279965507329706</v>
      </c>
      <c r="Z30" s="25"/>
      <c r="AA30" s="25"/>
    </row>
    <row r="31" spans="1:27" x14ac:dyDescent="0.25">
      <c r="A31" s="10" t="s">
        <v>135</v>
      </c>
      <c r="B31" s="10" t="s">
        <v>78</v>
      </c>
      <c r="C31" s="13">
        <f>_xll.BDH("GILD US Equity","EBITDA","FQ2 2019","FQ2 2019","Currency=USD","Period=FQ","BEST_FPERIOD_OVERRIDE=FQ","FILING_STATUS=MR","SCALING_FORMAT=MLN","FA_ADJUSTED=GAAP","Sort=A","Dates=H","DateFormat=P","Fill=—","Direction=H","UseDPDF=Y")</f>
        <v>2816</v>
      </c>
      <c r="D31" s="13">
        <f>_xll.BDH("GILD US Equity","EBITDA","FQ3 2019","FQ3 2019","Currency=USD","Period=FQ","BEST_FPERIOD_OVERRIDE=FQ","FILING_STATUS=MR","SCALING_FORMAT=MLN","FA_ADJUSTED=GAAP","Sort=A","Dates=H","DateFormat=P","Fill=—","Direction=H","UseDPDF=Y")</f>
        <v>-1082</v>
      </c>
      <c r="E31" s="13">
        <f>_xll.BDH("GILD US Equity","EBITDA","FQ4 2019","FQ4 2019","Currency=USD","Period=FQ","BEST_FPERIOD_OVERRIDE=FQ","FILING_STATUS=MR","SCALING_FORMAT=MLN","FA_ADJUSTED=GAAP","Sort=A","Dates=H","DateFormat=P","Fill=—","Direction=H","UseDPDF=Y")</f>
        <v>1487</v>
      </c>
      <c r="F31" s="13">
        <f>_xll.BDH("GILD US Equity","EBITDA","FQ1 2020","FQ1 2020","Currency=USD","Period=FQ","BEST_FPERIOD_OVERRIDE=FQ","FILING_STATUS=MR","SCALING_FORMAT=MLN","FA_ADJUSTED=GAAP","Sort=A","Dates=H","DateFormat=P","Fill=—","Direction=H","UseDPDF=Y")</f>
        <v>2751</v>
      </c>
      <c r="G31" s="13">
        <f>_xll.BDH("GILD US Equity","EBITDA","FQ2 2020","FQ2 2020","Currency=USD","Period=FQ","BEST_FPERIOD_OVERRIDE=FQ","FILING_STATUS=MR","SCALING_FORMAT=MLN","FA_ADJUSTED=GAAP","Sort=A","Dates=H","DateFormat=P","Fill=—","Direction=H","UseDPDF=Y")</f>
        <v>-2634</v>
      </c>
      <c r="H31" s="13">
        <f>_xll.BDH("GILD US Equity","EBITDA","FQ3 2020","FQ3 2020","Currency=USD","Period=FQ","BEST_FPERIOD_OVERRIDE=FQ","FILING_STATUS=MR","SCALING_FORMAT=MLN","FA_ADJUSTED=GAAP","Sort=A","Dates=H","DateFormat=P","Fill=—","Direction=H","UseDPDF=Y")</f>
        <v>2356</v>
      </c>
      <c r="I31" s="13">
        <f>_xll.BDH("GILD US Equity","EBITDA","FQ4 2020","FQ4 2020","Currency=USD","Period=FQ","BEST_FPERIOD_OVERRIDE=FQ","FILING_STATUS=MR","SCALING_FORMAT=MLN","FA_ADJUSTED=GAAP","Sort=A","Dates=H","DateFormat=P","Fill=—","Direction=H","UseDPDF=Y")</f>
        <v>3078</v>
      </c>
      <c r="J31" s="13">
        <f>_xll.BDH("GILD US Equity","EBITDA","FQ1 2021","FQ1 2021","Currency=USD","Period=FQ","BEST_FPERIOD_OVERRIDE=FQ","FILING_STATUS=MR","SCALING_FORMAT=MLN","FA_ADJUSTED=GAAP","Sort=A","Dates=H","DateFormat=P","Fill=—","Direction=H","UseDPDF=Y")</f>
        <v>3363</v>
      </c>
      <c r="K31" s="13">
        <f>_xll.BDH("GILD US Equity","EBITDA","FQ2 2021","FQ2 2021","Currency=USD","Period=FQ","BEST_FPERIOD_OVERRIDE=FQ","FILING_STATUS=MR","SCALING_FORMAT=MLN","FA_ADJUSTED=GAAP","Sort=A","Dates=H","DateFormat=P","Fill=—","Direction=H","UseDPDF=Y")</f>
        <v>2765</v>
      </c>
      <c r="L31" s="13">
        <f>_xll.BDH("GILD US Equity","EBITDA","FQ3 2021","FQ3 2021","Currency=USD","Period=FQ","BEST_FPERIOD_OVERRIDE=FQ","FILING_STATUS=MR","SCALING_FORMAT=MLN","FA_ADJUSTED=GAAP","Sort=A","Dates=H","DateFormat=P","Fill=—","Direction=H","UseDPDF=Y")</f>
        <v>4365</v>
      </c>
      <c r="M31" s="13">
        <f>_xll.BDH("GILD US Equity","EBITDA","FQ4 2021","FQ4 2021","Currency=USD","Period=FQ","BEST_FPERIOD_OVERRIDE=FQ","FILING_STATUS=MR","SCALING_FORMAT=MLN","FA_ADJUSTED=GAAP","Sort=A","Dates=H","DateFormat=P","Fill=—","Direction=H","UseDPDF=Y")</f>
        <v>1475</v>
      </c>
      <c r="N31" s="13">
        <f>_xll.BDH("GILD US Equity","EBITDA","FQ1 2022","FQ1 2022","Currency=USD","Period=FQ","BEST_FPERIOD_OVERRIDE=FQ","FILING_STATUS=MR","SCALING_FORMAT=MLN","FA_ADJUSTED=GAAP","Sort=A","Dates=H","DateFormat=P","Fill=—","Direction=H","UseDPDF=Y")</f>
        <v>722</v>
      </c>
      <c r="O31" s="13">
        <f>_xll.BDH("GILD US Equity","EBITDA","FQ2 2022","FQ2 2022","Currency=USD","Period=FQ","BEST_FPERIOD_OVERRIDE=FQ","FILING_STATUS=MR","SCALING_FORMAT=MLN","FA_ADJUSTED=GAAP","Sort=A","Dates=H","DateFormat=P","Fill=—","Direction=H","UseDPDF=Y")</f>
        <v>2554</v>
      </c>
      <c r="P31" s="13">
        <f>_xll.BDH("GILD US Equity","EBITDA","FQ3 2022","FQ3 2022","Currency=USD","Period=FQ","BEST_FPERIOD_OVERRIDE=FQ","FILING_STATUS=MR","SCALING_FORMAT=MLN","FA_ADJUSTED=GAAP","Sort=A","Dates=H","DateFormat=P","Fill=—","Direction=H","UseDPDF=Y")</f>
        <v>3362</v>
      </c>
      <c r="Q31" s="13">
        <f>_xll.BDH("GILD US Equity","EBITDA","FQ4 2022","FQ4 2022","Currency=USD","Period=FQ","BEST_FPERIOD_OVERRIDE=FQ","FILING_STATUS=MR","SCALING_FORMAT=MLN","FA_ADJUSTED=GAAP","Sort=A","Dates=H","DateFormat=P","Fill=—","Direction=H","UseDPDF=Y")</f>
        <v>2795</v>
      </c>
      <c r="R31" s="13">
        <f>_xll.BDH("GILD US Equity","EBITDA","FQ1 2023","FQ1 2023","Currency=USD","Period=FQ","BEST_FPERIOD_OVERRIDE=FQ","FILING_STATUS=MR","SCALING_FORMAT=MLN","FA_ADJUSTED=GAAP","Sort=A","Dates=H","DateFormat=P","Fill=—","Direction=H","UseDPDF=Y")</f>
        <v>2345</v>
      </c>
      <c r="S31" s="13">
        <f>_xll.BDH("GILD US Equity","EBITDA","FQ2 2023","FQ2 2023","Currency=USD","Period=FQ","BEST_FPERIOD_OVERRIDE=FQ","FILING_STATUS=MR","SCALING_FORMAT=MLN","FA_ADJUSTED=GAAP","Sort=A","Dates=H","DateFormat=P","Fill=—","Direction=H","UseDPDF=Y")</f>
        <v>2346</v>
      </c>
      <c r="T31" s="13">
        <f>_xll.BDH("GILD US Equity","EBITDA","FQ3 2023","FQ3 2023","Currency=USD","Period=FQ","BEST_FPERIOD_OVERRIDE=FQ","FILING_STATUS=MR","SCALING_FORMAT=MLN","FA_ADJUSTED=GAAP","Sort=A","Dates=H","DateFormat=P","Fill=—","Direction=H","UseDPDF=Y")</f>
        <v>3307</v>
      </c>
      <c r="U31" s="13">
        <f>_xll.BDH("GILD US Equity","EBITDA","FQ4 2023","FQ4 2023","Currency=USD","Period=FQ","BEST_FPERIOD_OVERRIDE=FQ","FILING_STATUS=MR","SCALING_FORMAT=MLN","FA_ADJUSTED=GAAP","Sort=A","Dates=H","DateFormat=P","Fill=—","Direction=H","UseDPDF=Y")</f>
        <v>2300</v>
      </c>
      <c r="V31" s="13">
        <f>_xll.BDH("GILD US Equity","EBITDA","FQ1 2024","FQ1 2024","Currency=USD","Period=FQ","BEST_FPERIOD_OVERRIDE=FQ","FILING_STATUS=MR","SCALING_FORMAT=MLN","FA_ADJUSTED=GAAP","Sort=A","Dates=H","DateFormat=P","Fill=—","Direction=H","UseDPDF=Y")</f>
        <v>-3632</v>
      </c>
      <c r="W31" s="13">
        <f>_xll.BDH("GILD US Equity","EBITDA","FQ2 2024","FQ2 2024","Currency=USD","Period=FQ","BEST_FPERIOD_OVERRIDE=FQ","FILING_STATUS=MR","SCALING_FORMAT=MLN","FA_ADJUSTED=GAAP","Sort=A","Dates=H","DateFormat=P","Fill=—","Direction=H","UseDPDF=Y")</f>
        <v>3338</v>
      </c>
      <c r="X31" s="13">
        <f>_xll.BDH("GILD US Equity","EBITDA","FQ3 2024","FQ3 2024","Currency=USD","Period=FQ","BEST_FPERIOD_OVERRIDE=FQ","FILING_STATUS=MR","SCALING_FORMAT=MLN","FA_ADJUSTED=GAAP","Sort=A","Dates=H","DateFormat=P","Fill=—","Direction=H","UseDPDF=Y")</f>
        <v>1578</v>
      </c>
      <c r="Y31" s="13">
        <f>_xll.BDH("GILD US Equity","EBITDA","FQ4 2024","FQ4 2024","Currency=USD","Period=FQ","BEST_FPERIOD_OVERRIDE=FQ","FILING_STATUS=MR","SCALING_FORMAT=MLN","FA_ADJUSTED=GAAP","Sort=A","Dates=H","DateFormat=P","Fill=—","Direction=H","UseDPDF=Y")</f>
        <v>3144</v>
      </c>
      <c r="Z31" s="13"/>
      <c r="AA31" s="13"/>
    </row>
    <row r="32" spans="1:27" x14ac:dyDescent="0.25">
      <c r="A32" s="10" t="s">
        <v>136</v>
      </c>
      <c r="B32" s="10" t="s">
        <v>78</v>
      </c>
      <c r="C32" s="13">
        <f>_xll.BDH("GILD US Equity","EBITDA","FQ2 2019","FQ2 2019","Currency=USD","Period=FQ","BEST_FPERIOD_OVERRIDE=FQ","FILING_STATUS=MR","SCALING_FORMAT=MLN","FA_ADJUSTED=Adjusted","Sort=A","Dates=H","DateFormat=P","Fill=—","Direction=H","UseDPDF=Y")</f>
        <v>2980</v>
      </c>
      <c r="D32" s="13">
        <f>_xll.BDH("GILD US Equity","EBITDA","FQ3 2019","FQ3 2019","Currency=USD","Period=FQ","BEST_FPERIOD_OVERRIDE=FQ","FILING_STATUS=MR","SCALING_FORMAT=MLN","FA_ADJUSTED=Adjusted","Sort=A","Dates=H","DateFormat=P","Fill=—","Direction=H","UseDPDF=Y")</f>
        <v>2887</v>
      </c>
      <c r="E32" s="13">
        <f>_xll.BDH("GILD US Equity","EBITDA","FQ4 2019","FQ4 2019","Currency=USD","Period=FQ","BEST_FPERIOD_OVERRIDE=FQ","FILING_STATUS=MR","SCALING_FORMAT=MLN","FA_ADJUSTED=Adjusted","Sort=A","Dates=H","DateFormat=P","Fill=—","Direction=H","UseDPDF=Y")</f>
        <v>2283</v>
      </c>
      <c r="F32" s="13">
        <f>_xll.BDH("GILD US Equity","EBITDA","FQ1 2020","FQ1 2020","Currency=USD","Period=FQ","BEST_FPERIOD_OVERRIDE=FQ","FILING_STATUS=MR","SCALING_FORMAT=MLN","FA_ADJUSTED=Adjusted","Sort=A","Dates=H","DateFormat=P","Fill=—","Direction=H","UseDPDF=Y")</f>
        <v>3114</v>
      </c>
      <c r="G32" s="13">
        <f>_xll.BDH("GILD US Equity","EBITDA","FQ2 2020","FQ2 2020","Currency=USD","Period=FQ","BEST_FPERIOD_OVERRIDE=FQ","FILING_STATUS=MR","SCALING_FORMAT=MLN","FA_ADJUSTED=Adjusted","Sort=A","Dates=H","DateFormat=P","Fill=—","Direction=H","UseDPDF=Y")</f>
        <v>2078</v>
      </c>
      <c r="H32" s="13">
        <f>_xll.BDH("GILD US Equity","EBITDA","FQ3 2020","FQ3 2020","Currency=USD","Period=FQ","BEST_FPERIOD_OVERRIDE=FQ","FILING_STATUS=MR","SCALING_FORMAT=MLN","FA_ADJUSTED=Adjusted","Sort=A","Dates=H","DateFormat=P","Fill=—","Direction=H","UseDPDF=Y")</f>
        <v>3541</v>
      </c>
      <c r="I32" s="13">
        <f>_xll.BDH("GILD US Equity","EBITDA","FQ4 2020","FQ4 2020","Currency=USD","Period=FQ","BEST_FPERIOD_OVERRIDE=FQ","FILING_STATUS=MR","SCALING_FORMAT=MLN","FA_ADJUSTED=Adjusted","Sort=A","Dates=H","DateFormat=P","Fill=—","Direction=H","UseDPDF=Y")</f>
        <v>3502</v>
      </c>
      <c r="J32" s="13">
        <f>_xll.BDH("GILD US Equity","EBITDA","FQ1 2021","FQ1 2021","Currency=USD","Period=FQ","BEST_FPERIOD_OVERRIDE=FQ","FILING_STATUS=MR","SCALING_FORMAT=MLN","FA_ADJUSTED=Adjusted","Sort=A","Dates=H","DateFormat=P","Fill=—","Direction=H","UseDPDF=Y")</f>
        <v>3959</v>
      </c>
      <c r="K32" s="13">
        <f>_xll.BDH("GILD US Equity","EBITDA","FQ2 2021","FQ2 2021","Currency=USD","Period=FQ","BEST_FPERIOD_OVERRIDE=FQ","FILING_STATUS=MR","SCALING_FORMAT=MLN","FA_ADJUSTED=Adjusted","Sort=A","Dates=H","DateFormat=P","Fill=—","Direction=H","UseDPDF=Y")</f>
        <v>3141</v>
      </c>
      <c r="L32" s="13">
        <f>_xll.BDH("GILD US Equity","EBITDA","FQ3 2021","FQ3 2021","Currency=USD","Period=FQ","BEST_FPERIOD_OVERRIDE=FQ","FILING_STATUS=MR","SCALING_FORMAT=MLN","FA_ADJUSTED=Adjusted","Sort=A","Dates=H","DateFormat=P","Fill=—","Direction=H","UseDPDF=Y")</f>
        <v>4367</v>
      </c>
      <c r="M32" s="13">
        <f>_xll.BDH("GILD US Equity","EBITDA","FQ4 2021","FQ4 2021","Currency=USD","Period=FQ","BEST_FPERIOD_OVERRIDE=FQ","FILING_STATUS=MR","SCALING_FORMAT=MLN","FA_ADJUSTED=Adjusted","Sort=A","Dates=H","DateFormat=P","Fill=—","Direction=H","UseDPDF=Y")</f>
        <v>2156.7975000000001</v>
      </c>
      <c r="N32" s="13">
        <f>_xll.BDH("GILD US Equity","EBITDA","FQ1 2022","FQ1 2022","Currency=USD","Period=FQ","BEST_FPERIOD_OVERRIDE=FQ","FILING_STATUS=MR","SCALING_FORMAT=MLN","FA_ADJUSTED=Adjusted","Sort=A","Dates=H","DateFormat=P","Fill=—","Direction=H","UseDPDF=Y")</f>
        <v>3492</v>
      </c>
      <c r="O32" s="13">
        <f>_xll.BDH("GILD US Equity","EBITDA","FQ2 2022","FQ2 2022","Currency=USD","Period=FQ","BEST_FPERIOD_OVERRIDE=FQ","FILING_STATUS=MR","SCALING_FORMAT=MLN","FA_ADJUSTED=Adjusted","Sort=A","Dates=H","DateFormat=P","Fill=—","Direction=H","UseDPDF=Y")</f>
        <v>3277</v>
      </c>
      <c r="P32" s="13">
        <f>_xll.BDH("GILD US Equity","EBITDA","FQ3 2022","FQ3 2022","Currency=USD","Period=FQ","BEST_FPERIOD_OVERRIDE=FQ","FILING_STATUS=MR","SCALING_FORMAT=MLN","FA_ADJUSTED=Adjusted","Sort=A","Dates=H","DateFormat=P","Fill=—","Direction=H","UseDPDF=Y")</f>
        <v>4236</v>
      </c>
      <c r="Q32" s="13">
        <f>_xll.BDH("GILD US Equity","EBITDA","FQ4 2022","FQ4 2022","Currency=USD","Period=FQ","BEST_FPERIOD_OVERRIDE=FQ","FILING_STATUS=MR","SCALING_FORMAT=MLN","FA_ADJUSTED=Adjusted","Sort=A","Dates=H","DateFormat=P","Fill=—","Direction=H","UseDPDF=Y")</f>
        <v>2957</v>
      </c>
      <c r="R32" s="13">
        <f>_xll.BDH("GILD US Equity","EBITDA","FQ1 2023","FQ1 2023","Currency=USD","Period=FQ","BEST_FPERIOD_OVERRIDE=FQ","FILING_STATUS=MR","SCALING_FORMAT=MLN","FA_ADJUSTED=Adjusted","Sort=A","Dates=H","DateFormat=P","Fill=—","Direction=H","UseDPDF=Y")</f>
        <v>2835</v>
      </c>
      <c r="S32" s="13">
        <f>_xll.BDH("GILD US Equity","EBITDA","FQ2 2023","FQ2 2023","Currency=USD","Period=FQ","BEST_FPERIOD_OVERRIDE=FQ","FILING_STATUS=MR","SCALING_FORMAT=MLN","FA_ADJUSTED=Adjusted","Sort=A","Dates=H","DateFormat=P","Fill=—","Direction=H","UseDPDF=Y")</f>
        <v>2544</v>
      </c>
      <c r="T32" s="13">
        <f>_xll.BDH("GILD US Equity","EBITDA","FQ3 2023","FQ3 2023","Currency=USD","Period=FQ","BEST_FPERIOD_OVERRIDE=FQ","FILING_STATUS=MR","SCALING_FORMAT=MLN","FA_ADJUSTED=Adjusted","Sort=A","Dates=H","DateFormat=P","Fill=—","Direction=H","UseDPDF=Y")</f>
        <v>3587</v>
      </c>
      <c r="U32" s="13">
        <f>_xll.BDH("GILD US Equity","EBITDA","FQ4 2023","FQ4 2023","Currency=USD","Period=FQ","BEST_FPERIOD_OVERRIDE=FQ","FILING_STATUS=MR","SCALING_FORMAT=MLN","FA_ADJUSTED=Adjusted","Sort=A","Dates=H","DateFormat=P","Fill=—","Direction=H","UseDPDF=Y")</f>
        <v>3194</v>
      </c>
      <c r="V32" s="13">
        <f>_xll.BDH("GILD US Equity","EBITDA","FQ1 2024","FQ1 2024","Currency=USD","Period=FQ","BEST_FPERIOD_OVERRIDE=FQ","FILING_STATUS=MR","SCALING_FORMAT=MLN","FA_ADJUSTED=Adjusted","Sort=A","Dates=H","DateFormat=P","Fill=—","Direction=H","UseDPDF=Y")</f>
        <v>3125</v>
      </c>
      <c r="W32" s="13">
        <f>_xll.BDH("GILD US Equity","EBITDA","FQ2 2024","FQ2 2024","Currency=USD","Period=FQ","BEST_FPERIOD_OVERRIDE=FQ","FILING_STATUS=MR","SCALING_FORMAT=MLN","FA_ADJUSTED=Adjusted","Sort=A","Dates=H","DateFormat=P","Fill=—","Direction=H","UseDPDF=Y")</f>
        <v>3810</v>
      </c>
      <c r="X32" s="13">
        <f>_xll.BDH("GILD US Equity","EBITDA","FQ3 2024","FQ3 2024","Currency=USD","Period=FQ","BEST_FPERIOD_OVERRIDE=FQ","FILING_STATUS=MR","SCALING_FORMAT=MLN","FA_ADJUSTED=Adjusted","Sort=A","Dates=H","DateFormat=P","Fill=—","Direction=H","UseDPDF=Y")</f>
        <v>3874</v>
      </c>
      <c r="Y32" s="13">
        <f>_xll.BDH("GILD US Equity","EBITDA","FQ4 2024","FQ4 2024","Currency=USD","Period=FQ","BEST_FPERIOD_OVERRIDE=FQ","FILING_STATUS=MR","SCALING_FORMAT=MLN","FA_ADJUSTED=Adjusted","Sort=A","Dates=H","DateFormat=P","Fill=—","Direction=H","UseDPDF=Y")</f>
        <v>3217</v>
      </c>
      <c r="Z32" s="13"/>
      <c r="AA32" s="13"/>
    </row>
    <row r="33" spans="1:27" x14ac:dyDescent="0.2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5">
      <c r="A34" s="6" t="s">
        <v>149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x14ac:dyDescent="0.25">
      <c r="A35" s="10" t="s">
        <v>130</v>
      </c>
      <c r="B35" s="10" t="s">
        <v>150</v>
      </c>
      <c r="C35" s="14">
        <f>_xll.BDH("GILD US Equity","BEST_GROSS_MARGIN","FQ2 2019","FQ2 2019","Currency=USD","Period=FQ","BEST_FPERIOD_OVERRIDE=FQ","FILING_STATUS=MR","Sort=A","Dates=H","DateFormat=P","Fill=—","Direction=H","UseDPDF=Y")</f>
        <v>85.787000000000006</v>
      </c>
      <c r="D35" s="14">
        <f>_xll.BDH("GILD US Equity","BEST_GROSS_MARGIN","FQ3 2019","FQ3 2019","Currency=USD","Period=FQ","BEST_FPERIOD_OVERRIDE=FQ","FILING_STATUS=MR","Sort=A","Dates=H","DateFormat=P","Fill=—","Direction=H","UseDPDF=Y")</f>
        <v>86.314999999999998</v>
      </c>
      <c r="E35" s="14">
        <f>_xll.BDH("GILD US Equity","BEST_GROSS_MARGIN","FQ4 2019","FQ4 2019","Currency=USD","Period=FQ","BEST_FPERIOD_OVERRIDE=FQ","FILING_STATUS=MR","Sort=A","Dates=H","DateFormat=P","Fill=—","Direction=H","UseDPDF=Y")</f>
        <v>84.911000000000001</v>
      </c>
      <c r="F35" s="14">
        <f>_xll.BDH("GILD US Equity","BEST_GROSS_MARGIN","FQ1 2020","FQ1 2020","Currency=USD","Period=FQ","BEST_FPERIOD_OVERRIDE=FQ","FILING_STATUS=MR","Sort=A","Dates=H","DateFormat=P","Fill=—","Direction=H","UseDPDF=Y")</f>
        <v>85.97</v>
      </c>
      <c r="G35" s="14">
        <f>_xll.BDH("GILD US Equity","BEST_GROSS_MARGIN","FQ2 2020","FQ2 2020","Currency=USD","Period=FQ","BEST_FPERIOD_OVERRIDE=FQ","FILING_STATUS=MR","Sort=A","Dates=H","DateFormat=P","Fill=—","Direction=H","UseDPDF=Y")</f>
        <v>85.977999999999994</v>
      </c>
      <c r="H35" s="14">
        <f>_xll.BDH("GILD US Equity","BEST_GROSS_MARGIN","FQ3 2020","FQ3 2020","Currency=USD","Period=FQ","BEST_FPERIOD_OVERRIDE=FQ","FILING_STATUS=MR","Sort=A","Dates=H","DateFormat=P","Fill=—","Direction=H","UseDPDF=Y")</f>
        <v>85.85</v>
      </c>
      <c r="I35" s="14">
        <f>_xll.BDH("GILD US Equity","BEST_GROSS_MARGIN","FQ4 2020","FQ4 2020","Currency=USD","Period=FQ","BEST_FPERIOD_OVERRIDE=FQ","FILING_STATUS=MR","Sort=A","Dates=H","DateFormat=P","Fill=—","Direction=H","UseDPDF=Y")</f>
        <v>86.679000000000002</v>
      </c>
      <c r="J35" s="14">
        <f>_xll.BDH("GILD US Equity","BEST_GROSS_MARGIN","FQ1 2021","FQ1 2021","Currency=USD","Period=FQ","BEST_FPERIOD_OVERRIDE=FQ","FILING_STATUS=MR","Sort=A","Dates=H","DateFormat=P","Fill=—","Direction=H","UseDPDF=Y")</f>
        <v>87.260999999999996</v>
      </c>
      <c r="K35" s="14">
        <f>_xll.BDH("GILD US Equity","BEST_GROSS_MARGIN","FQ2 2021","FQ2 2021","Currency=USD","Period=FQ","BEST_FPERIOD_OVERRIDE=FQ","FILING_STATUS=MR","Sort=A","Dates=H","DateFormat=P","Fill=—","Direction=H","UseDPDF=Y")</f>
        <v>87.643000000000001</v>
      </c>
      <c r="L35" s="14">
        <f>_xll.BDH("GILD US Equity","BEST_GROSS_MARGIN","FQ3 2021","FQ3 2021","Currency=USD","Period=FQ","BEST_FPERIOD_OVERRIDE=FQ","FILING_STATUS=MR","Sort=A","Dates=H","DateFormat=P","Fill=—","Direction=H","UseDPDF=Y")</f>
        <v>86.941999999999993</v>
      </c>
      <c r="M35" s="14">
        <f>_xll.BDH("GILD US Equity","BEST_GROSS_MARGIN","FQ4 2021","FQ4 2021","Currency=USD","Period=FQ","BEST_FPERIOD_OVERRIDE=FQ","FILING_STATUS=MR","Sort=A","Dates=H","DateFormat=P","Fill=—","Direction=H","UseDPDF=Y")</f>
        <v>86.21</v>
      </c>
      <c r="N35" s="14">
        <f>_xll.BDH("GILD US Equity","BEST_GROSS_MARGIN","FQ1 2022","FQ1 2022","Currency=USD","Period=FQ","BEST_FPERIOD_OVERRIDE=FQ","FILING_STATUS=MR","Sort=A","Dates=H","DateFormat=P","Fill=—","Direction=H","UseDPDF=Y")</f>
        <v>85.457999999999998</v>
      </c>
      <c r="O35" s="14">
        <f>_xll.BDH("GILD US Equity","BEST_GROSS_MARGIN","FQ2 2022","FQ2 2022","Currency=USD","Period=FQ","BEST_FPERIOD_OVERRIDE=FQ","FILING_STATUS=MR","Sort=A","Dates=H","DateFormat=P","Fill=—","Direction=H","UseDPDF=Y")</f>
        <v>85.323999999999998</v>
      </c>
      <c r="P35" s="14">
        <f>_xll.BDH("GILD US Equity","BEST_GROSS_MARGIN","FQ3 2022","FQ3 2022","Currency=USD","Period=FQ","BEST_FPERIOD_OVERRIDE=FQ","FILING_STATUS=MR","Sort=A","Dates=H","DateFormat=P","Fill=—","Direction=H","UseDPDF=Y")</f>
        <v>85.305000000000007</v>
      </c>
      <c r="Q35" s="14">
        <f>_xll.BDH("GILD US Equity","BEST_GROSS_MARGIN","FQ4 2022","FQ4 2022","Currency=USD","Period=FQ","BEST_FPERIOD_OVERRIDE=FQ","FILING_STATUS=MR","Sort=A","Dates=H","DateFormat=P","Fill=—","Direction=H","UseDPDF=Y")</f>
        <v>85.186999999999998</v>
      </c>
      <c r="R35" s="14">
        <f>_xll.BDH("GILD US Equity","BEST_GROSS_MARGIN","FQ1 2023","FQ1 2023","Currency=USD","Period=FQ","BEST_FPERIOD_OVERRIDE=FQ","FILING_STATUS=MR","Sort=A","Dates=H","DateFormat=P","Fill=—","Direction=H","UseDPDF=Y")</f>
        <v>85.95</v>
      </c>
      <c r="S35" s="14">
        <f>_xll.BDH("GILD US Equity","BEST_GROSS_MARGIN","FQ2 2023","FQ2 2023","Currency=USD","Period=FQ","BEST_FPERIOD_OVERRIDE=FQ","FILING_STATUS=MR","Sort=A","Dates=H","DateFormat=P","Fill=—","Direction=H","UseDPDF=Y")</f>
        <v>85.838999999999999</v>
      </c>
      <c r="T35" s="14">
        <f>_xll.BDH("GILD US Equity","BEST_GROSS_MARGIN","FQ3 2023","FQ3 2023","Currency=USD","Period=FQ","BEST_FPERIOD_OVERRIDE=FQ","FILING_STATUS=MR","Sort=A","Dates=H","DateFormat=P","Fill=—","Direction=H","UseDPDF=Y")</f>
        <v>85.930999999999997</v>
      </c>
      <c r="U35" s="14">
        <f>_xll.BDH("GILD US Equity","BEST_GROSS_MARGIN","FQ4 2023","FQ4 2023","Currency=USD","Period=FQ","BEST_FPERIOD_OVERRIDE=FQ","FILING_STATUS=MR","Sort=A","Dates=H","DateFormat=P","Fill=—","Direction=H","UseDPDF=Y")</f>
        <v>85.634</v>
      </c>
      <c r="V35" s="14">
        <f>_xll.BDH("GILD US Equity","BEST_GROSS_MARGIN","FQ1 2024","FQ1 2024","Currency=USD","Period=FQ","BEST_FPERIOD_OVERRIDE=FQ","FILING_STATUS=MR","Sort=A","Dates=H","DateFormat=P","Fill=—","Direction=H","UseDPDF=Y")</f>
        <v>85.73</v>
      </c>
      <c r="W35" s="14">
        <f>_xll.BDH("GILD US Equity","BEST_GROSS_MARGIN","FQ2 2024","FQ2 2024","Currency=USD","Period=FQ","BEST_FPERIOD_OVERRIDE=FQ","FILING_STATUS=MR","Sort=A","Dates=H","DateFormat=P","Fill=—","Direction=H","UseDPDF=Y")</f>
        <v>85.596999999999994</v>
      </c>
      <c r="X35" s="14">
        <f>_xll.BDH("GILD US Equity","BEST_GROSS_MARGIN","FQ3 2024","FQ3 2024","Currency=USD","Period=FQ","BEST_FPERIOD_OVERRIDE=FQ","FILING_STATUS=MR","Sort=A","Dates=H","DateFormat=P","Fill=—","Direction=H","UseDPDF=Y")</f>
        <v>85.43</v>
      </c>
      <c r="Y35" s="14">
        <f>_xll.BDH("GILD US Equity","BEST_GROSS_MARGIN","FQ4 2024","FQ4 2024","Currency=USD","Period=FQ","BEST_FPERIOD_OVERRIDE=FQ","FILING_STATUS=MR","Sort=A","Dates=H","DateFormat=P","Fill=—","Direction=H","UseDPDF=Y")</f>
        <v>85.933999999999997</v>
      </c>
      <c r="Z35" s="14">
        <v>85.647999999999996</v>
      </c>
      <c r="AA35" s="14">
        <v>85.683000000000007</v>
      </c>
    </row>
    <row r="36" spans="1:27" x14ac:dyDescent="0.25">
      <c r="A36" s="10" t="s">
        <v>132</v>
      </c>
      <c r="B36" s="10" t="s">
        <v>151</v>
      </c>
      <c r="C36" s="13">
        <f>_xll.BDH("GILD US Equity","IS_COMP_GROSS_MARGIN_PERCENTAGE","FQ2 2019","FQ2 2019","Currency=USD","Period=FQ","BEST_FPERIOD_OVERRIDE=FQ","FILING_STATUS=MR","Sort=A","Dates=H","DateFormat=P","Fill=—","Direction=H","UseDPDF=Y")</f>
        <v>87.3</v>
      </c>
      <c r="D36" s="13">
        <f>_xll.BDH("GILD US Equity","IS_COMP_GROSS_MARGIN_PERCENTAGE","FQ3 2019","FQ3 2019","Currency=USD","Period=FQ","BEST_FPERIOD_OVERRIDE=FQ","FILING_STATUS=MR","Sort=A","Dates=H","DateFormat=P","Fill=—","Direction=H","UseDPDF=Y")</f>
        <v>86.2</v>
      </c>
      <c r="E36" s="13">
        <f>_xll.BDH("GILD US Equity","IS_COMP_GROSS_MARGIN_PERCENTAGE","FQ4 2019","FQ4 2019","Currency=USD","Period=FQ","BEST_FPERIOD_OVERRIDE=FQ","FILING_STATUS=MR","Sort=A","Dates=H","DateFormat=P","Fill=—","Direction=H","UseDPDF=Y")</f>
        <v>75.7</v>
      </c>
      <c r="F36" s="13">
        <f>_xll.BDH("GILD US Equity","IS_COMP_GROSS_MARGIN_PERCENTAGE","FQ1 2020","FQ1 2020","Currency=USD","Period=FQ","BEST_FPERIOD_OVERRIDE=FQ","FILING_STATUS=MR","Sort=A","Dates=H","DateFormat=P","Fill=—","Direction=H","UseDPDF=Y")</f>
        <v>87.1</v>
      </c>
      <c r="G36" s="13">
        <f>_xll.BDH("GILD US Equity","IS_COMP_GROSS_MARGIN_PERCENTAGE","FQ2 2020","FQ2 2020","Currency=USD","Period=FQ","BEST_FPERIOD_OVERRIDE=FQ","FILING_STATUS=MR","Sort=A","Dates=H","DateFormat=P","Fill=—","Direction=H","UseDPDF=Y")</f>
        <v>84.3</v>
      </c>
      <c r="H36" s="13">
        <f>_xll.BDH("GILD US Equity","IS_COMP_GROSS_MARGIN_PERCENTAGE","FQ3 2020","FQ3 2020","Currency=USD","Period=FQ","BEST_FPERIOD_OVERRIDE=FQ","FILING_STATUS=MR","Sort=A","Dates=H","DateFormat=P","Fill=—","Direction=H","UseDPDF=Y")</f>
        <v>86.5</v>
      </c>
      <c r="I36" s="13">
        <f>_xll.BDH("GILD US Equity","IS_COMP_GROSS_MARGIN_PERCENTAGE","FQ4 2020","FQ4 2020","Currency=USD","Period=FQ","BEST_FPERIOD_OVERRIDE=FQ","FILING_STATUS=MR","Sort=A","Dates=H","DateFormat=P","Fill=—","Direction=H","UseDPDF=Y")</f>
        <v>87.5</v>
      </c>
      <c r="J36" s="13">
        <f>_xll.BDH("GILD US Equity","IS_COMP_GROSS_MARGIN_PERCENTAGE","FQ1 2021","FQ1 2021","Currency=USD","Period=FQ","BEST_FPERIOD_OVERRIDE=FQ","FILING_STATUS=MR","Sort=A","Dates=H","DateFormat=P","Fill=—","Direction=H","UseDPDF=Y")</f>
        <v>86.5</v>
      </c>
      <c r="K36" s="13">
        <f>_xll.BDH("GILD US Equity","IS_COMP_GROSS_MARGIN_PERCENTAGE","FQ2 2021","FQ2 2021","Currency=USD","Period=FQ","BEST_FPERIOD_OVERRIDE=FQ","FILING_STATUS=MR","Sort=A","Dates=H","DateFormat=P","Fill=—","Direction=H","UseDPDF=Y")</f>
        <v>86.4</v>
      </c>
      <c r="L36" s="13">
        <f>_xll.BDH("GILD US Equity","IS_COMP_GROSS_MARGIN_PERCENTAGE","FQ3 2021","FQ3 2021","Currency=USD","Period=FQ","BEST_FPERIOD_OVERRIDE=FQ","FILING_STATUS=MR","Sort=A","Dates=H","DateFormat=P","Fill=—","Direction=H","UseDPDF=Y")</f>
        <v>90</v>
      </c>
      <c r="M36" s="13">
        <f>_xll.BDH("GILD US Equity","IS_COMP_GROSS_MARGIN_PERCENTAGE","FQ4 2021","FQ4 2021","Currency=USD","Period=FQ","BEST_FPERIOD_OVERRIDE=FQ","FILING_STATUS=MR","Sort=A","Dates=H","DateFormat=P","Fill=—","Direction=H","UseDPDF=Y")</f>
        <v>70.5</v>
      </c>
      <c r="N36" s="13">
        <f>_xll.BDH("GILD US Equity","IS_COMP_GROSS_MARGIN_PERCENTAGE","FQ1 2022","FQ1 2022","Currency=USD","Period=FQ","BEST_FPERIOD_OVERRIDE=FQ","FILING_STATUS=MR","Sort=A","Dates=H","DateFormat=P","Fill=—","Direction=H","UseDPDF=Y")</f>
        <v>87.4</v>
      </c>
      <c r="O36" s="13">
        <f>_xll.BDH("GILD US Equity","IS_COMP_GROSS_MARGIN_PERCENTAGE","FQ2 2022","FQ2 2022","Currency=USD","Period=FQ","BEST_FPERIOD_OVERRIDE=FQ","FILING_STATUS=MR","Sort=A","Dates=H","DateFormat=P","Fill=—","Direction=H","UseDPDF=Y")</f>
        <v>85.6</v>
      </c>
      <c r="P36" s="13">
        <f>_xll.BDH("GILD US Equity","IS_COMP_GROSS_MARGIN_PERCENTAGE","FQ3 2022","FQ3 2022","Currency=USD","Period=FQ","BEST_FPERIOD_OVERRIDE=FQ","FILING_STATUS=MR","Sort=A","Dates=H","DateFormat=P","Fill=—","Direction=H","UseDPDF=Y")</f>
        <v>86.8</v>
      </c>
      <c r="Q36" s="13">
        <f>_xll.BDH("GILD US Equity","IS_COMP_GROSS_MARGIN_PERCENTAGE","FQ4 2022","FQ4 2022","Currency=USD","Period=FQ","BEST_FPERIOD_OVERRIDE=FQ","FILING_STATUS=MR","Sort=A","Dates=H","DateFormat=P","Fill=—","Direction=H","UseDPDF=Y")</f>
        <v>86.8</v>
      </c>
      <c r="R36" s="13">
        <f>_xll.BDH("GILD US Equity","IS_COMP_GROSS_MARGIN_PERCENTAGE","FQ1 2023","FQ1 2023","Currency=USD","Period=FQ","BEST_FPERIOD_OVERRIDE=FQ","FILING_STATUS=MR","Sort=A","Dates=H","DateFormat=P","Fill=—","Direction=H","UseDPDF=Y")</f>
        <v>86.2</v>
      </c>
      <c r="S36" s="13">
        <f>_xll.BDH("GILD US Equity","IS_COMP_GROSS_MARGIN_PERCENTAGE","FQ2 2023","FQ2 2023","Currency=USD","Period=FQ","BEST_FPERIOD_OVERRIDE=FQ","FILING_STATUS=MR","Sort=A","Dates=H","DateFormat=P","Fill=—","Direction=H","UseDPDF=Y")</f>
        <v>86.9</v>
      </c>
      <c r="T36" s="13">
        <f>_xll.BDH("GILD US Equity","IS_COMP_GROSS_MARGIN_PERCENTAGE","FQ3 2023","FQ3 2023","Currency=USD","Period=FQ","BEST_FPERIOD_OVERRIDE=FQ","FILING_STATUS=MR","Sort=A","Dates=H","DateFormat=P","Fill=—","Direction=H","UseDPDF=Y")</f>
        <v>85.9</v>
      </c>
      <c r="U36" s="13">
        <f>_xll.BDH("GILD US Equity","IS_COMP_GROSS_MARGIN_PERCENTAGE","FQ4 2023","FQ4 2023","Currency=USD","Period=FQ","BEST_FPERIOD_OVERRIDE=FQ","FILING_STATUS=MR","Sort=A","Dates=H","DateFormat=P","Fill=—","Direction=H","UseDPDF=Y")</f>
        <v>86.1</v>
      </c>
      <c r="V36" s="13">
        <f>_xll.BDH("GILD US Equity","IS_COMP_GROSS_MARGIN_PERCENTAGE","FQ1 2024","FQ1 2024","Currency=USD","Period=FQ","BEST_FPERIOD_OVERRIDE=FQ","FILING_STATUS=MR","Sort=A","Dates=H","DateFormat=P","Fill=—","Direction=H","UseDPDF=Y")</f>
        <v>85.4</v>
      </c>
      <c r="W36" s="13">
        <f>_xll.BDH("GILD US Equity","IS_COMP_GROSS_MARGIN_PERCENTAGE","FQ2 2024","FQ2 2024","Currency=USD","Period=FQ","BEST_FPERIOD_OVERRIDE=FQ","FILING_STATUS=MR","Sort=A","Dates=H","DateFormat=P","Fill=—","Direction=H","UseDPDF=Y")</f>
        <v>86</v>
      </c>
      <c r="X36" s="13">
        <f>_xll.BDH("GILD US Equity","IS_COMP_GROSS_MARGIN_PERCENTAGE","FQ3 2024","FQ3 2024","Currency=USD","Period=FQ","BEST_FPERIOD_OVERRIDE=FQ","FILING_STATUS=MR","Sort=A","Dates=H","DateFormat=P","Fill=—","Direction=H","UseDPDF=Y")</f>
        <v>86.8</v>
      </c>
      <c r="Y36" s="13">
        <f>_xll.BDH("GILD US Equity","IS_COMP_GROSS_MARGIN_PERCENTAGE","FQ4 2024","FQ4 2024","Currency=USD","Period=FQ","BEST_FPERIOD_OVERRIDE=FQ","FILING_STATUS=MR","Sort=A","Dates=H","DateFormat=P","Fill=—","Direction=H","UseDPDF=Y")</f>
        <v>86.7</v>
      </c>
      <c r="Z36" s="13"/>
      <c r="AA36" s="13"/>
    </row>
    <row r="37" spans="1:27" x14ac:dyDescent="0.25">
      <c r="A37" s="11" t="s">
        <v>152</v>
      </c>
      <c r="B37" s="11"/>
      <c r="C37" s="25">
        <v>1.7636704862041901</v>
      </c>
      <c r="D37" s="25">
        <v>-0.13323292591090199</v>
      </c>
      <c r="E37" s="25">
        <v>-10.847828903204499</v>
      </c>
      <c r="F37" s="25">
        <v>1.3144120041875</v>
      </c>
      <c r="G37" s="25">
        <v>-1.95166205308334</v>
      </c>
      <c r="H37" s="25">
        <v>0.75713453698311695</v>
      </c>
      <c r="I37" s="25">
        <v>0.94717290231774498</v>
      </c>
      <c r="J37" s="25">
        <v>-0.87209635461431301</v>
      </c>
      <c r="K37" s="25">
        <v>-1.4182535969786501</v>
      </c>
      <c r="L37" s="25">
        <v>3.5172873869936399</v>
      </c>
      <c r="M37" s="25">
        <v>-18.2229439740169</v>
      </c>
      <c r="N37" s="25">
        <v>2.2724613260315101</v>
      </c>
      <c r="O37" s="25">
        <v>0.32347287984622902</v>
      </c>
      <c r="P37" s="25">
        <v>1.75253502139381</v>
      </c>
      <c r="Q37" s="25">
        <v>1.89348139974409</v>
      </c>
      <c r="R37" s="25">
        <v>0.29086678301337998</v>
      </c>
      <c r="S37" s="25">
        <v>1.23603490255013</v>
      </c>
      <c r="T37" s="25">
        <v>-3.6075455889017602E-2</v>
      </c>
      <c r="U37" s="25">
        <v>0.54417637854122702</v>
      </c>
      <c r="V37" s="25">
        <v>-0.38492942960456999</v>
      </c>
      <c r="W37" s="25">
        <v>0.47081089290513201</v>
      </c>
      <c r="X37" s="25">
        <v>1.60365211284091</v>
      </c>
      <c r="Y37" s="25">
        <v>0.89138175809342701</v>
      </c>
      <c r="Z37" s="25"/>
      <c r="AA37" s="25"/>
    </row>
    <row r="38" spans="1:27" x14ac:dyDescent="0.25">
      <c r="A38" s="10" t="s">
        <v>135</v>
      </c>
      <c r="B38" s="10" t="s">
        <v>153</v>
      </c>
      <c r="C38" s="13">
        <f>_xll.BDH("GILD US Equity","GROSS_MARGIN","FQ2 2019","FQ2 2019","Currency=USD","Period=FQ","BEST_FPERIOD_OVERRIDE=FQ","FILING_STATUS=MR","FA_ADJUSTED=GAAP","Sort=A","Dates=H","DateFormat=P","Fill=—","Direction=H","UseDPDF=Y")</f>
        <v>82.409899999999993</v>
      </c>
      <c r="D38" s="13">
        <f>_xll.BDH("GILD US Equity","GROSS_MARGIN","FQ3 2019","FQ3 2019","Currency=USD","Period=FQ","BEST_FPERIOD_OVERRIDE=FQ","FILING_STATUS=MR","FA_ADJUSTED=GAAP","Sort=A","Dates=H","DateFormat=P","Fill=—","Direction=H","UseDPDF=Y")</f>
        <v>81.531000000000006</v>
      </c>
      <c r="E38" s="13">
        <f>_xll.BDH("GILD US Equity","GROSS_MARGIN","FQ4 2019","FQ4 2019","Currency=USD","Period=FQ","BEST_FPERIOD_OVERRIDE=FQ","FILING_STATUS=MR","FA_ADJUSTED=GAAP","Sort=A","Dates=H","DateFormat=P","Fill=—","Direction=H","UseDPDF=Y")</f>
        <v>71.372699999999995</v>
      </c>
      <c r="F38" s="13">
        <f>_xll.BDH("GILD US Equity","GROSS_MARGIN","FQ1 2020","FQ1 2020","Currency=USD","Period=FQ","BEST_FPERIOD_OVERRIDE=FQ","FILING_STATUS=MR","FA_ADJUSTED=GAAP","Sort=A","Dates=H","DateFormat=P","Fill=—","Direction=H","UseDPDF=Y")</f>
        <v>82.534199999999998</v>
      </c>
      <c r="G38" s="13">
        <f>_xll.BDH("GILD US Equity","GROSS_MARGIN","FQ2 2020","FQ2 2020","Currency=USD","Period=FQ","BEST_FPERIOD_OVERRIDE=FQ","FILING_STATUS=MR","FA_ADJUSTED=GAAP","Sort=A","Dates=H","DateFormat=P","Fill=—","Direction=H","UseDPDF=Y")</f>
        <v>79.311700000000002</v>
      </c>
      <c r="H38" s="13">
        <f>_xll.BDH("GILD US Equity","GROSS_MARGIN","FQ3 2020","FQ3 2020","Currency=USD","Period=FQ","BEST_FPERIOD_OVERRIDE=FQ","FILING_STATUS=MR","FA_ADJUSTED=GAAP","Sort=A","Dates=H","DateFormat=P","Fill=—","Direction=H","UseDPDF=Y")</f>
        <v>82.651700000000005</v>
      </c>
      <c r="I38" s="13">
        <f>_xll.BDH("GILD US Equity","GROSS_MARGIN","FQ4 2020","FQ4 2020","Currency=USD","Period=FQ","BEST_FPERIOD_OVERRIDE=FQ","FILING_STATUS=MR","FA_ADJUSTED=GAAP","Sort=A","Dates=H","DateFormat=P","Fill=—","Direction=H","UseDPDF=Y")</f>
        <v>81.161600000000007</v>
      </c>
      <c r="J38" s="13">
        <f>_xll.BDH("GILD US Equity","GROSS_MARGIN","FQ1 2021","FQ1 2021","Currency=USD","Period=FQ","BEST_FPERIOD_OVERRIDE=FQ","FILING_STATUS=MR","FA_ADJUSTED=GAAP","Sort=A","Dates=H","DateFormat=P","Fill=—","Direction=H","UseDPDF=Y")</f>
        <v>78.810500000000005</v>
      </c>
      <c r="K38" s="13">
        <f>_xll.BDH("GILD US Equity","GROSS_MARGIN","FQ2 2021","FQ2 2021","Currency=USD","Period=FQ","BEST_FPERIOD_OVERRIDE=FQ","FILING_STATUS=MR","FA_ADJUSTED=GAAP","Sort=A","Dates=H","DateFormat=P","Fill=—","Direction=H","UseDPDF=Y")</f>
        <v>77.641900000000007</v>
      </c>
      <c r="L38" s="13">
        <f>_xll.BDH("GILD US Equity","GROSS_MARGIN","FQ3 2021","FQ3 2021","Currency=USD","Period=FQ","BEST_FPERIOD_OVERRIDE=FQ","FILING_STATUS=MR","FA_ADJUSTED=GAAP","Sort=A","Dates=H","DateFormat=P","Fill=—","Direction=H","UseDPDF=Y")</f>
        <v>83.5197</v>
      </c>
      <c r="M38" s="13">
        <f>_xll.BDH("GILD US Equity","GROSS_MARGIN","FQ4 2021","FQ4 2021","Currency=USD","Period=FQ","BEST_FPERIOD_OVERRIDE=FQ","FILING_STATUS=MR","FA_ADJUSTED=GAAP","Sort=A","Dates=H","DateFormat=P","Fill=—","Direction=H","UseDPDF=Y")</f>
        <v>63.735500000000002</v>
      </c>
      <c r="N38" s="13">
        <f>_xll.BDH("GILD US Equity","GROSS_MARGIN","FQ1 2022","FQ1 2022","Currency=USD","Period=FQ","BEST_FPERIOD_OVERRIDE=FQ","FILING_STATUS=MR","FA_ADJUSTED=GAAP","Sort=A","Dates=H","DateFormat=P","Fill=—","Direction=H","UseDPDF=Y")</f>
        <v>78.391499999999994</v>
      </c>
      <c r="O38" s="13">
        <f>_xll.BDH("GILD US Equity","GROSS_MARGIN","FQ2 2022","FQ2 2022","Currency=USD","Period=FQ","BEST_FPERIOD_OVERRIDE=FQ","FILING_STATUS=MR","FA_ADJUSTED=GAAP","Sort=A","Dates=H","DateFormat=P","Fill=—","Direction=H","UseDPDF=Y")</f>
        <v>76.9649</v>
      </c>
      <c r="P38" s="13">
        <f>_xll.BDH("GILD US Equity","GROSS_MARGIN","FQ3 2022","FQ3 2022","Currency=USD","Period=FQ","BEST_FPERIOD_OVERRIDE=FQ","FILING_STATUS=MR","FA_ADJUSTED=GAAP","Sort=A","Dates=H","DateFormat=P","Fill=—","Direction=H","UseDPDF=Y")</f>
        <v>80.190299999999993</v>
      </c>
      <c r="Q38" s="13">
        <f>_xll.BDH("GILD US Equity","GROSS_MARGIN","FQ4 2022","FQ4 2022","Currency=USD","Period=FQ","BEST_FPERIOD_OVERRIDE=FQ","FILING_STATUS=MR","FA_ADJUSTED=GAAP","Sort=A","Dates=H","DateFormat=P","Fill=—","Direction=H","UseDPDF=Y")</f>
        <v>81.107100000000003</v>
      </c>
      <c r="R38" s="13">
        <f>_xll.BDH("GILD US Equity","GROSS_MARGIN","FQ1 2023","FQ1 2023","Currency=USD","Period=FQ","BEST_FPERIOD_OVERRIDE=FQ","FILING_STATUS=MR","FA_ADJUSTED=GAAP","Sort=A","Dates=H","DateFormat=P","Fill=—","Direction=H","UseDPDF=Y")</f>
        <v>77.944000000000003</v>
      </c>
      <c r="S38" s="13">
        <f>_xll.BDH("GILD US Equity","GROSS_MARGIN","FQ2 2023","FQ2 2023","Currency=USD","Period=FQ","BEST_FPERIOD_OVERRIDE=FQ","FILING_STATUS=MR","FA_ADJUSTED=GAAP","Sort=A","Dates=H","DateFormat=P","Fill=—","Direction=H","UseDPDF=Y")</f>
        <v>78.148200000000003</v>
      </c>
      <c r="T38" s="13">
        <f>_xll.BDH("GILD US Equity","GROSS_MARGIN","FQ3 2023","FQ3 2023","Currency=USD","Period=FQ","BEST_FPERIOD_OVERRIDE=FQ","FILING_STATUS=MR","FA_ADJUSTED=GAAP","Sort=A","Dates=H","DateFormat=P","Fill=—","Direction=H","UseDPDF=Y")</f>
        <v>77.804599999999994</v>
      </c>
      <c r="U38" s="13">
        <f>_xll.BDH("GILD US Equity","GROSS_MARGIN","FQ4 2023","FQ4 2023","Currency=USD","Period=FQ","BEST_FPERIOD_OVERRIDE=FQ","FILING_STATUS=MR","FA_ADJUSTED=GAAP","Sort=A","Dates=H","DateFormat=P","Fill=—","Direction=H","UseDPDF=Y")</f>
        <v>70.625399999999999</v>
      </c>
      <c r="V38" s="13">
        <f>_xll.BDH("GILD US Equity","GROSS_MARGIN","FQ1 2024","FQ1 2024","Currency=USD","Period=FQ","BEST_FPERIOD_OVERRIDE=FQ","FILING_STATUS=MR","FA_ADJUSTED=GAAP","Sort=A","Dates=H","DateFormat=P","Fill=—","Direction=H","UseDPDF=Y")</f>
        <v>76.787300000000002</v>
      </c>
      <c r="W38" s="13">
        <f>_xll.BDH("GILD US Equity","GROSS_MARGIN","FQ2 2024","FQ2 2024","Currency=USD","Period=FQ","BEST_FPERIOD_OVERRIDE=FQ","FILING_STATUS=MR","FA_ADJUSTED=GAAP","Sort=A","Dates=H","DateFormat=P","Fill=—","Direction=H","UseDPDF=Y")</f>
        <v>77.793800000000005</v>
      </c>
      <c r="X38" s="13">
        <f>_xll.BDH("GILD US Equity","GROSS_MARGIN","FQ3 2024","FQ3 2024","Currency=USD","Period=FQ","BEST_FPERIOD_OVERRIDE=FQ","FILING_STATUS=MR","FA_ADJUSTED=GAAP","Sort=A","Dates=H","DateFormat=P","Fill=—","Direction=H","UseDPDF=Y")</f>
        <v>79.138499999999993</v>
      </c>
      <c r="Y38" s="13">
        <f>_xll.BDH("GILD US Equity","GROSS_MARGIN","FQ4 2024","FQ4 2024","Currency=USD","Period=FQ","BEST_FPERIOD_OVERRIDE=FQ","FILING_STATUS=MR","FA_ADJUSTED=GAAP","Sort=A","Dates=H","DateFormat=P","Fill=—","Direction=H","UseDPDF=Y")</f>
        <v>79.112200000000001</v>
      </c>
      <c r="Z38" s="13"/>
      <c r="AA38" s="13"/>
    </row>
    <row r="39" spans="1:27" x14ac:dyDescent="0.25">
      <c r="A39" s="10" t="s">
        <v>136</v>
      </c>
      <c r="B39" s="10" t="s">
        <v>153</v>
      </c>
      <c r="C39" s="13">
        <f>_xll.BDH("GILD US Equity","GROSS_MARGIN","FQ2 2019","FQ2 2019","Currency=USD","Period=FQ","BEST_FPERIOD_OVERRIDE=FQ","FILING_STATUS=MR","FA_ADJUSTED=Adjusted","Sort=A","Dates=H","DateFormat=P","Fill=—","Direction=H","UseDPDF=Y")</f>
        <v>82.409899999999993</v>
      </c>
      <c r="D39" s="13">
        <f>_xll.BDH("GILD US Equity","GROSS_MARGIN","FQ3 2019","FQ3 2019","Currency=USD","Period=FQ","BEST_FPERIOD_OVERRIDE=FQ","FILING_STATUS=MR","FA_ADJUSTED=Adjusted","Sort=A","Dates=H","DateFormat=P","Fill=—","Direction=H","UseDPDF=Y")</f>
        <v>81.531000000000006</v>
      </c>
      <c r="E39" s="13">
        <f>_xll.BDH("GILD US Equity","GROSS_MARGIN","FQ4 2019","FQ4 2019","Currency=USD","Period=FQ","BEST_FPERIOD_OVERRIDE=FQ","FILING_STATUS=MR","FA_ADJUSTED=Adjusted","Sort=A","Dates=H","DateFormat=P","Fill=—","Direction=H","UseDPDF=Y")</f>
        <v>71.372699999999995</v>
      </c>
      <c r="F39" s="13">
        <f>_xll.BDH("GILD US Equity","GROSS_MARGIN","FQ1 2020","FQ1 2020","Currency=USD","Period=FQ","BEST_FPERIOD_OVERRIDE=FQ","FILING_STATUS=MR","FA_ADJUSTED=Adjusted","Sort=A","Dates=H","DateFormat=P","Fill=—","Direction=H","UseDPDF=Y")</f>
        <v>82.534199999999998</v>
      </c>
      <c r="G39" s="13">
        <f>_xll.BDH("GILD US Equity","GROSS_MARGIN","FQ2 2020","FQ2 2020","Currency=USD","Period=FQ","BEST_FPERIOD_OVERRIDE=FQ","FILING_STATUS=MR","FA_ADJUSTED=Adjusted","Sort=A","Dates=H","DateFormat=P","Fill=—","Direction=H","UseDPDF=Y")</f>
        <v>79.311700000000002</v>
      </c>
      <c r="H39" s="13">
        <f>_xll.BDH("GILD US Equity","GROSS_MARGIN","FQ3 2020","FQ3 2020","Currency=USD","Period=FQ","BEST_FPERIOD_OVERRIDE=FQ","FILING_STATUS=MR","FA_ADJUSTED=Adjusted","Sort=A","Dates=H","DateFormat=P","Fill=—","Direction=H","UseDPDF=Y")</f>
        <v>82.651700000000005</v>
      </c>
      <c r="I39" s="13">
        <f>_xll.BDH("GILD US Equity","GROSS_MARGIN","FQ4 2020","FQ4 2020","Currency=USD","Period=FQ","BEST_FPERIOD_OVERRIDE=FQ","FILING_STATUS=MR","FA_ADJUSTED=Adjusted","Sort=A","Dates=H","DateFormat=P","Fill=—","Direction=H","UseDPDF=Y")</f>
        <v>81.161600000000007</v>
      </c>
      <c r="J39" s="13">
        <f>_xll.BDH("GILD US Equity","GROSS_MARGIN","FQ1 2021","FQ1 2021","Currency=USD","Period=FQ","BEST_FPERIOD_OVERRIDE=FQ","FILING_STATUS=MR","FA_ADJUSTED=Adjusted","Sort=A","Dates=H","DateFormat=P","Fill=—","Direction=H","UseDPDF=Y")</f>
        <v>78.810500000000005</v>
      </c>
      <c r="K39" s="13">
        <f>_xll.BDH("GILD US Equity","GROSS_MARGIN","FQ2 2021","FQ2 2021","Currency=USD","Period=FQ","BEST_FPERIOD_OVERRIDE=FQ","FILING_STATUS=MR","FA_ADJUSTED=Adjusted","Sort=A","Dates=H","DateFormat=P","Fill=—","Direction=H","UseDPDF=Y")</f>
        <v>77.641900000000007</v>
      </c>
      <c r="L39" s="13">
        <f>_xll.BDH("GILD US Equity","GROSS_MARGIN","FQ3 2021","FQ3 2021","Currency=USD","Period=FQ","BEST_FPERIOD_OVERRIDE=FQ","FILING_STATUS=MR","FA_ADJUSTED=Adjusted","Sort=A","Dates=H","DateFormat=P","Fill=—","Direction=H","UseDPDF=Y")</f>
        <v>83.5197</v>
      </c>
      <c r="M39" s="13">
        <f>_xll.BDH("GILD US Equity","GROSS_MARGIN","FQ4 2021","FQ4 2021","Currency=USD","Period=FQ","BEST_FPERIOD_OVERRIDE=FQ","FILING_STATUS=MR","FA_ADJUSTED=Adjusted","Sort=A","Dates=H","DateFormat=P","Fill=—","Direction=H","UseDPDF=Y")</f>
        <v>63.735500000000002</v>
      </c>
      <c r="N39" s="13">
        <f>_xll.BDH("GILD US Equity","GROSS_MARGIN","FQ1 2022","FQ1 2022","Currency=USD","Period=FQ","BEST_FPERIOD_OVERRIDE=FQ","FILING_STATUS=MR","FA_ADJUSTED=Adjusted","Sort=A","Dates=H","DateFormat=P","Fill=—","Direction=H","UseDPDF=Y")</f>
        <v>78.391499999999994</v>
      </c>
      <c r="O39" s="13">
        <f>_xll.BDH("GILD US Equity","GROSS_MARGIN","FQ2 2022","FQ2 2022","Currency=USD","Period=FQ","BEST_FPERIOD_OVERRIDE=FQ","FILING_STATUS=MR","FA_ADJUSTED=Adjusted","Sort=A","Dates=H","DateFormat=P","Fill=—","Direction=H","UseDPDF=Y")</f>
        <v>76.9649</v>
      </c>
      <c r="P39" s="13">
        <f>_xll.BDH("GILD US Equity","GROSS_MARGIN","FQ3 2022","FQ3 2022","Currency=USD","Period=FQ","BEST_FPERIOD_OVERRIDE=FQ","FILING_STATUS=MR","FA_ADJUSTED=Adjusted","Sort=A","Dates=H","DateFormat=P","Fill=—","Direction=H","UseDPDF=Y")</f>
        <v>80.190299999999993</v>
      </c>
      <c r="Q39" s="13">
        <f>_xll.BDH("GILD US Equity","GROSS_MARGIN","FQ4 2022","FQ4 2022","Currency=USD","Period=FQ","BEST_FPERIOD_OVERRIDE=FQ","FILING_STATUS=MR","FA_ADJUSTED=Adjusted","Sort=A","Dates=H","DateFormat=P","Fill=—","Direction=H","UseDPDF=Y")</f>
        <v>81.107100000000003</v>
      </c>
      <c r="R39" s="13">
        <f>_xll.BDH("GILD US Equity","GROSS_MARGIN","FQ1 2023","FQ1 2023","Currency=USD","Period=FQ","BEST_FPERIOD_OVERRIDE=FQ","FILING_STATUS=MR","FA_ADJUSTED=Adjusted","Sort=A","Dates=H","DateFormat=P","Fill=—","Direction=H","UseDPDF=Y")</f>
        <v>77.944000000000003</v>
      </c>
      <c r="S39" s="13">
        <f>_xll.BDH("GILD US Equity","GROSS_MARGIN","FQ2 2023","FQ2 2023","Currency=USD","Period=FQ","BEST_FPERIOD_OVERRIDE=FQ","FILING_STATUS=MR","FA_ADJUSTED=Adjusted","Sort=A","Dates=H","DateFormat=P","Fill=—","Direction=H","UseDPDF=Y")</f>
        <v>78.148200000000003</v>
      </c>
      <c r="T39" s="13">
        <f>_xll.BDH("GILD US Equity","GROSS_MARGIN","FQ3 2023","FQ3 2023","Currency=USD","Period=FQ","BEST_FPERIOD_OVERRIDE=FQ","FILING_STATUS=MR","FA_ADJUSTED=Adjusted","Sort=A","Dates=H","DateFormat=P","Fill=—","Direction=H","UseDPDF=Y")</f>
        <v>77.804599999999994</v>
      </c>
      <c r="U39" s="13">
        <f>_xll.BDH("GILD US Equity","GROSS_MARGIN","FQ4 2023","FQ4 2023","Currency=USD","Period=FQ","BEST_FPERIOD_OVERRIDE=FQ","FILING_STATUS=MR","FA_ADJUSTED=Adjusted","Sort=A","Dates=H","DateFormat=P","Fill=—","Direction=H","UseDPDF=Y")</f>
        <v>76.640900000000002</v>
      </c>
      <c r="V39" s="13">
        <f>_xll.BDH("GILD US Equity","GROSS_MARGIN","FQ1 2024","FQ1 2024","Currency=USD","Period=FQ","BEST_FPERIOD_OVERRIDE=FQ","FILING_STATUS=MR","FA_ADJUSTED=Adjusted","Sort=A","Dates=H","DateFormat=P","Fill=—","Direction=H","UseDPDF=Y")</f>
        <v>76.787300000000002</v>
      </c>
      <c r="W39" s="13">
        <f>_xll.BDH("GILD US Equity","GROSS_MARGIN","FQ2 2024","FQ2 2024","Currency=USD","Period=FQ","BEST_FPERIOD_OVERRIDE=FQ","FILING_STATUS=MR","FA_ADJUSTED=Adjusted","Sort=A","Dates=H","DateFormat=P","Fill=—","Direction=H","UseDPDF=Y")</f>
        <v>77.793800000000005</v>
      </c>
      <c r="X39" s="13">
        <f>_xll.BDH("GILD US Equity","GROSS_MARGIN","FQ3 2024","FQ3 2024","Currency=USD","Period=FQ","BEST_FPERIOD_OVERRIDE=FQ","FILING_STATUS=MR","FA_ADJUSTED=Adjusted","Sort=A","Dates=H","DateFormat=P","Fill=—","Direction=H","UseDPDF=Y")</f>
        <v>79.138499999999993</v>
      </c>
      <c r="Y39" s="13">
        <f>_xll.BDH("GILD US Equity","GROSS_MARGIN","FQ4 2024","FQ4 2024","Currency=USD","Period=FQ","BEST_FPERIOD_OVERRIDE=FQ","FILING_STATUS=MR","FA_ADJUSTED=Adjusted","Sort=A","Dates=H","DateFormat=P","Fill=—","Direction=H","UseDPDF=Y")</f>
        <v>79.112200000000001</v>
      </c>
      <c r="Z39" s="13"/>
      <c r="AA39" s="13"/>
    </row>
    <row r="40" spans="1:27" x14ac:dyDescent="0.25">
      <c r="A40" s="10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5">
      <c r="A41" s="6" t="s">
        <v>154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x14ac:dyDescent="0.25">
      <c r="A42" s="10" t="s">
        <v>130</v>
      </c>
      <c r="B42" s="10" t="s">
        <v>155</v>
      </c>
      <c r="C42" s="13">
        <f>_xll.BDH("GILD US Equity","BEST_PTP","FQ2 2019","FQ2 2019","Currency=USD","Period=FQ","BEST_FPERIOD_OVERRIDE=FQ","FILING_STATUS=MR","Sort=A","Dates=H","DateFormat=P","Fill=—","Direction=H","UseDPDF=Y")</f>
        <v>2843.125</v>
      </c>
      <c r="D42" s="13">
        <f>_xll.BDH("GILD US Equity","BEST_PTP","FQ3 2019","FQ3 2019","Currency=USD","Period=FQ","BEST_FPERIOD_OVERRIDE=FQ","FILING_STATUS=MR","Sort=A","Dates=H","DateFormat=P","Fill=—","Direction=H","UseDPDF=Y")</f>
        <v>2872.2220000000002</v>
      </c>
      <c r="E42" s="13">
        <f>_xll.BDH("GILD US Equity","BEST_PTP","FQ4 2019","FQ4 2019","Currency=USD","Period=FQ","BEST_FPERIOD_OVERRIDE=FQ","FILING_STATUS=MR","Sort=A","Dates=H","DateFormat=P","Fill=—","Direction=H","UseDPDF=Y")</f>
        <v>2745.875</v>
      </c>
      <c r="F42" s="13">
        <f>_xll.BDH("GILD US Equity","BEST_PTP","FQ1 2020","FQ1 2020","Currency=USD","Period=FQ","BEST_FPERIOD_OVERRIDE=FQ","FILING_STATUS=MR","Sort=A","Dates=H","DateFormat=P","Fill=—","Direction=H","UseDPDF=Y")</f>
        <v>2597.3330000000001</v>
      </c>
      <c r="G42" s="13">
        <f>_xll.BDH("GILD US Equity","BEST_PTP","FQ2 2020","FQ2 2020","Currency=USD","Period=FQ","BEST_FPERIOD_OVERRIDE=FQ","FILING_STATUS=MR","Sort=A","Dates=H","DateFormat=P","Fill=—","Direction=H","UseDPDF=Y")</f>
        <v>2262.7269999999999</v>
      </c>
      <c r="H42" s="13">
        <f>_xll.BDH("GILD US Equity","BEST_PTP","FQ3 2020","FQ3 2020","Currency=USD","Period=FQ","BEST_FPERIOD_OVERRIDE=FQ","FILING_STATUS=MR","Sort=A","Dates=H","DateFormat=P","Fill=—","Direction=H","UseDPDF=Y")</f>
        <v>2872.2730000000001</v>
      </c>
      <c r="I42" s="13">
        <f>_xll.BDH("GILD US Equity","BEST_PTP","FQ4 2020","FQ4 2020","Currency=USD","Period=FQ","BEST_FPERIOD_OVERRIDE=FQ","FILING_STATUS=MR","Sort=A","Dates=H","DateFormat=P","Fill=—","Direction=H","UseDPDF=Y")</f>
        <v>3130.0709999999999</v>
      </c>
      <c r="J42" s="13">
        <f>_xll.BDH("GILD US Equity","BEST_PTP","FQ1 2021","FQ1 2021","Currency=USD","Period=FQ","BEST_FPERIOD_OVERRIDE=FQ","FILING_STATUS=MR","Sort=A","Dates=H","DateFormat=P","Fill=—","Direction=H","UseDPDF=Y")</f>
        <v>3296.7689999999998</v>
      </c>
      <c r="K42" s="13">
        <f>_xll.BDH("GILD US Equity","BEST_PTP","FQ2 2021","FQ2 2021","Currency=USD","Period=FQ","BEST_FPERIOD_OVERRIDE=FQ","FILING_STATUS=MR","Sort=A","Dates=H","DateFormat=P","Fill=—","Direction=H","UseDPDF=Y")</f>
        <v>2862.2310000000002</v>
      </c>
      <c r="L42" s="13">
        <f>_xll.BDH("GILD US Equity","BEST_PTP","FQ3 2021","FQ3 2021","Currency=USD","Period=FQ","BEST_FPERIOD_OVERRIDE=FQ","FILING_STATUS=MR","Sort=A","Dates=H","DateFormat=P","Fill=—","Direction=H","UseDPDF=Y")</f>
        <v>2918.4290000000001</v>
      </c>
      <c r="M42" s="13">
        <f>_xll.BDH("GILD US Equity","BEST_PTP","FQ4 2021","FQ4 2021","Currency=USD","Period=FQ","BEST_FPERIOD_OVERRIDE=FQ","FILING_STATUS=MR","Sort=A","Dates=H","DateFormat=P","Fill=—","Direction=H","UseDPDF=Y")</f>
        <v>2616</v>
      </c>
      <c r="N42" s="13">
        <f>_xll.BDH("GILD US Equity","BEST_PTP","FQ1 2022","FQ1 2022","Currency=USD","Period=FQ","BEST_FPERIOD_OVERRIDE=FQ","FILING_STATUS=MR","Sort=A","Dates=H","DateFormat=P","Fill=—","Direction=H","UseDPDF=Y")</f>
        <v>2793.4</v>
      </c>
      <c r="O42" s="13">
        <f>_xll.BDH("GILD US Equity","BEST_PTP","FQ2 2022","FQ2 2022","Currency=USD","Period=FQ","BEST_FPERIOD_OVERRIDE=FQ","FILING_STATUS=MR","Sort=A","Dates=H","DateFormat=P","Fill=—","Direction=H","UseDPDF=Y")</f>
        <v>2394.1880000000001</v>
      </c>
      <c r="P42" s="13">
        <f>_xll.BDH("GILD US Equity","BEST_PTP","FQ3 2022","FQ3 2022","Currency=USD","Period=FQ","BEST_FPERIOD_OVERRIDE=FQ","FILING_STATUS=MR","Sort=A","Dates=H","DateFormat=P","Fill=—","Direction=H","UseDPDF=Y")</f>
        <v>2256.6669999999999</v>
      </c>
      <c r="Q42" s="13">
        <f>_xll.BDH("GILD US Equity","BEST_PTP","FQ4 2022","FQ4 2022","Currency=USD","Period=FQ","BEST_FPERIOD_OVERRIDE=FQ","FILING_STATUS=MR","Sort=A","Dates=H","DateFormat=P","Fill=—","Direction=H","UseDPDF=Y")</f>
        <v>2373.1759999999999</v>
      </c>
      <c r="R42" s="13">
        <f>_xll.BDH("GILD US Equity","BEST_PTP","FQ1 2023","FQ1 2023","Currency=USD","Period=FQ","BEST_FPERIOD_OVERRIDE=FQ","FILING_STATUS=MR","Sort=A","Dates=H","DateFormat=P","Fill=—","Direction=H","UseDPDF=Y")</f>
        <v>2422.5</v>
      </c>
      <c r="S42" s="13">
        <f>_xll.BDH("GILD US Equity","BEST_PTP","FQ2 2023","FQ2 2023","Currency=USD","Period=FQ","BEST_FPERIOD_OVERRIDE=FQ","FILING_STATUS=MR","Sort=A","Dates=H","DateFormat=P","Fill=—","Direction=H","UseDPDF=Y")</f>
        <v>2577.3530000000001</v>
      </c>
      <c r="T42" s="13">
        <f>_xll.BDH("GILD US Equity","BEST_PTP","FQ3 2023","FQ3 2023","Currency=USD","Period=FQ","BEST_FPERIOD_OVERRIDE=FQ","FILING_STATUS=MR","Sort=A","Dates=H","DateFormat=P","Fill=—","Direction=H","UseDPDF=Y")</f>
        <v>2864.1179999999999</v>
      </c>
      <c r="U42" s="13">
        <f>_xll.BDH("GILD US Equity","BEST_PTP","FQ4 2023","FQ4 2023","Currency=USD","Period=FQ","BEST_FPERIOD_OVERRIDE=FQ","FILING_STATUS=MR","Sort=A","Dates=H","DateFormat=P","Fill=—","Direction=H","UseDPDF=Y")</f>
        <v>2652.6</v>
      </c>
      <c r="V42" s="13">
        <f>_xll.BDH("GILD US Equity","BEST_PTP","FQ1 2024","FQ1 2024","Currency=USD","Period=FQ","BEST_FPERIOD_OVERRIDE=FQ","FILING_STATUS=MR","Sort=A","Dates=H","DateFormat=P","Fill=—","Direction=H","UseDPDF=Y")</f>
        <v>-1344.125</v>
      </c>
      <c r="W42" s="13">
        <f>_xll.BDH("GILD US Equity","BEST_PTP","FQ2 2024","FQ2 2024","Currency=USD","Period=FQ","BEST_FPERIOD_OVERRIDE=FQ","FILING_STATUS=MR","Sort=A","Dates=H","DateFormat=P","Fill=—","Direction=H","UseDPDF=Y")</f>
        <v>2540.1579999999999</v>
      </c>
      <c r="X42" s="13">
        <f>_xll.BDH("GILD US Equity","BEST_PTP","FQ3 2024","FQ3 2024","Currency=USD","Period=FQ","BEST_FPERIOD_OVERRIDE=FQ","FILING_STATUS=MR","Sort=A","Dates=H","DateFormat=P","Fill=—","Direction=H","UseDPDF=Y")</f>
        <v>2457.1579999999999</v>
      </c>
      <c r="Y42" s="13">
        <f>_xll.BDH("GILD US Equity","BEST_PTP","FQ4 2024","FQ4 2024","Currency=USD","Period=FQ","BEST_FPERIOD_OVERRIDE=FQ","FILING_STATUS=MR","Sort=A","Dates=H","DateFormat=P","Fill=—","Direction=H","UseDPDF=Y")</f>
        <v>2662.4</v>
      </c>
      <c r="Z42" s="13">
        <v>2700.5329999999999</v>
      </c>
      <c r="AA42" s="13">
        <v>2986.6669999999999</v>
      </c>
    </row>
    <row r="43" spans="1:27" x14ac:dyDescent="0.25">
      <c r="A43" s="10" t="s">
        <v>132</v>
      </c>
      <c r="B43" s="10" t="s">
        <v>156</v>
      </c>
      <c r="C43" s="13">
        <f>_xll.BDH("GILD US Equity","IS_COMP_PTP_EX_STK_BASED_COMP","FQ2 2019","FQ2 2019","Currency=USD","Period=FQ","BEST_FPERIOD_OVERRIDE=FQ","FILING_STATUS=MR","SCALING_FORMAT=MLN","Sort=A","Dates=H","DateFormat=P","Fill=—","Direction=H","UseDPDF=Y")</f>
        <v>2963</v>
      </c>
      <c r="D43" s="13">
        <f>_xll.BDH("GILD US Equity","IS_COMP_PTP_EX_STK_BASED_COMP","FQ3 2019","FQ3 2019","Currency=USD","Period=FQ","BEST_FPERIOD_OVERRIDE=FQ","FILING_STATUS=MR","SCALING_FORMAT=MLN","Sort=A","Dates=H","DateFormat=P","Fill=—","Direction=H","UseDPDF=Y")</f>
        <v>2838</v>
      </c>
      <c r="E43" s="13">
        <f>_xll.BDH("GILD US Equity","IS_COMP_PTP_EX_STK_BASED_COMP","FQ4 2019","FQ4 2019","Currency=USD","Period=FQ","BEST_FPERIOD_OVERRIDE=FQ","FILING_STATUS=MR","SCALING_FORMAT=MLN","Sort=A","Dates=H","DateFormat=P","Fill=—","Direction=H","UseDPDF=Y")</f>
        <v>2191</v>
      </c>
      <c r="F43" s="13">
        <f>_xll.BDH("GILD US Equity","IS_COMP_PTP_EX_STK_BASED_COMP","FQ1 2020","FQ1 2020","Currency=USD","Period=FQ","BEST_FPERIOD_OVERRIDE=FQ","FILING_STATUS=MR","SCALING_FORMAT=MLN","Sort=A","Dates=H","DateFormat=P","Fill=—","Direction=H","UseDPDF=Y")</f>
        <v>2649</v>
      </c>
      <c r="G43" s="13">
        <f>_xll.BDH("GILD US Equity","IS_COMP_PTP_EX_STK_BASED_COMP","FQ2 2020","FQ2 2020","Currency=USD","Period=FQ","BEST_FPERIOD_OVERRIDE=FQ","FILING_STATUS=MR","SCALING_FORMAT=MLN","Sort=A","Dates=H","DateFormat=P","Fill=—","Direction=H","UseDPDF=Y")</f>
        <v>1804</v>
      </c>
      <c r="H43" s="13">
        <f>_xll.BDH("GILD US Equity","IS_COMP_PTP_EX_STK_BASED_COMP","FQ3 2020","FQ3 2020","Currency=USD","Period=FQ","BEST_FPERIOD_OVERRIDE=FQ","FILING_STATUS=MR","SCALING_FORMAT=MLN","Sort=A","Dates=H","DateFormat=P","Fill=—","Direction=H","UseDPDF=Y")</f>
        <v>3245</v>
      </c>
      <c r="I43" s="13">
        <f>_xll.BDH("GILD US Equity","IS_COMP_PTP_EX_STK_BASED_COMP","FQ4 2020","FQ4 2020","Currency=USD","Period=FQ","BEST_FPERIOD_OVERRIDE=FQ","FILING_STATUS=MR","SCALING_FORMAT=MLN","Sort=A","Dates=H","DateFormat=P","Fill=—","Direction=H","UseDPDF=Y")</f>
        <v>3271</v>
      </c>
      <c r="J43" s="13">
        <f>_xll.BDH("GILD US Equity","IS_COMP_PTP_EX_STK_BASED_COMP","FQ1 2021","FQ1 2021","Currency=USD","Period=FQ","BEST_FPERIOD_OVERRIDE=FQ","FILING_STATUS=MR","SCALING_FORMAT=MLN","Sort=A","Dates=H","DateFormat=P","Fill=—","Direction=H","UseDPDF=Y")</f>
        <v>3211</v>
      </c>
      <c r="K43" s="13">
        <f>_xll.BDH("GILD US Equity","IS_COMP_PTP_EX_STK_BASED_COMP","FQ2 2021","FQ2 2021","Currency=USD","Period=FQ","BEST_FPERIOD_OVERRIDE=FQ","FILING_STATUS=MR","SCALING_FORMAT=MLN","Sort=A","Dates=H","DateFormat=P","Fill=—","Direction=H","UseDPDF=Y")</f>
        <v>3350</v>
      </c>
      <c r="L43" s="13">
        <f>_xll.BDH("GILD US Equity","IS_COMP_PTP_EX_STK_BASED_COMP","FQ3 2021","FQ3 2021","Currency=USD","Period=FQ","BEST_FPERIOD_OVERRIDE=FQ","FILING_STATUS=MR","SCALING_FORMAT=MLN","Sort=A","Dates=H","DateFormat=P","Fill=—","Direction=H","UseDPDF=Y")</f>
        <v>4117</v>
      </c>
      <c r="M43" s="13">
        <f>_xll.BDH("GILD US Equity","IS_COMP_PTP_EX_STK_BASED_COMP","FQ4 2021","FQ4 2021","Currency=USD","Period=FQ","BEST_FPERIOD_OVERRIDE=FQ","FILING_STATUS=MR","SCALING_FORMAT=MLN","Sort=A","Dates=H","DateFormat=P","Fill=—","Direction=H","UseDPDF=Y")</f>
        <v>759</v>
      </c>
      <c r="N43" s="13">
        <f>_xll.BDH("GILD US Equity","IS_COMP_PTP_EX_STK_BASED_COMP","FQ1 2022","FQ1 2022","Currency=USD","Period=FQ","BEST_FPERIOD_OVERRIDE=FQ","FILING_STATUS=MR","SCALING_FORMAT=MLN","Sort=A","Dates=H","DateFormat=P","Fill=—","Direction=H","UseDPDF=Y")</f>
        <v>-152</v>
      </c>
      <c r="O43" s="13">
        <f>_xll.BDH("GILD US Equity","IS_COMP_PTP_EX_STK_BASED_COMP","FQ2 2022","FQ2 2022","Currency=USD","Period=FQ","BEST_FPERIOD_OVERRIDE=FQ","FILING_STATUS=MR","SCALING_FORMAT=MLN","Sort=A","Dates=H","DateFormat=P","Fill=—","Direction=H","UseDPDF=Y")</f>
        <v>1503</v>
      </c>
      <c r="P43" s="13">
        <f>_xll.BDH("GILD US Equity","IS_COMP_PTP_EX_STK_BASED_COMP","FQ3 2022","FQ3 2022","Currency=USD","Period=FQ","BEST_FPERIOD_OVERRIDE=FQ","FILING_STATUS=MR","SCALING_FORMAT=MLN","Sort=A","Dates=H","DateFormat=P","Fill=—","Direction=H","UseDPDF=Y")</f>
        <v>3078</v>
      </c>
      <c r="Q43" s="13">
        <f>_xll.BDH("GILD US Equity","IS_COMP_PTP_EX_STK_BASED_COMP","FQ4 2022","FQ4 2022","Currency=USD","Period=FQ","BEST_FPERIOD_OVERRIDE=FQ","FILING_STATUS=MR","SCALING_FORMAT=MLN","Sort=A","Dates=H","DateFormat=P","Fill=—","Direction=H","UseDPDF=Y")</f>
        <v>2524</v>
      </c>
      <c r="R43" s="13">
        <f>_xll.BDH("GILD US Equity","IS_COMP_PTP_EX_STK_BASED_COMP","FQ1 2023","FQ1 2023","Currency=USD","Period=FQ","BEST_FPERIOD_OVERRIDE=FQ","FILING_STATUS=MR","SCALING_FORMAT=MLN","Sort=A","Dates=H","DateFormat=P","Fill=—","Direction=H","UseDPDF=Y")</f>
        <v>1300</v>
      </c>
      <c r="S43" s="13">
        <f>_xll.BDH("GILD US Equity","IS_COMP_PTP_EX_STK_BASED_COMP","FQ2 2023","FQ2 2023","Currency=USD","Period=FQ","BEST_FPERIOD_OVERRIDE=FQ","FILING_STATUS=MR","SCALING_FORMAT=MLN","Sort=A","Dates=H","DateFormat=P","Fill=—","Direction=H","UseDPDF=Y")</f>
        <v>1588</v>
      </c>
      <c r="T43" s="13">
        <f>_xll.BDH("GILD US Equity","IS_COMP_PTP_EX_STK_BASED_COMP","FQ3 2023","FQ3 2023","Currency=USD","Period=FQ","BEST_FPERIOD_OVERRIDE=FQ","FILING_STATUS=MR","SCALING_FORMAT=MLN","Sort=A","Dates=H","DateFormat=P","Fill=—","Direction=H","UseDPDF=Y")</f>
        <v>2318</v>
      </c>
      <c r="U43" s="13">
        <f>_xll.BDH("GILD US Equity","IS_COMP_PTP_EX_STK_BASED_COMP","FQ4 2023","FQ4 2023","Currency=USD","Period=FQ","BEST_FPERIOD_OVERRIDE=FQ","FILING_STATUS=MR","SCALING_FORMAT=MLN","Sort=A","Dates=H","DateFormat=P","Fill=—","Direction=H","UseDPDF=Y")</f>
        <v>1653</v>
      </c>
      <c r="V43" s="13">
        <f>_xll.BDH("GILD US Equity","IS_COMP_PTP_EX_STK_BASED_COMP","FQ1 2024","FQ1 2024","Currency=USD","Period=FQ","BEST_FPERIOD_OVERRIDE=FQ","FILING_STATUS=MR","SCALING_FORMAT=MLN","Sort=A","Dates=H","DateFormat=P","Fill=—","Direction=H","UseDPDF=Y")</f>
        <v>-4486</v>
      </c>
      <c r="W43" s="13">
        <f>_xll.BDH("GILD US Equity","IS_COMP_PTP_EX_STK_BASED_COMP","FQ2 2024","FQ2 2024","Currency=USD","Period=FQ","BEST_FPERIOD_OVERRIDE=FQ","FILING_STATUS=MR","SCALING_FORMAT=MLN","Sort=A","Dates=H","DateFormat=P","Fill=—","Direction=H","UseDPDF=Y")</f>
        <v>2958</v>
      </c>
      <c r="X43" s="13">
        <f>_xll.BDH("GILD US Equity","IS_COMP_PTP_EX_STK_BASED_COMP","FQ3 2024","FQ3 2024","Currency=USD","Period=FQ","BEST_FPERIOD_OVERRIDE=FQ","FILING_STATUS=MR","SCALING_FORMAT=MLN","Sort=A","Dates=H","DateFormat=P","Fill=—","Direction=H","UseDPDF=Y")</f>
        <v>956</v>
      </c>
      <c r="Y43" s="13">
        <f>_xll.BDH("GILD US Equity","IS_COMP_PTP_EX_STK_BASED_COMP","FQ4 2024","FQ4 2024","Currency=USD","Period=FQ","BEST_FPERIOD_OVERRIDE=FQ","FILING_STATUS=MR","SCALING_FORMAT=MLN","Sort=A","Dates=H","DateFormat=P","Fill=—","Direction=H","UseDPDF=Y")</f>
        <v>2956</v>
      </c>
      <c r="Z43" s="13"/>
      <c r="AA43" s="13"/>
    </row>
    <row r="44" spans="1:27" x14ac:dyDescent="0.25">
      <c r="A44" s="11" t="s">
        <v>157</v>
      </c>
      <c r="B44" s="11"/>
      <c r="C44" s="25">
        <v>4.2163112772037801</v>
      </c>
      <c r="D44" s="25">
        <v>-1.1914817169425</v>
      </c>
      <c r="E44" s="25">
        <v>-20.207584103427902</v>
      </c>
      <c r="F44" s="25">
        <v>1.9892328014929099</v>
      </c>
      <c r="G44" s="25">
        <v>-20.273192479693702</v>
      </c>
      <c r="H44" s="25">
        <v>12.976726098111101</v>
      </c>
      <c r="I44" s="25">
        <v>4.5024218300479504</v>
      </c>
      <c r="J44" s="25">
        <v>-2.6016078166228702</v>
      </c>
      <c r="K44" s="25">
        <v>17.0415665262517</v>
      </c>
      <c r="L44" s="25">
        <v>41.069047765081798</v>
      </c>
      <c r="M44" s="25">
        <v>-70.986238532110093</v>
      </c>
      <c r="N44" s="25" t="s">
        <v>148</v>
      </c>
      <c r="O44" s="25">
        <v>-37.222974971054903</v>
      </c>
      <c r="P44" s="25">
        <v>36.395843959254996</v>
      </c>
      <c r="Q44" s="25">
        <v>6.3553651309468897</v>
      </c>
      <c r="R44" s="25">
        <v>-46.336429308565499</v>
      </c>
      <c r="S44" s="25">
        <v>-38.3863987587265</v>
      </c>
      <c r="T44" s="25">
        <v>-19.067580316174102</v>
      </c>
      <c r="U44" s="25">
        <v>-37.6837819497851</v>
      </c>
      <c r="V44" s="25">
        <v>-233.74872128708299</v>
      </c>
      <c r="W44" s="25">
        <v>16.449449207490201</v>
      </c>
      <c r="X44" s="25">
        <v>-61.093263029890601</v>
      </c>
      <c r="Y44" s="25">
        <v>11.0276442307692</v>
      </c>
      <c r="Z44" s="25"/>
      <c r="AA44" s="25"/>
    </row>
    <row r="45" spans="1:27" x14ac:dyDescent="0.25">
      <c r="A45" s="10" t="s">
        <v>135</v>
      </c>
      <c r="B45" s="10" t="s">
        <v>158</v>
      </c>
      <c r="C45" s="13">
        <f>_xll.BDH("GILD US Equity","PRETAX_INC","FQ2 2019","FQ2 2019","Currency=USD","Period=FQ","BEST_FPERIOD_OVERRIDE=FQ","FILING_STATUS=MR","SCALING_FORMAT=MLN","FA_ADJUSTED=GAAP","Sort=A","Dates=H","DateFormat=P","Fill=—","Direction=H","UseDPDF=Y")</f>
        <v>2410</v>
      </c>
      <c r="D45" s="13">
        <f>_xll.BDH("GILD US Equity","PRETAX_INC","FQ3 2019","FQ3 2019","Currency=USD","Period=FQ","BEST_FPERIOD_OVERRIDE=FQ","FILING_STATUS=MR","SCALING_FORMAT=MLN","FA_ADJUSTED=GAAP","Sort=A","Dates=H","DateFormat=P","Fill=—","Direction=H","UseDPDF=Y")</f>
        <v>-1501</v>
      </c>
      <c r="E45" s="13">
        <f>_xll.BDH("GILD US Equity","PRETAX_INC","FQ4 2019","FQ4 2019","Currency=USD","Period=FQ","BEST_FPERIOD_OVERRIDE=FQ","FILING_STATUS=MR","SCALING_FORMAT=MLN","FA_ADJUSTED=GAAP","Sort=A","Dates=H","DateFormat=P","Fill=—","Direction=H","UseDPDF=Y")</f>
        <v>1901</v>
      </c>
      <c r="F45" s="13">
        <f>_xll.BDH("GILD US Equity","PRETAX_INC","FQ1 2020","FQ1 2020","Currency=USD","Period=FQ","BEST_FPERIOD_OVERRIDE=FQ","FILING_STATUS=MR","SCALING_FORMAT=MLN","FA_ADJUSTED=GAAP","Sort=A","Dates=H","DateFormat=P","Fill=—","Direction=H","UseDPDF=Y")</f>
        <v>2003</v>
      </c>
      <c r="G45" s="13">
        <f>_xll.BDH("GILD US Equity","PRETAX_INC","FQ2 2020","FQ2 2020","Currency=USD","Period=FQ","BEST_FPERIOD_OVERRIDE=FQ","FILING_STATUS=MR","SCALING_FORMAT=MLN","FA_ADJUSTED=GAAP","Sort=A","Dates=H","DateFormat=P","Fill=—","Direction=H","UseDPDF=Y")</f>
        <v>-2973</v>
      </c>
      <c r="H45" s="13">
        <f>_xll.BDH("GILD US Equity","PRETAX_INC","FQ3 2020","FQ3 2020","Currency=USD","Period=FQ","BEST_FPERIOD_OVERRIDE=FQ","FILING_STATUS=MR","SCALING_FORMAT=MLN","FA_ADJUSTED=GAAP","Sort=A","Dates=H","DateFormat=P","Fill=—","Direction=H","UseDPDF=Y")</f>
        <v>825</v>
      </c>
      <c r="I45" s="13">
        <f>_xll.BDH("GILD US Equity","PRETAX_INC","FQ4 2020","FQ4 2020","Currency=USD","Period=FQ","BEST_FPERIOD_OVERRIDE=FQ","FILING_STATUS=MR","SCALING_FORMAT=MLN","FA_ADJUSTED=GAAP","Sort=A","Dates=H","DateFormat=P","Fill=—","Direction=H","UseDPDF=Y")</f>
        <v>1814</v>
      </c>
      <c r="J45" s="13">
        <f>_xll.BDH("GILD US Equity","PRETAX_INC","FQ1 2021","FQ1 2021","Currency=USD","Period=FQ","BEST_FPERIOD_OVERRIDE=FQ","FILING_STATUS=MR","SCALING_FORMAT=MLN","FA_ADJUSTED=GAAP","Sort=A","Dates=H","DateFormat=P","Fill=—","Direction=H","UseDPDF=Y")</f>
        <v>2264</v>
      </c>
      <c r="K45" s="13">
        <f>_xll.BDH("GILD US Equity","PRETAX_INC","FQ2 2021","FQ2 2021","Currency=USD","Period=FQ","BEST_FPERIOD_OVERRIDE=FQ","FILING_STATUS=MR","SCALING_FORMAT=MLN","FA_ADJUSTED=GAAP","Sort=A","Dates=H","DateFormat=P","Fill=—","Direction=H","UseDPDF=Y")</f>
        <v>1817</v>
      </c>
      <c r="L45" s="13">
        <f>_xll.BDH("GILD US Equity","PRETAX_INC","FQ3 2021","FQ3 2021","Currency=USD","Period=FQ","BEST_FPERIOD_OVERRIDE=FQ","FILING_STATUS=MR","SCALING_FORMAT=MLN","FA_ADJUSTED=GAAP","Sort=A","Dates=H","DateFormat=P","Fill=—","Direction=H","UseDPDF=Y")</f>
        <v>3438</v>
      </c>
      <c r="M45" s="13">
        <f>_xll.BDH("GILD US Equity","PRETAX_INC","FQ4 2021","FQ4 2021","Currency=USD","Period=FQ","BEST_FPERIOD_OVERRIDE=FQ","FILING_STATUS=MR","SCALING_FORMAT=MLN","FA_ADJUSTED=GAAP","Sort=A","Dates=H","DateFormat=P","Fill=—","Direction=H","UseDPDF=Y")</f>
        <v>759</v>
      </c>
      <c r="N45" s="13">
        <f>_xll.BDH("GILD US Equity","PRETAX_INC","FQ1 2022","FQ1 2022","Currency=USD","Period=FQ","BEST_FPERIOD_OVERRIDE=FQ","FILING_STATUS=MR","SCALING_FORMAT=MLN","FA_ADJUSTED=GAAP","Sort=A","Dates=H","DateFormat=P","Fill=—","Direction=H","UseDPDF=Y")</f>
        <v>-152</v>
      </c>
      <c r="O45" s="13">
        <f>_xll.BDH("GILD US Equity","PRETAX_INC","FQ2 2022","FQ2 2022","Currency=USD","Period=FQ","BEST_FPERIOD_OVERRIDE=FQ","FILING_STATUS=MR","SCALING_FORMAT=MLN","FA_ADJUSTED=GAAP","Sort=A","Dates=H","DateFormat=P","Fill=—","Direction=H","UseDPDF=Y")</f>
        <v>1503</v>
      </c>
      <c r="P45" s="13">
        <f>_xll.BDH("GILD US Equity","PRETAX_INC","FQ3 2022","FQ3 2022","Currency=USD","Period=FQ","BEST_FPERIOD_OVERRIDE=FQ","FILING_STATUS=MR","SCALING_FORMAT=MLN","FA_ADJUSTED=GAAP","Sort=A","Dates=H","DateFormat=P","Fill=—","Direction=H","UseDPDF=Y")</f>
        <v>2432</v>
      </c>
      <c r="Q45" s="13">
        <f>_xll.BDH("GILD US Equity","PRETAX_INC","FQ4 2022","FQ4 2022","Currency=USD","Period=FQ","BEST_FPERIOD_OVERRIDE=FQ","FILING_STATUS=MR","SCALING_FORMAT=MLN","FA_ADJUSTED=GAAP","Sort=A","Dates=H","DateFormat=P","Fill=—","Direction=H","UseDPDF=Y")</f>
        <v>2031</v>
      </c>
      <c r="R45" s="13">
        <f>_xll.BDH("GILD US Equity","PRETAX_INC","FQ1 2023","FQ1 2023","Currency=USD","Period=FQ","BEST_FPERIOD_OVERRIDE=FQ","FILING_STATUS=MR","SCALING_FORMAT=MLN","FA_ADJUSTED=GAAP","Sort=A","Dates=H","DateFormat=P","Fill=—","Direction=H","UseDPDF=Y")</f>
        <v>1300</v>
      </c>
      <c r="S45" s="13">
        <f>_xll.BDH("GILD US Equity","PRETAX_INC","FQ2 2023","FQ2 2023","Currency=USD","Period=FQ","BEST_FPERIOD_OVERRIDE=FQ","FILING_STATUS=MR","SCALING_FORMAT=MLN","FA_ADJUSTED=GAAP","Sort=A","Dates=H","DateFormat=P","Fill=—","Direction=H","UseDPDF=Y")</f>
        <v>1588</v>
      </c>
      <c r="T45" s="13">
        <f>_xll.BDH("GILD US Equity","PRETAX_INC","FQ3 2023","FQ3 2023","Currency=USD","Period=FQ","BEST_FPERIOD_OVERRIDE=FQ","FILING_STATUS=MR","SCALING_FORMAT=MLN","FA_ADJUSTED=GAAP","Sort=A","Dates=H","DateFormat=P","Fill=—","Direction=H","UseDPDF=Y")</f>
        <v>2319</v>
      </c>
      <c r="U45" s="13">
        <f>_xll.BDH("GILD US Equity","PRETAX_INC","FQ4 2023","FQ4 2023","Currency=USD","Period=FQ","BEST_FPERIOD_OVERRIDE=FQ","FILING_STATUS=MR","SCALING_FORMAT=MLN","FA_ADJUSTED=GAAP","Sort=A","Dates=H","DateFormat=P","Fill=—","Direction=H","UseDPDF=Y")</f>
        <v>1653</v>
      </c>
      <c r="V45" s="13">
        <f>_xll.BDH("GILD US Equity","PRETAX_INC","FQ1 2024","FQ1 2024","Currency=USD","Period=FQ","BEST_FPERIOD_OVERRIDE=FQ","FILING_STATUS=MR","SCALING_FORMAT=MLN","FA_ADJUSTED=GAAP","Sort=A","Dates=H","DateFormat=P","Fill=—","Direction=H","UseDPDF=Y")</f>
        <v>-4486</v>
      </c>
      <c r="W45" s="13">
        <f>_xll.BDH("GILD US Equity","PRETAX_INC","FQ2 2024","FQ2 2024","Currency=USD","Period=FQ","BEST_FPERIOD_OVERRIDE=FQ","FILING_STATUS=MR","SCALING_FORMAT=MLN","FA_ADJUSTED=GAAP","Sort=A","Dates=H","DateFormat=P","Fill=—","Direction=H","UseDPDF=Y")</f>
        <v>2053</v>
      </c>
      <c r="X45" s="13">
        <f>_xll.BDH("GILD US Equity","PRETAX_INC","FQ3 2024","FQ3 2024","Currency=USD","Period=FQ","BEST_FPERIOD_OVERRIDE=FQ","FILING_STATUS=MR","SCALING_FORMAT=MLN","FA_ADJUSTED=GAAP","Sort=A","Dates=H","DateFormat=P","Fill=—","Direction=H","UseDPDF=Y")</f>
        <v>956</v>
      </c>
      <c r="Y45" s="13">
        <f>_xll.BDH("GILD US Equity","PRETAX_INC","FQ4 2024","FQ4 2024","Currency=USD","Period=FQ","BEST_FPERIOD_OVERRIDE=FQ","FILING_STATUS=MR","SCALING_FORMAT=MLN","FA_ADJUSTED=GAAP","Sort=A","Dates=H","DateFormat=P","Fill=—","Direction=H","UseDPDF=Y")</f>
        <v>2168</v>
      </c>
      <c r="Z45" s="13"/>
      <c r="AA45" s="13"/>
    </row>
    <row r="46" spans="1:27" x14ac:dyDescent="0.25">
      <c r="A46" s="10" t="s">
        <v>136</v>
      </c>
      <c r="B46" s="10" t="s">
        <v>158</v>
      </c>
      <c r="C46" s="13">
        <f>_xll.BDH("GILD US Equity","PRETAX_INC","FQ2 2019","FQ2 2019","Currency=USD","Period=FQ","BEST_FPERIOD_OVERRIDE=FQ","FILING_STATUS=MR","SCALING_FORMAT=MLN","FA_ADJUSTED=Adjusted","Sort=A","Dates=H","DateFormat=P","Fill=—","Direction=H","UseDPDF=Y")</f>
        <v>2517</v>
      </c>
      <c r="D46" s="13">
        <f>_xll.BDH("GILD US Equity","PRETAX_INC","FQ3 2019","FQ3 2019","Currency=USD","Period=FQ","BEST_FPERIOD_OVERRIDE=FQ","FILING_STATUS=MR","SCALING_FORMAT=MLN","FA_ADJUSTED=Adjusted","Sort=A","Dates=H","DateFormat=P","Fill=—","Direction=H","UseDPDF=Y")</f>
        <v>2410</v>
      </c>
      <c r="E46" s="13">
        <f>_xll.BDH("GILD US Equity","PRETAX_INC","FQ4 2019","FQ4 2019","Currency=USD","Period=FQ","BEST_FPERIOD_OVERRIDE=FQ","FILING_STATUS=MR","SCALING_FORMAT=MLN","FA_ADJUSTED=Adjusted","Sort=A","Dates=H","DateFormat=P","Fill=—","Direction=H","UseDPDF=Y")</f>
        <v>1768</v>
      </c>
      <c r="F46" s="13">
        <f>_xll.BDH("GILD US Equity","PRETAX_INC","FQ1 2020","FQ1 2020","Currency=USD","Period=FQ","BEST_FPERIOD_OVERRIDE=FQ","FILING_STATUS=MR","SCALING_FORMAT=MLN","FA_ADJUSTED=Adjusted","Sort=A","Dates=H","DateFormat=P","Fill=—","Direction=H","UseDPDF=Y")</f>
        <v>2649</v>
      </c>
      <c r="G46" s="13">
        <f>_xll.BDH("GILD US Equity","PRETAX_INC","FQ2 2020","FQ2 2020","Currency=USD","Period=FQ","BEST_FPERIOD_OVERRIDE=FQ","FILING_STATUS=MR","SCALING_FORMAT=MLN","FA_ADJUSTED=Adjusted","Sort=A","Dates=H","DateFormat=P","Fill=—","Direction=H","UseDPDF=Y")</f>
        <v>1538</v>
      </c>
      <c r="H46" s="13">
        <f>_xll.BDH("GILD US Equity","PRETAX_INC","FQ3 2020","FQ3 2020","Currency=USD","Period=FQ","BEST_FPERIOD_OVERRIDE=FQ","FILING_STATUS=MR","SCALING_FORMAT=MLN","FA_ADJUSTED=Adjusted","Sort=A","Dates=H","DateFormat=P","Fill=—","Direction=H","UseDPDF=Y")</f>
        <v>2979</v>
      </c>
      <c r="I46" s="13">
        <f>_xll.BDH("GILD US Equity","PRETAX_INC","FQ4 2020","FQ4 2020","Currency=USD","Period=FQ","BEST_FPERIOD_OVERRIDE=FQ","FILING_STATUS=MR","SCALING_FORMAT=MLN","FA_ADJUSTED=Adjusted","Sort=A","Dates=H","DateFormat=P","Fill=—","Direction=H","UseDPDF=Y")</f>
        <v>2854</v>
      </c>
      <c r="J46" s="13">
        <f>_xll.BDH("GILD US Equity","PRETAX_INC","FQ1 2021","FQ1 2021","Currency=USD","Period=FQ","BEST_FPERIOD_OVERRIDE=FQ","FILING_STATUS=MR","SCALING_FORMAT=MLN","FA_ADJUSTED=Adjusted","Sort=A","Dates=H","DateFormat=P","Fill=—","Direction=H","UseDPDF=Y")</f>
        <v>3211</v>
      </c>
      <c r="K46" s="13">
        <f>_xll.BDH("GILD US Equity","PRETAX_INC","FQ2 2021","FQ2 2021","Currency=USD","Period=FQ","BEST_FPERIOD_OVERRIDE=FQ","FILING_STATUS=MR","SCALING_FORMAT=MLN","FA_ADJUSTED=Adjusted","Sort=A","Dates=H","DateFormat=P","Fill=—","Direction=H","UseDPDF=Y")</f>
        <v>2367</v>
      </c>
      <c r="L46" s="13">
        <f>_xll.BDH("GILD US Equity","PRETAX_INC","FQ3 2021","FQ3 2021","Currency=USD","Period=FQ","BEST_FPERIOD_OVERRIDE=FQ","FILING_STATUS=MR","SCALING_FORMAT=MLN","FA_ADJUSTED=Adjusted","Sort=A","Dates=H","DateFormat=P","Fill=—","Direction=H","UseDPDF=Y")</f>
        <v>3582</v>
      </c>
      <c r="M46" s="13">
        <f>_xll.BDH("GILD US Equity","PRETAX_INC","FQ4 2021","FQ4 2021","Currency=USD","Period=FQ","BEST_FPERIOD_OVERRIDE=FQ","FILING_STATUS=MR","SCALING_FORMAT=MLN","FA_ADJUSTED=Adjusted","Sort=A","Dates=H","DateFormat=P","Fill=—","Direction=H","UseDPDF=Y")</f>
        <v>1384.7974999999999</v>
      </c>
      <c r="N46" s="13">
        <f>_xll.BDH("GILD US Equity","PRETAX_INC","FQ1 2022","FQ1 2022","Currency=USD","Period=FQ","BEST_FPERIOD_OVERRIDE=FQ","FILING_STATUS=MR","SCALING_FORMAT=MLN","FA_ADJUSTED=Adjusted","Sort=A","Dates=H","DateFormat=P","Fill=—","Direction=H","UseDPDF=Y")</f>
        <v>2618</v>
      </c>
      <c r="O46" s="13">
        <f>_xll.BDH("GILD US Equity","PRETAX_INC","FQ2 2022","FQ2 2022","Currency=USD","Period=FQ","BEST_FPERIOD_OVERRIDE=FQ","FILING_STATUS=MR","SCALING_FORMAT=MLN","FA_ADJUSTED=Adjusted","Sort=A","Dates=H","DateFormat=P","Fill=—","Direction=H","UseDPDF=Y")</f>
        <v>2529</v>
      </c>
      <c r="P46" s="13">
        <f>_xll.BDH("GILD US Equity","PRETAX_INC","FQ3 2022","FQ3 2022","Currency=USD","Period=FQ","BEST_FPERIOD_OVERRIDE=FQ","FILING_STATUS=MR","SCALING_FORMAT=MLN","FA_ADJUSTED=Adjusted","Sort=A","Dates=H","DateFormat=P","Fill=—","Direction=H","UseDPDF=Y")</f>
        <v>3504</v>
      </c>
      <c r="Q46" s="13">
        <f>_xll.BDH("GILD US Equity","PRETAX_INC","FQ4 2022","FQ4 2022","Currency=USD","Period=FQ","BEST_FPERIOD_OVERRIDE=FQ","FILING_STATUS=MR","SCALING_FORMAT=MLN","FA_ADJUSTED=Adjusted","Sort=A","Dates=H","DateFormat=P","Fill=—","Direction=H","UseDPDF=Y")</f>
        <v>2254</v>
      </c>
      <c r="R46" s="13">
        <f>_xll.BDH("GILD US Equity","PRETAX_INC","FQ1 2023","FQ1 2023","Currency=USD","Period=FQ","BEST_FPERIOD_OVERRIDE=FQ","FILING_STATUS=MR","SCALING_FORMAT=MLN","FA_ADJUSTED=Adjusted","Sort=A","Dates=H","DateFormat=P","Fill=—","Direction=H","UseDPDF=Y")</f>
        <v>2047</v>
      </c>
      <c r="S46" s="13">
        <f>_xll.BDH("GILD US Equity","PRETAX_INC","FQ2 2023","FQ2 2023","Currency=USD","Period=FQ","BEST_FPERIOD_OVERRIDE=FQ","FILING_STATUS=MR","SCALING_FORMAT=MLN","FA_ADJUSTED=Adjusted","Sort=A","Dates=H","DateFormat=P","Fill=—","Direction=H","UseDPDF=Y")</f>
        <v>1716</v>
      </c>
      <c r="T46" s="13">
        <f>_xll.BDH("GILD US Equity","PRETAX_INC","FQ3 2023","FQ3 2023","Currency=USD","Period=FQ","BEST_FPERIOD_OVERRIDE=FQ","FILING_STATUS=MR","SCALING_FORMAT=MLN","FA_ADJUSTED=Adjusted","Sort=A","Dates=H","DateFormat=P","Fill=—","Direction=H","UseDPDF=Y")</f>
        <v>2599</v>
      </c>
      <c r="U46" s="13">
        <f>_xll.BDH("GILD US Equity","PRETAX_INC","FQ4 2023","FQ4 2023","Currency=USD","Period=FQ","BEST_FPERIOD_OVERRIDE=FQ","FILING_STATUS=MR","SCALING_FORMAT=MLN","FA_ADJUSTED=Adjusted","Sort=A","Dates=H","DateFormat=P","Fill=—","Direction=H","UseDPDF=Y")</f>
        <v>2358</v>
      </c>
      <c r="V46" s="13">
        <f>_xll.BDH("GILD US Equity","PRETAX_INC","FQ1 2024","FQ1 2024","Currency=USD","Period=FQ","BEST_FPERIOD_OVERRIDE=FQ","FILING_STATUS=MR","SCALING_FORMAT=MLN","FA_ADJUSTED=Adjusted","Sort=A","Dates=H","DateFormat=P","Fill=—","Direction=H","UseDPDF=Y")</f>
        <v>2285</v>
      </c>
      <c r="W46" s="13">
        <f>_xll.BDH("GILD US Equity","PRETAX_INC","FQ2 2024","FQ2 2024","Currency=USD","Period=FQ","BEST_FPERIOD_OVERRIDE=FQ","FILING_STATUS=MR","SCALING_FORMAT=MLN","FA_ADJUSTED=Adjusted","Sort=A","Dates=H","DateFormat=P","Fill=—","Direction=H","UseDPDF=Y")</f>
        <v>2884</v>
      </c>
      <c r="X46" s="13">
        <f>_xll.BDH("GILD US Equity","PRETAX_INC","FQ3 2024","FQ3 2024","Currency=USD","Period=FQ","BEST_FPERIOD_OVERRIDE=FQ","FILING_STATUS=MR","SCALING_FORMAT=MLN","FA_ADJUSTED=Adjusted","Sort=A","Dates=H","DateFormat=P","Fill=—","Direction=H","UseDPDF=Y")</f>
        <v>2994</v>
      </c>
      <c r="Y46" s="13">
        <f>_xll.BDH("GILD US Equity","PRETAX_INC","FQ4 2024","FQ4 2024","Currency=USD","Period=FQ","BEST_FPERIOD_OVERRIDE=FQ","FILING_STATUS=MR","SCALING_FORMAT=MLN","FA_ADJUSTED=Adjusted","Sort=A","Dates=H","DateFormat=P","Fill=—","Direction=H","UseDPDF=Y")</f>
        <v>2367</v>
      </c>
      <c r="Z46" s="13"/>
      <c r="AA46" s="13"/>
    </row>
    <row r="47" spans="1:27" x14ac:dyDescent="0.25">
      <c r="A47" s="10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5">
      <c r="A48" s="6" t="s">
        <v>159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x14ac:dyDescent="0.25">
      <c r="A49" s="10" t="s">
        <v>130</v>
      </c>
      <c r="B49" s="10" t="s">
        <v>160</v>
      </c>
      <c r="C49" s="13">
        <f>_xll.BDH("GILD US Equity","BEST_NET_INCOME","FQ2 2019","FQ2 2019","Currency=USD","Period=FQ","BEST_FPERIOD_OVERRIDE=FQ","FILING_STATUS=MR","Sort=A","Dates=H","DateFormat=P","Fill=—","Direction=H","UseDPDF=Y")</f>
        <v>2215.5</v>
      </c>
      <c r="D49" s="13">
        <f>_xll.BDH("GILD US Equity","BEST_NET_INCOME","FQ3 2019","FQ3 2019","Currency=USD","Period=FQ","BEST_FPERIOD_OVERRIDE=FQ","FILING_STATUS=MR","Sort=A","Dates=H","DateFormat=P","Fill=—","Direction=H","UseDPDF=Y")</f>
        <v>2216</v>
      </c>
      <c r="E49" s="13">
        <f>_xll.BDH("GILD US Equity","BEST_NET_INCOME","FQ4 2019","FQ4 2019","Currency=USD","Period=FQ","BEST_FPERIOD_OVERRIDE=FQ","FILING_STATUS=MR","Sort=A","Dates=H","DateFormat=P","Fill=—","Direction=H","UseDPDF=Y")</f>
        <v>2098.0590000000002</v>
      </c>
      <c r="F49" s="13">
        <f>_xll.BDH("GILD US Equity","BEST_NET_INCOME","FQ1 2020","FQ1 2020","Currency=USD","Period=FQ","BEST_FPERIOD_OVERRIDE=FQ","FILING_STATUS=MR","Sort=A","Dates=H","DateFormat=P","Fill=—","Direction=H","UseDPDF=Y")</f>
        <v>2049.4290000000001</v>
      </c>
      <c r="G49" s="13">
        <f>_xll.BDH("GILD US Equity","BEST_NET_INCOME","FQ2 2020","FQ2 2020","Currency=USD","Period=FQ","BEST_FPERIOD_OVERRIDE=FQ","FILING_STATUS=MR","Sort=A","Dates=H","DateFormat=P","Fill=—","Direction=H","UseDPDF=Y")</f>
        <v>1830.1669999999999</v>
      </c>
      <c r="H49" s="13">
        <f>_xll.BDH("GILD US Equity","BEST_NET_INCOME","FQ3 2020","FQ3 2020","Currency=USD","Period=FQ","BEST_FPERIOD_OVERRIDE=FQ","FILING_STATUS=MR","Sort=A","Dates=H","DateFormat=P","Fill=—","Direction=H","UseDPDF=Y")</f>
        <v>2335</v>
      </c>
      <c r="I49" s="13">
        <f>_xll.BDH("GILD US Equity","BEST_NET_INCOME","FQ4 2020","FQ4 2020","Currency=USD","Period=FQ","BEST_FPERIOD_OVERRIDE=FQ","FILING_STATUS=MR","Sort=A","Dates=H","DateFormat=P","Fill=—","Direction=H","UseDPDF=Y")</f>
        <v>2548.4090000000001</v>
      </c>
      <c r="J49" s="13">
        <f>_xll.BDH("GILD US Equity","BEST_NET_INCOME","FQ1 2021","FQ1 2021","Currency=USD","Period=FQ","BEST_FPERIOD_OVERRIDE=FQ","FILING_STATUS=MR","Sort=A","Dates=H","DateFormat=P","Fill=—","Direction=H","UseDPDF=Y")</f>
        <v>2595.8890000000001</v>
      </c>
      <c r="K49" s="13">
        <f>_xll.BDH("GILD US Equity","BEST_NET_INCOME","FQ2 2021","FQ2 2021","Currency=USD","Period=FQ","BEST_FPERIOD_OVERRIDE=FQ","FILING_STATUS=MR","Sort=A","Dates=H","DateFormat=P","Fill=—","Direction=H","UseDPDF=Y")</f>
        <v>2219.2109999999998</v>
      </c>
      <c r="L49" s="13">
        <f>_xll.BDH("GILD US Equity","BEST_NET_INCOME","FQ3 2021","FQ3 2021","Currency=USD","Period=FQ","BEST_FPERIOD_OVERRIDE=FQ","FILING_STATUS=MR","Sort=A","Dates=H","DateFormat=P","Fill=—","Direction=H","UseDPDF=Y")</f>
        <v>2182.85</v>
      </c>
      <c r="M49" s="13">
        <f>_xll.BDH("GILD US Equity","BEST_NET_INCOME","FQ4 2021","FQ4 2021","Currency=USD","Period=FQ","BEST_FPERIOD_OVERRIDE=FQ","FILING_STATUS=MR","Sort=A","Dates=H","DateFormat=P","Fill=—","Direction=H","UseDPDF=Y")</f>
        <v>1970.136</v>
      </c>
      <c r="N49" s="13">
        <f>_xll.BDH("GILD US Equity","BEST_NET_INCOME","FQ1 2022","FQ1 2022","Currency=USD","Period=FQ","BEST_FPERIOD_OVERRIDE=FQ","FILING_STATUS=MR","Sort=A","Dates=H","DateFormat=P","Fill=—","Direction=H","UseDPDF=Y")</f>
        <v>2250.9499999999998</v>
      </c>
      <c r="O49" s="13">
        <f>_xll.BDH("GILD US Equity","BEST_NET_INCOME","FQ2 2022","FQ2 2022","Currency=USD","Period=FQ","BEST_FPERIOD_OVERRIDE=FQ","FILING_STATUS=MR","Sort=A","Dates=H","DateFormat=P","Fill=—","Direction=H","UseDPDF=Y")</f>
        <v>1895.0909999999999</v>
      </c>
      <c r="P49" s="13">
        <f>_xll.BDH("GILD US Equity","BEST_NET_INCOME","FQ3 2022","FQ3 2022","Currency=USD","Period=FQ","BEST_FPERIOD_OVERRIDE=FQ","FILING_STATUS=MR","Sort=A","Dates=H","DateFormat=P","Fill=—","Direction=H","UseDPDF=Y")</f>
        <v>1822.318</v>
      </c>
      <c r="Q49" s="13">
        <f>_xll.BDH("GILD US Equity","BEST_NET_INCOME","FQ4 2022","FQ4 2022","Currency=USD","Period=FQ","BEST_FPERIOD_OVERRIDE=FQ","FILING_STATUS=MR","Sort=A","Dates=H","DateFormat=P","Fill=—","Direction=H","UseDPDF=Y")</f>
        <v>1912.095</v>
      </c>
      <c r="R49" s="13">
        <f>_xll.BDH("GILD US Equity","BEST_NET_INCOME","FQ1 2023","FQ1 2023","Currency=USD","Period=FQ","BEST_FPERIOD_OVERRIDE=FQ","FILING_STATUS=MR","Sort=A","Dates=H","DateFormat=P","Fill=—","Direction=H","UseDPDF=Y")</f>
        <v>1945.2270000000001</v>
      </c>
      <c r="S49" s="13">
        <f>_xll.BDH("GILD US Equity","BEST_NET_INCOME","FQ2 2023","FQ2 2023","Currency=USD","Period=FQ","BEST_FPERIOD_OVERRIDE=FQ","FILING_STATUS=MR","Sort=A","Dates=H","DateFormat=P","Fill=—","Direction=H","UseDPDF=Y")</f>
        <v>2075.9549999999999</v>
      </c>
      <c r="T49" s="13">
        <f>_xll.BDH("GILD US Equity","BEST_NET_INCOME","FQ3 2023","FQ3 2023","Currency=USD","Period=FQ","BEST_FPERIOD_OVERRIDE=FQ","FILING_STATUS=MR","Sort=A","Dates=H","DateFormat=P","Fill=—","Direction=H","UseDPDF=Y")</f>
        <v>2415.3910000000001</v>
      </c>
      <c r="U49" s="13">
        <f>_xll.BDH("GILD US Equity","BEST_NET_INCOME","FQ4 2023","FQ4 2023","Currency=USD","Period=FQ","BEST_FPERIOD_OVERRIDE=FQ","FILING_STATUS=MR","Sort=A","Dates=H","DateFormat=P","Fill=—","Direction=H","UseDPDF=Y")</f>
        <v>2163</v>
      </c>
      <c r="V49" s="13">
        <f>_xll.BDH("GILD US Equity","BEST_NET_INCOME","FQ1 2024","FQ1 2024","Currency=USD","Period=FQ","BEST_FPERIOD_OVERRIDE=FQ","FILING_STATUS=MR","Sort=A","Dates=H","DateFormat=P","Fill=—","Direction=H","UseDPDF=Y")</f>
        <v>-1735.9090000000001</v>
      </c>
      <c r="W49" s="13">
        <f>_xll.BDH("GILD US Equity","BEST_NET_INCOME","FQ2 2024","FQ2 2024","Currency=USD","Period=FQ","BEST_FPERIOD_OVERRIDE=FQ","FILING_STATUS=MR","Sort=A","Dates=H","DateFormat=P","Fill=—","Direction=H","UseDPDF=Y")</f>
        <v>2009.5450000000001</v>
      </c>
      <c r="X49" s="13">
        <f>_xll.BDH("GILD US Equity","BEST_NET_INCOME","FQ3 2024","FQ3 2024","Currency=USD","Period=FQ","BEST_FPERIOD_OVERRIDE=FQ","FILING_STATUS=MR","Sort=A","Dates=H","DateFormat=P","Fill=—","Direction=H","UseDPDF=Y")</f>
        <v>1891.3330000000001</v>
      </c>
      <c r="Y49" s="13">
        <f>_xll.BDH("GILD US Equity","BEST_NET_INCOME","FQ4 2024","FQ4 2024","Currency=USD","Period=FQ","BEST_FPERIOD_OVERRIDE=FQ","FILING_STATUS=MR","Sort=A","Dates=H","DateFormat=P","Fill=—","Direction=H","UseDPDF=Y")</f>
        <v>2115.2800000000002</v>
      </c>
      <c r="Z49" s="13">
        <v>2170.1669999999999</v>
      </c>
      <c r="AA49" s="13">
        <v>2384.6669999999999</v>
      </c>
    </row>
    <row r="50" spans="1:27" x14ac:dyDescent="0.25">
      <c r="A50" s="10" t="s">
        <v>132</v>
      </c>
      <c r="B50" s="10" t="s">
        <v>161</v>
      </c>
      <c r="C50" s="13">
        <f>_xll.BDH("GILD US Equity","IS_COMP_NET_INC_EXCL_STOCK_COMP","FQ2 2019","FQ2 2019","Currency=USD","Period=FQ","BEST_FPERIOD_OVERRIDE=FQ","FILING_STATUS=MR","SCALING_FORMAT=MLN","Sort=A","Dates=H","DateFormat=P","Fill=—","Direction=H","UseDPDF=Y")</f>
        <v>2331</v>
      </c>
      <c r="D50" s="13">
        <f>_xll.BDH("GILD US Equity","IS_COMP_NET_INC_EXCL_STOCK_COMP","FQ3 2019","FQ3 2019","Currency=USD","Period=FQ","BEST_FPERIOD_OVERRIDE=FQ","FILING_STATUS=MR","SCALING_FORMAT=MLN","Sort=A","Dates=H","DateFormat=P","Fill=—","Direction=H","UseDPDF=Y")</f>
        <v>2224</v>
      </c>
      <c r="E50" s="13">
        <f>_xll.BDH("GILD US Equity","IS_COMP_NET_INC_EXCL_STOCK_COMP","FQ4 2019","FQ4 2019","Currency=USD","Period=FQ","BEST_FPERIOD_OVERRIDE=FQ","FILING_STATUS=MR","SCALING_FORMAT=MLN","Sort=A","Dates=H","DateFormat=P","Fill=—","Direction=H","UseDPDF=Y")</f>
        <v>1653</v>
      </c>
      <c r="F50" s="13">
        <f>_xll.BDH("GILD US Equity","IS_COMP_NET_INC_EXCL_STOCK_COMP","FQ1 2020","FQ1 2020","Currency=USD","Period=FQ","BEST_FPERIOD_OVERRIDE=FQ","FILING_STATUS=MR","SCALING_FORMAT=MLN","Sort=A","Dates=H","DateFormat=P","Fill=—","Direction=H","UseDPDF=Y")</f>
        <v>2139</v>
      </c>
      <c r="G50" s="13">
        <f>_xll.BDH("GILD US Equity","IS_COMP_NET_INC_EXCL_STOCK_COMP","FQ2 2020","FQ2 2020","Currency=USD","Period=FQ","BEST_FPERIOD_OVERRIDE=FQ","FILING_STATUS=MR","SCALING_FORMAT=MLN","Sort=A","Dates=H","DateFormat=P","Fill=—","Direction=H","UseDPDF=Y")</f>
        <v>1400</v>
      </c>
      <c r="H50" s="13">
        <f>_xll.BDH("GILD US Equity","IS_COMP_NET_INC_EXCL_STOCK_COMP","FQ3 2020","FQ3 2020","Currency=USD","Period=FQ","BEST_FPERIOD_OVERRIDE=FQ","FILING_STATUS=MR","SCALING_FORMAT=MLN","Sort=A","Dates=H","DateFormat=P","Fill=—","Direction=H","UseDPDF=Y")</f>
        <v>2657</v>
      </c>
      <c r="I50" s="13">
        <f>_xll.BDH("GILD US Equity","IS_COMP_NET_INC_EXCL_STOCK_COMP","FQ4 2020","FQ4 2020","Currency=USD","Period=FQ","BEST_FPERIOD_OVERRIDE=FQ","FILING_STATUS=MR","SCALING_FORMAT=MLN","Sort=A","Dates=H","DateFormat=P","Fill=—","Direction=H","UseDPDF=Y")</f>
        <v>2762</v>
      </c>
      <c r="J50" s="13">
        <f>_xll.BDH("GILD US Equity","IS_COMP_NET_INC_EXCL_STOCK_COMP","FQ1 2021","FQ1 2021","Currency=USD","Period=FQ","BEST_FPERIOD_OVERRIDE=FQ","FILING_STATUS=MR","SCALING_FORMAT=MLN","Sort=A","Dates=H","DateFormat=P","Fill=—","Direction=H","UseDPDF=Y")</f>
        <v>2628</v>
      </c>
      <c r="K50" s="13">
        <f>_xll.BDH("GILD US Equity","IS_COMP_NET_INC_EXCL_STOCK_COMP","FQ2 2021","FQ2 2021","Currency=USD","Period=FQ","BEST_FPERIOD_OVERRIDE=FQ","FILING_STATUS=MR","SCALING_FORMAT=MLN","Sort=A","Dates=H","DateFormat=P","Fill=—","Direction=H","UseDPDF=Y")</f>
        <v>2353</v>
      </c>
      <c r="L50" s="13">
        <f>_xll.BDH("GILD US Equity","IS_COMP_NET_INC_EXCL_STOCK_COMP","FQ3 2021","FQ3 2021","Currency=USD","Period=FQ","BEST_FPERIOD_OVERRIDE=FQ","FILING_STATUS=MR","SCALING_FORMAT=MLN","Sort=A","Dates=H","DateFormat=P","Fill=—","Direction=H","UseDPDF=Y")</f>
        <v>3343</v>
      </c>
      <c r="M50" s="13">
        <f>_xll.BDH("GILD US Equity","IS_COMP_NET_INC_EXCL_STOCK_COMP","FQ4 2021","FQ4 2021","Currency=USD","Period=FQ","BEST_FPERIOD_OVERRIDE=FQ","FILING_STATUS=MR","SCALING_FORMAT=MLN","Sort=A","Dates=H","DateFormat=P","Fill=—","Direction=H","UseDPDF=Y")</f>
        <v>866</v>
      </c>
      <c r="N50" s="13">
        <f>_xll.BDH("GILD US Equity","IS_COMP_NET_INC_EXCL_STOCK_COMP","FQ1 2022","FQ1 2022","Currency=USD","Period=FQ","BEST_FPERIOD_OVERRIDE=FQ","FILING_STATUS=MR","SCALING_FORMAT=MLN","Sort=A","Dates=H","DateFormat=P","Fill=—","Direction=H","UseDPDF=Y")</f>
        <v>2676</v>
      </c>
      <c r="O50" s="13">
        <f>_xll.BDH("GILD US Equity","IS_COMP_NET_INC_EXCL_STOCK_COMP","FQ2 2022","FQ2 2022","Currency=USD","Period=FQ","BEST_FPERIOD_OVERRIDE=FQ","FILING_STATUS=MR","SCALING_FORMAT=MLN","Sort=A","Dates=H","DateFormat=P","Fill=—","Direction=H","UseDPDF=Y")</f>
        <v>1985</v>
      </c>
      <c r="P50" s="13">
        <f>_xll.BDH("GILD US Equity","IS_COMP_NET_INC_EXCL_STOCK_COMP","FQ3 2022","FQ3 2022","Currency=USD","Period=FQ","BEST_FPERIOD_OVERRIDE=FQ","FILING_STATUS=MR","SCALING_FORMAT=MLN","Sort=A","Dates=H","DateFormat=P","Fill=—","Direction=H","UseDPDF=Y")</f>
        <v>2391</v>
      </c>
      <c r="Q50" s="13">
        <f>_xll.BDH("GILD US Equity","IS_COMP_NET_INC_EXCL_STOCK_COMP","FQ4 2022","FQ4 2022","Currency=USD","Period=FQ","BEST_FPERIOD_OVERRIDE=FQ","FILING_STATUS=MR","SCALING_FORMAT=MLN","Sort=A","Dates=H","DateFormat=P","Fill=—","Direction=H","UseDPDF=Y")</f>
        <v>2106</v>
      </c>
      <c r="R50" s="13">
        <f>_xll.BDH("GILD US Equity","IS_COMP_NET_INC_EXCL_STOCK_COMP","FQ1 2023","FQ1 2023","Currency=USD","Period=FQ","BEST_FPERIOD_OVERRIDE=FQ","FILING_STATUS=MR","SCALING_FORMAT=MLN","Sort=A","Dates=H","DateFormat=P","Fill=—","Direction=H","UseDPDF=Y")</f>
        <v>1725</v>
      </c>
      <c r="S50" s="13">
        <f>_xll.BDH("GILD US Equity","IS_COMP_NET_INC_EXCL_STOCK_COMP","FQ2 2023","FQ2 2023","Currency=USD","Period=FQ","BEST_FPERIOD_OVERRIDE=FQ","FILING_STATUS=MR","SCALING_FORMAT=MLN","Sort=A","Dates=H","DateFormat=P","Fill=—","Direction=H","UseDPDF=Y")</f>
        <v>1688</v>
      </c>
      <c r="T50" s="13">
        <f>_xll.BDH("GILD US Equity","IS_COMP_NET_INC_EXCL_STOCK_COMP","FQ3 2023","FQ3 2023","Currency=USD","Period=FQ","BEST_FPERIOD_OVERRIDE=FQ","FILING_STATUS=MR","SCALING_FORMAT=MLN","Sort=A","Dates=H","DateFormat=P","Fill=—","Direction=H","UseDPDF=Y")</f>
        <v>2879</v>
      </c>
      <c r="U50" s="13">
        <f>_xll.BDH("GILD US Equity","IS_COMP_NET_INC_EXCL_STOCK_COMP","FQ4 2023","FQ4 2023","Currency=USD","Period=FQ","BEST_FPERIOD_OVERRIDE=FQ","FILING_STATUS=MR","SCALING_FORMAT=MLN","Sort=A","Dates=H","DateFormat=P","Fill=—","Direction=H","UseDPDF=Y")</f>
        <v>2161</v>
      </c>
      <c r="V50" s="13">
        <f>_xll.BDH("GILD US Equity","IS_COMP_NET_INC_EXCL_STOCK_COMP","FQ1 2024","FQ1 2024","Currency=USD","Period=FQ","BEST_FPERIOD_OVERRIDE=FQ","FILING_STATUS=MR","SCALING_FORMAT=MLN","Sort=A","Dates=H","DateFormat=P","Fill=—","Direction=H","UseDPDF=Y")</f>
        <v>-1644</v>
      </c>
      <c r="W50" s="13">
        <f>_xll.BDH("GILD US Equity","IS_COMP_NET_INC_EXCL_STOCK_COMP","FQ2 2024","FQ2 2024","Currency=USD","Period=FQ","BEST_FPERIOD_OVERRIDE=FQ","FILING_STATUS=MR","SCALING_FORMAT=MLN","Sort=A","Dates=H","DateFormat=P","Fill=—","Direction=H","UseDPDF=Y")</f>
        <v>2519</v>
      </c>
      <c r="X50" s="13" t="str">
        <f>_xll.BDH("GILD US Equity","IS_COMP_NET_INC_EXCL_STOCK_COMP","FQ3 2024","FQ3 2024","Currency=USD","Period=FQ","BEST_FPERIOD_OVERRIDE=FQ","FILING_STATUS=MR","SCALING_FORMAT=MLN","Sort=A","Dates=H","DateFormat=P","Fill=—","Direction=H","UseDPDF=Y")</f>
        <v>—</v>
      </c>
      <c r="Y50" s="13">
        <f>_xll.BDH("GILD US Equity","IS_COMP_NET_INC_EXCL_STOCK_COMP","FQ4 2024","FQ4 2024","Currency=USD","Period=FQ","BEST_FPERIOD_OVERRIDE=FQ","FILING_STATUS=MR","SCALING_FORMAT=MLN","Sort=A","Dates=H","DateFormat=P","Fill=—","Direction=H","UseDPDF=Y")</f>
        <v>2390</v>
      </c>
      <c r="Z50" s="13"/>
      <c r="AA50" s="13"/>
    </row>
    <row r="51" spans="1:27" x14ac:dyDescent="0.25">
      <c r="A51" s="11" t="s">
        <v>162</v>
      </c>
      <c r="B51" s="11"/>
      <c r="C51" s="25">
        <v>5.2132701421800904</v>
      </c>
      <c r="D51" s="25">
        <v>0.36101083032490999</v>
      </c>
      <c r="E51" s="25">
        <v>-21.212892487770802</v>
      </c>
      <c r="F51" s="25">
        <v>4.3705344269062198</v>
      </c>
      <c r="G51" s="25">
        <v>-23.5042485193974</v>
      </c>
      <c r="H51" s="25">
        <v>13.7901498929336</v>
      </c>
      <c r="I51" s="25">
        <v>8.3813469501951996</v>
      </c>
      <c r="J51" s="25">
        <v>1.2369943398966501</v>
      </c>
      <c r="K51" s="25">
        <v>6.02867415491363</v>
      </c>
      <c r="L51" s="25">
        <v>53.148406899237202</v>
      </c>
      <c r="M51" s="25">
        <v>-56.043643687542399</v>
      </c>
      <c r="N51" s="25">
        <v>18.883138230524899</v>
      </c>
      <c r="O51" s="25">
        <v>4.7443104315307298</v>
      </c>
      <c r="P51" s="25">
        <v>31.2065182915386</v>
      </c>
      <c r="Q51" s="25">
        <v>10.1409710291591</v>
      </c>
      <c r="R51" s="25">
        <v>-11.321403620245899</v>
      </c>
      <c r="S51" s="25">
        <v>-18.6880255111503</v>
      </c>
      <c r="T51" s="25">
        <v>19.1939524491066</v>
      </c>
      <c r="U51" s="25">
        <v>-9.2464170134073001E-2</v>
      </c>
      <c r="V51" s="25">
        <v>5.2945747732167998</v>
      </c>
      <c r="W51" s="25">
        <v>25.351758731454101</v>
      </c>
      <c r="X51" s="25" t="s">
        <v>148</v>
      </c>
      <c r="Y51" s="25">
        <v>12.9874059226202</v>
      </c>
      <c r="Z51" s="25"/>
      <c r="AA51" s="25"/>
    </row>
    <row r="52" spans="1:27" x14ac:dyDescent="0.25">
      <c r="A52" s="10" t="s">
        <v>135</v>
      </c>
      <c r="B52" s="10" t="s">
        <v>80</v>
      </c>
      <c r="C52" s="13">
        <f>_xll.BDH("GILD US Equity","EARN_FOR_COMMON","FQ2 2019","FQ2 2019","Currency=USD","Period=FQ","BEST_FPERIOD_OVERRIDE=FQ","FILING_STATUS=MR","SCALING_FORMAT=MLN","FA_ADJUSTED=GAAP","Sort=A","Dates=H","DateFormat=P","Fill=—","Direction=H","UseDPDF=Y")</f>
        <v>1880</v>
      </c>
      <c r="D52" s="13">
        <f>_xll.BDH("GILD US Equity","EARN_FOR_COMMON","FQ3 2019","FQ3 2019","Currency=USD","Period=FQ","BEST_FPERIOD_OVERRIDE=FQ","FILING_STATUS=MR","SCALING_FORMAT=MLN","FA_ADJUSTED=GAAP","Sort=A","Dates=H","DateFormat=P","Fill=—","Direction=H","UseDPDF=Y")</f>
        <v>-1165</v>
      </c>
      <c r="E52" s="13">
        <f>_xll.BDH("GILD US Equity","EARN_FOR_COMMON","FQ4 2019","FQ4 2019","Currency=USD","Period=FQ","BEST_FPERIOD_OVERRIDE=FQ","FILING_STATUS=MR","SCALING_FORMAT=MLN","FA_ADJUSTED=GAAP","Sort=A","Dates=H","DateFormat=P","Fill=—","Direction=H","UseDPDF=Y")</f>
        <v>2696</v>
      </c>
      <c r="F52" s="13">
        <f>_xll.BDH("GILD US Equity","EARN_FOR_COMMON","FQ1 2020","FQ1 2020","Currency=USD","Period=FQ","BEST_FPERIOD_OVERRIDE=FQ","FILING_STATUS=MR","SCALING_FORMAT=MLN","FA_ADJUSTED=GAAP","Sort=A","Dates=H","DateFormat=P","Fill=—","Direction=H","UseDPDF=Y")</f>
        <v>1551</v>
      </c>
      <c r="G52" s="13">
        <f>_xll.BDH("GILD US Equity","EARN_FOR_COMMON","FQ2 2020","FQ2 2020","Currency=USD","Period=FQ","BEST_FPERIOD_OVERRIDE=FQ","FILING_STATUS=MR","SCALING_FORMAT=MLN","FA_ADJUSTED=GAAP","Sort=A","Dates=H","DateFormat=P","Fill=—","Direction=H","UseDPDF=Y")</f>
        <v>-3339</v>
      </c>
      <c r="H52" s="13">
        <f>_xll.BDH("GILD US Equity","EARN_FOR_COMMON","FQ3 2020","FQ3 2020","Currency=USD","Period=FQ","BEST_FPERIOD_OVERRIDE=FQ","FILING_STATUS=MR","SCALING_FORMAT=MLN","FA_ADJUSTED=GAAP","Sort=A","Dates=H","DateFormat=P","Fill=—","Direction=H","UseDPDF=Y")</f>
        <v>360</v>
      </c>
      <c r="I52" s="13">
        <f>_xll.BDH("GILD US Equity","EARN_FOR_COMMON","FQ4 2020","FQ4 2020","Currency=USD","Period=FQ","BEST_FPERIOD_OVERRIDE=FQ","FILING_STATUS=MR","SCALING_FORMAT=MLN","FA_ADJUSTED=GAAP","Sort=A","Dates=H","DateFormat=P","Fill=—","Direction=H","UseDPDF=Y")</f>
        <v>1551</v>
      </c>
      <c r="J52" s="13">
        <f>_xll.BDH("GILD US Equity","EARN_FOR_COMMON","FQ1 2021","FQ1 2021","Currency=USD","Period=FQ","BEST_FPERIOD_OVERRIDE=FQ","FILING_STATUS=MR","SCALING_FORMAT=MLN","FA_ADJUSTED=GAAP","Sort=A","Dates=H","DateFormat=P","Fill=—","Direction=H","UseDPDF=Y")</f>
        <v>1729</v>
      </c>
      <c r="K52" s="13">
        <f>_xll.BDH("GILD US Equity","EARN_FOR_COMMON","FQ2 2021","FQ2 2021","Currency=USD","Period=FQ","BEST_FPERIOD_OVERRIDE=FQ","FILING_STATUS=MR","SCALING_FORMAT=MLN","FA_ADJUSTED=GAAP","Sort=A","Dates=H","DateFormat=P","Fill=—","Direction=H","UseDPDF=Y")</f>
        <v>1522</v>
      </c>
      <c r="L52" s="13">
        <f>_xll.BDH("GILD US Equity","EARN_FOR_COMMON","FQ3 2021","FQ3 2021","Currency=USD","Period=FQ","BEST_FPERIOD_OVERRIDE=FQ","FILING_STATUS=MR","SCALING_FORMAT=MLN","FA_ADJUSTED=GAAP","Sort=A","Dates=H","DateFormat=P","Fill=—","Direction=H","UseDPDF=Y")</f>
        <v>2592</v>
      </c>
      <c r="M52" s="13">
        <f>_xll.BDH("GILD US Equity","EARN_FOR_COMMON","FQ4 2021","FQ4 2021","Currency=USD","Period=FQ","BEST_FPERIOD_OVERRIDE=FQ","FILING_STATUS=MR","SCALING_FORMAT=MLN","FA_ADJUSTED=GAAP","Sort=A","Dates=H","DateFormat=P","Fill=—","Direction=H","UseDPDF=Y")</f>
        <v>382</v>
      </c>
      <c r="N52" s="13">
        <f>_xll.BDH("GILD US Equity","EARN_FOR_COMMON","FQ1 2022","FQ1 2022","Currency=USD","Period=FQ","BEST_FPERIOD_OVERRIDE=FQ","FILING_STATUS=MR","SCALING_FORMAT=MLN","FA_ADJUSTED=GAAP","Sort=A","Dates=H","DateFormat=P","Fill=—","Direction=H","UseDPDF=Y")</f>
        <v>19</v>
      </c>
      <c r="O52" s="13">
        <f>_xll.BDH("GILD US Equity","EARN_FOR_COMMON","FQ2 2022","FQ2 2022","Currency=USD","Period=FQ","BEST_FPERIOD_OVERRIDE=FQ","FILING_STATUS=MR","SCALING_FORMAT=MLN","FA_ADJUSTED=GAAP","Sort=A","Dates=H","DateFormat=P","Fill=—","Direction=H","UseDPDF=Y")</f>
        <v>1144</v>
      </c>
      <c r="P52" s="13">
        <f>_xll.BDH("GILD US Equity","EARN_FOR_COMMON","FQ3 2022","FQ3 2022","Currency=USD","Period=FQ","BEST_FPERIOD_OVERRIDE=FQ","FILING_STATUS=MR","SCALING_FORMAT=MLN","FA_ADJUSTED=GAAP","Sort=A","Dates=H","DateFormat=P","Fill=—","Direction=H","UseDPDF=Y")</f>
        <v>1789</v>
      </c>
      <c r="Q52" s="13">
        <f>_xll.BDH("GILD US Equity","EARN_FOR_COMMON","FQ4 2022","FQ4 2022","Currency=USD","Period=FQ","BEST_FPERIOD_OVERRIDE=FQ","FILING_STATUS=MR","SCALING_FORMAT=MLN","FA_ADJUSTED=GAAP","Sort=A","Dates=H","DateFormat=P","Fill=—","Direction=H","UseDPDF=Y")</f>
        <v>1640</v>
      </c>
      <c r="R52" s="13">
        <f>_xll.BDH("GILD US Equity","EARN_FOR_COMMON","FQ1 2023","FQ1 2023","Currency=USD","Period=FQ","BEST_FPERIOD_OVERRIDE=FQ","FILING_STATUS=MR","SCALING_FORMAT=MLN","FA_ADJUSTED=GAAP","Sort=A","Dates=H","DateFormat=P","Fill=—","Direction=H","UseDPDF=Y")</f>
        <v>1010</v>
      </c>
      <c r="S52" s="13">
        <f>_xll.BDH("GILD US Equity","EARN_FOR_COMMON","FQ2 2023","FQ2 2023","Currency=USD","Period=FQ","BEST_FPERIOD_OVERRIDE=FQ","FILING_STATUS=MR","SCALING_FORMAT=MLN","FA_ADJUSTED=GAAP","Sort=A","Dates=H","DateFormat=P","Fill=—","Direction=H","UseDPDF=Y")</f>
        <v>1045</v>
      </c>
      <c r="T52" s="13">
        <f>_xll.BDH("GILD US Equity","EARN_FOR_COMMON","FQ3 2023","FQ3 2023","Currency=USD","Period=FQ","BEST_FPERIOD_OVERRIDE=FQ","FILING_STATUS=MR","SCALING_FORMAT=MLN","FA_ADJUSTED=GAAP","Sort=A","Dates=H","DateFormat=P","Fill=—","Direction=H","UseDPDF=Y")</f>
        <v>2180</v>
      </c>
      <c r="U52" s="13">
        <f>_xll.BDH("GILD US Equity","EARN_FOR_COMMON","FQ4 2023","FQ4 2023","Currency=USD","Period=FQ","BEST_FPERIOD_OVERRIDE=FQ","FILING_STATUS=MR","SCALING_FORMAT=MLN","FA_ADJUSTED=GAAP","Sort=A","Dates=H","DateFormat=P","Fill=—","Direction=H","UseDPDF=Y")</f>
        <v>1429</v>
      </c>
      <c r="V52" s="13">
        <f>_xll.BDH("GILD US Equity","EARN_FOR_COMMON","FQ1 2024","FQ1 2024","Currency=USD","Period=FQ","BEST_FPERIOD_OVERRIDE=FQ","FILING_STATUS=MR","SCALING_FORMAT=MLN","FA_ADJUSTED=GAAP","Sort=A","Dates=H","DateFormat=P","Fill=—","Direction=H","UseDPDF=Y")</f>
        <v>-4170</v>
      </c>
      <c r="W52" s="13">
        <f>_xll.BDH("GILD US Equity","EARN_FOR_COMMON","FQ2 2024","FQ2 2024","Currency=USD","Period=FQ","BEST_FPERIOD_OVERRIDE=FQ","FILING_STATUS=MR","SCALING_FORMAT=MLN","FA_ADJUSTED=GAAP","Sort=A","Dates=H","DateFormat=P","Fill=—","Direction=H","UseDPDF=Y")</f>
        <v>1614</v>
      </c>
      <c r="X52" s="13">
        <f>_xll.BDH("GILD US Equity","EARN_FOR_COMMON","FQ3 2024","FQ3 2024","Currency=USD","Period=FQ","BEST_FPERIOD_OVERRIDE=FQ","FILING_STATUS=MR","SCALING_FORMAT=MLN","FA_ADJUSTED=GAAP","Sort=A","Dates=H","DateFormat=P","Fill=—","Direction=H","UseDPDF=Y")</f>
        <v>1253</v>
      </c>
      <c r="Y52" s="13">
        <f>_xll.BDH("GILD US Equity","EARN_FOR_COMMON","FQ4 2024","FQ4 2024","Currency=USD","Period=FQ","BEST_FPERIOD_OVERRIDE=FQ","FILING_STATUS=MR","SCALING_FORMAT=MLN","FA_ADJUSTED=GAAP","Sort=A","Dates=H","DateFormat=P","Fill=—","Direction=H","UseDPDF=Y")</f>
        <v>1783</v>
      </c>
      <c r="Z52" s="13"/>
      <c r="AA52" s="13"/>
    </row>
    <row r="53" spans="1:27" x14ac:dyDescent="0.25">
      <c r="A53" s="10" t="s">
        <v>136</v>
      </c>
      <c r="B53" s="10" t="s">
        <v>80</v>
      </c>
      <c r="C53" s="13">
        <f>_xll.BDH("GILD US Equity","EARN_FOR_COMMON","FQ2 2019","FQ2 2019","Currency=USD","Period=FQ","BEST_FPERIOD_OVERRIDE=FQ","FILING_STATUS=MR","SCALING_FORMAT=MLN","FA_ADJUSTED=Adjusted","Sort=A","Dates=H","DateFormat=P","Fill=—","Direction=H","UseDPDF=Y")</f>
        <v>1944</v>
      </c>
      <c r="D53" s="13">
        <f>_xll.BDH("GILD US Equity","EARN_FOR_COMMON","FQ3 2019","FQ3 2019","Currency=USD","Period=FQ","BEST_FPERIOD_OVERRIDE=FQ","FILING_STATUS=MR","SCALING_FORMAT=MLN","FA_ADJUSTED=Adjusted","Sort=A","Dates=H","DateFormat=P","Fill=—","Direction=H","UseDPDF=Y")</f>
        <v>1844</v>
      </c>
      <c r="E53" s="13">
        <f>_xll.BDH("GILD US Equity","EARN_FOR_COMMON","FQ4 2019","FQ4 2019","Currency=USD","Period=FQ","BEST_FPERIOD_OVERRIDE=FQ","FILING_STATUS=MR","SCALING_FORMAT=MLN","FA_ADJUSTED=Adjusted","Sort=A","Dates=H","DateFormat=P","Fill=—","Direction=H","UseDPDF=Y")</f>
        <v>1153</v>
      </c>
      <c r="F53" s="13">
        <f>_xll.BDH("GILD US Equity","EARN_FOR_COMMON","FQ1 2020","FQ1 2020","Currency=USD","Period=FQ","BEST_FPERIOD_OVERRIDE=FQ","FILING_STATUS=MR","SCALING_FORMAT=MLN","FA_ADJUSTED=Adjusted","Sort=A","Dates=H","DateFormat=P","Fill=—","Direction=H","UseDPDF=Y")</f>
        <v>2139</v>
      </c>
      <c r="G53" s="13">
        <f>_xll.BDH("GILD US Equity","EARN_FOR_COMMON","FQ2 2020","FQ2 2020","Currency=USD","Period=FQ","BEST_FPERIOD_OVERRIDE=FQ","FILING_STATUS=MR","SCALING_FORMAT=MLN","FA_ADJUSTED=Adjusted","Sort=A","Dates=H","DateFormat=P","Fill=—","Direction=H","UseDPDF=Y")</f>
        <v>1176</v>
      </c>
      <c r="H53" s="13">
        <f>_xll.BDH("GILD US Equity","EARN_FOR_COMMON","FQ3 2020","FQ3 2020","Currency=USD","Period=FQ","BEST_FPERIOD_OVERRIDE=FQ","FILING_STATUS=MR","SCALING_FORMAT=MLN","FA_ADJUSTED=Adjusted","Sort=A","Dates=H","DateFormat=P","Fill=—","Direction=H","UseDPDF=Y")</f>
        <v>2431.21</v>
      </c>
      <c r="I53" s="13">
        <f>_xll.BDH("GILD US Equity","EARN_FOR_COMMON","FQ4 2020","FQ4 2020","Currency=USD","Period=FQ","BEST_FPERIOD_OVERRIDE=FQ","FILING_STATUS=MR","SCALING_FORMAT=MLN","FA_ADJUSTED=Adjusted","Sort=A","Dates=H","DateFormat=P","Fill=—","Direction=H","UseDPDF=Y")</f>
        <v>2433</v>
      </c>
      <c r="J53" s="13">
        <f>_xll.BDH("GILD US Equity","EARN_FOR_COMMON","FQ1 2021","FQ1 2021","Currency=USD","Period=FQ","BEST_FPERIOD_OVERRIDE=FQ","FILING_STATUS=MR","SCALING_FORMAT=MLN","FA_ADJUSTED=Adjusted","Sort=A","Dates=H","DateFormat=P","Fill=—","Direction=H","UseDPDF=Y")</f>
        <v>2628</v>
      </c>
      <c r="K53" s="13">
        <f>_xll.BDH("GILD US Equity","EARN_FOR_COMMON","FQ2 2021","FQ2 2021","Currency=USD","Period=FQ","BEST_FPERIOD_OVERRIDE=FQ","FILING_STATUS=MR","SCALING_FORMAT=MLN","FA_ADJUSTED=Adjusted","Sort=A","Dates=H","DateFormat=P","Fill=—","Direction=H","UseDPDF=Y")</f>
        <v>1907</v>
      </c>
      <c r="L53" s="13">
        <f>_xll.BDH("GILD US Equity","EARN_FOR_COMMON","FQ3 2021","FQ3 2021","Currency=USD","Period=FQ","BEST_FPERIOD_OVERRIDE=FQ","FILING_STATUS=MR","SCALING_FORMAT=MLN","FA_ADJUSTED=Adjusted","Sort=A","Dates=H","DateFormat=P","Fill=—","Direction=H","UseDPDF=Y")</f>
        <v>2912.01</v>
      </c>
      <c r="M53" s="13">
        <f>_xll.BDH("GILD US Equity","EARN_FOR_COMMON","FQ4 2021","FQ4 2021","Currency=USD","Period=FQ","BEST_FPERIOD_OVERRIDE=FQ","FILING_STATUS=MR","SCALING_FORMAT=MLN","FA_ADJUSTED=Adjusted","Sort=A","Dates=H","DateFormat=P","Fill=—","Direction=H","UseDPDF=Y")</f>
        <v>952.62</v>
      </c>
      <c r="N53" s="13">
        <f>_xll.BDH("GILD US Equity","EARN_FOR_COMMON","FQ1 2022","FQ1 2022","Currency=USD","Period=FQ","BEST_FPERIOD_OVERRIDE=FQ","FILING_STATUS=MR","SCALING_FORMAT=MLN","FA_ADJUSTED=Adjusted","Sort=A","Dates=H","DateFormat=P","Fill=—","Direction=H","UseDPDF=Y")</f>
        <v>2169</v>
      </c>
      <c r="O53" s="13">
        <f>_xll.BDH("GILD US Equity","EARN_FOR_COMMON","FQ2 2022","FQ2 2022","Currency=USD","Period=FQ","BEST_FPERIOD_OVERRIDE=FQ","FILING_STATUS=MR","SCALING_FORMAT=MLN","FA_ADJUSTED=Adjusted","Sort=A","Dates=H","DateFormat=P","Fill=—","Direction=H","UseDPDF=Y")</f>
        <v>1802.7</v>
      </c>
      <c r="P53" s="13">
        <f>_xll.BDH("GILD US Equity","EARN_FOR_COMMON","FQ3 2022","FQ3 2022","Currency=USD","Period=FQ","BEST_FPERIOD_OVERRIDE=FQ","FILING_STATUS=MR","SCALING_FORMAT=MLN","FA_ADJUSTED=Adjusted","Sort=A","Dates=H","DateFormat=P","Fill=—","Direction=H","UseDPDF=Y")</f>
        <v>2744.13</v>
      </c>
      <c r="Q53" s="13">
        <f>_xll.BDH("GILD US Equity","EARN_FOR_COMMON","FQ4 2022","FQ4 2022","Currency=USD","Period=FQ","BEST_FPERIOD_OVERRIDE=FQ","FILING_STATUS=MR","SCALING_FORMAT=MLN","FA_ADJUSTED=Adjusted","Sort=A","Dates=H","DateFormat=P","Fill=—","Direction=H","UseDPDF=Y")</f>
        <v>1884.82</v>
      </c>
      <c r="R53" s="13">
        <f>_xll.BDH("GILD US Equity","EARN_FOR_COMMON","FQ1 2023","FQ1 2023","Currency=USD","Period=FQ","BEST_FPERIOD_OVERRIDE=FQ","FILING_STATUS=MR","SCALING_FORMAT=MLN","FA_ADJUSTED=Adjusted","Sort=A","Dates=H","DateFormat=P","Fill=—","Direction=H","UseDPDF=Y")</f>
        <v>1681.99</v>
      </c>
      <c r="S53" s="13">
        <f>_xll.BDH("GILD US Equity","EARN_FOR_COMMON","FQ2 2023","FQ2 2023","Currency=USD","Period=FQ","BEST_FPERIOD_OVERRIDE=FQ","FILING_STATUS=MR","SCALING_FORMAT=MLN","FA_ADJUSTED=Adjusted","Sort=A","Dates=H","DateFormat=P","Fill=—","Direction=H","UseDPDF=Y")</f>
        <v>1456.8065999999999</v>
      </c>
      <c r="T53" s="13">
        <f>_xll.BDH("GILD US Equity","EARN_FOR_COMMON","FQ3 2023","FQ3 2023","Currency=USD","Period=FQ","BEST_FPERIOD_OVERRIDE=FQ","FILING_STATUS=MR","SCALING_FORMAT=MLN","FA_ADJUSTED=Adjusted","Sort=A","Dates=H","DateFormat=P","Fill=—","Direction=H","UseDPDF=Y")</f>
        <v>2490.89</v>
      </c>
      <c r="U53" s="13">
        <f>_xll.BDH("GILD US Equity","EARN_FOR_COMMON","FQ4 2023","FQ4 2023","Currency=USD","Period=FQ","BEST_FPERIOD_OVERRIDE=FQ","FILING_STATUS=MR","SCALING_FORMAT=MLN","FA_ADJUSTED=Adjusted","Sort=A","Dates=H","DateFormat=P","Fill=—","Direction=H","UseDPDF=Y")</f>
        <v>1974.13</v>
      </c>
      <c r="V53" s="13">
        <f>_xll.BDH("GILD US Equity","EARN_FOR_COMMON","FQ1 2024","FQ1 2024","Currency=USD","Period=FQ","BEST_FPERIOD_OVERRIDE=FQ","FILING_STATUS=MR","SCALING_FORMAT=MLN","FA_ADJUSTED=Adjusted","Sort=A","Dates=H","DateFormat=P","Fill=—","Direction=H","UseDPDF=Y")</f>
        <v>1161.49</v>
      </c>
      <c r="W53" s="13">
        <f>_xll.BDH("GILD US Equity","EARN_FOR_COMMON","FQ2 2024","FQ2 2024","Currency=USD","Period=FQ","BEST_FPERIOD_OVERRIDE=FQ","FILING_STATUS=MR","SCALING_FORMAT=MLN","FA_ADJUSTED=Adjusted","Sort=A","Dates=H","DateFormat=P","Fill=—","Direction=H","UseDPDF=Y")</f>
        <v>2091.02</v>
      </c>
      <c r="X53" s="13">
        <f>_xll.BDH("GILD US Equity","EARN_FOR_COMMON","FQ3 2024","FQ3 2024","Currency=USD","Period=FQ","BEST_FPERIOD_OVERRIDE=FQ","FILING_STATUS=MR","SCALING_FORMAT=MLN","FA_ADJUSTED=Adjusted","Sort=A","Dates=H","DateFormat=P","Fill=—","Direction=H","UseDPDF=Y")</f>
        <v>2470.9499999999998</v>
      </c>
      <c r="Y53" s="13">
        <f>_xll.BDH("GILD US Equity","EARN_FOR_COMMON","FQ4 2024","FQ4 2024","Currency=USD","Period=FQ","BEST_FPERIOD_OVERRIDE=FQ","FILING_STATUS=MR","SCALING_FORMAT=MLN","FA_ADJUSTED=Adjusted","Sort=A","Dates=H","DateFormat=P","Fill=—","Direction=H","UseDPDF=Y")</f>
        <v>1923.31</v>
      </c>
      <c r="Z53" s="13"/>
      <c r="AA53" s="13"/>
    </row>
    <row r="54" spans="1:27" x14ac:dyDescent="0.25">
      <c r="A54" s="7" t="s">
        <v>90</v>
      </c>
      <c r="B54" s="7"/>
      <c r="C54" s="7" t="s">
        <v>5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Z93"/>
  <sheetViews>
    <sheetView workbookViewId="0">
      <selection activeCell="N8" sqref="A1:XFD1048576"/>
    </sheetView>
  </sheetViews>
  <sheetFormatPr defaultRowHeight="15" x14ac:dyDescent="0.25"/>
  <cols>
    <col min="1" max="1" width="35.140625" customWidth="1"/>
    <col min="2" max="2" width="0" hidden="1" customWidth="1"/>
    <col min="3" max="3" width="11.85546875" customWidth="1"/>
    <col min="4" max="4" width="7" customWidth="1"/>
    <col min="5" max="5" width="11.85546875" customWidth="1"/>
    <col min="6" max="6" width="7" customWidth="1"/>
    <col min="7" max="7" width="11.85546875" customWidth="1"/>
    <col min="8" max="8" width="7" customWidth="1"/>
    <col min="9" max="9" width="11.85546875" customWidth="1"/>
    <col min="10" max="10" width="7" customWidth="1"/>
    <col min="11" max="11" width="11.85546875" customWidth="1"/>
    <col min="12" max="12" width="7" customWidth="1"/>
    <col min="13" max="13" width="11.85546875" customWidth="1"/>
    <col min="14" max="14" width="7" customWidth="1"/>
    <col min="15" max="15" width="11.85546875" customWidth="1"/>
    <col min="16" max="16" width="7" customWidth="1"/>
    <col min="17" max="17" width="11.85546875" customWidth="1"/>
    <col min="18" max="18" width="7" customWidth="1"/>
    <col min="19" max="19" width="11.85546875" customWidth="1"/>
    <col min="20" max="20" width="7" customWidth="1"/>
    <col min="21" max="21" width="11.85546875" customWidth="1"/>
    <col min="22" max="22" width="7" customWidth="1"/>
    <col min="23" max="23" width="11.85546875" customWidth="1"/>
    <col min="24" max="24" width="7" customWidth="1"/>
    <col min="25" max="25" width="11.85546875" customWidth="1"/>
    <col min="26" max="26" width="7" customWidth="1"/>
    <col min="27" max="27" width="11.85546875" customWidth="1"/>
    <col min="28" max="28" width="7" customWidth="1"/>
    <col min="29" max="29" width="11.85546875" customWidth="1"/>
    <col min="30" max="30" width="7" customWidth="1"/>
    <col min="31" max="31" width="11.85546875" customWidth="1"/>
    <col min="32" max="32" width="7" customWidth="1"/>
    <col min="33" max="33" width="11.85546875" customWidth="1"/>
    <col min="34" max="34" width="7" customWidth="1"/>
    <col min="35" max="35" width="11.85546875" customWidth="1"/>
    <col min="36" max="36" width="7" customWidth="1"/>
    <col min="37" max="37" width="11.85546875" customWidth="1"/>
    <col min="38" max="38" width="7" customWidth="1"/>
    <col min="39" max="39" width="11.85546875" customWidth="1"/>
    <col min="40" max="40" width="7" customWidth="1"/>
    <col min="41" max="41" width="11.85546875" customWidth="1"/>
    <col min="42" max="42" width="7" customWidth="1"/>
    <col min="43" max="43" width="11.85546875" customWidth="1"/>
    <col min="44" max="44" width="7" customWidth="1"/>
    <col min="45" max="45" width="11.85546875" customWidth="1"/>
    <col min="46" max="46" width="7" customWidth="1"/>
    <col min="47" max="47" width="11.85546875" customWidth="1"/>
    <col min="48" max="48" width="7" customWidth="1"/>
    <col min="49" max="49" width="11.85546875" customWidth="1"/>
    <col min="50" max="50" width="7" customWidth="1"/>
    <col min="51" max="51" width="11.85546875" customWidth="1"/>
    <col min="52" max="52" width="7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20.25" x14ac:dyDescent="0.25">
      <c r="A2" s="8" t="s">
        <v>1765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5">
      <c r="A4" s="3" t="s">
        <v>92</v>
      </c>
      <c r="B4" s="3"/>
      <c r="C4" s="30" t="s">
        <v>93</v>
      </c>
      <c r="D4" s="30"/>
      <c r="E4" s="30" t="s">
        <v>94</v>
      </c>
      <c r="F4" s="30"/>
      <c r="G4" s="30" t="s">
        <v>9</v>
      </c>
      <c r="H4" s="30"/>
      <c r="I4" s="30" t="s">
        <v>10</v>
      </c>
      <c r="J4" s="30"/>
      <c r="K4" s="30" t="s">
        <v>11</v>
      </c>
      <c r="L4" s="30"/>
      <c r="M4" s="30" t="s">
        <v>12</v>
      </c>
      <c r="N4" s="30"/>
      <c r="O4" s="30" t="s">
        <v>13</v>
      </c>
      <c r="P4" s="30"/>
      <c r="Q4" s="30" t="s">
        <v>14</v>
      </c>
      <c r="R4" s="30"/>
      <c r="S4" s="30" t="s">
        <v>15</v>
      </c>
      <c r="T4" s="30"/>
      <c r="U4" s="30" t="s">
        <v>16</v>
      </c>
      <c r="V4" s="30"/>
      <c r="W4" s="30" t="s">
        <v>17</v>
      </c>
      <c r="X4" s="30"/>
      <c r="Y4" s="30" t="s">
        <v>18</v>
      </c>
      <c r="Z4" s="30"/>
      <c r="AA4" s="30" t="s">
        <v>19</v>
      </c>
      <c r="AB4" s="30"/>
      <c r="AC4" s="30" t="s">
        <v>20</v>
      </c>
      <c r="AD4" s="30"/>
      <c r="AE4" s="30" t="s">
        <v>21</v>
      </c>
      <c r="AF4" s="30"/>
      <c r="AG4" s="30" t="s">
        <v>22</v>
      </c>
      <c r="AH4" s="30"/>
      <c r="AI4" s="30" t="s">
        <v>23</v>
      </c>
      <c r="AJ4" s="30"/>
      <c r="AK4" s="30" t="s">
        <v>24</v>
      </c>
      <c r="AL4" s="30"/>
      <c r="AM4" s="30" t="s">
        <v>25</v>
      </c>
      <c r="AN4" s="30"/>
      <c r="AO4" s="30" t="s">
        <v>26</v>
      </c>
      <c r="AP4" s="30"/>
      <c r="AQ4" s="30" t="s">
        <v>27</v>
      </c>
      <c r="AR4" s="30"/>
      <c r="AS4" s="30" t="s">
        <v>28</v>
      </c>
      <c r="AT4" s="30"/>
      <c r="AU4" s="30" t="s">
        <v>29</v>
      </c>
      <c r="AV4" s="30"/>
      <c r="AW4" s="30" t="s">
        <v>30</v>
      </c>
      <c r="AX4" s="30"/>
      <c r="AY4" s="30" t="s">
        <v>31</v>
      </c>
      <c r="AZ4" s="30"/>
    </row>
    <row r="5" spans="1:52" x14ac:dyDescent="0.25">
      <c r="A5" s="9" t="s">
        <v>34</v>
      </c>
      <c r="B5" s="9"/>
      <c r="C5" s="31" t="s">
        <v>95</v>
      </c>
      <c r="D5" s="31"/>
      <c r="E5" s="31" t="s">
        <v>96</v>
      </c>
      <c r="F5" s="31"/>
      <c r="G5" s="31" t="s">
        <v>35</v>
      </c>
      <c r="H5" s="31"/>
      <c r="I5" s="31" t="s">
        <v>36</v>
      </c>
      <c r="J5" s="31"/>
      <c r="K5" s="31" t="s">
        <v>37</v>
      </c>
      <c r="L5" s="31"/>
      <c r="M5" s="31" t="s">
        <v>38</v>
      </c>
      <c r="N5" s="31"/>
      <c r="O5" s="31" t="s">
        <v>39</v>
      </c>
      <c r="P5" s="31"/>
      <c r="Q5" s="31" t="s">
        <v>40</v>
      </c>
      <c r="R5" s="31"/>
      <c r="S5" s="31" t="s">
        <v>41</v>
      </c>
      <c r="T5" s="31"/>
      <c r="U5" s="31" t="s">
        <v>42</v>
      </c>
      <c r="V5" s="31"/>
      <c r="W5" s="31" t="s">
        <v>43</v>
      </c>
      <c r="X5" s="31"/>
      <c r="Y5" s="31" t="s">
        <v>44</v>
      </c>
      <c r="Z5" s="31"/>
      <c r="AA5" s="31" t="s">
        <v>45</v>
      </c>
      <c r="AB5" s="31"/>
      <c r="AC5" s="31" t="s">
        <v>46</v>
      </c>
      <c r="AD5" s="31"/>
      <c r="AE5" s="31" t="s">
        <v>47</v>
      </c>
      <c r="AF5" s="31"/>
      <c r="AG5" s="31" t="s">
        <v>48</v>
      </c>
      <c r="AH5" s="31"/>
      <c r="AI5" s="31" t="s">
        <v>49</v>
      </c>
      <c r="AJ5" s="31"/>
      <c r="AK5" s="31" t="s">
        <v>50</v>
      </c>
      <c r="AL5" s="31"/>
      <c r="AM5" s="31" t="s">
        <v>51</v>
      </c>
      <c r="AN5" s="31"/>
      <c r="AO5" s="31" t="s">
        <v>52</v>
      </c>
      <c r="AP5" s="31"/>
      <c r="AQ5" s="31" t="s">
        <v>53</v>
      </c>
      <c r="AR5" s="31"/>
      <c r="AS5" s="31" t="s">
        <v>54</v>
      </c>
      <c r="AT5" s="31"/>
      <c r="AU5" s="31" t="s">
        <v>55</v>
      </c>
      <c r="AV5" s="31"/>
      <c r="AW5" s="31" t="s">
        <v>56</v>
      </c>
      <c r="AX5" s="31"/>
      <c r="AY5" s="31" t="s">
        <v>57</v>
      </c>
      <c r="AZ5" s="31"/>
    </row>
    <row r="6" spans="1:52" x14ac:dyDescent="0.25">
      <c r="A6" s="6" t="s">
        <v>0</v>
      </c>
      <c r="B6" s="6"/>
      <c r="C6" s="36">
        <v>5795</v>
      </c>
      <c r="D6" s="37">
        <v>1</v>
      </c>
      <c r="E6" s="36">
        <v>5281</v>
      </c>
      <c r="F6" s="37">
        <v>1</v>
      </c>
      <c r="G6" s="36">
        <v>5685</v>
      </c>
      <c r="H6" s="37">
        <v>1</v>
      </c>
      <c r="I6" s="36">
        <v>5604</v>
      </c>
      <c r="J6" s="37">
        <v>1</v>
      </c>
      <c r="K6" s="36">
        <v>5879</v>
      </c>
      <c r="L6" s="37">
        <v>1</v>
      </c>
      <c r="M6" s="36">
        <v>5548</v>
      </c>
      <c r="N6" s="37">
        <v>1</v>
      </c>
      <c r="O6" s="36">
        <v>5143</v>
      </c>
      <c r="P6" s="37">
        <v>1</v>
      </c>
      <c r="Q6" s="36">
        <v>6577</v>
      </c>
      <c r="R6" s="37">
        <v>1</v>
      </c>
      <c r="S6" s="36">
        <v>7421</v>
      </c>
      <c r="T6" s="37">
        <v>1</v>
      </c>
      <c r="U6" s="36">
        <v>6423</v>
      </c>
      <c r="V6" s="37">
        <v>1</v>
      </c>
      <c r="W6" s="36">
        <v>6217</v>
      </c>
      <c r="X6" s="37">
        <v>1</v>
      </c>
      <c r="Y6" s="36">
        <v>7421</v>
      </c>
      <c r="Z6" s="37">
        <v>1</v>
      </c>
      <c r="AA6" s="36">
        <v>7244</v>
      </c>
      <c r="AB6" s="37">
        <v>1</v>
      </c>
      <c r="AC6" s="36">
        <v>6590</v>
      </c>
      <c r="AD6" s="37">
        <v>1</v>
      </c>
      <c r="AE6" s="36">
        <v>6217</v>
      </c>
      <c r="AF6" s="37">
        <v>1</v>
      </c>
      <c r="AG6" s="36">
        <v>7042</v>
      </c>
      <c r="AH6" s="37">
        <v>1</v>
      </c>
      <c r="AI6" s="36">
        <v>7389</v>
      </c>
      <c r="AJ6" s="37">
        <v>1</v>
      </c>
      <c r="AK6" s="36">
        <v>6352</v>
      </c>
      <c r="AL6" s="37">
        <v>1</v>
      </c>
      <c r="AM6" s="36">
        <v>6599</v>
      </c>
      <c r="AN6" s="37">
        <v>1</v>
      </c>
      <c r="AO6" s="36">
        <v>7051</v>
      </c>
      <c r="AP6" s="37">
        <v>1</v>
      </c>
      <c r="AQ6" s="36">
        <v>7115</v>
      </c>
      <c r="AR6" s="37">
        <v>1</v>
      </c>
      <c r="AS6" s="36">
        <v>6686</v>
      </c>
      <c r="AT6" s="37">
        <v>1</v>
      </c>
      <c r="AU6" s="36">
        <v>6912</v>
      </c>
      <c r="AV6" s="37">
        <v>1</v>
      </c>
      <c r="AW6" s="36">
        <v>7515</v>
      </c>
      <c r="AX6" s="37">
        <v>1</v>
      </c>
      <c r="AY6" s="36">
        <v>7569</v>
      </c>
      <c r="AZ6" s="37">
        <v>1</v>
      </c>
    </row>
    <row r="7" spans="1:52" x14ac:dyDescent="0.25">
      <c r="A7" s="10" t="s">
        <v>1766</v>
      </c>
      <c r="B7" s="10"/>
      <c r="C7" s="32">
        <v>4065</v>
      </c>
      <c r="D7" s="33">
        <v>0.70146678170836896</v>
      </c>
      <c r="E7" s="32">
        <v>3618</v>
      </c>
      <c r="F7" s="33">
        <v>0.68509751940920305</v>
      </c>
      <c r="G7" s="32">
        <v>4041</v>
      </c>
      <c r="H7" s="33">
        <v>0.71081794195250603</v>
      </c>
      <c r="I7" s="32">
        <v>4202</v>
      </c>
      <c r="J7" s="33">
        <v>0.74982155603140599</v>
      </c>
      <c r="K7" s="32">
        <v>4577</v>
      </c>
      <c r="L7" s="33">
        <v>0.77853376424562004</v>
      </c>
      <c r="M7" s="32">
        <v>4134</v>
      </c>
      <c r="N7" s="33">
        <v>0.745133381398702</v>
      </c>
      <c r="O7" s="32">
        <v>4000</v>
      </c>
      <c r="P7" s="33">
        <v>0.777756173439627</v>
      </c>
      <c r="Q7" s="32">
        <v>4547</v>
      </c>
      <c r="R7" s="33">
        <v>0.69134863919720202</v>
      </c>
      <c r="S7" s="32">
        <v>4219</v>
      </c>
      <c r="T7" s="33">
        <v>0.56852176256569198</v>
      </c>
      <c r="U7" s="32">
        <v>3650</v>
      </c>
      <c r="V7" s="33">
        <v>0.56827027868597202</v>
      </c>
      <c r="W7" s="32">
        <v>3938</v>
      </c>
      <c r="X7" s="33">
        <v>0.63342448126105799</v>
      </c>
      <c r="Y7" s="32">
        <v>4189</v>
      </c>
      <c r="Z7" s="33">
        <v>0.56447918070340897</v>
      </c>
      <c r="AA7" s="32">
        <v>4538</v>
      </c>
      <c r="AB7" s="33">
        <v>0.62644947542794005</v>
      </c>
      <c r="AC7" s="32">
        <v>3707</v>
      </c>
      <c r="AD7" s="33">
        <v>0.56251896813353597</v>
      </c>
      <c r="AE7" s="32">
        <v>3938</v>
      </c>
      <c r="AF7" s="33">
        <v>0.63342448126105799</v>
      </c>
      <c r="AG7" s="32">
        <v>4487</v>
      </c>
      <c r="AH7" s="33">
        <v>0.63717693836978095</v>
      </c>
      <c r="AI7" s="32">
        <v>4773</v>
      </c>
      <c r="AJ7" s="33">
        <v>0.64596021112464497</v>
      </c>
      <c r="AK7" s="32">
        <v>4189</v>
      </c>
      <c r="AL7" s="33">
        <v>0.65947732997481101</v>
      </c>
      <c r="AM7" s="32">
        <v>4626</v>
      </c>
      <c r="AN7" s="33">
        <v>0.70101530534929501</v>
      </c>
      <c r="AO7" s="32">
        <v>4667</v>
      </c>
      <c r="AP7" s="33">
        <v>0.66189193022266402</v>
      </c>
      <c r="AQ7" s="32">
        <v>4693</v>
      </c>
      <c r="AR7" s="33">
        <v>0.65959241040056205</v>
      </c>
      <c r="AS7" s="32">
        <v>4342</v>
      </c>
      <c r="AT7" s="33">
        <v>0.64941669159437598</v>
      </c>
      <c r="AU7" s="32">
        <v>4745</v>
      </c>
      <c r="AV7" s="33">
        <v>0.68648726851851805</v>
      </c>
      <c r="AW7" s="32">
        <v>5073</v>
      </c>
      <c r="AX7" s="33">
        <v>0.67504990019960098</v>
      </c>
      <c r="AY7" s="32">
        <v>5451</v>
      </c>
      <c r="AZ7" s="33">
        <v>0.72017439556083995</v>
      </c>
    </row>
    <row r="8" spans="1:52" x14ac:dyDescent="0.25">
      <c r="A8" s="10" t="s">
        <v>1767</v>
      </c>
      <c r="B8" s="10"/>
      <c r="C8" s="32">
        <v>578</v>
      </c>
      <c r="D8" s="33">
        <v>9.9741156169111306E-2</v>
      </c>
      <c r="E8" s="32">
        <v>793</v>
      </c>
      <c r="F8" s="33">
        <v>0.150160954364704</v>
      </c>
      <c r="G8" s="32">
        <v>1116</v>
      </c>
      <c r="H8" s="33">
        <v>0.19630606860158301</v>
      </c>
      <c r="I8" s="32">
        <v>1259</v>
      </c>
      <c r="J8" s="33">
        <v>0.22466095645967199</v>
      </c>
      <c r="K8" s="32">
        <v>1570</v>
      </c>
      <c r="L8" s="33">
        <v>0.267052219765266</v>
      </c>
      <c r="M8" s="32">
        <v>1693</v>
      </c>
      <c r="N8" s="33">
        <v>0.30515501081470803</v>
      </c>
      <c r="O8" s="32">
        <v>1604</v>
      </c>
      <c r="P8" s="33">
        <v>0.31188022554929001</v>
      </c>
      <c r="Q8" s="32">
        <v>1891</v>
      </c>
      <c r="R8" s="33">
        <v>0.28751710506309902</v>
      </c>
      <c r="S8" s="32">
        <v>2071</v>
      </c>
      <c r="T8" s="33">
        <v>0.27907290122625</v>
      </c>
      <c r="U8" s="32">
        <v>1824</v>
      </c>
      <c r="V8" s="33">
        <v>0.283979448855675</v>
      </c>
      <c r="W8" s="32">
        <v>1994</v>
      </c>
      <c r="X8" s="33">
        <v>0.32073347273604602</v>
      </c>
      <c r="Y8" s="32">
        <v>2276</v>
      </c>
      <c r="Z8" s="33">
        <v>0.30669721061851501</v>
      </c>
      <c r="AA8" s="32">
        <v>2530</v>
      </c>
      <c r="AB8" s="33">
        <v>0.34925455549420198</v>
      </c>
      <c r="AC8" s="32">
        <v>2151</v>
      </c>
      <c r="AD8" s="33">
        <v>0.32640364188163901</v>
      </c>
      <c r="AE8" s="32">
        <v>1994</v>
      </c>
      <c r="AF8" s="33">
        <v>0.32073347273604602</v>
      </c>
      <c r="AG8" s="32">
        <v>2766</v>
      </c>
      <c r="AH8" s="33">
        <v>0.39278614030105102</v>
      </c>
      <c r="AI8" s="32">
        <v>2918</v>
      </c>
      <c r="AJ8" s="33">
        <v>0.39491135471646999</v>
      </c>
      <c r="AK8" s="32">
        <v>2677</v>
      </c>
      <c r="AL8" s="33">
        <v>0.42144206549118401</v>
      </c>
      <c r="AM8" s="32">
        <v>2979</v>
      </c>
      <c r="AN8" s="33">
        <v>0.45143203515684199</v>
      </c>
      <c r="AO8" s="32">
        <v>3085</v>
      </c>
      <c r="AP8" s="33">
        <v>0.43752659197277</v>
      </c>
      <c r="AQ8" s="32">
        <v>3109</v>
      </c>
      <c r="AR8" s="33">
        <v>0.436964160224877</v>
      </c>
      <c r="AS8" s="32">
        <v>2946</v>
      </c>
      <c r="AT8" s="33">
        <v>0.44062219563266503</v>
      </c>
      <c r="AU8" s="32">
        <v>3232</v>
      </c>
      <c r="AV8" s="33">
        <v>0.467592592592593</v>
      </c>
      <c r="AW8" s="32">
        <v>3472</v>
      </c>
      <c r="AX8" s="33">
        <v>0.46200931470392498</v>
      </c>
      <c r="AY8" s="32">
        <v>3774</v>
      </c>
      <c r="AZ8" s="33">
        <v>0.49861276258422499</v>
      </c>
    </row>
    <row r="9" spans="1:52" x14ac:dyDescent="0.25">
      <c r="A9" s="10" t="s">
        <v>1768</v>
      </c>
      <c r="B9" s="10"/>
      <c r="C9" s="32">
        <v>411</v>
      </c>
      <c r="D9" s="33">
        <v>7.0923209663503003E-2</v>
      </c>
      <c r="E9" s="32">
        <v>342</v>
      </c>
      <c r="F9" s="33">
        <v>6.4760462033705696E-2</v>
      </c>
      <c r="G9" s="32">
        <v>358</v>
      </c>
      <c r="H9" s="33">
        <v>6.2972735268249799E-2</v>
      </c>
      <c r="I9" s="32">
        <v>363</v>
      </c>
      <c r="J9" s="33">
        <v>6.4775160599571696E-2</v>
      </c>
      <c r="K9" s="32">
        <v>437</v>
      </c>
      <c r="L9" s="33">
        <v>7.4332369450586799E-2</v>
      </c>
      <c r="M9" s="32">
        <v>458</v>
      </c>
      <c r="N9" s="33">
        <v>8.2552271088680601E-2</v>
      </c>
      <c r="O9" s="32">
        <v>417</v>
      </c>
      <c r="P9" s="33">
        <v>8.1081081081081099E-2</v>
      </c>
      <c r="Q9" s="32">
        <v>508</v>
      </c>
      <c r="R9" s="33">
        <v>7.7238862703360195E-2</v>
      </c>
      <c r="S9" s="32">
        <v>478</v>
      </c>
      <c r="T9" s="33">
        <v>6.4411804339037898E-2</v>
      </c>
      <c r="U9" s="32">
        <v>359</v>
      </c>
      <c r="V9" s="33">
        <v>5.5892884944729902E-2</v>
      </c>
      <c r="W9" s="32">
        <v>435</v>
      </c>
      <c r="X9" s="33">
        <v>6.9969438635998096E-2</v>
      </c>
      <c r="Y9" s="32">
        <v>433</v>
      </c>
      <c r="Z9" s="33">
        <v>5.8347931545613803E-2</v>
      </c>
      <c r="AA9" s="32">
        <v>473</v>
      </c>
      <c r="AB9" s="33">
        <v>6.5295416896742106E-2</v>
      </c>
      <c r="AC9" s="32">
        <v>374</v>
      </c>
      <c r="AD9" s="33">
        <v>5.6752655538694997E-2</v>
      </c>
      <c r="AE9" s="32">
        <v>435</v>
      </c>
      <c r="AF9" s="33">
        <v>6.9969438635998096E-2</v>
      </c>
      <c r="AG9" s="32">
        <v>500</v>
      </c>
      <c r="AH9" s="33">
        <v>7.1002556092019303E-2</v>
      </c>
      <c r="AI9" s="32">
        <v>537</v>
      </c>
      <c r="AJ9" s="33">
        <v>7.2675598863174998E-2</v>
      </c>
      <c r="AK9" s="32">
        <v>449</v>
      </c>
      <c r="AL9" s="33">
        <v>7.0686397984886698E-2</v>
      </c>
      <c r="AM9" s="32">
        <v>516</v>
      </c>
      <c r="AN9" s="33">
        <v>7.8193665706925305E-2</v>
      </c>
      <c r="AO9" s="32">
        <v>511</v>
      </c>
      <c r="AP9" s="33">
        <v>7.2471989788682495E-2</v>
      </c>
      <c r="AQ9" s="32">
        <v>509</v>
      </c>
      <c r="AR9" s="33">
        <v>7.1539002108222102E-2</v>
      </c>
      <c r="AS9" s="32">
        <v>426</v>
      </c>
      <c r="AT9" s="33">
        <v>6.3715225845049406E-2</v>
      </c>
      <c r="AU9" s="32">
        <v>485</v>
      </c>
      <c r="AV9" s="33">
        <v>7.0167824074074098E-2</v>
      </c>
      <c r="AW9" s="32">
        <v>586</v>
      </c>
      <c r="AX9" s="33">
        <v>7.7977378576181006E-2</v>
      </c>
      <c r="AY9" s="32">
        <v>616</v>
      </c>
      <c r="AZ9" s="33">
        <v>8.1384595058792406E-2</v>
      </c>
    </row>
    <row r="10" spans="1:52" x14ac:dyDescent="0.25">
      <c r="A10" s="10" t="s">
        <v>1769</v>
      </c>
      <c r="B10" s="10"/>
      <c r="C10" s="32">
        <v>1206</v>
      </c>
      <c r="D10" s="33">
        <v>0.20811044003451301</v>
      </c>
      <c r="E10" s="32">
        <v>1015</v>
      </c>
      <c r="F10" s="33">
        <v>0.192198447263776</v>
      </c>
      <c r="G10" s="32">
        <v>980</v>
      </c>
      <c r="H10" s="33">
        <v>0.172383465259455</v>
      </c>
      <c r="I10" s="32">
        <v>978</v>
      </c>
      <c r="J10" s="33">
        <v>0.174518201284797</v>
      </c>
      <c r="K10" s="32">
        <v>958</v>
      </c>
      <c r="L10" s="33">
        <v>0.16295288314339201</v>
      </c>
      <c r="M10" s="32">
        <v>824</v>
      </c>
      <c r="N10" s="33">
        <v>0.14852198990627299</v>
      </c>
      <c r="O10" s="32">
        <v>816</v>
      </c>
      <c r="P10" s="33">
        <v>0.15866225938168399</v>
      </c>
      <c r="Q10" s="32">
        <v>846</v>
      </c>
      <c r="R10" s="33">
        <v>0.12863007450205299</v>
      </c>
      <c r="S10" s="32">
        <v>852</v>
      </c>
      <c r="T10" s="33">
        <v>0.114809324888829</v>
      </c>
      <c r="U10" s="32">
        <v>673</v>
      </c>
      <c r="V10" s="33">
        <v>0.104779697960455</v>
      </c>
      <c r="W10" s="32">
        <v>706</v>
      </c>
      <c r="X10" s="33">
        <v>0.113559594659804</v>
      </c>
      <c r="Y10" s="32">
        <v>744</v>
      </c>
      <c r="Z10" s="33">
        <v>0.100256030184611</v>
      </c>
      <c r="AA10" s="32">
        <v>756</v>
      </c>
      <c r="AB10" s="33">
        <v>0.10436223081170599</v>
      </c>
      <c r="AC10" s="32">
        <v>582</v>
      </c>
      <c r="AD10" s="33">
        <v>8.83156297420334E-2</v>
      </c>
      <c r="AE10" s="32">
        <v>706</v>
      </c>
      <c r="AF10" s="33">
        <v>0.113559594659804</v>
      </c>
      <c r="AG10" s="32">
        <v>600</v>
      </c>
      <c r="AH10" s="33">
        <v>8.5203067310423194E-2</v>
      </c>
      <c r="AI10" s="32">
        <v>640</v>
      </c>
      <c r="AJ10" s="33">
        <v>8.6615238868588407E-2</v>
      </c>
      <c r="AK10" s="32">
        <v>501</v>
      </c>
      <c r="AL10" s="33">
        <v>7.8872795969773299E-2</v>
      </c>
      <c r="AM10" s="32">
        <v>540</v>
      </c>
      <c r="AN10" s="33">
        <v>8.1830580390968299E-2</v>
      </c>
      <c r="AO10" s="32">
        <v>503</v>
      </c>
      <c r="AP10" s="33">
        <v>7.1337398950503506E-2</v>
      </c>
      <c r="AQ10" s="32">
        <v>517</v>
      </c>
      <c r="AR10" s="33">
        <v>7.2663387210119501E-2</v>
      </c>
      <c r="AS10" s="32">
        <v>403</v>
      </c>
      <c r="AT10" s="33">
        <v>6.0275201914448101E-2</v>
      </c>
      <c r="AU10" s="32">
        <v>440</v>
      </c>
      <c r="AV10" s="33">
        <v>6.3657407407407399E-2</v>
      </c>
      <c r="AW10" s="32">
        <v>449</v>
      </c>
      <c r="AX10" s="33">
        <v>5.9747172322022597E-2</v>
      </c>
      <c r="AY10" s="32">
        <v>470</v>
      </c>
      <c r="AZ10" s="33">
        <v>6.2095389087065703E-2</v>
      </c>
    </row>
    <row r="11" spans="1:52" x14ac:dyDescent="0.25">
      <c r="A11" s="10" t="s">
        <v>1770</v>
      </c>
      <c r="B11" s="10"/>
      <c r="C11" s="32">
        <v>448</v>
      </c>
      <c r="D11" s="33">
        <v>7.7308024158757593E-2</v>
      </c>
      <c r="E11" s="32">
        <v>397</v>
      </c>
      <c r="F11" s="33">
        <v>7.5175156220412806E-2</v>
      </c>
      <c r="G11" s="32">
        <v>387</v>
      </c>
      <c r="H11" s="33">
        <v>6.8073878627968307E-2</v>
      </c>
      <c r="I11" s="32">
        <v>436</v>
      </c>
      <c r="J11" s="33">
        <v>7.7801570306923598E-2</v>
      </c>
      <c r="K11" s="32">
        <v>435</v>
      </c>
      <c r="L11" s="33">
        <v>7.3992175540057797E-2</v>
      </c>
      <c r="M11" s="32">
        <v>409</v>
      </c>
      <c r="N11" s="33">
        <v>7.3720259552992107E-2</v>
      </c>
      <c r="O11" s="32">
        <v>382</v>
      </c>
      <c r="P11" s="33">
        <v>7.4275714563484294E-2</v>
      </c>
      <c r="Q11" s="32">
        <v>437</v>
      </c>
      <c r="R11" s="33">
        <v>6.6443667325528394E-2</v>
      </c>
      <c r="S11" s="32">
        <v>444</v>
      </c>
      <c r="T11" s="33">
        <v>5.98302115617841E-2</v>
      </c>
      <c r="U11" s="32">
        <v>367</v>
      </c>
      <c r="V11" s="33">
        <v>5.7138408843219697E-2</v>
      </c>
      <c r="W11" s="32">
        <v>382</v>
      </c>
      <c r="X11" s="33">
        <v>6.14444265723018E-2</v>
      </c>
      <c r="Y11" s="32">
        <v>399</v>
      </c>
      <c r="Z11" s="33">
        <v>5.3766338768360102E-2</v>
      </c>
      <c r="AA11" s="32">
        <v>420</v>
      </c>
      <c r="AB11" s="33">
        <v>5.7979017117614599E-2</v>
      </c>
      <c r="AC11" s="32">
        <v>339</v>
      </c>
      <c r="AD11" s="33">
        <v>5.1441578148710199E-2</v>
      </c>
      <c r="AE11" s="32">
        <v>382</v>
      </c>
      <c r="AF11" s="33">
        <v>6.14444265723018E-2</v>
      </c>
      <c r="AG11" s="32">
        <v>374</v>
      </c>
      <c r="AH11" s="33">
        <v>5.3109911956830402E-2</v>
      </c>
      <c r="AI11" s="32">
        <v>392</v>
      </c>
      <c r="AJ11" s="33">
        <v>5.3051833807010403E-2</v>
      </c>
      <c r="AK11" s="32">
        <v>317</v>
      </c>
      <c r="AL11" s="33">
        <v>4.9905541561712903E-2</v>
      </c>
      <c r="AM11" s="32">
        <v>351</v>
      </c>
      <c r="AN11" s="33">
        <v>5.3189877254129402E-2</v>
      </c>
      <c r="AO11" s="32">
        <v>343</v>
      </c>
      <c r="AP11" s="33">
        <v>4.8645582186923803E-2</v>
      </c>
      <c r="AQ11" s="32">
        <v>340</v>
      </c>
      <c r="AR11" s="33">
        <v>4.7786366830639498E-2</v>
      </c>
      <c r="AS11" s="32">
        <v>310</v>
      </c>
      <c r="AT11" s="33">
        <v>4.6365539934190798E-2</v>
      </c>
      <c r="AU11" s="32">
        <v>315</v>
      </c>
      <c r="AV11" s="33">
        <v>4.5572916666666699E-2</v>
      </c>
      <c r="AW11" s="32">
        <v>326</v>
      </c>
      <c r="AX11" s="33">
        <v>4.3379906852960698E-2</v>
      </c>
      <c r="AY11" s="32">
        <v>336</v>
      </c>
      <c r="AZ11" s="33">
        <v>4.4391597304795902E-2</v>
      </c>
    </row>
    <row r="12" spans="1:52" x14ac:dyDescent="0.25">
      <c r="A12" s="10" t="s">
        <v>1771</v>
      </c>
      <c r="B12" s="10"/>
      <c r="C12" s="32">
        <v>37</v>
      </c>
      <c r="D12" s="33">
        <v>6.38481449525453E-3</v>
      </c>
      <c r="E12" s="32">
        <v>66</v>
      </c>
      <c r="F12" s="33">
        <v>1.24976330240485E-2</v>
      </c>
      <c r="G12" s="32">
        <v>84</v>
      </c>
      <c r="H12" s="33">
        <v>1.4775725593667501E-2</v>
      </c>
      <c r="I12" s="32">
        <v>104</v>
      </c>
      <c r="J12" s="33">
        <v>1.8558172733761601E-2</v>
      </c>
      <c r="K12" s="32">
        <v>125</v>
      </c>
      <c r="L12" s="33">
        <v>2.1262119408062601E-2</v>
      </c>
      <c r="M12" s="32">
        <v>112</v>
      </c>
      <c r="N12" s="33">
        <v>2.0187454938716699E-2</v>
      </c>
      <c r="O12" s="32">
        <v>132</v>
      </c>
      <c r="P12" s="33">
        <v>2.56659537235077E-2</v>
      </c>
      <c r="Q12" s="32">
        <v>118</v>
      </c>
      <c r="R12" s="33">
        <v>1.7941310627945899E-2</v>
      </c>
      <c r="S12" s="32">
        <v>126</v>
      </c>
      <c r="T12" s="33">
        <v>1.6978843821587399E-2</v>
      </c>
      <c r="U12" s="32">
        <v>135</v>
      </c>
      <c r="V12" s="33">
        <v>2.1018215787015401E-2</v>
      </c>
      <c r="W12" s="32">
        <v>129</v>
      </c>
      <c r="X12" s="33">
        <v>2.0749557664468399E-2</v>
      </c>
      <c r="Y12" s="32">
        <v>130</v>
      </c>
      <c r="Z12" s="33">
        <v>1.75178547365584E-2</v>
      </c>
      <c r="AA12" s="32">
        <v>137</v>
      </c>
      <c r="AB12" s="33">
        <v>1.89122032026505E-2</v>
      </c>
      <c r="AC12" s="32">
        <v>132</v>
      </c>
      <c r="AD12" s="33">
        <v>2.0030349013657099E-2</v>
      </c>
      <c r="AE12" s="32">
        <v>129</v>
      </c>
      <c r="AF12" s="33">
        <v>2.0749557664468399E-2</v>
      </c>
      <c r="AG12" s="32">
        <v>130</v>
      </c>
      <c r="AH12" s="33">
        <v>1.8460664583925E-2</v>
      </c>
      <c r="AI12" s="32">
        <v>142</v>
      </c>
      <c r="AJ12" s="33">
        <v>1.9217756123968099E-2</v>
      </c>
      <c r="AK12" s="32">
        <v>138</v>
      </c>
      <c r="AL12" s="33">
        <v>2.1725440806045299E-2</v>
      </c>
      <c r="AM12" s="32">
        <v>120</v>
      </c>
      <c r="AN12" s="33">
        <v>1.8184573420215198E-2</v>
      </c>
      <c r="AO12" s="32">
        <v>131</v>
      </c>
      <c r="AP12" s="33">
        <v>1.8578924975180801E-2</v>
      </c>
      <c r="AQ12" s="32">
        <v>139</v>
      </c>
      <c r="AR12" s="33">
        <v>1.9536191145467299E-2</v>
      </c>
      <c r="AS12" s="32">
        <v>141</v>
      </c>
      <c r="AT12" s="33">
        <v>2.1088842357164201E-2</v>
      </c>
      <c r="AU12" s="32">
        <v>168</v>
      </c>
      <c r="AV12" s="33">
        <v>2.4305555555555601E-2</v>
      </c>
      <c r="AW12" s="32">
        <v>139</v>
      </c>
      <c r="AX12" s="33">
        <v>1.8496340652029299E-2</v>
      </c>
      <c r="AY12" s="32">
        <v>144</v>
      </c>
      <c r="AZ12" s="33">
        <v>1.9024970273483901E-2</v>
      </c>
    </row>
    <row r="13" spans="1:52" x14ac:dyDescent="0.25">
      <c r="A13" s="10" t="s">
        <v>1772</v>
      </c>
      <c r="B13" s="10"/>
      <c r="C13" s="32">
        <v>15</v>
      </c>
      <c r="D13" s="33">
        <v>2.58843830888697E-3</v>
      </c>
      <c r="E13" s="32">
        <v>17</v>
      </c>
      <c r="F13" s="33">
        <v>3.2190872940730899E-3</v>
      </c>
      <c r="G13" s="32">
        <v>15</v>
      </c>
      <c r="H13" s="33">
        <v>2.6385224274406301E-3</v>
      </c>
      <c r="I13" s="32">
        <v>5</v>
      </c>
      <c r="J13" s="33">
        <v>8.9221984296930805E-4</v>
      </c>
      <c r="K13" s="32">
        <v>10</v>
      </c>
      <c r="L13" s="33">
        <v>1.7009695526450099E-3</v>
      </c>
      <c r="M13" s="32">
        <v>8</v>
      </c>
      <c r="N13" s="33">
        <v>1.44196106705119E-3</v>
      </c>
      <c r="O13" s="32">
        <v>28</v>
      </c>
      <c r="P13" s="33">
        <v>5.4442932140773897E-3</v>
      </c>
      <c r="Q13" s="32">
        <v>13</v>
      </c>
      <c r="R13" s="33">
        <v>1.9765850691804798E-3</v>
      </c>
      <c r="S13" s="32">
        <v>9</v>
      </c>
      <c r="T13" s="33">
        <v>1.21277455868481E-3</v>
      </c>
      <c r="U13" s="32">
        <v>48</v>
      </c>
      <c r="V13" s="33">
        <v>7.4731433909388098E-3</v>
      </c>
      <c r="W13" s="32">
        <v>71</v>
      </c>
      <c r="X13" s="33">
        <v>1.14202991796686E-2</v>
      </c>
      <c r="Y13" s="32">
        <v>34</v>
      </c>
      <c r="Z13" s="33">
        <v>4.5815927772537403E-3</v>
      </c>
      <c r="AA13" s="32">
        <v>42</v>
      </c>
      <c r="AB13" s="33">
        <v>5.7979017117614599E-3</v>
      </c>
      <c r="AC13" s="32">
        <v>15</v>
      </c>
      <c r="AD13" s="33">
        <v>2.2761760242792101E-3</v>
      </c>
      <c r="AE13" s="32">
        <v>71</v>
      </c>
      <c r="AF13" s="33">
        <v>1.14202991796686E-2</v>
      </c>
      <c r="AG13" s="32">
        <v>12</v>
      </c>
      <c r="AH13" s="33">
        <v>1.7040613462084601E-3</v>
      </c>
      <c r="AI13" s="32">
        <v>12</v>
      </c>
      <c r="AJ13" s="33">
        <v>1.62403572878603E-3</v>
      </c>
      <c r="AK13" s="32">
        <v>107</v>
      </c>
      <c r="AL13" s="33">
        <v>1.6845088161209099E-2</v>
      </c>
      <c r="AM13" s="32">
        <v>20</v>
      </c>
      <c r="AN13" s="33">
        <v>3.0307622367025302E-3</v>
      </c>
      <c r="AO13" s="32">
        <v>13</v>
      </c>
      <c r="AP13" s="33">
        <v>1.84371011204085E-3</v>
      </c>
      <c r="AQ13" s="32">
        <v>15</v>
      </c>
      <c r="AR13" s="33">
        <v>2.1082220660576202E-3</v>
      </c>
      <c r="AS13" s="32">
        <v>116</v>
      </c>
      <c r="AT13" s="33">
        <v>1.73496859108585E-2</v>
      </c>
      <c r="AU13" s="32">
        <v>105</v>
      </c>
      <c r="AV13" s="33">
        <v>1.5190972222222199E-2</v>
      </c>
      <c r="AW13" s="32">
        <v>101</v>
      </c>
      <c r="AX13" s="33">
        <v>1.3439787092481699E-2</v>
      </c>
      <c r="AY13" s="32">
        <v>111</v>
      </c>
      <c r="AZ13" s="33">
        <v>1.4665081252477201E-2</v>
      </c>
    </row>
    <row r="14" spans="1:52" x14ac:dyDescent="0.25">
      <c r="A14" s="10" t="s">
        <v>1773</v>
      </c>
      <c r="B14" s="10"/>
      <c r="C14" s="32">
        <v>1370</v>
      </c>
      <c r="D14" s="33">
        <v>0.23641069887834301</v>
      </c>
      <c r="E14" s="32" t="s">
        <v>148</v>
      </c>
      <c r="F14" s="33"/>
      <c r="G14" s="32" t="s">
        <v>148</v>
      </c>
      <c r="H14" s="33"/>
      <c r="I14" s="32" t="s">
        <v>148</v>
      </c>
      <c r="J14" s="33"/>
      <c r="K14" s="32">
        <v>1042</v>
      </c>
      <c r="L14" s="33">
        <v>0.17724102738561001</v>
      </c>
      <c r="M14" s="32">
        <v>630</v>
      </c>
      <c r="N14" s="33">
        <v>0.113554434030281</v>
      </c>
      <c r="O14" s="32">
        <v>621</v>
      </c>
      <c r="P14" s="33">
        <v>0.120746645926502</v>
      </c>
      <c r="Q14" s="32">
        <v>734</v>
      </c>
      <c r="R14" s="33">
        <v>0.111601033906036</v>
      </c>
      <c r="S14" s="32" t="s">
        <v>148</v>
      </c>
      <c r="T14" s="33"/>
      <c r="U14" s="32" t="s">
        <v>148</v>
      </c>
      <c r="V14" s="33"/>
      <c r="W14" s="32" t="s">
        <v>148</v>
      </c>
      <c r="X14" s="33"/>
      <c r="Y14" s="32" t="s">
        <v>148</v>
      </c>
      <c r="Z14" s="33"/>
      <c r="AA14" s="32" t="s">
        <v>148</v>
      </c>
      <c r="AB14" s="33"/>
      <c r="AC14" s="32" t="s">
        <v>148</v>
      </c>
      <c r="AD14" s="33"/>
      <c r="AE14" s="32" t="s">
        <v>148</v>
      </c>
      <c r="AF14" s="33"/>
      <c r="AG14" s="32" t="s">
        <v>148</v>
      </c>
      <c r="AH14" s="33"/>
      <c r="AI14" s="32" t="s">
        <v>148</v>
      </c>
      <c r="AJ14" s="33"/>
      <c r="AK14" s="32" t="s">
        <v>148</v>
      </c>
      <c r="AL14" s="33"/>
      <c r="AM14" s="32" t="s">
        <v>148</v>
      </c>
      <c r="AN14" s="33"/>
      <c r="AO14" s="32" t="s">
        <v>148</v>
      </c>
      <c r="AP14" s="33"/>
      <c r="AQ14" s="32" t="s">
        <v>148</v>
      </c>
      <c r="AR14" s="33"/>
      <c r="AS14" s="32" t="s">
        <v>148</v>
      </c>
      <c r="AT14" s="33"/>
      <c r="AU14" s="32" t="s">
        <v>148</v>
      </c>
      <c r="AV14" s="33"/>
      <c r="AW14" s="32" t="s">
        <v>148</v>
      </c>
      <c r="AX14" s="33"/>
      <c r="AY14" s="32" t="s">
        <v>148</v>
      </c>
      <c r="AZ14" s="33"/>
    </row>
    <row r="15" spans="1:52" x14ac:dyDescent="0.25">
      <c r="A15" s="10" t="s">
        <v>1774</v>
      </c>
      <c r="B15" s="10"/>
      <c r="C15" s="32">
        <v>2680</v>
      </c>
      <c r="D15" s="33">
        <v>0.46246764452113898</v>
      </c>
      <c r="E15" s="32" t="s">
        <v>148</v>
      </c>
      <c r="F15" s="33"/>
      <c r="G15" s="32" t="s">
        <v>148</v>
      </c>
      <c r="H15" s="33"/>
      <c r="I15" s="32" t="s">
        <v>148</v>
      </c>
      <c r="J15" s="33"/>
      <c r="K15" s="32">
        <v>3525</v>
      </c>
      <c r="L15" s="33">
        <v>0.59959176730736496</v>
      </c>
      <c r="M15" s="32">
        <v>3496</v>
      </c>
      <c r="N15" s="33">
        <v>0.63013698630137005</v>
      </c>
      <c r="O15" s="32">
        <v>3351</v>
      </c>
      <c r="P15" s="33">
        <v>0.651565234299047</v>
      </c>
      <c r="Q15" s="32">
        <v>3800</v>
      </c>
      <c r="R15" s="33">
        <v>0.57777102022198601</v>
      </c>
      <c r="S15" s="32" t="s">
        <v>148</v>
      </c>
      <c r="T15" s="33"/>
      <c r="U15" s="32" t="s">
        <v>148</v>
      </c>
      <c r="V15" s="33"/>
      <c r="W15" s="32" t="s">
        <v>148</v>
      </c>
      <c r="X15" s="33"/>
      <c r="Y15" s="32" t="s">
        <v>148</v>
      </c>
      <c r="Z15" s="33"/>
      <c r="AA15" s="32" t="s">
        <v>148</v>
      </c>
      <c r="AB15" s="33"/>
      <c r="AC15" s="32" t="s">
        <v>148</v>
      </c>
      <c r="AD15" s="33"/>
      <c r="AE15" s="32" t="s">
        <v>148</v>
      </c>
      <c r="AF15" s="33"/>
      <c r="AG15" s="32" t="s">
        <v>148</v>
      </c>
      <c r="AH15" s="33"/>
      <c r="AI15" s="32" t="s">
        <v>148</v>
      </c>
      <c r="AJ15" s="33"/>
      <c r="AK15" s="32" t="s">
        <v>148</v>
      </c>
      <c r="AL15" s="33"/>
      <c r="AM15" s="32" t="s">
        <v>148</v>
      </c>
      <c r="AN15" s="33"/>
      <c r="AO15" s="32" t="s">
        <v>148</v>
      </c>
      <c r="AP15" s="33"/>
      <c r="AQ15" s="32" t="s">
        <v>148</v>
      </c>
      <c r="AR15" s="33"/>
      <c r="AS15" s="32" t="s">
        <v>148</v>
      </c>
      <c r="AT15" s="33"/>
      <c r="AU15" s="32" t="s">
        <v>148</v>
      </c>
      <c r="AV15" s="33"/>
      <c r="AW15" s="32" t="s">
        <v>148</v>
      </c>
      <c r="AX15" s="33"/>
      <c r="AY15" s="32" t="s">
        <v>148</v>
      </c>
      <c r="AZ15" s="33"/>
    </row>
    <row r="16" spans="1:52" x14ac:dyDescent="0.25">
      <c r="A16" s="10" t="s">
        <v>1775</v>
      </c>
      <c r="B16" s="10"/>
      <c r="C16" s="32">
        <v>125</v>
      </c>
      <c r="D16" s="33">
        <v>2.1570319240724799E-2</v>
      </c>
      <c r="E16" s="32">
        <v>115</v>
      </c>
      <c r="F16" s="33">
        <v>2.1776178754023899E-2</v>
      </c>
      <c r="G16" s="32">
        <v>123</v>
      </c>
      <c r="H16" s="33">
        <v>2.1635883905013201E-2</v>
      </c>
      <c r="I16" s="32">
        <v>93</v>
      </c>
      <c r="J16" s="33">
        <v>1.6595289079229102E-2</v>
      </c>
      <c r="K16" s="32">
        <v>75</v>
      </c>
      <c r="L16" s="33">
        <v>1.2757271644837601E-2</v>
      </c>
      <c r="M16" s="32">
        <v>76</v>
      </c>
      <c r="N16" s="33">
        <v>1.3698630136986301E-2</v>
      </c>
      <c r="O16" s="32">
        <v>72</v>
      </c>
      <c r="P16" s="33">
        <v>1.3999611121913299E-2</v>
      </c>
      <c r="Q16" s="32">
        <v>70</v>
      </c>
      <c r="R16" s="33">
        <v>1.0643150372510299E-2</v>
      </c>
      <c r="S16" s="32">
        <v>51</v>
      </c>
      <c r="T16" s="33">
        <v>6.87238916588061E-3</v>
      </c>
      <c r="U16" s="32">
        <v>63</v>
      </c>
      <c r="V16" s="33">
        <v>9.8085007006071898E-3</v>
      </c>
      <c r="W16" s="32">
        <v>62</v>
      </c>
      <c r="X16" s="33">
        <v>9.9726556216824802E-3</v>
      </c>
      <c r="Y16" s="32">
        <v>64</v>
      </c>
      <c r="Z16" s="33">
        <v>8.6241746395364499E-3</v>
      </c>
      <c r="AA16" s="32">
        <v>69</v>
      </c>
      <c r="AB16" s="33">
        <v>9.5251242407509706E-3</v>
      </c>
      <c r="AC16" s="32">
        <v>44</v>
      </c>
      <c r="AD16" s="33">
        <v>6.6767830045523502E-3</v>
      </c>
      <c r="AE16" s="32">
        <v>62</v>
      </c>
      <c r="AF16" s="33">
        <v>9.9726556216824802E-3</v>
      </c>
      <c r="AG16" s="32">
        <v>43</v>
      </c>
      <c r="AH16" s="33">
        <v>6.1062198239136599E-3</v>
      </c>
      <c r="AI16" s="32">
        <v>58</v>
      </c>
      <c r="AJ16" s="33">
        <v>7.8495060224658304E-3</v>
      </c>
      <c r="AK16" s="32" t="s">
        <v>148</v>
      </c>
      <c r="AL16" s="33"/>
      <c r="AM16" s="32">
        <v>32</v>
      </c>
      <c r="AN16" s="33">
        <v>4.8492195787240497E-3</v>
      </c>
      <c r="AO16" s="32">
        <v>34</v>
      </c>
      <c r="AP16" s="33">
        <v>4.8220110622606699E-3</v>
      </c>
      <c r="AQ16" s="32">
        <v>24</v>
      </c>
      <c r="AR16" s="33">
        <v>3.3731553056921999E-3</v>
      </c>
      <c r="AS16" s="32" t="s">
        <v>148</v>
      </c>
      <c r="AT16" s="33"/>
      <c r="AU16" s="32" t="s">
        <v>148</v>
      </c>
      <c r="AV16" s="33"/>
      <c r="AW16" s="32" t="s">
        <v>148</v>
      </c>
      <c r="AX16" s="33"/>
      <c r="AY16" s="32" t="s">
        <v>148</v>
      </c>
      <c r="AZ16" s="33"/>
    </row>
    <row r="17" spans="1:52" x14ac:dyDescent="0.25">
      <c r="A17" s="10" t="s">
        <v>1776</v>
      </c>
      <c r="B17" s="10"/>
      <c r="C17" s="32">
        <v>137</v>
      </c>
      <c r="D17" s="33">
        <v>2.36410698878343E-2</v>
      </c>
      <c r="E17" s="32">
        <v>96</v>
      </c>
      <c r="F17" s="33">
        <v>1.8178375307706902E-2</v>
      </c>
      <c r="G17" s="32">
        <v>108</v>
      </c>
      <c r="H17" s="33">
        <v>1.89973614775726E-2</v>
      </c>
      <c r="I17" s="32">
        <v>94</v>
      </c>
      <c r="J17" s="33">
        <v>1.6773733047823002E-2</v>
      </c>
      <c r="K17" s="32">
        <v>71</v>
      </c>
      <c r="L17" s="33">
        <v>1.20768838237796E-2</v>
      </c>
      <c r="M17" s="32">
        <v>53</v>
      </c>
      <c r="N17" s="33">
        <v>9.5529920692141307E-3</v>
      </c>
      <c r="O17" s="32">
        <v>59</v>
      </c>
      <c r="P17" s="33">
        <v>1.1471903558234501E-2</v>
      </c>
      <c r="Q17" s="32">
        <v>42</v>
      </c>
      <c r="R17" s="33">
        <v>6.3858902235061597E-3</v>
      </c>
      <c r="S17" s="32">
        <v>42</v>
      </c>
      <c r="T17" s="33">
        <v>5.6596146071958E-3</v>
      </c>
      <c r="U17" s="32">
        <v>46</v>
      </c>
      <c r="V17" s="33">
        <v>7.1617624163163602E-3</v>
      </c>
      <c r="W17" s="32">
        <v>51</v>
      </c>
      <c r="X17" s="33">
        <v>8.2033134952549502E-3</v>
      </c>
      <c r="Y17" s="32">
        <v>42</v>
      </c>
      <c r="Z17" s="33">
        <v>5.6596146071958E-3</v>
      </c>
      <c r="AA17" s="32">
        <v>50</v>
      </c>
      <c r="AB17" s="33">
        <v>6.9022639425731598E-3</v>
      </c>
      <c r="AC17" s="32">
        <v>32</v>
      </c>
      <c r="AD17" s="33">
        <v>4.8558421851289798E-3</v>
      </c>
      <c r="AE17" s="32">
        <v>51</v>
      </c>
      <c r="AF17" s="33">
        <v>8.2033134952549502E-3</v>
      </c>
      <c r="AG17" s="32">
        <v>32</v>
      </c>
      <c r="AH17" s="33">
        <v>4.5441635898892403E-3</v>
      </c>
      <c r="AI17" s="32">
        <v>29</v>
      </c>
      <c r="AJ17" s="33">
        <v>3.92475301123291E-3</v>
      </c>
      <c r="AK17" s="32" t="s">
        <v>148</v>
      </c>
      <c r="AL17" s="33"/>
      <c r="AM17" s="32">
        <v>26</v>
      </c>
      <c r="AN17" s="33">
        <v>3.9399909077132899E-3</v>
      </c>
      <c r="AO17" s="32">
        <v>25</v>
      </c>
      <c r="AP17" s="33">
        <v>3.5455963693093199E-3</v>
      </c>
      <c r="AQ17" s="32">
        <v>22</v>
      </c>
      <c r="AR17" s="33">
        <v>3.0920590302178498E-3</v>
      </c>
      <c r="AS17" s="32" t="s">
        <v>148</v>
      </c>
      <c r="AT17" s="33"/>
      <c r="AU17" s="32" t="s">
        <v>148</v>
      </c>
      <c r="AV17" s="33"/>
      <c r="AW17" s="32" t="s">
        <v>148</v>
      </c>
      <c r="AX17" s="33"/>
      <c r="AY17" s="32" t="s">
        <v>148</v>
      </c>
      <c r="AZ17" s="33"/>
    </row>
    <row r="18" spans="1:52" x14ac:dyDescent="0.25">
      <c r="A18" s="10" t="s">
        <v>1777</v>
      </c>
      <c r="B18" s="10"/>
      <c r="C18" s="32">
        <v>823</v>
      </c>
      <c r="D18" s="33">
        <v>0.14201898188093201</v>
      </c>
      <c r="E18" s="32">
        <v>606</v>
      </c>
      <c r="F18" s="33">
        <v>0.1147509941299</v>
      </c>
      <c r="G18" s="32">
        <v>718</v>
      </c>
      <c r="H18" s="33">
        <v>0.12629727352682499</v>
      </c>
      <c r="I18" s="32">
        <v>721</v>
      </c>
      <c r="J18" s="33">
        <v>0.128658101356174</v>
      </c>
      <c r="K18" s="32">
        <v>768</v>
      </c>
      <c r="L18" s="33">
        <v>0.130634461643137</v>
      </c>
      <c r="M18" s="32">
        <v>406</v>
      </c>
      <c r="N18" s="33">
        <v>7.3179524152847897E-2</v>
      </c>
      <c r="O18" s="32">
        <v>387</v>
      </c>
      <c r="P18" s="33">
        <v>7.5247909780283895E-2</v>
      </c>
      <c r="Q18" s="32">
        <v>509</v>
      </c>
      <c r="R18" s="33">
        <v>7.7390907708681803E-2</v>
      </c>
      <c r="S18" s="32">
        <v>146</v>
      </c>
      <c r="T18" s="33">
        <v>1.9673898396442499E-2</v>
      </c>
      <c r="U18" s="32">
        <v>135</v>
      </c>
      <c r="V18" s="33">
        <v>2.1018215787015401E-2</v>
      </c>
      <c r="W18" s="32">
        <v>108</v>
      </c>
      <c r="X18" s="33">
        <v>1.7371722695834001E-2</v>
      </c>
      <c r="Y18" s="32">
        <v>67</v>
      </c>
      <c r="Z18" s="33">
        <v>9.0284328257647199E-3</v>
      </c>
      <c r="AA18" s="32">
        <v>61</v>
      </c>
      <c r="AB18" s="33">
        <v>8.4207620099392595E-3</v>
      </c>
      <c r="AC18" s="32">
        <v>38</v>
      </c>
      <c r="AD18" s="33">
        <v>5.7663125948406698E-3</v>
      </c>
      <c r="AE18" s="32">
        <v>108</v>
      </c>
      <c r="AF18" s="33">
        <v>1.7371722695834001E-2</v>
      </c>
      <c r="AG18" s="32">
        <v>30</v>
      </c>
      <c r="AH18" s="33">
        <v>4.2601533655211602E-3</v>
      </c>
      <c r="AI18" s="32">
        <v>45</v>
      </c>
      <c r="AJ18" s="33">
        <v>6.0901339829476202E-3</v>
      </c>
      <c r="AK18" s="32" t="s">
        <v>148</v>
      </c>
      <c r="AL18" s="33"/>
      <c r="AM18" s="32">
        <v>42</v>
      </c>
      <c r="AN18" s="33">
        <v>6.3646006970753096E-3</v>
      </c>
      <c r="AO18" s="32">
        <v>22</v>
      </c>
      <c r="AP18" s="33">
        <v>3.1201248049921998E-3</v>
      </c>
      <c r="AQ18" s="32">
        <v>18</v>
      </c>
      <c r="AR18" s="33">
        <v>2.5298664792691499E-3</v>
      </c>
      <c r="AS18" s="32" t="s">
        <v>148</v>
      </c>
      <c r="AT18" s="33"/>
      <c r="AU18" s="32" t="s">
        <v>148</v>
      </c>
      <c r="AV18" s="33"/>
      <c r="AW18" s="32" t="s">
        <v>148</v>
      </c>
      <c r="AX18" s="33"/>
      <c r="AY18" s="32" t="s">
        <v>148</v>
      </c>
      <c r="AZ18" s="33"/>
    </row>
    <row r="19" spans="1:52" x14ac:dyDescent="0.25">
      <c r="A19" s="10" t="s">
        <v>1778</v>
      </c>
      <c r="B19" s="10"/>
      <c r="C19" s="32" t="s">
        <v>148</v>
      </c>
      <c r="D19" s="33"/>
      <c r="E19" s="32" t="s">
        <v>148</v>
      </c>
      <c r="F19" s="33"/>
      <c r="G19" s="32" t="s">
        <v>148</v>
      </c>
      <c r="H19" s="33"/>
      <c r="I19" s="32" t="s">
        <v>148</v>
      </c>
      <c r="J19" s="33"/>
      <c r="K19" s="32" t="s">
        <v>148</v>
      </c>
      <c r="L19" s="33"/>
      <c r="M19" s="32" t="s">
        <v>148</v>
      </c>
      <c r="N19" s="33"/>
      <c r="O19" s="32" t="s">
        <v>148</v>
      </c>
      <c r="P19" s="33"/>
      <c r="Q19" s="32" t="s">
        <v>148</v>
      </c>
      <c r="R19" s="33"/>
      <c r="S19" s="32" t="s">
        <v>148</v>
      </c>
      <c r="T19" s="33"/>
      <c r="U19" s="32" t="s">
        <v>148</v>
      </c>
      <c r="V19" s="33"/>
      <c r="W19" s="32" t="s">
        <v>148</v>
      </c>
      <c r="X19" s="33"/>
      <c r="Y19" s="32" t="s">
        <v>148</v>
      </c>
      <c r="Z19" s="33"/>
      <c r="AA19" s="32" t="s">
        <v>148</v>
      </c>
      <c r="AB19" s="33"/>
      <c r="AC19" s="32" t="s">
        <v>148</v>
      </c>
      <c r="AD19" s="33"/>
      <c r="AE19" s="32" t="s">
        <v>148</v>
      </c>
      <c r="AF19" s="33"/>
      <c r="AG19" s="32" t="s">
        <v>148</v>
      </c>
      <c r="AH19" s="33"/>
      <c r="AI19" s="32" t="s">
        <v>148</v>
      </c>
      <c r="AJ19" s="33"/>
      <c r="AK19" s="32">
        <v>670</v>
      </c>
      <c r="AL19" s="33">
        <v>0.10547858942065499</v>
      </c>
      <c r="AM19" s="32">
        <v>728</v>
      </c>
      <c r="AN19" s="33">
        <v>0.110319745415972</v>
      </c>
      <c r="AO19" s="32">
        <v>769</v>
      </c>
      <c r="AP19" s="33">
        <v>0.109062544319955</v>
      </c>
      <c r="AQ19" s="32">
        <v>765</v>
      </c>
      <c r="AR19" s="33">
        <v>0.107519325368939</v>
      </c>
      <c r="AS19" s="32">
        <v>789</v>
      </c>
      <c r="AT19" s="33">
        <v>0.118007777445408</v>
      </c>
      <c r="AU19" s="32">
        <v>841</v>
      </c>
      <c r="AV19" s="33">
        <v>0.121672453703704</v>
      </c>
      <c r="AW19" s="32">
        <v>816</v>
      </c>
      <c r="AX19" s="33">
        <v>0.108582834331337</v>
      </c>
      <c r="AY19" s="32">
        <v>843</v>
      </c>
      <c r="AZ19" s="33">
        <v>0.111375346809354</v>
      </c>
    </row>
    <row r="20" spans="1:52" x14ac:dyDescent="0.25">
      <c r="A20" s="10" t="s">
        <v>1779</v>
      </c>
      <c r="B20" s="10"/>
      <c r="C20" s="32">
        <v>81</v>
      </c>
      <c r="D20" s="33">
        <v>1.3977566867989601E-2</v>
      </c>
      <c r="E20" s="32" t="s">
        <v>148</v>
      </c>
      <c r="F20" s="33"/>
      <c r="G20" s="32" t="s">
        <v>148</v>
      </c>
      <c r="H20" s="33"/>
      <c r="I20" s="32" t="s">
        <v>148</v>
      </c>
      <c r="J20" s="33"/>
      <c r="K20" s="32">
        <v>122</v>
      </c>
      <c r="L20" s="33">
        <v>2.0751828542269101E-2</v>
      </c>
      <c r="M20" s="32">
        <v>140</v>
      </c>
      <c r="N20" s="33">
        <v>2.52343186733958E-2</v>
      </c>
      <c r="O20" s="32">
        <v>157</v>
      </c>
      <c r="P20" s="33">
        <v>3.05269298075053E-2</v>
      </c>
      <c r="Q20" s="32">
        <v>147</v>
      </c>
      <c r="R20" s="33">
        <v>2.2350615782271599E-2</v>
      </c>
      <c r="S20" s="32">
        <v>163</v>
      </c>
      <c r="T20" s="33">
        <v>2.1964694785069402E-2</v>
      </c>
      <c r="U20" s="32">
        <v>191</v>
      </c>
      <c r="V20" s="33">
        <v>2.9736883076443999E-2</v>
      </c>
      <c r="W20" s="32">
        <v>219</v>
      </c>
      <c r="X20" s="33">
        <v>3.5225993244330102E-2</v>
      </c>
      <c r="Y20" s="32">
        <v>222</v>
      </c>
      <c r="Z20" s="33">
        <v>2.9915105780892098E-2</v>
      </c>
      <c r="AA20" s="32">
        <v>239</v>
      </c>
      <c r="AB20" s="33">
        <v>3.2992821645499701E-2</v>
      </c>
      <c r="AC20" s="32">
        <v>274</v>
      </c>
      <c r="AD20" s="33">
        <v>4.15781487101669E-2</v>
      </c>
      <c r="AE20" s="32">
        <v>219</v>
      </c>
      <c r="AF20" s="33">
        <v>3.5225993244330102E-2</v>
      </c>
      <c r="AG20" s="32">
        <v>398</v>
      </c>
      <c r="AH20" s="33">
        <v>5.6518034649247401E-2</v>
      </c>
      <c r="AI20" s="32">
        <v>419</v>
      </c>
      <c r="AJ20" s="33">
        <v>5.6705914196778999E-2</v>
      </c>
      <c r="AK20" s="32">
        <v>448</v>
      </c>
      <c r="AL20" s="33">
        <v>7.0528967254408104E-2</v>
      </c>
      <c r="AM20" s="32">
        <v>469</v>
      </c>
      <c r="AN20" s="33">
        <v>7.1071374450674296E-2</v>
      </c>
      <c r="AO20" s="32">
        <v>487</v>
      </c>
      <c r="AP20" s="33">
        <v>6.9068217274145499E-2</v>
      </c>
      <c r="AQ20" s="32">
        <v>466</v>
      </c>
      <c r="AR20" s="33">
        <v>6.5495432185523506E-2</v>
      </c>
      <c r="AS20" s="32">
        <v>480</v>
      </c>
      <c r="AT20" s="33">
        <v>7.1791803769069698E-2</v>
      </c>
      <c r="AU20" s="32">
        <v>521</v>
      </c>
      <c r="AV20" s="33">
        <v>7.5376157407407399E-2</v>
      </c>
      <c r="AW20" s="32">
        <v>485</v>
      </c>
      <c r="AX20" s="33">
        <v>6.4537591483699294E-2</v>
      </c>
      <c r="AY20" s="32">
        <v>488</v>
      </c>
      <c r="AZ20" s="33">
        <v>6.4473510371251194E-2</v>
      </c>
    </row>
    <row r="21" spans="1:52" x14ac:dyDescent="0.25">
      <c r="A21" s="10" t="s">
        <v>1780</v>
      </c>
      <c r="B21" s="10"/>
      <c r="C21" s="32">
        <v>81</v>
      </c>
      <c r="D21" s="33">
        <v>1.3977566867989601E-2</v>
      </c>
      <c r="E21" s="32">
        <v>96</v>
      </c>
      <c r="F21" s="33">
        <v>1.8178375307706902E-2</v>
      </c>
      <c r="G21" s="32">
        <v>120</v>
      </c>
      <c r="H21" s="33">
        <v>2.11081794195251E-2</v>
      </c>
      <c r="I21" s="32">
        <v>118</v>
      </c>
      <c r="J21" s="33">
        <v>2.10563882940757E-2</v>
      </c>
      <c r="K21" s="32">
        <v>122</v>
      </c>
      <c r="L21" s="33">
        <v>2.0751828542269101E-2</v>
      </c>
      <c r="M21" s="32">
        <v>140</v>
      </c>
      <c r="N21" s="33">
        <v>2.52343186733958E-2</v>
      </c>
      <c r="O21" s="32">
        <v>156</v>
      </c>
      <c r="P21" s="33">
        <v>3.03324907641454E-2</v>
      </c>
      <c r="Q21" s="32">
        <v>138</v>
      </c>
      <c r="R21" s="33">
        <v>2.09822107343774E-2</v>
      </c>
      <c r="S21" s="32">
        <v>129</v>
      </c>
      <c r="T21" s="33">
        <v>1.73831020078157E-2</v>
      </c>
      <c r="U21" s="32">
        <v>160</v>
      </c>
      <c r="V21" s="33">
        <v>2.4910477969796001E-2</v>
      </c>
      <c r="W21" s="32">
        <v>178</v>
      </c>
      <c r="X21" s="33">
        <v>2.8631172591281999E-2</v>
      </c>
      <c r="Y21" s="32">
        <v>175</v>
      </c>
      <c r="Z21" s="33">
        <v>2.3581727529982499E-2</v>
      </c>
      <c r="AA21" s="32">
        <v>182</v>
      </c>
      <c r="AB21" s="33">
        <v>2.5124240750966299E-2</v>
      </c>
      <c r="AC21" s="32">
        <v>211</v>
      </c>
      <c r="AD21" s="33">
        <v>3.20182094081942E-2</v>
      </c>
      <c r="AE21" s="32">
        <v>178</v>
      </c>
      <c r="AF21" s="33">
        <v>2.8631172591281999E-2</v>
      </c>
      <c r="AG21" s="32">
        <v>317</v>
      </c>
      <c r="AH21" s="33">
        <v>4.5015620562340201E-2</v>
      </c>
      <c r="AI21" s="32">
        <v>337</v>
      </c>
      <c r="AJ21" s="33">
        <v>4.5608336716741103E-2</v>
      </c>
      <c r="AK21" s="32">
        <v>359</v>
      </c>
      <c r="AL21" s="33">
        <v>5.6517632241813602E-2</v>
      </c>
      <c r="AM21" s="32">
        <v>380</v>
      </c>
      <c r="AN21" s="33">
        <v>5.75844824973481E-2</v>
      </c>
      <c r="AO21" s="32">
        <v>391</v>
      </c>
      <c r="AP21" s="33">
        <v>5.5453127215997697E-2</v>
      </c>
      <c r="AQ21" s="32">
        <v>368</v>
      </c>
      <c r="AR21" s="33">
        <v>5.1721714687280401E-2</v>
      </c>
      <c r="AS21" s="32">
        <v>380</v>
      </c>
      <c r="AT21" s="33">
        <v>5.6835177983846803E-2</v>
      </c>
      <c r="AU21" s="32">
        <v>414</v>
      </c>
      <c r="AV21" s="33">
        <v>5.9895833333333301E-2</v>
      </c>
      <c r="AW21" s="32">
        <v>387</v>
      </c>
      <c r="AX21" s="33">
        <v>5.1497005988024001E-2</v>
      </c>
      <c r="AY21" s="32">
        <v>390</v>
      </c>
      <c r="AZ21" s="33">
        <v>5.1525961157352397E-2</v>
      </c>
    </row>
    <row r="22" spans="1:52" x14ac:dyDescent="0.25">
      <c r="A22" s="10" t="s">
        <v>1781</v>
      </c>
      <c r="B22" s="10"/>
      <c r="C22" s="32" t="s">
        <v>148</v>
      </c>
      <c r="D22" s="33"/>
      <c r="E22" s="32" t="s">
        <v>148</v>
      </c>
      <c r="F22" s="33"/>
      <c r="G22" s="32" t="s">
        <v>148</v>
      </c>
      <c r="H22" s="33"/>
      <c r="I22" s="32" t="s">
        <v>148</v>
      </c>
      <c r="J22" s="33"/>
      <c r="K22" s="32">
        <v>0</v>
      </c>
      <c r="L22" s="33"/>
      <c r="M22" s="32">
        <v>0</v>
      </c>
      <c r="N22" s="33"/>
      <c r="O22" s="32">
        <v>1</v>
      </c>
      <c r="P22" s="33">
        <v>1.94439043359907E-4</v>
      </c>
      <c r="Q22" s="32">
        <v>9</v>
      </c>
      <c r="R22" s="33">
        <v>1.36840504789418E-3</v>
      </c>
      <c r="S22" s="32">
        <v>34</v>
      </c>
      <c r="T22" s="33">
        <v>4.5815927772537403E-3</v>
      </c>
      <c r="U22" s="32">
        <v>31</v>
      </c>
      <c r="V22" s="33">
        <v>4.8264051066479801E-3</v>
      </c>
      <c r="W22" s="32">
        <v>41</v>
      </c>
      <c r="X22" s="33">
        <v>6.5948206530480899E-3</v>
      </c>
      <c r="Y22" s="32">
        <v>47</v>
      </c>
      <c r="Z22" s="33">
        <v>6.3333782509095802E-3</v>
      </c>
      <c r="AA22" s="32">
        <v>57</v>
      </c>
      <c r="AB22" s="33">
        <v>7.8685808945334092E-3</v>
      </c>
      <c r="AC22" s="32">
        <v>63</v>
      </c>
      <c r="AD22" s="33">
        <v>9.5599393019726898E-3</v>
      </c>
      <c r="AE22" s="32">
        <v>41</v>
      </c>
      <c r="AF22" s="33">
        <v>6.5948206530480899E-3</v>
      </c>
      <c r="AG22" s="32">
        <v>81</v>
      </c>
      <c r="AH22" s="33">
        <v>1.15024140869071E-2</v>
      </c>
      <c r="AI22" s="32">
        <v>82</v>
      </c>
      <c r="AJ22" s="33">
        <v>1.1097577480037899E-2</v>
      </c>
      <c r="AK22" s="32">
        <v>89</v>
      </c>
      <c r="AL22" s="33">
        <v>1.40113350125945E-2</v>
      </c>
      <c r="AM22" s="32">
        <v>88</v>
      </c>
      <c r="AN22" s="33">
        <v>1.33353538414911E-2</v>
      </c>
      <c r="AO22" s="32">
        <v>96</v>
      </c>
      <c r="AP22" s="33">
        <v>1.3615090058147801E-2</v>
      </c>
      <c r="AQ22" s="32">
        <v>98</v>
      </c>
      <c r="AR22" s="33">
        <v>1.3773717498243101E-2</v>
      </c>
      <c r="AS22" s="32">
        <v>100</v>
      </c>
      <c r="AT22" s="33">
        <v>1.49566257852229E-2</v>
      </c>
      <c r="AU22" s="32">
        <v>107</v>
      </c>
      <c r="AV22" s="33">
        <v>1.5480324074074099E-2</v>
      </c>
      <c r="AW22" s="32">
        <v>98</v>
      </c>
      <c r="AX22" s="33">
        <v>1.30405854956753E-2</v>
      </c>
      <c r="AY22" s="32">
        <v>98</v>
      </c>
      <c r="AZ22" s="33">
        <v>1.2947549213898801E-2</v>
      </c>
    </row>
    <row r="23" spans="1:52" x14ac:dyDescent="0.25">
      <c r="A23" s="10" t="s">
        <v>1782</v>
      </c>
      <c r="B23" s="10"/>
      <c r="C23" s="32" t="s">
        <v>148</v>
      </c>
      <c r="D23" s="33"/>
      <c r="E23" s="32" t="s">
        <v>148</v>
      </c>
      <c r="F23" s="33"/>
      <c r="G23" s="32" t="s">
        <v>148</v>
      </c>
      <c r="H23" s="33"/>
      <c r="I23" s="32" t="s">
        <v>148</v>
      </c>
      <c r="J23" s="33"/>
      <c r="K23" s="32">
        <v>0</v>
      </c>
      <c r="L23" s="33"/>
      <c r="M23" s="32">
        <v>0</v>
      </c>
      <c r="N23" s="33"/>
      <c r="O23" s="32">
        <v>0</v>
      </c>
      <c r="P23" s="33"/>
      <c r="Q23" s="32">
        <v>0</v>
      </c>
      <c r="R23" s="33"/>
      <c r="S23" s="32">
        <v>49</v>
      </c>
      <c r="T23" s="33">
        <v>6.6028837083950903E-3</v>
      </c>
      <c r="U23" s="32">
        <v>72</v>
      </c>
      <c r="V23" s="33">
        <v>1.12097150864082E-2</v>
      </c>
      <c r="W23" s="32">
        <v>89</v>
      </c>
      <c r="X23" s="33">
        <v>1.4315586295640999E-2</v>
      </c>
      <c r="Y23" s="32">
        <v>101</v>
      </c>
      <c r="Z23" s="33">
        <v>1.3610025603018499E-2</v>
      </c>
      <c r="AA23" s="32">
        <v>118</v>
      </c>
      <c r="AB23" s="33">
        <v>1.62893429044727E-2</v>
      </c>
      <c r="AC23" s="32">
        <v>146</v>
      </c>
      <c r="AD23" s="33">
        <v>2.2154779969651001E-2</v>
      </c>
      <c r="AE23" s="32">
        <v>89</v>
      </c>
      <c r="AF23" s="33">
        <v>1.4315586295640999E-2</v>
      </c>
      <c r="AG23" s="32">
        <v>180</v>
      </c>
      <c r="AH23" s="33">
        <v>2.5560920193127001E-2</v>
      </c>
      <c r="AI23" s="32">
        <v>195</v>
      </c>
      <c r="AJ23" s="33">
        <v>2.6390580592773001E-2</v>
      </c>
      <c r="AK23" s="32">
        <v>222</v>
      </c>
      <c r="AL23" s="33">
        <v>3.4949622166246801E-2</v>
      </c>
      <c r="AM23" s="32">
        <v>260</v>
      </c>
      <c r="AN23" s="33">
        <v>3.9399909077132901E-2</v>
      </c>
      <c r="AO23" s="32">
        <v>283</v>
      </c>
      <c r="AP23" s="33">
        <v>4.0136150900581501E-2</v>
      </c>
      <c r="AQ23" s="32">
        <v>299</v>
      </c>
      <c r="AR23" s="33">
        <v>4.2023893183415303E-2</v>
      </c>
      <c r="AS23" s="32">
        <v>309</v>
      </c>
      <c r="AT23" s="33">
        <v>4.6215973676338597E-2</v>
      </c>
      <c r="AU23" s="32">
        <v>320</v>
      </c>
      <c r="AV23" s="33">
        <v>4.6296296296296301E-2</v>
      </c>
      <c r="AW23" s="32">
        <v>332</v>
      </c>
      <c r="AX23" s="33">
        <v>4.41783100465735E-2</v>
      </c>
      <c r="AY23" s="32">
        <v>355</v>
      </c>
      <c r="AZ23" s="33">
        <v>4.6901836438102799E-2</v>
      </c>
    </row>
    <row r="24" spans="1:52" x14ac:dyDescent="0.25">
      <c r="A24" s="10" t="s">
        <v>1783</v>
      </c>
      <c r="B24" s="10"/>
      <c r="C24" s="32" t="s">
        <v>148</v>
      </c>
      <c r="D24" s="33"/>
      <c r="E24" s="32" t="s">
        <v>148</v>
      </c>
      <c r="F24" s="33"/>
      <c r="G24" s="32" t="s">
        <v>148</v>
      </c>
      <c r="H24" s="33"/>
      <c r="I24" s="32" t="s">
        <v>148</v>
      </c>
      <c r="J24" s="33"/>
      <c r="K24" s="32" t="s">
        <v>148</v>
      </c>
      <c r="L24" s="33"/>
      <c r="M24" s="32" t="s">
        <v>148</v>
      </c>
      <c r="N24" s="33"/>
      <c r="O24" s="32" t="s">
        <v>148</v>
      </c>
      <c r="P24" s="33"/>
      <c r="Q24" s="32" t="s">
        <v>148</v>
      </c>
      <c r="R24" s="33"/>
      <c r="S24" s="32" t="s">
        <v>148</v>
      </c>
      <c r="T24" s="33"/>
      <c r="U24" s="32" t="s">
        <v>148</v>
      </c>
      <c r="V24" s="33"/>
      <c r="W24" s="32" t="s">
        <v>148</v>
      </c>
      <c r="X24" s="33"/>
      <c r="Y24" s="32" t="s">
        <v>148</v>
      </c>
      <c r="Z24" s="33"/>
      <c r="AA24" s="32" t="s">
        <v>148</v>
      </c>
      <c r="AB24" s="33"/>
      <c r="AC24" s="32" t="s">
        <v>148</v>
      </c>
      <c r="AD24" s="33"/>
      <c r="AE24" s="32" t="s">
        <v>148</v>
      </c>
      <c r="AF24" s="33"/>
      <c r="AG24" s="32" t="s">
        <v>148</v>
      </c>
      <c r="AH24" s="33"/>
      <c r="AI24" s="32" t="s">
        <v>148</v>
      </c>
      <c r="AJ24" s="33"/>
      <c r="AK24" s="32">
        <v>675</v>
      </c>
      <c r="AL24" s="33">
        <v>0.10626574307304799</v>
      </c>
      <c r="AM24" s="32">
        <v>711</v>
      </c>
      <c r="AN24" s="33">
        <v>0.107743597514775</v>
      </c>
      <c r="AO24" s="32">
        <v>706</v>
      </c>
      <c r="AP24" s="33">
        <v>0.100127641469295</v>
      </c>
      <c r="AQ24" s="32">
        <v>691</v>
      </c>
      <c r="AR24" s="33">
        <v>9.7118763176387901E-2</v>
      </c>
      <c r="AS24" s="32">
        <v>737</v>
      </c>
      <c r="AT24" s="33">
        <v>0.110230332037092</v>
      </c>
      <c r="AU24" s="32">
        <v>832</v>
      </c>
      <c r="AV24" s="33">
        <v>0.12037037037037</v>
      </c>
      <c r="AW24" s="32">
        <v>733</v>
      </c>
      <c r="AX24" s="33">
        <v>9.75382568196939E-2</v>
      </c>
      <c r="AY24" s="32">
        <v>720</v>
      </c>
      <c r="AZ24" s="33">
        <v>9.5124851367419702E-2</v>
      </c>
    </row>
    <row r="25" spans="1:52" x14ac:dyDescent="0.25">
      <c r="A25" s="10" t="s">
        <v>1784</v>
      </c>
      <c r="B25" s="10"/>
      <c r="C25" s="32" t="s">
        <v>148</v>
      </c>
      <c r="D25" s="33"/>
      <c r="E25" s="32">
        <v>491</v>
      </c>
      <c r="F25" s="33">
        <v>9.2974815375875805E-2</v>
      </c>
      <c r="G25" s="32">
        <v>493</v>
      </c>
      <c r="H25" s="33">
        <v>8.67194371152155E-2</v>
      </c>
      <c r="I25" s="32">
        <v>516</v>
      </c>
      <c r="J25" s="33">
        <v>9.2077087794432494E-2</v>
      </c>
      <c r="K25" s="32">
        <v>465</v>
      </c>
      <c r="L25" s="33">
        <v>7.9095084197992896E-2</v>
      </c>
      <c r="M25" s="32">
        <v>564</v>
      </c>
      <c r="N25" s="33">
        <v>0.101658255227109</v>
      </c>
      <c r="O25" s="32">
        <v>335</v>
      </c>
      <c r="P25" s="33">
        <v>6.51370795255687E-2</v>
      </c>
      <c r="Q25" s="32">
        <v>330</v>
      </c>
      <c r="R25" s="33">
        <v>5.0174851756119798E-2</v>
      </c>
      <c r="S25" s="32">
        <v>370</v>
      </c>
      <c r="T25" s="33">
        <v>4.9858509634820102E-2</v>
      </c>
      <c r="U25" s="32">
        <v>381</v>
      </c>
      <c r="V25" s="33">
        <v>5.93180756655768E-2</v>
      </c>
      <c r="W25" s="32">
        <v>442</v>
      </c>
      <c r="X25" s="33">
        <v>7.1095383625542893E-2</v>
      </c>
      <c r="Y25" s="32">
        <v>332</v>
      </c>
      <c r="Z25" s="33">
        <v>4.4737905942595302E-2</v>
      </c>
      <c r="AA25" s="32">
        <v>307</v>
      </c>
      <c r="AB25" s="33">
        <v>4.2379900607399199E-2</v>
      </c>
      <c r="AC25" s="32">
        <v>330</v>
      </c>
      <c r="AD25" s="33">
        <v>5.0075872534142599E-2</v>
      </c>
      <c r="AE25" s="32">
        <v>442</v>
      </c>
      <c r="AF25" s="33">
        <v>7.1095383625542893E-2</v>
      </c>
      <c r="AG25" s="32">
        <v>455</v>
      </c>
      <c r="AH25" s="33">
        <v>6.4612326043737595E-2</v>
      </c>
      <c r="AI25" s="32">
        <v>369</v>
      </c>
      <c r="AJ25" s="33">
        <v>4.9939098660170503E-2</v>
      </c>
      <c r="AK25" s="32">
        <v>385</v>
      </c>
      <c r="AL25" s="33">
        <v>6.0610831234256902E-2</v>
      </c>
      <c r="AM25" s="32">
        <v>397</v>
      </c>
      <c r="AN25" s="33">
        <v>6.0160630398545203E-2</v>
      </c>
      <c r="AO25" s="32">
        <v>377</v>
      </c>
      <c r="AP25" s="33">
        <v>5.34675932491845E-2</v>
      </c>
      <c r="AQ25" s="32">
        <v>378</v>
      </c>
      <c r="AR25" s="33">
        <v>5.3127196064652098E-2</v>
      </c>
      <c r="AS25" s="32">
        <v>405</v>
      </c>
      <c r="AT25" s="33">
        <v>6.0574334430152602E-2</v>
      </c>
      <c r="AU25" s="32">
        <v>476</v>
      </c>
      <c r="AV25" s="33">
        <v>6.88657407407407E-2</v>
      </c>
      <c r="AW25" s="32">
        <v>385</v>
      </c>
      <c r="AX25" s="33">
        <v>5.1230871590153E-2</v>
      </c>
      <c r="AY25" s="32">
        <v>330</v>
      </c>
      <c r="AZ25" s="33">
        <v>4.3598890210067402E-2</v>
      </c>
    </row>
    <row r="26" spans="1:52" x14ac:dyDescent="0.25">
      <c r="A26" s="10" t="s">
        <v>1785</v>
      </c>
      <c r="B26" s="10"/>
      <c r="C26" s="32">
        <v>100</v>
      </c>
      <c r="D26" s="33">
        <v>1.72562553925798E-2</v>
      </c>
      <c r="E26" s="32">
        <v>101</v>
      </c>
      <c r="F26" s="33">
        <v>1.9125165688316601E-2</v>
      </c>
      <c r="G26" s="32">
        <v>116</v>
      </c>
      <c r="H26" s="33">
        <v>2.04045734388742E-2</v>
      </c>
      <c r="I26" s="32">
        <v>134</v>
      </c>
      <c r="J26" s="33">
        <v>2.3911491791577401E-2</v>
      </c>
      <c r="K26" s="32">
        <v>137</v>
      </c>
      <c r="L26" s="33">
        <v>2.3303282871236598E-2</v>
      </c>
      <c r="M26" s="32">
        <v>136</v>
      </c>
      <c r="N26" s="33">
        <v>2.4513338139870201E-2</v>
      </c>
      <c r="O26" s="32">
        <v>151</v>
      </c>
      <c r="P26" s="33">
        <v>2.9360295547345899E-2</v>
      </c>
      <c r="Q26" s="32">
        <v>177</v>
      </c>
      <c r="R26" s="33">
        <v>2.6911965941918799E-2</v>
      </c>
      <c r="S26" s="32">
        <v>193</v>
      </c>
      <c r="T26" s="33">
        <v>2.6007276647352098E-2</v>
      </c>
      <c r="U26" s="32">
        <v>181</v>
      </c>
      <c r="V26" s="33">
        <v>2.8179978203331801E-2</v>
      </c>
      <c r="W26" s="32">
        <v>200</v>
      </c>
      <c r="X26" s="33">
        <v>3.2169856844137E-2</v>
      </c>
      <c r="Y26" s="32">
        <v>208</v>
      </c>
      <c r="Z26" s="33">
        <v>2.80285675784935E-2</v>
      </c>
      <c r="AA26" s="32">
        <v>225</v>
      </c>
      <c r="AB26" s="33">
        <v>3.10601877415792E-2</v>
      </c>
      <c r="AC26" s="32">
        <v>200</v>
      </c>
      <c r="AD26" s="33">
        <v>3.0349013657056102E-2</v>
      </c>
      <c r="AE26" s="32">
        <v>200</v>
      </c>
      <c r="AF26" s="33">
        <v>3.2169856844137E-2</v>
      </c>
      <c r="AG26" s="32">
        <v>228</v>
      </c>
      <c r="AH26" s="33">
        <v>3.2377165577960797E-2</v>
      </c>
      <c r="AI26" s="32">
        <v>220</v>
      </c>
      <c r="AJ26" s="33">
        <v>2.9773988361077301E-2</v>
      </c>
      <c r="AK26" s="32">
        <v>199</v>
      </c>
      <c r="AL26" s="33">
        <v>3.1328715365239297E-2</v>
      </c>
      <c r="AM26" s="32">
        <v>219</v>
      </c>
      <c r="AN26" s="33">
        <v>3.3186846491892699E-2</v>
      </c>
      <c r="AO26" s="32">
        <v>228</v>
      </c>
      <c r="AP26" s="33">
        <v>3.2335838888101001E-2</v>
      </c>
      <c r="AQ26" s="32">
        <v>217</v>
      </c>
      <c r="AR26" s="33">
        <v>3.0498945888967E-2</v>
      </c>
      <c r="AS26" s="32">
        <v>225</v>
      </c>
      <c r="AT26" s="33">
        <v>3.3652408016751401E-2</v>
      </c>
      <c r="AU26" s="32">
        <v>243</v>
      </c>
      <c r="AV26" s="33">
        <v>3.515625E-2</v>
      </c>
      <c r="AW26" s="32">
        <v>232</v>
      </c>
      <c r="AX26" s="33">
        <v>3.08715901530273E-2</v>
      </c>
      <c r="AY26" s="32">
        <v>260</v>
      </c>
      <c r="AZ26" s="33">
        <v>3.43506407715682E-2</v>
      </c>
    </row>
    <row r="27" spans="1:52" x14ac:dyDescent="0.25">
      <c r="A27" s="10" t="s">
        <v>1786</v>
      </c>
      <c r="B27" s="10"/>
      <c r="C27" s="32" t="s">
        <v>148</v>
      </c>
      <c r="D27" s="33"/>
      <c r="E27" s="32" t="s">
        <v>148</v>
      </c>
      <c r="F27" s="33"/>
      <c r="G27" s="32" t="s">
        <v>148</v>
      </c>
      <c r="H27" s="33"/>
      <c r="I27" s="32" t="s">
        <v>148</v>
      </c>
      <c r="J27" s="33"/>
      <c r="K27" s="32" t="s">
        <v>148</v>
      </c>
      <c r="L27" s="33"/>
      <c r="M27" s="32" t="s">
        <v>148</v>
      </c>
      <c r="N27" s="33"/>
      <c r="O27" s="32" t="s">
        <v>148</v>
      </c>
      <c r="P27" s="33"/>
      <c r="Q27" s="32" t="s">
        <v>148</v>
      </c>
      <c r="R27" s="33"/>
      <c r="S27" s="32" t="s">
        <v>148</v>
      </c>
      <c r="T27" s="33"/>
      <c r="U27" s="32" t="s">
        <v>148</v>
      </c>
      <c r="V27" s="33"/>
      <c r="W27" s="32" t="s">
        <v>148</v>
      </c>
      <c r="X27" s="33"/>
      <c r="Y27" s="32" t="s">
        <v>148</v>
      </c>
      <c r="Z27" s="33"/>
      <c r="AA27" s="32" t="s">
        <v>148</v>
      </c>
      <c r="AB27" s="33"/>
      <c r="AC27" s="32" t="s">
        <v>148</v>
      </c>
      <c r="AD27" s="33"/>
      <c r="AE27" s="32" t="s">
        <v>148</v>
      </c>
      <c r="AF27" s="33"/>
      <c r="AG27" s="32" t="s">
        <v>148</v>
      </c>
      <c r="AH27" s="33"/>
      <c r="AI27" s="32" t="s">
        <v>148</v>
      </c>
      <c r="AJ27" s="33"/>
      <c r="AK27" s="32">
        <v>91</v>
      </c>
      <c r="AL27" s="33">
        <v>1.43261964735516E-2</v>
      </c>
      <c r="AM27" s="32" t="s">
        <v>148</v>
      </c>
      <c r="AN27" s="33"/>
      <c r="AO27" s="32" t="s">
        <v>148</v>
      </c>
      <c r="AP27" s="33"/>
      <c r="AQ27" s="32" t="s">
        <v>148</v>
      </c>
      <c r="AR27" s="33"/>
      <c r="AS27" s="32">
        <v>107</v>
      </c>
      <c r="AT27" s="33">
        <v>1.6003589590188501E-2</v>
      </c>
      <c r="AU27" s="32">
        <v>113</v>
      </c>
      <c r="AV27" s="33">
        <v>1.6348379629629602E-2</v>
      </c>
      <c r="AW27" s="32">
        <v>116</v>
      </c>
      <c r="AX27" s="33">
        <v>1.54357950765136E-2</v>
      </c>
      <c r="AY27" s="32">
        <v>130</v>
      </c>
      <c r="AZ27" s="33">
        <v>1.71753203857841E-2</v>
      </c>
    </row>
    <row r="28" spans="1:52" x14ac:dyDescent="0.25">
      <c r="A28" s="10" t="s">
        <v>1787</v>
      </c>
      <c r="B28" s="10"/>
      <c r="C28" s="32" t="s">
        <v>148</v>
      </c>
      <c r="D28" s="33"/>
      <c r="E28" s="32" t="s">
        <v>148</v>
      </c>
      <c r="F28" s="33"/>
      <c r="G28" s="32" t="s">
        <v>148</v>
      </c>
      <c r="H28" s="33"/>
      <c r="I28" s="32" t="s">
        <v>148</v>
      </c>
      <c r="J28" s="33"/>
      <c r="K28" s="32">
        <v>176</v>
      </c>
      <c r="L28" s="33">
        <v>2.9937064126552101E-2</v>
      </c>
      <c r="M28" s="32">
        <v>186</v>
      </c>
      <c r="N28" s="33">
        <v>3.3525594808940198E-2</v>
      </c>
      <c r="O28" s="32">
        <v>219</v>
      </c>
      <c r="P28" s="33">
        <v>4.25821504958196E-2</v>
      </c>
      <c r="Q28" s="32">
        <v>211</v>
      </c>
      <c r="R28" s="33">
        <v>3.2081496122852403E-2</v>
      </c>
      <c r="S28" s="32">
        <v>241</v>
      </c>
      <c r="T28" s="33">
        <v>3.2475407627004398E-2</v>
      </c>
      <c r="U28" s="32">
        <v>220</v>
      </c>
      <c r="V28" s="33">
        <v>3.4251907208469601E-2</v>
      </c>
      <c r="W28" s="32">
        <v>237</v>
      </c>
      <c r="X28" s="33">
        <v>3.8121280360302399E-2</v>
      </c>
      <c r="Y28" s="32">
        <v>247</v>
      </c>
      <c r="Z28" s="33">
        <v>3.3283923999461E-2</v>
      </c>
      <c r="AA28" s="32">
        <v>265</v>
      </c>
      <c r="AB28" s="33">
        <v>3.6581998895637798E-2</v>
      </c>
      <c r="AC28" s="32">
        <v>236</v>
      </c>
      <c r="AD28" s="33">
        <v>3.5811836115326297E-2</v>
      </c>
      <c r="AE28" s="32">
        <v>237</v>
      </c>
      <c r="AF28" s="33">
        <v>3.8121280360302399E-2</v>
      </c>
      <c r="AG28" s="32">
        <v>264</v>
      </c>
      <c r="AH28" s="33">
        <v>3.7489349616586197E-2</v>
      </c>
      <c r="AI28" s="32">
        <v>255</v>
      </c>
      <c r="AJ28" s="33">
        <v>3.4510759236703201E-2</v>
      </c>
      <c r="AK28" s="32" t="s">
        <v>148</v>
      </c>
      <c r="AL28" s="33"/>
      <c r="AM28" s="32">
        <v>258</v>
      </c>
      <c r="AN28" s="33">
        <v>3.9096832853462597E-2</v>
      </c>
      <c r="AO28" s="32">
        <v>269</v>
      </c>
      <c r="AP28" s="33">
        <v>3.8150616933768297E-2</v>
      </c>
      <c r="AQ28" s="32">
        <v>259</v>
      </c>
      <c r="AR28" s="33">
        <v>3.6401967673928302E-2</v>
      </c>
      <c r="AS28" s="32" t="s">
        <v>148</v>
      </c>
      <c r="AT28" s="33"/>
      <c r="AU28" s="32" t="s">
        <v>148</v>
      </c>
      <c r="AV28" s="33"/>
      <c r="AW28" s="32" t="s">
        <v>148</v>
      </c>
      <c r="AX28" s="33"/>
      <c r="AY28" s="32" t="s">
        <v>148</v>
      </c>
      <c r="AZ28" s="33"/>
    </row>
    <row r="29" spans="1:52" x14ac:dyDescent="0.25">
      <c r="A29" s="10" t="s">
        <v>1788</v>
      </c>
      <c r="B29" s="10"/>
      <c r="C29" s="32" t="s">
        <v>148</v>
      </c>
      <c r="D29" s="33"/>
      <c r="E29" s="32" t="s">
        <v>148</v>
      </c>
      <c r="F29" s="33"/>
      <c r="G29" s="32" t="s">
        <v>148</v>
      </c>
      <c r="H29" s="33"/>
      <c r="I29" s="32" t="s">
        <v>148</v>
      </c>
      <c r="J29" s="33"/>
      <c r="K29" s="32" t="s">
        <v>148</v>
      </c>
      <c r="L29" s="33"/>
      <c r="M29" s="32">
        <v>10</v>
      </c>
      <c r="N29" s="33">
        <v>1.80245133381399E-3</v>
      </c>
      <c r="O29" s="32">
        <v>3</v>
      </c>
      <c r="P29" s="33">
        <v>5.8331713007971997E-4</v>
      </c>
      <c r="Q29" s="32">
        <v>2</v>
      </c>
      <c r="R29" s="33">
        <v>3.0409001064315001E-4</v>
      </c>
      <c r="S29" s="32" t="s">
        <v>148</v>
      </c>
      <c r="T29" s="33"/>
      <c r="U29" s="32">
        <v>8</v>
      </c>
      <c r="V29" s="33">
        <v>1.2455238984898E-3</v>
      </c>
      <c r="W29" s="32">
        <v>9</v>
      </c>
      <c r="X29" s="33">
        <v>1.44764355798617E-3</v>
      </c>
      <c r="Y29" s="32">
        <v>13</v>
      </c>
      <c r="Z29" s="33">
        <v>1.7517854736558401E-3</v>
      </c>
      <c r="AA29" s="32">
        <v>14</v>
      </c>
      <c r="AB29" s="33">
        <v>1.9326339039204899E-3</v>
      </c>
      <c r="AC29" s="32">
        <v>13</v>
      </c>
      <c r="AD29" s="33">
        <v>1.9726858877086501E-3</v>
      </c>
      <c r="AE29" s="32">
        <v>9</v>
      </c>
      <c r="AF29" s="33">
        <v>1.44764355798617E-3</v>
      </c>
      <c r="AG29" s="32">
        <v>14</v>
      </c>
      <c r="AH29" s="33">
        <v>1.9880715705765401E-3</v>
      </c>
      <c r="AI29" s="32">
        <v>13</v>
      </c>
      <c r="AJ29" s="33">
        <v>1.7593720395182001E-3</v>
      </c>
      <c r="AK29" s="32" t="s">
        <v>148</v>
      </c>
      <c r="AL29" s="33"/>
      <c r="AM29" s="32">
        <v>20</v>
      </c>
      <c r="AN29" s="33">
        <v>3.0307622367025302E-3</v>
      </c>
      <c r="AO29" s="32">
        <v>20</v>
      </c>
      <c r="AP29" s="33">
        <v>2.8364770954474499E-3</v>
      </c>
      <c r="AQ29" s="32">
        <v>21</v>
      </c>
      <c r="AR29" s="33">
        <v>2.9515108924806702E-3</v>
      </c>
      <c r="AS29" s="32" t="s">
        <v>148</v>
      </c>
      <c r="AT29" s="33"/>
      <c r="AU29" s="32" t="s">
        <v>148</v>
      </c>
      <c r="AV29" s="33"/>
      <c r="AW29" s="32" t="s">
        <v>148</v>
      </c>
      <c r="AX29" s="33"/>
      <c r="AY29" s="32" t="s">
        <v>148</v>
      </c>
      <c r="AZ29" s="33"/>
    </row>
    <row r="30" spans="1:52" x14ac:dyDescent="0.25">
      <c r="A30" s="10" t="s">
        <v>1789</v>
      </c>
      <c r="B30" s="10"/>
      <c r="C30" s="32">
        <v>58</v>
      </c>
      <c r="D30" s="33">
        <v>1.00086281276963E-2</v>
      </c>
      <c r="E30" s="32">
        <v>72</v>
      </c>
      <c r="F30" s="33">
        <v>1.36337814807802E-2</v>
      </c>
      <c r="G30" s="32">
        <v>75</v>
      </c>
      <c r="H30" s="33">
        <v>1.31926121372032E-2</v>
      </c>
      <c r="I30" s="32">
        <v>57</v>
      </c>
      <c r="J30" s="33">
        <v>1.0171306209850101E-2</v>
      </c>
      <c r="K30" s="32">
        <v>39</v>
      </c>
      <c r="L30" s="33">
        <v>6.6337812553155301E-3</v>
      </c>
      <c r="M30" s="32">
        <v>40</v>
      </c>
      <c r="N30" s="33">
        <v>7.2098053352559503E-3</v>
      </c>
      <c r="O30" s="32">
        <v>65</v>
      </c>
      <c r="P30" s="33">
        <v>1.26385378183939E-2</v>
      </c>
      <c r="Q30" s="32">
        <v>32</v>
      </c>
      <c r="R30" s="33">
        <v>4.8654401702904098E-3</v>
      </c>
      <c r="S30" s="32">
        <v>48</v>
      </c>
      <c r="T30" s="33">
        <v>6.46813097965234E-3</v>
      </c>
      <c r="U30" s="32">
        <v>31</v>
      </c>
      <c r="V30" s="33">
        <v>4.8264051066479801E-3</v>
      </c>
      <c r="W30" s="32">
        <v>28</v>
      </c>
      <c r="X30" s="33">
        <v>4.5037799581791899E-3</v>
      </c>
      <c r="Y30" s="32">
        <v>26</v>
      </c>
      <c r="Z30" s="33">
        <v>3.5035709473116802E-3</v>
      </c>
      <c r="AA30" s="32">
        <v>26</v>
      </c>
      <c r="AB30" s="33">
        <v>3.5891772501380498E-3</v>
      </c>
      <c r="AC30" s="32">
        <v>23</v>
      </c>
      <c r="AD30" s="33">
        <v>3.4901365705614601E-3</v>
      </c>
      <c r="AE30" s="32">
        <v>28</v>
      </c>
      <c r="AF30" s="33">
        <v>4.5037799581791899E-3</v>
      </c>
      <c r="AG30" s="32">
        <v>22</v>
      </c>
      <c r="AH30" s="33">
        <v>3.1241124680488502E-3</v>
      </c>
      <c r="AI30" s="32">
        <v>22</v>
      </c>
      <c r="AJ30" s="33">
        <v>2.9773988361077299E-3</v>
      </c>
      <c r="AK30" s="32" t="s">
        <v>148</v>
      </c>
      <c r="AL30" s="33"/>
      <c r="AM30" s="32">
        <v>21</v>
      </c>
      <c r="AN30" s="33">
        <v>3.18230034853766E-3</v>
      </c>
      <c r="AO30" s="32">
        <v>21</v>
      </c>
      <c r="AP30" s="33">
        <v>2.97830095021983E-3</v>
      </c>
      <c r="AQ30" s="32">
        <v>21</v>
      </c>
      <c r="AR30" s="33">
        <v>2.9515108924806702E-3</v>
      </c>
      <c r="AS30" s="32" t="s">
        <v>148</v>
      </c>
      <c r="AT30" s="33"/>
      <c r="AU30" s="32" t="s">
        <v>148</v>
      </c>
      <c r="AV30" s="33"/>
      <c r="AW30" s="32" t="s">
        <v>148</v>
      </c>
      <c r="AX30" s="33"/>
      <c r="AY30" s="32" t="s">
        <v>148</v>
      </c>
      <c r="AZ30" s="33"/>
    </row>
    <row r="31" spans="1:52" x14ac:dyDescent="0.25">
      <c r="A31" s="10" t="s">
        <v>1790</v>
      </c>
      <c r="B31" s="10"/>
      <c r="C31" s="32">
        <v>685</v>
      </c>
      <c r="D31" s="33">
        <v>0.11820534943917201</v>
      </c>
      <c r="E31" s="32" t="s">
        <v>148</v>
      </c>
      <c r="F31" s="33"/>
      <c r="G31" s="32" t="s">
        <v>148</v>
      </c>
      <c r="H31" s="33"/>
      <c r="I31" s="32" t="s">
        <v>148</v>
      </c>
      <c r="J31" s="33"/>
      <c r="K31" s="32">
        <v>630</v>
      </c>
      <c r="L31" s="33">
        <v>0.107161081816635</v>
      </c>
      <c r="M31" s="32">
        <v>729</v>
      </c>
      <c r="N31" s="33">
        <v>0.13139870223503999</v>
      </c>
      <c r="O31" s="32">
        <v>448</v>
      </c>
      <c r="P31" s="33">
        <v>8.7108691425238194E-2</v>
      </c>
      <c r="Q31" s="32">
        <v>464</v>
      </c>
      <c r="R31" s="33">
        <v>7.05488824692109E-2</v>
      </c>
      <c r="S31" s="32">
        <v>423</v>
      </c>
      <c r="T31" s="33">
        <v>5.7000404258186199E-2</v>
      </c>
      <c r="U31" s="32">
        <v>510</v>
      </c>
      <c r="V31" s="33">
        <v>7.9402148528724903E-2</v>
      </c>
      <c r="W31" s="32">
        <v>549</v>
      </c>
      <c r="X31" s="33">
        <v>8.8306257037156194E-2</v>
      </c>
      <c r="Y31" s="32">
        <v>429</v>
      </c>
      <c r="Z31" s="33">
        <v>5.7808920630642802E-2</v>
      </c>
      <c r="AA31" s="32">
        <v>393</v>
      </c>
      <c r="AB31" s="33">
        <v>5.4251794588625099E-2</v>
      </c>
      <c r="AC31" s="32">
        <v>399</v>
      </c>
      <c r="AD31" s="33">
        <v>6.0546282245826998E-2</v>
      </c>
      <c r="AE31" s="32">
        <v>549</v>
      </c>
      <c r="AF31" s="33">
        <v>8.8306257037156194E-2</v>
      </c>
      <c r="AG31" s="32">
        <v>524</v>
      </c>
      <c r="AH31" s="33">
        <v>7.4410678784436204E-2</v>
      </c>
      <c r="AI31" s="32">
        <v>439</v>
      </c>
      <c r="AJ31" s="33">
        <v>5.9412640411422399E-2</v>
      </c>
      <c r="AK31" s="32" t="s">
        <v>148</v>
      </c>
      <c r="AL31" s="33"/>
      <c r="AM31" s="32">
        <v>452</v>
      </c>
      <c r="AN31" s="33">
        <v>6.8495226549477206E-2</v>
      </c>
      <c r="AO31" s="32">
        <v>438</v>
      </c>
      <c r="AP31" s="33">
        <v>6.21188483902992E-2</v>
      </c>
      <c r="AQ31" s="32">
        <v>432</v>
      </c>
      <c r="AR31" s="33">
        <v>6.0716795502459599E-2</v>
      </c>
      <c r="AS31" s="32" t="s">
        <v>148</v>
      </c>
      <c r="AT31" s="33"/>
      <c r="AU31" s="32" t="s">
        <v>148</v>
      </c>
      <c r="AV31" s="33"/>
      <c r="AW31" s="32" t="s">
        <v>148</v>
      </c>
      <c r="AX31" s="33"/>
      <c r="AY31" s="32" t="s">
        <v>148</v>
      </c>
      <c r="AZ31" s="33"/>
    </row>
    <row r="32" spans="1:52" x14ac:dyDescent="0.25">
      <c r="A32" s="10" t="s">
        <v>1791</v>
      </c>
      <c r="B32" s="10"/>
      <c r="C32" s="32">
        <v>453</v>
      </c>
      <c r="D32" s="33">
        <v>7.81708369283865E-2</v>
      </c>
      <c r="E32" s="32" t="s">
        <v>148</v>
      </c>
      <c r="F32" s="33"/>
      <c r="G32" s="32" t="s">
        <v>148</v>
      </c>
      <c r="H32" s="33"/>
      <c r="I32" s="32" t="s">
        <v>148</v>
      </c>
      <c r="J32" s="33"/>
      <c r="K32" s="32" t="s">
        <v>148</v>
      </c>
      <c r="L32" s="33"/>
      <c r="M32" s="32" t="s">
        <v>148</v>
      </c>
      <c r="N32" s="33"/>
      <c r="O32" s="32" t="s">
        <v>148</v>
      </c>
      <c r="P32" s="33"/>
      <c r="Q32" s="32" t="s">
        <v>148</v>
      </c>
      <c r="R32" s="33"/>
      <c r="S32" s="32" t="s">
        <v>148</v>
      </c>
      <c r="T32" s="33"/>
      <c r="U32" s="32" t="s">
        <v>148</v>
      </c>
      <c r="V32" s="33"/>
      <c r="W32" s="32" t="s">
        <v>148</v>
      </c>
      <c r="X32" s="33"/>
      <c r="Y32" s="32" t="s">
        <v>148</v>
      </c>
      <c r="Z32" s="33"/>
      <c r="AA32" s="32" t="s">
        <v>148</v>
      </c>
      <c r="AB32" s="33"/>
      <c r="AC32" s="32" t="s">
        <v>148</v>
      </c>
      <c r="AD32" s="33"/>
      <c r="AE32" s="32" t="s">
        <v>148</v>
      </c>
      <c r="AF32" s="33"/>
      <c r="AG32" s="32" t="s">
        <v>148</v>
      </c>
      <c r="AH32" s="33"/>
      <c r="AI32" s="32" t="s">
        <v>148</v>
      </c>
      <c r="AJ32" s="33"/>
      <c r="AK32" s="32" t="s">
        <v>148</v>
      </c>
      <c r="AL32" s="33"/>
      <c r="AM32" s="32" t="s">
        <v>148</v>
      </c>
      <c r="AN32" s="33"/>
      <c r="AO32" s="32" t="s">
        <v>148</v>
      </c>
      <c r="AP32" s="33"/>
      <c r="AQ32" s="32" t="s">
        <v>148</v>
      </c>
      <c r="AR32" s="33"/>
      <c r="AS32" s="32" t="s">
        <v>148</v>
      </c>
      <c r="AT32" s="33"/>
      <c r="AU32" s="32" t="s">
        <v>148</v>
      </c>
      <c r="AV32" s="33"/>
      <c r="AW32" s="32" t="s">
        <v>148</v>
      </c>
      <c r="AX32" s="33"/>
      <c r="AY32" s="32" t="s">
        <v>148</v>
      </c>
      <c r="AZ32" s="33"/>
    </row>
    <row r="33" spans="1:52" x14ac:dyDescent="0.25">
      <c r="A33" s="10" t="s">
        <v>1792</v>
      </c>
      <c r="B33" s="10"/>
      <c r="C33" s="32">
        <v>232</v>
      </c>
      <c r="D33" s="33">
        <v>4.00345125107852E-2</v>
      </c>
      <c r="E33" s="32" t="s">
        <v>148</v>
      </c>
      <c r="F33" s="33"/>
      <c r="G33" s="32" t="s">
        <v>148</v>
      </c>
      <c r="H33" s="33"/>
      <c r="I33" s="32" t="s">
        <v>148</v>
      </c>
      <c r="J33" s="33"/>
      <c r="K33" s="32" t="s">
        <v>148</v>
      </c>
      <c r="L33" s="33"/>
      <c r="M33" s="32" t="s">
        <v>148</v>
      </c>
      <c r="N33" s="33"/>
      <c r="O33" s="32" t="s">
        <v>148</v>
      </c>
      <c r="P33" s="33"/>
      <c r="Q33" s="32" t="s">
        <v>148</v>
      </c>
      <c r="R33" s="33"/>
      <c r="S33" s="32" t="s">
        <v>148</v>
      </c>
      <c r="T33" s="33"/>
      <c r="U33" s="32" t="s">
        <v>148</v>
      </c>
      <c r="V33" s="33"/>
      <c r="W33" s="32" t="s">
        <v>148</v>
      </c>
      <c r="X33" s="33"/>
      <c r="Y33" s="32" t="s">
        <v>148</v>
      </c>
      <c r="Z33" s="33"/>
      <c r="AA33" s="32" t="s">
        <v>148</v>
      </c>
      <c r="AB33" s="33"/>
      <c r="AC33" s="32" t="s">
        <v>148</v>
      </c>
      <c r="AD33" s="33"/>
      <c r="AE33" s="32" t="s">
        <v>148</v>
      </c>
      <c r="AF33" s="33"/>
      <c r="AG33" s="32" t="s">
        <v>148</v>
      </c>
      <c r="AH33" s="33"/>
      <c r="AI33" s="32" t="s">
        <v>148</v>
      </c>
      <c r="AJ33" s="33"/>
      <c r="AK33" s="32" t="s">
        <v>148</v>
      </c>
      <c r="AL33" s="33"/>
      <c r="AM33" s="32" t="s">
        <v>148</v>
      </c>
      <c r="AN33" s="33"/>
      <c r="AO33" s="32" t="s">
        <v>148</v>
      </c>
      <c r="AP33" s="33"/>
      <c r="AQ33" s="32" t="s">
        <v>148</v>
      </c>
      <c r="AR33" s="33"/>
      <c r="AS33" s="32" t="s">
        <v>148</v>
      </c>
      <c r="AT33" s="33"/>
      <c r="AU33" s="32" t="s">
        <v>148</v>
      </c>
      <c r="AV33" s="33"/>
      <c r="AW33" s="32" t="s">
        <v>148</v>
      </c>
      <c r="AX33" s="33"/>
      <c r="AY33" s="32" t="s">
        <v>148</v>
      </c>
      <c r="AZ33" s="33"/>
    </row>
    <row r="34" spans="1:52" x14ac:dyDescent="0.25">
      <c r="A34" s="10" t="s">
        <v>1793</v>
      </c>
      <c r="B34" s="10"/>
      <c r="C34" s="32" t="s">
        <v>148</v>
      </c>
      <c r="D34" s="33"/>
      <c r="E34" s="32" t="s">
        <v>148</v>
      </c>
      <c r="F34" s="33"/>
      <c r="G34" s="32" t="s">
        <v>148</v>
      </c>
      <c r="H34" s="33"/>
      <c r="I34" s="32" t="s">
        <v>148</v>
      </c>
      <c r="J34" s="33"/>
      <c r="K34" s="32">
        <v>64</v>
      </c>
      <c r="L34" s="33">
        <v>1.0886205136928E-2</v>
      </c>
      <c r="M34" s="32">
        <v>53</v>
      </c>
      <c r="N34" s="33">
        <v>9.5529920692141307E-3</v>
      </c>
      <c r="O34" s="32">
        <v>46</v>
      </c>
      <c r="P34" s="33">
        <v>8.9441959945557106E-3</v>
      </c>
      <c r="Q34" s="32">
        <v>50</v>
      </c>
      <c r="R34" s="33">
        <v>7.6022502660787602E-3</v>
      </c>
      <c r="S34" s="32">
        <v>44</v>
      </c>
      <c r="T34" s="33">
        <v>5.9291200646813102E-3</v>
      </c>
      <c r="U34" s="32">
        <v>73</v>
      </c>
      <c r="V34" s="33">
        <v>1.13654055737194E-2</v>
      </c>
      <c r="W34" s="32">
        <v>45</v>
      </c>
      <c r="X34" s="33">
        <v>7.2382177899308403E-3</v>
      </c>
      <c r="Y34" s="32">
        <v>52</v>
      </c>
      <c r="Z34" s="33">
        <v>7.0071418946233699E-3</v>
      </c>
      <c r="AA34" s="32">
        <v>37</v>
      </c>
      <c r="AB34" s="33">
        <v>5.1076753175041401E-3</v>
      </c>
      <c r="AC34" s="32">
        <v>34</v>
      </c>
      <c r="AD34" s="33">
        <v>5.1593323216995403E-3</v>
      </c>
      <c r="AE34" s="32">
        <v>45</v>
      </c>
      <c r="AF34" s="33">
        <v>7.2382177899308403E-3</v>
      </c>
      <c r="AG34" s="32">
        <v>44</v>
      </c>
      <c r="AH34" s="33">
        <v>6.2482249360977004E-3</v>
      </c>
      <c r="AI34" s="32">
        <v>39</v>
      </c>
      <c r="AJ34" s="33">
        <v>5.2781161185546099E-3</v>
      </c>
      <c r="AK34" s="32" t="s">
        <v>148</v>
      </c>
      <c r="AL34" s="33"/>
      <c r="AM34" s="32">
        <v>40</v>
      </c>
      <c r="AN34" s="33">
        <v>6.0615244734050604E-3</v>
      </c>
      <c r="AO34" s="32">
        <v>38</v>
      </c>
      <c r="AP34" s="33">
        <v>5.3893064813501602E-3</v>
      </c>
      <c r="AQ34" s="32">
        <v>37</v>
      </c>
      <c r="AR34" s="33">
        <v>5.2002810962754704E-3</v>
      </c>
      <c r="AS34" s="32" t="s">
        <v>148</v>
      </c>
      <c r="AT34" s="33"/>
      <c r="AU34" s="32" t="s">
        <v>148</v>
      </c>
      <c r="AV34" s="33"/>
      <c r="AW34" s="32" t="s">
        <v>148</v>
      </c>
      <c r="AX34" s="33"/>
      <c r="AY34" s="32" t="s">
        <v>148</v>
      </c>
      <c r="AZ34" s="33"/>
    </row>
    <row r="35" spans="1:52" x14ac:dyDescent="0.25">
      <c r="A35" s="10" t="s">
        <v>1794</v>
      </c>
      <c r="B35" s="10"/>
      <c r="C35" s="32" t="s">
        <v>148</v>
      </c>
      <c r="D35" s="33"/>
      <c r="E35" s="32">
        <v>225</v>
      </c>
      <c r="F35" s="33">
        <v>4.2605567127438002E-2</v>
      </c>
      <c r="G35" s="32">
        <v>193</v>
      </c>
      <c r="H35" s="33">
        <v>3.3948988566402799E-2</v>
      </c>
      <c r="I35" s="32">
        <v>124</v>
      </c>
      <c r="J35" s="33">
        <v>2.2127052105638801E-2</v>
      </c>
      <c r="K35" s="32">
        <v>101</v>
      </c>
      <c r="L35" s="33">
        <v>1.7179792481714602E-2</v>
      </c>
      <c r="M35" s="32">
        <v>112</v>
      </c>
      <c r="N35" s="33">
        <v>2.0187454938716699E-2</v>
      </c>
      <c r="O35" s="32">
        <v>67</v>
      </c>
      <c r="P35" s="33">
        <v>1.30274159051137E-2</v>
      </c>
      <c r="Q35" s="32">
        <v>84</v>
      </c>
      <c r="R35" s="33">
        <v>1.27717804470123E-2</v>
      </c>
      <c r="S35" s="32">
        <v>9</v>
      </c>
      <c r="T35" s="33">
        <v>1.21277455868481E-3</v>
      </c>
      <c r="U35" s="32">
        <v>56</v>
      </c>
      <c r="V35" s="33">
        <v>8.7186672894286193E-3</v>
      </c>
      <c r="W35" s="32">
        <v>62</v>
      </c>
      <c r="X35" s="33">
        <v>9.9726556216824802E-3</v>
      </c>
      <c r="Y35" s="32">
        <v>45</v>
      </c>
      <c r="Z35" s="33">
        <v>6.06387279342407E-3</v>
      </c>
      <c r="AA35" s="32">
        <v>49</v>
      </c>
      <c r="AB35" s="33">
        <v>6.7642186637216998E-3</v>
      </c>
      <c r="AC35" s="32">
        <v>35</v>
      </c>
      <c r="AD35" s="33">
        <v>5.3110773899848196E-3</v>
      </c>
      <c r="AE35" s="32">
        <v>62</v>
      </c>
      <c r="AF35" s="33">
        <v>9.9726556216824802E-3</v>
      </c>
      <c r="AG35" s="32">
        <v>25</v>
      </c>
      <c r="AH35" s="33">
        <v>3.5501278046009702E-3</v>
      </c>
      <c r="AI35" s="32">
        <v>31</v>
      </c>
      <c r="AJ35" s="33">
        <v>4.1954256326972496E-3</v>
      </c>
      <c r="AK35" s="32" t="s">
        <v>148</v>
      </c>
      <c r="AL35" s="33"/>
      <c r="AM35" s="32">
        <v>15</v>
      </c>
      <c r="AN35" s="33">
        <v>2.2730716775268998E-3</v>
      </c>
      <c r="AO35" s="32">
        <v>23</v>
      </c>
      <c r="AP35" s="33">
        <v>3.26194865976457E-3</v>
      </c>
      <c r="AQ35" s="32">
        <v>17</v>
      </c>
      <c r="AR35" s="33">
        <v>2.3893183415319699E-3</v>
      </c>
      <c r="AS35" s="32" t="s">
        <v>148</v>
      </c>
      <c r="AT35" s="33"/>
      <c r="AU35" s="32" t="s">
        <v>148</v>
      </c>
      <c r="AV35" s="33"/>
      <c r="AW35" s="32" t="s">
        <v>148</v>
      </c>
      <c r="AX35" s="33"/>
      <c r="AY35" s="32" t="s">
        <v>148</v>
      </c>
      <c r="AZ35" s="33"/>
    </row>
    <row r="36" spans="1:52" x14ac:dyDescent="0.25">
      <c r="A36" s="10" t="s">
        <v>1795</v>
      </c>
      <c r="B36" s="10"/>
      <c r="C36" s="32">
        <v>77</v>
      </c>
      <c r="D36" s="33">
        <v>1.32873166522865E-2</v>
      </c>
      <c r="E36" s="32" t="s">
        <v>148</v>
      </c>
      <c r="F36" s="33"/>
      <c r="G36" s="32" t="s">
        <v>148</v>
      </c>
      <c r="H36" s="33"/>
      <c r="I36" s="32" t="s">
        <v>148</v>
      </c>
      <c r="J36" s="33"/>
      <c r="K36" s="32">
        <v>0</v>
      </c>
      <c r="L36" s="33"/>
      <c r="M36" s="32">
        <v>0</v>
      </c>
      <c r="N36" s="33"/>
      <c r="O36" s="32">
        <v>0</v>
      </c>
      <c r="P36" s="33"/>
      <c r="Q36" s="32">
        <v>873</v>
      </c>
      <c r="R36" s="33">
        <v>0.132735289645735</v>
      </c>
      <c r="S36" s="32">
        <v>1938</v>
      </c>
      <c r="T36" s="33">
        <v>0.261150788303463</v>
      </c>
      <c r="U36" s="32">
        <v>1456</v>
      </c>
      <c r="V36" s="33">
        <v>0.22668534952514399</v>
      </c>
      <c r="W36" s="32">
        <v>829</v>
      </c>
      <c r="X36" s="33">
        <v>0.13334405661894799</v>
      </c>
      <c r="Y36" s="32">
        <v>1923</v>
      </c>
      <c r="Z36" s="33">
        <v>0.25912949737232199</v>
      </c>
      <c r="AA36" s="32">
        <v>1357</v>
      </c>
      <c r="AB36" s="33">
        <v>0.18732744340143601</v>
      </c>
      <c r="AC36" s="32">
        <v>1535</v>
      </c>
      <c r="AD36" s="33">
        <v>0.23292867981790599</v>
      </c>
      <c r="AE36" s="32">
        <v>829</v>
      </c>
      <c r="AF36" s="33">
        <v>0.13334405661894799</v>
      </c>
      <c r="AG36" s="32">
        <v>925</v>
      </c>
      <c r="AH36" s="33">
        <v>0.13135472877023599</v>
      </c>
      <c r="AI36" s="32">
        <v>1000</v>
      </c>
      <c r="AJ36" s="33">
        <v>0.13533631073216901</v>
      </c>
      <c r="AK36" s="32">
        <v>573</v>
      </c>
      <c r="AL36" s="33">
        <v>9.0207808564231703E-2</v>
      </c>
      <c r="AM36" s="32">
        <v>256</v>
      </c>
      <c r="AN36" s="33">
        <v>3.8793756629792397E-2</v>
      </c>
      <c r="AO36" s="32">
        <v>636</v>
      </c>
      <c r="AP36" s="33">
        <v>9.0199971635228998E-2</v>
      </c>
      <c r="AQ36" s="32">
        <v>720</v>
      </c>
      <c r="AR36" s="33">
        <v>0.101194659170766</v>
      </c>
      <c r="AS36" s="32">
        <v>555</v>
      </c>
      <c r="AT36" s="33">
        <v>8.3009273107986795E-2</v>
      </c>
      <c r="AU36" s="32">
        <v>214</v>
      </c>
      <c r="AV36" s="33">
        <v>3.0960648148148199E-2</v>
      </c>
      <c r="AW36" s="32">
        <v>692</v>
      </c>
      <c r="AX36" s="33">
        <v>9.2082501663340005E-2</v>
      </c>
      <c r="AY36" s="32">
        <v>337</v>
      </c>
      <c r="AZ36" s="33">
        <v>4.4523715153917301E-2</v>
      </c>
    </row>
    <row r="37" spans="1:52" x14ac:dyDescent="0.25">
      <c r="A37" s="10" t="s">
        <v>1796</v>
      </c>
      <c r="B37" s="10"/>
      <c r="C37" s="32">
        <v>773</v>
      </c>
      <c r="D37" s="33">
        <v>0.133390854184642</v>
      </c>
      <c r="E37" s="32" t="s">
        <v>148</v>
      </c>
      <c r="F37" s="33"/>
      <c r="G37" s="32" t="s">
        <v>148</v>
      </c>
      <c r="H37" s="33"/>
      <c r="I37" s="32" t="s">
        <v>148</v>
      </c>
      <c r="J37" s="33"/>
      <c r="K37" s="32">
        <v>291</v>
      </c>
      <c r="L37" s="33">
        <v>4.9498213981969699E-2</v>
      </c>
      <c r="M37" s="32">
        <v>278</v>
      </c>
      <c r="N37" s="33">
        <v>5.0108147080028802E-2</v>
      </c>
      <c r="O37" s="32">
        <v>243</v>
      </c>
      <c r="P37" s="33">
        <v>4.72486875364573E-2</v>
      </c>
      <c r="Q37" s="32">
        <v>251</v>
      </c>
      <c r="R37" s="33">
        <v>3.8163296335715399E-2</v>
      </c>
      <c r="S37" s="32">
        <v>240</v>
      </c>
      <c r="T37" s="33">
        <v>3.2340654898261698E-2</v>
      </c>
      <c r="U37" s="32">
        <v>241</v>
      </c>
      <c r="V37" s="33">
        <v>3.75214074420053E-2</v>
      </c>
      <c r="W37" s="32">
        <v>291</v>
      </c>
      <c r="X37" s="33">
        <v>4.6807141708219403E-2</v>
      </c>
      <c r="Y37" s="32">
        <v>245</v>
      </c>
      <c r="Z37" s="33">
        <v>3.3014418541975503E-2</v>
      </c>
      <c r="AA37" s="32">
        <v>250</v>
      </c>
      <c r="AB37" s="33">
        <v>3.45113197128658E-2</v>
      </c>
      <c r="AC37" s="32">
        <v>237</v>
      </c>
      <c r="AD37" s="33">
        <v>3.5963581183611502E-2</v>
      </c>
      <c r="AE37" s="32">
        <v>291</v>
      </c>
      <c r="AF37" s="33">
        <v>4.6807141708219403E-2</v>
      </c>
      <c r="AG37" s="32">
        <v>200</v>
      </c>
      <c r="AH37" s="33">
        <v>2.8401022436807699E-2</v>
      </c>
      <c r="AI37" s="32">
        <v>252</v>
      </c>
      <c r="AJ37" s="33">
        <v>3.4104750304506701E-2</v>
      </c>
      <c r="AK37" s="32">
        <v>199</v>
      </c>
      <c r="AL37" s="33">
        <v>3.1328715365239297E-2</v>
      </c>
      <c r="AM37" s="32">
        <v>243</v>
      </c>
      <c r="AN37" s="33">
        <v>3.68237611759357E-2</v>
      </c>
      <c r="AO37" s="32">
        <v>216</v>
      </c>
      <c r="AP37" s="33">
        <v>3.06339526308325E-2</v>
      </c>
      <c r="AQ37" s="32">
        <v>201</v>
      </c>
      <c r="AR37" s="33">
        <v>2.8250175685172199E-2</v>
      </c>
      <c r="AS37" s="32">
        <v>224</v>
      </c>
      <c r="AT37" s="33">
        <v>3.3502841758899199E-2</v>
      </c>
      <c r="AU37" s="32">
        <v>280</v>
      </c>
      <c r="AV37" s="33">
        <v>4.05092592592593E-2</v>
      </c>
      <c r="AW37" s="32">
        <v>201</v>
      </c>
      <c r="AX37" s="33">
        <v>2.6746506986027901E-2</v>
      </c>
      <c r="AY37" s="32">
        <v>185</v>
      </c>
      <c r="AZ37" s="33">
        <v>2.4441802087462002E-2</v>
      </c>
    </row>
    <row r="38" spans="1:52" x14ac:dyDescent="0.25">
      <c r="A38" s="10" t="s">
        <v>1797</v>
      </c>
      <c r="B38" s="10"/>
      <c r="C38" s="32">
        <v>108</v>
      </c>
      <c r="D38" s="33">
        <v>1.86367558239862E-2</v>
      </c>
      <c r="E38" s="32">
        <v>93</v>
      </c>
      <c r="F38" s="33">
        <v>1.7610301079341001E-2</v>
      </c>
      <c r="G38" s="32">
        <v>105</v>
      </c>
      <c r="H38" s="33">
        <v>1.8469656992084402E-2</v>
      </c>
      <c r="I38" s="32">
        <v>99</v>
      </c>
      <c r="J38" s="33">
        <v>1.76659528907923E-2</v>
      </c>
      <c r="K38" s="32">
        <v>110</v>
      </c>
      <c r="L38" s="33">
        <v>1.87106650790951E-2</v>
      </c>
      <c r="M38" s="32">
        <v>119</v>
      </c>
      <c r="N38" s="33">
        <v>2.1449170872386399E-2</v>
      </c>
      <c r="O38" s="32">
        <v>95</v>
      </c>
      <c r="P38" s="33">
        <v>1.8471709119191101E-2</v>
      </c>
      <c r="Q38" s="32">
        <v>111</v>
      </c>
      <c r="R38" s="33">
        <v>1.6876995590694801E-2</v>
      </c>
      <c r="S38" s="32">
        <v>111</v>
      </c>
      <c r="T38" s="33">
        <v>1.4957552890446001E-2</v>
      </c>
      <c r="U38" s="32">
        <v>121</v>
      </c>
      <c r="V38" s="33">
        <v>1.8838548964658301E-2</v>
      </c>
      <c r="W38" s="32">
        <v>156</v>
      </c>
      <c r="X38" s="33">
        <v>2.5092488338426901E-2</v>
      </c>
      <c r="Y38" s="32">
        <v>143</v>
      </c>
      <c r="Z38" s="33">
        <v>1.9269640210214298E-2</v>
      </c>
      <c r="AA38" s="32">
        <v>120</v>
      </c>
      <c r="AB38" s="33">
        <v>1.6565433462175601E-2</v>
      </c>
      <c r="AC38" s="32">
        <v>144</v>
      </c>
      <c r="AD38" s="33">
        <v>2.1851289833080399E-2</v>
      </c>
      <c r="AE38" s="32">
        <v>156</v>
      </c>
      <c r="AF38" s="33">
        <v>2.5092488338426901E-2</v>
      </c>
      <c r="AG38" s="32">
        <v>105</v>
      </c>
      <c r="AH38" s="33">
        <v>1.49105367793241E-2</v>
      </c>
      <c r="AI38" s="32">
        <v>117</v>
      </c>
      <c r="AJ38" s="33">
        <v>1.5834348355663799E-2</v>
      </c>
      <c r="AK38" s="32">
        <v>116</v>
      </c>
      <c r="AL38" s="33">
        <v>1.82619647355164E-2</v>
      </c>
      <c r="AM38" s="32">
        <v>151</v>
      </c>
      <c r="AN38" s="33">
        <v>2.28822548871041E-2</v>
      </c>
      <c r="AO38" s="32">
        <v>115</v>
      </c>
      <c r="AP38" s="33">
        <v>1.6309743298822899E-2</v>
      </c>
      <c r="AQ38" s="32">
        <v>111</v>
      </c>
      <c r="AR38" s="33">
        <v>1.56008432888264E-2</v>
      </c>
      <c r="AS38" s="32">
        <v>144</v>
      </c>
      <c r="AT38" s="33">
        <v>2.15375411307209E-2</v>
      </c>
      <c r="AU38" s="32">
        <v>151</v>
      </c>
      <c r="AV38" s="33">
        <v>2.1846064814814801E-2</v>
      </c>
      <c r="AW38" s="32">
        <v>130</v>
      </c>
      <c r="AX38" s="33">
        <v>1.7298735861610098E-2</v>
      </c>
      <c r="AY38" s="32">
        <v>109</v>
      </c>
      <c r="AZ38" s="33">
        <v>1.44008455542344E-2</v>
      </c>
    </row>
    <row r="39" spans="1:52" x14ac:dyDescent="0.25">
      <c r="A39" s="10" t="s">
        <v>1798</v>
      </c>
      <c r="B39" s="10"/>
      <c r="C39" s="32">
        <v>35</v>
      </c>
      <c r="D39" s="33">
        <v>6.03968938740293E-3</v>
      </c>
      <c r="E39" s="32" t="s">
        <v>148</v>
      </c>
      <c r="F39" s="33"/>
      <c r="G39" s="32" t="s">
        <v>148</v>
      </c>
      <c r="H39" s="33"/>
      <c r="I39" s="32" t="s">
        <v>148</v>
      </c>
      <c r="J39" s="33"/>
      <c r="K39" s="32">
        <v>50</v>
      </c>
      <c r="L39" s="33">
        <v>8.5048477632250399E-3</v>
      </c>
      <c r="M39" s="32">
        <v>48</v>
      </c>
      <c r="N39" s="33">
        <v>8.6517664023071407E-3</v>
      </c>
      <c r="O39" s="32">
        <v>49</v>
      </c>
      <c r="P39" s="33">
        <v>9.5275131246354301E-3</v>
      </c>
      <c r="Q39" s="32">
        <v>45</v>
      </c>
      <c r="R39" s="33">
        <v>6.8420252394708796E-3</v>
      </c>
      <c r="S39" s="32">
        <v>56</v>
      </c>
      <c r="T39" s="33">
        <v>7.5461528095943902E-3</v>
      </c>
      <c r="U39" s="32">
        <v>66</v>
      </c>
      <c r="V39" s="33">
        <v>1.0275572162540899E-2</v>
      </c>
      <c r="W39" s="32">
        <v>78</v>
      </c>
      <c r="X39" s="33">
        <v>1.25462441692134E-2</v>
      </c>
      <c r="Y39" s="32">
        <v>56</v>
      </c>
      <c r="Z39" s="33">
        <v>7.5461528095943902E-3</v>
      </c>
      <c r="AA39" s="32">
        <v>81</v>
      </c>
      <c r="AB39" s="33">
        <v>1.1181667586968499E-2</v>
      </c>
      <c r="AC39" s="32">
        <v>50</v>
      </c>
      <c r="AD39" s="33">
        <v>7.5872534142640401E-3</v>
      </c>
      <c r="AE39" s="32">
        <v>78</v>
      </c>
      <c r="AF39" s="33">
        <v>1.25462441692134E-2</v>
      </c>
      <c r="AG39" s="32">
        <v>52</v>
      </c>
      <c r="AH39" s="33">
        <v>7.38426583357001E-3</v>
      </c>
      <c r="AI39" s="32">
        <v>75</v>
      </c>
      <c r="AJ39" s="33">
        <v>1.0150223304912699E-2</v>
      </c>
      <c r="AK39" s="32">
        <v>83</v>
      </c>
      <c r="AL39" s="33">
        <v>1.3066750629722901E-2</v>
      </c>
      <c r="AM39" s="32">
        <v>53</v>
      </c>
      <c r="AN39" s="33">
        <v>8.0315199272617092E-3</v>
      </c>
      <c r="AO39" s="32">
        <v>63</v>
      </c>
      <c r="AP39" s="33">
        <v>8.9349028506594801E-3</v>
      </c>
      <c r="AQ39" s="32">
        <v>54</v>
      </c>
      <c r="AR39" s="33">
        <v>7.5895994378074498E-3</v>
      </c>
      <c r="AS39" s="32">
        <v>80</v>
      </c>
      <c r="AT39" s="33">
        <v>1.1965300628178299E-2</v>
      </c>
      <c r="AU39" s="32">
        <v>130</v>
      </c>
      <c r="AV39" s="33">
        <v>1.8807870370370398E-2</v>
      </c>
      <c r="AW39" s="32">
        <v>71</v>
      </c>
      <c r="AX39" s="33">
        <v>9.4477711244178308E-3</v>
      </c>
      <c r="AY39" s="32">
        <v>76</v>
      </c>
      <c r="AZ39" s="33">
        <v>1.0040956533227599E-2</v>
      </c>
    </row>
    <row r="40" spans="1:52" x14ac:dyDescent="0.25">
      <c r="A40" s="10" t="s">
        <v>1799</v>
      </c>
      <c r="B40" s="10"/>
      <c r="C40" s="32">
        <v>254</v>
      </c>
      <c r="D40" s="33">
        <v>4.3830888697152702E-2</v>
      </c>
      <c r="E40" s="32">
        <v>197</v>
      </c>
      <c r="F40" s="33">
        <v>3.7303540996023503E-2</v>
      </c>
      <c r="G40" s="32">
        <v>204</v>
      </c>
      <c r="H40" s="33">
        <v>3.58839050131926E-2</v>
      </c>
      <c r="I40" s="32">
        <v>121</v>
      </c>
      <c r="J40" s="33">
        <v>2.1591720199857199E-2</v>
      </c>
      <c r="K40" s="32">
        <v>96</v>
      </c>
      <c r="L40" s="33">
        <v>1.63293077053921E-2</v>
      </c>
      <c r="M40" s="32">
        <v>83</v>
      </c>
      <c r="N40" s="33">
        <v>1.49603460706561E-2</v>
      </c>
      <c r="O40" s="32">
        <v>80</v>
      </c>
      <c r="P40" s="33">
        <v>1.55551234687925E-2</v>
      </c>
      <c r="Q40" s="32">
        <v>78</v>
      </c>
      <c r="R40" s="33">
        <v>1.1859510415082901E-2</v>
      </c>
      <c r="S40" s="32">
        <v>73</v>
      </c>
      <c r="T40" s="33">
        <v>9.8369491982212599E-3</v>
      </c>
      <c r="U40" s="32">
        <v>54</v>
      </c>
      <c r="V40" s="33">
        <v>8.4072863148061706E-3</v>
      </c>
      <c r="W40" s="32">
        <v>57</v>
      </c>
      <c r="X40" s="33">
        <v>9.1684092005790592E-3</v>
      </c>
      <c r="Y40" s="32">
        <v>46</v>
      </c>
      <c r="Z40" s="33">
        <v>6.1986255221668203E-3</v>
      </c>
      <c r="AA40" s="32">
        <v>49</v>
      </c>
      <c r="AB40" s="33">
        <v>6.7642186637216998E-3</v>
      </c>
      <c r="AC40" s="32">
        <v>43</v>
      </c>
      <c r="AD40" s="33">
        <v>6.52503793626707E-3</v>
      </c>
      <c r="AE40" s="32">
        <v>57</v>
      </c>
      <c r="AF40" s="33">
        <v>9.1684092005790592E-3</v>
      </c>
      <c r="AG40" s="32">
        <v>43</v>
      </c>
      <c r="AH40" s="33">
        <v>6.1062198239136599E-3</v>
      </c>
      <c r="AI40" s="32">
        <v>60</v>
      </c>
      <c r="AJ40" s="33">
        <v>8.1201786439301701E-3</v>
      </c>
      <c r="AK40" s="32" t="s">
        <v>148</v>
      </c>
      <c r="AL40" s="33"/>
      <c r="AM40" s="32">
        <v>39</v>
      </c>
      <c r="AN40" s="33">
        <v>5.9099863615699301E-3</v>
      </c>
      <c r="AO40" s="32">
        <v>36</v>
      </c>
      <c r="AP40" s="33">
        <v>5.1056587718054198E-3</v>
      </c>
      <c r="AQ40" s="32">
        <v>36</v>
      </c>
      <c r="AR40" s="33">
        <v>5.0597329585382999E-3</v>
      </c>
      <c r="AS40" s="32" t="s">
        <v>148</v>
      </c>
      <c r="AT40" s="33"/>
      <c r="AU40" s="32" t="s">
        <v>148</v>
      </c>
      <c r="AV40" s="33"/>
      <c r="AW40" s="32" t="s">
        <v>148</v>
      </c>
      <c r="AX40" s="33"/>
      <c r="AY40" s="32" t="s">
        <v>148</v>
      </c>
      <c r="AZ40" s="33"/>
    </row>
    <row r="41" spans="1:52" x14ac:dyDescent="0.25">
      <c r="A41" s="10" t="s">
        <v>1800</v>
      </c>
      <c r="B41" s="10"/>
      <c r="C41" s="32">
        <v>114</v>
      </c>
      <c r="D41" s="33">
        <v>1.9672131147540999E-2</v>
      </c>
      <c r="E41" s="32">
        <v>81</v>
      </c>
      <c r="F41" s="33">
        <v>1.5338004165877699E-2</v>
      </c>
      <c r="G41" s="32">
        <v>78</v>
      </c>
      <c r="H41" s="33">
        <v>1.3720316622691299E-2</v>
      </c>
      <c r="I41" s="32">
        <v>88</v>
      </c>
      <c r="J41" s="33">
        <v>1.57030692362598E-2</v>
      </c>
      <c r="K41" s="32">
        <v>83</v>
      </c>
      <c r="L41" s="33">
        <v>1.41180472869536E-2</v>
      </c>
      <c r="M41" s="32">
        <v>81</v>
      </c>
      <c r="N41" s="33">
        <v>1.4599855803893299E-2</v>
      </c>
      <c r="O41" s="32">
        <v>76</v>
      </c>
      <c r="P41" s="33">
        <v>1.47773672953529E-2</v>
      </c>
      <c r="Q41" s="32">
        <v>84</v>
      </c>
      <c r="R41" s="33">
        <v>1.27717804470123E-2</v>
      </c>
      <c r="S41" s="32">
        <v>93</v>
      </c>
      <c r="T41" s="33">
        <v>1.25320037730764E-2</v>
      </c>
      <c r="U41" s="32">
        <v>83</v>
      </c>
      <c r="V41" s="33">
        <v>1.2922310446831699E-2</v>
      </c>
      <c r="W41" s="32">
        <v>65</v>
      </c>
      <c r="X41" s="33">
        <v>1.0455203474344499E-2</v>
      </c>
      <c r="Y41" s="32">
        <v>65</v>
      </c>
      <c r="Z41" s="33">
        <v>8.7589273682792106E-3</v>
      </c>
      <c r="AA41" s="32">
        <v>84</v>
      </c>
      <c r="AB41" s="33">
        <v>1.1595803423522901E-2</v>
      </c>
      <c r="AC41" s="32">
        <v>56</v>
      </c>
      <c r="AD41" s="33">
        <v>8.4977238239757197E-3</v>
      </c>
      <c r="AE41" s="32">
        <v>65</v>
      </c>
      <c r="AF41" s="33">
        <v>1.0455203474344499E-2</v>
      </c>
      <c r="AG41" s="32">
        <v>64</v>
      </c>
      <c r="AH41" s="33">
        <v>9.0883271797784701E-3</v>
      </c>
      <c r="AI41" s="32">
        <v>56</v>
      </c>
      <c r="AJ41" s="33">
        <v>7.5788334010014899E-3</v>
      </c>
      <c r="AK41" s="32">
        <v>46</v>
      </c>
      <c r="AL41" s="33">
        <v>7.2418136020151102E-3</v>
      </c>
      <c r="AM41" s="32">
        <v>35</v>
      </c>
      <c r="AN41" s="33">
        <v>5.30383391422943E-3</v>
      </c>
      <c r="AO41" s="32">
        <v>57</v>
      </c>
      <c r="AP41" s="33">
        <v>8.0839597220252503E-3</v>
      </c>
      <c r="AQ41" s="32">
        <v>45</v>
      </c>
      <c r="AR41" s="33">
        <v>6.3246661981728701E-3</v>
      </c>
      <c r="AS41" s="32">
        <v>39</v>
      </c>
      <c r="AT41" s="33">
        <v>5.8330840562369098E-3</v>
      </c>
      <c r="AU41" s="32" t="s">
        <v>148</v>
      </c>
      <c r="AV41" s="33"/>
      <c r="AW41" s="32" t="s">
        <v>148</v>
      </c>
      <c r="AX41" s="33"/>
      <c r="AY41" s="32">
        <v>33</v>
      </c>
      <c r="AZ41" s="33">
        <v>4.3598890210067402E-3</v>
      </c>
    </row>
    <row r="42" spans="1:52" x14ac:dyDescent="0.25">
      <c r="A42" s="10" t="s">
        <v>1801</v>
      </c>
      <c r="B42" s="10"/>
      <c r="C42" s="32" t="s">
        <v>148</v>
      </c>
      <c r="D42" s="33"/>
      <c r="E42" s="32">
        <v>63</v>
      </c>
      <c r="F42" s="33">
        <v>1.1929558795682599E-2</v>
      </c>
      <c r="G42" s="32">
        <v>75</v>
      </c>
      <c r="H42" s="33">
        <v>1.31926121372032E-2</v>
      </c>
      <c r="I42" s="32">
        <v>63</v>
      </c>
      <c r="J42" s="33">
        <v>1.12419700214133E-2</v>
      </c>
      <c r="K42" s="32" t="s">
        <v>148</v>
      </c>
      <c r="L42" s="33"/>
      <c r="M42" s="32" t="s">
        <v>148</v>
      </c>
      <c r="N42" s="33"/>
      <c r="O42" s="32" t="s">
        <v>148</v>
      </c>
      <c r="P42" s="33"/>
      <c r="Q42" s="32" t="s">
        <v>148</v>
      </c>
      <c r="R42" s="33"/>
      <c r="S42" s="32" t="s">
        <v>148</v>
      </c>
      <c r="T42" s="33"/>
      <c r="U42" s="32" t="s">
        <v>148</v>
      </c>
      <c r="V42" s="33"/>
      <c r="W42" s="32" t="s">
        <v>148</v>
      </c>
      <c r="X42" s="33"/>
      <c r="Y42" s="32" t="s">
        <v>148</v>
      </c>
      <c r="Z42" s="33"/>
      <c r="AA42" s="32" t="s">
        <v>148</v>
      </c>
      <c r="AB42" s="33"/>
      <c r="AC42" s="32" t="s">
        <v>148</v>
      </c>
      <c r="AD42" s="33"/>
      <c r="AE42" s="32" t="s">
        <v>148</v>
      </c>
      <c r="AF42" s="33"/>
      <c r="AG42" s="32" t="s">
        <v>148</v>
      </c>
      <c r="AH42" s="33"/>
      <c r="AI42" s="32" t="s">
        <v>148</v>
      </c>
      <c r="AJ42" s="33"/>
      <c r="AK42" s="32" t="s">
        <v>148</v>
      </c>
      <c r="AL42" s="33"/>
      <c r="AM42" s="32" t="s">
        <v>148</v>
      </c>
      <c r="AN42" s="33"/>
      <c r="AO42" s="32" t="s">
        <v>148</v>
      </c>
      <c r="AP42" s="33"/>
      <c r="AQ42" s="32" t="s">
        <v>148</v>
      </c>
      <c r="AR42" s="33"/>
      <c r="AS42" s="32" t="s">
        <v>148</v>
      </c>
      <c r="AT42" s="33"/>
      <c r="AU42" s="32" t="s">
        <v>148</v>
      </c>
      <c r="AV42" s="33"/>
      <c r="AW42" s="32" t="s">
        <v>148</v>
      </c>
      <c r="AX42" s="33"/>
      <c r="AY42" s="32" t="s">
        <v>148</v>
      </c>
      <c r="AZ42" s="33"/>
    </row>
    <row r="43" spans="1:52" x14ac:dyDescent="0.25">
      <c r="A43" s="10" t="s">
        <v>1802</v>
      </c>
      <c r="B43" s="10"/>
      <c r="C43" s="32">
        <v>41</v>
      </c>
      <c r="D43" s="33">
        <v>7.0750647109577196E-3</v>
      </c>
      <c r="E43" s="32">
        <v>27</v>
      </c>
      <c r="F43" s="33">
        <v>5.1126680552925604E-3</v>
      </c>
      <c r="G43" s="32">
        <v>26</v>
      </c>
      <c r="H43" s="33">
        <v>4.5734388742304302E-3</v>
      </c>
      <c r="I43" s="32">
        <v>26</v>
      </c>
      <c r="J43" s="33">
        <v>4.6395431834404003E-3</v>
      </c>
      <c r="K43" s="32">
        <v>24</v>
      </c>
      <c r="L43" s="33">
        <v>4.0823269263480198E-3</v>
      </c>
      <c r="M43" s="32">
        <v>20</v>
      </c>
      <c r="N43" s="33">
        <v>3.6049026676279699E-3</v>
      </c>
      <c r="O43" s="32">
        <v>18</v>
      </c>
      <c r="P43" s="33">
        <v>3.49990278047832E-3</v>
      </c>
      <c r="Q43" s="32">
        <v>17</v>
      </c>
      <c r="R43" s="33">
        <v>2.5847650904667801E-3</v>
      </c>
      <c r="S43" s="32">
        <v>17</v>
      </c>
      <c r="T43" s="33">
        <v>2.2907963886268702E-3</v>
      </c>
      <c r="U43" s="32" t="s">
        <v>148</v>
      </c>
      <c r="V43" s="33"/>
      <c r="W43" s="32" t="s">
        <v>148</v>
      </c>
      <c r="X43" s="33"/>
      <c r="Y43" s="32" t="s">
        <v>148</v>
      </c>
      <c r="Z43" s="33"/>
      <c r="AA43" s="32" t="s">
        <v>148</v>
      </c>
      <c r="AB43" s="33"/>
      <c r="AC43" s="32" t="s">
        <v>148</v>
      </c>
      <c r="AD43" s="33"/>
      <c r="AE43" s="32" t="s">
        <v>148</v>
      </c>
      <c r="AF43" s="33"/>
      <c r="AG43" s="32" t="s">
        <v>148</v>
      </c>
      <c r="AH43" s="33"/>
      <c r="AI43" s="32" t="s">
        <v>148</v>
      </c>
      <c r="AJ43" s="33"/>
      <c r="AK43" s="32" t="s">
        <v>148</v>
      </c>
      <c r="AL43" s="33"/>
      <c r="AM43" s="32" t="s">
        <v>148</v>
      </c>
      <c r="AN43" s="33"/>
      <c r="AO43" s="32" t="s">
        <v>148</v>
      </c>
      <c r="AP43" s="33"/>
      <c r="AQ43" s="32" t="s">
        <v>148</v>
      </c>
      <c r="AR43" s="33"/>
      <c r="AS43" s="32" t="s">
        <v>148</v>
      </c>
      <c r="AT43" s="33"/>
      <c r="AU43" s="32" t="s">
        <v>148</v>
      </c>
      <c r="AV43" s="33"/>
      <c r="AW43" s="32" t="s">
        <v>148</v>
      </c>
      <c r="AX43" s="33"/>
      <c r="AY43" s="32" t="s">
        <v>148</v>
      </c>
      <c r="AZ43" s="33"/>
    </row>
    <row r="44" spans="1:52" x14ac:dyDescent="0.25">
      <c r="A44" s="10" t="s">
        <v>1803</v>
      </c>
      <c r="B44" s="10"/>
      <c r="C44" s="32">
        <v>177</v>
      </c>
      <c r="D44" s="33">
        <v>3.05435720448663E-2</v>
      </c>
      <c r="E44" s="32">
        <v>155</v>
      </c>
      <c r="F44" s="33">
        <v>2.9350501798901699E-2</v>
      </c>
      <c r="G44" s="32">
        <v>19</v>
      </c>
      <c r="H44" s="33">
        <v>3.3421284080914701E-3</v>
      </c>
      <c r="I44" s="32">
        <v>31</v>
      </c>
      <c r="J44" s="33">
        <v>5.5317630264097098E-3</v>
      </c>
      <c r="K44" s="32">
        <v>11</v>
      </c>
      <c r="L44" s="33">
        <v>1.87106650790951E-3</v>
      </c>
      <c r="M44" s="32">
        <v>8</v>
      </c>
      <c r="N44" s="33">
        <v>1.44196106705119E-3</v>
      </c>
      <c r="O44" s="32">
        <v>1</v>
      </c>
      <c r="P44" s="33">
        <v>1.94439043359907E-4</v>
      </c>
      <c r="Q44" s="32">
        <v>0</v>
      </c>
      <c r="R44" s="33"/>
      <c r="S44" s="32">
        <v>0</v>
      </c>
      <c r="T44" s="33"/>
      <c r="U44" s="32" t="s">
        <v>148</v>
      </c>
      <c r="V44" s="33"/>
      <c r="W44" s="32" t="s">
        <v>148</v>
      </c>
      <c r="X44" s="33"/>
      <c r="Y44" s="32" t="s">
        <v>148</v>
      </c>
      <c r="Z44" s="33"/>
      <c r="AA44" s="32" t="s">
        <v>148</v>
      </c>
      <c r="AB44" s="33"/>
      <c r="AC44" s="32" t="s">
        <v>148</v>
      </c>
      <c r="AD44" s="33"/>
      <c r="AE44" s="32" t="s">
        <v>148</v>
      </c>
      <c r="AF44" s="33"/>
      <c r="AG44" s="32" t="s">
        <v>148</v>
      </c>
      <c r="AH44" s="33"/>
      <c r="AI44" s="32" t="s">
        <v>148</v>
      </c>
      <c r="AJ44" s="33"/>
      <c r="AK44" s="32" t="s">
        <v>148</v>
      </c>
      <c r="AL44" s="33"/>
      <c r="AM44" s="32" t="s">
        <v>148</v>
      </c>
      <c r="AN44" s="33"/>
      <c r="AO44" s="32" t="s">
        <v>148</v>
      </c>
      <c r="AP44" s="33"/>
      <c r="AQ44" s="32" t="s">
        <v>148</v>
      </c>
      <c r="AR44" s="33"/>
      <c r="AS44" s="32" t="s">
        <v>148</v>
      </c>
      <c r="AT44" s="33"/>
      <c r="AU44" s="32" t="s">
        <v>148</v>
      </c>
      <c r="AV44" s="33"/>
      <c r="AW44" s="32" t="s">
        <v>148</v>
      </c>
      <c r="AX44" s="33"/>
      <c r="AY44" s="32" t="s">
        <v>148</v>
      </c>
      <c r="AZ44" s="33"/>
    </row>
    <row r="45" spans="1:52" x14ac:dyDescent="0.25">
      <c r="A45" s="10" t="s">
        <v>1804</v>
      </c>
      <c r="B45" s="10"/>
      <c r="C45" s="32" t="s">
        <v>148</v>
      </c>
      <c r="D45" s="33"/>
      <c r="E45" s="32">
        <v>62</v>
      </c>
      <c r="F45" s="33">
        <v>1.17402007195607E-2</v>
      </c>
      <c r="G45" s="32">
        <v>140</v>
      </c>
      <c r="H45" s="33">
        <v>2.4626209322779199E-2</v>
      </c>
      <c r="I45" s="32">
        <v>25</v>
      </c>
      <c r="J45" s="33">
        <v>4.4610992148465404E-3</v>
      </c>
      <c r="K45" s="32" t="s">
        <v>148</v>
      </c>
      <c r="L45" s="33"/>
      <c r="M45" s="32" t="s">
        <v>148</v>
      </c>
      <c r="N45" s="33"/>
      <c r="O45" s="32" t="s">
        <v>148</v>
      </c>
      <c r="P45" s="33"/>
      <c r="Q45" s="32" t="s">
        <v>148</v>
      </c>
      <c r="R45" s="33"/>
      <c r="S45" s="32" t="s">
        <v>148</v>
      </c>
      <c r="T45" s="33"/>
      <c r="U45" s="32" t="s">
        <v>148</v>
      </c>
      <c r="V45" s="33"/>
      <c r="W45" s="32" t="s">
        <v>148</v>
      </c>
      <c r="X45" s="33"/>
      <c r="Y45" s="32" t="s">
        <v>148</v>
      </c>
      <c r="Z45" s="33"/>
      <c r="AA45" s="32" t="s">
        <v>148</v>
      </c>
      <c r="AB45" s="33"/>
      <c r="AC45" s="32" t="s">
        <v>148</v>
      </c>
      <c r="AD45" s="33"/>
      <c r="AE45" s="32" t="s">
        <v>148</v>
      </c>
      <c r="AF45" s="33"/>
      <c r="AG45" s="32" t="s">
        <v>148</v>
      </c>
      <c r="AH45" s="33"/>
      <c r="AI45" s="32" t="s">
        <v>148</v>
      </c>
      <c r="AJ45" s="33"/>
      <c r="AK45" s="32" t="s">
        <v>148</v>
      </c>
      <c r="AL45" s="33"/>
      <c r="AM45" s="32" t="s">
        <v>148</v>
      </c>
      <c r="AN45" s="33"/>
      <c r="AO45" s="32" t="s">
        <v>148</v>
      </c>
      <c r="AP45" s="33"/>
      <c r="AQ45" s="32" t="s">
        <v>148</v>
      </c>
      <c r="AR45" s="33"/>
      <c r="AS45" s="32" t="s">
        <v>148</v>
      </c>
      <c r="AT45" s="33"/>
      <c r="AU45" s="32" t="s">
        <v>148</v>
      </c>
      <c r="AV45" s="33"/>
      <c r="AW45" s="32" t="s">
        <v>148</v>
      </c>
      <c r="AX45" s="33"/>
      <c r="AY45" s="32" t="s">
        <v>148</v>
      </c>
      <c r="AZ45" s="33"/>
    </row>
    <row r="46" spans="1:52" x14ac:dyDescent="0.25">
      <c r="A46" s="10" t="s">
        <v>1805</v>
      </c>
      <c r="B46" s="10"/>
      <c r="C46" s="32">
        <v>285</v>
      </c>
      <c r="D46" s="33">
        <v>4.91803278688525E-2</v>
      </c>
      <c r="E46" s="32">
        <v>171</v>
      </c>
      <c r="F46" s="33">
        <v>3.2380231016852903E-2</v>
      </c>
      <c r="G46" s="32">
        <v>152</v>
      </c>
      <c r="H46" s="33">
        <v>2.6737027264731799E-2</v>
      </c>
      <c r="I46" s="32">
        <v>149</v>
      </c>
      <c r="J46" s="33">
        <v>2.6588151320485399E-2</v>
      </c>
      <c r="K46" s="32">
        <v>128</v>
      </c>
      <c r="L46" s="33">
        <v>2.17724102738561E-2</v>
      </c>
      <c r="M46" s="32">
        <v>95</v>
      </c>
      <c r="N46" s="33">
        <v>1.71232876712329E-2</v>
      </c>
      <c r="O46" s="32">
        <v>103</v>
      </c>
      <c r="P46" s="33">
        <v>2.0027221466070399E-2</v>
      </c>
      <c r="Q46" s="32">
        <v>113</v>
      </c>
      <c r="R46" s="33">
        <v>1.7181085601337999E-2</v>
      </c>
      <c r="S46" s="32">
        <v>38</v>
      </c>
      <c r="T46" s="33">
        <v>5.1206036922247702E-3</v>
      </c>
      <c r="U46" s="32" t="s">
        <v>148</v>
      </c>
      <c r="V46" s="33"/>
      <c r="W46" s="32" t="s">
        <v>148</v>
      </c>
      <c r="X46" s="33"/>
      <c r="Y46" s="32" t="s">
        <v>148</v>
      </c>
      <c r="Z46" s="33"/>
      <c r="AA46" s="32" t="s">
        <v>148</v>
      </c>
      <c r="AB46" s="33"/>
      <c r="AC46" s="32" t="s">
        <v>148</v>
      </c>
      <c r="AD46" s="33"/>
      <c r="AE46" s="32" t="s">
        <v>148</v>
      </c>
      <c r="AF46" s="33"/>
      <c r="AG46" s="32" t="s">
        <v>148</v>
      </c>
      <c r="AH46" s="33"/>
      <c r="AI46" s="32" t="s">
        <v>148</v>
      </c>
      <c r="AJ46" s="33"/>
      <c r="AK46" s="32" t="s">
        <v>148</v>
      </c>
      <c r="AL46" s="33"/>
      <c r="AM46" s="32" t="s">
        <v>148</v>
      </c>
      <c r="AN46" s="33"/>
      <c r="AO46" s="32" t="s">
        <v>148</v>
      </c>
      <c r="AP46" s="33"/>
      <c r="AQ46" s="32" t="s">
        <v>148</v>
      </c>
      <c r="AR46" s="33"/>
      <c r="AS46" s="32" t="s">
        <v>148</v>
      </c>
      <c r="AT46" s="33"/>
      <c r="AU46" s="32" t="s">
        <v>148</v>
      </c>
      <c r="AV46" s="33"/>
      <c r="AW46" s="32" t="s">
        <v>148</v>
      </c>
      <c r="AX46" s="33"/>
      <c r="AY46" s="32" t="s">
        <v>148</v>
      </c>
      <c r="AZ46" s="33"/>
    </row>
    <row r="47" spans="1:52" x14ac:dyDescent="0.25">
      <c r="A47" s="6" t="s">
        <v>1806</v>
      </c>
      <c r="B47" s="6"/>
      <c r="C47" s="36">
        <v>5795</v>
      </c>
      <c r="D47" s="37">
        <v>1</v>
      </c>
      <c r="E47" s="36">
        <v>5281</v>
      </c>
      <c r="F47" s="37">
        <v>1</v>
      </c>
      <c r="G47" s="36">
        <v>5685</v>
      </c>
      <c r="H47" s="37">
        <v>1</v>
      </c>
      <c r="I47" s="36">
        <v>5604</v>
      </c>
      <c r="J47" s="37">
        <v>1</v>
      </c>
      <c r="K47" s="36">
        <v>5894</v>
      </c>
      <c r="L47" s="37">
        <v>1</v>
      </c>
      <c r="M47" s="36">
        <v>5548</v>
      </c>
      <c r="N47" s="37">
        <v>1</v>
      </c>
      <c r="O47" s="36">
        <v>5143</v>
      </c>
      <c r="P47" s="37">
        <v>1</v>
      </c>
      <c r="Q47" s="36">
        <v>6577</v>
      </c>
      <c r="R47" s="37">
        <v>1</v>
      </c>
      <c r="S47" s="36">
        <v>7421</v>
      </c>
      <c r="T47" s="37">
        <v>1</v>
      </c>
      <c r="U47" s="36">
        <v>6423</v>
      </c>
      <c r="V47" s="37">
        <v>1</v>
      </c>
      <c r="W47" s="36">
        <v>6217</v>
      </c>
      <c r="X47" s="37">
        <v>1</v>
      </c>
      <c r="Y47" s="36">
        <v>7421</v>
      </c>
      <c r="Z47" s="37">
        <v>1</v>
      </c>
      <c r="AA47" s="36">
        <v>7244</v>
      </c>
      <c r="AB47" s="37">
        <v>1</v>
      </c>
      <c r="AC47" s="36">
        <v>6590</v>
      </c>
      <c r="AD47" s="37">
        <v>1</v>
      </c>
      <c r="AE47" s="36">
        <v>6217</v>
      </c>
      <c r="AF47" s="37">
        <v>1</v>
      </c>
      <c r="AG47" s="36">
        <v>7042</v>
      </c>
      <c r="AH47" s="37">
        <v>1</v>
      </c>
      <c r="AI47" s="36">
        <v>7389</v>
      </c>
      <c r="AJ47" s="37">
        <v>1</v>
      </c>
      <c r="AK47" s="36">
        <v>6352</v>
      </c>
      <c r="AL47" s="37">
        <v>1</v>
      </c>
      <c r="AM47" s="36">
        <v>6599</v>
      </c>
      <c r="AN47" s="37">
        <v>1</v>
      </c>
      <c r="AO47" s="36">
        <v>7051</v>
      </c>
      <c r="AP47" s="37">
        <v>1</v>
      </c>
      <c r="AQ47" s="36">
        <v>7115</v>
      </c>
      <c r="AR47" s="37">
        <v>1</v>
      </c>
      <c r="AS47" s="36">
        <v>6686</v>
      </c>
      <c r="AT47" s="37">
        <v>1</v>
      </c>
      <c r="AU47" s="36">
        <v>6953</v>
      </c>
      <c r="AV47" s="37">
        <v>1</v>
      </c>
      <c r="AW47" s="36">
        <v>7545</v>
      </c>
      <c r="AX47" s="37">
        <v>1</v>
      </c>
      <c r="AY47" s="36">
        <v>7569</v>
      </c>
      <c r="AZ47" s="37">
        <v>1</v>
      </c>
    </row>
    <row r="48" spans="1:52" x14ac:dyDescent="0.25">
      <c r="A48" s="10" t="s">
        <v>1807</v>
      </c>
      <c r="B48" s="10"/>
      <c r="C48" s="32">
        <v>5681</v>
      </c>
      <c r="D48" s="33">
        <v>0.98032786885245904</v>
      </c>
      <c r="E48" s="32">
        <v>5200</v>
      </c>
      <c r="F48" s="33">
        <v>0.98466199583412195</v>
      </c>
      <c r="G48" s="32">
        <v>5607</v>
      </c>
      <c r="H48" s="33">
        <v>0.98627968337730898</v>
      </c>
      <c r="I48" s="32">
        <v>5516</v>
      </c>
      <c r="J48" s="33">
        <v>0.98429693076374003</v>
      </c>
      <c r="K48" s="32">
        <v>5796</v>
      </c>
      <c r="L48" s="33">
        <v>0.98337292161520196</v>
      </c>
      <c r="M48" s="32">
        <v>5467</v>
      </c>
      <c r="N48" s="33">
        <v>0.985400144196107</v>
      </c>
      <c r="O48" s="32">
        <v>5067</v>
      </c>
      <c r="P48" s="33">
        <v>0.98522263270464705</v>
      </c>
      <c r="Q48" s="32">
        <v>6493</v>
      </c>
      <c r="R48" s="33">
        <v>0.98722821955298801</v>
      </c>
      <c r="S48" s="32">
        <v>7321</v>
      </c>
      <c r="T48" s="33">
        <v>0.98652472712572403</v>
      </c>
      <c r="U48" s="32">
        <v>6340</v>
      </c>
      <c r="V48" s="33">
        <v>0.98707768955316799</v>
      </c>
      <c r="W48" s="32">
        <v>6152</v>
      </c>
      <c r="X48" s="33">
        <v>0.98954479652565497</v>
      </c>
      <c r="Y48" s="32">
        <v>7356</v>
      </c>
      <c r="Z48" s="33">
        <v>0.99124107263172101</v>
      </c>
      <c r="AA48" s="32">
        <v>7158</v>
      </c>
      <c r="AB48" s="33">
        <v>0.98812810601877399</v>
      </c>
      <c r="AC48" s="32">
        <v>6534</v>
      </c>
      <c r="AD48" s="33">
        <v>0.99150227617602404</v>
      </c>
      <c r="AE48" s="32">
        <v>6152</v>
      </c>
      <c r="AF48" s="33">
        <v>0.98954479652565497</v>
      </c>
      <c r="AG48" s="32">
        <v>6978</v>
      </c>
      <c r="AH48" s="33">
        <v>0.99091167282022197</v>
      </c>
      <c r="AI48" s="32">
        <v>7333</v>
      </c>
      <c r="AJ48" s="33">
        <v>0.99242116659899804</v>
      </c>
      <c r="AK48" s="32">
        <v>6306</v>
      </c>
      <c r="AL48" s="33">
        <v>0.99275818639798497</v>
      </c>
      <c r="AM48" s="32">
        <v>6564</v>
      </c>
      <c r="AN48" s="33">
        <v>0.99469616608577105</v>
      </c>
      <c r="AO48" s="32">
        <v>6994</v>
      </c>
      <c r="AP48" s="33">
        <v>0.99191604027797498</v>
      </c>
      <c r="AQ48" s="32">
        <v>7070</v>
      </c>
      <c r="AR48" s="33">
        <v>0.99367533380182704</v>
      </c>
      <c r="AS48" s="32">
        <v>6647</v>
      </c>
      <c r="AT48" s="33">
        <v>0.99416691594376305</v>
      </c>
      <c r="AU48" s="32">
        <v>6912</v>
      </c>
      <c r="AV48" s="33">
        <v>0.99410326477779398</v>
      </c>
      <c r="AW48" s="32">
        <v>7515</v>
      </c>
      <c r="AX48" s="33">
        <v>0.99602385685884698</v>
      </c>
      <c r="AY48" s="32">
        <v>7536</v>
      </c>
      <c r="AZ48" s="33">
        <v>0.99564011097899296</v>
      </c>
    </row>
    <row r="49" spans="1:52" x14ac:dyDescent="0.25">
      <c r="A49" s="10" t="s">
        <v>1800</v>
      </c>
      <c r="B49" s="10"/>
      <c r="C49" s="32">
        <v>114</v>
      </c>
      <c r="D49" s="33">
        <v>1.9672131147540999E-2</v>
      </c>
      <c r="E49" s="32">
        <v>81</v>
      </c>
      <c r="F49" s="33">
        <v>1.5338004165877699E-2</v>
      </c>
      <c r="G49" s="32">
        <v>78</v>
      </c>
      <c r="H49" s="33">
        <v>1.3720316622691299E-2</v>
      </c>
      <c r="I49" s="32">
        <v>88</v>
      </c>
      <c r="J49" s="33">
        <v>1.57030692362598E-2</v>
      </c>
      <c r="K49" s="32">
        <v>98</v>
      </c>
      <c r="L49" s="33">
        <v>1.66270783847981E-2</v>
      </c>
      <c r="M49" s="32">
        <v>81</v>
      </c>
      <c r="N49" s="33">
        <v>1.4599855803893299E-2</v>
      </c>
      <c r="O49" s="32">
        <v>76</v>
      </c>
      <c r="P49" s="33">
        <v>1.47773672953529E-2</v>
      </c>
      <c r="Q49" s="32">
        <v>84</v>
      </c>
      <c r="R49" s="33">
        <v>1.27717804470123E-2</v>
      </c>
      <c r="S49" s="32">
        <v>100</v>
      </c>
      <c r="T49" s="33">
        <v>1.34752728742757E-2</v>
      </c>
      <c r="U49" s="32">
        <v>83</v>
      </c>
      <c r="V49" s="33">
        <v>1.2922310446831699E-2</v>
      </c>
      <c r="W49" s="32">
        <v>65</v>
      </c>
      <c r="X49" s="33">
        <v>1.0455203474344499E-2</v>
      </c>
      <c r="Y49" s="32">
        <v>65</v>
      </c>
      <c r="Z49" s="33">
        <v>8.7589273682792106E-3</v>
      </c>
      <c r="AA49" s="32">
        <v>86</v>
      </c>
      <c r="AB49" s="33">
        <v>1.18718939812258E-2</v>
      </c>
      <c r="AC49" s="32">
        <v>56</v>
      </c>
      <c r="AD49" s="33">
        <v>8.4977238239757197E-3</v>
      </c>
      <c r="AE49" s="32">
        <v>65</v>
      </c>
      <c r="AF49" s="33">
        <v>1.0455203474344499E-2</v>
      </c>
      <c r="AG49" s="32">
        <v>64</v>
      </c>
      <c r="AH49" s="33">
        <v>9.0883271797784701E-3</v>
      </c>
      <c r="AI49" s="32">
        <v>56</v>
      </c>
      <c r="AJ49" s="33">
        <v>7.5788334010014899E-3</v>
      </c>
      <c r="AK49" s="32">
        <v>46</v>
      </c>
      <c r="AL49" s="33">
        <v>7.2418136020151102E-3</v>
      </c>
      <c r="AM49" s="32">
        <v>35</v>
      </c>
      <c r="AN49" s="33">
        <v>5.30383391422943E-3</v>
      </c>
      <c r="AO49" s="32">
        <v>57</v>
      </c>
      <c r="AP49" s="33">
        <v>8.0839597220252503E-3</v>
      </c>
      <c r="AQ49" s="32">
        <v>45</v>
      </c>
      <c r="AR49" s="33">
        <v>6.3246661981728701E-3</v>
      </c>
      <c r="AS49" s="32">
        <v>39</v>
      </c>
      <c r="AT49" s="33">
        <v>5.8330840562369098E-3</v>
      </c>
      <c r="AU49" s="32">
        <v>41</v>
      </c>
      <c r="AV49" s="33">
        <v>5.8967352222062397E-3</v>
      </c>
      <c r="AW49" s="32">
        <v>30</v>
      </c>
      <c r="AX49" s="33">
        <v>3.9761431411530802E-3</v>
      </c>
      <c r="AY49" s="32">
        <v>33</v>
      </c>
      <c r="AZ49" s="33">
        <v>4.3598890210067402E-3</v>
      </c>
    </row>
    <row r="50" spans="1:52" x14ac:dyDescent="0.25">
      <c r="A50" s="6" t="s">
        <v>1808</v>
      </c>
      <c r="B50" s="6"/>
      <c r="C50" s="38" t="s">
        <v>148</v>
      </c>
      <c r="D50" s="39"/>
      <c r="E50" s="38" t="s">
        <v>148</v>
      </c>
      <c r="F50" s="39"/>
      <c r="G50" s="38" t="s">
        <v>148</v>
      </c>
      <c r="H50" s="39"/>
      <c r="I50" s="38" t="s">
        <v>148</v>
      </c>
      <c r="J50" s="39"/>
      <c r="K50" s="38" t="s">
        <v>148</v>
      </c>
      <c r="L50" s="39"/>
      <c r="M50" s="38" t="s">
        <v>148</v>
      </c>
      <c r="N50" s="39"/>
      <c r="O50" s="38" t="s">
        <v>148</v>
      </c>
      <c r="P50" s="39"/>
      <c r="Q50" s="38" t="s">
        <v>148</v>
      </c>
      <c r="R50" s="39"/>
      <c r="S50" s="38" t="s">
        <v>148</v>
      </c>
      <c r="T50" s="39"/>
      <c r="U50" s="38" t="s">
        <v>148</v>
      </c>
      <c r="V50" s="39"/>
      <c r="W50" s="38" t="s">
        <v>148</v>
      </c>
      <c r="X50" s="39"/>
      <c r="Y50" s="38" t="s">
        <v>148</v>
      </c>
      <c r="Z50" s="39"/>
      <c r="AA50" s="38" t="s">
        <v>148</v>
      </c>
      <c r="AB50" s="39"/>
      <c r="AC50" s="38" t="s">
        <v>148</v>
      </c>
      <c r="AD50" s="39"/>
      <c r="AE50" s="38" t="s">
        <v>148</v>
      </c>
      <c r="AF50" s="39"/>
      <c r="AG50" s="38" t="s">
        <v>148</v>
      </c>
      <c r="AH50" s="39"/>
      <c r="AI50" s="38" t="s">
        <v>148</v>
      </c>
      <c r="AJ50" s="39"/>
      <c r="AK50" s="38" t="s">
        <v>148</v>
      </c>
      <c r="AL50" s="39"/>
      <c r="AM50" s="38" t="s">
        <v>148</v>
      </c>
      <c r="AN50" s="39"/>
      <c r="AO50" s="38" t="s">
        <v>148</v>
      </c>
      <c r="AP50" s="39"/>
      <c r="AQ50" s="38" t="s">
        <v>148</v>
      </c>
      <c r="AR50" s="39"/>
      <c r="AS50" s="38" t="s">
        <v>148</v>
      </c>
      <c r="AT50" s="39"/>
      <c r="AU50" s="38" t="s">
        <v>148</v>
      </c>
      <c r="AV50" s="39"/>
      <c r="AW50" s="38" t="s">
        <v>148</v>
      </c>
      <c r="AX50" s="39"/>
      <c r="AY50" s="38" t="s">
        <v>148</v>
      </c>
      <c r="AZ50" s="39"/>
    </row>
    <row r="51" spans="1:52" x14ac:dyDescent="0.25">
      <c r="A51" s="10" t="s">
        <v>1809</v>
      </c>
      <c r="B51" s="10"/>
      <c r="C51" s="34" t="s">
        <v>148</v>
      </c>
      <c r="D51" s="35"/>
      <c r="E51" s="34" t="s">
        <v>148</v>
      </c>
      <c r="F51" s="35"/>
      <c r="G51" s="34" t="s">
        <v>148</v>
      </c>
      <c r="H51" s="35"/>
      <c r="I51" s="34" t="s">
        <v>148</v>
      </c>
      <c r="J51" s="35"/>
      <c r="K51" s="34" t="s">
        <v>148</v>
      </c>
      <c r="L51" s="35"/>
      <c r="M51" s="34" t="s">
        <v>148</v>
      </c>
      <c r="N51" s="35"/>
      <c r="O51" s="34" t="s">
        <v>148</v>
      </c>
      <c r="P51" s="35"/>
      <c r="Q51" s="34" t="s">
        <v>148</v>
      </c>
      <c r="R51" s="35"/>
      <c r="S51" s="34" t="s">
        <v>148</v>
      </c>
      <c r="T51" s="35"/>
      <c r="U51" s="34" t="s">
        <v>148</v>
      </c>
      <c r="V51" s="35"/>
      <c r="W51" s="34" t="s">
        <v>148</v>
      </c>
      <c r="X51" s="35"/>
      <c r="Y51" s="34" t="s">
        <v>148</v>
      </c>
      <c r="Z51" s="35"/>
      <c r="AA51" s="34" t="s">
        <v>148</v>
      </c>
      <c r="AB51" s="35"/>
      <c r="AC51" s="34">
        <v>103</v>
      </c>
      <c r="AD51" s="35"/>
      <c r="AE51" s="34">
        <v>79</v>
      </c>
      <c r="AF51" s="35"/>
      <c r="AG51" s="34">
        <v>78</v>
      </c>
      <c r="AH51" s="35"/>
      <c r="AI51" s="34" t="s">
        <v>148</v>
      </c>
      <c r="AJ51" s="35"/>
      <c r="AK51" s="34">
        <v>6</v>
      </c>
      <c r="AL51" s="35"/>
      <c r="AM51" s="34" t="s">
        <v>148</v>
      </c>
      <c r="AN51" s="35"/>
      <c r="AO51" s="34">
        <v>58</v>
      </c>
      <c r="AP51" s="35"/>
      <c r="AQ51" s="34">
        <v>53</v>
      </c>
      <c r="AR51" s="35"/>
      <c r="AS51" s="34">
        <v>39</v>
      </c>
      <c r="AT51" s="35"/>
      <c r="AU51" s="34">
        <v>15</v>
      </c>
      <c r="AV51" s="35"/>
      <c r="AW51" s="34">
        <v>17</v>
      </c>
      <c r="AX51" s="35"/>
      <c r="AY51" s="34">
        <v>19</v>
      </c>
      <c r="AZ51" s="35"/>
    </row>
    <row r="52" spans="1:52" x14ac:dyDescent="0.25">
      <c r="A52" s="10" t="s">
        <v>1766</v>
      </c>
      <c r="B52" s="10"/>
      <c r="C52" s="34" t="s">
        <v>148</v>
      </c>
      <c r="D52" s="35"/>
      <c r="E52" s="34" t="s">
        <v>148</v>
      </c>
      <c r="F52" s="35"/>
      <c r="G52" s="34" t="s">
        <v>148</v>
      </c>
      <c r="H52" s="35"/>
      <c r="I52" s="34" t="s">
        <v>148</v>
      </c>
      <c r="J52" s="35"/>
      <c r="K52" s="34" t="s">
        <v>148</v>
      </c>
      <c r="L52" s="35"/>
      <c r="M52" s="34" t="s">
        <v>148</v>
      </c>
      <c r="N52" s="35"/>
      <c r="O52" s="34" t="s">
        <v>148</v>
      </c>
      <c r="P52" s="35"/>
      <c r="Q52" s="34" t="s">
        <v>148</v>
      </c>
      <c r="R52" s="35"/>
      <c r="S52" s="34" t="s">
        <v>148</v>
      </c>
      <c r="T52" s="35"/>
      <c r="U52" s="34" t="s">
        <v>148</v>
      </c>
      <c r="V52" s="35"/>
      <c r="W52" s="34" t="s">
        <v>148</v>
      </c>
      <c r="X52" s="35"/>
      <c r="Y52" s="34" t="s">
        <v>148</v>
      </c>
      <c r="Z52" s="35"/>
      <c r="AA52" s="34" t="s">
        <v>148</v>
      </c>
      <c r="AB52" s="35"/>
      <c r="AC52" s="34" t="s">
        <v>148</v>
      </c>
      <c r="AD52" s="35"/>
      <c r="AE52" s="34" t="s">
        <v>148</v>
      </c>
      <c r="AF52" s="35"/>
      <c r="AG52" s="34" t="s">
        <v>148</v>
      </c>
      <c r="AH52" s="35"/>
      <c r="AI52" s="34" t="s">
        <v>148</v>
      </c>
      <c r="AJ52" s="35"/>
      <c r="AK52" s="34">
        <v>13</v>
      </c>
      <c r="AL52" s="35"/>
      <c r="AM52" s="34" t="s">
        <v>148</v>
      </c>
      <c r="AN52" s="35"/>
      <c r="AO52" s="34" t="s">
        <v>148</v>
      </c>
      <c r="AP52" s="35"/>
      <c r="AQ52" s="34" t="s">
        <v>148</v>
      </c>
      <c r="AR52" s="35"/>
      <c r="AS52" s="34">
        <v>4</v>
      </c>
      <c r="AT52" s="35"/>
      <c r="AU52" s="34" t="s">
        <v>148</v>
      </c>
      <c r="AV52" s="35"/>
      <c r="AW52" s="34">
        <v>9</v>
      </c>
      <c r="AX52" s="35"/>
      <c r="AY52" s="34">
        <v>16</v>
      </c>
      <c r="AZ52" s="35"/>
    </row>
    <row r="53" spans="1:52" x14ac:dyDescent="0.25">
      <c r="A53" s="10" t="s">
        <v>1767</v>
      </c>
      <c r="B53" s="10"/>
      <c r="C53" s="34" t="s">
        <v>148</v>
      </c>
      <c r="D53" s="35"/>
      <c r="E53" s="34" t="s">
        <v>148</v>
      </c>
      <c r="F53" s="35"/>
      <c r="G53" s="34" t="s">
        <v>148</v>
      </c>
      <c r="H53" s="35"/>
      <c r="I53" s="34">
        <v>-22</v>
      </c>
      <c r="J53" s="35"/>
      <c r="K53" s="34" t="s">
        <v>148</v>
      </c>
      <c r="L53" s="35"/>
      <c r="M53" s="34">
        <v>113</v>
      </c>
      <c r="N53" s="35"/>
      <c r="O53" s="34">
        <v>44</v>
      </c>
      <c r="P53" s="35"/>
      <c r="Q53" s="34">
        <v>50</v>
      </c>
      <c r="R53" s="35"/>
      <c r="S53" s="34" t="s">
        <v>148</v>
      </c>
      <c r="T53" s="35"/>
      <c r="U53" s="34">
        <v>8</v>
      </c>
      <c r="V53" s="35"/>
      <c r="W53" s="34">
        <v>16</v>
      </c>
      <c r="X53" s="35"/>
      <c r="Y53" s="34">
        <v>20</v>
      </c>
      <c r="Z53" s="35"/>
      <c r="AA53" s="34" t="s">
        <v>148</v>
      </c>
      <c r="AB53" s="35"/>
      <c r="AC53" s="34" t="s">
        <v>148</v>
      </c>
      <c r="AD53" s="35"/>
      <c r="AE53" s="34" t="s">
        <v>148</v>
      </c>
      <c r="AF53" s="35"/>
      <c r="AG53" s="34" t="s">
        <v>148</v>
      </c>
      <c r="AH53" s="35"/>
      <c r="AI53" s="34" t="s">
        <v>148</v>
      </c>
      <c r="AJ53" s="35"/>
      <c r="AK53" s="34" t="s">
        <v>148</v>
      </c>
      <c r="AL53" s="35"/>
      <c r="AM53" s="34" t="s">
        <v>148</v>
      </c>
      <c r="AN53" s="35"/>
      <c r="AO53" s="34">
        <v>12</v>
      </c>
      <c r="AP53" s="35"/>
      <c r="AQ53" s="34">
        <v>7</v>
      </c>
      <c r="AR53" s="35"/>
      <c r="AS53" s="34">
        <v>10</v>
      </c>
      <c r="AT53" s="35"/>
      <c r="AU53" s="34">
        <v>8</v>
      </c>
      <c r="AV53" s="35"/>
      <c r="AW53" s="34">
        <v>13</v>
      </c>
      <c r="AX53" s="35"/>
      <c r="AY53" s="34">
        <v>21</v>
      </c>
      <c r="AZ53" s="35"/>
    </row>
    <row r="54" spans="1:52" x14ac:dyDescent="0.25">
      <c r="A54" s="10" t="s">
        <v>1768</v>
      </c>
      <c r="B54" s="10"/>
      <c r="C54" s="34" t="s">
        <v>148</v>
      </c>
      <c r="D54" s="35"/>
      <c r="E54" s="34">
        <v>-5</v>
      </c>
      <c r="F54" s="35"/>
      <c r="G54" s="34">
        <v>-11</v>
      </c>
      <c r="H54" s="35"/>
      <c r="I54" s="34">
        <v>-11</v>
      </c>
      <c r="J54" s="35"/>
      <c r="K54" s="34" t="s">
        <v>148</v>
      </c>
      <c r="L54" s="35"/>
      <c r="M54" s="34">
        <v>34</v>
      </c>
      <c r="N54" s="35"/>
      <c r="O54" s="34">
        <v>16</v>
      </c>
      <c r="P54" s="35"/>
      <c r="Q54" s="34">
        <v>40</v>
      </c>
      <c r="R54" s="35"/>
      <c r="S54" s="34" t="s">
        <v>148</v>
      </c>
      <c r="T54" s="35"/>
      <c r="U54" s="34">
        <v>-22</v>
      </c>
      <c r="V54" s="35"/>
      <c r="W54" s="34">
        <v>4</v>
      </c>
      <c r="X54" s="35"/>
      <c r="Y54" s="34">
        <v>-15</v>
      </c>
      <c r="Z54" s="35"/>
      <c r="AA54" s="34" t="s">
        <v>148</v>
      </c>
      <c r="AB54" s="35"/>
      <c r="AC54" s="34" t="s">
        <v>148</v>
      </c>
      <c r="AD54" s="35"/>
      <c r="AE54" s="34" t="s">
        <v>148</v>
      </c>
      <c r="AF54" s="35"/>
      <c r="AG54" s="34" t="s">
        <v>148</v>
      </c>
      <c r="AH54" s="35"/>
      <c r="AI54" s="34" t="s">
        <v>148</v>
      </c>
      <c r="AJ54" s="35"/>
      <c r="AK54" s="34" t="s">
        <v>148</v>
      </c>
      <c r="AL54" s="35"/>
      <c r="AM54" s="34" t="s">
        <v>148</v>
      </c>
      <c r="AN54" s="35"/>
      <c r="AO54" s="34">
        <v>2</v>
      </c>
      <c r="AP54" s="35"/>
      <c r="AQ54" s="34">
        <v>-5</v>
      </c>
      <c r="AR54" s="35"/>
      <c r="AS54" s="34">
        <v>-5</v>
      </c>
      <c r="AT54" s="35"/>
      <c r="AU54" s="34">
        <v>-6</v>
      </c>
      <c r="AV54" s="35"/>
      <c r="AW54" s="34">
        <v>15</v>
      </c>
      <c r="AX54" s="35"/>
      <c r="AY54" s="34">
        <v>21</v>
      </c>
      <c r="AZ54" s="35"/>
    </row>
    <row r="55" spans="1:52" x14ac:dyDescent="0.25">
      <c r="A55" s="10" t="s">
        <v>1772</v>
      </c>
      <c r="B55" s="10"/>
      <c r="C55" s="34" t="s">
        <v>148</v>
      </c>
      <c r="D55" s="35"/>
      <c r="E55" s="34">
        <v>31</v>
      </c>
      <c r="F55" s="35"/>
      <c r="G55" s="34">
        <v>-21</v>
      </c>
      <c r="H55" s="35"/>
      <c r="I55" s="34">
        <v>-64</v>
      </c>
      <c r="J55" s="35"/>
      <c r="K55" s="34" t="s">
        <v>148</v>
      </c>
      <c r="L55" s="35"/>
      <c r="M55" s="34">
        <v>-53</v>
      </c>
      <c r="N55" s="35"/>
      <c r="O55" s="34">
        <v>87</v>
      </c>
      <c r="P55" s="35"/>
      <c r="Q55" s="34" t="s">
        <v>148</v>
      </c>
      <c r="R55" s="35"/>
      <c r="S55" s="34" t="s">
        <v>148</v>
      </c>
      <c r="T55" s="35"/>
      <c r="U55" s="34">
        <v>0</v>
      </c>
      <c r="V55" s="35"/>
      <c r="W55" s="34">
        <v>-61</v>
      </c>
      <c r="X55" s="35"/>
      <c r="Y55" s="34">
        <v>-46</v>
      </c>
      <c r="Z55" s="35"/>
      <c r="AA55" s="34" t="s">
        <v>148</v>
      </c>
      <c r="AB55" s="35"/>
      <c r="AC55" s="34" t="s">
        <v>148</v>
      </c>
      <c r="AD55" s="35"/>
      <c r="AE55" s="34" t="s">
        <v>148</v>
      </c>
      <c r="AF55" s="35"/>
      <c r="AG55" s="34" t="s">
        <v>148</v>
      </c>
      <c r="AH55" s="35"/>
      <c r="AI55" s="34" t="s">
        <v>148</v>
      </c>
      <c r="AJ55" s="35"/>
      <c r="AK55" s="34" t="s">
        <v>148</v>
      </c>
      <c r="AL55" s="35"/>
      <c r="AM55" s="34" t="s">
        <v>148</v>
      </c>
      <c r="AN55" s="35"/>
      <c r="AO55" s="34" t="s">
        <v>148</v>
      </c>
      <c r="AP55" s="35"/>
      <c r="AQ55" s="34" t="s">
        <v>148</v>
      </c>
      <c r="AR55" s="35"/>
      <c r="AS55" s="34">
        <v>9</v>
      </c>
      <c r="AT55" s="35"/>
      <c r="AU55" s="34">
        <v>-13</v>
      </c>
      <c r="AV55" s="35"/>
      <c r="AW55" s="34">
        <v>7</v>
      </c>
      <c r="AX55" s="35"/>
      <c r="AY55" s="34" t="s">
        <v>148</v>
      </c>
      <c r="AZ55" s="35"/>
    </row>
    <row r="56" spans="1:52" x14ac:dyDescent="0.25">
      <c r="A56" s="10" t="s">
        <v>1771</v>
      </c>
      <c r="B56" s="10"/>
      <c r="C56" s="34" t="s">
        <v>148</v>
      </c>
      <c r="D56" s="35"/>
      <c r="E56" s="34" t="s">
        <v>148</v>
      </c>
      <c r="F56" s="35"/>
      <c r="G56" s="34" t="s">
        <v>148</v>
      </c>
      <c r="H56" s="35"/>
      <c r="I56" s="34" t="s">
        <v>148</v>
      </c>
      <c r="J56" s="35"/>
      <c r="K56" s="34" t="s">
        <v>148</v>
      </c>
      <c r="L56" s="35"/>
      <c r="M56" s="34">
        <v>70</v>
      </c>
      <c r="N56" s="35"/>
      <c r="O56" s="34">
        <v>57</v>
      </c>
      <c r="P56" s="35"/>
      <c r="Q56" s="34">
        <v>13</v>
      </c>
      <c r="R56" s="35"/>
      <c r="S56" s="34" t="s">
        <v>148</v>
      </c>
      <c r="T56" s="35"/>
      <c r="U56" s="34">
        <v>21</v>
      </c>
      <c r="V56" s="35"/>
      <c r="W56" s="34">
        <v>-2</v>
      </c>
      <c r="X56" s="35"/>
      <c r="Y56" s="34">
        <v>10</v>
      </c>
      <c r="Z56" s="35"/>
      <c r="AA56" s="34" t="s">
        <v>148</v>
      </c>
      <c r="AB56" s="35"/>
      <c r="AC56" s="34" t="s">
        <v>148</v>
      </c>
      <c r="AD56" s="35"/>
      <c r="AE56" s="34" t="s">
        <v>148</v>
      </c>
      <c r="AF56" s="35"/>
      <c r="AG56" s="34" t="s">
        <v>148</v>
      </c>
      <c r="AH56" s="35"/>
      <c r="AI56" s="34" t="s">
        <v>148</v>
      </c>
      <c r="AJ56" s="35"/>
      <c r="AK56" s="34" t="s">
        <v>148</v>
      </c>
      <c r="AL56" s="35"/>
      <c r="AM56" s="34" t="s">
        <v>148</v>
      </c>
      <c r="AN56" s="35"/>
      <c r="AO56" s="34" t="s">
        <v>148</v>
      </c>
      <c r="AP56" s="35"/>
      <c r="AQ56" s="34" t="s">
        <v>148</v>
      </c>
      <c r="AR56" s="35"/>
      <c r="AS56" s="34">
        <v>2</v>
      </c>
      <c r="AT56" s="35"/>
      <c r="AU56" s="34">
        <v>40</v>
      </c>
      <c r="AV56" s="35"/>
      <c r="AW56" s="34">
        <v>6</v>
      </c>
      <c r="AX56" s="35"/>
      <c r="AY56" s="34" t="s">
        <v>148</v>
      </c>
      <c r="AZ56" s="35"/>
    </row>
    <row r="57" spans="1:52" x14ac:dyDescent="0.25">
      <c r="A57" s="10" t="s">
        <v>1770</v>
      </c>
      <c r="B57" s="10"/>
      <c r="C57" s="34" t="s">
        <v>148</v>
      </c>
      <c r="D57" s="35"/>
      <c r="E57" s="34">
        <v>16</v>
      </c>
      <c r="F57" s="35"/>
      <c r="G57" s="34">
        <v>1</v>
      </c>
      <c r="H57" s="35"/>
      <c r="I57" s="34">
        <v>3</v>
      </c>
      <c r="J57" s="35"/>
      <c r="K57" s="34" t="s">
        <v>148</v>
      </c>
      <c r="L57" s="35"/>
      <c r="M57" s="34">
        <v>3</v>
      </c>
      <c r="N57" s="35"/>
      <c r="O57" s="34">
        <v>-1</v>
      </c>
      <c r="P57" s="35"/>
      <c r="Q57" s="34">
        <v>0</v>
      </c>
      <c r="R57" s="35"/>
      <c r="S57" s="34" t="s">
        <v>148</v>
      </c>
      <c r="T57" s="35"/>
      <c r="U57" s="34">
        <v>-10</v>
      </c>
      <c r="V57" s="35"/>
      <c r="W57" s="34">
        <v>0</v>
      </c>
      <c r="X57" s="35"/>
      <c r="Y57" s="34">
        <v>-9</v>
      </c>
      <c r="Z57" s="35"/>
      <c r="AA57" s="34" t="s">
        <v>148</v>
      </c>
      <c r="AB57" s="35"/>
      <c r="AC57" s="34" t="s">
        <v>148</v>
      </c>
      <c r="AD57" s="35"/>
      <c r="AE57" s="34" t="s">
        <v>148</v>
      </c>
      <c r="AF57" s="35"/>
      <c r="AG57" s="34" t="s">
        <v>148</v>
      </c>
      <c r="AH57" s="35"/>
      <c r="AI57" s="34" t="s">
        <v>148</v>
      </c>
      <c r="AJ57" s="35"/>
      <c r="AK57" s="34" t="s">
        <v>148</v>
      </c>
      <c r="AL57" s="35"/>
      <c r="AM57" s="34" t="s">
        <v>148</v>
      </c>
      <c r="AN57" s="35"/>
      <c r="AO57" s="34" t="s">
        <v>148</v>
      </c>
      <c r="AP57" s="35"/>
      <c r="AQ57" s="34" t="s">
        <v>148</v>
      </c>
      <c r="AR57" s="35"/>
      <c r="AS57" s="34">
        <v>-2</v>
      </c>
      <c r="AT57" s="35"/>
      <c r="AU57" s="34">
        <v>-10</v>
      </c>
      <c r="AV57" s="35"/>
      <c r="AW57" s="34">
        <v>-5</v>
      </c>
      <c r="AX57" s="35"/>
      <c r="AY57" s="34" t="s">
        <v>148</v>
      </c>
      <c r="AZ57" s="35"/>
    </row>
    <row r="58" spans="1:52" x14ac:dyDescent="0.25">
      <c r="A58" s="10" t="s">
        <v>1769</v>
      </c>
      <c r="B58" s="10"/>
      <c r="C58" s="34" t="s">
        <v>148</v>
      </c>
      <c r="D58" s="35"/>
      <c r="E58" s="34" t="s">
        <v>148</v>
      </c>
      <c r="F58" s="35"/>
      <c r="G58" s="34" t="s">
        <v>148</v>
      </c>
      <c r="H58" s="35"/>
      <c r="I58" s="34" t="s">
        <v>148</v>
      </c>
      <c r="J58" s="35"/>
      <c r="K58" s="34" t="s">
        <v>148</v>
      </c>
      <c r="L58" s="35"/>
      <c r="M58" s="34" t="s">
        <v>148</v>
      </c>
      <c r="N58" s="35"/>
      <c r="O58" s="34" t="s">
        <v>148</v>
      </c>
      <c r="P58" s="35"/>
      <c r="Q58" s="34" t="s">
        <v>148</v>
      </c>
      <c r="R58" s="35"/>
      <c r="S58" s="34" t="s">
        <v>148</v>
      </c>
      <c r="T58" s="35"/>
      <c r="U58" s="34">
        <v>-18</v>
      </c>
      <c r="V58" s="35"/>
      <c r="W58" s="34" t="s">
        <v>148</v>
      </c>
      <c r="X58" s="35"/>
      <c r="Y58" s="34" t="s">
        <v>148</v>
      </c>
      <c r="Z58" s="35"/>
      <c r="AA58" s="34" t="s">
        <v>148</v>
      </c>
      <c r="AB58" s="35"/>
      <c r="AC58" s="34" t="s">
        <v>148</v>
      </c>
      <c r="AD58" s="35"/>
      <c r="AE58" s="34" t="s">
        <v>148</v>
      </c>
      <c r="AF58" s="35"/>
      <c r="AG58" s="34" t="s">
        <v>148</v>
      </c>
      <c r="AH58" s="35"/>
      <c r="AI58" s="34" t="s">
        <v>148</v>
      </c>
      <c r="AJ58" s="35"/>
      <c r="AK58" s="34" t="s">
        <v>148</v>
      </c>
      <c r="AL58" s="35"/>
      <c r="AM58" s="34" t="s">
        <v>148</v>
      </c>
      <c r="AN58" s="35"/>
      <c r="AO58" s="34" t="s">
        <v>148</v>
      </c>
      <c r="AP58" s="35"/>
      <c r="AQ58" s="34" t="s">
        <v>148</v>
      </c>
      <c r="AR58" s="35"/>
      <c r="AS58" s="34">
        <v>-20</v>
      </c>
      <c r="AT58" s="35"/>
      <c r="AU58" s="34">
        <v>-18</v>
      </c>
      <c r="AV58" s="35"/>
      <c r="AW58" s="34">
        <v>-11</v>
      </c>
      <c r="AX58" s="35"/>
      <c r="AY58" s="34" t="s">
        <v>148</v>
      </c>
      <c r="AZ58" s="35"/>
    </row>
    <row r="59" spans="1:52" x14ac:dyDescent="0.25">
      <c r="A59" s="10" t="s">
        <v>1810</v>
      </c>
      <c r="B59" s="10"/>
      <c r="C59" s="34" t="s">
        <v>148</v>
      </c>
      <c r="D59" s="35"/>
      <c r="E59" s="34" t="s">
        <v>148</v>
      </c>
      <c r="F59" s="35"/>
      <c r="G59" s="34" t="s">
        <v>148</v>
      </c>
      <c r="H59" s="35"/>
      <c r="I59" s="34" t="s">
        <v>148</v>
      </c>
      <c r="J59" s="35"/>
      <c r="K59" s="34" t="s">
        <v>148</v>
      </c>
      <c r="L59" s="35"/>
      <c r="M59" s="34" t="s">
        <v>148</v>
      </c>
      <c r="N59" s="35"/>
      <c r="O59" s="34" t="s">
        <v>148</v>
      </c>
      <c r="P59" s="35"/>
      <c r="Q59" s="34" t="s">
        <v>148</v>
      </c>
      <c r="R59" s="35"/>
      <c r="S59" s="34" t="s">
        <v>148</v>
      </c>
      <c r="T59" s="35"/>
      <c r="U59" s="34">
        <v>36</v>
      </c>
      <c r="V59" s="35"/>
      <c r="W59" s="34">
        <v>39</v>
      </c>
      <c r="X59" s="35"/>
      <c r="Y59" s="34">
        <v>51</v>
      </c>
      <c r="Z59" s="35"/>
      <c r="AA59" s="34" t="s">
        <v>148</v>
      </c>
      <c r="AB59" s="35"/>
      <c r="AC59" s="34">
        <v>43</v>
      </c>
      <c r="AD59" s="35"/>
      <c r="AE59" s="34">
        <v>68</v>
      </c>
      <c r="AF59" s="35"/>
      <c r="AG59" s="34">
        <v>79</v>
      </c>
      <c r="AH59" s="35"/>
      <c r="AI59" s="34" t="s">
        <v>148</v>
      </c>
      <c r="AJ59" s="35"/>
      <c r="AK59" s="34">
        <v>64</v>
      </c>
      <c r="AL59" s="35"/>
      <c r="AM59" s="34" t="s">
        <v>148</v>
      </c>
      <c r="AN59" s="35"/>
      <c r="AO59" s="34">
        <v>22</v>
      </c>
      <c r="AP59" s="35"/>
      <c r="AQ59" s="34">
        <v>11</v>
      </c>
      <c r="AR59" s="35"/>
      <c r="AS59" s="34">
        <v>7</v>
      </c>
      <c r="AT59" s="35"/>
      <c r="AU59" s="34">
        <v>11</v>
      </c>
      <c r="AV59" s="35"/>
      <c r="AW59" s="34">
        <v>0</v>
      </c>
      <c r="AX59" s="35"/>
      <c r="AY59" s="34">
        <v>5</v>
      </c>
      <c r="AZ59" s="35"/>
    </row>
    <row r="60" spans="1:52" x14ac:dyDescent="0.25">
      <c r="A60" s="10" t="s">
        <v>1811</v>
      </c>
      <c r="B60" s="10"/>
      <c r="C60" s="34" t="s">
        <v>148</v>
      </c>
      <c r="D60" s="35"/>
      <c r="E60" s="34" t="s">
        <v>148</v>
      </c>
      <c r="F60" s="35"/>
      <c r="G60" s="34">
        <v>76</v>
      </c>
      <c r="H60" s="35"/>
      <c r="I60" s="34">
        <v>57</v>
      </c>
      <c r="J60" s="35"/>
      <c r="K60" s="34" t="s">
        <v>148</v>
      </c>
      <c r="L60" s="35"/>
      <c r="M60" s="34">
        <v>46</v>
      </c>
      <c r="N60" s="35"/>
      <c r="O60" s="34">
        <v>30</v>
      </c>
      <c r="P60" s="35"/>
      <c r="Q60" s="34">
        <v>17</v>
      </c>
      <c r="R60" s="35"/>
      <c r="S60" s="34" t="s">
        <v>148</v>
      </c>
      <c r="T60" s="35"/>
      <c r="U60" s="34">
        <v>14</v>
      </c>
      <c r="V60" s="35"/>
      <c r="W60" s="34">
        <v>14</v>
      </c>
      <c r="X60" s="35"/>
      <c r="Y60" s="34">
        <v>27</v>
      </c>
      <c r="Z60" s="35"/>
      <c r="AA60" s="34" t="s">
        <v>148</v>
      </c>
      <c r="AB60" s="35"/>
      <c r="AC60" s="34" t="s">
        <v>148</v>
      </c>
      <c r="AD60" s="35"/>
      <c r="AE60" s="34" t="s">
        <v>148</v>
      </c>
      <c r="AF60" s="35"/>
      <c r="AG60" s="34" t="s">
        <v>148</v>
      </c>
      <c r="AH60" s="35"/>
      <c r="AI60" s="34" t="s">
        <v>148</v>
      </c>
      <c r="AJ60" s="35"/>
      <c r="AK60" s="34" t="s">
        <v>148</v>
      </c>
      <c r="AL60" s="35"/>
      <c r="AM60" s="34" t="s">
        <v>148</v>
      </c>
      <c r="AN60" s="35"/>
      <c r="AO60" s="34">
        <v>23</v>
      </c>
      <c r="AP60" s="35"/>
      <c r="AQ60" s="34">
        <v>9</v>
      </c>
      <c r="AR60" s="35"/>
      <c r="AS60" s="34">
        <v>6</v>
      </c>
      <c r="AT60" s="35"/>
      <c r="AU60" s="34">
        <v>9</v>
      </c>
      <c r="AV60" s="35"/>
      <c r="AW60" s="34">
        <v>-1</v>
      </c>
      <c r="AX60" s="35"/>
      <c r="AY60" s="34">
        <v>6</v>
      </c>
      <c r="AZ60" s="35"/>
    </row>
    <row r="61" spans="1:52" x14ac:dyDescent="0.25">
      <c r="A61" s="10" t="s">
        <v>1812</v>
      </c>
      <c r="B61" s="10"/>
      <c r="C61" s="34" t="s">
        <v>148</v>
      </c>
      <c r="D61" s="35"/>
      <c r="E61" s="34" t="s">
        <v>148</v>
      </c>
      <c r="F61" s="35"/>
      <c r="G61" s="34" t="s">
        <v>148</v>
      </c>
      <c r="H61" s="35"/>
      <c r="I61" s="34" t="s">
        <v>148</v>
      </c>
      <c r="J61" s="35"/>
      <c r="K61" s="34" t="s">
        <v>148</v>
      </c>
      <c r="L61" s="35"/>
      <c r="M61" s="34" t="s">
        <v>148</v>
      </c>
      <c r="N61" s="35"/>
      <c r="O61" s="34" t="s">
        <v>148</v>
      </c>
      <c r="P61" s="35"/>
      <c r="Q61" s="34" t="s">
        <v>148</v>
      </c>
      <c r="R61" s="35"/>
      <c r="S61" s="34" t="s">
        <v>148</v>
      </c>
      <c r="T61" s="35"/>
      <c r="U61" s="34" t="s">
        <v>148</v>
      </c>
      <c r="V61" s="35"/>
      <c r="W61" s="34">
        <v>4000</v>
      </c>
      <c r="X61" s="35"/>
      <c r="Y61" s="34" t="s">
        <v>148</v>
      </c>
      <c r="Z61" s="35"/>
      <c r="AA61" s="34" t="s">
        <v>148</v>
      </c>
      <c r="AB61" s="35"/>
      <c r="AC61" s="34" t="s">
        <v>148</v>
      </c>
      <c r="AD61" s="35"/>
      <c r="AE61" s="34" t="s">
        <v>148</v>
      </c>
      <c r="AF61" s="35"/>
      <c r="AG61" s="34" t="s">
        <v>148</v>
      </c>
      <c r="AH61" s="35"/>
      <c r="AI61" s="34" t="s">
        <v>148</v>
      </c>
      <c r="AJ61" s="35"/>
      <c r="AK61" s="34" t="s">
        <v>148</v>
      </c>
      <c r="AL61" s="35"/>
      <c r="AM61" s="34" t="s">
        <v>148</v>
      </c>
      <c r="AN61" s="35"/>
      <c r="AO61" s="34">
        <v>18</v>
      </c>
      <c r="AP61" s="35"/>
      <c r="AQ61" s="34">
        <v>19</v>
      </c>
      <c r="AR61" s="35"/>
      <c r="AS61" s="34">
        <v>13</v>
      </c>
      <c r="AT61" s="35"/>
      <c r="AU61" s="34">
        <v>21</v>
      </c>
      <c r="AV61" s="35"/>
      <c r="AW61" s="34">
        <v>2</v>
      </c>
      <c r="AX61" s="35"/>
      <c r="AY61" s="34" t="s">
        <v>148</v>
      </c>
      <c r="AZ61" s="35"/>
    </row>
    <row r="62" spans="1:52" x14ac:dyDescent="0.25">
      <c r="A62" s="10" t="s">
        <v>1783</v>
      </c>
      <c r="B62" s="10"/>
      <c r="C62" s="34" t="s">
        <v>148</v>
      </c>
      <c r="D62" s="35"/>
      <c r="E62" s="34" t="s">
        <v>148</v>
      </c>
      <c r="F62" s="35"/>
      <c r="G62" s="34" t="s">
        <v>148</v>
      </c>
      <c r="H62" s="35"/>
      <c r="I62" s="34" t="s">
        <v>148</v>
      </c>
      <c r="J62" s="35"/>
      <c r="K62" s="34" t="s">
        <v>148</v>
      </c>
      <c r="L62" s="35"/>
      <c r="M62" s="34" t="s">
        <v>148</v>
      </c>
      <c r="N62" s="35"/>
      <c r="O62" s="34" t="s">
        <v>148</v>
      </c>
      <c r="P62" s="35"/>
      <c r="Q62" s="34" t="s">
        <v>148</v>
      </c>
      <c r="R62" s="35"/>
      <c r="S62" s="34" t="s">
        <v>148</v>
      </c>
      <c r="T62" s="35"/>
      <c r="U62" s="34" t="s">
        <v>148</v>
      </c>
      <c r="V62" s="35"/>
      <c r="W62" s="34" t="s">
        <v>148</v>
      </c>
      <c r="X62" s="35"/>
      <c r="Y62" s="34" t="s">
        <v>148</v>
      </c>
      <c r="Z62" s="35"/>
      <c r="AA62" s="34" t="s">
        <v>148</v>
      </c>
      <c r="AB62" s="35"/>
      <c r="AC62" s="34" t="s">
        <v>148</v>
      </c>
      <c r="AD62" s="35"/>
      <c r="AE62" s="34" t="s">
        <v>148</v>
      </c>
      <c r="AF62" s="35"/>
      <c r="AG62" s="34" t="s">
        <v>148</v>
      </c>
      <c r="AH62" s="35"/>
      <c r="AI62" s="34" t="s">
        <v>148</v>
      </c>
      <c r="AJ62" s="35"/>
      <c r="AK62" s="34">
        <v>6</v>
      </c>
      <c r="AL62" s="35"/>
      <c r="AM62" s="34" t="s">
        <v>148</v>
      </c>
      <c r="AN62" s="35"/>
      <c r="AO62" s="34" t="s">
        <v>148</v>
      </c>
      <c r="AP62" s="35"/>
      <c r="AQ62" s="34" t="s">
        <v>148</v>
      </c>
      <c r="AR62" s="35"/>
      <c r="AS62" s="34">
        <v>9</v>
      </c>
      <c r="AT62" s="35"/>
      <c r="AU62" s="34">
        <v>17</v>
      </c>
      <c r="AV62" s="35"/>
      <c r="AW62" s="34">
        <v>4</v>
      </c>
      <c r="AX62" s="35"/>
      <c r="AY62" s="34">
        <v>4</v>
      </c>
      <c r="AZ62" s="35"/>
    </row>
    <row r="63" spans="1:52" x14ac:dyDescent="0.25">
      <c r="A63" s="10" t="s">
        <v>1786</v>
      </c>
      <c r="B63" s="10"/>
      <c r="C63" s="34" t="s">
        <v>148</v>
      </c>
      <c r="D63" s="35"/>
      <c r="E63" s="34" t="s">
        <v>148</v>
      </c>
      <c r="F63" s="35"/>
      <c r="G63" s="34" t="s">
        <v>148</v>
      </c>
      <c r="H63" s="35"/>
      <c r="I63" s="34" t="s">
        <v>148</v>
      </c>
      <c r="J63" s="35"/>
      <c r="K63" s="34" t="s">
        <v>148</v>
      </c>
      <c r="L63" s="35"/>
      <c r="M63" s="34" t="s">
        <v>148</v>
      </c>
      <c r="N63" s="35"/>
      <c r="O63" s="34" t="s">
        <v>148</v>
      </c>
      <c r="P63" s="35"/>
      <c r="Q63" s="34" t="s">
        <v>148</v>
      </c>
      <c r="R63" s="35"/>
      <c r="S63" s="34" t="s">
        <v>148</v>
      </c>
      <c r="T63" s="35"/>
      <c r="U63" s="34" t="s">
        <v>148</v>
      </c>
      <c r="V63" s="35"/>
      <c r="W63" s="34" t="s">
        <v>148</v>
      </c>
      <c r="X63" s="35"/>
      <c r="Y63" s="34" t="s">
        <v>148</v>
      </c>
      <c r="Z63" s="35"/>
      <c r="AA63" s="34" t="s">
        <v>148</v>
      </c>
      <c r="AB63" s="35"/>
      <c r="AC63" s="34" t="s">
        <v>148</v>
      </c>
      <c r="AD63" s="35"/>
      <c r="AE63" s="34" t="s">
        <v>148</v>
      </c>
      <c r="AF63" s="35"/>
      <c r="AG63" s="34" t="s">
        <v>148</v>
      </c>
      <c r="AH63" s="35"/>
      <c r="AI63" s="34" t="s">
        <v>148</v>
      </c>
      <c r="AJ63" s="35"/>
      <c r="AK63" s="34" t="s">
        <v>148</v>
      </c>
      <c r="AL63" s="35"/>
      <c r="AM63" s="34" t="s">
        <v>148</v>
      </c>
      <c r="AN63" s="35"/>
      <c r="AO63" s="34" t="s">
        <v>148</v>
      </c>
      <c r="AP63" s="35"/>
      <c r="AQ63" s="34" t="s">
        <v>148</v>
      </c>
      <c r="AR63" s="35"/>
      <c r="AS63" s="34">
        <v>18</v>
      </c>
      <c r="AT63" s="35"/>
      <c r="AU63" s="34">
        <v>19</v>
      </c>
      <c r="AV63" s="35"/>
      <c r="AW63" s="34">
        <v>14</v>
      </c>
      <c r="AX63" s="35"/>
      <c r="AY63" s="34" t="s">
        <v>148</v>
      </c>
      <c r="AZ63" s="35"/>
    </row>
    <row r="64" spans="1:52" x14ac:dyDescent="0.25">
      <c r="A64" s="10" t="s">
        <v>1784</v>
      </c>
      <c r="B64" s="10"/>
      <c r="C64" s="34" t="s">
        <v>148</v>
      </c>
      <c r="D64" s="35"/>
      <c r="E64" s="34" t="s">
        <v>148</v>
      </c>
      <c r="F64" s="35"/>
      <c r="G64" s="34" t="s">
        <v>148</v>
      </c>
      <c r="H64" s="35"/>
      <c r="I64" s="34" t="s">
        <v>148</v>
      </c>
      <c r="J64" s="35"/>
      <c r="K64" s="34" t="s">
        <v>148</v>
      </c>
      <c r="L64" s="35"/>
      <c r="M64" s="34" t="s">
        <v>148</v>
      </c>
      <c r="N64" s="35"/>
      <c r="O64" s="34" t="s">
        <v>148</v>
      </c>
      <c r="P64" s="35"/>
      <c r="Q64" s="34" t="s">
        <v>148</v>
      </c>
      <c r="R64" s="35"/>
      <c r="S64" s="34" t="s">
        <v>148</v>
      </c>
      <c r="T64" s="35"/>
      <c r="U64" s="34">
        <v>-32</v>
      </c>
      <c r="V64" s="35"/>
      <c r="W64" s="34" t="s">
        <v>148</v>
      </c>
      <c r="X64" s="35"/>
      <c r="Y64" s="34" t="s">
        <v>148</v>
      </c>
      <c r="Z64" s="35"/>
      <c r="AA64" s="34" t="s">
        <v>148</v>
      </c>
      <c r="AB64" s="35"/>
      <c r="AC64" s="34" t="s">
        <v>148</v>
      </c>
      <c r="AD64" s="35"/>
      <c r="AE64" s="34" t="s">
        <v>148</v>
      </c>
      <c r="AF64" s="35"/>
      <c r="AG64" s="34" t="s">
        <v>148</v>
      </c>
      <c r="AH64" s="35"/>
      <c r="AI64" s="34" t="s">
        <v>148</v>
      </c>
      <c r="AJ64" s="35"/>
      <c r="AK64" s="34" t="s">
        <v>148</v>
      </c>
      <c r="AL64" s="35"/>
      <c r="AM64" s="34" t="s">
        <v>148</v>
      </c>
      <c r="AN64" s="35"/>
      <c r="AO64" s="34" t="s">
        <v>148</v>
      </c>
      <c r="AP64" s="35"/>
      <c r="AQ64" s="34" t="s">
        <v>148</v>
      </c>
      <c r="AR64" s="35"/>
      <c r="AS64" s="34">
        <v>5</v>
      </c>
      <c r="AT64" s="35"/>
      <c r="AU64" s="34">
        <v>20</v>
      </c>
      <c r="AV64" s="35"/>
      <c r="AW64" s="34">
        <v>2</v>
      </c>
      <c r="AX64" s="35"/>
      <c r="AY64" s="34" t="s">
        <v>148</v>
      </c>
      <c r="AZ64" s="35"/>
    </row>
    <row r="65" spans="1:52" x14ac:dyDescent="0.25">
      <c r="A65" s="10" t="s">
        <v>1785</v>
      </c>
      <c r="B65" s="10"/>
      <c r="C65" s="34" t="s">
        <v>148</v>
      </c>
      <c r="D65" s="35"/>
      <c r="E65" s="34">
        <v>74</v>
      </c>
      <c r="F65" s="35"/>
      <c r="G65" s="34">
        <v>53</v>
      </c>
      <c r="H65" s="35"/>
      <c r="I65" s="34">
        <v>54</v>
      </c>
      <c r="J65" s="35"/>
      <c r="K65" s="34" t="s">
        <v>148</v>
      </c>
      <c r="L65" s="35"/>
      <c r="M65" s="34">
        <v>35</v>
      </c>
      <c r="N65" s="35"/>
      <c r="O65" s="34">
        <v>30</v>
      </c>
      <c r="P65" s="35"/>
      <c r="Q65" s="34">
        <v>32</v>
      </c>
      <c r="R65" s="35"/>
      <c r="S65" s="34" t="s">
        <v>148</v>
      </c>
      <c r="T65" s="35"/>
      <c r="U65" s="34">
        <v>33</v>
      </c>
      <c r="V65" s="35"/>
      <c r="W65" s="34">
        <v>32</v>
      </c>
      <c r="X65" s="35"/>
      <c r="Y65" s="34">
        <v>18</v>
      </c>
      <c r="Z65" s="35"/>
      <c r="AA65" s="34" t="s">
        <v>148</v>
      </c>
      <c r="AB65" s="35"/>
      <c r="AC65" s="34" t="s">
        <v>148</v>
      </c>
      <c r="AD65" s="35"/>
      <c r="AE65" s="34" t="s">
        <v>148</v>
      </c>
      <c r="AF65" s="35"/>
      <c r="AG65" s="34" t="s">
        <v>148</v>
      </c>
      <c r="AH65" s="35"/>
      <c r="AI65" s="34" t="s">
        <v>148</v>
      </c>
      <c r="AJ65" s="35"/>
      <c r="AK65" s="34" t="s">
        <v>148</v>
      </c>
      <c r="AL65" s="35"/>
      <c r="AM65" s="34" t="s">
        <v>148</v>
      </c>
      <c r="AN65" s="35"/>
      <c r="AO65" s="34" t="s">
        <v>148</v>
      </c>
      <c r="AP65" s="35"/>
      <c r="AQ65" s="34" t="s">
        <v>148</v>
      </c>
      <c r="AR65" s="35"/>
      <c r="AS65" s="34">
        <v>13</v>
      </c>
      <c r="AT65" s="35"/>
      <c r="AU65" s="34">
        <v>11</v>
      </c>
      <c r="AV65" s="35"/>
      <c r="AW65" s="34">
        <v>2</v>
      </c>
      <c r="AX65" s="35"/>
      <c r="AY65" s="34" t="s">
        <v>148</v>
      </c>
      <c r="AZ65" s="35"/>
    </row>
    <row r="66" spans="1:52" x14ac:dyDescent="0.25">
      <c r="A66" s="10" t="s">
        <v>1795</v>
      </c>
      <c r="B66" s="10"/>
      <c r="C66" s="34" t="s">
        <v>148</v>
      </c>
      <c r="D66" s="35"/>
      <c r="E66" s="34" t="s">
        <v>148</v>
      </c>
      <c r="F66" s="35"/>
      <c r="G66" s="34" t="s">
        <v>148</v>
      </c>
      <c r="H66" s="35"/>
      <c r="I66" s="34" t="s">
        <v>148</v>
      </c>
      <c r="J66" s="35"/>
      <c r="K66" s="34" t="s">
        <v>148</v>
      </c>
      <c r="L66" s="35"/>
      <c r="M66" s="34" t="s">
        <v>148</v>
      </c>
      <c r="N66" s="35"/>
      <c r="O66" s="34" t="s">
        <v>148</v>
      </c>
      <c r="P66" s="35"/>
      <c r="Q66" s="34" t="s">
        <v>148</v>
      </c>
      <c r="R66" s="35"/>
      <c r="S66" s="34" t="s">
        <v>148</v>
      </c>
      <c r="T66" s="35"/>
      <c r="U66" s="34" t="s">
        <v>148</v>
      </c>
      <c r="V66" s="35"/>
      <c r="W66" s="34" t="s">
        <v>148</v>
      </c>
      <c r="X66" s="35"/>
      <c r="Y66" s="34" t="s">
        <v>148</v>
      </c>
      <c r="Z66" s="35"/>
      <c r="AA66" s="34" t="s">
        <v>148</v>
      </c>
      <c r="AB66" s="35"/>
      <c r="AC66" s="34">
        <v>5</v>
      </c>
      <c r="AD66" s="35"/>
      <c r="AE66" s="34">
        <v>-46</v>
      </c>
      <c r="AF66" s="35"/>
      <c r="AG66" s="34">
        <v>-52</v>
      </c>
      <c r="AH66" s="35"/>
      <c r="AI66" s="34" t="s">
        <v>148</v>
      </c>
      <c r="AJ66" s="35"/>
      <c r="AK66" s="34">
        <v>-63</v>
      </c>
      <c r="AL66" s="35"/>
      <c r="AM66" s="34" t="s">
        <v>148</v>
      </c>
      <c r="AN66" s="35"/>
      <c r="AO66" s="34">
        <v>-31</v>
      </c>
      <c r="AP66" s="35"/>
      <c r="AQ66" s="34">
        <v>-28</v>
      </c>
      <c r="AR66" s="35"/>
      <c r="AS66" s="34">
        <v>-3</v>
      </c>
      <c r="AT66" s="35"/>
      <c r="AU66" s="34">
        <v>-16</v>
      </c>
      <c r="AV66" s="35"/>
      <c r="AW66" s="34">
        <v>9</v>
      </c>
      <c r="AX66" s="35"/>
      <c r="AY66" s="34">
        <v>-53</v>
      </c>
      <c r="AZ66" s="35"/>
    </row>
    <row r="67" spans="1:52" x14ac:dyDescent="0.25">
      <c r="A67" s="10" t="s">
        <v>1778</v>
      </c>
      <c r="B67" s="10"/>
      <c r="C67" s="34" t="s">
        <v>148</v>
      </c>
      <c r="D67" s="35"/>
      <c r="E67" s="34" t="s">
        <v>148</v>
      </c>
      <c r="F67" s="35"/>
      <c r="G67" s="34" t="s">
        <v>148</v>
      </c>
      <c r="H67" s="35"/>
      <c r="I67" s="34" t="s">
        <v>148</v>
      </c>
      <c r="J67" s="35"/>
      <c r="K67" s="34" t="s">
        <v>148</v>
      </c>
      <c r="L67" s="35"/>
      <c r="M67" s="34" t="s">
        <v>148</v>
      </c>
      <c r="N67" s="35"/>
      <c r="O67" s="34" t="s">
        <v>148</v>
      </c>
      <c r="P67" s="35"/>
      <c r="Q67" s="34" t="s">
        <v>148</v>
      </c>
      <c r="R67" s="35"/>
      <c r="S67" s="34" t="s">
        <v>148</v>
      </c>
      <c r="T67" s="35"/>
      <c r="U67" s="34" t="s">
        <v>148</v>
      </c>
      <c r="V67" s="35"/>
      <c r="W67" s="34" t="s">
        <v>148</v>
      </c>
      <c r="X67" s="35"/>
      <c r="Y67" s="34" t="s">
        <v>148</v>
      </c>
      <c r="Z67" s="35"/>
      <c r="AA67" s="34" t="s">
        <v>148</v>
      </c>
      <c r="AB67" s="35"/>
      <c r="AC67" s="34" t="s">
        <v>148</v>
      </c>
      <c r="AD67" s="35"/>
      <c r="AE67" s="34" t="s">
        <v>148</v>
      </c>
      <c r="AF67" s="35"/>
      <c r="AG67" s="34" t="s">
        <v>148</v>
      </c>
      <c r="AH67" s="35"/>
      <c r="AI67" s="34" t="s">
        <v>148</v>
      </c>
      <c r="AJ67" s="35"/>
      <c r="AK67" s="34">
        <v>59</v>
      </c>
      <c r="AL67" s="35"/>
      <c r="AM67" s="34" t="s">
        <v>148</v>
      </c>
      <c r="AN67" s="35"/>
      <c r="AO67" s="34" t="s">
        <v>148</v>
      </c>
      <c r="AP67" s="35"/>
      <c r="AQ67" s="34" t="s">
        <v>148</v>
      </c>
      <c r="AR67" s="35"/>
      <c r="AS67" s="34">
        <v>18</v>
      </c>
      <c r="AT67" s="35"/>
      <c r="AU67" s="34">
        <v>15</v>
      </c>
      <c r="AV67" s="35"/>
      <c r="AW67" s="34">
        <v>6</v>
      </c>
      <c r="AX67" s="35"/>
      <c r="AY67" s="34" t="s">
        <v>148</v>
      </c>
      <c r="AZ67" s="35"/>
    </row>
    <row r="68" spans="1:52" x14ac:dyDescent="0.25">
      <c r="A68" s="10" t="s">
        <v>1796</v>
      </c>
      <c r="B68" s="10"/>
      <c r="C68" s="34" t="s">
        <v>148</v>
      </c>
      <c r="D68" s="35"/>
      <c r="E68" s="34" t="s">
        <v>148</v>
      </c>
      <c r="F68" s="35"/>
      <c r="G68" s="34" t="s">
        <v>148</v>
      </c>
      <c r="H68" s="35"/>
      <c r="I68" s="34" t="s">
        <v>148</v>
      </c>
      <c r="J68" s="35"/>
      <c r="K68" s="34" t="s">
        <v>148</v>
      </c>
      <c r="L68" s="35"/>
      <c r="M68" s="34" t="s">
        <v>148</v>
      </c>
      <c r="N68" s="35"/>
      <c r="O68" s="34" t="s">
        <v>148</v>
      </c>
      <c r="P68" s="35"/>
      <c r="Q68" s="34" t="s">
        <v>148</v>
      </c>
      <c r="R68" s="35"/>
      <c r="S68" s="34" t="s">
        <v>148</v>
      </c>
      <c r="T68" s="35"/>
      <c r="U68" s="34" t="s">
        <v>148</v>
      </c>
      <c r="V68" s="35"/>
      <c r="W68" s="34" t="s">
        <v>148</v>
      </c>
      <c r="X68" s="35"/>
      <c r="Y68" s="34" t="s">
        <v>148</v>
      </c>
      <c r="Z68" s="35"/>
      <c r="AA68" s="34" t="s">
        <v>148</v>
      </c>
      <c r="AB68" s="35"/>
      <c r="AC68" s="34" t="s">
        <v>148</v>
      </c>
      <c r="AD68" s="35"/>
      <c r="AE68" s="34" t="s">
        <v>148</v>
      </c>
      <c r="AF68" s="35"/>
      <c r="AG68" s="34" t="s">
        <v>148</v>
      </c>
      <c r="AH68" s="35"/>
      <c r="AI68" s="34" t="s">
        <v>148</v>
      </c>
      <c r="AJ68" s="35"/>
      <c r="AK68" s="34">
        <v>-16</v>
      </c>
      <c r="AL68" s="35"/>
      <c r="AM68" s="34" t="s">
        <v>148</v>
      </c>
      <c r="AN68" s="35"/>
      <c r="AO68" s="34" t="s">
        <v>148</v>
      </c>
      <c r="AP68" s="35"/>
      <c r="AQ68" s="34" t="s">
        <v>148</v>
      </c>
      <c r="AR68" s="35"/>
      <c r="AS68" s="34">
        <v>13</v>
      </c>
      <c r="AT68" s="35"/>
      <c r="AU68" s="34">
        <v>15</v>
      </c>
      <c r="AV68" s="35"/>
      <c r="AW68" s="34">
        <v>-7</v>
      </c>
      <c r="AX68" s="35"/>
      <c r="AY68" s="34" t="s">
        <v>148</v>
      </c>
      <c r="AZ68" s="35"/>
    </row>
    <row r="69" spans="1:52" x14ac:dyDescent="0.25">
      <c r="A69" s="10" t="s">
        <v>1797</v>
      </c>
      <c r="B69" s="10"/>
      <c r="C69" s="34" t="s">
        <v>148</v>
      </c>
      <c r="D69" s="35"/>
      <c r="E69" s="34">
        <v>-13</v>
      </c>
      <c r="F69" s="35"/>
      <c r="G69" s="34">
        <v>2</v>
      </c>
      <c r="H69" s="35"/>
      <c r="I69" s="34">
        <v>-3</v>
      </c>
      <c r="J69" s="35"/>
      <c r="K69" s="34" t="s">
        <v>148</v>
      </c>
      <c r="L69" s="35"/>
      <c r="M69" s="34">
        <v>28</v>
      </c>
      <c r="N69" s="35"/>
      <c r="O69" s="34">
        <v>-10</v>
      </c>
      <c r="P69" s="35"/>
      <c r="Q69" s="34">
        <v>12</v>
      </c>
      <c r="R69" s="35"/>
      <c r="S69" s="34" t="s">
        <v>148</v>
      </c>
      <c r="T69" s="35"/>
      <c r="U69" s="34">
        <v>2</v>
      </c>
      <c r="V69" s="35"/>
      <c r="W69" s="34">
        <v>64</v>
      </c>
      <c r="X69" s="35"/>
      <c r="Y69" s="34">
        <v>29</v>
      </c>
      <c r="Z69" s="35"/>
      <c r="AA69" s="34" t="s">
        <v>148</v>
      </c>
      <c r="AB69" s="35"/>
      <c r="AC69" s="34" t="s">
        <v>148</v>
      </c>
      <c r="AD69" s="35"/>
      <c r="AE69" s="34" t="s">
        <v>148</v>
      </c>
      <c r="AF69" s="35"/>
      <c r="AG69" s="34" t="s">
        <v>148</v>
      </c>
      <c r="AH69" s="35"/>
      <c r="AI69" s="34" t="s">
        <v>148</v>
      </c>
      <c r="AJ69" s="35"/>
      <c r="AK69" s="34" t="s">
        <v>148</v>
      </c>
      <c r="AL69" s="35"/>
      <c r="AM69" s="34" t="s">
        <v>148</v>
      </c>
      <c r="AN69" s="35"/>
      <c r="AO69" s="34" t="s">
        <v>148</v>
      </c>
      <c r="AP69" s="35"/>
      <c r="AQ69" s="34" t="s">
        <v>148</v>
      </c>
      <c r="AR69" s="35"/>
      <c r="AS69" s="34">
        <v>24</v>
      </c>
      <c r="AT69" s="35"/>
      <c r="AU69" s="34">
        <v>0</v>
      </c>
      <c r="AV69" s="35"/>
      <c r="AW69" s="34">
        <v>13</v>
      </c>
      <c r="AX69" s="35"/>
      <c r="AY69" s="34" t="s">
        <v>148</v>
      </c>
      <c r="AZ69" s="35"/>
    </row>
    <row r="70" spans="1:52" x14ac:dyDescent="0.25">
      <c r="A70" s="10" t="s">
        <v>1798</v>
      </c>
      <c r="B70" s="10"/>
      <c r="C70" s="34" t="s">
        <v>148</v>
      </c>
      <c r="D70" s="35"/>
      <c r="E70" s="34" t="s">
        <v>148</v>
      </c>
      <c r="F70" s="35"/>
      <c r="G70" s="34" t="s">
        <v>148</v>
      </c>
      <c r="H70" s="35"/>
      <c r="I70" s="34" t="s">
        <v>148</v>
      </c>
      <c r="J70" s="35"/>
      <c r="K70" s="34" t="s">
        <v>148</v>
      </c>
      <c r="L70" s="35"/>
      <c r="M70" s="34" t="s">
        <v>148</v>
      </c>
      <c r="N70" s="35"/>
      <c r="O70" s="34" t="s">
        <v>148</v>
      </c>
      <c r="P70" s="35"/>
      <c r="Q70" s="34" t="s">
        <v>148</v>
      </c>
      <c r="R70" s="35"/>
      <c r="S70" s="34" t="s">
        <v>148</v>
      </c>
      <c r="T70" s="35"/>
      <c r="U70" s="34">
        <v>0</v>
      </c>
      <c r="V70" s="35"/>
      <c r="W70" s="34">
        <v>10</v>
      </c>
      <c r="X70" s="35"/>
      <c r="Y70" s="34">
        <v>-4</v>
      </c>
      <c r="Z70" s="35"/>
      <c r="AA70" s="34" t="s">
        <v>148</v>
      </c>
      <c r="AB70" s="35"/>
      <c r="AC70" s="34">
        <v>-2</v>
      </c>
      <c r="AD70" s="35"/>
      <c r="AE70" s="34" t="s">
        <v>148</v>
      </c>
      <c r="AF70" s="35"/>
      <c r="AG70" s="34" t="s">
        <v>148</v>
      </c>
      <c r="AH70" s="35"/>
      <c r="AI70" s="34" t="s">
        <v>148</v>
      </c>
      <c r="AJ70" s="35"/>
      <c r="AK70" s="34" t="s">
        <v>148</v>
      </c>
      <c r="AL70" s="35"/>
      <c r="AM70" s="34" t="s">
        <v>148</v>
      </c>
      <c r="AN70" s="35"/>
      <c r="AO70" s="34" t="s">
        <v>148</v>
      </c>
      <c r="AP70" s="35"/>
      <c r="AQ70" s="34" t="s">
        <v>148</v>
      </c>
      <c r="AR70" s="35"/>
      <c r="AS70" s="34">
        <v>-4</v>
      </c>
      <c r="AT70" s="35"/>
      <c r="AU70" s="34">
        <v>41</v>
      </c>
      <c r="AV70" s="35"/>
      <c r="AW70" s="34">
        <v>-29</v>
      </c>
      <c r="AX70" s="35"/>
      <c r="AY70" s="34" t="s">
        <v>148</v>
      </c>
      <c r="AZ70" s="35"/>
    </row>
    <row r="71" spans="1:52" x14ac:dyDescent="0.25">
      <c r="A71" s="10" t="s">
        <v>1800</v>
      </c>
      <c r="B71" s="10"/>
      <c r="C71" s="34" t="s">
        <v>148</v>
      </c>
      <c r="D71" s="35"/>
      <c r="E71" s="34" t="s">
        <v>148</v>
      </c>
      <c r="F71" s="35"/>
      <c r="G71" s="34" t="s">
        <v>148</v>
      </c>
      <c r="H71" s="35"/>
      <c r="I71" s="34" t="s">
        <v>148</v>
      </c>
      <c r="J71" s="35"/>
      <c r="K71" s="34" t="s">
        <v>148</v>
      </c>
      <c r="L71" s="35"/>
      <c r="M71" s="34" t="s">
        <v>148</v>
      </c>
      <c r="N71" s="35"/>
      <c r="O71" s="34" t="s">
        <v>148</v>
      </c>
      <c r="P71" s="35"/>
      <c r="Q71" s="34" t="s">
        <v>148</v>
      </c>
      <c r="R71" s="35"/>
      <c r="S71" s="34" t="s">
        <v>148</v>
      </c>
      <c r="T71" s="35"/>
      <c r="U71" s="34" t="s">
        <v>148</v>
      </c>
      <c r="V71" s="35"/>
      <c r="W71" s="34" t="s">
        <v>148</v>
      </c>
      <c r="X71" s="35"/>
      <c r="Y71" s="34" t="s">
        <v>148</v>
      </c>
      <c r="Z71" s="35"/>
      <c r="AA71" s="34" t="s">
        <v>148</v>
      </c>
      <c r="AB71" s="35"/>
      <c r="AC71" s="34" t="s">
        <v>148</v>
      </c>
      <c r="AD71" s="35"/>
      <c r="AE71" s="34" t="s">
        <v>148</v>
      </c>
      <c r="AF71" s="35"/>
      <c r="AG71" s="34" t="s">
        <v>148</v>
      </c>
      <c r="AH71" s="35"/>
      <c r="AI71" s="34" t="s">
        <v>148</v>
      </c>
      <c r="AJ71" s="35"/>
      <c r="AK71" s="34">
        <v>-18</v>
      </c>
      <c r="AL71" s="35"/>
      <c r="AM71" s="34" t="s">
        <v>148</v>
      </c>
      <c r="AN71" s="35"/>
      <c r="AO71" s="34" t="s">
        <v>148</v>
      </c>
      <c r="AP71" s="35"/>
      <c r="AQ71" s="34" t="s">
        <v>148</v>
      </c>
      <c r="AR71" s="35"/>
      <c r="AS71" s="34">
        <v>5</v>
      </c>
      <c r="AT71" s="35"/>
      <c r="AU71" s="34">
        <v>18</v>
      </c>
      <c r="AV71" s="35"/>
      <c r="AW71" s="34">
        <v>-46</v>
      </c>
      <c r="AX71" s="35"/>
      <c r="AY71" s="34" t="s">
        <v>148</v>
      </c>
      <c r="AZ71" s="35"/>
    </row>
    <row r="72" spans="1:52" x14ac:dyDescent="0.25">
      <c r="A72" s="10" t="s">
        <v>1813</v>
      </c>
      <c r="B72" s="10"/>
      <c r="C72" s="34" t="s">
        <v>148</v>
      </c>
      <c r="D72" s="35"/>
      <c r="E72" s="34" t="s">
        <v>148</v>
      </c>
      <c r="F72" s="35"/>
      <c r="G72" s="34" t="s">
        <v>148</v>
      </c>
      <c r="H72" s="35"/>
      <c r="I72" s="34" t="s">
        <v>148</v>
      </c>
      <c r="J72" s="35"/>
      <c r="K72" s="34" t="s">
        <v>148</v>
      </c>
      <c r="L72" s="35"/>
      <c r="M72" s="34" t="s">
        <v>148</v>
      </c>
      <c r="N72" s="35"/>
      <c r="O72" s="34" t="s">
        <v>148</v>
      </c>
      <c r="P72" s="35"/>
      <c r="Q72" s="34" t="s">
        <v>148</v>
      </c>
      <c r="R72" s="35"/>
      <c r="S72" s="34" t="s">
        <v>148</v>
      </c>
      <c r="T72" s="35"/>
      <c r="U72" s="34">
        <v>18</v>
      </c>
      <c r="V72" s="35"/>
      <c r="W72" s="34">
        <v>8</v>
      </c>
      <c r="X72" s="35"/>
      <c r="Y72" s="34">
        <v>17</v>
      </c>
      <c r="Z72" s="35"/>
      <c r="AA72" s="34" t="s">
        <v>148</v>
      </c>
      <c r="AB72" s="35"/>
      <c r="AC72" s="34">
        <v>7</v>
      </c>
      <c r="AD72" s="35"/>
      <c r="AE72" s="34">
        <v>-1</v>
      </c>
      <c r="AF72" s="35"/>
      <c r="AG72" s="34">
        <v>7</v>
      </c>
      <c r="AH72" s="35"/>
      <c r="AI72" s="34" t="s">
        <v>148</v>
      </c>
      <c r="AJ72" s="35"/>
      <c r="AK72" s="34" t="s">
        <v>148</v>
      </c>
      <c r="AL72" s="35"/>
      <c r="AM72" s="34" t="s">
        <v>148</v>
      </c>
      <c r="AN72" s="35"/>
      <c r="AO72" s="34">
        <v>2</v>
      </c>
      <c r="AP72" s="35"/>
      <c r="AQ72" s="34" t="s">
        <v>148</v>
      </c>
      <c r="AR72" s="35"/>
      <c r="AS72" s="34" t="s">
        <v>148</v>
      </c>
      <c r="AT72" s="35"/>
      <c r="AU72" s="34" t="s">
        <v>148</v>
      </c>
      <c r="AV72" s="35"/>
      <c r="AW72" s="34" t="s">
        <v>148</v>
      </c>
      <c r="AX72" s="35"/>
      <c r="AY72" s="34" t="s">
        <v>148</v>
      </c>
      <c r="AZ72" s="35"/>
    </row>
    <row r="73" spans="1:52" x14ac:dyDescent="0.25">
      <c r="A73" s="10" t="s">
        <v>1814</v>
      </c>
      <c r="B73" s="10"/>
      <c r="C73" s="34" t="s">
        <v>148</v>
      </c>
      <c r="D73" s="35"/>
      <c r="E73" s="34" t="s">
        <v>148</v>
      </c>
      <c r="F73" s="35"/>
      <c r="G73" s="34" t="s">
        <v>148</v>
      </c>
      <c r="H73" s="35"/>
      <c r="I73" s="34" t="s">
        <v>148</v>
      </c>
      <c r="J73" s="35"/>
      <c r="K73" s="34" t="s">
        <v>148</v>
      </c>
      <c r="L73" s="35"/>
      <c r="M73" s="34" t="s">
        <v>148</v>
      </c>
      <c r="N73" s="35"/>
      <c r="O73" s="34" t="s">
        <v>148</v>
      </c>
      <c r="P73" s="35"/>
      <c r="Q73" s="34" t="s">
        <v>148</v>
      </c>
      <c r="R73" s="35"/>
      <c r="S73" s="34" t="s">
        <v>148</v>
      </c>
      <c r="T73" s="35"/>
      <c r="U73" s="34">
        <v>-20</v>
      </c>
      <c r="V73" s="35"/>
      <c r="W73" s="34">
        <v>200</v>
      </c>
      <c r="X73" s="35"/>
      <c r="Y73" s="34">
        <v>-2</v>
      </c>
      <c r="Z73" s="35"/>
      <c r="AA73" s="34" t="s">
        <v>148</v>
      </c>
      <c r="AB73" s="35"/>
      <c r="AC73" s="34" t="s">
        <v>148</v>
      </c>
      <c r="AD73" s="35"/>
      <c r="AE73" s="34" t="s">
        <v>148</v>
      </c>
      <c r="AF73" s="35"/>
      <c r="AG73" s="34" t="s">
        <v>148</v>
      </c>
      <c r="AH73" s="35"/>
      <c r="AI73" s="34" t="s">
        <v>148</v>
      </c>
      <c r="AJ73" s="35"/>
      <c r="AK73" s="34" t="s">
        <v>148</v>
      </c>
      <c r="AL73" s="35"/>
      <c r="AM73" s="34" t="s">
        <v>148</v>
      </c>
      <c r="AN73" s="35"/>
      <c r="AO73" s="34" t="s">
        <v>148</v>
      </c>
      <c r="AP73" s="35"/>
      <c r="AQ73" s="34" t="s">
        <v>148</v>
      </c>
      <c r="AR73" s="35"/>
      <c r="AS73" s="34" t="s">
        <v>148</v>
      </c>
      <c r="AT73" s="35"/>
      <c r="AU73" s="34" t="s">
        <v>148</v>
      </c>
      <c r="AV73" s="35"/>
      <c r="AW73" s="34" t="s">
        <v>148</v>
      </c>
      <c r="AX73" s="35"/>
      <c r="AY73" s="34" t="s">
        <v>148</v>
      </c>
      <c r="AZ73" s="35"/>
    </row>
    <row r="74" spans="1:52" x14ac:dyDescent="0.25">
      <c r="A74" s="10" t="s">
        <v>1815</v>
      </c>
      <c r="B74" s="10"/>
      <c r="C74" s="34" t="s">
        <v>148</v>
      </c>
      <c r="D74" s="35"/>
      <c r="E74" s="34">
        <v>-26</v>
      </c>
      <c r="F74" s="35"/>
      <c r="G74" s="34">
        <v>-9</v>
      </c>
      <c r="H74" s="35"/>
      <c r="I74" s="34">
        <v>-19</v>
      </c>
      <c r="J74" s="35"/>
      <c r="K74" s="34" t="s">
        <v>148</v>
      </c>
      <c r="L74" s="35"/>
      <c r="M74" s="34">
        <v>-44</v>
      </c>
      <c r="N74" s="35"/>
      <c r="O74" s="34">
        <v>-13</v>
      </c>
      <c r="P74" s="35"/>
      <c r="Q74" s="34">
        <v>-44</v>
      </c>
      <c r="R74" s="35"/>
      <c r="S74" s="34" t="s">
        <v>148</v>
      </c>
      <c r="T74" s="35"/>
      <c r="U74" s="34">
        <v>-23</v>
      </c>
      <c r="V74" s="35"/>
      <c r="W74" s="34">
        <v>-57</v>
      </c>
      <c r="X74" s="35"/>
      <c r="Y74" s="34">
        <v>-19</v>
      </c>
      <c r="Z74" s="35"/>
      <c r="AA74" s="34" t="s">
        <v>148</v>
      </c>
      <c r="AB74" s="35"/>
      <c r="AC74" s="34" t="s">
        <v>148</v>
      </c>
      <c r="AD74" s="35"/>
      <c r="AE74" s="34" t="s">
        <v>148</v>
      </c>
      <c r="AF74" s="35"/>
      <c r="AG74" s="34" t="s">
        <v>148</v>
      </c>
      <c r="AH74" s="35"/>
      <c r="AI74" s="34" t="s">
        <v>148</v>
      </c>
      <c r="AJ74" s="35"/>
      <c r="AK74" s="34" t="s">
        <v>148</v>
      </c>
      <c r="AL74" s="35"/>
      <c r="AM74" s="34" t="s">
        <v>148</v>
      </c>
      <c r="AN74" s="35"/>
      <c r="AO74" s="34" t="s">
        <v>148</v>
      </c>
      <c r="AP74" s="35"/>
      <c r="AQ74" s="34" t="s">
        <v>148</v>
      </c>
      <c r="AR74" s="35"/>
      <c r="AS74" s="34" t="s">
        <v>148</v>
      </c>
      <c r="AT74" s="35"/>
      <c r="AU74" s="34" t="s">
        <v>148</v>
      </c>
      <c r="AV74" s="35"/>
      <c r="AW74" s="34" t="s">
        <v>148</v>
      </c>
      <c r="AX74" s="35"/>
      <c r="AY74" s="34" t="s">
        <v>148</v>
      </c>
      <c r="AZ74" s="35"/>
    </row>
    <row r="75" spans="1:52" x14ac:dyDescent="0.25">
      <c r="A75" s="10" t="s">
        <v>1816</v>
      </c>
      <c r="B75" s="10"/>
      <c r="C75" s="34" t="s">
        <v>148</v>
      </c>
      <c r="D75" s="35"/>
      <c r="E75" s="34" t="s">
        <v>148</v>
      </c>
      <c r="F75" s="35"/>
      <c r="G75" s="34" t="s">
        <v>148</v>
      </c>
      <c r="H75" s="35"/>
      <c r="I75" s="34" t="s">
        <v>148</v>
      </c>
      <c r="J75" s="35"/>
      <c r="K75" s="34" t="s">
        <v>148</v>
      </c>
      <c r="L75" s="35"/>
      <c r="M75" s="34" t="s">
        <v>148</v>
      </c>
      <c r="N75" s="35"/>
      <c r="O75" s="34" t="s">
        <v>148</v>
      </c>
      <c r="P75" s="35"/>
      <c r="Q75" s="34" t="s">
        <v>148</v>
      </c>
      <c r="R75" s="35"/>
      <c r="S75" s="34" t="s">
        <v>148</v>
      </c>
      <c r="T75" s="35"/>
      <c r="U75" s="34">
        <v>-30</v>
      </c>
      <c r="V75" s="35"/>
      <c r="W75" s="34">
        <v>23</v>
      </c>
      <c r="X75" s="35"/>
      <c r="Y75" s="34">
        <v>-8</v>
      </c>
      <c r="Z75" s="35"/>
      <c r="AA75" s="34" t="s">
        <v>148</v>
      </c>
      <c r="AB75" s="35"/>
      <c r="AC75" s="34">
        <v>-22</v>
      </c>
      <c r="AD75" s="35"/>
      <c r="AE75" s="34">
        <v>-18</v>
      </c>
      <c r="AF75" s="35"/>
      <c r="AG75" s="34">
        <v>22</v>
      </c>
      <c r="AH75" s="35"/>
      <c r="AI75" s="34" t="s">
        <v>148</v>
      </c>
      <c r="AJ75" s="35"/>
      <c r="AK75" s="34" t="s">
        <v>148</v>
      </c>
      <c r="AL75" s="35"/>
      <c r="AM75" s="34" t="s">
        <v>148</v>
      </c>
      <c r="AN75" s="35"/>
      <c r="AO75" s="34">
        <v>-10</v>
      </c>
      <c r="AP75" s="35"/>
      <c r="AQ75" s="34">
        <v>-10</v>
      </c>
      <c r="AR75" s="35"/>
      <c r="AS75" s="34" t="s">
        <v>148</v>
      </c>
      <c r="AT75" s="35"/>
      <c r="AU75" s="34" t="s">
        <v>148</v>
      </c>
      <c r="AV75" s="35"/>
      <c r="AW75" s="34" t="s">
        <v>148</v>
      </c>
      <c r="AX75" s="35"/>
      <c r="AY75" s="34" t="s">
        <v>148</v>
      </c>
      <c r="AZ75" s="35"/>
    </row>
    <row r="76" spans="1:52" x14ac:dyDescent="0.25">
      <c r="A76" s="10" t="s">
        <v>1817</v>
      </c>
      <c r="B76" s="10"/>
      <c r="C76" s="34" t="s">
        <v>148</v>
      </c>
      <c r="D76" s="35"/>
      <c r="E76" s="34" t="s">
        <v>148</v>
      </c>
      <c r="F76" s="35"/>
      <c r="G76" s="34" t="s">
        <v>148</v>
      </c>
      <c r="H76" s="35"/>
      <c r="I76" s="34" t="s">
        <v>148</v>
      </c>
      <c r="J76" s="35"/>
      <c r="K76" s="34" t="s">
        <v>148</v>
      </c>
      <c r="L76" s="35"/>
      <c r="M76" s="34">
        <v>15</v>
      </c>
      <c r="N76" s="35"/>
      <c r="O76" s="34">
        <v>-32</v>
      </c>
      <c r="P76" s="35"/>
      <c r="Q76" s="34">
        <v>-36</v>
      </c>
      <c r="R76" s="35"/>
      <c r="S76" s="34" t="s">
        <v>148</v>
      </c>
      <c r="T76" s="35"/>
      <c r="U76" s="34" t="s">
        <v>148</v>
      </c>
      <c r="V76" s="35"/>
      <c r="W76" s="34">
        <v>32</v>
      </c>
      <c r="X76" s="35"/>
      <c r="Y76" s="34">
        <v>1</v>
      </c>
      <c r="Z76" s="35"/>
      <c r="AA76" s="34" t="s">
        <v>148</v>
      </c>
      <c r="AB76" s="35"/>
      <c r="AC76" s="34" t="s">
        <v>148</v>
      </c>
      <c r="AD76" s="35"/>
      <c r="AE76" s="34" t="s">
        <v>148</v>
      </c>
      <c r="AF76" s="35"/>
      <c r="AG76" s="34" t="s">
        <v>148</v>
      </c>
      <c r="AH76" s="35"/>
      <c r="AI76" s="34" t="s">
        <v>148</v>
      </c>
      <c r="AJ76" s="35"/>
      <c r="AK76" s="34" t="s">
        <v>148</v>
      </c>
      <c r="AL76" s="35"/>
      <c r="AM76" s="34" t="s">
        <v>148</v>
      </c>
      <c r="AN76" s="35"/>
      <c r="AO76" s="34" t="s">
        <v>148</v>
      </c>
      <c r="AP76" s="35"/>
      <c r="AQ76" s="34" t="s">
        <v>148</v>
      </c>
      <c r="AR76" s="35"/>
      <c r="AS76" s="34" t="s">
        <v>148</v>
      </c>
      <c r="AT76" s="35"/>
      <c r="AU76" s="34" t="s">
        <v>148</v>
      </c>
      <c r="AV76" s="35"/>
      <c r="AW76" s="34" t="s">
        <v>148</v>
      </c>
      <c r="AX76" s="35"/>
      <c r="AY76" s="34" t="s">
        <v>148</v>
      </c>
      <c r="AZ76" s="35"/>
    </row>
    <row r="77" spans="1:52" x14ac:dyDescent="0.25">
      <c r="A77" s="10" t="s">
        <v>1818</v>
      </c>
      <c r="B77" s="10"/>
      <c r="C77" s="34" t="s">
        <v>148</v>
      </c>
      <c r="D77" s="35"/>
      <c r="E77" s="34" t="s">
        <v>148</v>
      </c>
      <c r="F77" s="35"/>
      <c r="G77" s="34" t="s">
        <v>148</v>
      </c>
      <c r="H77" s="35"/>
      <c r="I77" s="34" t="s">
        <v>148</v>
      </c>
      <c r="J77" s="35"/>
      <c r="K77" s="34" t="s">
        <v>148</v>
      </c>
      <c r="L77" s="35"/>
      <c r="M77" s="34">
        <v>-50</v>
      </c>
      <c r="N77" s="35"/>
      <c r="O77" s="34">
        <v>-65</v>
      </c>
      <c r="P77" s="35"/>
      <c r="Q77" s="34">
        <v>-32</v>
      </c>
      <c r="R77" s="35"/>
      <c r="S77" s="34" t="s">
        <v>148</v>
      </c>
      <c r="T77" s="35"/>
      <c r="U77" s="34" t="s">
        <v>148</v>
      </c>
      <c r="V77" s="35"/>
      <c r="W77" s="34">
        <v>-7</v>
      </c>
      <c r="X77" s="35"/>
      <c r="Y77" s="34">
        <v>-46</v>
      </c>
      <c r="Z77" s="35"/>
      <c r="AA77" s="34" t="s">
        <v>148</v>
      </c>
      <c r="AB77" s="35"/>
      <c r="AC77" s="34" t="s">
        <v>148</v>
      </c>
      <c r="AD77" s="35"/>
      <c r="AE77" s="34" t="s">
        <v>148</v>
      </c>
      <c r="AF77" s="35"/>
      <c r="AG77" s="34" t="s">
        <v>148</v>
      </c>
      <c r="AH77" s="35"/>
      <c r="AI77" s="34" t="s">
        <v>148</v>
      </c>
      <c r="AJ77" s="35"/>
      <c r="AK77" s="34" t="s">
        <v>148</v>
      </c>
      <c r="AL77" s="35"/>
      <c r="AM77" s="34" t="s">
        <v>148</v>
      </c>
      <c r="AN77" s="35"/>
      <c r="AO77" s="34" t="s">
        <v>148</v>
      </c>
      <c r="AP77" s="35"/>
      <c r="AQ77" s="34" t="s">
        <v>148</v>
      </c>
      <c r="AR77" s="35"/>
      <c r="AS77" s="34" t="s">
        <v>148</v>
      </c>
      <c r="AT77" s="35"/>
      <c r="AU77" s="34" t="s">
        <v>148</v>
      </c>
      <c r="AV77" s="35"/>
      <c r="AW77" s="34" t="s">
        <v>148</v>
      </c>
      <c r="AX77" s="35"/>
      <c r="AY77" s="34" t="s">
        <v>148</v>
      </c>
      <c r="AZ77" s="35"/>
    </row>
    <row r="78" spans="1:52" x14ac:dyDescent="0.25">
      <c r="A78" s="10" t="s">
        <v>1819</v>
      </c>
      <c r="B78" s="10"/>
      <c r="C78" s="34" t="s">
        <v>148</v>
      </c>
      <c r="D78" s="35"/>
      <c r="E78" s="34" t="s">
        <v>148</v>
      </c>
      <c r="F78" s="35"/>
      <c r="G78" s="34" t="s">
        <v>148</v>
      </c>
      <c r="H78" s="35"/>
      <c r="I78" s="34" t="s">
        <v>148</v>
      </c>
      <c r="J78" s="35"/>
      <c r="K78" s="34" t="s">
        <v>148</v>
      </c>
      <c r="L78" s="35"/>
      <c r="M78" s="34" t="s">
        <v>148</v>
      </c>
      <c r="N78" s="35"/>
      <c r="O78" s="34" t="s">
        <v>148</v>
      </c>
      <c r="P78" s="35"/>
      <c r="Q78" s="34" t="s">
        <v>148</v>
      </c>
      <c r="R78" s="35"/>
      <c r="S78" s="34" t="s">
        <v>148</v>
      </c>
      <c r="T78" s="35"/>
      <c r="U78" s="34">
        <v>38</v>
      </c>
      <c r="V78" s="35"/>
      <c r="W78" s="34">
        <v>-2</v>
      </c>
      <c r="X78" s="35"/>
      <c r="Y78" s="34">
        <v>4</v>
      </c>
      <c r="Z78" s="35"/>
      <c r="AA78" s="34" t="s">
        <v>148</v>
      </c>
      <c r="AB78" s="35"/>
      <c r="AC78" s="34" t="s">
        <v>148</v>
      </c>
      <c r="AD78" s="35"/>
      <c r="AE78" s="34" t="s">
        <v>148</v>
      </c>
      <c r="AF78" s="35"/>
      <c r="AG78" s="34" t="s">
        <v>148</v>
      </c>
      <c r="AH78" s="35"/>
      <c r="AI78" s="34" t="s">
        <v>148</v>
      </c>
      <c r="AJ78" s="35"/>
      <c r="AK78" s="34" t="s">
        <v>148</v>
      </c>
      <c r="AL78" s="35"/>
      <c r="AM78" s="34" t="s">
        <v>148</v>
      </c>
      <c r="AN78" s="35"/>
      <c r="AO78" s="34" t="s">
        <v>148</v>
      </c>
      <c r="AP78" s="35"/>
      <c r="AQ78" s="34" t="s">
        <v>148</v>
      </c>
      <c r="AR78" s="35"/>
      <c r="AS78" s="34" t="s">
        <v>148</v>
      </c>
      <c r="AT78" s="35"/>
      <c r="AU78" s="34" t="s">
        <v>148</v>
      </c>
      <c r="AV78" s="35"/>
      <c r="AW78" s="34" t="s">
        <v>148</v>
      </c>
      <c r="AX78" s="35"/>
      <c r="AY78" s="34" t="s">
        <v>148</v>
      </c>
      <c r="AZ78" s="35"/>
    </row>
    <row r="79" spans="1:52" x14ac:dyDescent="0.25">
      <c r="A79" s="10" t="s">
        <v>1820</v>
      </c>
      <c r="B79" s="10"/>
      <c r="C79" s="34" t="s">
        <v>148</v>
      </c>
      <c r="D79" s="35"/>
      <c r="E79" s="34" t="s">
        <v>148</v>
      </c>
      <c r="F79" s="35"/>
      <c r="G79" s="34" t="s">
        <v>148</v>
      </c>
      <c r="H79" s="35"/>
      <c r="I79" s="34" t="s">
        <v>148</v>
      </c>
      <c r="J79" s="35"/>
      <c r="K79" s="34" t="s">
        <v>148</v>
      </c>
      <c r="L79" s="35"/>
      <c r="M79" s="34" t="s">
        <v>148</v>
      </c>
      <c r="N79" s="35"/>
      <c r="O79" s="34" t="s">
        <v>148</v>
      </c>
      <c r="P79" s="35"/>
      <c r="Q79" s="34" t="s">
        <v>148</v>
      </c>
      <c r="R79" s="35"/>
      <c r="S79" s="34" t="s">
        <v>148</v>
      </c>
      <c r="T79" s="35"/>
      <c r="U79" s="34">
        <v>-50</v>
      </c>
      <c r="V79" s="35"/>
      <c r="W79" s="34" t="s">
        <v>148</v>
      </c>
      <c r="X79" s="35"/>
      <c r="Y79" s="34" t="s">
        <v>148</v>
      </c>
      <c r="Z79" s="35"/>
      <c r="AA79" s="34" t="s">
        <v>148</v>
      </c>
      <c r="AB79" s="35"/>
      <c r="AC79" s="34" t="s">
        <v>148</v>
      </c>
      <c r="AD79" s="35"/>
      <c r="AE79" s="34" t="s">
        <v>148</v>
      </c>
      <c r="AF79" s="35"/>
      <c r="AG79" s="34" t="s">
        <v>148</v>
      </c>
      <c r="AH79" s="35"/>
      <c r="AI79" s="34" t="s">
        <v>148</v>
      </c>
      <c r="AJ79" s="35"/>
      <c r="AK79" s="34" t="s">
        <v>148</v>
      </c>
      <c r="AL79" s="35"/>
      <c r="AM79" s="34" t="s">
        <v>148</v>
      </c>
      <c r="AN79" s="35"/>
      <c r="AO79" s="34" t="s">
        <v>148</v>
      </c>
      <c r="AP79" s="35"/>
      <c r="AQ79" s="34" t="s">
        <v>148</v>
      </c>
      <c r="AR79" s="35"/>
      <c r="AS79" s="34" t="s">
        <v>148</v>
      </c>
      <c r="AT79" s="35"/>
      <c r="AU79" s="34" t="s">
        <v>148</v>
      </c>
      <c r="AV79" s="35"/>
      <c r="AW79" s="34" t="s">
        <v>148</v>
      </c>
      <c r="AX79" s="35"/>
      <c r="AY79" s="34" t="s">
        <v>148</v>
      </c>
      <c r="AZ79" s="35"/>
    </row>
    <row r="80" spans="1:52" x14ac:dyDescent="0.25">
      <c r="A80" s="10" t="s">
        <v>1821</v>
      </c>
      <c r="B80" s="10"/>
      <c r="C80" s="34" t="s">
        <v>148</v>
      </c>
      <c r="D80" s="35"/>
      <c r="E80" s="34" t="s">
        <v>148</v>
      </c>
      <c r="F80" s="35"/>
      <c r="G80" s="34" t="s">
        <v>148</v>
      </c>
      <c r="H80" s="35"/>
      <c r="I80" s="34" t="s">
        <v>148</v>
      </c>
      <c r="J80" s="35"/>
      <c r="K80" s="34" t="s">
        <v>148</v>
      </c>
      <c r="L80" s="35"/>
      <c r="M80" s="34" t="s">
        <v>148</v>
      </c>
      <c r="N80" s="35"/>
      <c r="O80" s="34" t="s">
        <v>148</v>
      </c>
      <c r="P80" s="35"/>
      <c r="Q80" s="34" t="s">
        <v>148</v>
      </c>
      <c r="R80" s="35"/>
      <c r="S80" s="34" t="s">
        <v>148</v>
      </c>
      <c r="T80" s="35"/>
      <c r="U80" s="34" t="s">
        <v>148</v>
      </c>
      <c r="V80" s="35"/>
      <c r="W80" s="34">
        <v>-2</v>
      </c>
      <c r="X80" s="35"/>
      <c r="Y80" s="34">
        <v>-8</v>
      </c>
      <c r="Z80" s="35"/>
      <c r="AA80" s="34" t="s">
        <v>148</v>
      </c>
      <c r="AB80" s="35"/>
      <c r="AC80" s="34" t="s">
        <v>148</v>
      </c>
      <c r="AD80" s="35"/>
      <c r="AE80" s="34">
        <v>7</v>
      </c>
      <c r="AF80" s="35"/>
      <c r="AG80" s="34">
        <v>7</v>
      </c>
      <c r="AH80" s="35"/>
      <c r="AI80" s="34" t="s">
        <v>148</v>
      </c>
      <c r="AJ80" s="35"/>
      <c r="AK80" s="34" t="s">
        <v>148</v>
      </c>
      <c r="AL80" s="35"/>
      <c r="AM80" s="34" t="s">
        <v>148</v>
      </c>
      <c r="AN80" s="35"/>
      <c r="AO80" s="34" t="s">
        <v>148</v>
      </c>
      <c r="AP80" s="35"/>
      <c r="AQ80" s="34" t="s">
        <v>148</v>
      </c>
      <c r="AR80" s="35"/>
      <c r="AS80" s="34" t="s">
        <v>148</v>
      </c>
      <c r="AT80" s="35"/>
      <c r="AU80" s="34" t="s">
        <v>148</v>
      </c>
      <c r="AV80" s="35"/>
      <c r="AW80" s="34" t="s">
        <v>148</v>
      </c>
      <c r="AX80" s="35"/>
      <c r="AY80" s="34" t="s">
        <v>148</v>
      </c>
      <c r="AZ80" s="35"/>
    </row>
    <row r="81" spans="1:52" x14ac:dyDescent="0.25">
      <c r="A81" s="10" t="s">
        <v>1801</v>
      </c>
      <c r="B81" s="10"/>
      <c r="C81" s="34" t="s">
        <v>148</v>
      </c>
      <c r="D81" s="35"/>
      <c r="E81" s="34">
        <v>-41</v>
      </c>
      <c r="F81" s="35"/>
      <c r="G81" s="34">
        <v>-31</v>
      </c>
      <c r="H81" s="35"/>
      <c r="I81" s="34">
        <v>-39</v>
      </c>
      <c r="J81" s="35"/>
      <c r="K81" s="34" t="s">
        <v>148</v>
      </c>
      <c r="L81" s="35"/>
      <c r="M81" s="34" t="s">
        <v>148</v>
      </c>
      <c r="N81" s="35"/>
      <c r="O81" s="34" t="s">
        <v>148</v>
      </c>
      <c r="P81" s="35"/>
      <c r="Q81" s="34" t="s">
        <v>148</v>
      </c>
      <c r="R81" s="35"/>
      <c r="S81" s="34" t="s">
        <v>148</v>
      </c>
      <c r="T81" s="35"/>
      <c r="U81" s="34" t="s">
        <v>148</v>
      </c>
      <c r="V81" s="35"/>
      <c r="W81" s="34" t="s">
        <v>148</v>
      </c>
      <c r="X81" s="35"/>
      <c r="Y81" s="34" t="s">
        <v>148</v>
      </c>
      <c r="Z81" s="35"/>
      <c r="AA81" s="34" t="s">
        <v>148</v>
      </c>
      <c r="AB81" s="35"/>
      <c r="AC81" s="34" t="s">
        <v>148</v>
      </c>
      <c r="AD81" s="35"/>
      <c r="AE81" s="34" t="s">
        <v>148</v>
      </c>
      <c r="AF81" s="35"/>
      <c r="AG81" s="34" t="s">
        <v>148</v>
      </c>
      <c r="AH81" s="35"/>
      <c r="AI81" s="34" t="s">
        <v>148</v>
      </c>
      <c r="AJ81" s="35"/>
      <c r="AK81" s="34" t="s">
        <v>148</v>
      </c>
      <c r="AL81" s="35"/>
      <c r="AM81" s="34" t="s">
        <v>148</v>
      </c>
      <c r="AN81" s="35"/>
      <c r="AO81" s="34" t="s">
        <v>148</v>
      </c>
      <c r="AP81" s="35"/>
      <c r="AQ81" s="34" t="s">
        <v>148</v>
      </c>
      <c r="AR81" s="35"/>
      <c r="AS81" s="34" t="s">
        <v>148</v>
      </c>
      <c r="AT81" s="35"/>
      <c r="AU81" s="34" t="s">
        <v>148</v>
      </c>
      <c r="AV81" s="35"/>
      <c r="AW81" s="34" t="s">
        <v>148</v>
      </c>
      <c r="AX81" s="35"/>
      <c r="AY81" s="34" t="s">
        <v>148</v>
      </c>
      <c r="AZ81" s="35"/>
    </row>
    <row r="82" spans="1:52" x14ac:dyDescent="0.25">
      <c r="A82" s="10" t="s">
        <v>1802</v>
      </c>
      <c r="B82" s="10"/>
      <c r="C82" s="34" t="s">
        <v>148</v>
      </c>
      <c r="D82" s="35"/>
      <c r="E82" s="34">
        <v>-18</v>
      </c>
      <c r="F82" s="35"/>
      <c r="G82" s="34">
        <v>-33</v>
      </c>
      <c r="H82" s="35"/>
      <c r="I82" s="34">
        <v>30</v>
      </c>
      <c r="J82" s="35"/>
      <c r="K82" s="34" t="s">
        <v>148</v>
      </c>
      <c r="L82" s="35"/>
      <c r="M82" s="34">
        <v>-26</v>
      </c>
      <c r="N82" s="35"/>
      <c r="O82" s="34">
        <v>-31</v>
      </c>
      <c r="P82" s="35"/>
      <c r="Q82" s="34">
        <v>-35</v>
      </c>
      <c r="R82" s="35"/>
      <c r="S82" s="34" t="s">
        <v>148</v>
      </c>
      <c r="T82" s="35"/>
      <c r="U82" s="34" t="s">
        <v>148</v>
      </c>
      <c r="V82" s="35"/>
      <c r="W82" s="34">
        <v>22</v>
      </c>
      <c r="X82" s="35"/>
      <c r="Y82" s="34">
        <v>-41</v>
      </c>
      <c r="Z82" s="35"/>
      <c r="AA82" s="34" t="s">
        <v>148</v>
      </c>
      <c r="AB82" s="35"/>
      <c r="AC82" s="34" t="s">
        <v>148</v>
      </c>
      <c r="AD82" s="35"/>
      <c r="AE82" s="34" t="s">
        <v>148</v>
      </c>
      <c r="AF82" s="35"/>
      <c r="AG82" s="34" t="s">
        <v>148</v>
      </c>
      <c r="AH82" s="35"/>
      <c r="AI82" s="34" t="s">
        <v>148</v>
      </c>
      <c r="AJ82" s="35"/>
      <c r="AK82" s="34" t="s">
        <v>148</v>
      </c>
      <c r="AL82" s="35"/>
      <c r="AM82" s="34" t="s">
        <v>148</v>
      </c>
      <c r="AN82" s="35"/>
      <c r="AO82" s="34" t="s">
        <v>148</v>
      </c>
      <c r="AP82" s="35"/>
      <c r="AQ82" s="34" t="s">
        <v>148</v>
      </c>
      <c r="AR82" s="35"/>
      <c r="AS82" s="34" t="s">
        <v>148</v>
      </c>
      <c r="AT82" s="35"/>
      <c r="AU82" s="34" t="s">
        <v>148</v>
      </c>
      <c r="AV82" s="35"/>
      <c r="AW82" s="34" t="s">
        <v>148</v>
      </c>
      <c r="AX82" s="35"/>
      <c r="AY82" s="34" t="s">
        <v>148</v>
      </c>
      <c r="AZ82" s="35"/>
    </row>
    <row r="83" spans="1:52" x14ac:dyDescent="0.25">
      <c r="A83" s="10" t="s">
        <v>1803</v>
      </c>
      <c r="B83" s="10"/>
      <c r="C83" s="34" t="s">
        <v>148</v>
      </c>
      <c r="D83" s="35"/>
      <c r="E83" s="34">
        <v>-21</v>
      </c>
      <c r="F83" s="35"/>
      <c r="G83" s="34">
        <v>-91</v>
      </c>
      <c r="H83" s="35"/>
      <c r="I83" s="34">
        <v>-83</v>
      </c>
      <c r="J83" s="35"/>
      <c r="K83" s="34" t="s">
        <v>148</v>
      </c>
      <c r="L83" s="35"/>
      <c r="M83" s="34">
        <v>-95</v>
      </c>
      <c r="N83" s="35"/>
      <c r="O83" s="34">
        <v>-95</v>
      </c>
      <c r="P83" s="35"/>
      <c r="Q83" s="34" t="s">
        <v>148</v>
      </c>
      <c r="R83" s="35"/>
      <c r="S83" s="34" t="s">
        <v>148</v>
      </c>
      <c r="T83" s="35"/>
      <c r="U83" s="34" t="s">
        <v>148</v>
      </c>
      <c r="V83" s="35"/>
      <c r="W83" s="34">
        <v>100</v>
      </c>
      <c r="X83" s="35"/>
      <c r="Y83" s="34" t="s">
        <v>148</v>
      </c>
      <c r="Z83" s="35"/>
      <c r="AA83" s="34" t="s">
        <v>148</v>
      </c>
      <c r="AB83" s="35"/>
      <c r="AC83" s="34" t="s">
        <v>148</v>
      </c>
      <c r="AD83" s="35"/>
      <c r="AE83" s="34" t="s">
        <v>148</v>
      </c>
      <c r="AF83" s="35"/>
      <c r="AG83" s="34" t="s">
        <v>148</v>
      </c>
      <c r="AH83" s="35"/>
      <c r="AI83" s="34" t="s">
        <v>148</v>
      </c>
      <c r="AJ83" s="35"/>
      <c r="AK83" s="34" t="s">
        <v>148</v>
      </c>
      <c r="AL83" s="35"/>
      <c r="AM83" s="34" t="s">
        <v>148</v>
      </c>
      <c r="AN83" s="35"/>
      <c r="AO83" s="34" t="s">
        <v>148</v>
      </c>
      <c r="AP83" s="35"/>
      <c r="AQ83" s="34" t="s">
        <v>148</v>
      </c>
      <c r="AR83" s="35"/>
      <c r="AS83" s="34" t="s">
        <v>148</v>
      </c>
      <c r="AT83" s="35"/>
      <c r="AU83" s="34" t="s">
        <v>148</v>
      </c>
      <c r="AV83" s="35"/>
      <c r="AW83" s="34" t="s">
        <v>148</v>
      </c>
      <c r="AX83" s="35"/>
      <c r="AY83" s="34" t="s">
        <v>148</v>
      </c>
      <c r="AZ83" s="35"/>
    </row>
    <row r="84" spans="1:52" x14ac:dyDescent="0.25">
      <c r="A84" s="10" t="s">
        <v>1822</v>
      </c>
      <c r="B84" s="10"/>
      <c r="C84" s="34" t="s">
        <v>148</v>
      </c>
      <c r="D84" s="35"/>
      <c r="E84" s="34">
        <v>-42</v>
      </c>
      <c r="F84" s="35"/>
      <c r="G84" s="34">
        <v>22</v>
      </c>
      <c r="H84" s="35"/>
      <c r="I84" s="34">
        <v>-61</v>
      </c>
      <c r="J84" s="35"/>
      <c r="K84" s="34" t="s">
        <v>148</v>
      </c>
      <c r="L84" s="35"/>
      <c r="M84" s="34">
        <v>2</v>
      </c>
      <c r="N84" s="35"/>
      <c r="O84" s="34">
        <v>-57</v>
      </c>
      <c r="P84" s="35"/>
      <c r="Q84" s="34" t="s">
        <v>148</v>
      </c>
      <c r="R84" s="35"/>
      <c r="S84" s="34" t="s">
        <v>148</v>
      </c>
      <c r="T84" s="35"/>
      <c r="U84" s="34" t="s">
        <v>148</v>
      </c>
      <c r="V84" s="35"/>
      <c r="W84" s="34">
        <v>20</v>
      </c>
      <c r="X84" s="35"/>
      <c r="Y84" s="34">
        <v>-2</v>
      </c>
      <c r="Z84" s="35"/>
      <c r="AA84" s="34" t="s">
        <v>148</v>
      </c>
      <c r="AB84" s="35"/>
      <c r="AC84" s="34" t="s">
        <v>148</v>
      </c>
      <c r="AD84" s="35"/>
      <c r="AE84" s="34">
        <v>-12</v>
      </c>
      <c r="AF84" s="35"/>
      <c r="AG84" s="34">
        <v>-18</v>
      </c>
      <c r="AH84" s="35"/>
      <c r="AI84" s="34" t="s">
        <v>148</v>
      </c>
      <c r="AJ84" s="35"/>
      <c r="AK84" s="34" t="s">
        <v>148</v>
      </c>
      <c r="AL84" s="35"/>
      <c r="AM84" s="34" t="s">
        <v>148</v>
      </c>
      <c r="AN84" s="35"/>
      <c r="AO84" s="34" t="s">
        <v>148</v>
      </c>
      <c r="AP84" s="35"/>
      <c r="AQ84" s="34" t="s">
        <v>148</v>
      </c>
      <c r="AR84" s="35"/>
      <c r="AS84" s="34" t="s">
        <v>148</v>
      </c>
      <c r="AT84" s="35"/>
      <c r="AU84" s="34" t="s">
        <v>148</v>
      </c>
      <c r="AV84" s="35"/>
      <c r="AW84" s="34" t="s">
        <v>148</v>
      </c>
      <c r="AX84" s="35"/>
      <c r="AY84" s="34" t="s">
        <v>148</v>
      </c>
      <c r="AZ84" s="35"/>
    </row>
    <row r="85" spans="1:52" x14ac:dyDescent="0.25">
      <c r="A85" s="10" t="s">
        <v>1823</v>
      </c>
      <c r="B85" s="10"/>
      <c r="C85" s="34" t="s">
        <v>148</v>
      </c>
      <c r="D85" s="35"/>
      <c r="E85" s="34">
        <v>-3</v>
      </c>
      <c r="F85" s="35"/>
      <c r="G85" s="34">
        <v>-16</v>
      </c>
      <c r="H85" s="35"/>
      <c r="I85" s="34">
        <v>-50</v>
      </c>
      <c r="J85" s="35"/>
      <c r="K85" s="34" t="s">
        <v>148</v>
      </c>
      <c r="L85" s="35"/>
      <c r="M85" s="34">
        <v>-58</v>
      </c>
      <c r="N85" s="35"/>
      <c r="O85" s="34">
        <v>-61</v>
      </c>
      <c r="P85" s="35"/>
      <c r="Q85" s="34">
        <v>-36</v>
      </c>
      <c r="R85" s="35"/>
      <c r="S85" s="34" t="s">
        <v>148</v>
      </c>
      <c r="T85" s="35"/>
      <c r="U85" s="34">
        <v>-35</v>
      </c>
      <c r="V85" s="35"/>
      <c r="W85" s="34">
        <v>-29</v>
      </c>
      <c r="X85" s="35"/>
      <c r="Y85" s="34">
        <v>-41</v>
      </c>
      <c r="Z85" s="35"/>
      <c r="AA85" s="34" t="s">
        <v>148</v>
      </c>
      <c r="AB85" s="35"/>
      <c r="AC85" s="34" t="s">
        <v>148</v>
      </c>
      <c r="AD85" s="35"/>
      <c r="AE85" s="34" t="s">
        <v>148</v>
      </c>
      <c r="AF85" s="35"/>
      <c r="AG85" s="34" t="s">
        <v>148</v>
      </c>
      <c r="AH85" s="35"/>
      <c r="AI85" s="34" t="s">
        <v>148</v>
      </c>
      <c r="AJ85" s="35"/>
      <c r="AK85" s="34" t="s">
        <v>148</v>
      </c>
      <c r="AL85" s="35"/>
      <c r="AM85" s="34" t="s">
        <v>148</v>
      </c>
      <c r="AN85" s="35"/>
      <c r="AO85" s="34" t="s">
        <v>148</v>
      </c>
      <c r="AP85" s="35"/>
      <c r="AQ85" s="34" t="s">
        <v>148</v>
      </c>
      <c r="AR85" s="35"/>
      <c r="AS85" s="34" t="s">
        <v>148</v>
      </c>
      <c r="AT85" s="35"/>
      <c r="AU85" s="34" t="s">
        <v>148</v>
      </c>
      <c r="AV85" s="35"/>
      <c r="AW85" s="34" t="s">
        <v>148</v>
      </c>
      <c r="AX85" s="35"/>
      <c r="AY85" s="34" t="s">
        <v>148</v>
      </c>
      <c r="AZ85" s="35"/>
    </row>
    <row r="86" spans="1:52" x14ac:dyDescent="0.25">
      <c r="A86" s="10" t="s">
        <v>1824</v>
      </c>
      <c r="B86" s="10"/>
      <c r="C86" s="34" t="s">
        <v>148</v>
      </c>
      <c r="D86" s="35"/>
      <c r="E86" s="34">
        <v>-6</v>
      </c>
      <c r="F86" s="35"/>
      <c r="G86" s="34">
        <v>-16</v>
      </c>
      <c r="H86" s="35"/>
      <c r="I86" s="34">
        <v>-17</v>
      </c>
      <c r="J86" s="35"/>
      <c r="K86" s="34" t="s">
        <v>148</v>
      </c>
      <c r="L86" s="35"/>
      <c r="M86" s="34">
        <v>-19</v>
      </c>
      <c r="N86" s="35"/>
      <c r="O86" s="34">
        <v>-17</v>
      </c>
      <c r="P86" s="35"/>
      <c r="Q86" s="34">
        <v>-13</v>
      </c>
      <c r="R86" s="35"/>
      <c r="S86" s="34" t="s">
        <v>148</v>
      </c>
      <c r="T86" s="35"/>
      <c r="U86" s="34" t="s">
        <v>148</v>
      </c>
      <c r="V86" s="35"/>
      <c r="W86" s="34">
        <v>-13</v>
      </c>
      <c r="X86" s="35"/>
      <c r="Y86" s="34">
        <v>-12</v>
      </c>
      <c r="Z86" s="35"/>
      <c r="AA86" s="34" t="s">
        <v>148</v>
      </c>
      <c r="AB86" s="35"/>
      <c r="AC86" s="34" t="s">
        <v>148</v>
      </c>
      <c r="AD86" s="35"/>
      <c r="AE86" s="34" t="s">
        <v>148</v>
      </c>
      <c r="AF86" s="35"/>
      <c r="AG86" s="34" t="s">
        <v>148</v>
      </c>
      <c r="AH86" s="35"/>
      <c r="AI86" s="34" t="s">
        <v>148</v>
      </c>
      <c r="AJ86" s="35"/>
      <c r="AK86" s="34" t="s">
        <v>148</v>
      </c>
      <c r="AL86" s="35"/>
      <c r="AM86" s="34" t="s">
        <v>148</v>
      </c>
      <c r="AN86" s="35"/>
      <c r="AO86" s="34" t="s">
        <v>148</v>
      </c>
      <c r="AP86" s="35"/>
      <c r="AQ86" s="34" t="s">
        <v>148</v>
      </c>
      <c r="AR86" s="35"/>
      <c r="AS86" s="34" t="s">
        <v>148</v>
      </c>
      <c r="AT86" s="35"/>
      <c r="AU86" s="34" t="s">
        <v>148</v>
      </c>
      <c r="AV86" s="35"/>
      <c r="AW86" s="34" t="s">
        <v>148</v>
      </c>
      <c r="AX86" s="35"/>
      <c r="AY86" s="34" t="s">
        <v>148</v>
      </c>
      <c r="AZ86" s="35"/>
    </row>
    <row r="87" spans="1:52" x14ac:dyDescent="0.25">
      <c r="A87" s="10" t="s">
        <v>1825</v>
      </c>
      <c r="B87" s="10"/>
      <c r="C87" s="34" t="s">
        <v>148</v>
      </c>
      <c r="D87" s="35"/>
      <c r="E87" s="34">
        <v>-39</v>
      </c>
      <c r="F87" s="35"/>
      <c r="G87" s="34">
        <v>-38</v>
      </c>
      <c r="H87" s="35"/>
      <c r="I87" s="34">
        <v>-33</v>
      </c>
      <c r="J87" s="35"/>
      <c r="K87" s="34" t="s">
        <v>148</v>
      </c>
      <c r="L87" s="35"/>
      <c r="M87" s="34">
        <v>-34</v>
      </c>
      <c r="N87" s="35"/>
      <c r="O87" s="34">
        <v>-41</v>
      </c>
      <c r="P87" s="35"/>
      <c r="Q87" s="34">
        <v>-25</v>
      </c>
      <c r="R87" s="35"/>
      <c r="S87" s="34" t="s">
        <v>148</v>
      </c>
      <c r="T87" s="35"/>
      <c r="U87" s="34">
        <v>-17</v>
      </c>
      <c r="V87" s="35"/>
      <c r="W87" s="34">
        <v>-14</v>
      </c>
      <c r="X87" s="35"/>
      <c r="Y87" s="34">
        <v>-9</v>
      </c>
      <c r="Z87" s="35"/>
      <c r="AA87" s="34" t="s">
        <v>148</v>
      </c>
      <c r="AB87" s="35"/>
      <c r="AC87" s="34" t="s">
        <v>148</v>
      </c>
      <c r="AD87" s="35"/>
      <c r="AE87" s="34" t="s">
        <v>148</v>
      </c>
      <c r="AF87" s="35"/>
      <c r="AG87" s="34" t="s">
        <v>148</v>
      </c>
      <c r="AH87" s="35"/>
      <c r="AI87" s="34" t="s">
        <v>148</v>
      </c>
      <c r="AJ87" s="35"/>
      <c r="AK87" s="34" t="s">
        <v>148</v>
      </c>
      <c r="AL87" s="35"/>
      <c r="AM87" s="34" t="s">
        <v>148</v>
      </c>
      <c r="AN87" s="35"/>
      <c r="AO87" s="34" t="s">
        <v>148</v>
      </c>
      <c r="AP87" s="35"/>
      <c r="AQ87" s="34" t="s">
        <v>148</v>
      </c>
      <c r="AR87" s="35"/>
      <c r="AS87" s="34" t="s">
        <v>148</v>
      </c>
      <c r="AT87" s="35"/>
      <c r="AU87" s="34" t="s">
        <v>148</v>
      </c>
      <c r="AV87" s="35"/>
      <c r="AW87" s="34" t="s">
        <v>148</v>
      </c>
      <c r="AX87" s="35"/>
      <c r="AY87" s="34" t="s">
        <v>148</v>
      </c>
      <c r="AZ87" s="35"/>
    </row>
    <row r="88" spans="1:52" x14ac:dyDescent="0.25">
      <c r="A88" s="10" t="s">
        <v>1826</v>
      </c>
      <c r="B88" s="10"/>
      <c r="C88" s="34" t="s">
        <v>148</v>
      </c>
      <c r="D88" s="35"/>
      <c r="E88" s="34">
        <v>-45</v>
      </c>
      <c r="F88" s="35"/>
      <c r="G88" s="34">
        <v>-42</v>
      </c>
      <c r="H88" s="35"/>
      <c r="I88" s="34">
        <v>-36</v>
      </c>
      <c r="J88" s="35"/>
      <c r="K88" s="34" t="s">
        <v>148</v>
      </c>
      <c r="L88" s="35"/>
      <c r="M88" s="34">
        <v>-45</v>
      </c>
      <c r="N88" s="35"/>
      <c r="O88" s="34">
        <v>-45</v>
      </c>
      <c r="P88" s="35"/>
      <c r="Q88" s="34">
        <v>-55</v>
      </c>
      <c r="R88" s="35"/>
      <c r="S88" s="34" t="s">
        <v>148</v>
      </c>
      <c r="T88" s="35"/>
      <c r="U88" s="34">
        <v>-13</v>
      </c>
      <c r="V88" s="35"/>
      <c r="W88" s="34">
        <v>-14</v>
      </c>
      <c r="X88" s="35"/>
      <c r="Y88" s="34">
        <v>0</v>
      </c>
      <c r="Z88" s="35"/>
      <c r="AA88" s="34" t="s">
        <v>148</v>
      </c>
      <c r="AB88" s="35"/>
      <c r="AC88" s="34" t="s">
        <v>148</v>
      </c>
      <c r="AD88" s="35"/>
      <c r="AE88" s="34" t="s">
        <v>148</v>
      </c>
      <c r="AF88" s="35"/>
      <c r="AG88" s="34" t="s">
        <v>148</v>
      </c>
      <c r="AH88" s="35"/>
      <c r="AI88" s="34" t="s">
        <v>148</v>
      </c>
      <c r="AJ88" s="35"/>
      <c r="AK88" s="34" t="s">
        <v>148</v>
      </c>
      <c r="AL88" s="35"/>
      <c r="AM88" s="34" t="s">
        <v>148</v>
      </c>
      <c r="AN88" s="35"/>
      <c r="AO88" s="34" t="s">
        <v>148</v>
      </c>
      <c r="AP88" s="35"/>
      <c r="AQ88" s="34" t="s">
        <v>148</v>
      </c>
      <c r="AR88" s="35"/>
      <c r="AS88" s="34" t="s">
        <v>148</v>
      </c>
      <c r="AT88" s="35"/>
      <c r="AU88" s="34" t="s">
        <v>148</v>
      </c>
      <c r="AV88" s="35"/>
      <c r="AW88" s="34" t="s">
        <v>148</v>
      </c>
      <c r="AX88" s="35"/>
      <c r="AY88" s="34" t="s">
        <v>148</v>
      </c>
      <c r="AZ88" s="35"/>
    </row>
    <row r="89" spans="1:52" x14ac:dyDescent="0.25">
      <c r="A89" s="10" t="s">
        <v>1827</v>
      </c>
      <c r="B89" s="10"/>
      <c r="C89" s="34" t="s">
        <v>148</v>
      </c>
      <c r="D89" s="35"/>
      <c r="E89" s="34">
        <v>-8</v>
      </c>
      <c r="F89" s="35"/>
      <c r="G89" s="34">
        <v>-1</v>
      </c>
      <c r="H89" s="35"/>
      <c r="I89" s="34">
        <v>8</v>
      </c>
      <c r="J89" s="35"/>
      <c r="K89" s="34" t="s">
        <v>148</v>
      </c>
      <c r="L89" s="35"/>
      <c r="M89" s="34">
        <v>15</v>
      </c>
      <c r="N89" s="35"/>
      <c r="O89" s="34">
        <v>-32</v>
      </c>
      <c r="P89" s="35"/>
      <c r="Q89" s="34">
        <v>-36</v>
      </c>
      <c r="R89" s="35"/>
      <c r="S89" s="34" t="s">
        <v>148</v>
      </c>
      <c r="T89" s="35"/>
      <c r="U89" s="34" t="s">
        <v>148</v>
      </c>
      <c r="V89" s="35"/>
      <c r="W89" s="34">
        <v>32</v>
      </c>
      <c r="X89" s="35"/>
      <c r="Y89" s="34">
        <v>1</v>
      </c>
      <c r="Z89" s="35"/>
      <c r="AA89" s="34" t="s">
        <v>148</v>
      </c>
      <c r="AB89" s="35"/>
      <c r="AC89" s="34" t="s">
        <v>148</v>
      </c>
      <c r="AD89" s="35"/>
      <c r="AE89" s="34" t="s">
        <v>148</v>
      </c>
      <c r="AF89" s="35"/>
      <c r="AG89" s="34" t="s">
        <v>148</v>
      </c>
      <c r="AH89" s="35"/>
      <c r="AI89" s="34" t="s">
        <v>148</v>
      </c>
      <c r="AJ89" s="35"/>
      <c r="AK89" s="34" t="s">
        <v>148</v>
      </c>
      <c r="AL89" s="35"/>
      <c r="AM89" s="34" t="s">
        <v>148</v>
      </c>
      <c r="AN89" s="35"/>
      <c r="AO89" s="34" t="s">
        <v>148</v>
      </c>
      <c r="AP89" s="35"/>
      <c r="AQ89" s="34" t="s">
        <v>148</v>
      </c>
      <c r="AR89" s="35"/>
      <c r="AS89" s="34" t="s">
        <v>148</v>
      </c>
      <c r="AT89" s="35"/>
      <c r="AU89" s="34" t="s">
        <v>148</v>
      </c>
      <c r="AV89" s="35"/>
      <c r="AW89" s="34" t="s">
        <v>148</v>
      </c>
      <c r="AX89" s="35"/>
      <c r="AY89" s="34" t="s">
        <v>148</v>
      </c>
      <c r="AZ89" s="35"/>
    </row>
    <row r="90" spans="1:52" x14ac:dyDescent="0.25">
      <c r="A90" s="10" t="s">
        <v>1828</v>
      </c>
      <c r="B90" s="10"/>
      <c r="C90" s="34" t="s">
        <v>148</v>
      </c>
      <c r="D90" s="35"/>
      <c r="E90" s="34">
        <v>-35</v>
      </c>
      <c r="F90" s="35"/>
      <c r="G90" s="34">
        <v>-42</v>
      </c>
      <c r="H90" s="35"/>
      <c r="I90" s="34">
        <v>-60</v>
      </c>
      <c r="J90" s="35"/>
      <c r="K90" s="34" t="s">
        <v>148</v>
      </c>
      <c r="L90" s="35"/>
      <c r="M90" s="34">
        <v>-50</v>
      </c>
      <c r="N90" s="35"/>
      <c r="O90" s="34">
        <v>-65</v>
      </c>
      <c r="P90" s="35"/>
      <c r="Q90" s="34">
        <v>-32</v>
      </c>
      <c r="R90" s="35"/>
      <c r="S90" s="34" t="s">
        <v>148</v>
      </c>
      <c r="T90" s="35"/>
      <c r="U90" s="34" t="s">
        <v>148</v>
      </c>
      <c r="V90" s="35"/>
      <c r="W90" s="34">
        <v>-7</v>
      </c>
      <c r="X90" s="35"/>
      <c r="Y90" s="34">
        <v>-46</v>
      </c>
      <c r="Z90" s="35"/>
      <c r="AA90" s="34" t="s">
        <v>148</v>
      </c>
      <c r="AB90" s="35"/>
      <c r="AC90" s="34" t="s">
        <v>148</v>
      </c>
      <c r="AD90" s="35"/>
      <c r="AE90" s="34" t="s">
        <v>148</v>
      </c>
      <c r="AF90" s="35"/>
      <c r="AG90" s="34" t="s">
        <v>148</v>
      </c>
      <c r="AH90" s="35"/>
      <c r="AI90" s="34" t="s">
        <v>148</v>
      </c>
      <c r="AJ90" s="35"/>
      <c r="AK90" s="34" t="s">
        <v>148</v>
      </c>
      <c r="AL90" s="35"/>
      <c r="AM90" s="34" t="s">
        <v>148</v>
      </c>
      <c r="AN90" s="35"/>
      <c r="AO90" s="34" t="s">
        <v>148</v>
      </c>
      <c r="AP90" s="35"/>
      <c r="AQ90" s="34" t="s">
        <v>148</v>
      </c>
      <c r="AR90" s="35"/>
      <c r="AS90" s="34" t="s">
        <v>148</v>
      </c>
      <c r="AT90" s="35"/>
      <c r="AU90" s="34" t="s">
        <v>148</v>
      </c>
      <c r="AV90" s="35"/>
      <c r="AW90" s="34" t="s">
        <v>148</v>
      </c>
      <c r="AX90" s="35"/>
      <c r="AY90" s="34" t="s">
        <v>148</v>
      </c>
      <c r="AZ90" s="35"/>
    </row>
    <row r="91" spans="1:52" x14ac:dyDescent="0.25">
      <c r="A91" s="10" t="s">
        <v>1805</v>
      </c>
      <c r="B91" s="10"/>
      <c r="C91" s="34" t="s">
        <v>148</v>
      </c>
      <c r="D91" s="35"/>
      <c r="E91" s="34">
        <v>-46</v>
      </c>
      <c r="F91" s="35"/>
      <c r="G91" s="34">
        <v>-56</v>
      </c>
      <c r="H91" s="35"/>
      <c r="I91" s="34">
        <v>-42</v>
      </c>
      <c r="J91" s="35"/>
      <c r="K91" s="34" t="s">
        <v>148</v>
      </c>
      <c r="L91" s="35"/>
      <c r="M91" s="34">
        <v>-44</v>
      </c>
      <c r="N91" s="35"/>
      <c r="O91" s="34">
        <v>-32</v>
      </c>
      <c r="P91" s="35"/>
      <c r="Q91" s="34">
        <v>-24</v>
      </c>
      <c r="R91" s="35"/>
      <c r="S91" s="34" t="s">
        <v>148</v>
      </c>
      <c r="T91" s="35"/>
      <c r="U91" s="34" t="s">
        <v>148</v>
      </c>
      <c r="V91" s="35"/>
      <c r="W91" s="34">
        <v>-42</v>
      </c>
      <c r="X91" s="35"/>
      <c r="Y91" s="34">
        <v>-76</v>
      </c>
      <c r="Z91" s="35"/>
      <c r="AA91" s="34" t="s">
        <v>148</v>
      </c>
      <c r="AB91" s="35"/>
      <c r="AC91" s="34" t="s">
        <v>148</v>
      </c>
      <c r="AD91" s="35"/>
      <c r="AE91" s="34" t="s">
        <v>148</v>
      </c>
      <c r="AF91" s="35"/>
      <c r="AG91" s="34" t="s">
        <v>148</v>
      </c>
      <c r="AH91" s="35"/>
      <c r="AI91" s="34" t="s">
        <v>148</v>
      </c>
      <c r="AJ91" s="35"/>
      <c r="AK91" s="34" t="s">
        <v>148</v>
      </c>
      <c r="AL91" s="35"/>
      <c r="AM91" s="34" t="s">
        <v>148</v>
      </c>
      <c r="AN91" s="35"/>
      <c r="AO91" s="34" t="s">
        <v>148</v>
      </c>
      <c r="AP91" s="35"/>
      <c r="AQ91" s="34" t="s">
        <v>148</v>
      </c>
      <c r="AR91" s="35"/>
      <c r="AS91" s="34" t="s">
        <v>148</v>
      </c>
      <c r="AT91" s="35"/>
      <c r="AU91" s="34" t="s">
        <v>148</v>
      </c>
      <c r="AV91" s="35"/>
      <c r="AW91" s="34" t="s">
        <v>148</v>
      </c>
      <c r="AX91" s="35"/>
      <c r="AY91" s="34" t="s">
        <v>148</v>
      </c>
      <c r="AZ91" s="35"/>
    </row>
    <row r="92" spans="1:52" x14ac:dyDescent="0.25">
      <c r="A92" s="10" t="s">
        <v>1829</v>
      </c>
      <c r="B92" s="10"/>
      <c r="C92" s="34" t="s">
        <v>148</v>
      </c>
      <c r="D92" s="35"/>
      <c r="E92" s="34">
        <v>-7</v>
      </c>
      <c r="F92" s="35"/>
      <c r="G92" s="34">
        <v>-6</v>
      </c>
      <c r="H92" s="35"/>
      <c r="I92" s="34">
        <v>-5</v>
      </c>
      <c r="J92" s="35"/>
      <c r="K92" s="34" t="s">
        <v>148</v>
      </c>
      <c r="L92" s="35"/>
      <c r="M92" s="34">
        <v>-33</v>
      </c>
      <c r="N92" s="35"/>
      <c r="O92" s="34">
        <v>-46</v>
      </c>
      <c r="P92" s="35"/>
      <c r="Q92" s="34">
        <v>-29</v>
      </c>
      <c r="R92" s="35"/>
      <c r="S92" s="34" t="s">
        <v>148</v>
      </c>
      <c r="T92" s="35"/>
      <c r="U92" s="34">
        <v>-67</v>
      </c>
      <c r="V92" s="35"/>
      <c r="W92" s="34">
        <v>-72</v>
      </c>
      <c r="X92" s="35"/>
      <c r="Y92" s="34">
        <v>-87</v>
      </c>
      <c r="Z92" s="35"/>
      <c r="AA92" s="34" t="s">
        <v>148</v>
      </c>
      <c r="AB92" s="35"/>
      <c r="AC92" s="34" t="s">
        <v>148</v>
      </c>
      <c r="AD92" s="35"/>
      <c r="AE92" s="34" t="s">
        <v>148</v>
      </c>
      <c r="AF92" s="35"/>
      <c r="AG92" s="34" t="s">
        <v>148</v>
      </c>
      <c r="AH92" s="35"/>
      <c r="AI92" s="34" t="s">
        <v>148</v>
      </c>
      <c r="AJ92" s="35"/>
      <c r="AK92" s="34" t="s">
        <v>148</v>
      </c>
      <c r="AL92" s="35"/>
      <c r="AM92" s="34" t="s">
        <v>148</v>
      </c>
      <c r="AN92" s="35"/>
      <c r="AO92" s="34" t="s">
        <v>148</v>
      </c>
      <c r="AP92" s="35"/>
      <c r="AQ92" s="34" t="s">
        <v>148</v>
      </c>
      <c r="AR92" s="35"/>
      <c r="AS92" s="34" t="s">
        <v>148</v>
      </c>
      <c r="AT92" s="35"/>
      <c r="AU92" s="34" t="s">
        <v>148</v>
      </c>
      <c r="AV92" s="35"/>
      <c r="AW92" s="34" t="s">
        <v>148</v>
      </c>
      <c r="AX92" s="35"/>
      <c r="AY92" s="34" t="s">
        <v>148</v>
      </c>
      <c r="AZ92" s="35"/>
    </row>
    <row r="93" spans="1:52" x14ac:dyDescent="0.25">
      <c r="A93" s="7" t="s">
        <v>90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Z100"/>
  <sheetViews>
    <sheetView workbookViewId="0">
      <selection activeCell="O20" sqref="A1:XFD1048576"/>
    </sheetView>
  </sheetViews>
  <sheetFormatPr defaultRowHeight="15" x14ac:dyDescent="0.25"/>
  <cols>
    <col min="1" max="1" width="35.140625" customWidth="1"/>
    <col min="2" max="2" width="0" hidden="1" customWidth="1"/>
    <col min="3" max="3" width="11.85546875" customWidth="1"/>
    <col min="4" max="4" width="7" customWidth="1"/>
    <col min="5" max="5" width="11.85546875" customWidth="1"/>
    <col min="6" max="6" width="7" customWidth="1"/>
    <col min="7" max="7" width="11.85546875" customWidth="1"/>
    <col min="8" max="8" width="7" customWidth="1"/>
    <col min="9" max="9" width="11.85546875" customWidth="1"/>
    <col min="10" max="10" width="7" customWidth="1"/>
    <col min="11" max="11" width="11.85546875" customWidth="1"/>
    <col min="12" max="12" width="7" customWidth="1"/>
    <col min="13" max="13" width="11.85546875" customWidth="1"/>
    <col min="14" max="14" width="7" customWidth="1"/>
    <col min="15" max="15" width="11.85546875" customWidth="1"/>
    <col min="16" max="16" width="7" customWidth="1"/>
    <col min="17" max="17" width="11.85546875" customWidth="1"/>
    <col min="18" max="18" width="7" customWidth="1"/>
    <col min="19" max="19" width="11.85546875" customWidth="1"/>
    <col min="20" max="20" width="7" customWidth="1"/>
    <col min="21" max="21" width="11.85546875" customWidth="1"/>
    <col min="22" max="22" width="7" customWidth="1"/>
    <col min="23" max="23" width="11.85546875" customWidth="1"/>
    <col min="24" max="24" width="7" customWidth="1"/>
    <col min="25" max="25" width="11.85546875" customWidth="1"/>
    <col min="26" max="26" width="7" customWidth="1"/>
    <col min="27" max="27" width="11.85546875" customWidth="1"/>
    <col min="28" max="28" width="7" customWidth="1"/>
    <col min="29" max="29" width="11.85546875" customWidth="1"/>
    <col min="30" max="30" width="7" customWidth="1"/>
    <col min="31" max="31" width="11.85546875" customWidth="1"/>
    <col min="32" max="32" width="7" customWidth="1"/>
    <col min="33" max="33" width="11.85546875" customWidth="1"/>
    <col min="34" max="34" width="7" customWidth="1"/>
    <col min="35" max="35" width="11.85546875" customWidth="1"/>
    <col min="36" max="36" width="7" customWidth="1"/>
    <col min="37" max="37" width="11.85546875" customWidth="1"/>
    <col min="38" max="38" width="7" customWidth="1"/>
    <col min="39" max="39" width="11.85546875" customWidth="1"/>
    <col min="40" max="40" width="7" customWidth="1"/>
    <col min="41" max="41" width="11.85546875" customWidth="1"/>
    <col min="42" max="42" width="7" customWidth="1"/>
    <col min="43" max="43" width="11.85546875" customWidth="1"/>
    <col min="44" max="44" width="7" customWidth="1"/>
    <col min="45" max="45" width="11.85546875" customWidth="1"/>
    <col min="46" max="46" width="7" customWidth="1"/>
    <col min="47" max="47" width="11.85546875" customWidth="1"/>
    <col min="48" max="48" width="7" customWidth="1"/>
    <col min="49" max="49" width="11.85546875" customWidth="1"/>
    <col min="50" max="50" width="7" customWidth="1"/>
    <col min="51" max="51" width="11.85546875" customWidth="1"/>
    <col min="52" max="52" width="7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20.25" x14ac:dyDescent="0.25">
      <c r="A2" s="8" t="s">
        <v>1830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5">
      <c r="A4" s="3" t="s">
        <v>92</v>
      </c>
      <c r="B4" s="3"/>
      <c r="C4" s="30" t="s">
        <v>93</v>
      </c>
      <c r="D4" s="30"/>
      <c r="E4" s="30" t="s">
        <v>94</v>
      </c>
      <c r="F4" s="30"/>
      <c r="G4" s="30" t="s">
        <v>9</v>
      </c>
      <c r="H4" s="30"/>
      <c r="I4" s="30" t="s">
        <v>10</v>
      </c>
      <c r="J4" s="30"/>
      <c r="K4" s="30" t="s">
        <v>11</v>
      </c>
      <c r="L4" s="30"/>
      <c r="M4" s="30" t="s">
        <v>12</v>
      </c>
      <c r="N4" s="30"/>
      <c r="O4" s="30" t="s">
        <v>13</v>
      </c>
      <c r="P4" s="30"/>
      <c r="Q4" s="30" t="s">
        <v>14</v>
      </c>
      <c r="R4" s="30"/>
      <c r="S4" s="30" t="s">
        <v>15</v>
      </c>
      <c r="T4" s="30"/>
      <c r="U4" s="30" t="s">
        <v>16</v>
      </c>
      <c r="V4" s="30"/>
      <c r="W4" s="30" t="s">
        <v>17</v>
      </c>
      <c r="X4" s="30"/>
      <c r="Y4" s="30" t="s">
        <v>18</v>
      </c>
      <c r="Z4" s="30"/>
      <c r="AA4" s="30" t="s">
        <v>19</v>
      </c>
      <c r="AB4" s="30"/>
      <c r="AC4" s="30" t="s">
        <v>20</v>
      </c>
      <c r="AD4" s="30"/>
      <c r="AE4" s="30" t="s">
        <v>21</v>
      </c>
      <c r="AF4" s="30"/>
      <c r="AG4" s="30" t="s">
        <v>22</v>
      </c>
      <c r="AH4" s="30"/>
      <c r="AI4" s="30" t="s">
        <v>23</v>
      </c>
      <c r="AJ4" s="30"/>
      <c r="AK4" s="30" t="s">
        <v>24</v>
      </c>
      <c r="AL4" s="30"/>
      <c r="AM4" s="30" t="s">
        <v>25</v>
      </c>
      <c r="AN4" s="30"/>
      <c r="AO4" s="30" t="s">
        <v>26</v>
      </c>
      <c r="AP4" s="30"/>
      <c r="AQ4" s="30" t="s">
        <v>27</v>
      </c>
      <c r="AR4" s="30"/>
      <c r="AS4" s="30" t="s">
        <v>28</v>
      </c>
      <c r="AT4" s="30"/>
      <c r="AU4" s="30" t="s">
        <v>29</v>
      </c>
      <c r="AV4" s="30"/>
      <c r="AW4" s="30" t="s">
        <v>30</v>
      </c>
      <c r="AX4" s="30"/>
      <c r="AY4" s="30" t="s">
        <v>31</v>
      </c>
      <c r="AZ4" s="30"/>
    </row>
    <row r="5" spans="1:52" x14ac:dyDescent="0.25">
      <c r="A5" s="9" t="s">
        <v>34</v>
      </c>
      <c r="B5" s="9"/>
      <c r="C5" s="31" t="s">
        <v>95</v>
      </c>
      <c r="D5" s="31"/>
      <c r="E5" s="31" t="s">
        <v>96</v>
      </c>
      <c r="F5" s="31"/>
      <c r="G5" s="31" t="s">
        <v>35</v>
      </c>
      <c r="H5" s="31"/>
      <c r="I5" s="31" t="s">
        <v>36</v>
      </c>
      <c r="J5" s="31"/>
      <c r="K5" s="31" t="s">
        <v>37</v>
      </c>
      <c r="L5" s="31"/>
      <c r="M5" s="31" t="s">
        <v>38</v>
      </c>
      <c r="N5" s="31"/>
      <c r="O5" s="31" t="s">
        <v>39</v>
      </c>
      <c r="P5" s="31"/>
      <c r="Q5" s="31" t="s">
        <v>40</v>
      </c>
      <c r="R5" s="31"/>
      <c r="S5" s="31" t="s">
        <v>41</v>
      </c>
      <c r="T5" s="31"/>
      <c r="U5" s="31" t="s">
        <v>42</v>
      </c>
      <c r="V5" s="31"/>
      <c r="W5" s="31" t="s">
        <v>43</v>
      </c>
      <c r="X5" s="31"/>
      <c r="Y5" s="31" t="s">
        <v>44</v>
      </c>
      <c r="Z5" s="31"/>
      <c r="AA5" s="31" t="s">
        <v>45</v>
      </c>
      <c r="AB5" s="31"/>
      <c r="AC5" s="31" t="s">
        <v>46</v>
      </c>
      <c r="AD5" s="31"/>
      <c r="AE5" s="31" t="s">
        <v>47</v>
      </c>
      <c r="AF5" s="31"/>
      <c r="AG5" s="31" t="s">
        <v>48</v>
      </c>
      <c r="AH5" s="31"/>
      <c r="AI5" s="31" t="s">
        <v>49</v>
      </c>
      <c r="AJ5" s="31"/>
      <c r="AK5" s="31" t="s">
        <v>50</v>
      </c>
      <c r="AL5" s="31"/>
      <c r="AM5" s="31" t="s">
        <v>51</v>
      </c>
      <c r="AN5" s="31"/>
      <c r="AO5" s="31" t="s">
        <v>52</v>
      </c>
      <c r="AP5" s="31"/>
      <c r="AQ5" s="31" t="s">
        <v>53</v>
      </c>
      <c r="AR5" s="31"/>
      <c r="AS5" s="31" t="s">
        <v>54</v>
      </c>
      <c r="AT5" s="31"/>
      <c r="AU5" s="31" t="s">
        <v>55</v>
      </c>
      <c r="AV5" s="31"/>
      <c r="AW5" s="31" t="s">
        <v>56</v>
      </c>
      <c r="AX5" s="31"/>
      <c r="AY5" s="31" t="s">
        <v>57</v>
      </c>
      <c r="AZ5" s="31"/>
    </row>
    <row r="6" spans="1:52" x14ac:dyDescent="0.25">
      <c r="A6" s="6" t="s">
        <v>0</v>
      </c>
      <c r="B6" s="6"/>
      <c r="C6" s="36">
        <v>5795</v>
      </c>
      <c r="D6" s="37">
        <v>1</v>
      </c>
      <c r="E6" s="36">
        <v>5281</v>
      </c>
      <c r="F6" s="37">
        <v>1</v>
      </c>
      <c r="G6" s="36">
        <v>5685</v>
      </c>
      <c r="H6" s="37">
        <v>1</v>
      </c>
      <c r="I6" s="36">
        <v>5604</v>
      </c>
      <c r="J6" s="37">
        <v>1</v>
      </c>
      <c r="K6" s="36">
        <v>5879</v>
      </c>
      <c r="L6" s="37">
        <v>1</v>
      </c>
      <c r="M6" s="36">
        <v>5548</v>
      </c>
      <c r="N6" s="37">
        <v>1</v>
      </c>
      <c r="O6" s="36">
        <v>5144</v>
      </c>
      <c r="P6" s="37">
        <v>1</v>
      </c>
      <c r="Q6" s="36">
        <v>6576</v>
      </c>
      <c r="R6" s="37">
        <v>1</v>
      </c>
      <c r="S6" s="36">
        <v>7421</v>
      </c>
      <c r="T6" s="37">
        <v>1</v>
      </c>
      <c r="U6" s="36">
        <v>6423</v>
      </c>
      <c r="V6" s="37">
        <v>1</v>
      </c>
      <c r="W6" s="36">
        <v>6217</v>
      </c>
      <c r="X6" s="37">
        <v>1</v>
      </c>
      <c r="Y6" s="36">
        <v>7421</v>
      </c>
      <c r="Z6" s="37">
        <v>1</v>
      </c>
      <c r="AA6" s="36">
        <v>7244</v>
      </c>
      <c r="AB6" s="37">
        <v>1</v>
      </c>
      <c r="AC6" s="36">
        <v>6590</v>
      </c>
      <c r="AD6" s="37">
        <v>1</v>
      </c>
      <c r="AE6" s="36">
        <v>6260</v>
      </c>
      <c r="AF6" s="37">
        <v>1</v>
      </c>
      <c r="AG6" s="36">
        <v>7042</v>
      </c>
      <c r="AH6" s="37">
        <v>1</v>
      </c>
      <c r="AI6" s="36">
        <v>7389</v>
      </c>
      <c r="AJ6" s="37">
        <v>1</v>
      </c>
      <c r="AK6" s="36">
        <v>6352</v>
      </c>
      <c r="AL6" s="37">
        <v>1</v>
      </c>
      <c r="AM6" s="36">
        <v>6599</v>
      </c>
      <c r="AN6" s="37">
        <v>1</v>
      </c>
      <c r="AO6" s="36">
        <v>7051</v>
      </c>
      <c r="AP6" s="37">
        <v>1</v>
      </c>
      <c r="AQ6" s="36">
        <v>7115</v>
      </c>
      <c r="AR6" s="37">
        <v>1</v>
      </c>
      <c r="AS6" s="36">
        <v>6686</v>
      </c>
      <c r="AT6" s="37">
        <v>1</v>
      </c>
      <c r="AU6" s="36">
        <v>6953</v>
      </c>
      <c r="AV6" s="37">
        <v>1</v>
      </c>
      <c r="AW6" s="36">
        <v>7545</v>
      </c>
      <c r="AX6" s="37">
        <v>1</v>
      </c>
      <c r="AY6" s="36">
        <v>7569</v>
      </c>
      <c r="AZ6" s="37">
        <v>1</v>
      </c>
    </row>
    <row r="7" spans="1:52" x14ac:dyDescent="0.25">
      <c r="A7" s="10" t="s">
        <v>1831</v>
      </c>
      <c r="B7" s="10"/>
      <c r="C7" s="32">
        <v>4470</v>
      </c>
      <c r="D7" s="33">
        <v>0.77135461604831801</v>
      </c>
      <c r="E7" s="32">
        <v>3818</v>
      </c>
      <c r="F7" s="33">
        <v>0.72296913463359203</v>
      </c>
      <c r="G7" s="32">
        <v>4073</v>
      </c>
      <c r="H7" s="33">
        <v>0.71644678979771304</v>
      </c>
      <c r="I7" s="32">
        <v>4219</v>
      </c>
      <c r="J7" s="33">
        <v>0.75285510349750195</v>
      </c>
      <c r="K7" s="32">
        <v>4535</v>
      </c>
      <c r="L7" s="33">
        <v>0.77138969212451103</v>
      </c>
      <c r="M7" s="32">
        <v>4006</v>
      </c>
      <c r="N7" s="33">
        <v>0.72206200432588297</v>
      </c>
      <c r="O7" s="32">
        <v>3784</v>
      </c>
      <c r="P7" s="33">
        <v>0.73561430793157101</v>
      </c>
      <c r="Q7" s="32">
        <v>5100</v>
      </c>
      <c r="R7" s="33">
        <v>0.77554744525547403</v>
      </c>
      <c r="S7" s="32">
        <v>5327</v>
      </c>
      <c r="T7" s="33">
        <v>0.71782778601266695</v>
      </c>
      <c r="U7" s="32">
        <v>4260</v>
      </c>
      <c r="V7" s="33">
        <v>0.66324147594581995</v>
      </c>
      <c r="W7" s="32">
        <v>4233</v>
      </c>
      <c r="X7" s="33">
        <v>0.68087502010616097</v>
      </c>
      <c r="Y7" s="32">
        <v>5509</v>
      </c>
      <c r="Z7" s="33">
        <v>0.74235278264384796</v>
      </c>
      <c r="AA7" s="32">
        <v>5265</v>
      </c>
      <c r="AB7" s="33">
        <v>0.72680839315295398</v>
      </c>
      <c r="AC7" s="32">
        <v>4355</v>
      </c>
      <c r="AD7" s="33">
        <v>0.66084977238239795</v>
      </c>
      <c r="AE7" s="32">
        <v>4339</v>
      </c>
      <c r="AF7" s="33">
        <v>0.69313099041533499</v>
      </c>
      <c r="AG7" s="32">
        <v>4928</v>
      </c>
      <c r="AH7" s="33">
        <v>0.69980119284294195</v>
      </c>
      <c r="AI7" s="32">
        <v>5262</v>
      </c>
      <c r="AJ7" s="33">
        <v>0.71213966707267595</v>
      </c>
      <c r="AK7" s="32">
        <v>4452</v>
      </c>
      <c r="AL7" s="33">
        <v>0.70088161209068001</v>
      </c>
      <c r="AM7" s="32">
        <v>4785</v>
      </c>
      <c r="AN7" s="33">
        <v>0.725109865131081</v>
      </c>
      <c r="AO7" s="32">
        <v>5017</v>
      </c>
      <c r="AP7" s="33">
        <v>0.71153027939299396</v>
      </c>
      <c r="AQ7" s="32">
        <v>5185</v>
      </c>
      <c r="AR7" s="33">
        <v>0.728742094167252</v>
      </c>
      <c r="AS7" s="32">
        <v>4633</v>
      </c>
      <c r="AT7" s="33">
        <v>0.69294047262937497</v>
      </c>
      <c r="AU7" s="32">
        <v>4940</v>
      </c>
      <c r="AV7" s="33">
        <v>0.71048468287070299</v>
      </c>
      <c r="AW7" s="32">
        <v>5449</v>
      </c>
      <c r="AX7" s="33">
        <v>0.722200132538105</v>
      </c>
      <c r="AY7" s="32">
        <v>5551</v>
      </c>
      <c r="AZ7" s="33">
        <v>0.73338618047298199</v>
      </c>
    </row>
    <row r="8" spans="1:52" x14ac:dyDescent="0.25">
      <c r="A8" s="10" t="s">
        <v>1767</v>
      </c>
      <c r="B8" s="10"/>
      <c r="C8" s="32">
        <v>551</v>
      </c>
      <c r="D8" s="33">
        <v>9.5081967213114696E-2</v>
      </c>
      <c r="E8" s="32">
        <v>739</v>
      </c>
      <c r="F8" s="33">
        <v>0.13993561825411899</v>
      </c>
      <c r="G8" s="32">
        <v>1023</v>
      </c>
      <c r="H8" s="33">
        <v>0.17994722955145101</v>
      </c>
      <c r="I8" s="32">
        <v>1106</v>
      </c>
      <c r="J8" s="33">
        <v>0.197359029264811</v>
      </c>
      <c r="K8" s="32">
        <v>1357</v>
      </c>
      <c r="L8" s="33">
        <v>0.230821568293928</v>
      </c>
      <c r="M8" s="32">
        <v>1412</v>
      </c>
      <c r="N8" s="33">
        <v>0.25450612833453501</v>
      </c>
      <c r="O8" s="32">
        <v>1350</v>
      </c>
      <c r="P8" s="33">
        <v>0.26244167962675002</v>
      </c>
      <c r="Q8" s="32">
        <v>1584</v>
      </c>
      <c r="R8" s="33">
        <v>0.240875912408759</v>
      </c>
      <c r="S8" s="32">
        <v>1749</v>
      </c>
      <c r="T8" s="33">
        <v>0.23568252257108199</v>
      </c>
      <c r="U8" s="32">
        <v>1465</v>
      </c>
      <c r="V8" s="33">
        <v>0.22808656391094501</v>
      </c>
      <c r="W8" s="32">
        <v>1586</v>
      </c>
      <c r="X8" s="33">
        <v>0.25510696477400702</v>
      </c>
      <c r="Y8" s="32">
        <v>1875</v>
      </c>
      <c r="Z8" s="33">
        <v>0.25266136639266901</v>
      </c>
      <c r="AA8" s="32">
        <v>2123</v>
      </c>
      <c r="AB8" s="33">
        <v>0.29307012700165702</v>
      </c>
      <c r="AC8" s="32">
        <v>1706</v>
      </c>
      <c r="AD8" s="33">
        <v>0.25887708649468899</v>
      </c>
      <c r="AE8" s="32">
        <v>2095</v>
      </c>
      <c r="AF8" s="33">
        <v>0.33466453674121399</v>
      </c>
      <c r="AG8" s="32">
        <v>2286</v>
      </c>
      <c r="AH8" s="33">
        <v>0.324623686452712</v>
      </c>
      <c r="AI8" s="32">
        <v>2423</v>
      </c>
      <c r="AJ8" s="33">
        <v>0.327919880904047</v>
      </c>
      <c r="AK8" s="32">
        <v>2161</v>
      </c>
      <c r="AL8" s="33">
        <v>0.34020780856423199</v>
      </c>
      <c r="AM8" s="32">
        <v>2439</v>
      </c>
      <c r="AN8" s="33">
        <v>0.36960145476587403</v>
      </c>
      <c r="AO8" s="32">
        <v>2504</v>
      </c>
      <c r="AP8" s="33">
        <v>0.35512693235002102</v>
      </c>
      <c r="AQ8" s="32">
        <v>2588</v>
      </c>
      <c r="AR8" s="33">
        <v>0.36373858046380902</v>
      </c>
      <c r="AS8" s="32">
        <v>2315</v>
      </c>
      <c r="AT8" s="33">
        <v>0.34624588692790897</v>
      </c>
      <c r="AU8" s="32">
        <v>2585</v>
      </c>
      <c r="AV8" s="33">
        <v>0.37178196461958901</v>
      </c>
      <c r="AW8" s="32">
        <v>2826</v>
      </c>
      <c r="AX8" s="33">
        <v>0.37455268389662</v>
      </c>
      <c r="AY8" s="32">
        <v>3129</v>
      </c>
      <c r="AZ8" s="33">
        <v>0.41339674990091202</v>
      </c>
    </row>
    <row r="9" spans="1:52" x14ac:dyDescent="0.25">
      <c r="A9" s="10" t="s">
        <v>1768</v>
      </c>
      <c r="B9" s="10"/>
      <c r="C9" s="32">
        <v>322</v>
      </c>
      <c r="D9" s="33">
        <v>5.5565142364106999E-2</v>
      </c>
      <c r="E9" s="32">
        <v>233</v>
      </c>
      <c r="F9" s="33">
        <v>4.4120431736413598E-2</v>
      </c>
      <c r="G9" s="32">
        <v>246</v>
      </c>
      <c r="H9" s="33">
        <v>4.3271767810026403E-2</v>
      </c>
      <c r="I9" s="32">
        <v>256</v>
      </c>
      <c r="J9" s="33">
        <v>4.56816559600286E-2</v>
      </c>
      <c r="K9" s="32">
        <v>343</v>
      </c>
      <c r="L9" s="33">
        <v>5.8343255655723798E-2</v>
      </c>
      <c r="M9" s="32">
        <v>363</v>
      </c>
      <c r="N9" s="33">
        <v>6.5428983417447698E-2</v>
      </c>
      <c r="O9" s="32">
        <v>337</v>
      </c>
      <c r="P9" s="33">
        <v>6.5513219284603394E-2</v>
      </c>
      <c r="Q9" s="32">
        <v>424</v>
      </c>
      <c r="R9" s="33">
        <v>6.4476885644768903E-2</v>
      </c>
      <c r="S9" s="32">
        <v>402</v>
      </c>
      <c r="T9" s="33">
        <v>5.4170596954588299E-2</v>
      </c>
      <c r="U9" s="32">
        <v>282</v>
      </c>
      <c r="V9" s="33">
        <v>4.39047174217655E-2</v>
      </c>
      <c r="W9" s="32">
        <v>357</v>
      </c>
      <c r="X9" s="33">
        <v>5.7423194466784601E-2</v>
      </c>
      <c r="Y9" s="32">
        <v>355</v>
      </c>
      <c r="Z9" s="33">
        <v>4.7837218703678699E-2</v>
      </c>
      <c r="AA9" s="32">
        <v>403</v>
      </c>
      <c r="AB9" s="33">
        <v>5.5632247377139697E-2</v>
      </c>
      <c r="AC9" s="32">
        <v>311</v>
      </c>
      <c r="AD9" s="33">
        <v>4.7192716236722297E-2</v>
      </c>
      <c r="AE9" s="32">
        <v>397</v>
      </c>
      <c r="AF9" s="33">
        <v>6.3418530351437699E-2</v>
      </c>
      <c r="AG9" s="32">
        <v>444</v>
      </c>
      <c r="AH9" s="33">
        <v>6.3050269809713094E-2</v>
      </c>
      <c r="AI9" s="32">
        <v>479</v>
      </c>
      <c r="AJ9" s="33">
        <v>6.4826092840709199E-2</v>
      </c>
      <c r="AK9" s="32">
        <v>397</v>
      </c>
      <c r="AL9" s="33">
        <v>6.25E-2</v>
      </c>
      <c r="AM9" s="32">
        <v>460</v>
      </c>
      <c r="AN9" s="33">
        <v>6.9707531444158199E-2</v>
      </c>
      <c r="AO9" s="32">
        <v>460</v>
      </c>
      <c r="AP9" s="33">
        <v>6.52389731952914E-2</v>
      </c>
      <c r="AQ9" s="32">
        <v>457</v>
      </c>
      <c r="AR9" s="33">
        <v>6.4230498945889003E-2</v>
      </c>
      <c r="AS9" s="32">
        <v>372</v>
      </c>
      <c r="AT9" s="33">
        <v>5.5638647921029002E-2</v>
      </c>
      <c r="AU9" s="32">
        <v>434</v>
      </c>
      <c r="AV9" s="33">
        <v>6.2419099669207501E-2</v>
      </c>
      <c r="AW9" s="32">
        <v>534</v>
      </c>
      <c r="AX9" s="33">
        <v>7.0775347912524794E-2</v>
      </c>
      <c r="AY9" s="32">
        <v>563</v>
      </c>
      <c r="AZ9" s="33">
        <v>7.43823490553574E-2</v>
      </c>
    </row>
    <row r="10" spans="1:52" x14ac:dyDescent="0.25">
      <c r="A10" s="10" t="s">
        <v>1769</v>
      </c>
      <c r="B10" s="10"/>
      <c r="C10" s="32">
        <v>953</v>
      </c>
      <c r="D10" s="33">
        <v>0.164452113891286</v>
      </c>
      <c r="E10" s="32">
        <v>728</v>
      </c>
      <c r="F10" s="33">
        <v>0.13785267941677701</v>
      </c>
      <c r="G10" s="32">
        <v>733</v>
      </c>
      <c r="H10" s="33">
        <v>0.12893579595426599</v>
      </c>
      <c r="I10" s="32">
        <v>761</v>
      </c>
      <c r="J10" s="33">
        <v>0.135795860099929</v>
      </c>
      <c r="K10" s="32">
        <v>762</v>
      </c>
      <c r="L10" s="33">
        <v>0.12961387991154999</v>
      </c>
      <c r="M10" s="32">
        <v>612</v>
      </c>
      <c r="N10" s="33">
        <v>0.110310021629416</v>
      </c>
      <c r="O10" s="32">
        <v>646</v>
      </c>
      <c r="P10" s="33">
        <v>0.12558320373250401</v>
      </c>
      <c r="Q10" s="32">
        <v>669</v>
      </c>
      <c r="R10" s="33">
        <v>0.101733576642336</v>
      </c>
      <c r="S10" s="32">
        <v>678</v>
      </c>
      <c r="T10" s="33">
        <v>9.1362350087589306E-2</v>
      </c>
      <c r="U10" s="32">
        <v>506</v>
      </c>
      <c r="V10" s="33">
        <v>7.8779386579479999E-2</v>
      </c>
      <c r="W10" s="32">
        <v>551</v>
      </c>
      <c r="X10" s="33">
        <v>8.8627955605597594E-2</v>
      </c>
      <c r="Y10" s="32">
        <v>576</v>
      </c>
      <c r="Z10" s="33">
        <v>7.7617571755827994E-2</v>
      </c>
      <c r="AA10" s="32">
        <v>634</v>
      </c>
      <c r="AB10" s="33">
        <v>8.7520706791827704E-2</v>
      </c>
      <c r="AC10" s="32">
        <v>457</v>
      </c>
      <c r="AD10" s="33">
        <v>6.9347496206373302E-2</v>
      </c>
      <c r="AE10" s="32">
        <v>482</v>
      </c>
      <c r="AF10" s="33">
        <v>7.6996805111821096E-2</v>
      </c>
      <c r="AG10" s="32">
        <v>502</v>
      </c>
      <c r="AH10" s="33">
        <v>7.1286566316387398E-2</v>
      </c>
      <c r="AI10" s="32">
        <v>543</v>
      </c>
      <c r="AJ10" s="33">
        <v>7.3487616727567998E-2</v>
      </c>
      <c r="AK10" s="32">
        <v>417</v>
      </c>
      <c r="AL10" s="33">
        <v>6.5648614609571804E-2</v>
      </c>
      <c r="AM10" s="32">
        <v>455</v>
      </c>
      <c r="AN10" s="33">
        <v>6.8949840884982599E-2</v>
      </c>
      <c r="AO10" s="32">
        <v>433</v>
      </c>
      <c r="AP10" s="33">
        <v>6.1409729116437398E-2</v>
      </c>
      <c r="AQ10" s="32">
        <v>447</v>
      </c>
      <c r="AR10" s="33">
        <v>6.2825017568517202E-2</v>
      </c>
      <c r="AS10" s="32">
        <v>332</v>
      </c>
      <c r="AT10" s="33">
        <v>4.9655997606939901E-2</v>
      </c>
      <c r="AU10" s="32">
        <v>372</v>
      </c>
      <c r="AV10" s="33">
        <v>5.3502085430749302E-2</v>
      </c>
      <c r="AW10" s="32">
        <v>384</v>
      </c>
      <c r="AX10" s="33">
        <v>5.0894632206759403E-2</v>
      </c>
      <c r="AY10" s="32">
        <v>410</v>
      </c>
      <c r="AZ10" s="33">
        <v>5.4168318139780701E-2</v>
      </c>
    </row>
    <row r="11" spans="1:52" x14ac:dyDescent="0.25">
      <c r="A11" s="10" t="s">
        <v>1770</v>
      </c>
      <c r="B11" s="10"/>
      <c r="C11" s="32">
        <v>337</v>
      </c>
      <c r="D11" s="33">
        <v>5.8153580672993997E-2</v>
      </c>
      <c r="E11" s="32">
        <v>282</v>
      </c>
      <c r="F11" s="33">
        <v>5.33989774663889E-2</v>
      </c>
      <c r="G11" s="32">
        <v>266</v>
      </c>
      <c r="H11" s="33">
        <v>4.6789797713280602E-2</v>
      </c>
      <c r="I11" s="32">
        <v>317</v>
      </c>
      <c r="J11" s="33">
        <v>5.6566738044254099E-2</v>
      </c>
      <c r="K11" s="32">
        <v>315</v>
      </c>
      <c r="L11" s="33">
        <v>5.3580540908317702E-2</v>
      </c>
      <c r="M11" s="32">
        <v>269</v>
      </c>
      <c r="N11" s="33">
        <v>4.84859408795962E-2</v>
      </c>
      <c r="O11" s="32">
        <v>273</v>
      </c>
      <c r="P11" s="33">
        <v>5.30715396578538E-2</v>
      </c>
      <c r="Q11" s="32">
        <v>309</v>
      </c>
      <c r="R11" s="33">
        <v>4.6989051094890502E-2</v>
      </c>
      <c r="S11" s="32">
        <v>321</v>
      </c>
      <c r="T11" s="33">
        <v>4.3255625926424998E-2</v>
      </c>
      <c r="U11" s="32">
        <v>240</v>
      </c>
      <c r="V11" s="33">
        <v>3.7365716954694102E-2</v>
      </c>
      <c r="W11" s="32">
        <v>258</v>
      </c>
      <c r="X11" s="33">
        <v>4.1499115328936798E-2</v>
      </c>
      <c r="Y11" s="32">
        <v>275</v>
      </c>
      <c r="Z11" s="33">
        <v>3.7057000404258203E-2</v>
      </c>
      <c r="AA11" s="32">
        <v>303</v>
      </c>
      <c r="AB11" s="33">
        <v>4.1827719491993397E-2</v>
      </c>
      <c r="AC11" s="32">
        <v>232</v>
      </c>
      <c r="AD11" s="33">
        <v>3.52048558421851E-2</v>
      </c>
      <c r="AE11" s="32">
        <v>255</v>
      </c>
      <c r="AF11" s="33">
        <v>4.0734824281150203E-2</v>
      </c>
      <c r="AG11" s="32">
        <v>276</v>
      </c>
      <c r="AH11" s="33">
        <v>3.9193410962794703E-2</v>
      </c>
      <c r="AI11" s="32">
        <v>295</v>
      </c>
      <c r="AJ11" s="33">
        <v>3.992421166599E-2</v>
      </c>
      <c r="AK11" s="32">
        <v>230</v>
      </c>
      <c r="AL11" s="33">
        <v>3.6209068010075597E-2</v>
      </c>
      <c r="AM11" s="32">
        <v>267</v>
      </c>
      <c r="AN11" s="33">
        <v>4.0460675859978798E-2</v>
      </c>
      <c r="AO11" s="32">
        <v>257</v>
      </c>
      <c r="AP11" s="33">
        <v>3.6448730676499799E-2</v>
      </c>
      <c r="AQ11" s="32">
        <v>258</v>
      </c>
      <c r="AR11" s="33">
        <v>3.6261419536191102E-2</v>
      </c>
      <c r="AS11" s="32">
        <v>223</v>
      </c>
      <c r="AT11" s="33">
        <v>3.3353275501046997E-2</v>
      </c>
      <c r="AU11" s="32">
        <v>233</v>
      </c>
      <c r="AV11" s="33">
        <v>3.3510714799367201E-2</v>
      </c>
      <c r="AW11" s="32">
        <v>248</v>
      </c>
      <c r="AX11" s="33">
        <v>3.2869449966865499E-2</v>
      </c>
      <c r="AY11" s="32">
        <v>252</v>
      </c>
      <c r="AZ11" s="33">
        <v>3.3293697978596902E-2</v>
      </c>
    </row>
    <row r="12" spans="1:52" x14ac:dyDescent="0.25">
      <c r="A12" s="10" t="s">
        <v>1782</v>
      </c>
      <c r="B12" s="10"/>
      <c r="C12" s="32" t="s">
        <v>148</v>
      </c>
      <c r="D12" s="33"/>
      <c r="E12" s="32" t="s">
        <v>148</v>
      </c>
      <c r="F12" s="33"/>
      <c r="G12" s="32" t="s">
        <v>148</v>
      </c>
      <c r="H12" s="33"/>
      <c r="I12" s="32" t="s">
        <v>148</v>
      </c>
      <c r="J12" s="33"/>
      <c r="K12" s="32" t="s">
        <v>148</v>
      </c>
      <c r="L12" s="33"/>
      <c r="M12" s="32">
        <v>0</v>
      </c>
      <c r="N12" s="33"/>
      <c r="O12" s="32">
        <v>0</v>
      </c>
      <c r="P12" s="33"/>
      <c r="Q12" s="32">
        <v>0</v>
      </c>
      <c r="R12" s="33"/>
      <c r="S12" s="32">
        <v>49</v>
      </c>
      <c r="T12" s="33">
        <v>6.6028837083950903E-3</v>
      </c>
      <c r="U12" s="32">
        <v>72</v>
      </c>
      <c r="V12" s="33">
        <v>1.12097150864082E-2</v>
      </c>
      <c r="W12" s="32">
        <v>89</v>
      </c>
      <c r="X12" s="33">
        <v>1.4315586295640999E-2</v>
      </c>
      <c r="Y12" s="32">
        <v>100</v>
      </c>
      <c r="Z12" s="33">
        <v>1.34752728742757E-2</v>
      </c>
      <c r="AA12" s="32">
        <v>109</v>
      </c>
      <c r="AB12" s="33">
        <v>1.50469353948095E-2</v>
      </c>
      <c r="AC12" s="32">
        <v>119</v>
      </c>
      <c r="AD12" s="33">
        <v>1.8057663125948399E-2</v>
      </c>
      <c r="AE12" s="32">
        <v>120</v>
      </c>
      <c r="AF12" s="33">
        <v>1.91693290734824E-2</v>
      </c>
      <c r="AG12" s="32">
        <v>139</v>
      </c>
      <c r="AH12" s="33">
        <v>1.9738710593581399E-2</v>
      </c>
      <c r="AI12" s="32">
        <v>146</v>
      </c>
      <c r="AJ12" s="33">
        <v>1.9759101366896702E-2</v>
      </c>
      <c r="AK12" s="32">
        <v>162</v>
      </c>
      <c r="AL12" s="33">
        <v>2.5503778337531501E-2</v>
      </c>
      <c r="AM12" s="32">
        <v>189</v>
      </c>
      <c r="AN12" s="33">
        <v>2.8640703136838901E-2</v>
      </c>
      <c r="AO12" s="32">
        <v>201</v>
      </c>
      <c r="AP12" s="33">
        <v>2.8506594809246898E-2</v>
      </c>
      <c r="AQ12" s="32">
        <v>226</v>
      </c>
      <c r="AR12" s="33">
        <v>3.1763879128601499E-2</v>
      </c>
      <c r="AS12" s="32">
        <v>206</v>
      </c>
      <c r="AT12" s="33">
        <v>3.08106491175591E-2</v>
      </c>
      <c r="AU12" s="32">
        <v>224</v>
      </c>
      <c r="AV12" s="33">
        <v>3.2216309506687801E-2</v>
      </c>
      <c r="AW12" s="32">
        <v>226</v>
      </c>
      <c r="AX12" s="33">
        <v>2.99536116633532E-2</v>
      </c>
      <c r="AY12" s="32">
        <v>247</v>
      </c>
      <c r="AZ12" s="33">
        <v>3.2633108732989802E-2</v>
      </c>
    </row>
    <row r="13" spans="1:52" x14ac:dyDescent="0.25">
      <c r="A13" s="10" t="s">
        <v>1832</v>
      </c>
      <c r="B13" s="10"/>
      <c r="C13" s="32">
        <v>201</v>
      </c>
      <c r="D13" s="33">
        <v>3.4685073339085402E-2</v>
      </c>
      <c r="E13" s="32">
        <v>230</v>
      </c>
      <c r="F13" s="33">
        <v>4.3552357508047701E-2</v>
      </c>
      <c r="G13" s="32">
        <v>219</v>
      </c>
      <c r="H13" s="33">
        <v>3.8522427440633202E-2</v>
      </c>
      <c r="I13" s="32">
        <v>282</v>
      </c>
      <c r="J13" s="33">
        <v>5.03211991434689E-2</v>
      </c>
      <c r="K13" s="32">
        <v>240</v>
      </c>
      <c r="L13" s="33">
        <v>4.0823269263480198E-2</v>
      </c>
      <c r="M13" s="32">
        <v>311</v>
      </c>
      <c r="N13" s="33">
        <v>5.6056236481615E-2</v>
      </c>
      <c r="O13" s="32">
        <v>165</v>
      </c>
      <c r="P13" s="33">
        <v>3.2076205287713801E-2</v>
      </c>
      <c r="Q13" s="32">
        <v>170</v>
      </c>
      <c r="R13" s="33">
        <v>2.5851581508515801E-2</v>
      </c>
      <c r="S13" s="32">
        <v>218</v>
      </c>
      <c r="T13" s="33">
        <v>2.9376094865921E-2</v>
      </c>
      <c r="U13" s="32">
        <v>214</v>
      </c>
      <c r="V13" s="33">
        <v>3.3317764284602203E-2</v>
      </c>
      <c r="W13" s="32">
        <v>262</v>
      </c>
      <c r="X13" s="33">
        <v>4.2142512465819501E-2</v>
      </c>
      <c r="Y13" s="32">
        <v>173</v>
      </c>
      <c r="Z13" s="33">
        <v>2.3312222072496998E-2</v>
      </c>
      <c r="AA13" s="32">
        <v>166</v>
      </c>
      <c r="AB13" s="33">
        <v>2.2915516289342901E-2</v>
      </c>
      <c r="AC13" s="32">
        <v>162</v>
      </c>
      <c r="AD13" s="33">
        <v>2.4582701062215499E-2</v>
      </c>
      <c r="AE13" s="32">
        <v>227</v>
      </c>
      <c r="AF13" s="33">
        <v>3.6261980830670899E-2</v>
      </c>
      <c r="AG13" s="32">
        <v>241</v>
      </c>
      <c r="AH13" s="33">
        <v>3.4223232036353302E-2</v>
      </c>
      <c r="AI13" s="32">
        <v>214</v>
      </c>
      <c r="AJ13" s="33">
        <v>2.8961970496684301E-2</v>
      </c>
      <c r="AK13" s="32">
        <v>204</v>
      </c>
      <c r="AL13" s="33">
        <v>3.21158690176322E-2</v>
      </c>
      <c r="AM13" s="32">
        <v>223</v>
      </c>
      <c r="AN13" s="33">
        <v>3.3792998939233203E-2</v>
      </c>
      <c r="AO13" s="32">
        <v>215</v>
      </c>
      <c r="AP13" s="33">
        <v>3.0492128776060098E-2</v>
      </c>
      <c r="AQ13" s="32">
        <v>216</v>
      </c>
      <c r="AR13" s="33">
        <v>3.0358397751229799E-2</v>
      </c>
      <c r="AS13" s="32">
        <v>248</v>
      </c>
      <c r="AT13" s="33">
        <v>3.7092431947352698E-2</v>
      </c>
      <c r="AU13" s="32">
        <v>267</v>
      </c>
      <c r="AV13" s="33">
        <v>3.8400690349489397E-2</v>
      </c>
      <c r="AW13" s="32">
        <v>222</v>
      </c>
      <c r="AX13" s="33">
        <v>2.9423459244532799E-2</v>
      </c>
      <c r="AY13" s="32">
        <v>185</v>
      </c>
      <c r="AZ13" s="33">
        <v>2.4441802087462002E-2</v>
      </c>
    </row>
    <row r="14" spans="1:52" x14ac:dyDescent="0.25">
      <c r="A14" s="10" t="s">
        <v>1811</v>
      </c>
      <c r="B14" s="10"/>
      <c r="C14" s="32">
        <v>80</v>
      </c>
      <c r="D14" s="33">
        <v>1.38050043140638E-2</v>
      </c>
      <c r="E14" s="32">
        <v>90</v>
      </c>
      <c r="F14" s="33">
        <v>1.7042226850975201E-2</v>
      </c>
      <c r="G14" s="32">
        <v>99</v>
      </c>
      <c r="H14" s="33">
        <v>1.7414248021108199E-2</v>
      </c>
      <c r="I14" s="32">
        <v>86</v>
      </c>
      <c r="J14" s="33">
        <v>1.5346181299072101E-2</v>
      </c>
      <c r="K14" s="32">
        <v>98</v>
      </c>
      <c r="L14" s="33">
        <v>1.6669501615921099E-2</v>
      </c>
      <c r="M14" s="32">
        <v>103</v>
      </c>
      <c r="N14" s="33">
        <v>1.85652487382841E-2</v>
      </c>
      <c r="O14" s="32">
        <v>95</v>
      </c>
      <c r="P14" s="33">
        <v>1.84681181959565E-2</v>
      </c>
      <c r="Q14" s="32">
        <v>85</v>
      </c>
      <c r="R14" s="33">
        <v>1.29257907542579E-2</v>
      </c>
      <c r="S14" s="32">
        <v>79</v>
      </c>
      <c r="T14" s="33">
        <v>1.06454655706778E-2</v>
      </c>
      <c r="U14" s="32">
        <v>92</v>
      </c>
      <c r="V14" s="33">
        <v>1.43235248326327E-2</v>
      </c>
      <c r="W14" s="32">
        <v>108</v>
      </c>
      <c r="X14" s="33">
        <v>1.7371722695834001E-2</v>
      </c>
      <c r="Y14" s="32">
        <v>100</v>
      </c>
      <c r="Z14" s="33">
        <v>1.34752728742757E-2</v>
      </c>
      <c r="AA14" s="32">
        <v>106</v>
      </c>
      <c r="AB14" s="33">
        <v>1.46327995582551E-2</v>
      </c>
      <c r="AC14" s="32">
        <v>125</v>
      </c>
      <c r="AD14" s="33">
        <v>1.8968133535660101E-2</v>
      </c>
      <c r="AE14" s="32">
        <v>193</v>
      </c>
      <c r="AF14" s="33">
        <v>3.08306709265176E-2</v>
      </c>
      <c r="AG14" s="32">
        <v>210</v>
      </c>
      <c r="AH14" s="33">
        <v>2.98210735586481E-2</v>
      </c>
      <c r="AI14" s="32">
        <v>219</v>
      </c>
      <c r="AJ14" s="33">
        <v>2.9638652050345101E-2</v>
      </c>
      <c r="AK14" s="32">
        <v>210</v>
      </c>
      <c r="AL14" s="33">
        <v>3.30604534005038E-2</v>
      </c>
      <c r="AM14" s="32">
        <v>217</v>
      </c>
      <c r="AN14" s="33">
        <v>3.2883770268222499E-2</v>
      </c>
      <c r="AO14" s="32">
        <v>197</v>
      </c>
      <c r="AP14" s="33">
        <v>2.79392993901574E-2</v>
      </c>
      <c r="AQ14" s="32">
        <v>187</v>
      </c>
      <c r="AR14" s="33">
        <v>2.6282501756851699E-2</v>
      </c>
      <c r="AS14" s="32">
        <v>170</v>
      </c>
      <c r="AT14" s="33">
        <v>2.54262638348789E-2</v>
      </c>
      <c r="AU14" s="32">
        <v>186</v>
      </c>
      <c r="AV14" s="33">
        <v>2.67510427153747E-2</v>
      </c>
      <c r="AW14" s="32">
        <v>145</v>
      </c>
      <c r="AX14" s="33">
        <v>1.92180251822399E-2</v>
      </c>
      <c r="AY14" s="32">
        <v>161</v>
      </c>
      <c r="AZ14" s="33">
        <v>2.1270973708548E-2</v>
      </c>
    </row>
    <row r="15" spans="1:52" x14ac:dyDescent="0.25">
      <c r="A15" s="10" t="s">
        <v>1785</v>
      </c>
      <c r="B15" s="10"/>
      <c r="C15" s="32">
        <v>73</v>
      </c>
      <c r="D15" s="33">
        <v>1.25970664365833E-2</v>
      </c>
      <c r="E15" s="32">
        <v>65</v>
      </c>
      <c r="F15" s="33">
        <v>1.23082749479265E-2</v>
      </c>
      <c r="G15" s="32">
        <v>71</v>
      </c>
      <c r="H15" s="33">
        <v>1.2489006156552299E-2</v>
      </c>
      <c r="I15" s="32">
        <v>78</v>
      </c>
      <c r="J15" s="33">
        <v>1.39186295503212E-2</v>
      </c>
      <c r="K15" s="32">
        <v>95</v>
      </c>
      <c r="L15" s="33">
        <v>1.6159210750127599E-2</v>
      </c>
      <c r="M15" s="32">
        <v>73</v>
      </c>
      <c r="N15" s="33">
        <v>1.3157894736842099E-2</v>
      </c>
      <c r="O15" s="32">
        <v>76</v>
      </c>
      <c r="P15" s="33">
        <v>1.4774494556765201E-2</v>
      </c>
      <c r="Q15" s="32">
        <v>99</v>
      </c>
      <c r="R15" s="33">
        <v>1.5054744525547401E-2</v>
      </c>
      <c r="S15" s="32">
        <v>108</v>
      </c>
      <c r="T15" s="33">
        <v>1.45532947042178E-2</v>
      </c>
      <c r="U15" s="32">
        <v>77</v>
      </c>
      <c r="V15" s="33">
        <v>1.19881675229643E-2</v>
      </c>
      <c r="W15" s="32">
        <v>86</v>
      </c>
      <c r="X15" s="33">
        <v>1.3833038442978901E-2</v>
      </c>
      <c r="Y15" s="32">
        <v>103</v>
      </c>
      <c r="Z15" s="33">
        <v>1.3879531060504E-2</v>
      </c>
      <c r="AA15" s="32">
        <v>118</v>
      </c>
      <c r="AB15" s="33">
        <v>1.62893429044727E-2</v>
      </c>
      <c r="AC15" s="32">
        <v>80</v>
      </c>
      <c r="AD15" s="33">
        <v>1.21396054628225E-2</v>
      </c>
      <c r="AE15" s="32">
        <v>97</v>
      </c>
      <c r="AF15" s="33">
        <v>1.54952076677316E-2</v>
      </c>
      <c r="AG15" s="32">
        <v>129</v>
      </c>
      <c r="AH15" s="33">
        <v>1.8318659471741001E-2</v>
      </c>
      <c r="AI15" s="32">
        <v>123</v>
      </c>
      <c r="AJ15" s="33">
        <v>1.6646366220056798E-2</v>
      </c>
      <c r="AK15" s="32">
        <v>87</v>
      </c>
      <c r="AL15" s="33">
        <v>1.3696473551637301E-2</v>
      </c>
      <c r="AM15" s="32">
        <v>96</v>
      </c>
      <c r="AN15" s="33">
        <v>1.45476587361721E-2</v>
      </c>
      <c r="AO15" s="32">
        <v>112</v>
      </c>
      <c r="AP15" s="33">
        <v>1.5884271734505701E-2</v>
      </c>
      <c r="AQ15" s="32">
        <v>115</v>
      </c>
      <c r="AR15" s="33">
        <v>1.6163035839775099E-2</v>
      </c>
      <c r="AS15" s="32">
        <v>95</v>
      </c>
      <c r="AT15" s="33">
        <v>1.4208794495961701E-2</v>
      </c>
      <c r="AU15" s="32">
        <v>117</v>
      </c>
      <c r="AV15" s="33">
        <v>1.6827268804832402E-2</v>
      </c>
      <c r="AW15" s="32">
        <v>126</v>
      </c>
      <c r="AX15" s="33">
        <v>1.6699801192842902E-2</v>
      </c>
      <c r="AY15" s="32">
        <v>148</v>
      </c>
      <c r="AZ15" s="33">
        <v>1.9553441669969598E-2</v>
      </c>
    </row>
    <row r="16" spans="1:52" x14ac:dyDescent="0.25">
      <c r="A16" s="10" t="s">
        <v>1771</v>
      </c>
      <c r="B16" s="10"/>
      <c r="C16" s="32">
        <v>19</v>
      </c>
      <c r="D16" s="33">
        <v>3.27868852459016E-3</v>
      </c>
      <c r="E16" s="32">
        <v>42</v>
      </c>
      <c r="F16" s="33">
        <v>7.9530391971217602E-3</v>
      </c>
      <c r="G16" s="32">
        <v>55</v>
      </c>
      <c r="H16" s="33">
        <v>9.6745822339489897E-3</v>
      </c>
      <c r="I16" s="32">
        <v>68</v>
      </c>
      <c r="J16" s="33">
        <v>1.21341898643826E-2</v>
      </c>
      <c r="K16" s="32">
        <v>84</v>
      </c>
      <c r="L16" s="33">
        <v>1.4288144242218101E-2</v>
      </c>
      <c r="M16" s="32">
        <v>72</v>
      </c>
      <c r="N16" s="33">
        <v>1.2977649603460701E-2</v>
      </c>
      <c r="O16" s="32">
        <v>90</v>
      </c>
      <c r="P16" s="33">
        <v>1.74961119751166E-2</v>
      </c>
      <c r="Q16" s="32">
        <v>82</v>
      </c>
      <c r="R16" s="33">
        <v>1.2469586374695901E-2</v>
      </c>
      <c r="S16" s="32">
        <v>87</v>
      </c>
      <c r="T16" s="33">
        <v>1.17234874006199E-2</v>
      </c>
      <c r="U16" s="32">
        <v>89</v>
      </c>
      <c r="V16" s="33">
        <v>1.3856453370699099E-2</v>
      </c>
      <c r="W16" s="32">
        <v>86</v>
      </c>
      <c r="X16" s="33">
        <v>1.3833038442978901E-2</v>
      </c>
      <c r="Y16" s="32">
        <v>86</v>
      </c>
      <c r="Z16" s="33">
        <v>1.1588734671877101E-2</v>
      </c>
      <c r="AA16" s="32">
        <v>94</v>
      </c>
      <c r="AB16" s="33">
        <v>1.2976256212037501E-2</v>
      </c>
      <c r="AC16" s="32">
        <v>86</v>
      </c>
      <c r="AD16" s="33">
        <v>1.30500758725341E-2</v>
      </c>
      <c r="AE16" s="32">
        <v>80</v>
      </c>
      <c r="AF16" s="33">
        <v>1.2779552715655E-2</v>
      </c>
      <c r="AG16" s="32">
        <v>85</v>
      </c>
      <c r="AH16" s="33">
        <v>1.20704345356433E-2</v>
      </c>
      <c r="AI16" s="32">
        <v>97</v>
      </c>
      <c r="AJ16" s="33">
        <v>1.31276221410204E-2</v>
      </c>
      <c r="AK16" s="32">
        <v>98</v>
      </c>
      <c r="AL16" s="33">
        <v>1.54282115869018E-2</v>
      </c>
      <c r="AM16" s="32">
        <v>84</v>
      </c>
      <c r="AN16" s="33">
        <v>1.27292013941506E-2</v>
      </c>
      <c r="AO16" s="32">
        <v>96</v>
      </c>
      <c r="AP16" s="33">
        <v>1.3615090058147801E-2</v>
      </c>
      <c r="AQ16" s="32">
        <v>104</v>
      </c>
      <c r="AR16" s="33">
        <v>1.46170063246662E-2</v>
      </c>
      <c r="AS16" s="32">
        <v>104</v>
      </c>
      <c r="AT16" s="33">
        <v>1.55548908166318E-2</v>
      </c>
      <c r="AU16" s="32">
        <v>131</v>
      </c>
      <c r="AV16" s="33">
        <v>1.8840788149000399E-2</v>
      </c>
      <c r="AW16" s="32">
        <v>103</v>
      </c>
      <c r="AX16" s="33">
        <v>1.3651424784625599E-2</v>
      </c>
      <c r="AY16" s="32">
        <v>112</v>
      </c>
      <c r="AZ16" s="33">
        <v>1.47971991015986E-2</v>
      </c>
    </row>
    <row r="17" spans="1:52" x14ac:dyDescent="0.25">
      <c r="A17" s="10" t="s">
        <v>1833</v>
      </c>
      <c r="B17" s="10"/>
      <c r="C17" s="32" t="s">
        <v>148</v>
      </c>
      <c r="D17" s="33"/>
      <c r="E17" s="32" t="s">
        <v>148</v>
      </c>
      <c r="F17" s="33"/>
      <c r="G17" s="32" t="s">
        <v>148</v>
      </c>
      <c r="H17" s="33"/>
      <c r="I17" s="32" t="s">
        <v>148</v>
      </c>
      <c r="J17" s="33"/>
      <c r="K17" s="32" t="s">
        <v>148</v>
      </c>
      <c r="L17" s="33"/>
      <c r="M17" s="32">
        <v>0</v>
      </c>
      <c r="N17" s="33"/>
      <c r="O17" s="32">
        <v>0</v>
      </c>
      <c r="P17" s="33"/>
      <c r="Q17" s="32">
        <v>785</v>
      </c>
      <c r="R17" s="33">
        <v>0.119373479318735</v>
      </c>
      <c r="S17" s="32">
        <v>1241</v>
      </c>
      <c r="T17" s="33">
        <v>0.167228136369761</v>
      </c>
      <c r="U17" s="32">
        <v>820</v>
      </c>
      <c r="V17" s="33">
        <v>0.127666199595205</v>
      </c>
      <c r="W17" s="32">
        <v>416</v>
      </c>
      <c r="X17" s="33">
        <v>6.6913302235804994E-2</v>
      </c>
      <c r="Y17" s="32">
        <v>1527</v>
      </c>
      <c r="Z17" s="33">
        <v>0.20576741679019001</v>
      </c>
      <c r="AA17" s="32">
        <v>877</v>
      </c>
      <c r="AB17" s="33">
        <v>0.12106570955273301</v>
      </c>
      <c r="AC17" s="32">
        <v>801</v>
      </c>
      <c r="AD17" s="33">
        <v>0.12154779969651</v>
      </c>
      <c r="AE17" s="32">
        <v>41</v>
      </c>
      <c r="AF17" s="33">
        <v>6.5495207667731602E-3</v>
      </c>
      <c r="AG17" s="32">
        <v>336</v>
      </c>
      <c r="AH17" s="33">
        <v>4.7713717693836998E-2</v>
      </c>
      <c r="AI17" s="32">
        <v>395</v>
      </c>
      <c r="AJ17" s="33">
        <v>5.3457842739206902E-2</v>
      </c>
      <c r="AK17" s="32">
        <v>252</v>
      </c>
      <c r="AL17" s="33">
        <v>3.9672544080604499E-2</v>
      </c>
      <c r="AM17" s="32">
        <v>97</v>
      </c>
      <c r="AN17" s="33">
        <v>1.4699196848007299E-2</v>
      </c>
      <c r="AO17" s="32">
        <v>258</v>
      </c>
      <c r="AP17" s="33">
        <v>3.6590554531272197E-2</v>
      </c>
      <c r="AQ17" s="32">
        <v>364</v>
      </c>
      <c r="AR17" s="33">
        <v>5.1159522136331702E-2</v>
      </c>
      <c r="AS17" s="32">
        <v>315</v>
      </c>
      <c r="AT17" s="33">
        <v>4.7113371223452001E-2</v>
      </c>
      <c r="AU17" s="32">
        <v>76</v>
      </c>
      <c r="AV17" s="33">
        <v>1.09305335826262E-2</v>
      </c>
      <c r="AW17" s="32">
        <v>393</v>
      </c>
      <c r="AX17" s="33">
        <v>5.2087475149105403E-2</v>
      </c>
      <c r="AY17" s="32">
        <v>108</v>
      </c>
      <c r="AZ17" s="33">
        <v>1.4268727705112999E-2</v>
      </c>
    </row>
    <row r="18" spans="1:52" x14ac:dyDescent="0.25">
      <c r="A18" s="10" t="s">
        <v>1772</v>
      </c>
      <c r="B18" s="10"/>
      <c r="C18" s="32">
        <v>10</v>
      </c>
      <c r="D18" s="33">
        <v>1.72562553925798E-3</v>
      </c>
      <c r="E18" s="32">
        <v>11</v>
      </c>
      <c r="F18" s="33">
        <v>2.0829388373414101E-3</v>
      </c>
      <c r="G18" s="32">
        <v>9</v>
      </c>
      <c r="H18" s="33">
        <v>1.5831134564643801E-3</v>
      </c>
      <c r="I18" s="32">
        <v>3</v>
      </c>
      <c r="J18" s="33">
        <v>5.3533190578158505E-4</v>
      </c>
      <c r="K18" s="32">
        <v>7</v>
      </c>
      <c r="L18" s="33">
        <v>1.19067868685151E-3</v>
      </c>
      <c r="M18" s="32">
        <v>3</v>
      </c>
      <c r="N18" s="33">
        <v>5.4073540014419597E-4</v>
      </c>
      <c r="O18" s="32">
        <v>11</v>
      </c>
      <c r="P18" s="33">
        <v>2.1384136858475901E-3</v>
      </c>
      <c r="Q18" s="32">
        <v>10</v>
      </c>
      <c r="R18" s="33">
        <v>1.5206812652068099E-3</v>
      </c>
      <c r="S18" s="32">
        <v>1</v>
      </c>
      <c r="T18" s="33">
        <v>1.34752728742757E-4</v>
      </c>
      <c r="U18" s="32">
        <v>29</v>
      </c>
      <c r="V18" s="33">
        <v>4.5150241320255297E-3</v>
      </c>
      <c r="W18" s="32">
        <v>57</v>
      </c>
      <c r="X18" s="33">
        <v>9.1684092005790592E-3</v>
      </c>
      <c r="Y18" s="32">
        <v>24</v>
      </c>
      <c r="Z18" s="33">
        <v>3.23406548982617E-3</v>
      </c>
      <c r="AA18" s="32">
        <v>26</v>
      </c>
      <c r="AB18" s="33">
        <v>3.5891772501380498E-3</v>
      </c>
      <c r="AC18" s="32">
        <v>5</v>
      </c>
      <c r="AD18" s="33">
        <v>7.5872534142640399E-4</v>
      </c>
      <c r="AE18" s="32">
        <v>6</v>
      </c>
      <c r="AF18" s="33">
        <v>9.58466453674121E-4</v>
      </c>
      <c r="AG18" s="32">
        <v>1</v>
      </c>
      <c r="AH18" s="33">
        <v>1.42005112184039E-4</v>
      </c>
      <c r="AI18" s="32">
        <v>4</v>
      </c>
      <c r="AJ18" s="33">
        <v>5.4134524292867798E-4</v>
      </c>
      <c r="AK18" s="32">
        <v>62</v>
      </c>
      <c r="AL18" s="33">
        <v>9.7607052896725392E-3</v>
      </c>
      <c r="AM18" s="32">
        <v>10</v>
      </c>
      <c r="AN18" s="33">
        <v>1.5153811183512701E-3</v>
      </c>
      <c r="AO18" s="32">
        <v>10</v>
      </c>
      <c r="AP18" s="33">
        <v>1.4182385477237299E-3</v>
      </c>
      <c r="AQ18" s="32">
        <v>12</v>
      </c>
      <c r="AR18" s="33">
        <v>1.6865776528461E-3</v>
      </c>
      <c r="AS18" s="32">
        <v>60</v>
      </c>
      <c r="AT18" s="33">
        <v>8.9739754711337105E-3</v>
      </c>
      <c r="AU18" s="32">
        <v>65</v>
      </c>
      <c r="AV18" s="33">
        <v>9.3484826693513608E-3</v>
      </c>
      <c r="AW18" s="32">
        <v>65</v>
      </c>
      <c r="AX18" s="33">
        <v>8.6149768058316808E-3</v>
      </c>
      <c r="AY18" s="32">
        <v>67</v>
      </c>
      <c r="AZ18" s="33">
        <v>8.8518958911348901E-3</v>
      </c>
    </row>
    <row r="19" spans="1:52" x14ac:dyDescent="0.25">
      <c r="A19" s="10" t="s">
        <v>1786</v>
      </c>
      <c r="B19" s="10"/>
      <c r="C19" s="32" t="s">
        <v>148</v>
      </c>
      <c r="D19" s="33"/>
      <c r="E19" s="32" t="s">
        <v>148</v>
      </c>
      <c r="F19" s="33"/>
      <c r="G19" s="32" t="s">
        <v>148</v>
      </c>
      <c r="H19" s="33"/>
      <c r="I19" s="32" t="s">
        <v>148</v>
      </c>
      <c r="J19" s="33"/>
      <c r="K19" s="32" t="s">
        <v>148</v>
      </c>
      <c r="L19" s="33"/>
      <c r="M19" s="32" t="s">
        <v>148</v>
      </c>
      <c r="N19" s="33"/>
      <c r="O19" s="32" t="s">
        <v>148</v>
      </c>
      <c r="P19" s="33"/>
      <c r="Q19" s="32" t="s">
        <v>148</v>
      </c>
      <c r="R19" s="33"/>
      <c r="S19" s="32" t="s">
        <v>148</v>
      </c>
      <c r="T19" s="33"/>
      <c r="U19" s="32" t="s">
        <v>148</v>
      </c>
      <c r="V19" s="33"/>
      <c r="W19" s="32" t="s">
        <v>148</v>
      </c>
      <c r="X19" s="33"/>
      <c r="Y19" s="32" t="s">
        <v>148</v>
      </c>
      <c r="Z19" s="33"/>
      <c r="AA19" s="32" t="s">
        <v>148</v>
      </c>
      <c r="AB19" s="33"/>
      <c r="AC19" s="32" t="s">
        <v>148</v>
      </c>
      <c r="AD19" s="33"/>
      <c r="AE19" s="32" t="s">
        <v>148</v>
      </c>
      <c r="AF19" s="33"/>
      <c r="AG19" s="32" t="s">
        <v>148</v>
      </c>
      <c r="AH19" s="33"/>
      <c r="AI19" s="32" t="s">
        <v>148</v>
      </c>
      <c r="AJ19" s="33"/>
      <c r="AK19" s="32">
        <v>27</v>
      </c>
      <c r="AL19" s="33">
        <v>4.2506297229219104E-3</v>
      </c>
      <c r="AM19" s="32" t="s">
        <v>148</v>
      </c>
      <c r="AN19" s="33"/>
      <c r="AO19" s="32" t="s">
        <v>148</v>
      </c>
      <c r="AP19" s="33"/>
      <c r="AQ19" s="32" t="s">
        <v>148</v>
      </c>
      <c r="AR19" s="33"/>
      <c r="AS19" s="32">
        <v>42</v>
      </c>
      <c r="AT19" s="33">
        <v>6.2817828297935998E-3</v>
      </c>
      <c r="AU19" s="32">
        <v>47</v>
      </c>
      <c r="AV19" s="33">
        <v>6.75967208399252E-3</v>
      </c>
      <c r="AW19" s="32">
        <v>45</v>
      </c>
      <c r="AX19" s="33">
        <v>5.9642147117296204E-3</v>
      </c>
      <c r="AY19" s="32">
        <v>58</v>
      </c>
      <c r="AZ19" s="33">
        <v>7.66283524904214E-3</v>
      </c>
    </row>
    <row r="20" spans="1:52" x14ac:dyDescent="0.25">
      <c r="A20" s="10" t="s">
        <v>1812</v>
      </c>
      <c r="B20" s="10"/>
      <c r="C20" s="32" t="s">
        <v>148</v>
      </c>
      <c r="D20" s="33"/>
      <c r="E20" s="32" t="s">
        <v>148</v>
      </c>
      <c r="F20" s="33"/>
      <c r="G20" s="32" t="s">
        <v>148</v>
      </c>
      <c r="H20" s="33"/>
      <c r="I20" s="32" t="s">
        <v>148</v>
      </c>
      <c r="J20" s="33"/>
      <c r="K20" s="32" t="s">
        <v>148</v>
      </c>
      <c r="L20" s="33"/>
      <c r="M20" s="32">
        <v>0</v>
      </c>
      <c r="N20" s="33"/>
      <c r="O20" s="32">
        <v>0</v>
      </c>
      <c r="P20" s="33"/>
      <c r="Q20" s="32">
        <v>5</v>
      </c>
      <c r="R20" s="33">
        <v>7.6034063260340605E-4</v>
      </c>
      <c r="S20" s="32">
        <v>29</v>
      </c>
      <c r="T20" s="33">
        <v>3.9078291335399497E-3</v>
      </c>
      <c r="U20" s="32">
        <v>27</v>
      </c>
      <c r="V20" s="33">
        <v>4.2036431574030801E-3</v>
      </c>
      <c r="W20" s="32">
        <v>32</v>
      </c>
      <c r="X20" s="33">
        <v>5.1471770950619299E-3</v>
      </c>
      <c r="Y20" s="32">
        <v>35</v>
      </c>
      <c r="Z20" s="33">
        <v>4.7163455059965002E-3</v>
      </c>
      <c r="AA20" s="32">
        <v>42</v>
      </c>
      <c r="AB20" s="33">
        <v>5.7979017117614599E-3</v>
      </c>
      <c r="AC20" s="32">
        <v>47</v>
      </c>
      <c r="AD20" s="33">
        <v>7.13201820940819E-3</v>
      </c>
      <c r="AE20" s="32">
        <v>53</v>
      </c>
      <c r="AF20" s="33">
        <v>8.4664536741214103E-3</v>
      </c>
      <c r="AG20" s="32">
        <v>60</v>
      </c>
      <c r="AH20" s="33">
        <v>8.5203067310423205E-3</v>
      </c>
      <c r="AI20" s="32">
        <v>61</v>
      </c>
      <c r="AJ20" s="33">
        <v>8.2555149546623408E-3</v>
      </c>
      <c r="AK20" s="32">
        <v>59</v>
      </c>
      <c r="AL20" s="33">
        <v>9.2884130982367804E-3</v>
      </c>
      <c r="AM20" s="32">
        <v>56</v>
      </c>
      <c r="AN20" s="33">
        <v>8.4861342627670904E-3</v>
      </c>
      <c r="AO20" s="32">
        <v>64</v>
      </c>
      <c r="AP20" s="33">
        <v>9.0767267054318503E-3</v>
      </c>
      <c r="AQ20" s="32">
        <v>66</v>
      </c>
      <c r="AR20" s="33">
        <v>9.2761770906535507E-3</v>
      </c>
      <c r="AS20" s="32">
        <v>55</v>
      </c>
      <c r="AT20" s="33">
        <v>8.2261441818725703E-3</v>
      </c>
      <c r="AU20" s="32">
        <v>63</v>
      </c>
      <c r="AV20" s="33">
        <v>9.0608370487559303E-3</v>
      </c>
      <c r="AW20" s="32">
        <v>63</v>
      </c>
      <c r="AX20" s="33">
        <v>8.3499005964214699E-3</v>
      </c>
      <c r="AY20" s="32">
        <v>53</v>
      </c>
      <c r="AZ20" s="33">
        <v>7.0022460034350597E-3</v>
      </c>
    </row>
    <row r="21" spans="1:52" x14ac:dyDescent="0.25">
      <c r="A21" s="10" t="s">
        <v>1798</v>
      </c>
      <c r="B21" s="10"/>
      <c r="C21" s="32">
        <v>44</v>
      </c>
      <c r="D21" s="33">
        <v>7.59275237273512E-3</v>
      </c>
      <c r="E21" s="32">
        <v>36</v>
      </c>
      <c r="F21" s="33">
        <v>6.8168907403900799E-3</v>
      </c>
      <c r="G21" s="32">
        <v>41</v>
      </c>
      <c r="H21" s="33">
        <v>7.2119613016710599E-3</v>
      </c>
      <c r="I21" s="32">
        <v>42</v>
      </c>
      <c r="J21" s="33">
        <v>7.49464668094218E-3</v>
      </c>
      <c r="K21" s="32">
        <v>34</v>
      </c>
      <c r="L21" s="33">
        <v>5.7832964789930304E-3</v>
      </c>
      <c r="M21" s="32">
        <v>33</v>
      </c>
      <c r="N21" s="33">
        <v>5.9480894015861603E-3</v>
      </c>
      <c r="O21" s="32">
        <v>38</v>
      </c>
      <c r="P21" s="33">
        <v>7.3872472783825796E-3</v>
      </c>
      <c r="Q21" s="32">
        <v>32</v>
      </c>
      <c r="R21" s="33">
        <v>4.8661800486617997E-3</v>
      </c>
      <c r="S21" s="32">
        <v>34</v>
      </c>
      <c r="T21" s="33">
        <v>4.5815927772537403E-3</v>
      </c>
      <c r="U21" s="32">
        <v>38</v>
      </c>
      <c r="V21" s="33">
        <v>5.9162385178265602E-3</v>
      </c>
      <c r="W21" s="32">
        <v>37</v>
      </c>
      <c r="X21" s="33">
        <v>5.95142351616535E-3</v>
      </c>
      <c r="Y21" s="32">
        <v>34</v>
      </c>
      <c r="Z21" s="33">
        <v>4.5815927772537403E-3</v>
      </c>
      <c r="AA21" s="32">
        <v>27</v>
      </c>
      <c r="AB21" s="33">
        <v>3.7272225289895098E-3</v>
      </c>
      <c r="AC21" s="32">
        <v>26</v>
      </c>
      <c r="AD21" s="33">
        <v>3.9453717754173003E-3</v>
      </c>
      <c r="AE21" s="32">
        <v>37</v>
      </c>
      <c r="AF21" s="33">
        <v>5.9105431309904198E-3</v>
      </c>
      <c r="AG21" s="32">
        <v>29</v>
      </c>
      <c r="AH21" s="33">
        <v>4.1181482533371198E-3</v>
      </c>
      <c r="AI21" s="32">
        <v>44</v>
      </c>
      <c r="AJ21" s="33">
        <v>5.9547976722154599E-3</v>
      </c>
      <c r="AK21" s="32">
        <v>62</v>
      </c>
      <c r="AL21" s="33">
        <v>9.7607052896725392E-3</v>
      </c>
      <c r="AM21" s="32">
        <v>26</v>
      </c>
      <c r="AN21" s="33">
        <v>3.9399909077132899E-3</v>
      </c>
      <c r="AO21" s="32">
        <v>35</v>
      </c>
      <c r="AP21" s="33">
        <v>4.9638349170330496E-3</v>
      </c>
      <c r="AQ21" s="32">
        <v>28</v>
      </c>
      <c r="AR21" s="33">
        <v>3.9353478566409002E-3</v>
      </c>
      <c r="AS21" s="32">
        <v>59</v>
      </c>
      <c r="AT21" s="33">
        <v>8.8244092132814794E-3</v>
      </c>
      <c r="AU21" s="32">
        <v>98</v>
      </c>
      <c r="AV21" s="33">
        <v>1.4094635409175899E-2</v>
      </c>
      <c r="AW21" s="32">
        <v>47</v>
      </c>
      <c r="AX21" s="33">
        <v>6.2292909211398304E-3</v>
      </c>
      <c r="AY21" s="32">
        <v>51</v>
      </c>
      <c r="AZ21" s="33">
        <v>6.73801030519223E-3</v>
      </c>
    </row>
    <row r="22" spans="1:52" x14ac:dyDescent="0.25">
      <c r="A22" s="10" t="s">
        <v>1797</v>
      </c>
      <c r="B22" s="10"/>
      <c r="C22" s="32">
        <v>6</v>
      </c>
      <c r="D22" s="33">
        <v>1.03537532355479E-3</v>
      </c>
      <c r="E22" s="32">
        <v>8</v>
      </c>
      <c r="F22" s="33">
        <v>1.5148646089755699E-3</v>
      </c>
      <c r="G22" s="32">
        <v>10</v>
      </c>
      <c r="H22" s="33">
        <v>1.75901495162709E-3</v>
      </c>
      <c r="I22" s="32">
        <v>9</v>
      </c>
      <c r="J22" s="33">
        <v>1.60599571734475E-3</v>
      </c>
      <c r="K22" s="32">
        <v>10</v>
      </c>
      <c r="L22" s="33">
        <v>1.7009695526450099E-3</v>
      </c>
      <c r="M22" s="32">
        <v>18</v>
      </c>
      <c r="N22" s="33">
        <v>3.2444124008651799E-3</v>
      </c>
      <c r="O22" s="32">
        <v>10</v>
      </c>
      <c r="P22" s="33">
        <v>1.9440124416796301E-3</v>
      </c>
      <c r="Q22" s="32">
        <v>18</v>
      </c>
      <c r="R22" s="33">
        <v>2.7372262773722599E-3</v>
      </c>
      <c r="S22" s="32">
        <v>15</v>
      </c>
      <c r="T22" s="33">
        <v>2.02129093114136E-3</v>
      </c>
      <c r="U22" s="32">
        <v>12</v>
      </c>
      <c r="V22" s="33">
        <v>1.8682858477347001E-3</v>
      </c>
      <c r="W22" s="32">
        <v>13</v>
      </c>
      <c r="X22" s="33">
        <v>2.09104069486891E-3</v>
      </c>
      <c r="Y22" s="32">
        <v>7</v>
      </c>
      <c r="Z22" s="33">
        <v>9.4326910119929899E-4</v>
      </c>
      <c r="AA22" s="32">
        <v>7</v>
      </c>
      <c r="AB22" s="33">
        <v>9.66316951960243E-4</v>
      </c>
      <c r="AC22" s="32">
        <v>25</v>
      </c>
      <c r="AD22" s="33">
        <v>3.7936267071320201E-3</v>
      </c>
      <c r="AE22" s="32">
        <v>15</v>
      </c>
      <c r="AF22" s="33">
        <v>2.3961661341852999E-3</v>
      </c>
      <c r="AG22" s="32">
        <v>9</v>
      </c>
      <c r="AH22" s="33">
        <v>1.2780460096563501E-3</v>
      </c>
      <c r="AI22" s="32">
        <v>9</v>
      </c>
      <c r="AJ22" s="33">
        <v>1.2180267965895199E-3</v>
      </c>
      <c r="AK22" s="32">
        <v>6</v>
      </c>
      <c r="AL22" s="33">
        <v>9.4458438287153596E-4</v>
      </c>
      <c r="AM22" s="32">
        <v>20</v>
      </c>
      <c r="AN22" s="33">
        <v>3.0307622367025302E-3</v>
      </c>
      <c r="AO22" s="32">
        <v>12</v>
      </c>
      <c r="AP22" s="33">
        <v>1.7018862572684701E-3</v>
      </c>
      <c r="AQ22" s="32">
        <v>4</v>
      </c>
      <c r="AR22" s="33">
        <v>5.6219255094869995E-4</v>
      </c>
      <c r="AS22" s="32">
        <v>14</v>
      </c>
      <c r="AT22" s="33">
        <v>2.0939276099311999E-3</v>
      </c>
      <c r="AU22" s="32">
        <v>17</v>
      </c>
      <c r="AV22" s="33">
        <v>2.4449877750611199E-3</v>
      </c>
      <c r="AW22" s="32">
        <v>5</v>
      </c>
      <c r="AX22" s="33">
        <v>6.6269052352551402E-4</v>
      </c>
      <c r="AY22" s="32">
        <v>7</v>
      </c>
      <c r="AZ22" s="33">
        <v>9.24824943849914E-4</v>
      </c>
    </row>
    <row r="23" spans="1:52" x14ac:dyDescent="0.25">
      <c r="A23" s="10" t="s">
        <v>1834</v>
      </c>
      <c r="B23" s="10"/>
      <c r="C23" s="32" t="s">
        <v>148</v>
      </c>
      <c r="D23" s="33"/>
      <c r="E23" s="32">
        <v>22</v>
      </c>
      <c r="F23" s="33">
        <v>4.1658776746828297E-3</v>
      </c>
      <c r="G23" s="32">
        <v>19</v>
      </c>
      <c r="H23" s="33">
        <v>3.3421284080914701E-3</v>
      </c>
      <c r="I23" s="32">
        <v>20</v>
      </c>
      <c r="J23" s="33">
        <v>3.56887937187723E-3</v>
      </c>
      <c r="K23" s="32">
        <v>19</v>
      </c>
      <c r="L23" s="33">
        <v>3.2318421500255102E-3</v>
      </c>
      <c r="M23" s="32">
        <v>17</v>
      </c>
      <c r="N23" s="33">
        <v>3.0641672674837799E-3</v>
      </c>
      <c r="O23" s="32">
        <v>14</v>
      </c>
      <c r="P23" s="33">
        <v>2.7216174183514802E-3</v>
      </c>
      <c r="Q23" s="32">
        <v>24</v>
      </c>
      <c r="R23" s="33">
        <v>3.6496350364963498E-3</v>
      </c>
      <c r="S23" s="32">
        <v>21</v>
      </c>
      <c r="T23" s="33">
        <v>2.8298073035979E-3</v>
      </c>
      <c r="U23" s="32">
        <v>20</v>
      </c>
      <c r="V23" s="33">
        <v>3.1138097462245101E-3</v>
      </c>
      <c r="W23" s="32">
        <v>20</v>
      </c>
      <c r="X23" s="33">
        <v>3.2169856844137001E-3</v>
      </c>
      <c r="Y23" s="32">
        <v>30</v>
      </c>
      <c r="Z23" s="33">
        <v>4.0425818622827096E-3</v>
      </c>
      <c r="AA23" s="32">
        <v>21</v>
      </c>
      <c r="AB23" s="33">
        <v>2.89895085588073E-3</v>
      </c>
      <c r="AC23" s="32">
        <v>26</v>
      </c>
      <c r="AD23" s="33">
        <v>3.9453717754173003E-3</v>
      </c>
      <c r="AE23" s="32">
        <v>85</v>
      </c>
      <c r="AF23" s="33">
        <v>1.35782747603834E-2</v>
      </c>
      <c r="AG23" s="32">
        <v>28</v>
      </c>
      <c r="AH23" s="33">
        <v>3.9761431411530802E-3</v>
      </c>
      <c r="AI23" s="32">
        <v>29</v>
      </c>
      <c r="AJ23" s="33">
        <v>3.92475301123291E-3</v>
      </c>
      <c r="AK23" s="32">
        <v>18</v>
      </c>
      <c r="AL23" s="33">
        <v>2.8337531486146098E-3</v>
      </c>
      <c r="AM23" s="32">
        <v>6</v>
      </c>
      <c r="AN23" s="33">
        <v>9.0922867101075899E-4</v>
      </c>
      <c r="AO23" s="32">
        <v>32</v>
      </c>
      <c r="AP23" s="33">
        <v>4.5383633527159304E-3</v>
      </c>
      <c r="AQ23" s="32">
        <v>5</v>
      </c>
      <c r="AR23" s="33">
        <v>7.0274068868587502E-4</v>
      </c>
      <c r="AS23" s="32">
        <v>23</v>
      </c>
      <c r="AT23" s="33">
        <v>3.4400239306012601E-3</v>
      </c>
      <c r="AU23" s="32">
        <v>25</v>
      </c>
      <c r="AV23" s="33">
        <v>3.5955702574428298E-3</v>
      </c>
      <c r="AW23" s="32">
        <v>17</v>
      </c>
      <c r="AX23" s="33">
        <v>2.2531477799867502E-3</v>
      </c>
      <c r="AY23" s="32" t="s">
        <v>148</v>
      </c>
      <c r="AZ23" s="33"/>
    </row>
    <row r="24" spans="1:52" x14ac:dyDescent="0.25">
      <c r="A24" s="10" t="s">
        <v>1835</v>
      </c>
      <c r="B24" s="10"/>
      <c r="C24" s="32" t="s">
        <v>148</v>
      </c>
      <c r="D24" s="33"/>
      <c r="E24" s="32" t="s">
        <v>148</v>
      </c>
      <c r="F24" s="33"/>
      <c r="G24" s="32" t="s">
        <v>148</v>
      </c>
      <c r="H24" s="33"/>
      <c r="I24" s="32" t="s">
        <v>148</v>
      </c>
      <c r="J24" s="33"/>
      <c r="K24" s="32" t="s">
        <v>148</v>
      </c>
      <c r="L24" s="33"/>
      <c r="M24" s="32">
        <v>8</v>
      </c>
      <c r="N24" s="33">
        <v>1.44196106705119E-3</v>
      </c>
      <c r="O24" s="32">
        <v>1</v>
      </c>
      <c r="P24" s="33">
        <v>1.94401244167963E-4</v>
      </c>
      <c r="Q24" s="32" t="s">
        <v>148</v>
      </c>
      <c r="R24" s="33"/>
      <c r="S24" s="32" t="s">
        <v>148</v>
      </c>
      <c r="T24" s="33"/>
      <c r="U24" s="32">
        <v>0</v>
      </c>
      <c r="V24" s="33"/>
      <c r="W24" s="32">
        <v>1</v>
      </c>
      <c r="X24" s="33">
        <v>1.6084928422068501E-4</v>
      </c>
      <c r="Y24" s="32" t="s">
        <v>148</v>
      </c>
      <c r="Z24" s="33"/>
      <c r="AA24" s="32">
        <v>1</v>
      </c>
      <c r="AB24" s="33">
        <v>1.3804527885146299E-4</v>
      </c>
      <c r="AC24" s="32">
        <v>0</v>
      </c>
      <c r="AD24" s="33"/>
      <c r="AE24" s="32">
        <v>0</v>
      </c>
      <c r="AF24" s="33"/>
      <c r="AG24" s="32">
        <v>0</v>
      </c>
      <c r="AH24" s="33"/>
      <c r="AI24" s="32">
        <v>-1</v>
      </c>
      <c r="AJ24" s="33">
        <v>-1.3533631073216901E-4</v>
      </c>
      <c r="AK24" s="32" t="s">
        <v>148</v>
      </c>
      <c r="AL24" s="33"/>
      <c r="AM24" s="32">
        <v>0</v>
      </c>
      <c r="AN24" s="33"/>
      <c r="AO24" s="32">
        <v>0</v>
      </c>
      <c r="AP24" s="33"/>
      <c r="AQ24" s="32">
        <v>0</v>
      </c>
      <c r="AR24" s="33"/>
      <c r="AS24" s="32" t="s">
        <v>148</v>
      </c>
      <c r="AT24" s="33"/>
      <c r="AU24" s="32" t="s">
        <v>148</v>
      </c>
      <c r="AV24" s="33"/>
      <c r="AW24" s="32" t="s">
        <v>148</v>
      </c>
      <c r="AX24" s="33"/>
      <c r="AY24" s="32" t="s">
        <v>148</v>
      </c>
      <c r="AZ24" s="33"/>
    </row>
    <row r="25" spans="1:52" x14ac:dyDescent="0.25">
      <c r="A25" s="10" t="s">
        <v>1836</v>
      </c>
      <c r="B25" s="10"/>
      <c r="C25" s="32">
        <v>177</v>
      </c>
      <c r="D25" s="33">
        <v>3.05435720448663E-2</v>
      </c>
      <c r="E25" s="32">
        <v>155</v>
      </c>
      <c r="F25" s="33">
        <v>2.9350501798901699E-2</v>
      </c>
      <c r="G25" s="32">
        <v>19</v>
      </c>
      <c r="H25" s="33">
        <v>3.3421284080914701E-3</v>
      </c>
      <c r="I25" s="32">
        <v>31</v>
      </c>
      <c r="J25" s="33">
        <v>5.5317630264097098E-3</v>
      </c>
      <c r="K25" s="32">
        <v>11</v>
      </c>
      <c r="L25" s="33">
        <v>1.87106650790951E-3</v>
      </c>
      <c r="M25" s="32">
        <v>8</v>
      </c>
      <c r="N25" s="33">
        <v>1.44196106705119E-3</v>
      </c>
      <c r="O25" s="32">
        <v>1</v>
      </c>
      <c r="P25" s="33">
        <v>1.94401244167963E-4</v>
      </c>
      <c r="Q25" s="32">
        <v>0</v>
      </c>
      <c r="R25" s="33"/>
      <c r="S25" s="32">
        <v>0</v>
      </c>
      <c r="T25" s="33"/>
      <c r="U25" s="32" t="s">
        <v>148</v>
      </c>
      <c r="V25" s="33"/>
      <c r="W25" s="32" t="s">
        <v>148</v>
      </c>
      <c r="X25" s="33"/>
      <c r="Y25" s="32" t="s">
        <v>148</v>
      </c>
      <c r="Z25" s="33"/>
      <c r="AA25" s="32" t="s">
        <v>148</v>
      </c>
      <c r="AB25" s="33"/>
      <c r="AC25" s="32" t="s">
        <v>148</v>
      </c>
      <c r="AD25" s="33"/>
      <c r="AE25" s="32" t="s">
        <v>148</v>
      </c>
      <c r="AF25" s="33"/>
      <c r="AG25" s="32" t="s">
        <v>148</v>
      </c>
      <c r="AH25" s="33"/>
      <c r="AI25" s="32" t="s">
        <v>148</v>
      </c>
      <c r="AJ25" s="33"/>
      <c r="AK25" s="32" t="s">
        <v>148</v>
      </c>
      <c r="AL25" s="33"/>
      <c r="AM25" s="32" t="s">
        <v>148</v>
      </c>
      <c r="AN25" s="33"/>
      <c r="AO25" s="32" t="s">
        <v>148</v>
      </c>
      <c r="AP25" s="33"/>
      <c r="AQ25" s="32" t="s">
        <v>148</v>
      </c>
      <c r="AR25" s="33"/>
      <c r="AS25" s="32" t="s">
        <v>148</v>
      </c>
      <c r="AT25" s="33"/>
      <c r="AU25" s="32" t="s">
        <v>148</v>
      </c>
      <c r="AV25" s="33"/>
      <c r="AW25" s="32" t="s">
        <v>148</v>
      </c>
      <c r="AX25" s="33"/>
      <c r="AY25" s="32" t="s">
        <v>148</v>
      </c>
      <c r="AZ25" s="33"/>
    </row>
    <row r="26" spans="1:52" x14ac:dyDescent="0.25">
      <c r="A26" s="10" t="s">
        <v>1799</v>
      </c>
      <c r="B26" s="10"/>
      <c r="C26" s="32">
        <v>254</v>
      </c>
      <c r="D26" s="33">
        <v>4.3830888697152702E-2</v>
      </c>
      <c r="E26" s="32">
        <v>197</v>
      </c>
      <c r="F26" s="33">
        <v>3.7303540996023503E-2</v>
      </c>
      <c r="G26" s="32">
        <v>204</v>
      </c>
      <c r="H26" s="33">
        <v>3.58839050131926E-2</v>
      </c>
      <c r="I26" s="32">
        <v>121</v>
      </c>
      <c r="J26" s="33">
        <v>2.1591720199857199E-2</v>
      </c>
      <c r="K26" s="32">
        <v>96</v>
      </c>
      <c r="L26" s="33">
        <v>1.63293077053921E-2</v>
      </c>
      <c r="M26" s="32">
        <v>83</v>
      </c>
      <c r="N26" s="33">
        <v>1.49603460706561E-2</v>
      </c>
      <c r="O26" s="32">
        <v>80</v>
      </c>
      <c r="P26" s="33">
        <v>1.5552099533436999E-2</v>
      </c>
      <c r="Q26" s="32">
        <v>78</v>
      </c>
      <c r="R26" s="33">
        <v>1.18613138686131E-2</v>
      </c>
      <c r="S26" s="32">
        <v>73</v>
      </c>
      <c r="T26" s="33">
        <v>9.8369491982212599E-3</v>
      </c>
      <c r="U26" s="32">
        <v>54</v>
      </c>
      <c r="V26" s="33">
        <v>8.4072863148061706E-3</v>
      </c>
      <c r="W26" s="32">
        <v>57</v>
      </c>
      <c r="X26" s="33">
        <v>9.1684092005790592E-3</v>
      </c>
      <c r="Y26" s="32">
        <v>46</v>
      </c>
      <c r="Z26" s="33">
        <v>6.1986255221668203E-3</v>
      </c>
      <c r="AA26" s="32">
        <v>49</v>
      </c>
      <c r="AB26" s="33">
        <v>6.7642186637216998E-3</v>
      </c>
      <c r="AC26" s="32">
        <v>43</v>
      </c>
      <c r="AD26" s="33">
        <v>6.52503793626707E-3</v>
      </c>
      <c r="AE26" s="32">
        <v>49</v>
      </c>
      <c r="AF26" s="33">
        <v>7.8274760383386602E-3</v>
      </c>
      <c r="AG26" s="32">
        <v>43</v>
      </c>
      <c r="AH26" s="33">
        <v>6.1062198239136599E-3</v>
      </c>
      <c r="AI26" s="32">
        <v>60</v>
      </c>
      <c r="AJ26" s="33">
        <v>8.1201786439301701E-3</v>
      </c>
      <c r="AK26" s="32" t="s">
        <v>148</v>
      </c>
      <c r="AL26" s="33"/>
      <c r="AM26" s="32">
        <v>39</v>
      </c>
      <c r="AN26" s="33">
        <v>5.9099863615699301E-3</v>
      </c>
      <c r="AO26" s="32">
        <v>36</v>
      </c>
      <c r="AP26" s="33">
        <v>5.1056587718054198E-3</v>
      </c>
      <c r="AQ26" s="32">
        <v>36</v>
      </c>
      <c r="AR26" s="33">
        <v>5.0597329585382999E-3</v>
      </c>
      <c r="AS26" s="32" t="s">
        <v>148</v>
      </c>
      <c r="AT26" s="33"/>
      <c r="AU26" s="32" t="s">
        <v>148</v>
      </c>
      <c r="AV26" s="33"/>
      <c r="AW26" s="32" t="s">
        <v>148</v>
      </c>
      <c r="AX26" s="33"/>
      <c r="AY26" s="32" t="s">
        <v>148</v>
      </c>
      <c r="AZ26" s="33"/>
    </row>
    <row r="27" spans="1:52" x14ac:dyDescent="0.25">
      <c r="A27" s="10" t="s">
        <v>1837</v>
      </c>
      <c r="B27" s="10"/>
      <c r="C27" s="32">
        <v>54</v>
      </c>
      <c r="D27" s="33">
        <v>9.3183779119931E-3</v>
      </c>
      <c r="E27" s="32">
        <v>45</v>
      </c>
      <c r="F27" s="33">
        <v>8.5211134254876003E-3</v>
      </c>
      <c r="G27" s="32">
        <v>53</v>
      </c>
      <c r="H27" s="33">
        <v>9.3227792436235708E-3</v>
      </c>
      <c r="I27" s="32">
        <v>42</v>
      </c>
      <c r="J27" s="33">
        <v>7.49464668094218E-3</v>
      </c>
      <c r="K27" s="32" t="s">
        <v>148</v>
      </c>
      <c r="L27" s="33"/>
      <c r="M27" s="32" t="s">
        <v>148</v>
      </c>
      <c r="N27" s="33"/>
      <c r="O27" s="32" t="s">
        <v>148</v>
      </c>
      <c r="P27" s="33"/>
      <c r="Q27" s="32" t="s">
        <v>148</v>
      </c>
      <c r="R27" s="33"/>
      <c r="S27" s="32" t="s">
        <v>148</v>
      </c>
      <c r="T27" s="33"/>
      <c r="U27" s="32" t="s">
        <v>148</v>
      </c>
      <c r="V27" s="33"/>
      <c r="W27" s="32" t="s">
        <v>148</v>
      </c>
      <c r="X27" s="33"/>
      <c r="Y27" s="32" t="s">
        <v>148</v>
      </c>
      <c r="Z27" s="33"/>
      <c r="AA27" s="32" t="s">
        <v>148</v>
      </c>
      <c r="AB27" s="33"/>
      <c r="AC27" s="32" t="s">
        <v>148</v>
      </c>
      <c r="AD27" s="33"/>
      <c r="AE27" s="32" t="s">
        <v>148</v>
      </c>
      <c r="AF27" s="33"/>
      <c r="AG27" s="32" t="s">
        <v>148</v>
      </c>
      <c r="AH27" s="33"/>
      <c r="AI27" s="32" t="s">
        <v>148</v>
      </c>
      <c r="AJ27" s="33"/>
      <c r="AK27" s="32" t="s">
        <v>148</v>
      </c>
      <c r="AL27" s="33"/>
      <c r="AM27" s="32" t="s">
        <v>148</v>
      </c>
      <c r="AN27" s="33"/>
      <c r="AO27" s="32" t="s">
        <v>148</v>
      </c>
      <c r="AP27" s="33"/>
      <c r="AQ27" s="32" t="s">
        <v>148</v>
      </c>
      <c r="AR27" s="33"/>
      <c r="AS27" s="32" t="s">
        <v>148</v>
      </c>
      <c r="AT27" s="33"/>
      <c r="AU27" s="32" t="s">
        <v>148</v>
      </c>
      <c r="AV27" s="33"/>
      <c r="AW27" s="32" t="s">
        <v>148</v>
      </c>
      <c r="AX27" s="33"/>
      <c r="AY27" s="32" t="s">
        <v>148</v>
      </c>
      <c r="AZ27" s="33"/>
    </row>
    <row r="28" spans="1:52" x14ac:dyDescent="0.25">
      <c r="A28" s="10" t="s">
        <v>1838</v>
      </c>
      <c r="B28" s="10"/>
      <c r="C28" s="32">
        <v>15</v>
      </c>
      <c r="D28" s="33">
        <v>2.58843830888697E-3</v>
      </c>
      <c r="E28" s="32">
        <v>11</v>
      </c>
      <c r="F28" s="33">
        <v>2.0829388373414101E-3</v>
      </c>
      <c r="G28" s="32">
        <v>12</v>
      </c>
      <c r="H28" s="33">
        <v>2.11081794195251E-3</v>
      </c>
      <c r="I28" s="32">
        <v>13</v>
      </c>
      <c r="J28" s="33">
        <v>2.3197715917202002E-3</v>
      </c>
      <c r="K28" s="32">
        <v>11</v>
      </c>
      <c r="L28" s="33">
        <v>1.87106650790951E-3</v>
      </c>
      <c r="M28" s="32">
        <v>8</v>
      </c>
      <c r="N28" s="33">
        <v>1.44196106705119E-3</v>
      </c>
      <c r="O28" s="32">
        <v>8</v>
      </c>
      <c r="P28" s="33">
        <v>1.5552099533437001E-3</v>
      </c>
      <c r="Q28" s="32">
        <v>8</v>
      </c>
      <c r="R28" s="33">
        <v>1.2165450121654499E-3</v>
      </c>
      <c r="S28" s="32">
        <v>7</v>
      </c>
      <c r="T28" s="33">
        <v>9.4326910119929899E-4</v>
      </c>
      <c r="U28" s="32" t="s">
        <v>148</v>
      </c>
      <c r="V28" s="33"/>
      <c r="W28" s="32" t="s">
        <v>148</v>
      </c>
      <c r="X28" s="33"/>
      <c r="Y28" s="32" t="s">
        <v>148</v>
      </c>
      <c r="Z28" s="33"/>
      <c r="AA28" s="32" t="s">
        <v>148</v>
      </c>
      <c r="AB28" s="33"/>
      <c r="AC28" s="32" t="s">
        <v>148</v>
      </c>
      <c r="AD28" s="33"/>
      <c r="AE28" s="32" t="s">
        <v>148</v>
      </c>
      <c r="AF28" s="33"/>
      <c r="AG28" s="32" t="s">
        <v>148</v>
      </c>
      <c r="AH28" s="33"/>
      <c r="AI28" s="32" t="s">
        <v>148</v>
      </c>
      <c r="AJ28" s="33"/>
      <c r="AK28" s="32" t="s">
        <v>148</v>
      </c>
      <c r="AL28" s="33"/>
      <c r="AM28" s="32" t="s">
        <v>148</v>
      </c>
      <c r="AN28" s="33"/>
      <c r="AO28" s="32" t="s">
        <v>148</v>
      </c>
      <c r="AP28" s="33"/>
      <c r="AQ28" s="32" t="s">
        <v>148</v>
      </c>
      <c r="AR28" s="33"/>
      <c r="AS28" s="32" t="s">
        <v>148</v>
      </c>
      <c r="AT28" s="33"/>
      <c r="AU28" s="32" t="s">
        <v>148</v>
      </c>
      <c r="AV28" s="33"/>
      <c r="AW28" s="32" t="s">
        <v>148</v>
      </c>
      <c r="AX28" s="33"/>
      <c r="AY28" s="32" t="s">
        <v>148</v>
      </c>
      <c r="AZ28" s="33"/>
    </row>
    <row r="29" spans="1:52" x14ac:dyDescent="0.25">
      <c r="A29" s="10" t="s">
        <v>1839</v>
      </c>
      <c r="B29" s="10"/>
      <c r="C29" s="32">
        <v>117</v>
      </c>
      <c r="D29" s="33">
        <v>2.0189818809318399E-2</v>
      </c>
      <c r="E29" s="32">
        <v>67</v>
      </c>
      <c r="F29" s="33">
        <v>1.26869911001704E-2</v>
      </c>
      <c r="G29" s="32">
        <v>78</v>
      </c>
      <c r="H29" s="33">
        <v>1.3720316622691299E-2</v>
      </c>
      <c r="I29" s="32">
        <v>63</v>
      </c>
      <c r="J29" s="33">
        <v>1.12419700214133E-2</v>
      </c>
      <c r="K29" s="32">
        <v>60</v>
      </c>
      <c r="L29" s="33">
        <v>1.0205817315869999E-2</v>
      </c>
      <c r="M29" s="32">
        <v>34</v>
      </c>
      <c r="N29" s="33">
        <v>6.1283345349675599E-3</v>
      </c>
      <c r="O29" s="32">
        <v>39</v>
      </c>
      <c r="P29" s="33">
        <v>7.58164852255054E-3</v>
      </c>
      <c r="Q29" s="32">
        <v>27</v>
      </c>
      <c r="R29" s="33">
        <v>4.10583941605839E-3</v>
      </c>
      <c r="S29" s="32">
        <v>25</v>
      </c>
      <c r="T29" s="33">
        <v>3.3688182185689299E-3</v>
      </c>
      <c r="U29" s="32">
        <v>31</v>
      </c>
      <c r="V29" s="33">
        <v>4.8264051066479801E-3</v>
      </c>
      <c r="W29" s="32">
        <v>35</v>
      </c>
      <c r="X29" s="33">
        <v>5.62972494772398E-3</v>
      </c>
      <c r="Y29" s="32">
        <v>28</v>
      </c>
      <c r="Z29" s="33">
        <v>3.7730764047971999E-3</v>
      </c>
      <c r="AA29" s="32">
        <v>38</v>
      </c>
      <c r="AB29" s="33">
        <v>5.2457205963556E-3</v>
      </c>
      <c r="AC29" s="32">
        <v>22</v>
      </c>
      <c r="AD29" s="33">
        <v>3.3383915022761799E-3</v>
      </c>
      <c r="AE29" s="32">
        <v>24</v>
      </c>
      <c r="AF29" s="33">
        <v>3.8338658146964901E-3</v>
      </c>
      <c r="AG29" s="32">
        <v>22</v>
      </c>
      <c r="AH29" s="33">
        <v>3.1241124680488502E-3</v>
      </c>
      <c r="AI29" s="32">
        <v>20</v>
      </c>
      <c r="AJ29" s="33">
        <v>2.7067262146433899E-3</v>
      </c>
      <c r="AK29" s="32" t="s">
        <v>148</v>
      </c>
      <c r="AL29" s="33"/>
      <c r="AM29" s="32">
        <v>19</v>
      </c>
      <c r="AN29" s="33">
        <v>2.8792241248673999E-3</v>
      </c>
      <c r="AO29" s="32">
        <v>18</v>
      </c>
      <c r="AP29" s="33">
        <v>2.5528293859027099E-3</v>
      </c>
      <c r="AQ29" s="32">
        <v>15</v>
      </c>
      <c r="AR29" s="33">
        <v>2.1082220660576202E-3</v>
      </c>
      <c r="AS29" s="32" t="s">
        <v>148</v>
      </c>
      <c r="AT29" s="33"/>
      <c r="AU29" s="32" t="s">
        <v>148</v>
      </c>
      <c r="AV29" s="33"/>
      <c r="AW29" s="32" t="s">
        <v>148</v>
      </c>
      <c r="AX29" s="33"/>
      <c r="AY29" s="32" t="s">
        <v>148</v>
      </c>
      <c r="AZ29" s="33"/>
    </row>
    <row r="30" spans="1:52" x14ac:dyDescent="0.25">
      <c r="A30" s="10" t="s">
        <v>1840</v>
      </c>
      <c r="B30" s="10"/>
      <c r="C30" s="32">
        <v>66</v>
      </c>
      <c r="D30" s="33">
        <v>1.13891285591027E-2</v>
      </c>
      <c r="E30" s="32">
        <v>44</v>
      </c>
      <c r="F30" s="33">
        <v>8.3317553493656507E-3</v>
      </c>
      <c r="G30" s="32">
        <v>42</v>
      </c>
      <c r="H30" s="33">
        <v>7.3878627968337702E-3</v>
      </c>
      <c r="I30" s="32">
        <v>40</v>
      </c>
      <c r="J30" s="33">
        <v>7.1377587437544601E-3</v>
      </c>
      <c r="K30" s="32">
        <v>34</v>
      </c>
      <c r="L30" s="33">
        <v>5.7832964789930304E-3</v>
      </c>
      <c r="M30" s="32">
        <v>24</v>
      </c>
      <c r="N30" s="33">
        <v>4.3258832011535703E-3</v>
      </c>
      <c r="O30" s="32">
        <v>27</v>
      </c>
      <c r="P30" s="33">
        <v>5.2488335925349903E-3</v>
      </c>
      <c r="Q30" s="32">
        <v>26</v>
      </c>
      <c r="R30" s="33">
        <v>3.9537712895377098E-3</v>
      </c>
      <c r="S30" s="32">
        <v>12</v>
      </c>
      <c r="T30" s="33">
        <v>1.61703274491308E-3</v>
      </c>
      <c r="U30" s="32">
        <v>25</v>
      </c>
      <c r="V30" s="33">
        <v>3.8922621827806301E-3</v>
      </c>
      <c r="W30" s="32">
        <v>20</v>
      </c>
      <c r="X30" s="33">
        <v>3.2169856844137001E-3</v>
      </c>
      <c r="Y30" s="32">
        <v>28</v>
      </c>
      <c r="Z30" s="33">
        <v>3.7730764047971999E-3</v>
      </c>
      <c r="AA30" s="32">
        <v>29</v>
      </c>
      <c r="AB30" s="33">
        <v>4.0033130866924402E-3</v>
      </c>
      <c r="AC30" s="32">
        <v>17</v>
      </c>
      <c r="AD30" s="33">
        <v>2.5796661608497701E-3</v>
      </c>
      <c r="AE30" s="32">
        <v>20</v>
      </c>
      <c r="AF30" s="33">
        <v>3.1948881789137401E-3</v>
      </c>
      <c r="AG30" s="32">
        <v>20</v>
      </c>
      <c r="AH30" s="33">
        <v>2.8401022436807702E-3</v>
      </c>
      <c r="AI30" s="32">
        <v>17</v>
      </c>
      <c r="AJ30" s="33">
        <v>2.30071728244688E-3</v>
      </c>
      <c r="AK30" s="32" t="s">
        <v>148</v>
      </c>
      <c r="AL30" s="33"/>
      <c r="AM30" s="32">
        <v>13</v>
      </c>
      <c r="AN30" s="33">
        <v>1.9699954538566402E-3</v>
      </c>
      <c r="AO30" s="32">
        <v>13</v>
      </c>
      <c r="AP30" s="33">
        <v>1.84371011204085E-3</v>
      </c>
      <c r="AQ30" s="32">
        <v>6</v>
      </c>
      <c r="AR30" s="33">
        <v>8.4328882642304998E-4</v>
      </c>
      <c r="AS30" s="32" t="s">
        <v>148</v>
      </c>
      <c r="AT30" s="33"/>
      <c r="AU30" s="32" t="s">
        <v>148</v>
      </c>
      <c r="AV30" s="33"/>
      <c r="AW30" s="32" t="s">
        <v>148</v>
      </c>
      <c r="AX30" s="33"/>
      <c r="AY30" s="32" t="s">
        <v>148</v>
      </c>
      <c r="AZ30" s="33"/>
    </row>
    <row r="31" spans="1:52" x14ac:dyDescent="0.25">
      <c r="A31" s="10" t="s">
        <v>1841</v>
      </c>
      <c r="B31" s="10"/>
      <c r="C31" s="32">
        <v>244</v>
      </c>
      <c r="D31" s="33">
        <v>4.2105263157894701E-2</v>
      </c>
      <c r="E31" s="32">
        <v>133</v>
      </c>
      <c r="F31" s="33">
        <v>2.5184624124218902E-2</v>
      </c>
      <c r="G31" s="32">
        <v>122</v>
      </c>
      <c r="H31" s="33">
        <v>2.14599824098505E-2</v>
      </c>
      <c r="I31" s="32">
        <v>132</v>
      </c>
      <c r="J31" s="33">
        <v>2.3554603854389702E-2</v>
      </c>
      <c r="K31" s="32">
        <v>114</v>
      </c>
      <c r="L31" s="33">
        <v>1.93910529001531E-2</v>
      </c>
      <c r="M31" s="32">
        <v>81</v>
      </c>
      <c r="N31" s="33">
        <v>1.4599855803893299E-2</v>
      </c>
      <c r="O31" s="32">
        <v>95</v>
      </c>
      <c r="P31" s="33">
        <v>1.84681181959565E-2</v>
      </c>
      <c r="Q31" s="32">
        <v>99</v>
      </c>
      <c r="R31" s="33">
        <v>1.5054744525547401E-2</v>
      </c>
      <c r="S31" s="32">
        <v>32</v>
      </c>
      <c r="T31" s="33">
        <v>4.3120873197682198E-3</v>
      </c>
      <c r="U31" s="32" t="s">
        <v>148</v>
      </c>
      <c r="V31" s="33"/>
      <c r="W31" s="32" t="s">
        <v>148</v>
      </c>
      <c r="X31" s="33"/>
      <c r="Y31" s="32" t="s">
        <v>148</v>
      </c>
      <c r="Z31" s="33"/>
      <c r="AA31" s="32" t="s">
        <v>148</v>
      </c>
      <c r="AB31" s="33"/>
      <c r="AC31" s="32" t="s">
        <v>148</v>
      </c>
      <c r="AD31" s="33"/>
      <c r="AE31" s="32" t="s">
        <v>148</v>
      </c>
      <c r="AF31" s="33"/>
      <c r="AG31" s="32" t="s">
        <v>148</v>
      </c>
      <c r="AH31" s="33"/>
      <c r="AI31" s="32" t="s">
        <v>148</v>
      </c>
      <c r="AJ31" s="33"/>
      <c r="AK31" s="32" t="s">
        <v>148</v>
      </c>
      <c r="AL31" s="33"/>
      <c r="AM31" s="32" t="s">
        <v>148</v>
      </c>
      <c r="AN31" s="33"/>
      <c r="AO31" s="32" t="s">
        <v>148</v>
      </c>
      <c r="AP31" s="33"/>
      <c r="AQ31" s="32" t="s">
        <v>148</v>
      </c>
      <c r="AR31" s="33"/>
      <c r="AS31" s="32" t="s">
        <v>148</v>
      </c>
      <c r="AT31" s="33"/>
      <c r="AU31" s="32" t="s">
        <v>148</v>
      </c>
      <c r="AV31" s="33"/>
      <c r="AW31" s="32" t="s">
        <v>148</v>
      </c>
      <c r="AX31" s="33"/>
      <c r="AY31" s="32" t="s">
        <v>148</v>
      </c>
      <c r="AZ31" s="33"/>
    </row>
    <row r="32" spans="1:52" x14ac:dyDescent="0.25">
      <c r="A32" s="10" t="s">
        <v>1815</v>
      </c>
      <c r="B32" s="10"/>
      <c r="C32" s="32">
        <v>10</v>
      </c>
      <c r="D32" s="33">
        <v>1.72562553925798E-3</v>
      </c>
      <c r="E32" s="32">
        <v>12</v>
      </c>
      <c r="F32" s="33">
        <v>2.2722969134633601E-3</v>
      </c>
      <c r="G32" s="32">
        <v>9</v>
      </c>
      <c r="H32" s="33">
        <v>1.5831134564643801E-3</v>
      </c>
      <c r="I32" s="32">
        <v>7</v>
      </c>
      <c r="J32" s="33">
        <v>1.2491077801570301E-3</v>
      </c>
      <c r="K32" s="32">
        <v>4</v>
      </c>
      <c r="L32" s="33">
        <v>6.8038782105800302E-4</v>
      </c>
      <c r="M32" s="32">
        <v>4</v>
      </c>
      <c r="N32" s="33">
        <v>7.2098053352559499E-4</v>
      </c>
      <c r="O32" s="32">
        <v>3</v>
      </c>
      <c r="P32" s="33">
        <v>5.8320373250388797E-4</v>
      </c>
      <c r="Q32" s="32">
        <v>3</v>
      </c>
      <c r="R32" s="33">
        <v>4.56204379562044E-4</v>
      </c>
      <c r="S32" s="32">
        <v>4</v>
      </c>
      <c r="T32" s="33">
        <v>5.3901091497102801E-4</v>
      </c>
      <c r="U32" s="32">
        <v>4</v>
      </c>
      <c r="V32" s="33">
        <v>6.2276194924490099E-4</v>
      </c>
      <c r="W32" s="32">
        <v>3</v>
      </c>
      <c r="X32" s="33">
        <v>4.8254785266205598E-4</v>
      </c>
      <c r="Y32" s="32">
        <v>1</v>
      </c>
      <c r="Z32" s="33">
        <v>1.34752728742757E-4</v>
      </c>
      <c r="AA32" s="32">
        <v>3</v>
      </c>
      <c r="AB32" s="33">
        <v>4.1413583655438999E-4</v>
      </c>
      <c r="AC32" s="32">
        <v>0</v>
      </c>
      <c r="AD32" s="33"/>
      <c r="AE32" s="32">
        <v>3</v>
      </c>
      <c r="AF32" s="33">
        <v>4.7923322683706099E-4</v>
      </c>
      <c r="AG32" s="32">
        <v>2</v>
      </c>
      <c r="AH32" s="33">
        <v>2.8401022436807697E-4</v>
      </c>
      <c r="AI32" s="32">
        <v>2</v>
      </c>
      <c r="AJ32" s="33">
        <v>2.7067262146433899E-4</v>
      </c>
      <c r="AK32" s="32" t="s">
        <v>148</v>
      </c>
      <c r="AL32" s="33"/>
      <c r="AM32" s="32">
        <v>1</v>
      </c>
      <c r="AN32" s="33">
        <v>1.5153811183512701E-4</v>
      </c>
      <c r="AO32" s="32">
        <v>4</v>
      </c>
      <c r="AP32" s="33">
        <v>5.6729541908949097E-4</v>
      </c>
      <c r="AQ32" s="32">
        <v>3</v>
      </c>
      <c r="AR32" s="33">
        <v>4.2164441321152499E-4</v>
      </c>
      <c r="AS32" s="32" t="s">
        <v>148</v>
      </c>
      <c r="AT32" s="33"/>
      <c r="AU32" s="32" t="s">
        <v>148</v>
      </c>
      <c r="AV32" s="33"/>
      <c r="AW32" s="32" t="s">
        <v>148</v>
      </c>
      <c r="AX32" s="33"/>
      <c r="AY32" s="32" t="s">
        <v>148</v>
      </c>
      <c r="AZ32" s="33"/>
    </row>
    <row r="33" spans="1:52" x14ac:dyDescent="0.25">
      <c r="A33" s="10" t="s">
        <v>1777</v>
      </c>
      <c r="B33" s="10"/>
      <c r="C33" s="32">
        <v>784</v>
      </c>
      <c r="D33" s="33">
        <v>0.13528904227782601</v>
      </c>
      <c r="E33" s="32">
        <v>551</v>
      </c>
      <c r="F33" s="33">
        <v>0.104336299943193</v>
      </c>
      <c r="G33" s="32">
        <v>657</v>
      </c>
      <c r="H33" s="33">
        <v>0.1155672823219</v>
      </c>
      <c r="I33" s="32">
        <v>688</v>
      </c>
      <c r="J33" s="33">
        <v>0.122769450392577</v>
      </c>
      <c r="K33" s="32">
        <v>744</v>
      </c>
      <c r="L33" s="33">
        <v>0.126552134716789</v>
      </c>
      <c r="M33" s="32">
        <v>383</v>
      </c>
      <c r="N33" s="33">
        <v>6.9033886085075699E-2</v>
      </c>
      <c r="O33" s="32">
        <v>370</v>
      </c>
      <c r="P33" s="33">
        <v>7.19284603421462E-2</v>
      </c>
      <c r="Q33" s="32">
        <v>492</v>
      </c>
      <c r="R33" s="33">
        <v>7.4817518248175202E-2</v>
      </c>
      <c r="S33" s="32">
        <v>131</v>
      </c>
      <c r="T33" s="33">
        <v>1.7652607465301201E-2</v>
      </c>
      <c r="U33" s="32">
        <v>119</v>
      </c>
      <c r="V33" s="33">
        <v>1.8527167990035801E-2</v>
      </c>
      <c r="W33" s="32">
        <v>94</v>
      </c>
      <c r="X33" s="33">
        <v>1.51198327167444E-2</v>
      </c>
      <c r="Y33" s="32">
        <v>55</v>
      </c>
      <c r="Z33" s="33">
        <v>7.4114000808516399E-3</v>
      </c>
      <c r="AA33" s="32">
        <v>46</v>
      </c>
      <c r="AB33" s="33">
        <v>6.3500828271673103E-3</v>
      </c>
      <c r="AC33" s="32">
        <v>28</v>
      </c>
      <c r="AD33" s="33">
        <v>4.2488619119878598E-3</v>
      </c>
      <c r="AE33" s="32">
        <v>24</v>
      </c>
      <c r="AF33" s="33">
        <v>3.8338658146964901E-3</v>
      </c>
      <c r="AG33" s="32">
        <v>24</v>
      </c>
      <c r="AH33" s="33">
        <v>3.4081226924169302E-3</v>
      </c>
      <c r="AI33" s="32">
        <v>37</v>
      </c>
      <c r="AJ33" s="33">
        <v>5.0074434970902703E-3</v>
      </c>
      <c r="AK33" s="32" t="s">
        <v>148</v>
      </c>
      <c r="AL33" s="33"/>
      <c r="AM33" s="32">
        <v>32</v>
      </c>
      <c r="AN33" s="33">
        <v>4.8492195787240497E-3</v>
      </c>
      <c r="AO33" s="32">
        <v>15</v>
      </c>
      <c r="AP33" s="33">
        <v>2.1273578215855898E-3</v>
      </c>
      <c r="AQ33" s="32">
        <v>12</v>
      </c>
      <c r="AR33" s="33">
        <v>1.6865776528461E-3</v>
      </c>
      <c r="AS33" s="32" t="s">
        <v>148</v>
      </c>
      <c r="AT33" s="33"/>
      <c r="AU33" s="32" t="s">
        <v>148</v>
      </c>
      <c r="AV33" s="33"/>
      <c r="AW33" s="32" t="s">
        <v>148</v>
      </c>
      <c r="AX33" s="33"/>
      <c r="AY33" s="32" t="s">
        <v>148</v>
      </c>
      <c r="AZ33" s="33"/>
    </row>
    <row r="34" spans="1:52" x14ac:dyDescent="0.25">
      <c r="A34" s="10" t="s">
        <v>1842</v>
      </c>
      <c r="B34" s="10"/>
      <c r="C34" s="32">
        <v>153</v>
      </c>
      <c r="D34" s="33">
        <v>2.64020707506471E-2</v>
      </c>
      <c r="E34" s="32">
        <v>117</v>
      </c>
      <c r="F34" s="33">
        <v>2.2154894906267798E-2</v>
      </c>
      <c r="G34" s="32">
        <v>86</v>
      </c>
      <c r="H34" s="33">
        <v>1.5127528583992999E-2</v>
      </c>
      <c r="I34" s="32">
        <v>54</v>
      </c>
      <c r="J34" s="33">
        <v>9.6359743040685206E-3</v>
      </c>
      <c r="K34" s="32">
        <v>55</v>
      </c>
      <c r="L34" s="33">
        <v>9.3553325395475395E-3</v>
      </c>
      <c r="M34" s="32">
        <v>53</v>
      </c>
      <c r="N34" s="33">
        <v>9.5529920692141307E-3</v>
      </c>
      <c r="O34" s="32">
        <v>24</v>
      </c>
      <c r="P34" s="33">
        <v>4.6656298600311003E-3</v>
      </c>
      <c r="Q34" s="32">
        <v>36</v>
      </c>
      <c r="R34" s="33">
        <v>5.4744525547445301E-3</v>
      </c>
      <c r="S34" s="32">
        <v>-21</v>
      </c>
      <c r="T34" s="33">
        <v>-2.8298073035979E-3</v>
      </c>
      <c r="U34" s="32">
        <v>19</v>
      </c>
      <c r="V34" s="33">
        <v>2.9581192589132801E-3</v>
      </c>
      <c r="W34" s="32">
        <v>30</v>
      </c>
      <c r="X34" s="33">
        <v>4.8254785266205599E-3</v>
      </c>
      <c r="Y34" s="32">
        <v>14</v>
      </c>
      <c r="Z34" s="33">
        <v>1.8865382023985999E-3</v>
      </c>
      <c r="AA34" s="32">
        <v>21</v>
      </c>
      <c r="AB34" s="33">
        <v>2.89895085588073E-3</v>
      </c>
      <c r="AC34" s="32">
        <v>13</v>
      </c>
      <c r="AD34" s="33">
        <v>1.9726858877086501E-3</v>
      </c>
      <c r="AE34" s="32">
        <v>6</v>
      </c>
      <c r="AF34" s="33">
        <v>9.58466453674121E-4</v>
      </c>
      <c r="AG34" s="32">
        <v>8</v>
      </c>
      <c r="AH34" s="33">
        <v>1.1360408974723101E-3</v>
      </c>
      <c r="AI34" s="32">
        <v>19</v>
      </c>
      <c r="AJ34" s="33">
        <v>2.5713899039112201E-3</v>
      </c>
      <c r="AK34" s="32" t="s">
        <v>148</v>
      </c>
      <c r="AL34" s="33"/>
      <c r="AM34" s="32">
        <v>8</v>
      </c>
      <c r="AN34" s="33">
        <v>1.21230489468101E-3</v>
      </c>
      <c r="AO34" s="32">
        <v>17</v>
      </c>
      <c r="AP34" s="33">
        <v>2.4110055311303401E-3</v>
      </c>
      <c r="AQ34" s="32">
        <v>11</v>
      </c>
      <c r="AR34" s="33">
        <v>1.5460295151089199E-3</v>
      </c>
      <c r="AS34" s="32" t="s">
        <v>148</v>
      </c>
      <c r="AT34" s="33"/>
      <c r="AU34" s="32" t="s">
        <v>148</v>
      </c>
      <c r="AV34" s="33"/>
      <c r="AW34" s="32" t="s">
        <v>148</v>
      </c>
      <c r="AX34" s="33"/>
      <c r="AY34" s="32" t="s">
        <v>148</v>
      </c>
      <c r="AZ34" s="33"/>
    </row>
    <row r="35" spans="1:52" x14ac:dyDescent="0.25">
      <c r="A35" s="10" t="s">
        <v>1819</v>
      </c>
      <c r="B35" s="10"/>
      <c r="C35" s="32" t="s">
        <v>148</v>
      </c>
      <c r="D35" s="33"/>
      <c r="E35" s="32" t="s">
        <v>148</v>
      </c>
      <c r="F35" s="33"/>
      <c r="G35" s="32" t="s">
        <v>148</v>
      </c>
      <c r="H35" s="33"/>
      <c r="I35" s="32" t="s">
        <v>148</v>
      </c>
      <c r="J35" s="33"/>
      <c r="K35" s="32">
        <v>42</v>
      </c>
      <c r="L35" s="33">
        <v>7.1440721211090304E-3</v>
      </c>
      <c r="M35" s="32">
        <v>34</v>
      </c>
      <c r="N35" s="33">
        <v>6.1283345349675599E-3</v>
      </c>
      <c r="O35" s="32">
        <v>31</v>
      </c>
      <c r="P35" s="33">
        <v>6.0264385692068399E-3</v>
      </c>
      <c r="Q35" s="32">
        <v>35</v>
      </c>
      <c r="R35" s="33">
        <v>5.3223844282238404E-3</v>
      </c>
      <c r="S35" s="32">
        <v>32</v>
      </c>
      <c r="T35" s="33">
        <v>4.3120873197682198E-3</v>
      </c>
      <c r="U35" s="32">
        <v>25</v>
      </c>
      <c r="V35" s="33">
        <v>3.8922621827806301E-3</v>
      </c>
      <c r="W35" s="32">
        <v>35</v>
      </c>
      <c r="X35" s="33">
        <v>5.62972494772398E-3</v>
      </c>
      <c r="Y35" s="32">
        <v>37</v>
      </c>
      <c r="Z35" s="33">
        <v>4.9858509634820103E-3</v>
      </c>
      <c r="AA35" s="32">
        <v>22</v>
      </c>
      <c r="AB35" s="33">
        <v>3.03699613473219E-3</v>
      </c>
      <c r="AC35" s="32">
        <v>24</v>
      </c>
      <c r="AD35" s="33">
        <v>3.6418816388467399E-3</v>
      </c>
      <c r="AE35" s="32">
        <v>30</v>
      </c>
      <c r="AF35" s="33">
        <v>4.7923322683706103E-3</v>
      </c>
      <c r="AG35" s="32">
        <v>34</v>
      </c>
      <c r="AH35" s="33">
        <v>4.8281738142573099E-3</v>
      </c>
      <c r="AI35" s="32">
        <v>27</v>
      </c>
      <c r="AJ35" s="33">
        <v>3.6540803897685699E-3</v>
      </c>
      <c r="AK35" s="32" t="s">
        <v>148</v>
      </c>
      <c r="AL35" s="33"/>
      <c r="AM35" s="32">
        <v>28</v>
      </c>
      <c r="AN35" s="33">
        <v>4.24306713138354E-3</v>
      </c>
      <c r="AO35" s="32">
        <v>28</v>
      </c>
      <c r="AP35" s="33">
        <v>3.97106793362644E-3</v>
      </c>
      <c r="AQ35" s="32">
        <v>25</v>
      </c>
      <c r="AR35" s="33">
        <v>3.51370344342937E-3</v>
      </c>
      <c r="AS35" s="32" t="s">
        <v>148</v>
      </c>
      <c r="AT35" s="33"/>
      <c r="AU35" s="32" t="s">
        <v>148</v>
      </c>
      <c r="AV35" s="33"/>
      <c r="AW35" s="32" t="s">
        <v>148</v>
      </c>
      <c r="AX35" s="33"/>
      <c r="AY35" s="32" t="s">
        <v>148</v>
      </c>
      <c r="AZ35" s="33"/>
    </row>
    <row r="36" spans="1:52" x14ac:dyDescent="0.25">
      <c r="A36" s="10" t="s">
        <v>1843</v>
      </c>
      <c r="B36" s="10"/>
      <c r="C36" s="32">
        <v>927</v>
      </c>
      <c r="D36" s="33">
        <v>0.15996548748921499</v>
      </c>
      <c r="E36" s="32">
        <v>938</v>
      </c>
      <c r="F36" s="33">
        <v>0.17761787540238599</v>
      </c>
      <c r="G36" s="32">
        <v>1099</v>
      </c>
      <c r="H36" s="33">
        <v>0.193315743183817</v>
      </c>
      <c r="I36" s="32">
        <v>871</v>
      </c>
      <c r="J36" s="33">
        <v>0.15542469664525299</v>
      </c>
      <c r="K36" s="32">
        <v>903</v>
      </c>
      <c r="L36" s="33">
        <v>0.153597550603844</v>
      </c>
      <c r="M36" s="32">
        <v>975</v>
      </c>
      <c r="N36" s="33">
        <v>0.17573900504686399</v>
      </c>
      <c r="O36" s="32">
        <v>787</v>
      </c>
      <c r="P36" s="33">
        <v>0.152993779160187</v>
      </c>
      <c r="Q36" s="32">
        <v>937</v>
      </c>
      <c r="R36" s="33">
        <v>0.14248783454987801</v>
      </c>
      <c r="S36" s="32">
        <v>1437</v>
      </c>
      <c r="T36" s="33">
        <v>0.193639671203342</v>
      </c>
      <c r="U36" s="32">
        <v>1336</v>
      </c>
      <c r="V36" s="33">
        <v>0.208002491047797</v>
      </c>
      <c r="W36" s="32">
        <v>1192</v>
      </c>
      <c r="X36" s="33">
        <v>0.191732346791057</v>
      </c>
      <c r="Y36" s="32">
        <v>1031</v>
      </c>
      <c r="Z36" s="33">
        <v>0.13893006333378299</v>
      </c>
      <c r="AA36" s="32">
        <v>1315</v>
      </c>
      <c r="AB36" s="33">
        <v>0.181529541689674</v>
      </c>
      <c r="AC36" s="32">
        <v>1202</v>
      </c>
      <c r="AD36" s="33">
        <v>0.182397572078907</v>
      </c>
      <c r="AE36" s="32">
        <v>1076</v>
      </c>
      <c r="AF36" s="33">
        <v>0.17188498402555899</v>
      </c>
      <c r="AG36" s="32">
        <v>1101</v>
      </c>
      <c r="AH36" s="33">
        <v>0.156347628514627</v>
      </c>
      <c r="AI36" s="32">
        <v>1089</v>
      </c>
      <c r="AJ36" s="33">
        <v>0.14738124238733299</v>
      </c>
      <c r="AK36" s="32">
        <v>1079</v>
      </c>
      <c r="AL36" s="33">
        <v>0.16986775818639799</v>
      </c>
      <c r="AM36" s="32">
        <v>1026</v>
      </c>
      <c r="AN36" s="33">
        <v>0.15547810274283999</v>
      </c>
      <c r="AO36" s="32">
        <v>1040</v>
      </c>
      <c r="AP36" s="33">
        <v>0.147496808963268</v>
      </c>
      <c r="AQ36" s="32">
        <v>1164</v>
      </c>
      <c r="AR36" s="33">
        <v>0.16359803232607201</v>
      </c>
      <c r="AS36" s="32">
        <v>1159</v>
      </c>
      <c r="AT36" s="33">
        <v>0.173347292850733</v>
      </c>
      <c r="AU36" s="32">
        <v>1133</v>
      </c>
      <c r="AV36" s="33">
        <v>0.16295124406730899</v>
      </c>
      <c r="AW36" s="32">
        <v>1166</v>
      </c>
      <c r="AX36" s="33">
        <v>0.15453943008615001</v>
      </c>
      <c r="AY36" s="32">
        <v>1161</v>
      </c>
      <c r="AZ36" s="33">
        <v>0.15338882282996399</v>
      </c>
    </row>
    <row r="37" spans="1:52" x14ac:dyDescent="0.25">
      <c r="A37" s="10" t="s">
        <v>1767</v>
      </c>
      <c r="B37" s="10"/>
      <c r="C37" s="32">
        <v>26</v>
      </c>
      <c r="D37" s="33">
        <v>4.4866264020707496E-3</v>
      </c>
      <c r="E37" s="32">
        <v>48</v>
      </c>
      <c r="F37" s="33">
        <v>9.0891876538534404E-3</v>
      </c>
      <c r="G37" s="32">
        <v>73</v>
      </c>
      <c r="H37" s="33">
        <v>1.2840809146877699E-2</v>
      </c>
      <c r="I37" s="32">
        <v>108</v>
      </c>
      <c r="J37" s="33">
        <v>1.9271948608137E-2</v>
      </c>
      <c r="K37" s="32">
        <v>141</v>
      </c>
      <c r="L37" s="33">
        <v>2.3983670692294599E-2</v>
      </c>
      <c r="M37" s="32">
        <v>181</v>
      </c>
      <c r="N37" s="33">
        <v>3.2624369142033198E-2</v>
      </c>
      <c r="O37" s="32">
        <v>153</v>
      </c>
      <c r="P37" s="33">
        <v>2.97433903576983E-2</v>
      </c>
      <c r="Q37" s="32">
        <v>194</v>
      </c>
      <c r="R37" s="33">
        <v>2.9501216545012199E-2</v>
      </c>
      <c r="S37" s="32">
        <v>207</v>
      </c>
      <c r="T37" s="33">
        <v>2.78938148497507E-2</v>
      </c>
      <c r="U37" s="32">
        <v>216</v>
      </c>
      <c r="V37" s="33">
        <v>3.3629145259224703E-2</v>
      </c>
      <c r="W37" s="32">
        <v>237</v>
      </c>
      <c r="X37" s="33">
        <v>3.8121280360302399E-2</v>
      </c>
      <c r="Y37" s="32">
        <v>254</v>
      </c>
      <c r="Z37" s="33">
        <v>3.4227193100660303E-2</v>
      </c>
      <c r="AA37" s="32">
        <v>262</v>
      </c>
      <c r="AB37" s="33">
        <v>3.6167863059083399E-2</v>
      </c>
      <c r="AC37" s="32">
        <v>261</v>
      </c>
      <c r="AD37" s="33">
        <v>3.9605462822458297E-2</v>
      </c>
      <c r="AE37" s="32">
        <v>268</v>
      </c>
      <c r="AF37" s="33">
        <v>4.2811501597444103E-2</v>
      </c>
      <c r="AG37" s="32">
        <v>278</v>
      </c>
      <c r="AH37" s="33">
        <v>3.9477421187162701E-2</v>
      </c>
      <c r="AI37" s="32">
        <v>295</v>
      </c>
      <c r="AJ37" s="33">
        <v>3.992421166599E-2</v>
      </c>
      <c r="AK37" s="32">
        <v>304</v>
      </c>
      <c r="AL37" s="33">
        <v>4.7858942065491197E-2</v>
      </c>
      <c r="AM37" s="32">
        <v>302</v>
      </c>
      <c r="AN37" s="33">
        <v>4.5764509774208199E-2</v>
      </c>
      <c r="AO37" s="32">
        <v>313</v>
      </c>
      <c r="AP37" s="33">
        <v>4.4390866543752697E-2</v>
      </c>
      <c r="AQ37" s="32">
        <v>333</v>
      </c>
      <c r="AR37" s="33">
        <v>4.68025298664793E-2</v>
      </c>
      <c r="AS37" s="32">
        <v>365</v>
      </c>
      <c r="AT37" s="33">
        <v>5.4591684116063403E-2</v>
      </c>
      <c r="AU37" s="32">
        <v>370</v>
      </c>
      <c r="AV37" s="33">
        <v>5.3214439810153898E-2</v>
      </c>
      <c r="AW37" s="32">
        <v>375</v>
      </c>
      <c r="AX37" s="33">
        <v>4.9701789264413501E-2</v>
      </c>
      <c r="AY37" s="32">
        <v>400</v>
      </c>
      <c r="AZ37" s="33">
        <v>5.28471396485665E-2</v>
      </c>
    </row>
    <row r="38" spans="1:52" x14ac:dyDescent="0.25">
      <c r="A38" s="10" t="s">
        <v>1811</v>
      </c>
      <c r="B38" s="10"/>
      <c r="C38" s="32">
        <v>1</v>
      </c>
      <c r="D38" s="33">
        <v>1.7256255392579799E-4</v>
      </c>
      <c r="E38" s="32">
        <v>6</v>
      </c>
      <c r="F38" s="33">
        <v>1.1361484567316801E-3</v>
      </c>
      <c r="G38" s="32">
        <v>21</v>
      </c>
      <c r="H38" s="33">
        <v>3.6939313984168899E-3</v>
      </c>
      <c r="I38" s="32">
        <v>32</v>
      </c>
      <c r="J38" s="33">
        <v>5.7102069950035698E-3</v>
      </c>
      <c r="K38" s="32">
        <v>24</v>
      </c>
      <c r="L38" s="33">
        <v>4.0823269263480198E-3</v>
      </c>
      <c r="M38" s="32">
        <v>37</v>
      </c>
      <c r="N38" s="33">
        <v>6.6690699351117499E-3</v>
      </c>
      <c r="O38" s="32">
        <v>56</v>
      </c>
      <c r="P38" s="33">
        <v>1.08864696734059E-2</v>
      </c>
      <c r="Q38" s="32">
        <v>51</v>
      </c>
      <c r="R38" s="33">
        <v>7.7554744525547403E-3</v>
      </c>
      <c r="S38" s="32">
        <v>47</v>
      </c>
      <c r="T38" s="33">
        <v>6.3333782509095802E-3</v>
      </c>
      <c r="U38" s="32">
        <v>61</v>
      </c>
      <c r="V38" s="33">
        <v>9.4971197259847394E-3</v>
      </c>
      <c r="W38" s="32">
        <v>61</v>
      </c>
      <c r="X38" s="33">
        <v>9.8118063374618009E-3</v>
      </c>
      <c r="Y38" s="32">
        <v>66</v>
      </c>
      <c r="Z38" s="33">
        <v>8.8936800970219592E-3</v>
      </c>
      <c r="AA38" s="32">
        <v>65</v>
      </c>
      <c r="AB38" s="33">
        <v>8.9729431253451099E-3</v>
      </c>
      <c r="AC38" s="32">
        <v>77</v>
      </c>
      <c r="AD38" s="33">
        <v>1.1684370257966601E-2</v>
      </c>
      <c r="AE38" s="32">
        <v>85</v>
      </c>
      <c r="AF38" s="33">
        <v>1.35782747603834E-2</v>
      </c>
      <c r="AG38" s="32">
        <v>91</v>
      </c>
      <c r="AH38" s="33">
        <v>1.2922465208747499E-2</v>
      </c>
      <c r="AI38" s="32">
        <v>103</v>
      </c>
      <c r="AJ38" s="33">
        <v>1.3939640005413499E-2</v>
      </c>
      <c r="AK38" s="32">
        <v>121</v>
      </c>
      <c r="AL38" s="33">
        <v>1.9049118387909299E-2</v>
      </c>
      <c r="AM38" s="32">
        <v>133</v>
      </c>
      <c r="AN38" s="33">
        <v>2.0154568874071799E-2</v>
      </c>
      <c r="AO38" s="32">
        <v>154</v>
      </c>
      <c r="AP38" s="33">
        <v>2.1840873634945399E-2</v>
      </c>
      <c r="AQ38" s="32">
        <v>140</v>
      </c>
      <c r="AR38" s="33">
        <v>1.96767392832045E-2</v>
      </c>
      <c r="AS38" s="32">
        <v>158</v>
      </c>
      <c r="AT38" s="33">
        <v>2.3631468740652101E-2</v>
      </c>
      <c r="AU38" s="32">
        <v>169</v>
      </c>
      <c r="AV38" s="33">
        <v>2.4306054940313501E-2</v>
      </c>
      <c r="AW38" s="32">
        <v>182</v>
      </c>
      <c r="AX38" s="33">
        <v>2.4121935056328699E-2</v>
      </c>
      <c r="AY38" s="32">
        <v>156</v>
      </c>
      <c r="AZ38" s="33">
        <v>2.06103844629409E-2</v>
      </c>
    </row>
    <row r="39" spans="1:52" x14ac:dyDescent="0.25">
      <c r="A39" s="10" t="s">
        <v>1833</v>
      </c>
      <c r="B39" s="10"/>
      <c r="C39" s="32" t="s">
        <v>148</v>
      </c>
      <c r="D39" s="33"/>
      <c r="E39" s="32" t="s">
        <v>148</v>
      </c>
      <c r="F39" s="33"/>
      <c r="G39" s="32" t="s">
        <v>148</v>
      </c>
      <c r="H39" s="33"/>
      <c r="I39" s="32" t="s">
        <v>148</v>
      </c>
      <c r="J39" s="33"/>
      <c r="K39" s="32" t="s">
        <v>148</v>
      </c>
      <c r="L39" s="33"/>
      <c r="M39" s="32">
        <v>0</v>
      </c>
      <c r="N39" s="33"/>
      <c r="O39" s="32">
        <v>0</v>
      </c>
      <c r="P39" s="33"/>
      <c r="Q39" s="32">
        <v>60</v>
      </c>
      <c r="R39" s="33">
        <v>9.1240875912408804E-3</v>
      </c>
      <c r="S39" s="32">
        <v>547</v>
      </c>
      <c r="T39" s="33">
        <v>7.3709742622288105E-2</v>
      </c>
      <c r="U39" s="32">
        <v>388</v>
      </c>
      <c r="V39" s="33">
        <v>6.0407909076755403E-2</v>
      </c>
      <c r="W39" s="32">
        <v>264</v>
      </c>
      <c r="X39" s="33">
        <v>4.2464211034260901E-2</v>
      </c>
      <c r="Y39" s="32">
        <v>109</v>
      </c>
      <c r="Z39" s="33">
        <v>1.46880474329605E-2</v>
      </c>
      <c r="AA39" s="32">
        <v>334</v>
      </c>
      <c r="AB39" s="33">
        <v>4.6107123136388699E-2</v>
      </c>
      <c r="AC39" s="32">
        <v>304</v>
      </c>
      <c r="AD39" s="33">
        <v>4.6130500758725303E-2</v>
      </c>
      <c r="AE39" s="32">
        <v>126</v>
      </c>
      <c r="AF39" s="33">
        <v>2.0127795527156499E-2</v>
      </c>
      <c r="AG39" s="32">
        <v>130</v>
      </c>
      <c r="AH39" s="33">
        <v>1.8460664583925E-2</v>
      </c>
      <c r="AI39" s="32">
        <v>142</v>
      </c>
      <c r="AJ39" s="33">
        <v>1.9217756123968099E-2</v>
      </c>
      <c r="AK39" s="32">
        <v>111</v>
      </c>
      <c r="AL39" s="33">
        <v>1.74748110831234E-2</v>
      </c>
      <c r="AM39" s="32">
        <v>52</v>
      </c>
      <c r="AN39" s="33">
        <v>7.8799818154265799E-3</v>
      </c>
      <c r="AO39" s="32">
        <v>65</v>
      </c>
      <c r="AP39" s="33">
        <v>9.2185505602042292E-3</v>
      </c>
      <c r="AQ39" s="32">
        <v>181</v>
      </c>
      <c r="AR39" s="33">
        <v>2.5439212930428699E-2</v>
      </c>
      <c r="AS39" s="32">
        <v>70</v>
      </c>
      <c r="AT39" s="33">
        <v>1.0469638049656E-2</v>
      </c>
      <c r="AU39" s="32">
        <v>53</v>
      </c>
      <c r="AV39" s="33">
        <v>7.6226089457788002E-3</v>
      </c>
      <c r="AW39" s="32">
        <v>81</v>
      </c>
      <c r="AX39" s="33">
        <v>1.07355864811133E-2</v>
      </c>
      <c r="AY39" s="32">
        <v>80</v>
      </c>
      <c r="AZ39" s="33">
        <v>1.05694279297133E-2</v>
      </c>
    </row>
    <row r="40" spans="1:52" x14ac:dyDescent="0.25">
      <c r="A40" s="10" t="s">
        <v>1782</v>
      </c>
      <c r="B40" s="10"/>
      <c r="C40" s="32" t="s">
        <v>148</v>
      </c>
      <c r="D40" s="33"/>
      <c r="E40" s="32" t="s">
        <v>148</v>
      </c>
      <c r="F40" s="33"/>
      <c r="G40" s="32" t="s">
        <v>148</v>
      </c>
      <c r="H40" s="33"/>
      <c r="I40" s="32" t="s">
        <v>148</v>
      </c>
      <c r="J40" s="33"/>
      <c r="K40" s="32" t="s">
        <v>148</v>
      </c>
      <c r="L40" s="33"/>
      <c r="M40" s="32" t="s">
        <v>148</v>
      </c>
      <c r="N40" s="33"/>
      <c r="O40" s="32" t="s">
        <v>148</v>
      </c>
      <c r="P40" s="33"/>
      <c r="Q40" s="32">
        <v>0</v>
      </c>
      <c r="R40" s="33"/>
      <c r="S40" s="32" t="s">
        <v>148</v>
      </c>
      <c r="T40" s="33"/>
      <c r="U40" s="32" t="s">
        <v>148</v>
      </c>
      <c r="V40" s="33"/>
      <c r="W40" s="32">
        <v>0</v>
      </c>
      <c r="X40" s="33"/>
      <c r="Y40" s="32">
        <v>1</v>
      </c>
      <c r="Z40" s="33">
        <v>1.34752728742757E-4</v>
      </c>
      <c r="AA40" s="32">
        <v>9</v>
      </c>
      <c r="AB40" s="33">
        <v>1.24240750966317E-3</v>
      </c>
      <c r="AC40" s="32" t="s">
        <v>148</v>
      </c>
      <c r="AD40" s="33"/>
      <c r="AE40" s="32">
        <v>35</v>
      </c>
      <c r="AF40" s="33">
        <v>5.5910543130990404E-3</v>
      </c>
      <c r="AG40" s="32">
        <v>38</v>
      </c>
      <c r="AH40" s="33">
        <v>5.3961942629934699E-3</v>
      </c>
      <c r="AI40" s="32">
        <v>44</v>
      </c>
      <c r="AJ40" s="33">
        <v>5.9547976722154599E-3</v>
      </c>
      <c r="AK40" s="32">
        <v>54</v>
      </c>
      <c r="AL40" s="33">
        <v>8.5012594458438295E-3</v>
      </c>
      <c r="AM40" s="32">
        <v>53</v>
      </c>
      <c r="AN40" s="33">
        <v>8.0315199272617092E-3</v>
      </c>
      <c r="AO40" s="32">
        <v>62</v>
      </c>
      <c r="AP40" s="33">
        <v>8.7930789958871099E-3</v>
      </c>
      <c r="AQ40" s="32">
        <v>48</v>
      </c>
      <c r="AR40" s="33">
        <v>6.7463106113843999E-3</v>
      </c>
      <c r="AS40" s="32">
        <v>68</v>
      </c>
      <c r="AT40" s="33">
        <v>1.0170505533951499E-2</v>
      </c>
      <c r="AU40" s="32">
        <v>69</v>
      </c>
      <c r="AV40" s="33">
        <v>9.9237739105422097E-3</v>
      </c>
      <c r="AW40" s="32">
        <v>80</v>
      </c>
      <c r="AX40" s="33">
        <v>1.06030483764082E-2</v>
      </c>
      <c r="AY40" s="32">
        <v>77</v>
      </c>
      <c r="AZ40" s="33">
        <v>1.0173074382349099E-2</v>
      </c>
    </row>
    <row r="41" spans="1:52" x14ac:dyDescent="0.25">
      <c r="A41" s="10" t="s">
        <v>1770</v>
      </c>
      <c r="B41" s="10"/>
      <c r="C41" s="32">
        <v>105</v>
      </c>
      <c r="D41" s="33">
        <v>1.8119068162208801E-2</v>
      </c>
      <c r="E41" s="32">
        <v>106</v>
      </c>
      <c r="F41" s="33">
        <v>2.0071956068926301E-2</v>
      </c>
      <c r="G41" s="32">
        <v>111</v>
      </c>
      <c r="H41" s="33">
        <v>1.9525065963060698E-2</v>
      </c>
      <c r="I41" s="32">
        <v>111</v>
      </c>
      <c r="J41" s="33">
        <v>1.9807280513918599E-2</v>
      </c>
      <c r="K41" s="32">
        <v>110</v>
      </c>
      <c r="L41" s="33">
        <v>1.87106650790951E-2</v>
      </c>
      <c r="M41" s="32">
        <v>127</v>
      </c>
      <c r="N41" s="33">
        <v>2.2891131939437599E-2</v>
      </c>
      <c r="O41" s="32">
        <v>98</v>
      </c>
      <c r="P41" s="33">
        <v>1.9051321928460301E-2</v>
      </c>
      <c r="Q41" s="32">
        <v>116</v>
      </c>
      <c r="R41" s="33">
        <v>1.7639902676398998E-2</v>
      </c>
      <c r="S41" s="32">
        <v>109</v>
      </c>
      <c r="T41" s="33">
        <v>1.46880474329605E-2</v>
      </c>
      <c r="U41" s="32">
        <v>113</v>
      </c>
      <c r="V41" s="33">
        <v>1.7593025066168499E-2</v>
      </c>
      <c r="W41" s="32">
        <v>111</v>
      </c>
      <c r="X41" s="33">
        <v>1.7854270548496101E-2</v>
      </c>
      <c r="Y41" s="32">
        <v>112</v>
      </c>
      <c r="Z41" s="33">
        <v>1.5092305619188799E-2</v>
      </c>
      <c r="AA41" s="32">
        <v>104</v>
      </c>
      <c r="AB41" s="33">
        <v>1.4356709000552199E-2</v>
      </c>
      <c r="AC41" s="32">
        <v>96</v>
      </c>
      <c r="AD41" s="33">
        <v>1.4567526555386999E-2</v>
      </c>
      <c r="AE41" s="32">
        <v>97</v>
      </c>
      <c r="AF41" s="33">
        <v>1.54952076677316E-2</v>
      </c>
      <c r="AG41" s="32">
        <v>86</v>
      </c>
      <c r="AH41" s="33">
        <v>1.2212439647827301E-2</v>
      </c>
      <c r="AI41" s="32">
        <v>85</v>
      </c>
      <c r="AJ41" s="33">
        <v>1.1503586412234401E-2</v>
      </c>
      <c r="AK41" s="32">
        <v>76</v>
      </c>
      <c r="AL41" s="33">
        <v>1.1964735516372799E-2</v>
      </c>
      <c r="AM41" s="32">
        <v>74</v>
      </c>
      <c r="AN41" s="33">
        <v>1.12138202757994E-2</v>
      </c>
      <c r="AO41" s="32">
        <v>74</v>
      </c>
      <c r="AP41" s="33">
        <v>1.0494965253155601E-2</v>
      </c>
      <c r="AQ41" s="32">
        <v>71</v>
      </c>
      <c r="AR41" s="33">
        <v>9.9789177793394197E-3</v>
      </c>
      <c r="AS41" s="32">
        <v>76</v>
      </c>
      <c r="AT41" s="33">
        <v>1.1367035596769401E-2</v>
      </c>
      <c r="AU41" s="32">
        <v>72</v>
      </c>
      <c r="AV41" s="33">
        <v>1.03552423414354E-2</v>
      </c>
      <c r="AW41" s="32">
        <v>69</v>
      </c>
      <c r="AX41" s="33">
        <v>9.1451292246520904E-3</v>
      </c>
      <c r="AY41" s="32">
        <v>74</v>
      </c>
      <c r="AZ41" s="33">
        <v>9.7767208349848096E-3</v>
      </c>
    </row>
    <row r="42" spans="1:52" x14ac:dyDescent="0.25">
      <c r="A42" s="10" t="s">
        <v>1832</v>
      </c>
      <c r="B42" s="10"/>
      <c r="C42" s="32">
        <v>152</v>
      </c>
      <c r="D42" s="33">
        <v>2.6229508196721301E-2</v>
      </c>
      <c r="E42" s="32">
        <v>154</v>
      </c>
      <c r="F42" s="33">
        <v>2.9161143722779798E-2</v>
      </c>
      <c r="G42" s="32">
        <v>156</v>
      </c>
      <c r="H42" s="33">
        <v>2.7440633245382599E-2</v>
      </c>
      <c r="I42" s="32">
        <v>118</v>
      </c>
      <c r="J42" s="33">
        <v>2.10563882940757E-2</v>
      </c>
      <c r="K42" s="32">
        <v>125</v>
      </c>
      <c r="L42" s="33">
        <v>2.1262119408062601E-2</v>
      </c>
      <c r="M42" s="32">
        <v>122</v>
      </c>
      <c r="N42" s="33">
        <v>2.1989906272530599E-2</v>
      </c>
      <c r="O42" s="32">
        <v>57</v>
      </c>
      <c r="P42" s="33">
        <v>1.10808709175739E-2</v>
      </c>
      <c r="Q42" s="32">
        <v>74</v>
      </c>
      <c r="R42" s="33">
        <v>1.12530413625304E-2</v>
      </c>
      <c r="S42" s="32">
        <v>84</v>
      </c>
      <c r="T42" s="33">
        <v>1.13192292143916E-2</v>
      </c>
      <c r="U42" s="32">
        <v>75</v>
      </c>
      <c r="V42" s="33">
        <v>1.1676786548341899E-2</v>
      </c>
      <c r="W42" s="32">
        <v>82</v>
      </c>
      <c r="X42" s="33">
        <v>1.3189641306096201E-2</v>
      </c>
      <c r="Y42" s="32">
        <v>77</v>
      </c>
      <c r="Z42" s="33">
        <v>1.0375960113192299E-2</v>
      </c>
      <c r="AA42" s="32">
        <v>82</v>
      </c>
      <c r="AB42" s="33">
        <v>1.131971286582E-2</v>
      </c>
      <c r="AC42" s="32">
        <v>83</v>
      </c>
      <c r="AD42" s="33">
        <v>1.2594840667678299E-2</v>
      </c>
      <c r="AE42" s="32">
        <v>75</v>
      </c>
      <c r="AF42" s="33">
        <v>1.19808306709265E-2</v>
      </c>
      <c r="AG42" s="32">
        <v>131</v>
      </c>
      <c r="AH42" s="33">
        <v>1.86026696961091E-2</v>
      </c>
      <c r="AI42" s="32">
        <v>67</v>
      </c>
      <c r="AJ42" s="33">
        <v>9.0675328190553493E-3</v>
      </c>
      <c r="AK42" s="32">
        <v>90</v>
      </c>
      <c r="AL42" s="33">
        <v>1.4168765743073001E-2</v>
      </c>
      <c r="AM42" s="32">
        <v>84</v>
      </c>
      <c r="AN42" s="33">
        <v>1.27292013941506E-2</v>
      </c>
      <c r="AO42" s="32">
        <v>76</v>
      </c>
      <c r="AP42" s="33">
        <v>1.07786129627003E-2</v>
      </c>
      <c r="AQ42" s="32">
        <v>74</v>
      </c>
      <c r="AR42" s="33">
        <v>1.0400562192550899E-2</v>
      </c>
      <c r="AS42" s="32">
        <v>79</v>
      </c>
      <c r="AT42" s="33">
        <v>1.1815734370326099E-2</v>
      </c>
      <c r="AU42" s="32">
        <v>84</v>
      </c>
      <c r="AV42" s="33">
        <v>1.2081116065007899E-2</v>
      </c>
      <c r="AW42" s="32">
        <v>67</v>
      </c>
      <c r="AX42" s="33">
        <v>8.8800530152418795E-3</v>
      </c>
      <c r="AY42" s="32">
        <v>69</v>
      </c>
      <c r="AZ42" s="33">
        <v>9.1161315893777198E-3</v>
      </c>
    </row>
    <row r="43" spans="1:52" x14ac:dyDescent="0.25">
      <c r="A43" s="10" t="s">
        <v>1797</v>
      </c>
      <c r="B43" s="10"/>
      <c r="C43" s="32">
        <v>59</v>
      </c>
      <c r="D43" s="33">
        <v>1.01811906816221E-2</v>
      </c>
      <c r="E43" s="32">
        <v>57</v>
      </c>
      <c r="F43" s="33">
        <v>1.0793410338951001E-2</v>
      </c>
      <c r="G43" s="32">
        <v>60</v>
      </c>
      <c r="H43" s="33">
        <v>1.05540897097625E-2</v>
      </c>
      <c r="I43" s="32">
        <v>57</v>
      </c>
      <c r="J43" s="33">
        <v>1.0171306209850101E-2</v>
      </c>
      <c r="K43" s="32">
        <v>60</v>
      </c>
      <c r="L43" s="33">
        <v>1.0205817315869999E-2</v>
      </c>
      <c r="M43" s="32">
        <v>59</v>
      </c>
      <c r="N43" s="33">
        <v>1.06344628695025E-2</v>
      </c>
      <c r="O43" s="32">
        <v>49</v>
      </c>
      <c r="P43" s="33">
        <v>9.5256609642301697E-3</v>
      </c>
      <c r="Q43" s="32">
        <v>58</v>
      </c>
      <c r="R43" s="33">
        <v>8.8199513381995095E-3</v>
      </c>
      <c r="S43" s="32">
        <v>64</v>
      </c>
      <c r="T43" s="33">
        <v>8.6241746395364499E-3</v>
      </c>
      <c r="U43" s="32">
        <v>66</v>
      </c>
      <c r="V43" s="33">
        <v>1.0275572162540899E-2</v>
      </c>
      <c r="W43" s="32">
        <v>69</v>
      </c>
      <c r="X43" s="33">
        <v>1.10986006112273E-2</v>
      </c>
      <c r="Y43" s="32">
        <v>67</v>
      </c>
      <c r="Z43" s="33">
        <v>9.0284328257647199E-3</v>
      </c>
      <c r="AA43" s="32">
        <v>72</v>
      </c>
      <c r="AB43" s="33">
        <v>9.9392600773053601E-3</v>
      </c>
      <c r="AC43" s="32">
        <v>66</v>
      </c>
      <c r="AD43" s="33">
        <v>1.0015174506828499E-2</v>
      </c>
      <c r="AE43" s="32">
        <v>63</v>
      </c>
      <c r="AF43" s="33">
        <v>1.00638977635783E-2</v>
      </c>
      <c r="AG43" s="32">
        <v>63</v>
      </c>
      <c r="AH43" s="33">
        <v>8.9463220675944297E-3</v>
      </c>
      <c r="AI43" s="32">
        <v>66</v>
      </c>
      <c r="AJ43" s="33">
        <v>8.9321965083231803E-3</v>
      </c>
      <c r="AK43" s="32">
        <v>60</v>
      </c>
      <c r="AL43" s="33">
        <v>9.4458438287153695E-3</v>
      </c>
      <c r="AM43" s="32">
        <v>69</v>
      </c>
      <c r="AN43" s="33">
        <v>1.0456129716623699E-2</v>
      </c>
      <c r="AO43" s="32">
        <v>63</v>
      </c>
      <c r="AP43" s="33">
        <v>8.9349028506594801E-3</v>
      </c>
      <c r="AQ43" s="32">
        <v>68</v>
      </c>
      <c r="AR43" s="33">
        <v>9.5572733661279004E-3</v>
      </c>
      <c r="AS43" s="32">
        <v>70</v>
      </c>
      <c r="AT43" s="33">
        <v>1.0469638049656E-2</v>
      </c>
      <c r="AU43" s="32">
        <v>69</v>
      </c>
      <c r="AV43" s="33">
        <v>9.9237739105422097E-3</v>
      </c>
      <c r="AW43" s="32">
        <v>71</v>
      </c>
      <c r="AX43" s="33">
        <v>9.4102054340622892E-3</v>
      </c>
      <c r="AY43" s="32">
        <v>66</v>
      </c>
      <c r="AZ43" s="33">
        <v>8.7197780420134804E-3</v>
      </c>
    </row>
    <row r="44" spans="1:52" x14ac:dyDescent="0.25">
      <c r="A44" s="10" t="s">
        <v>1786</v>
      </c>
      <c r="B44" s="10"/>
      <c r="C44" s="32" t="s">
        <v>148</v>
      </c>
      <c r="D44" s="33"/>
      <c r="E44" s="32" t="s">
        <v>148</v>
      </c>
      <c r="F44" s="33"/>
      <c r="G44" s="32" t="s">
        <v>148</v>
      </c>
      <c r="H44" s="33"/>
      <c r="I44" s="32" t="s">
        <v>148</v>
      </c>
      <c r="J44" s="33"/>
      <c r="K44" s="32" t="s">
        <v>148</v>
      </c>
      <c r="L44" s="33"/>
      <c r="M44" s="32" t="s">
        <v>148</v>
      </c>
      <c r="N44" s="33"/>
      <c r="O44" s="32" t="s">
        <v>148</v>
      </c>
      <c r="P44" s="33"/>
      <c r="Q44" s="32" t="s">
        <v>148</v>
      </c>
      <c r="R44" s="33"/>
      <c r="S44" s="32" t="s">
        <v>148</v>
      </c>
      <c r="T44" s="33"/>
      <c r="U44" s="32" t="s">
        <v>148</v>
      </c>
      <c r="V44" s="33"/>
      <c r="W44" s="32" t="s">
        <v>148</v>
      </c>
      <c r="X44" s="33"/>
      <c r="Y44" s="32" t="s">
        <v>148</v>
      </c>
      <c r="Z44" s="33"/>
      <c r="AA44" s="32" t="s">
        <v>148</v>
      </c>
      <c r="AB44" s="33"/>
      <c r="AC44" s="32" t="s">
        <v>148</v>
      </c>
      <c r="AD44" s="33"/>
      <c r="AE44" s="32" t="s">
        <v>148</v>
      </c>
      <c r="AF44" s="33"/>
      <c r="AG44" s="32" t="s">
        <v>148</v>
      </c>
      <c r="AH44" s="33"/>
      <c r="AI44" s="32" t="s">
        <v>148</v>
      </c>
      <c r="AJ44" s="33"/>
      <c r="AK44" s="32">
        <v>41</v>
      </c>
      <c r="AL44" s="33">
        <v>6.4546599496221697E-3</v>
      </c>
      <c r="AM44" s="32" t="s">
        <v>148</v>
      </c>
      <c r="AN44" s="33"/>
      <c r="AO44" s="32" t="s">
        <v>148</v>
      </c>
      <c r="AP44" s="33"/>
      <c r="AQ44" s="32" t="s">
        <v>148</v>
      </c>
      <c r="AR44" s="33"/>
      <c r="AS44" s="32">
        <v>47</v>
      </c>
      <c r="AT44" s="33">
        <v>7.02961411905474E-3</v>
      </c>
      <c r="AU44" s="32">
        <v>47</v>
      </c>
      <c r="AV44" s="33">
        <v>6.75967208399252E-3</v>
      </c>
      <c r="AW44" s="32">
        <v>54</v>
      </c>
      <c r="AX44" s="33">
        <v>7.1570576540755503E-3</v>
      </c>
      <c r="AY44" s="32">
        <v>54</v>
      </c>
      <c r="AZ44" s="33">
        <v>7.1343638525564797E-3</v>
      </c>
    </row>
    <row r="45" spans="1:52" x14ac:dyDescent="0.25">
      <c r="A45" s="10" t="s">
        <v>1769</v>
      </c>
      <c r="B45" s="10"/>
      <c r="C45" s="32">
        <v>198</v>
      </c>
      <c r="D45" s="33">
        <v>3.4167385677308003E-2</v>
      </c>
      <c r="E45" s="32">
        <v>193</v>
      </c>
      <c r="F45" s="33">
        <v>3.6546108691535698E-2</v>
      </c>
      <c r="G45" s="32">
        <v>177</v>
      </c>
      <c r="H45" s="33">
        <v>3.11345646437995E-2</v>
      </c>
      <c r="I45" s="32">
        <v>152</v>
      </c>
      <c r="J45" s="33">
        <v>2.7123483226266999E-2</v>
      </c>
      <c r="K45" s="32">
        <v>142</v>
      </c>
      <c r="L45" s="33">
        <v>2.41537676475591E-2</v>
      </c>
      <c r="M45" s="32">
        <v>151</v>
      </c>
      <c r="N45" s="33">
        <v>2.7217015140591199E-2</v>
      </c>
      <c r="O45" s="32">
        <v>109</v>
      </c>
      <c r="P45" s="33">
        <v>2.1189735614307901E-2</v>
      </c>
      <c r="Q45" s="32">
        <v>116</v>
      </c>
      <c r="R45" s="33">
        <v>1.7639902676398998E-2</v>
      </c>
      <c r="S45" s="32">
        <v>114</v>
      </c>
      <c r="T45" s="33">
        <v>1.53618110766743E-2</v>
      </c>
      <c r="U45" s="32">
        <v>106</v>
      </c>
      <c r="V45" s="33">
        <v>1.65031916549899E-2</v>
      </c>
      <c r="W45" s="32">
        <v>100</v>
      </c>
      <c r="X45" s="33">
        <v>1.60849284220685E-2</v>
      </c>
      <c r="Y45" s="32">
        <v>100</v>
      </c>
      <c r="Z45" s="33">
        <v>1.34752728742757E-2</v>
      </c>
      <c r="AA45" s="32">
        <v>85</v>
      </c>
      <c r="AB45" s="33">
        <v>1.17338487023744E-2</v>
      </c>
      <c r="AC45" s="32">
        <v>77</v>
      </c>
      <c r="AD45" s="33">
        <v>1.1684370257966601E-2</v>
      </c>
      <c r="AE45" s="32">
        <v>72</v>
      </c>
      <c r="AF45" s="33">
        <v>1.15015974440895E-2</v>
      </c>
      <c r="AG45" s="32">
        <v>71</v>
      </c>
      <c r="AH45" s="33">
        <v>1.0082362965066699E-2</v>
      </c>
      <c r="AI45" s="32">
        <v>64</v>
      </c>
      <c r="AJ45" s="33">
        <v>8.6615238868588407E-3</v>
      </c>
      <c r="AK45" s="32">
        <v>55</v>
      </c>
      <c r="AL45" s="33">
        <v>8.6586901763224203E-3</v>
      </c>
      <c r="AM45" s="32">
        <v>56</v>
      </c>
      <c r="AN45" s="33">
        <v>8.4861342627670904E-3</v>
      </c>
      <c r="AO45" s="32">
        <v>47</v>
      </c>
      <c r="AP45" s="33">
        <v>6.6657211743015197E-3</v>
      </c>
      <c r="AQ45" s="32">
        <v>48</v>
      </c>
      <c r="AR45" s="33">
        <v>6.7463106113843999E-3</v>
      </c>
      <c r="AS45" s="32">
        <v>49</v>
      </c>
      <c r="AT45" s="33">
        <v>7.3287466347591998E-3</v>
      </c>
      <c r="AU45" s="32">
        <v>45</v>
      </c>
      <c r="AV45" s="33">
        <v>6.4720264633970903E-3</v>
      </c>
      <c r="AW45" s="32">
        <v>44</v>
      </c>
      <c r="AX45" s="33">
        <v>5.8316766070245201E-3</v>
      </c>
      <c r="AY45" s="32">
        <v>42</v>
      </c>
      <c r="AZ45" s="33">
        <v>5.5489496630994903E-3</v>
      </c>
    </row>
    <row r="46" spans="1:52" x14ac:dyDescent="0.25">
      <c r="A46" s="10" t="s">
        <v>1812</v>
      </c>
      <c r="B46" s="10"/>
      <c r="C46" s="32" t="s">
        <v>148</v>
      </c>
      <c r="D46" s="33"/>
      <c r="E46" s="32" t="s">
        <v>148</v>
      </c>
      <c r="F46" s="33"/>
      <c r="G46" s="32" t="s">
        <v>148</v>
      </c>
      <c r="H46" s="33"/>
      <c r="I46" s="32" t="s">
        <v>148</v>
      </c>
      <c r="J46" s="33"/>
      <c r="K46" s="32" t="s">
        <v>148</v>
      </c>
      <c r="L46" s="33"/>
      <c r="M46" s="32">
        <v>0</v>
      </c>
      <c r="N46" s="33"/>
      <c r="O46" s="32">
        <v>2</v>
      </c>
      <c r="P46" s="33">
        <v>3.8880248833592502E-4</v>
      </c>
      <c r="Q46" s="32">
        <v>4</v>
      </c>
      <c r="R46" s="33">
        <v>6.0827250608272497E-4</v>
      </c>
      <c r="S46" s="32">
        <v>5</v>
      </c>
      <c r="T46" s="33">
        <v>6.7376364371378504E-4</v>
      </c>
      <c r="U46" s="32">
        <v>4</v>
      </c>
      <c r="V46" s="33">
        <v>6.2276194924490099E-4</v>
      </c>
      <c r="W46" s="32">
        <v>9</v>
      </c>
      <c r="X46" s="33">
        <v>1.44764355798617E-3</v>
      </c>
      <c r="Y46" s="32">
        <v>12</v>
      </c>
      <c r="Z46" s="33">
        <v>1.61703274491308E-3</v>
      </c>
      <c r="AA46" s="32">
        <v>15</v>
      </c>
      <c r="AB46" s="33">
        <v>2.0706791827719501E-3</v>
      </c>
      <c r="AC46" s="32">
        <v>15</v>
      </c>
      <c r="AD46" s="33">
        <v>2.2761760242792101E-3</v>
      </c>
      <c r="AE46" s="32">
        <v>20</v>
      </c>
      <c r="AF46" s="33">
        <v>3.1948881789137401E-3</v>
      </c>
      <c r="AG46" s="32">
        <v>20</v>
      </c>
      <c r="AH46" s="33">
        <v>2.8401022436807702E-3</v>
      </c>
      <c r="AI46" s="32">
        <v>19</v>
      </c>
      <c r="AJ46" s="33">
        <v>2.5713899039112201E-3</v>
      </c>
      <c r="AK46" s="32">
        <v>27</v>
      </c>
      <c r="AL46" s="33">
        <v>4.2506297229219104E-3</v>
      </c>
      <c r="AM46" s="32">
        <v>29</v>
      </c>
      <c r="AN46" s="33">
        <v>4.3946052432186702E-3</v>
      </c>
      <c r="AO46" s="32">
        <v>27</v>
      </c>
      <c r="AP46" s="33">
        <v>3.8292440788540599E-3</v>
      </c>
      <c r="AQ46" s="32">
        <v>27</v>
      </c>
      <c r="AR46" s="33">
        <v>3.7947997189037201E-3</v>
      </c>
      <c r="AS46" s="32">
        <v>36</v>
      </c>
      <c r="AT46" s="33">
        <v>5.3843852826802301E-3</v>
      </c>
      <c r="AU46" s="32">
        <v>37</v>
      </c>
      <c r="AV46" s="33">
        <v>5.3214439810153899E-3</v>
      </c>
      <c r="AW46" s="32">
        <v>29</v>
      </c>
      <c r="AX46" s="33">
        <v>3.84360503644798E-3</v>
      </c>
      <c r="AY46" s="32">
        <v>36</v>
      </c>
      <c r="AZ46" s="33">
        <v>4.75624256837099E-3</v>
      </c>
    </row>
    <row r="47" spans="1:52" x14ac:dyDescent="0.25">
      <c r="A47" s="10" t="s">
        <v>1772</v>
      </c>
      <c r="B47" s="10"/>
      <c r="C47" s="32">
        <v>1</v>
      </c>
      <c r="D47" s="33">
        <v>1.7256255392579799E-4</v>
      </c>
      <c r="E47" s="32">
        <v>1</v>
      </c>
      <c r="F47" s="33">
        <v>1.89358076121947E-4</v>
      </c>
      <c r="G47" s="32">
        <v>1</v>
      </c>
      <c r="H47" s="33">
        <v>1.7590149516270899E-4</v>
      </c>
      <c r="I47" s="32">
        <v>1</v>
      </c>
      <c r="J47" s="33">
        <v>1.7844396859386199E-4</v>
      </c>
      <c r="K47" s="32">
        <v>2</v>
      </c>
      <c r="L47" s="33">
        <v>3.40193910529002E-4</v>
      </c>
      <c r="M47" s="32">
        <v>2</v>
      </c>
      <c r="N47" s="33">
        <v>3.60490266762797E-4</v>
      </c>
      <c r="O47" s="32">
        <v>1</v>
      </c>
      <c r="P47" s="33">
        <v>1.94401244167963E-4</v>
      </c>
      <c r="Q47" s="32">
        <v>1</v>
      </c>
      <c r="R47" s="33">
        <v>1.52068126520681E-4</v>
      </c>
      <c r="S47" s="32">
        <v>1</v>
      </c>
      <c r="T47" s="33">
        <v>1.34752728742757E-4</v>
      </c>
      <c r="U47" s="32">
        <v>5</v>
      </c>
      <c r="V47" s="33">
        <v>7.78452436556126E-4</v>
      </c>
      <c r="W47" s="32">
        <v>8</v>
      </c>
      <c r="X47" s="33">
        <v>1.2867942737654801E-3</v>
      </c>
      <c r="Y47" s="32">
        <v>6</v>
      </c>
      <c r="Z47" s="33">
        <v>8.0851637245654196E-4</v>
      </c>
      <c r="AA47" s="32">
        <v>11</v>
      </c>
      <c r="AB47" s="33">
        <v>1.5184980673661E-3</v>
      </c>
      <c r="AC47" s="32">
        <v>4</v>
      </c>
      <c r="AD47" s="33">
        <v>6.0698027314112302E-4</v>
      </c>
      <c r="AE47" s="32">
        <v>9</v>
      </c>
      <c r="AF47" s="33">
        <v>1.4376996805111799E-3</v>
      </c>
      <c r="AG47" s="32">
        <v>6</v>
      </c>
      <c r="AH47" s="33">
        <v>8.5203067310423201E-4</v>
      </c>
      <c r="AI47" s="32">
        <v>5</v>
      </c>
      <c r="AJ47" s="33">
        <v>6.7668155366084704E-4</v>
      </c>
      <c r="AK47" s="32">
        <v>32</v>
      </c>
      <c r="AL47" s="33">
        <v>5.0377833753148596E-3</v>
      </c>
      <c r="AM47" s="32">
        <v>7</v>
      </c>
      <c r="AN47" s="33">
        <v>1.06076678284589E-3</v>
      </c>
      <c r="AO47" s="32">
        <v>3</v>
      </c>
      <c r="AP47" s="33">
        <v>4.2547156431711801E-4</v>
      </c>
      <c r="AQ47" s="32">
        <v>1</v>
      </c>
      <c r="AR47" s="33">
        <v>1.4054813773717499E-4</v>
      </c>
      <c r="AS47" s="32">
        <v>45</v>
      </c>
      <c r="AT47" s="33">
        <v>6.7304816033502803E-3</v>
      </c>
      <c r="AU47" s="32">
        <v>25</v>
      </c>
      <c r="AV47" s="33">
        <v>3.5955702574428298E-3</v>
      </c>
      <c r="AW47" s="32">
        <v>26</v>
      </c>
      <c r="AX47" s="33">
        <v>3.4459907223326701E-3</v>
      </c>
      <c r="AY47" s="32">
        <v>33</v>
      </c>
      <c r="AZ47" s="33">
        <v>4.3598890210067402E-3</v>
      </c>
    </row>
    <row r="48" spans="1:52" x14ac:dyDescent="0.25">
      <c r="A48" s="10" t="s">
        <v>1771</v>
      </c>
      <c r="B48" s="10"/>
      <c r="C48" s="32">
        <v>18</v>
      </c>
      <c r="D48" s="33">
        <v>3.10612597066437E-3</v>
      </c>
      <c r="E48" s="32">
        <v>24</v>
      </c>
      <c r="F48" s="33">
        <v>4.5445938269267202E-3</v>
      </c>
      <c r="G48" s="32">
        <v>29</v>
      </c>
      <c r="H48" s="33">
        <v>5.1011433597185603E-3</v>
      </c>
      <c r="I48" s="32">
        <v>36</v>
      </c>
      <c r="J48" s="33">
        <v>6.4239828693790097E-3</v>
      </c>
      <c r="K48" s="32">
        <v>41</v>
      </c>
      <c r="L48" s="33">
        <v>6.9739751658445303E-3</v>
      </c>
      <c r="M48" s="32">
        <v>38</v>
      </c>
      <c r="N48" s="33">
        <v>6.8493150684931503E-3</v>
      </c>
      <c r="O48" s="32">
        <v>40</v>
      </c>
      <c r="P48" s="33">
        <v>7.77604976671851E-3</v>
      </c>
      <c r="Q48" s="32">
        <v>34</v>
      </c>
      <c r="R48" s="33">
        <v>5.1703163017031602E-3</v>
      </c>
      <c r="S48" s="32">
        <v>37</v>
      </c>
      <c r="T48" s="33">
        <v>4.9858509634820103E-3</v>
      </c>
      <c r="U48" s="32">
        <v>44</v>
      </c>
      <c r="V48" s="33">
        <v>6.8503814416939098E-3</v>
      </c>
      <c r="W48" s="32">
        <v>40</v>
      </c>
      <c r="X48" s="33">
        <v>6.4339713688274097E-3</v>
      </c>
      <c r="Y48" s="32">
        <v>41</v>
      </c>
      <c r="Z48" s="33">
        <v>5.5248618784530402E-3</v>
      </c>
      <c r="AA48" s="32">
        <v>40</v>
      </c>
      <c r="AB48" s="33">
        <v>5.5218111540585304E-3</v>
      </c>
      <c r="AC48" s="32">
        <v>44</v>
      </c>
      <c r="AD48" s="33">
        <v>6.6767830045523502E-3</v>
      </c>
      <c r="AE48" s="32">
        <v>42</v>
      </c>
      <c r="AF48" s="33">
        <v>6.7092651757188499E-3</v>
      </c>
      <c r="AG48" s="32">
        <v>40</v>
      </c>
      <c r="AH48" s="33">
        <v>5.6802044873615403E-3</v>
      </c>
      <c r="AI48" s="32">
        <v>42</v>
      </c>
      <c r="AJ48" s="33">
        <v>5.6841250507511203E-3</v>
      </c>
      <c r="AK48" s="32">
        <v>36</v>
      </c>
      <c r="AL48" s="33">
        <v>5.6675062972292196E-3</v>
      </c>
      <c r="AM48" s="32">
        <v>33</v>
      </c>
      <c r="AN48" s="33">
        <v>5.0007576905591799E-3</v>
      </c>
      <c r="AO48" s="32">
        <v>32</v>
      </c>
      <c r="AP48" s="33">
        <v>4.5383633527159304E-3</v>
      </c>
      <c r="AQ48" s="32">
        <v>32</v>
      </c>
      <c r="AR48" s="33">
        <v>4.4975404075895996E-3</v>
      </c>
      <c r="AS48" s="32">
        <v>33</v>
      </c>
      <c r="AT48" s="33">
        <v>4.9356865091235401E-3</v>
      </c>
      <c r="AU48" s="32">
        <v>34</v>
      </c>
      <c r="AV48" s="33">
        <v>4.8899755501222502E-3</v>
      </c>
      <c r="AW48" s="32">
        <v>33</v>
      </c>
      <c r="AX48" s="33">
        <v>4.3737574552683896E-3</v>
      </c>
      <c r="AY48" s="32">
        <v>30</v>
      </c>
      <c r="AZ48" s="33">
        <v>3.9635354736424896E-3</v>
      </c>
    </row>
    <row r="49" spans="1:52" x14ac:dyDescent="0.25">
      <c r="A49" s="10" t="s">
        <v>1768</v>
      </c>
      <c r="B49" s="10"/>
      <c r="C49" s="32">
        <v>74</v>
      </c>
      <c r="D49" s="33">
        <v>1.27696289905091E-2</v>
      </c>
      <c r="E49" s="32">
        <v>68</v>
      </c>
      <c r="F49" s="33">
        <v>1.28763491762924E-2</v>
      </c>
      <c r="G49" s="32">
        <v>69</v>
      </c>
      <c r="H49" s="33">
        <v>1.2137203166226899E-2</v>
      </c>
      <c r="I49" s="32">
        <v>63</v>
      </c>
      <c r="J49" s="33">
        <v>1.12419700214133E-2</v>
      </c>
      <c r="K49" s="32">
        <v>55</v>
      </c>
      <c r="L49" s="33">
        <v>9.3553325395475395E-3</v>
      </c>
      <c r="M49" s="32">
        <v>61</v>
      </c>
      <c r="N49" s="33">
        <v>1.0994953136265299E-2</v>
      </c>
      <c r="O49" s="32">
        <v>46</v>
      </c>
      <c r="P49" s="33">
        <v>8.9424572317262797E-3</v>
      </c>
      <c r="Q49" s="32">
        <v>49</v>
      </c>
      <c r="R49" s="33">
        <v>7.4513381995133798E-3</v>
      </c>
      <c r="S49" s="32">
        <v>41</v>
      </c>
      <c r="T49" s="33">
        <v>5.5248618784530402E-3</v>
      </c>
      <c r="U49" s="32">
        <v>42</v>
      </c>
      <c r="V49" s="33">
        <v>6.5390004670714602E-3</v>
      </c>
      <c r="W49" s="32">
        <v>44</v>
      </c>
      <c r="X49" s="33">
        <v>7.0773685057101497E-3</v>
      </c>
      <c r="Y49" s="32">
        <v>42</v>
      </c>
      <c r="Z49" s="33">
        <v>5.6596146071958E-3</v>
      </c>
      <c r="AA49" s="32">
        <v>36</v>
      </c>
      <c r="AB49" s="33">
        <v>4.9696300386526801E-3</v>
      </c>
      <c r="AC49" s="32">
        <v>32</v>
      </c>
      <c r="AD49" s="33">
        <v>4.8558421851289798E-3</v>
      </c>
      <c r="AE49" s="32">
        <v>32</v>
      </c>
      <c r="AF49" s="33">
        <v>5.1118210862619801E-3</v>
      </c>
      <c r="AG49" s="32">
        <v>28</v>
      </c>
      <c r="AH49" s="33">
        <v>3.9761431411530802E-3</v>
      </c>
      <c r="AI49" s="32">
        <v>26</v>
      </c>
      <c r="AJ49" s="33">
        <v>3.5187440790364101E-3</v>
      </c>
      <c r="AK49" s="32">
        <v>25</v>
      </c>
      <c r="AL49" s="33">
        <v>3.9357682619647399E-3</v>
      </c>
      <c r="AM49" s="32">
        <v>25</v>
      </c>
      <c r="AN49" s="33">
        <v>3.7884527958781601E-3</v>
      </c>
      <c r="AO49" s="32">
        <v>25</v>
      </c>
      <c r="AP49" s="33">
        <v>3.5455963693093199E-3</v>
      </c>
      <c r="AQ49" s="32">
        <v>25</v>
      </c>
      <c r="AR49" s="33">
        <v>3.51370344342937E-3</v>
      </c>
      <c r="AS49" s="32">
        <v>28</v>
      </c>
      <c r="AT49" s="33">
        <v>4.1878552198623999E-3</v>
      </c>
      <c r="AU49" s="32">
        <v>25</v>
      </c>
      <c r="AV49" s="33">
        <v>3.5955702574428298E-3</v>
      </c>
      <c r="AW49" s="32">
        <v>24</v>
      </c>
      <c r="AX49" s="33">
        <v>3.1809145129224701E-3</v>
      </c>
      <c r="AY49" s="32">
        <v>25</v>
      </c>
      <c r="AZ49" s="33">
        <v>3.3029462280354102E-3</v>
      </c>
    </row>
    <row r="50" spans="1:52" x14ac:dyDescent="0.25">
      <c r="A50" s="10" t="s">
        <v>1785</v>
      </c>
      <c r="B50" s="10"/>
      <c r="C50" s="32">
        <v>4</v>
      </c>
      <c r="D50" s="33">
        <v>6.9025021570319196E-4</v>
      </c>
      <c r="E50" s="32">
        <v>4</v>
      </c>
      <c r="F50" s="33">
        <v>7.5743230448778605E-4</v>
      </c>
      <c r="G50" s="32">
        <v>5</v>
      </c>
      <c r="H50" s="33">
        <v>8.7950747581354402E-4</v>
      </c>
      <c r="I50" s="32">
        <v>6</v>
      </c>
      <c r="J50" s="33">
        <v>1.0706638115631701E-3</v>
      </c>
      <c r="K50" s="32">
        <v>6</v>
      </c>
      <c r="L50" s="33">
        <v>1.020581731587E-3</v>
      </c>
      <c r="M50" s="32">
        <v>7</v>
      </c>
      <c r="N50" s="33">
        <v>1.26171593366979E-3</v>
      </c>
      <c r="O50" s="32">
        <v>7</v>
      </c>
      <c r="P50" s="33">
        <v>1.3608087091757401E-3</v>
      </c>
      <c r="Q50" s="32">
        <v>8</v>
      </c>
      <c r="R50" s="33">
        <v>1.2165450121654499E-3</v>
      </c>
      <c r="S50" s="32">
        <v>7</v>
      </c>
      <c r="T50" s="33">
        <v>9.4326910119929899E-4</v>
      </c>
      <c r="U50" s="32">
        <v>8</v>
      </c>
      <c r="V50" s="33">
        <v>1.2455238984898E-3</v>
      </c>
      <c r="W50" s="32">
        <v>8</v>
      </c>
      <c r="X50" s="33">
        <v>1.2867942737654801E-3</v>
      </c>
      <c r="Y50" s="32">
        <v>9</v>
      </c>
      <c r="Z50" s="33">
        <v>1.21277455868481E-3</v>
      </c>
      <c r="AA50" s="32">
        <v>9</v>
      </c>
      <c r="AB50" s="33">
        <v>1.24240750966317E-3</v>
      </c>
      <c r="AC50" s="32">
        <v>9</v>
      </c>
      <c r="AD50" s="33">
        <v>1.3657056145675299E-3</v>
      </c>
      <c r="AE50" s="32">
        <v>9</v>
      </c>
      <c r="AF50" s="33">
        <v>1.4376996805111799E-3</v>
      </c>
      <c r="AG50" s="32">
        <v>9</v>
      </c>
      <c r="AH50" s="33">
        <v>1.2780460096563501E-3</v>
      </c>
      <c r="AI50" s="32">
        <v>8</v>
      </c>
      <c r="AJ50" s="33">
        <v>1.0826904858573601E-3</v>
      </c>
      <c r="AK50" s="32">
        <v>9</v>
      </c>
      <c r="AL50" s="33">
        <v>1.4168765743072999E-3</v>
      </c>
      <c r="AM50" s="32">
        <v>10</v>
      </c>
      <c r="AN50" s="33">
        <v>1.5153811183512701E-3</v>
      </c>
      <c r="AO50" s="32">
        <v>9</v>
      </c>
      <c r="AP50" s="33">
        <v>1.27641469295135E-3</v>
      </c>
      <c r="AQ50" s="32">
        <v>10</v>
      </c>
      <c r="AR50" s="33">
        <v>1.40548137737175E-3</v>
      </c>
      <c r="AS50" s="32">
        <v>11</v>
      </c>
      <c r="AT50" s="33">
        <v>1.6452288363745099E-3</v>
      </c>
      <c r="AU50" s="32">
        <v>11</v>
      </c>
      <c r="AV50" s="33">
        <v>1.5820509132748501E-3</v>
      </c>
      <c r="AW50" s="32">
        <v>11</v>
      </c>
      <c r="AX50" s="33">
        <v>1.45791915175613E-3</v>
      </c>
      <c r="AY50" s="32">
        <v>11</v>
      </c>
      <c r="AZ50" s="33">
        <v>1.45329634033558E-3</v>
      </c>
    </row>
    <row r="51" spans="1:52" x14ac:dyDescent="0.25">
      <c r="A51" s="10" t="s">
        <v>1798</v>
      </c>
      <c r="B51" s="10"/>
      <c r="C51" s="32">
        <v>1</v>
      </c>
      <c r="D51" s="33">
        <v>1.7256255392579799E-4</v>
      </c>
      <c r="E51" s="32">
        <v>20</v>
      </c>
      <c r="F51" s="33">
        <v>3.7871615224389301E-3</v>
      </c>
      <c r="G51" s="32">
        <v>97</v>
      </c>
      <c r="H51" s="33">
        <v>1.7062445030782799E-2</v>
      </c>
      <c r="I51" s="32">
        <v>-21</v>
      </c>
      <c r="J51" s="33">
        <v>-3.74732334047109E-3</v>
      </c>
      <c r="K51" s="32">
        <v>13</v>
      </c>
      <c r="L51" s="33">
        <v>2.21126041843851E-3</v>
      </c>
      <c r="M51" s="32">
        <v>12</v>
      </c>
      <c r="N51" s="33">
        <v>2.16294160057678E-3</v>
      </c>
      <c r="O51" s="32">
        <v>10</v>
      </c>
      <c r="P51" s="33">
        <v>1.9440124416796301E-3</v>
      </c>
      <c r="Q51" s="32">
        <v>10</v>
      </c>
      <c r="R51" s="33">
        <v>1.5206812652068099E-3</v>
      </c>
      <c r="S51" s="32">
        <v>15</v>
      </c>
      <c r="T51" s="33">
        <v>2.02129093114136E-3</v>
      </c>
      <c r="U51" s="32">
        <v>20</v>
      </c>
      <c r="V51" s="33">
        <v>3.1138097462245101E-3</v>
      </c>
      <c r="W51" s="32">
        <v>31</v>
      </c>
      <c r="X51" s="33">
        <v>4.9863278108412401E-3</v>
      </c>
      <c r="Y51" s="32">
        <v>17</v>
      </c>
      <c r="Z51" s="33">
        <v>2.2907963886268702E-3</v>
      </c>
      <c r="AA51" s="32">
        <v>47</v>
      </c>
      <c r="AB51" s="33">
        <v>6.4881281060187703E-3</v>
      </c>
      <c r="AC51" s="32">
        <v>15</v>
      </c>
      <c r="AD51" s="33">
        <v>2.2761760242792101E-3</v>
      </c>
      <c r="AE51" s="32">
        <v>25</v>
      </c>
      <c r="AF51" s="33">
        <v>3.9936102236421698E-3</v>
      </c>
      <c r="AG51" s="32">
        <v>12</v>
      </c>
      <c r="AH51" s="33">
        <v>1.7040613462084601E-3</v>
      </c>
      <c r="AI51" s="32">
        <v>15</v>
      </c>
      <c r="AJ51" s="33">
        <v>2.0300446609825399E-3</v>
      </c>
      <c r="AK51" s="32">
        <v>12</v>
      </c>
      <c r="AL51" s="33">
        <v>1.88916876574307E-3</v>
      </c>
      <c r="AM51" s="32">
        <v>10</v>
      </c>
      <c r="AN51" s="33">
        <v>1.5153811183512701E-3</v>
      </c>
      <c r="AO51" s="32">
        <v>8</v>
      </c>
      <c r="AP51" s="33">
        <v>1.13459083817898E-3</v>
      </c>
      <c r="AQ51" s="32">
        <v>8</v>
      </c>
      <c r="AR51" s="33">
        <v>1.1243851018973999E-3</v>
      </c>
      <c r="AS51" s="32">
        <v>9</v>
      </c>
      <c r="AT51" s="33">
        <v>1.3460963206700599E-3</v>
      </c>
      <c r="AU51" s="32">
        <v>8</v>
      </c>
      <c r="AV51" s="33">
        <v>1.1505824823817099E-3</v>
      </c>
      <c r="AW51" s="32">
        <v>8</v>
      </c>
      <c r="AX51" s="33">
        <v>1.06030483764082E-3</v>
      </c>
      <c r="AY51" s="32">
        <v>8</v>
      </c>
      <c r="AZ51" s="33">
        <v>1.05694279297133E-3</v>
      </c>
    </row>
    <row r="52" spans="1:52" x14ac:dyDescent="0.25">
      <c r="A52" s="10" t="s">
        <v>1844</v>
      </c>
      <c r="B52" s="10"/>
      <c r="C52" s="32">
        <v>114</v>
      </c>
      <c r="D52" s="33">
        <v>1.9672131147540999E-2</v>
      </c>
      <c r="E52" s="32">
        <v>56</v>
      </c>
      <c r="F52" s="33">
        <v>1.0604052262829001E-2</v>
      </c>
      <c r="G52" s="32">
        <v>58</v>
      </c>
      <c r="H52" s="33">
        <v>1.02022867194371E-2</v>
      </c>
      <c r="I52" s="32">
        <v>67</v>
      </c>
      <c r="J52" s="33">
        <v>1.19557458957887E-2</v>
      </c>
      <c r="K52" s="32">
        <v>63</v>
      </c>
      <c r="L52" s="33">
        <v>1.07161081816635E-2</v>
      </c>
      <c r="M52" s="32">
        <v>48</v>
      </c>
      <c r="N52" s="33">
        <v>8.6517664023071407E-3</v>
      </c>
      <c r="O52" s="32">
        <v>62</v>
      </c>
      <c r="P52" s="33">
        <v>1.2052877138413701E-2</v>
      </c>
      <c r="Q52" s="32">
        <v>60</v>
      </c>
      <c r="R52" s="33">
        <v>9.1240875912408804E-3</v>
      </c>
      <c r="S52" s="32">
        <v>71</v>
      </c>
      <c r="T52" s="33">
        <v>9.5674437407357506E-3</v>
      </c>
      <c r="U52" s="32">
        <v>61</v>
      </c>
      <c r="V52" s="33">
        <v>9.4971197259847394E-3</v>
      </c>
      <c r="W52" s="32">
        <v>45</v>
      </c>
      <c r="X52" s="33">
        <v>7.2382177899308403E-3</v>
      </c>
      <c r="Y52" s="32">
        <v>34</v>
      </c>
      <c r="Z52" s="33">
        <v>4.5815927772537403E-3</v>
      </c>
      <c r="AA52" s="32">
        <v>56</v>
      </c>
      <c r="AB52" s="33">
        <v>7.7305356156819396E-3</v>
      </c>
      <c r="AC52" s="32">
        <v>28</v>
      </c>
      <c r="AD52" s="33">
        <v>4.2488619119878598E-3</v>
      </c>
      <c r="AE52" s="32">
        <v>34</v>
      </c>
      <c r="AF52" s="33">
        <v>5.4313099041533499E-3</v>
      </c>
      <c r="AG52" s="32">
        <v>37</v>
      </c>
      <c r="AH52" s="33">
        <v>5.2541891508094303E-3</v>
      </c>
      <c r="AI52" s="32">
        <v>28</v>
      </c>
      <c r="AJ52" s="33">
        <v>3.7894167005007402E-3</v>
      </c>
      <c r="AK52" s="32">
        <v>26</v>
      </c>
      <c r="AL52" s="33">
        <v>4.0931989924433204E-3</v>
      </c>
      <c r="AM52" s="32">
        <v>28</v>
      </c>
      <c r="AN52" s="33">
        <v>4.24306713138354E-3</v>
      </c>
      <c r="AO52" s="32">
        <v>23</v>
      </c>
      <c r="AP52" s="33">
        <v>3.26194865976457E-3</v>
      </c>
      <c r="AQ52" s="32">
        <v>36</v>
      </c>
      <c r="AR52" s="33">
        <v>5.0597329585382999E-3</v>
      </c>
      <c r="AS52" s="32">
        <v>15</v>
      </c>
      <c r="AT52" s="33">
        <v>2.2434938677834298E-3</v>
      </c>
      <c r="AU52" s="32">
        <v>15</v>
      </c>
      <c r="AV52" s="33">
        <v>2.1573421544656998E-3</v>
      </c>
      <c r="AW52" s="32">
        <v>12</v>
      </c>
      <c r="AX52" s="33">
        <v>1.5904572564612301E-3</v>
      </c>
      <c r="AY52" s="32" t="s">
        <v>148</v>
      </c>
      <c r="AZ52" s="33"/>
    </row>
    <row r="53" spans="1:52" x14ac:dyDescent="0.25">
      <c r="A53" s="10" t="s">
        <v>1845</v>
      </c>
      <c r="B53" s="10"/>
      <c r="C53" s="32" t="s">
        <v>148</v>
      </c>
      <c r="D53" s="33"/>
      <c r="E53" s="32" t="s">
        <v>148</v>
      </c>
      <c r="F53" s="33"/>
      <c r="G53" s="32" t="s">
        <v>148</v>
      </c>
      <c r="H53" s="33"/>
      <c r="I53" s="32" t="s">
        <v>148</v>
      </c>
      <c r="J53" s="33"/>
      <c r="K53" s="32" t="s">
        <v>148</v>
      </c>
      <c r="L53" s="33"/>
      <c r="M53" s="32">
        <v>2</v>
      </c>
      <c r="N53" s="33">
        <v>3.60490266762797E-4</v>
      </c>
      <c r="O53" s="32">
        <v>2</v>
      </c>
      <c r="P53" s="33">
        <v>3.8880248833592502E-4</v>
      </c>
      <c r="Q53" s="32">
        <v>2</v>
      </c>
      <c r="R53" s="33">
        <v>3.0413625304136303E-4</v>
      </c>
      <c r="S53" s="32" t="s">
        <v>148</v>
      </c>
      <c r="T53" s="33"/>
      <c r="U53" s="32">
        <v>8</v>
      </c>
      <c r="V53" s="33">
        <v>1.2455238984898E-3</v>
      </c>
      <c r="W53" s="32">
        <v>8</v>
      </c>
      <c r="X53" s="33">
        <v>1.2867942737654801E-3</v>
      </c>
      <c r="Y53" s="32">
        <v>13</v>
      </c>
      <c r="Z53" s="33">
        <v>1.7517854736558401E-3</v>
      </c>
      <c r="AA53" s="32">
        <v>13</v>
      </c>
      <c r="AB53" s="33">
        <v>1.7945886250690199E-3</v>
      </c>
      <c r="AC53" s="32">
        <v>13</v>
      </c>
      <c r="AD53" s="33">
        <v>1.9726858877086501E-3</v>
      </c>
      <c r="AE53" s="32">
        <v>15</v>
      </c>
      <c r="AF53" s="33">
        <v>2.3961661341852999E-3</v>
      </c>
      <c r="AG53" s="32">
        <v>13</v>
      </c>
      <c r="AH53" s="33">
        <v>1.8460664583924999E-3</v>
      </c>
      <c r="AI53" s="32">
        <v>14</v>
      </c>
      <c r="AJ53" s="33">
        <v>1.8947083502503701E-3</v>
      </c>
      <c r="AK53" s="32" t="s">
        <v>148</v>
      </c>
      <c r="AL53" s="33"/>
      <c r="AM53" s="32">
        <v>20</v>
      </c>
      <c r="AN53" s="33">
        <v>3.0307622367025302E-3</v>
      </c>
      <c r="AO53" s="32">
        <v>19</v>
      </c>
      <c r="AP53" s="33">
        <v>2.6946532406750801E-3</v>
      </c>
      <c r="AQ53" s="32">
        <v>22</v>
      </c>
      <c r="AR53" s="33">
        <v>3.0920590302178498E-3</v>
      </c>
      <c r="AS53" s="32" t="s">
        <v>148</v>
      </c>
      <c r="AT53" s="33"/>
      <c r="AU53" s="32" t="s">
        <v>148</v>
      </c>
      <c r="AV53" s="33"/>
      <c r="AW53" s="32" t="s">
        <v>148</v>
      </c>
      <c r="AX53" s="33"/>
      <c r="AY53" s="32" t="s">
        <v>148</v>
      </c>
      <c r="AZ53" s="33"/>
    </row>
    <row r="54" spans="1:52" x14ac:dyDescent="0.25">
      <c r="A54" s="10" t="s">
        <v>1819</v>
      </c>
      <c r="B54" s="10"/>
      <c r="C54" s="32" t="s">
        <v>148</v>
      </c>
      <c r="D54" s="33"/>
      <c r="E54" s="32" t="s">
        <v>148</v>
      </c>
      <c r="F54" s="33"/>
      <c r="G54" s="32" t="s">
        <v>148</v>
      </c>
      <c r="H54" s="33"/>
      <c r="I54" s="32" t="s">
        <v>148</v>
      </c>
      <c r="J54" s="33"/>
      <c r="K54" s="32">
        <v>18</v>
      </c>
      <c r="L54" s="33">
        <v>3.0617451947610101E-3</v>
      </c>
      <c r="M54" s="32">
        <v>15</v>
      </c>
      <c r="N54" s="33">
        <v>2.7036770007209799E-3</v>
      </c>
      <c r="O54" s="32">
        <v>9</v>
      </c>
      <c r="P54" s="33">
        <v>1.7496111975116599E-3</v>
      </c>
      <c r="Q54" s="32">
        <v>13</v>
      </c>
      <c r="R54" s="33">
        <v>1.9768856447688601E-3</v>
      </c>
      <c r="S54" s="32">
        <v>11</v>
      </c>
      <c r="T54" s="33">
        <v>1.4822800161703299E-3</v>
      </c>
      <c r="U54" s="32">
        <v>44</v>
      </c>
      <c r="V54" s="33">
        <v>6.8503814416939098E-3</v>
      </c>
      <c r="W54" s="32">
        <v>8</v>
      </c>
      <c r="X54" s="33">
        <v>1.2867942737654801E-3</v>
      </c>
      <c r="Y54" s="32">
        <v>12</v>
      </c>
      <c r="Z54" s="33">
        <v>1.61703274491308E-3</v>
      </c>
      <c r="AA54" s="32">
        <v>10</v>
      </c>
      <c r="AB54" s="33">
        <v>1.38045278851463E-3</v>
      </c>
      <c r="AC54" s="32">
        <v>7</v>
      </c>
      <c r="AD54" s="33">
        <v>1.0622154779969699E-3</v>
      </c>
      <c r="AE54" s="32">
        <v>15</v>
      </c>
      <c r="AF54" s="33">
        <v>2.3961661341852999E-3</v>
      </c>
      <c r="AG54" s="32">
        <v>7</v>
      </c>
      <c r="AH54" s="33">
        <v>9.9403578528827006E-4</v>
      </c>
      <c r="AI54" s="32">
        <v>9</v>
      </c>
      <c r="AJ54" s="33">
        <v>1.2180267965895199E-3</v>
      </c>
      <c r="AK54" s="32" t="s">
        <v>148</v>
      </c>
      <c r="AL54" s="33"/>
      <c r="AM54" s="32">
        <v>9</v>
      </c>
      <c r="AN54" s="33">
        <v>1.3638430065161401E-3</v>
      </c>
      <c r="AO54" s="32">
        <v>7</v>
      </c>
      <c r="AP54" s="33">
        <v>9.9276698340660893E-4</v>
      </c>
      <c r="AQ54" s="32">
        <v>10</v>
      </c>
      <c r="AR54" s="33">
        <v>1.40548137737175E-3</v>
      </c>
      <c r="AS54" s="32" t="s">
        <v>148</v>
      </c>
      <c r="AT54" s="33"/>
      <c r="AU54" s="32" t="s">
        <v>148</v>
      </c>
      <c r="AV54" s="33"/>
      <c r="AW54" s="32" t="s">
        <v>148</v>
      </c>
      <c r="AX54" s="33"/>
      <c r="AY54" s="32" t="s">
        <v>148</v>
      </c>
      <c r="AZ54" s="33"/>
    </row>
    <row r="55" spans="1:52" x14ac:dyDescent="0.25">
      <c r="A55" s="10" t="s">
        <v>1837</v>
      </c>
      <c r="B55" s="10"/>
      <c r="C55" s="32">
        <v>21</v>
      </c>
      <c r="D55" s="33">
        <v>3.62381363244176E-3</v>
      </c>
      <c r="E55" s="32">
        <v>16</v>
      </c>
      <c r="F55" s="33">
        <v>3.0297292179511499E-3</v>
      </c>
      <c r="G55" s="32">
        <v>15</v>
      </c>
      <c r="H55" s="33">
        <v>2.6385224274406301E-3</v>
      </c>
      <c r="I55" s="32">
        <v>12</v>
      </c>
      <c r="J55" s="33">
        <v>2.1413276231263402E-3</v>
      </c>
      <c r="K55" s="32" t="s">
        <v>148</v>
      </c>
      <c r="L55" s="33"/>
      <c r="M55" s="32" t="s">
        <v>148</v>
      </c>
      <c r="N55" s="33"/>
      <c r="O55" s="32" t="s">
        <v>148</v>
      </c>
      <c r="P55" s="33"/>
      <c r="Q55" s="32" t="s">
        <v>148</v>
      </c>
      <c r="R55" s="33"/>
      <c r="S55" s="32" t="s">
        <v>148</v>
      </c>
      <c r="T55" s="33"/>
      <c r="U55" s="32" t="s">
        <v>148</v>
      </c>
      <c r="V55" s="33"/>
      <c r="W55" s="32" t="s">
        <v>148</v>
      </c>
      <c r="X55" s="33"/>
      <c r="Y55" s="32" t="s">
        <v>148</v>
      </c>
      <c r="Z55" s="33"/>
      <c r="AA55" s="32" t="s">
        <v>148</v>
      </c>
      <c r="AB55" s="33"/>
      <c r="AC55" s="32" t="s">
        <v>148</v>
      </c>
      <c r="AD55" s="33"/>
      <c r="AE55" s="32" t="s">
        <v>148</v>
      </c>
      <c r="AF55" s="33"/>
      <c r="AG55" s="32" t="s">
        <v>148</v>
      </c>
      <c r="AH55" s="33"/>
      <c r="AI55" s="32" t="s">
        <v>148</v>
      </c>
      <c r="AJ55" s="33"/>
      <c r="AK55" s="32" t="s">
        <v>148</v>
      </c>
      <c r="AL55" s="33"/>
      <c r="AM55" s="32" t="s">
        <v>148</v>
      </c>
      <c r="AN55" s="33"/>
      <c r="AO55" s="32" t="s">
        <v>148</v>
      </c>
      <c r="AP55" s="33"/>
      <c r="AQ55" s="32" t="s">
        <v>148</v>
      </c>
      <c r="AR55" s="33"/>
      <c r="AS55" s="32" t="s">
        <v>148</v>
      </c>
      <c r="AT55" s="33"/>
      <c r="AU55" s="32" t="s">
        <v>148</v>
      </c>
      <c r="AV55" s="33"/>
      <c r="AW55" s="32" t="s">
        <v>148</v>
      </c>
      <c r="AX55" s="33"/>
      <c r="AY55" s="32" t="s">
        <v>148</v>
      </c>
      <c r="AZ55" s="33"/>
    </row>
    <row r="56" spans="1:52" x14ac:dyDescent="0.25">
      <c r="A56" s="10" t="s">
        <v>1846</v>
      </c>
      <c r="B56" s="10"/>
      <c r="C56" s="32" t="s">
        <v>148</v>
      </c>
      <c r="D56" s="33"/>
      <c r="E56" s="32" t="s">
        <v>148</v>
      </c>
      <c r="F56" s="33"/>
      <c r="G56" s="32" t="s">
        <v>148</v>
      </c>
      <c r="H56" s="33"/>
      <c r="I56" s="32" t="s">
        <v>148</v>
      </c>
      <c r="J56" s="33"/>
      <c r="K56" s="32" t="s">
        <v>148</v>
      </c>
      <c r="L56" s="33"/>
      <c r="M56" s="32" t="s">
        <v>148</v>
      </c>
      <c r="N56" s="33"/>
      <c r="O56" s="32" t="s">
        <v>148</v>
      </c>
      <c r="P56" s="33"/>
      <c r="Q56" s="32" t="s">
        <v>148</v>
      </c>
      <c r="R56" s="33"/>
      <c r="S56" s="32" t="s">
        <v>148</v>
      </c>
      <c r="T56" s="33"/>
      <c r="U56" s="32" t="s">
        <v>148</v>
      </c>
      <c r="V56" s="33"/>
      <c r="W56" s="32" t="s">
        <v>148</v>
      </c>
      <c r="X56" s="33"/>
      <c r="Y56" s="32" t="s">
        <v>148</v>
      </c>
      <c r="Z56" s="33"/>
      <c r="AA56" s="32" t="s">
        <v>148</v>
      </c>
      <c r="AB56" s="33"/>
      <c r="AC56" s="32">
        <v>25</v>
      </c>
      <c r="AD56" s="33">
        <v>3.7936267071320201E-3</v>
      </c>
      <c r="AE56" s="32" t="s">
        <v>148</v>
      </c>
      <c r="AF56" s="33"/>
      <c r="AG56" s="32" t="s">
        <v>148</v>
      </c>
      <c r="AH56" s="33"/>
      <c r="AI56" s="32">
        <v>44</v>
      </c>
      <c r="AJ56" s="33">
        <v>5.9547976722154599E-3</v>
      </c>
      <c r="AK56" s="32" t="s">
        <v>148</v>
      </c>
      <c r="AL56" s="33"/>
      <c r="AM56" s="32" t="s">
        <v>148</v>
      </c>
      <c r="AN56" s="33"/>
      <c r="AO56" s="32" t="s">
        <v>148</v>
      </c>
      <c r="AP56" s="33"/>
      <c r="AQ56" s="32" t="s">
        <v>148</v>
      </c>
      <c r="AR56" s="33"/>
      <c r="AS56" s="32" t="s">
        <v>148</v>
      </c>
      <c r="AT56" s="33"/>
      <c r="AU56" s="32" t="s">
        <v>148</v>
      </c>
      <c r="AV56" s="33"/>
      <c r="AW56" s="32" t="s">
        <v>148</v>
      </c>
      <c r="AX56" s="33"/>
      <c r="AY56" s="32" t="s">
        <v>148</v>
      </c>
      <c r="AZ56" s="33"/>
    </row>
    <row r="57" spans="1:52" x14ac:dyDescent="0.25">
      <c r="A57" s="10" t="s">
        <v>1776</v>
      </c>
      <c r="B57" s="10"/>
      <c r="C57" s="32">
        <v>14</v>
      </c>
      <c r="D57" s="33">
        <v>2.41587575496117E-3</v>
      </c>
      <c r="E57" s="32">
        <v>18</v>
      </c>
      <c r="F57" s="33">
        <v>3.40844537019504E-3</v>
      </c>
      <c r="G57" s="32">
        <v>24</v>
      </c>
      <c r="H57" s="33">
        <v>4.2216358839050096E-3</v>
      </c>
      <c r="I57" s="32">
        <v>18</v>
      </c>
      <c r="J57" s="33">
        <v>3.2119914346895101E-3</v>
      </c>
      <c r="K57" s="32">
        <v>15</v>
      </c>
      <c r="L57" s="33">
        <v>2.5514543289675098E-3</v>
      </c>
      <c r="M57" s="32">
        <v>17</v>
      </c>
      <c r="N57" s="33">
        <v>3.0641672674837799E-3</v>
      </c>
      <c r="O57" s="32">
        <v>12</v>
      </c>
      <c r="P57" s="33">
        <v>2.3328149300155501E-3</v>
      </c>
      <c r="Q57" s="32">
        <v>13</v>
      </c>
      <c r="R57" s="33">
        <v>1.9768856447688601E-3</v>
      </c>
      <c r="S57" s="32">
        <v>12</v>
      </c>
      <c r="T57" s="33">
        <v>1.61703274491308E-3</v>
      </c>
      <c r="U57" s="32">
        <v>11</v>
      </c>
      <c r="V57" s="33">
        <v>1.71259536042348E-3</v>
      </c>
      <c r="W57" s="32">
        <v>11</v>
      </c>
      <c r="X57" s="33">
        <v>1.76934212642754E-3</v>
      </c>
      <c r="Y57" s="32">
        <v>11</v>
      </c>
      <c r="Z57" s="33">
        <v>1.4822800161703299E-3</v>
      </c>
      <c r="AA57" s="32">
        <v>10</v>
      </c>
      <c r="AB57" s="33">
        <v>1.38045278851463E-3</v>
      </c>
      <c r="AC57" s="32">
        <v>8</v>
      </c>
      <c r="AD57" s="33">
        <v>1.2139605462822499E-3</v>
      </c>
      <c r="AE57" s="32">
        <v>8</v>
      </c>
      <c r="AF57" s="33">
        <v>1.2779552715655E-3</v>
      </c>
      <c r="AG57" s="32">
        <v>7</v>
      </c>
      <c r="AH57" s="33">
        <v>9.9403578528827006E-4</v>
      </c>
      <c r="AI57" s="32">
        <v>7</v>
      </c>
      <c r="AJ57" s="33">
        <v>9.4735417512518602E-4</v>
      </c>
      <c r="AK57" s="32" t="s">
        <v>148</v>
      </c>
      <c r="AL57" s="33"/>
      <c r="AM57" s="32">
        <v>5</v>
      </c>
      <c r="AN57" s="33">
        <v>7.5769055917563298E-4</v>
      </c>
      <c r="AO57" s="32">
        <v>5</v>
      </c>
      <c r="AP57" s="33">
        <v>7.0911927386186398E-4</v>
      </c>
      <c r="AQ57" s="32">
        <v>5</v>
      </c>
      <c r="AR57" s="33">
        <v>7.0274068868587502E-4</v>
      </c>
      <c r="AS57" s="32" t="s">
        <v>148</v>
      </c>
      <c r="AT57" s="33"/>
      <c r="AU57" s="32" t="s">
        <v>148</v>
      </c>
      <c r="AV57" s="33"/>
      <c r="AW57" s="32" t="s">
        <v>148</v>
      </c>
      <c r="AX57" s="33"/>
      <c r="AY57" s="32" t="s">
        <v>148</v>
      </c>
      <c r="AZ57" s="33"/>
    </row>
    <row r="58" spans="1:52" x14ac:dyDescent="0.25">
      <c r="A58" s="10" t="s">
        <v>1775</v>
      </c>
      <c r="B58" s="10"/>
      <c r="C58" s="32">
        <v>48</v>
      </c>
      <c r="D58" s="33">
        <v>8.2830025884383096E-3</v>
      </c>
      <c r="E58" s="32">
        <v>62</v>
      </c>
      <c r="F58" s="33">
        <v>1.17402007195607E-2</v>
      </c>
      <c r="G58" s="32">
        <v>72</v>
      </c>
      <c r="H58" s="33">
        <v>1.2664907651714999E-2</v>
      </c>
      <c r="I58" s="32">
        <v>45</v>
      </c>
      <c r="J58" s="33">
        <v>8.0299785867237704E-3</v>
      </c>
      <c r="K58" s="32">
        <v>35</v>
      </c>
      <c r="L58" s="33">
        <v>5.9533934342575296E-3</v>
      </c>
      <c r="M58" s="32">
        <v>47</v>
      </c>
      <c r="N58" s="33">
        <v>8.4715212689257403E-3</v>
      </c>
      <c r="O58" s="32">
        <v>42</v>
      </c>
      <c r="P58" s="33">
        <v>8.1648522550544292E-3</v>
      </c>
      <c r="Q58" s="32">
        <v>35</v>
      </c>
      <c r="R58" s="33">
        <v>5.3223844282238404E-3</v>
      </c>
      <c r="S58" s="32">
        <v>35</v>
      </c>
      <c r="T58" s="33">
        <v>4.7163455059965002E-3</v>
      </c>
      <c r="U58" s="32">
        <v>34</v>
      </c>
      <c r="V58" s="33">
        <v>5.2934765685816601E-3</v>
      </c>
      <c r="W58" s="32">
        <v>39</v>
      </c>
      <c r="X58" s="33">
        <v>6.27312208460672E-3</v>
      </c>
      <c r="Y58" s="32">
        <v>31</v>
      </c>
      <c r="Z58" s="33">
        <v>4.1773345910254703E-3</v>
      </c>
      <c r="AA58" s="32">
        <v>38</v>
      </c>
      <c r="AB58" s="33">
        <v>5.2457205963556E-3</v>
      </c>
      <c r="AC58" s="32">
        <v>24</v>
      </c>
      <c r="AD58" s="33">
        <v>3.6418816388467399E-3</v>
      </c>
      <c r="AE58" s="32">
        <v>31</v>
      </c>
      <c r="AF58" s="33">
        <v>4.9520766773162904E-3</v>
      </c>
      <c r="AG58" s="32">
        <v>21</v>
      </c>
      <c r="AH58" s="33">
        <v>2.9821073558648102E-3</v>
      </c>
      <c r="AI58" s="32">
        <v>37</v>
      </c>
      <c r="AJ58" s="33">
        <v>5.0074434970902703E-3</v>
      </c>
      <c r="AK58" s="32" t="s">
        <v>148</v>
      </c>
      <c r="AL58" s="33"/>
      <c r="AM58" s="32">
        <v>16</v>
      </c>
      <c r="AN58" s="33">
        <v>2.4246097893620201E-3</v>
      </c>
      <c r="AO58" s="32">
        <v>18</v>
      </c>
      <c r="AP58" s="33">
        <v>2.5528293859027099E-3</v>
      </c>
      <c r="AQ58" s="32">
        <v>15</v>
      </c>
      <c r="AR58" s="33">
        <v>2.1082220660576202E-3</v>
      </c>
      <c r="AS58" s="32" t="s">
        <v>148</v>
      </c>
      <c r="AT58" s="33"/>
      <c r="AU58" s="32" t="s">
        <v>148</v>
      </c>
      <c r="AV58" s="33"/>
      <c r="AW58" s="32" t="s">
        <v>148</v>
      </c>
      <c r="AX58" s="33"/>
      <c r="AY58" s="32" t="s">
        <v>148</v>
      </c>
      <c r="AZ58" s="33"/>
    </row>
    <row r="59" spans="1:52" x14ac:dyDescent="0.25">
      <c r="A59" s="10" t="s">
        <v>1847</v>
      </c>
      <c r="B59" s="10"/>
      <c r="C59" s="32">
        <v>12</v>
      </c>
      <c r="D59" s="33">
        <v>2.07075064710958E-3</v>
      </c>
      <c r="E59" s="32">
        <v>16</v>
      </c>
      <c r="F59" s="33">
        <v>3.0297292179511499E-3</v>
      </c>
      <c r="G59" s="32">
        <v>26</v>
      </c>
      <c r="H59" s="33">
        <v>4.5734388742304302E-3</v>
      </c>
      <c r="I59" s="32">
        <v>10</v>
      </c>
      <c r="J59" s="33">
        <v>1.78443968593862E-3</v>
      </c>
      <c r="K59" s="32">
        <v>8</v>
      </c>
      <c r="L59" s="33">
        <v>1.3607756421160099E-3</v>
      </c>
      <c r="M59" s="32">
        <v>7</v>
      </c>
      <c r="N59" s="33">
        <v>1.26171593366979E-3</v>
      </c>
      <c r="O59" s="32">
        <v>5</v>
      </c>
      <c r="P59" s="33">
        <v>9.7200622083981299E-4</v>
      </c>
      <c r="Q59" s="32">
        <v>5</v>
      </c>
      <c r="R59" s="33">
        <v>7.6034063260340605E-4</v>
      </c>
      <c r="S59" s="32">
        <v>4</v>
      </c>
      <c r="T59" s="33">
        <v>5.3901091497102801E-4</v>
      </c>
      <c r="U59" s="32" t="s">
        <v>148</v>
      </c>
      <c r="V59" s="33"/>
      <c r="W59" s="32" t="s">
        <v>148</v>
      </c>
      <c r="X59" s="33"/>
      <c r="Y59" s="32" t="s">
        <v>148</v>
      </c>
      <c r="Z59" s="33"/>
      <c r="AA59" s="32" t="s">
        <v>148</v>
      </c>
      <c r="AB59" s="33"/>
      <c r="AC59" s="32" t="s">
        <v>148</v>
      </c>
      <c r="AD59" s="33"/>
      <c r="AE59" s="32" t="s">
        <v>148</v>
      </c>
      <c r="AF59" s="33"/>
      <c r="AG59" s="32" t="s">
        <v>148</v>
      </c>
      <c r="AH59" s="33"/>
      <c r="AI59" s="32" t="s">
        <v>148</v>
      </c>
      <c r="AJ59" s="33"/>
      <c r="AK59" s="32" t="s">
        <v>148</v>
      </c>
      <c r="AL59" s="33"/>
      <c r="AM59" s="32" t="s">
        <v>148</v>
      </c>
      <c r="AN59" s="33"/>
      <c r="AO59" s="32" t="s">
        <v>148</v>
      </c>
      <c r="AP59" s="33"/>
      <c r="AQ59" s="32" t="s">
        <v>148</v>
      </c>
      <c r="AR59" s="33"/>
      <c r="AS59" s="32" t="s">
        <v>148</v>
      </c>
      <c r="AT59" s="33"/>
      <c r="AU59" s="32" t="s">
        <v>148</v>
      </c>
      <c r="AV59" s="33"/>
      <c r="AW59" s="32" t="s">
        <v>148</v>
      </c>
      <c r="AX59" s="33"/>
      <c r="AY59" s="32" t="s">
        <v>148</v>
      </c>
      <c r="AZ59" s="33"/>
    </row>
    <row r="60" spans="1:52" x14ac:dyDescent="0.25">
      <c r="A60" s="10" t="s">
        <v>1815</v>
      </c>
      <c r="B60" s="10"/>
      <c r="C60" s="32">
        <v>10</v>
      </c>
      <c r="D60" s="33">
        <v>1.72562553925798E-3</v>
      </c>
      <c r="E60" s="32">
        <v>14</v>
      </c>
      <c r="F60" s="33">
        <v>2.6510130657072502E-3</v>
      </c>
      <c r="G60" s="32">
        <v>28</v>
      </c>
      <c r="H60" s="33">
        <v>4.92524186455585E-3</v>
      </c>
      <c r="I60" s="32">
        <v>15</v>
      </c>
      <c r="J60" s="33">
        <v>2.6766595289079201E-3</v>
      </c>
      <c r="K60" s="32">
        <v>12</v>
      </c>
      <c r="L60" s="33">
        <v>2.0411634631740099E-3</v>
      </c>
      <c r="M60" s="32">
        <v>11</v>
      </c>
      <c r="N60" s="33">
        <v>1.98269646719539E-3</v>
      </c>
      <c r="O60" s="32">
        <v>8</v>
      </c>
      <c r="P60" s="33">
        <v>1.5552099533437001E-3</v>
      </c>
      <c r="Q60" s="32">
        <v>8</v>
      </c>
      <c r="R60" s="33">
        <v>1.2165450121654499E-3</v>
      </c>
      <c r="S60" s="32">
        <v>7</v>
      </c>
      <c r="T60" s="33">
        <v>9.4326910119929899E-4</v>
      </c>
      <c r="U60" s="32">
        <v>7</v>
      </c>
      <c r="V60" s="33">
        <v>1.08983341117858E-3</v>
      </c>
      <c r="W60" s="32">
        <v>8</v>
      </c>
      <c r="X60" s="33">
        <v>1.2867942737654801E-3</v>
      </c>
      <c r="Y60" s="32">
        <v>7</v>
      </c>
      <c r="Z60" s="33">
        <v>9.4326910119929899E-4</v>
      </c>
      <c r="AA60" s="32">
        <v>6</v>
      </c>
      <c r="AB60" s="33">
        <v>8.2827167310877998E-4</v>
      </c>
      <c r="AC60" s="32">
        <v>6</v>
      </c>
      <c r="AD60" s="33">
        <v>9.1047040971168399E-4</v>
      </c>
      <c r="AE60" s="32">
        <v>6</v>
      </c>
      <c r="AF60" s="33">
        <v>9.58466453674121E-4</v>
      </c>
      <c r="AG60" s="32">
        <v>5</v>
      </c>
      <c r="AH60" s="33">
        <v>7.1002556092019298E-4</v>
      </c>
      <c r="AI60" s="32">
        <v>6</v>
      </c>
      <c r="AJ60" s="33">
        <v>8.1201786439301696E-4</v>
      </c>
      <c r="AK60" s="32" t="s">
        <v>148</v>
      </c>
      <c r="AL60" s="33"/>
      <c r="AM60" s="32">
        <v>6</v>
      </c>
      <c r="AN60" s="33">
        <v>9.0922867101075899E-4</v>
      </c>
      <c r="AO60" s="32">
        <v>5</v>
      </c>
      <c r="AP60" s="33">
        <v>7.0911927386186398E-4</v>
      </c>
      <c r="AQ60" s="32">
        <v>6</v>
      </c>
      <c r="AR60" s="33">
        <v>8.4328882642304998E-4</v>
      </c>
      <c r="AS60" s="32" t="s">
        <v>148</v>
      </c>
      <c r="AT60" s="33"/>
      <c r="AU60" s="32" t="s">
        <v>148</v>
      </c>
      <c r="AV60" s="33"/>
      <c r="AW60" s="32" t="s">
        <v>148</v>
      </c>
      <c r="AX60" s="33"/>
      <c r="AY60" s="32" t="s">
        <v>148</v>
      </c>
      <c r="AZ60" s="33"/>
    </row>
    <row r="61" spans="1:52" x14ac:dyDescent="0.25">
      <c r="A61" s="10" t="s">
        <v>1777</v>
      </c>
      <c r="B61" s="10"/>
      <c r="C61" s="32">
        <v>15</v>
      </c>
      <c r="D61" s="33">
        <v>2.58843830888697E-3</v>
      </c>
      <c r="E61" s="32">
        <v>33</v>
      </c>
      <c r="F61" s="33">
        <v>6.2488165120242398E-3</v>
      </c>
      <c r="G61" s="32">
        <v>41</v>
      </c>
      <c r="H61" s="33">
        <v>7.2119613016710599E-3</v>
      </c>
      <c r="I61" s="32">
        <v>14</v>
      </c>
      <c r="J61" s="33">
        <v>2.4982155603140602E-3</v>
      </c>
      <c r="K61" s="32">
        <v>13</v>
      </c>
      <c r="L61" s="33">
        <v>2.21126041843851E-3</v>
      </c>
      <c r="M61" s="32">
        <v>8</v>
      </c>
      <c r="N61" s="33">
        <v>1.44196106705119E-3</v>
      </c>
      <c r="O61" s="32">
        <v>6</v>
      </c>
      <c r="P61" s="33">
        <v>1.1664074650077801E-3</v>
      </c>
      <c r="Q61" s="32">
        <v>6</v>
      </c>
      <c r="R61" s="33">
        <v>9.1240875912408799E-4</v>
      </c>
      <c r="S61" s="32">
        <v>7</v>
      </c>
      <c r="T61" s="33">
        <v>9.4326910119929899E-4</v>
      </c>
      <c r="U61" s="32">
        <v>7</v>
      </c>
      <c r="V61" s="33">
        <v>1.08983341117858E-3</v>
      </c>
      <c r="W61" s="32">
        <v>6</v>
      </c>
      <c r="X61" s="33">
        <v>9.6509570532411098E-4</v>
      </c>
      <c r="Y61" s="32">
        <v>5</v>
      </c>
      <c r="Z61" s="33">
        <v>6.7376364371378504E-4</v>
      </c>
      <c r="AA61" s="32">
        <v>4</v>
      </c>
      <c r="AB61" s="33">
        <v>5.5218111540585296E-4</v>
      </c>
      <c r="AC61" s="32">
        <v>4</v>
      </c>
      <c r="AD61" s="33">
        <v>6.0698027314112302E-4</v>
      </c>
      <c r="AE61" s="32">
        <v>5</v>
      </c>
      <c r="AF61" s="33">
        <v>7.9872204472843404E-4</v>
      </c>
      <c r="AG61" s="32">
        <v>3</v>
      </c>
      <c r="AH61" s="33">
        <v>4.26015336552116E-4</v>
      </c>
      <c r="AI61" s="32">
        <v>3</v>
      </c>
      <c r="AJ61" s="33">
        <v>4.0600893219650799E-4</v>
      </c>
      <c r="AK61" s="32" t="s">
        <v>148</v>
      </c>
      <c r="AL61" s="33"/>
      <c r="AM61" s="32">
        <v>3</v>
      </c>
      <c r="AN61" s="33">
        <v>4.5461433550537998E-4</v>
      </c>
      <c r="AO61" s="32">
        <v>3</v>
      </c>
      <c r="AP61" s="33">
        <v>4.2547156431711801E-4</v>
      </c>
      <c r="AQ61" s="32">
        <v>3</v>
      </c>
      <c r="AR61" s="33">
        <v>4.2164441321152499E-4</v>
      </c>
      <c r="AS61" s="32" t="s">
        <v>148</v>
      </c>
      <c r="AT61" s="33"/>
      <c r="AU61" s="32" t="s">
        <v>148</v>
      </c>
      <c r="AV61" s="33"/>
      <c r="AW61" s="32" t="s">
        <v>148</v>
      </c>
      <c r="AX61" s="33"/>
      <c r="AY61" s="32" t="s">
        <v>148</v>
      </c>
      <c r="AZ61" s="33"/>
    </row>
    <row r="62" spans="1:52" x14ac:dyDescent="0.25">
      <c r="A62" s="10" t="s">
        <v>1842</v>
      </c>
      <c r="B62" s="10"/>
      <c r="C62" s="32">
        <v>28</v>
      </c>
      <c r="D62" s="33">
        <v>4.8317515099223496E-3</v>
      </c>
      <c r="E62" s="32">
        <v>27</v>
      </c>
      <c r="F62" s="33">
        <v>5.1126680552925604E-3</v>
      </c>
      <c r="G62" s="32">
        <v>22</v>
      </c>
      <c r="H62" s="33">
        <v>3.8698328935796002E-3</v>
      </c>
      <c r="I62" s="32">
        <v>14</v>
      </c>
      <c r="J62" s="33">
        <v>2.4982155603140602E-3</v>
      </c>
      <c r="K62" s="32">
        <v>8</v>
      </c>
      <c r="L62" s="33">
        <v>1.3607756421160099E-3</v>
      </c>
      <c r="M62" s="32">
        <v>11</v>
      </c>
      <c r="N62" s="33">
        <v>1.98269646719539E-3</v>
      </c>
      <c r="O62" s="32">
        <v>4</v>
      </c>
      <c r="P62" s="33">
        <v>7.7760497667185102E-4</v>
      </c>
      <c r="Q62" s="32">
        <v>11</v>
      </c>
      <c r="R62" s="33">
        <v>1.6727493917274899E-3</v>
      </c>
      <c r="S62" s="32">
        <v>3</v>
      </c>
      <c r="T62" s="33">
        <v>4.0425818622827098E-4</v>
      </c>
      <c r="U62" s="32">
        <v>16</v>
      </c>
      <c r="V62" s="33">
        <v>2.4910477969796001E-3</v>
      </c>
      <c r="W62" s="32">
        <v>3</v>
      </c>
      <c r="X62" s="33">
        <v>4.8254785266205598E-4</v>
      </c>
      <c r="Y62" s="32">
        <v>5</v>
      </c>
      <c r="Z62" s="33">
        <v>6.7376364371378504E-4</v>
      </c>
      <c r="AA62" s="32">
        <v>7</v>
      </c>
      <c r="AB62" s="33">
        <v>9.66316951960243E-4</v>
      </c>
      <c r="AC62" s="32">
        <v>4</v>
      </c>
      <c r="AD62" s="33">
        <v>6.0698027314112302E-4</v>
      </c>
      <c r="AE62" s="32">
        <v>4</v>
      </c>
      <c r="AF62" s="33">
        <v>6.3897763578274795E-4</v>
      </c>
      <c r="AG62" s="32">
        <v>5</v>
      </c>
      <c r="AH62" s="33">
        <v>7.1002556092019298E-4</v>
      </c>
      <c r="AI62" s="32">
        <v>4</v>
      </c>
      <c r="AJ62" s="33">
        <v>5.4134524292867798E-4</v>
      </c>
      <c r="AK62" s="32" t="s">
        <v>148</v>
      </c>
      <c r="AL62" s="33"/>
      <c r="AM62" s="32">
        <v>2</v>
      </c>
      <c r="AN62" s="33">
        <v>3.03076223670253E-4</v>
      </c>
      <c r="AO62" s="32">
        <v>2</v>
      </c>
      <c r="AP62" s="33">
        <v>2.83647709544745E-4</v>
      </c>
      <c r="AQ62" s="32">
        <v>1</v>
      </c>
      <c r="AR62" s="33">
        <v>1.4054813773717499E-4</v>
      </c>
      <c r="AS62" s="32" t="s">
        <v>148</v>
      </c>
      <c r="AT62" s="33"/>
      <c r="AU62" s="32" t="s">
        <v>148</v>
      </c>
      <c r="AV62" s="33"/>
      <c r="AW62" s="32" t="s">
        <v>148</v>
      </c>
      <c r="AX62" s="33"/>
      <c r="AY62" s="32" t="s">
        <v>148</v>
      </c>
      <c r="AZ62" s="33"/>
    </row>
    <row r="63" spans="1:52" x14ac:dyDescent="0.25">
      <c r="A63" s="10" t="s">
        <v>1848</v>
      </c>
      <c r="B63" s="10"/>
      <c r="C63" s="32">
        <v>26</v>
      </c>
      <c r="D63" s="33">
        <v>4.4866264020707496E-3</v>
      </c>
      <c r="E63" s="32">
        <v>15</v>
      </c>
      <c r="F63" s="33">
        <v>2.8403711418291998E-3</v>
      </c>
      <c r="G63" s="32">
        <v>14</v>
      </c>
      <c r="H63" s="33">
        <v>2.4626209322779198E-3</v>
      </c>
      <c r="I63" s="32">
        <v>13</v>
      </c>
      <c r="J63" s="33">
        <v>2.3197715917202002E-3</v>
      </c>
      <c r="K63" s="32">
        <v>12</v>
      </c>
      <c r="L63" s="33">
        <v>2.0411634631740099E-3</v>
      </c>
      <c r="M63" s="32">
        <v>12</v>
      </c>
      <c r="N63" s="33">
        <v>2.16294160057678E-3</v>
      </c>
      <c r="O63" s="32">
        <v>9</v>
      </c>
      <c r="P63" s="33">
        <v>1.7496111975116599E-3</v>
      </c>
      <c r="Q63" s="32">
        <v>9</v>
      </c>
      <c r="R63" s="33">
        <v>1.3686131386861299E-3</v>
      </c>
      <c r="S63" s="32">
        <v>9</v>
      </c>
      <c r="T63" s="33">
        <v>1.21277455868481E-3</v>
      </c>
      <c r="U63" s="32" t="s">
        <v>148</v>
      </c>
      <c r="V63" s="33"/>
      <c r="W63" s="32" t="s">
        <v>148</v>
      </c>
      <c r="X63" s="33"/>
      <c r="Y63" s="32" t="s">
        <v>148</v>
      </c>
      <c r="Z63" s="33"/>
      <c r="AA63" s="32" t="s">
        <v>148</v>
      </c>
      <c r="AB63" s="33"/>
      <c r="AC63" s="32" t="s">
        <v>148</v>
      </c>
      <c r="AD63" s="33"/>
      <c r="AE63" s="32" t="s">
        <v>148</v>
      </c>
      <c r="AF63" s="33"/>
      <c r="AG63" s="32" t="s">
        <v>148</v>
      </c>
      <c r="AH63" s="33"/>
      <c r="AI63" s="32" t="s">
        <v>148</v>
      </c>
      <c r="AJ63" s="33"/>
      <c r="AK63" s="32" t="s">
        <v>148</v>
      </c>
      <c r="AL63" s="33"/>
      <c r="AM63" s="32" t="s">
        <v>148</v>
      </c>
      <c r="AN63" s="33"/>
      <c r="AO63" s="32" t="s">
        <v>148</v>
      </c>
      <c r="AP63" s="33"/>
      <c r="AQ63" s="32" t="s">
        <v>148</v>
      </c>
      <c r="AR63" s="33"/>
      <c r="AS63" s="32" t="s">
        <v>148</v>
      </c>
      <c r="AT63" s="33"/>
      <c r="AU63" s="32" t="s">
        <v>148</v>
      </c>
      <c r="AV63" s="33"/>
      <c r="AW63" s="32" t="s">
        <v>148</v>
      </c>
      <c r="AX63" s="33"/>
      <c r="AY63" s="32" t="s">
        <v>148</v>
      </c>
      <c r="AZ63" s="33"/>
    </row>
    <row r="64" spans="1:52" x14ac:dyDescent="0.25">
      <c r="A64" s="10" t="s">
        <v>1849</v>
      </c>
      <c r="B64" s="10"/>
      <c r="C64" s="32">
        <v>398</v>
      </c>
      <c r="D64" s="33">
        <v>6.8679896462467596E-2</v>
      </c>
      <c r="E64" s="32">
        <v>525</v>
      </c>
      <c r="F64" s="33">
        <v>9.9412989964021994E-2</v>
      </c>
      <c r="G64" s="32">
        <v>513</v>
      </c>
      <c r="H64" s="33">
        <v>9.02374670184697E-2</v>
      </c>
      <c r="I64" s="32">
        <v>514</v>
      </c>
      <c r="J64" s="33">
        <v>9.1720199857244805E-2</v>
      </c>
      <c r="K64" s="32">
        <v>441</v>
      </c>
      <c r="L64" s="33">
        <v>7.5012757271644803E-2</v>
      </c>
      <c r="M64" s="32">
        <v>567</v>
      </c>
      <c r="N64" s="33">
        <v>0.102198990627253</v>
      </c>
      <c r="O64" s="32">
        <v>573</v>
      </c>
      <c r="P64" s="33">
        <v>0.111391912908243</v>
      </c>
      <c r="Q64" s="32">
        <v>539</v>
      </c>
      <c r="R64" s="33">
        <v>8.1964720194647206E-2</v>
      </c>
      <c r="S64" s="32">
        <v>657</v>
      </c>
      <c r="T64" s="33">
        <v>8.8532542783991405E-2</v>
      </c>
      <c r="U64" s="32">
        <v>827</v>
      </c>
      <c r="V64" s="33">
        <v>0.128756033006383</v>
      </c>
      <c r="W64" s="32">
        <v>792</v>
      </c>
      <c r="X64" s="33">
        <v>0.12739263310278301</v>
      </c>
      <c r="Y64" s="32">
        <v>881</v>
      </c>
      <c r="Z64" s="33">
        <v>0.118717154022369</v>
      </c>
      <c r="AA64" s="32">
        <v>664</v>
      </c>
      <c r="AB64" s="33">
        <v>9.1662065157371603E-2</v>
      </c>
      <c r="AC64" s="32">
        <v>1033</v>
      </c>
      <c r="AD64" s="33">
        <v>0.156752655538695</v>
      </c>
      <c r="AE64" s="32">
        <v>845</v>
      </c>
      <c r="AF64" s="33">
        <v>0.13498402555910499</v>
      </c>
      <c r="AG64" s="32">
        <v>1013</v>
      </c>
      <c r="AH64" s="33">
        <v>0.14385117864243099</v>
      </c>
      <c r="AI64" s="32">
        <v>1038</v>
      </c>
      <c r="AJ64" s="33">
        <v>0.140479090539992</v>
      </c>
      <c r="AK64" s="32">
        <v>821</v>
      </c>
      <c r="AL64" s="33">
        <v>0.12925062972292201</v>
      </c>
      <c r="AM64" s="32">
        <v>788</v>
      </c>
      <c r="AN64" s="33">
        <v>0.11941203212607999</v>
      </c>
      <c r="AO64" s="32">
        <v>994</v>
      </c>
      <c r="AP64" s="33">
        <v>0.14097291164373801</v>
      </c>
      <c r="AQ64" s="32">
        <v>766</v>
      </c>
      <c r="AR64" s="33">
        <v>0.107659873506676</v>
      </c>
      <c r="AS64" s="32">
        <v>894</v>
      </c>
      <c r="AT64" s="33">
        <v>0.133712234519892</v>
      </c>
      <c r="AU64" s="32">
        <v>880</v>
      </c>
      <c r="AV64" s="33">
        <v>0.126564073061988</v>
      </c>
      <c r="AW64" s="32">
        <v>930</v>
      </c>
      <c r="AX64" s="33">
        <v>0.123260437375746</v>
      </c>
      <c r="AY64" s="32">
        <v>824</v>
      </c>
      <c r="AZ64" s="33">
        <v>0.108865107676047</v>
      </c>
    </row>
    <row r="65" spans="1:52" x14ac:dyDescent="0.25">
      <c r="A65" s="10" t="s">
        <v>1767</v>
      </c>
      <c r="B65" s="10"/>
      <c r="C65" s="32">
        <v>1</v>
      </c>
      <c r="D65" s="33">
        <v>1.7256255392579799E-4</v>
      </c>
      <c r="E65" s="32">
        <v>6</v>
      </c>
      <c r="F65" s="33">
        <v>1.1361484567316801E-3</v>
      </c>
      <c r="G65" s="32">
        <v>20</v>
      </c>
      <c r="H65" s="33">
        <v>3.51802990325418E-3</v>
      </c>
      <c r="I65" s="32">
        <v>45</v>
      </c>
      <c r="J65" s="33">
        <v>8.0299785867237704E-3</v>
      </c>
      <c r="K65" s="32">
        <v>72</v>
      </c>
      <c r="L65" s="33">
        <v>1.2246980779044099E-2</v>
      </c>
      <c r="M65" s="32">
        <v>100</v>
      </c>
      <c r="N65" s="33">
        <v>1.80245133381399E-2</v>
      </c>
      <c r="O65" s="32">
        <v>101</v>
      </c>
      <c r="P65" s="33">
        <v>1.96345256609642E-2</v>
      </c>
      <c r="Q65" s="32">
        <v>113</v>
      </c>
      <c r="R65" s="33">
        <v>1.7183698296837E-2</v>
      </c>
      <c r="S65" s="32">
        <v>115</v>
      </c>
      <c r="T65" s="33">
        <v>1.5496563805417101E-2</v>
      </c>
      <c r="U65" s="32">
        <v>143</v>
      </c>
      <c r="V65" s="33">
        <v>2.2263739685505199E-2</v>
      </c>
      <c r="W65" s="32">
        <v>171</v>
      </c>
      <c r="X65" s="33">
        <v>2.7505227601737198E-2</v>
      </c>
      <c r="Y65" s="32">
        <v>147</v>
      </c>
      <c r="Z65" s="33">
        <v>1.98086511251853E-2</v>
      </c>
      <c r="AA65" s="32">
        <v>145</v>
      </c>
      <c r="AB65" s="33">
        <v>2.00165654334622E-2</v>
      </c>
      <c r="AC65" s="32">
        <v>184</v>
      </c>
      <c r="AD65" s="33">
        <v>2.7921092564491701E-2</v>
      </c>
      <c r="AE65" s="32">
        <v>193</v>
      </c>
      <c r="AF65" s="33">
        <v>3.08306709265176E-2</v>
      </c>
      <c r="AG65" s="32">
        <v>201</v>
      </c>
      <c r="AH65" s="33">
        <v>2.8543027548991799E-2</v>
      </c>
      <c r="AI65" s="32">
        <v>200</v>
      </c>
      <c r="AJ65" s="33">
        <v>2.7067262146433901E-2</v>
      </c>
      <c r="AK65" s="32">
        <v>212</v>
      </c>
      <c r="AL65" s="33">
        <v>3.3375314861461003E-2</v>
      </c>
      <c r="AM65" s="32">
        <v>237</v>
      </c>
      <c r="AN65" s="33">
        <v>3.5914532504924997E-2</v>
      </c>
      <c r="AO65" s="32">
        <v>268</v>
      </c>
      <c r="AP65" s="33">
        <v>3.8008793078995899E-2</v>
      </c>
      <c r="AQ65" s="32">
        <v>188</v>
      </c>
      <c r="AR65" s="33">
        <v>2.64230498945889E-2</v>
      </c>
      <c r="AS65" s="32">
        <v>265</v>
      </c>
      <c r="AT65" s="33">
        <v>3.9635058330840599E-2</v>
      </c>
      <c r="AU65" s="32">
        <v>277</v>
      </c>
      <c r="AV65" s="33">
        <v>3.98389184524666E-2</v>
      </c>
      <c r="AW65" s="32">
        <v>272</v>
      </c>
      <c r="AX65" s="33">
        <v>3.6050364479787898E-2</v>
      </c>
      <c r="AY65" s="32">
        <v>246</v>
      </c>
      <c r="AZ65" s="33">
        <v>3.2500990883868403E-2</v>
      </c>
    </row>
    <row r="66" spans="1:52" x14ac:dyDescent="0.25">
      <c r="A66" s="10" t="s">
        <v>1833</v>
      </c>
      <c r="B66" s="10"/>
      <c r="C66" s="32" t="s">
        <v>148</v>
      </c>
      <c r="D66" s="33"/>
      <c r="E66" s="32" t="s">
        <v>148</v>
      </c>
      <c r="F66" s="33"/>
      <c r="G66" s="32" t="s">
        <v>148</v>
      </c>
      <c r="H66" s="33"/>
      <c r="I66" s="32" t="s">
        <v>148</v>
      </c>
      <c r="J66" s="33"/>
      <c r="K66" s="32" t="s">
        <v>148</v>
      </c>
      <c r="L66" s="33"/>
      <c r="M66" s="32">
        <v>0</v>
      </c>
      <c r="N66" s="33"/>
      <c r="O66" s="32">
        <v>0</v>
      </c>
      <c r="P66" s="33"/>
      <c r="Q66" s="32">
        <v>28</v>
      </c>
      <c r="R66" s="33">
        <v>4.2579075425790798E-3</v>
      </c>
      <c r="S66" s="32">
        <v>150</v>
      </c>
      <c r="T66" s="33">
        <v>2.0212909311413601E-2</v>
      </c>
      <c r="U66" s="32">
        <v>248</v>
      </c>
      <c r="V66" s="33">
        <v>3.8611240853183897E-2</v>
      </c>
      <c r="W66" s="32">
        <v>149</v>
      </c>
      <c r="X66" s="33">
        <v>2.39665433488821E-2</v>
      </c>
      <c r="Y66" s="32">
        <v>287</v>
      </c>
      <c r="Z66" s="33">
        <v>3.8674033149171297E-2</v>
      </c>
      <c r="AA66" s="32">
        <v>146</v>
      </c>
      <c r="AB66" s="33">
        <v>2.01546107123136E-2</v>
      </c>
      <c r="AC66" s="32">
        <v>430</v>
      </c>
      <c r="AD66" s="33">
        <v>6.5250379362670696E-2</v>
      </c>
      <c r="AE66" s="32">
        <v>278</v>
      </c>
      <c r="AF66" s="33">
        <v>4.4408945686901E-2</v>
      </c>
      <c r="AG66" s="32">
        <v>458</v>
      </c>
      <c r="AH66" s="33">
        <v>6.5038341380289702E-2</v>
      </c>
      <c r="AI66" s="32">
        <v>462</v>
      </c>
      <c r="AJ66" s="33">
        <v>6.2525375558262306E-2</v>
      </c>
      <c r="AK66" s="32">
        <v>209</v>
      </c>
      <c r="AL66" s="33">
        <v>3.2903022670025199E-2</v>
      </c>
      <c r="AM66" s="32">
        <v>107</v>
      </c>
      <c r="AN66" s="33">
        <v>1.6214577966358501E-2</v>
      </c>
      <c r="AO66" s="32">
        <v>313</v>
      </c>
      <c r="AP66" s="33">
        <v>4.4390866543752697E-2</v>
      </c>
      <c r="AQ66" s="32">
        <v>175</v>
      </c>
      <c r="AR66" s="33">
        <v>2.4595924104005601E-2</v>
      </c>
      <c r="AS66" s="32">
        <v>169</v>
      </c>
      <c r="AT66" s="33">
        <v>2.5276697577026601E-2</v>
      </c>
      <c r="AU66" s="32">
        <v>85</v>
      </c>
      <c r="AV66" s="33">
        <v>1.22249388753056E-2</v>
      </c>
      <c r="AW66" s="32">
        <v>219</v>
      </c>
      <c r="AX66" s="33">
        <v>2.9025844930417499E-2</v>
      </c>
      <c r="AY66" s="32">
        <v>150</v>
      </c>
      <c r="AZ66" s="33">
        <v>1.98176773682124E-2</v>
      </c>
    </row>
    <row r="67" spans="1:52" x14ac:dyDescent="0.25">
      <c r="A67" s="10" t="s">
        <v>1785</v>
      </c>
      <c r="B67" s="10"/>
      <c r="C67" s="32">
        <v>23</v>
      </c>
      <c r="D67" s="33">
        <v>3.9689387402933596E-3</v>
      </c>
      <c r="E67" s="32">
        <v>32</v>
      </c>
      <c r="F67" s="33">
        <v>6.0594584359022902E-3</v>
      </c>
      <c r="G67" s="32">
        <v>40</v>
      </c>
      <c r="H67" s="33">
        <v>7.03605980650836E-3</v>
      </c>
      <c r="I67" s="32">
        <v>50</v>
      </c>
      <c r="J67" s="33">
        <v>8.9221984296930807E-3</v>
      </c>
      <c r="K67" s="32">
        <v>36</v>
      </c>
      <c r="L67" s="33">
        <v>6.1234903895220297E-3</v>
      </c>
      <c r="M67" s="32">
        <v>56</v>
      </c>
      <c r="N67" s="33">
        <v>1.0093727469358301E-2</v>
      </c>
      <c r="O67" s="32">
        <v>68</v>
      </c>
      <c r="P67" s="33">
        <v>1.32192846034215E-2</v>
      </c>
      <c r="Q67" s="32">
        <v>70</v>
      </c>
      <c r="R67" s="33">
        <v>1.06447688564477E-2</v>
      </c>
      <c r="S67" s="32">
        <v>78</v>
      </c>
      <c r="T67" s="33">
        <v>1.0510712841934999E-2</v>
      </c>
      <c r="U67" s="32">
        <v>96</v>
      </c>
      <c r="V67" s="33">
        <v>1.49462867818776E-2</v>
      </c>
      <c r="W67" s="32">
        <v>106</v>
      </c>
      <c r="X67" s="33">
        <v>1.70500241273926E-2</v>
      </c>
      <c r="Y67" s="32">
        <v>96</v>
      </c>
      <c r="Z67" s="33">
        <v>1.2936261959304699E-2</v>
      </c>
      <c r="AA67" s="32">
        <v>98</v>
      </c>
      <c r="AB67" s="33">
        <v>1.35284373274434E-2</v>
      </c>
      <c r="AC67" s="32">
        <v>111</v>
      </c>
      <c r="AD67" s="33">
        <v>1.6843702579666199E-2</v>
      </c>
      <c r="AE67" s="32">
        <v>89</v>
      </c>
      <c r="AF67" s="33">
        <v>1.42172523961661E-2</v>
      </c>
      <c r="AG67" s="32">
        <v>90</v>
      </c>
      <c r="AH67" s="33">
        <v>1.2780460096563501E-2</v>
      </c>
      <c r="AI67" s="32">
        <v>89</v>
      </c>
      <c r="AJ67" s="33">
        <v>1.2044931655163099E-2</v>
      </c>
      <c r="AK67" s="32">
        <v>103</v>
      </c>
      <c r="AL67" s="33">
        <v>1.6215365239294701E-2</v>
      </c>
      <c r="AM67" s="32">
        <v>113</v>
      </c>
      <c r="AN67" s="33">
        <v>1.7123806637369302E-2</v>
      </c>
      <c r="AO67" s="32">
        <v>106</v>
      </c>
      <c r="AP67" s="33">
        <v>1.5033328605871501E-2</v>
      </c>
      <c r="AQ67" s="32">
        <v>92</v>
      </c>
      <c r="AR67" s="33">
        <v>1.29304286718201E-2</v>
      </c>
      <c r="AS67" s="32">
        <v>119</v>
      </c>
      <c r="AT67" s="33">
        <v>1.7798384684415199E-2</v>
      </c>
      <c r="AU67" s="32">
        <v>115</v>
      </c>
      <c r="AV67" s="33">
        <v>1.6539623184237E-2</v>
      </c>
      <c r="AW67" s="32">
        <v>95</v>
      </c>
      <c r="AX67" s="33">
        <v>1.2591119946984799E-2</v>
      </c>
      <c r="AY67" s="32">
        <v>100</v>
      </c>
      <c r="AZ67" s="33">
        <v>1.3211784912141601E-2</v>
      </c>
    </row>
    <row r="68" spans="1:52" x14ac:dyDescent="0.25">
      <c r="A68" s="10" t="s">
        <v>1832</v>
      </c>
      <c r="B68" s="10"/>
      <c r="C68" s="32">
        <v>100</v>
      </c>
      <c r="D68" s="33">
        <v>1.72562553925798E-2</v>
      </c>
      <c r="E68" s="32">
        <v>107</v>
      </c>
      <c r="F68" s="33">
        <v>2.0261314145048299E-2</v>
      </c>
      <c r="G68" s="32">
        <v>118</v>
      </c>
      <c r="H68" s="33">
        <v>2.0756376429199599E-2</v>
      </c>
      <c r="I68" s="32">
        <v>116</v>
      </c>
      <c r="J68" s="33">
        <v>2.06995003568879E-2</v>
      </c>
      <c r="K68" s="32">
        <v>100</v>
      </c>
      <c r="L68" s="33">
        <v>1.7009695526450101E-2</v>
      </c>
      <c r="M68" s="32">
        <v>131</v>
      </c>
      <c r="N68" s="33">
        <v>2.3612112472963201E-2</v>
      </c>
      <c r="O68" s="32">
        <v>113</v>
      </c>
      <c r="P68" s="33">
        <v>2.1967340590979802E-2</v>
      </c>
      <c r="Q68" s="32">
        <v>86</v>
      </c>
      <c r="R68" s="33">
        <v>1.3077858880778601E-2</v>
      </c>
      <c r="S68" s="32">
        <v>68</v>
      </c>
      <c r="T68" s="33">
        <v>9.1631855545074806E-3</v>
      </c>
      <c r="U68" s="32">
        <v>92</v>
      </c>
      <c r="V68" s="33">
        <v>1.43235248326327E-2</v>
      </c>
      <c r="W68" s="32">
        <v>98</v>
      </c>
      <c r="X68" s="33">
        <v>1.57632298536272E-2</v>
      </c>
      <c r="Y68" s="32">
        <v>82</v>
      </c>
      <c r="Z68" s="33">
        <v>1.1049723756906099E-2</v>
      </c>
      <c r="AA68" s="32">
        <v>59</v>
      </c>
      <c r="AB68" s="33">
        <v>8.1446714522363291E-3</v>
      </c>
      <c r="AC68" s="32">
        <v>85</v>
      </c>
      <c r="AD68" s="33">
        <v>1.28983308042489E-2</v>
      </c>
      <c r="AE68" s="32">
        <v>74</v>
      </c>
      <c r="AF68" s="33">
        <v>1.18210862619808E-2</v>
      </c>
      <c r="AG68" s="32">
        <v>84</v>
      </c>
      <c r="AH68" s="33">
        <v>1.1928429423459201E-2</v>
      </c>
      <c r="AI68" s="32">
        <v>87</v>
      </c>
      <c r="AJ68" s="33">
        <v>1.1774259033698701E-2</v>
      </c>
      <c r="AK68" s="32">
        <v>90</v>
      </c>
      <c r="AL68" s="33">
        <v>1.4168765743073001E-2</v>
      </c>
      <c r="AM68" s="32">
        <v>90</v>
      </c>
      <c r="AN68" s="33">
        <v>1.3638430065161401E-2</v>
      </c>
      <c r="AO68" s="32">
        <v>85</v>
      </c>
      <c r="AP68" s="33">
        <v>1.2055027655651701E-2</v>
      </c>
      <c r="AQ68" s="32">
        <v>89</v>
      </c>
      <c r="AR68" s="33">
        <v>1.25087842586086E-2</v>
      </c>
      <c r="AS68" s="32">
        <v>78</v>
      </c>
      <c r="AT68" s="33">
        <v>1.16661681124738E-2</v>
      </c>
      <c r="AU68" s="32">
        <v>126</v>
      </c>
      <c r="AV68" s="33">
        <v>1.8121674097511899E-2</v>
      </c>
      <c r="AW68" s="32">
        <v>96</v>
      </c>
      <c r="AX68" s="33">
        <v>1.2723658051689899E-2</v>
      </c>
      <c r="AY68" s="32">
        <v>75</v>
      </c>
      <c r="AZ68" s="33">
        <v>9.9088386841062193E-3</v>
      </c>
    </row>
    <row r="69" spans="1:52" x14ac:dyDescent="0.25">
      <c r="A69" s="10" t="s">
        <v>1811</v>
      </c>
      <c r="B69" s="10"/>
      <c r="C69" s="32">
        <v>0</v>
      </c>
      <c r="D69" s="33"/>
      <c r="E69" s="32">
        <v>0</v>
      </c>
      <c r="F69" s="33"/>
      <c r="G69" s="32">
        <v>0</v>
      </c>
      <c r="H69" s="33"/>
      <c r="I69" s="32">
        <v>0</v>
      </c>
      <c r="J69" s="33"/>
      <c r="K69" s="32">
        <v>0</v>
      </c>
      <c r="L69" s="33"/>
      <c r="M69" s="32">
        <v>0</v>
      </c>
      <c r="N69" s="33"/>
      <c r="O69" s="32">
        <v>5</v>
      </c>
      <c r="P69" s="33">
        <v>9.7200622083981299E-4</v>
      </c>
      <c r="Q69" s="32">
        <v>2</v>
      </c>
      <c r="R69" s="33">
        <v>3.0413625304136303E-4</v>
      </c>
      <c r="S69" s="32">
        <v>3</v>
      </c>
      <c r="T69" s="33">
        <v>4.0425818622827098E-4</v>
      </c>
      <c r="U69" s="32">
        <v>7</v>
      </c>
      <c r="V69" s="33">
        <v>1.08983341117858E-3</v>
      </c>
      <c r="W69" s="32">
        <v>9</v>
      </c>
      <c r="X69" s="33">
        <v>1.44764355798617E-3</v>
      </c>
      <c r="Y69" s="32">
        <v>9</v>
      </c>
      <c r="Z69" s="33">
        <v>1.21277455868481E-3</v>
      </c>
      <c r="AA69" s="32">
        <v>11</v>
      </c>
      <c r="AB69" s="33">
        <v>1.5184980673661E-3</v>
      </c>
      <c r="AC69" s="32">
        <v>9</v>
      </c>
      <c r="AD69" s="33">
        <v>1.3657056145675299E-3</v>
      </c>
      <c r="AE69" s="32">
        <v>17</v>
      </c>
      <c r="AF69" s="33">
        <v>2.7156549520766802E-3</v>
      </c>
      <c r="AG69" s="32">
        <v>16</v>
      </c>
      <c r="AH69" s="33">
        <v>2.2720817949446201E-3</v>
      </c>
      <c r="AI69" s="32">
        <v>15</v>
      </c>
      <c r="AJ69" s="33">
        <v>2.0300446609825399E-3</v>
      </c>
      <c r="AK69" s="32">
        <v>28</v>
      </c>
      <c r="AL69" s="33">
        <v>4.4080604534005004E-3</v>
      </c>
      <c r="AM69" s="32">
        <v>30</v>
      </c>
      <c r="AN69" s="33">
        <v>4.5461433550537996E-3</v>
      </c>
      <c r="AO69" s="32">
        <v>40</v>
      </c>
      <c r="AP69" s="33">
        <v>5.6729541908949101E-3</v>
      </c>
      <c r="AQ69" s="32">
        <v>42</v>
      </c>
      <c r="AR69" s="33">
        <v>5.9030217849613499E-3</v>
      </c>
      <c r="AS69" s="32">
        <v>52</v>
      </c>
      <c r="AT69" s="33">
        <v>7.7774454083158803E-3</v>
      </c>
      <c r="AU69" s="32">
        <v>58</v>
      </c>
      <c r="AV69" s="33">
        <v>8.3417229972673704E-3</v>
      </c>
      <c r="AW69" s="32">
        <v>60</v>
      </c>
      <c r="AX69" s="33">
        <v>7.9522862823061605E-3</v>
      </c>
      <c r="AY69" s="32">
        <v>72</v>
      </c>
      <c r="AZ69" s="33">
        <v>9.5124851367419695E-3</v>
      </c>
    </row>
    <row r="70" spans="1:52" x14ac:dyDescent="0.25">
      <c r="A70" s="10" t="s">
        <v>1797</v>
      </c>
      <c r="B70" s="10"/>
      <c r="C70" s="32">
        <v>43</v>
      </c>
      <c r="D70" s="33">
        <v>7.4201898188093196E-3</v>
      </c>
      <c r="E70" s="32">
        <v>28</v>
      </c>
      <c r="F70" s="33">
        <v>5.3020261314145004E-3</v>
      </c>
      <c r="G70" s="32">
        <v>35</v>
      </c>
      <c r="H70" s="33">
        <v>6.1565523306948101E-3</v>
      </c>
      <c r="I70" s="32">
        <v>33</v>
      </c>
      <c r="J70" s="33">
        <v>5.8886509635974298E-3</v>
      </c>
      <c r="K70" s="32">
        <v>40</v>
      </c>
      <c r="L70" s="33">
        <v>6.8038782105800302E-3</v>
      </c>
      <c r="M70" s="32">
        <v>42</v>
      </c>
      <c r="N70" s="33">
        <v>7.5702956020187503E-3</v>
      </c>
      <c r="O70" s="32">
        <v>36</v>
      </c>
      <c r="P70" s="33">
        <v>6.9984447900466604E-3</v>
      </c>
      <c r="Q70" s="32">
        <v>35</v>
      </c>
      <c r="R70" s="33">
        <v>5.3223844282238404E-3</v>
      </c>
      <c r="S70" s="32">
        <v>32</v>
      </c>
      <c r="T70" s="33">
        <v>4.3120873197682198E-3</v>
      </c>
      <c r="U70" s="32">
        <v>43</v>
      </c>
      <c r="V70" s="33">
        <v>6.6946909543826897E-3</v>
      </c>
      <c r="W70" s="32">
        <v>74</v>
      </c>
      <c r="X70" s="33">
        <v>1.19028470323307E-2</v>
      </c>
      <c r="Y70" s="32">
        <v>69</v>
      </c>
      <c r="Z70" s="33">
        <v>9.2979382832502396E-3</v>
      </c>
      <c r="AA70" s="32">
        <v>41</v>
      </c>
      <c r="AB70" s="33">
        <v>5.6598564329099904E-3</v>
      </c>
      <c r="AC70" s="32">
        <v>53</v>
      </c>
      <c r="AD70" s="33">
        <v>8.0424886191198808E-3</v>
      </c>
      <c r="AE70" s="32">
        <v>54</v>
      </c>
      <c r="AF70" s="33">
        <v>8.6261980830670895E-3</v>
      </c>
      <c r="AG70" s="32">
        <v>33</v>
      </c>
      <c r="AH70" s="33">
        <v>4.6861687020732703E-3</v>
      </c>
      <c r="AI70" s="32">
        <v>42</v>
      </c>
      <c r="AJ70" s="33">
        <v>5.6841250507511203E-3</v>
      </c>
      <c r="AK70" s="32">
        <v>49</v>
      </c>
      <c r="AL70" s="33">
        <v>7.7141057934508803E-3</v>
      </c>
      <c r="AM70" s="32">
        <v>61</v>
      </c>
      <c r="AN70" s="33">
        <v>9.2438248219427199E-3</v>
      </c>
      <c r="AO70" s="32">
        <v>39</v>
      </c>
      <c r="AP70" s="33">
        <v>5.5311303361225399E-3</v>
      </c>
      <c r="AQ70" s="32">
        <v>39</v>
      </c>
      <c r="AR70" s="33">
        <v>5.4813773717498201E-3</v>
      </c>
      <c r="AS70" s="32">
        <v>60</v>
      </c>
      <c r="AT70" s="33">
        <v>8.9739754711337105E-3</v>
      </c>
      <c r="AU70" s="32">
        <v>65</v>
      </c>
      <c r="AV70" s="33">
        <v>9.3484826693513608E-3</v>
      </c>
      <c r="AW70" s="32">
        <v>52</v>
      </c>
      <c r="AX70" s="33">
        <v>6.8919814446653403E-3</v>
      </c>
      <c r="AY70" s="32">
        <v>36</v>
      </c>
      <c r="AZ70" s="33">
        <v>4.75624256837099E-3</v>
      </c>
    </row>
    <row r="71" spans="1:52" x14ac:dyDescent="0.25">
      <c r="A71" s="10" t="s">
        <v>1782</v>
      </c>
      <c r="B71" s="10"/>
      <c r="C71" s="32" t="s">
        <v>148</v>
      </c>
      <c r="D71" s="33"/>
      <c r="E71" s="32" t="s">
        <v>148</v>
      </c>
      <c r="F71" s="33"/>
      <c r="G71" s="32" t="s">
        <v>148</v>
      </c>
      <c r="H71" s="33"/>
      <c r="I71" s="32" t="s">
        <v>148</v>
      </c>
      <c r="J71" s="33"/>
      <c r="K71" s="32" t="s">
        <v>148</v>
      </c>
      <c r="L71" s="33"/>
      <c r="M71" s="32" t="s">
        <v>148</v>
      </c>
      <c r="N71" s="33"/>
      <c r="O71" s="32" t="s">
        <v>148</v>
      </c>
      <c r="P71" s="33"/>
      <c r="Q71" s="32" t="s">
        <v>148</v>
      </c>
      <c r="R71" s="33"/>
      <c r="S71" s="32" t="s">
        <v>148</v>
      </c>
      <c r="T71" s="33"/>
      <c r="U71" s="32" t="s">
        <v>148</v>
      </c>
      <c r="V71" s="33"/>
      <c r="W71" s="32" t="s">
        <v>148</v>
      </c>
      <c r="X71" s="33"/>
      <c r="Y71" s="32" t="s">
        <v>148</v>
      </c>
      <c r="Z71" s="33"/>
      <c r="AA71" s="32" t="s">
        <v>148</v>
      </c>
      <c r="AB71" s="33"/>
      <c r="AC71" s="32" t="s">
        <v>148</v>
      </c>
      <c r="AD71" s="33"/>
      <c r="AE71" s="32">
        <v>3</v>
      </c>
      <c r="AF71" s="33">
        <v>4.7923322683706099E-4</v>
      </c>
      <c r="AG71" s="32">
        <v>3</v>
      </c>
      <c r="AH71" s="33">
        <v>4.26015336552116E-4</v>
      </c>
      <c r="AI71" s="32">
        <v>4</v>
      </c>
      <c r="AJ71" s="33">
        <v>5.4134524292867798E-4</v>
      </c>
      <c r="AK71" s="32">
        <v>6</v>
      </c>
      <c r="AL71" s="33">
        <v>9.4458438287153596E-4</v>
      </c>
      <c r="AM71" s="32">
        <v>17</v>
      </c>
      <c r="AN71" s="33">
        <v>2.5761479011971499E-3</v>
      </c>
      <c r="AO71" s="32">
        <v>21</v>
      </c>
      <c r="AP71" s="33">
        <v>2.97830095021983E-3</v>
      </c>
      <c r="AQ71" s="32">
        <v>24</v>
      </c>
      <c r="AR71" s="33">
        <v>3.3731553056921999E-3</v>
      </c>
      <c r="AS71" s="32">
        <v>36</v>
      </c>
      <c r="AT71" s="33">
        <v>5.3843852826802301E-3</v>
      </c>
      <c r="AU71" s="32">
        <v>26</v>
      </c>
      <c r="AV71" s="33">
        <v>3.7393930677405399E-3</v>
      </c>
      <c r="AW71" s="32">
        <v>26</v>
      </c>
      <c r="AX71" s="33">
        <v>3.4459907223326701E-3</v>
      </c>
      <c r="AY71" s="32">
        <v>31</v>
      </c>
      <c r="AZ71" s="33">
        <v>4.0956533227639097E-3</v>
      </c>
    </row>
    <row r="72" spans="1:52" x14ac:dyDescent="0.25">
      <c r="A72" s="10" t="s">
        <v>1768</v>
      </c>
      <c r="B72" s="10"/>
      <c r="C72" s="32">
        <v>15</v>
      </c>
      <c r="D72" s="33">
        <v>2.58843830888697E-3</v>
      </c>
      <c r="E72" s="32">
        <v>41</v>
      </c>
      <c r="F72" s="33">
        <v>7.7636811209998097E-3</v>
      </c>
      <c r="G72" s="32">
        <v>43</v>
      </c>
      <c r="H72" s="33">
        <v>7.5637642919964797E-3</v>
      </c>
      <c r="I72" s="32">
        <v>44</v>
      </c>
      <c r="J72" s="33">
        <v>7.8515346181299104E-3</v>
      </c>
      <c r="K72" s="32">
        <v>39</v>
      </c>
      <c r="L72" s="33">
        <v>6.6337812553155301E-3</v>
      </c>
      <c r="M72" s="32">
        <v>34</v>
      </c>
      <c r="N72" s="33">
        <v>6.1283345349675599E-3</v>
      </c>
      <c r="O72" s="32">
        <v>34</v>
      </c>
      <c r="P72" s="33">
        <v>6.60964230171073E-3</v>
      </c>
      <c r="Q72" s="32">
        <v>35</v>
      </c>
      <c r="R72" s="33">
        <v>5.3223844282238404E-3</v>
      </c>
      <c r="S72" s="32">
        <v>35</v>
      </c>
      <c r="T72" s="33">
        <v>4.7163455059965002E-3</v>
      </c>
      <c r="U72" s="32">
        <v>35</v>
      </c>
      <c r="V72" s="33">
        <v>5.4491670558928897E-3</v>
      </c>
      <c r="W72" s="32">
        <v>34</v>
      </c>
      <c r="X72" s="33">
        <v>5.4688756635032998E-3</v>
      </c>
      <c r="Y72" s="32">
        <v>36</v>
      </c>
      <c r="Z72" s="33">
        <v>4.8510982347392496E-3</v>
      </c>
      <c r="AA72" s="32">
        <v>34</v>
      </c>
      <c r="AB72" s="33">
        <v>4.6935394809497497E-3</v>
      </c>
      <c r="AC72" s="32">
        <v>31</v>
      </c>
      <c r="AD72" s="33">
        <v>4.7040971168436996E-3</v>
      </c>
      <c r="AE72" s="32">
        <v>32</v>
      </c>
      <c r="AF72" s="33">
        <v>5.1118210862619801E-3</v>
      </c>
      <c r="AG72" s="32">
        <v>28</v>
      </c>
      <c r="AH72" s="33">
        <v>3.9761431411530802E-3</v>
      </c>
      <c r="AI72" s="32">
        <v>31</v>
      </c>
      <c r="AJ72" s="33">
        <v>4.1954256326972496E-3</v>
      </c>
      <c r="AK72" s="32">
        <v>30</v>
      </c>
      <c r="AL72" s="33">
        <v>4.7229219143576804E-3</v>
      </c>
      <c r="AM72" s="32">
        <v>31</v>
      </c>
      <c r="AN72" s="33">
        <v>4.6976814668889203E-3</v>
      </c>
      <c r="AO72" s="32">
        <v>26</v>
      </c>
      <c r="AP72" s="33">
        <v>3.6874202240816901E-3</v>
      </c>
      <c r="AQ72" s="32">
        <v>28</v>
      </c>
      <c r="AR72" s="33">
        <v>3.9353478566409002E-3</v>
      </c>
      <c r="AS72" s="32">
        <v>28</v>
      </c>
      <c r="AT72" s="33">
        <v>4.1878552198623999E-3</v>
      </c>
      <c r="AU72" s="32">
        <v>26</v>
      </c>
      <c r="AV72" s="33">
        <v>3.7393930677405399E-3</v>
      </c>
      <c r="AW72" s="32">
        <v>28</v>
      </c>
      <c r="AX72" s="33">
        <v>3.7110669317428802E-3</v>
      </c>
      <c r="AY72" s="32">
        <v>28</v>
      </c>
      <c r="AZ72" s="33">
        <v>3.6992997753996599E-3</v>
      </c>
    </row>
    <row r="73" spans="1:52" x14ac:dyDescent="0.25">
      <c r="A73" s="10" t="s">
        <v>1769</v>
      </c>
      <c r="B73" s="10"/>
      <c r="C73" s="32">
        <v>55</v>
      </c>
      <c r="D73" s="33">
        <v>9.4909404659189005E-3</v>
      </c>
      <c r="E73" s="32">
        <v>94</v>
      </c>
      <c r="F73" s="33">
        <v>1.7799659155462999E-2</v>
      </c>
      <c r="G73" s="32">
        <v>70</v>
      </c>
      <c r="H73" s="33">
        <v>1.2313104661389599E-2</v>
      </c>
      <c r="I73" s="32">
        <v>65</v>
      </c>
      <c r="J73" s="33">
        <v>1.1598857958601E-2</v>
      </c>
      <c r="K73" s="32">
        <v>54</v>
      </c>
      <c r="L73" s="33">
        <v>9.1852355842830403E-3</v>
      </c>
      <c r="M73" s="32">
        <v>61</v>
      </c>
      <c r="N73" s="33">
        <v>1.0994953136265299E-2</v>
      </c>
      <c r="O73" s="32">
        <v>61</v>
      </c>
      <c r="P73" s="33">
        <v>1.18584758942457E-2</v>
      </c>
      <c r="Q73" s="32">
        <v>61</v>
      </c>
      <c r="R73" s="33">
        <v>9.2761557177615597E-3</v>
      </c>
      <c r="S73" s="32">
        <v>60</v>
      </c>
      <c r="T73" s="33">
        <v>8.0851637245654192E-3</v>
      </c>
      <c r="U73" s="32">
        <v>61</v>
      </c>
      <c r="V73" s="33">
        <v>9.4971197259847394E-3</v>
      </c>
      <c r="W73" s="32">
        <v>55</v>
      </c>
      <c r="X73" s="33">
        <v>8.8467106321376901E-3</v>
      </c>
      <c r="Y73" s="32">
        <v>68</v>
      </c>
      <c r="Z73" s="33">
        <v>9.1631855545074806E-3</v>
      </c>
      <c r="AA73" s="32">
        <v>37</v>
      </c>
      <c r="AB73" s="33">
        <v>5.1076753175041401E-3</v>
      </c>
      <c r="AC73" s="32">
        <v>48</v>
      </c>
      <c r="AD73" s="33">
        <v>7.2837632776934797E-3</v>
      </c>
      <c r="AE73" s="32">
        <v>29</v>
      </c>
      <c r="AF73" s="33">
        <v>4.6325878594249198E-3</v>
      </c>
      <c r="AG73" s="32">
        <v>27</v>
      </c>
      <c r="AH73" s="33">
        <v>3.8341380289690398E-3</v>
      </c>
      <c r="AI73" s="32">
        <v>33</v>
      </c>
      <c r="AJ73" s="33">
        <v>4.4660982541615902E-3</v>
      </c>
      <c r="AK73" s="32">
        <v>29</v>
      </c>
      <c r="AL73" s="33">
        <v>4.5654911838790904E-3</v>
      </c>
      <c r="AM73" s="32">
        <v>29</v>
      </c>
      <c r="AN73" s="33">
        <v>4.3946052432186702E-3</v>
      </c>
      <c r="AO73" s="32">
        <v>23</v>
      </c>
      <c r="AP73" s="33">
        <v>3.26194865976457E-3</v>
      </c>
      <c r="AQ73" s="32">
        <v>22</v>
      </c>
      <c r="AR73" s="33">
        <v>3.0920590302178498E-3</v>
      </c>
      <c r="AS73" s="32">
        <v>21</v>
      </c>
      <c r="AT73" s="33">
        <v>3.1408914148967999E-3</v>
      </c>
      <c r="AU73" s="32">
        <v>23</v>
      </c>
      <c r="AV73" s="33">
        <v>3.3079246368474002E-3</v>
      </c>
      <c r="AW73" s="32">
        <v>21</v>
      </c>
      <c r="AX73" s="33">
        <v>2.7833001988071598E-3</v>
      </c>
      <c r="AY73" s="32">
        <v>18</v>
      </c>
      <c r="AZ73" s="33">
        <v>2.3781212841854902E-3</v>
      </c>
    </row>
    <row r="74" spans="1:52" x14ac:dyDescent="0.25">
      <c r="A74" s="10" t="s">
        <v>1786</v>
      </c>
      <c r="B74" s="10"/>
      <c r="C74" s="32" t="s">
        <v>148</v>
      </c>
      <c r="D74" s="33"/>
      <c r="E74" s="32" t="s">
        <v>148</v>
      </c>
      <c r="F74" s="33"/>
      <c r="G74" s="32" t="s">
        <v>148</v>
      </c>
      <c r="H74" s="33"/>
      <c r="I74" s="32" t="s">
        <v>148</v>
      </c>
      <c r="J74" s="33"/>
      <c r="K74" s="32" t="s">
        <v>148</v>
      </c>
      <c r="L74" s="33"/>
      <c r="M74" s="32" t="s">
        <v>148</v>
      </c>
      <c r="N74" s="33"/>
      <c r="O74" s="32" t="s">
        <v>148</v>
      </c>
      <c r="P74" s="33"/>
      <c r="Q74" s="32" t="s">
        <v>148</v>
      </c>
      <c r="R74" s="33"/>
      <c r="S74" s="32" t="s">
        <v>148</v>
      </c>
      <c r="T74" s="33"/>
      <c r="U74" s="32" t="s">
        <v>148</v>
      </c>
      <c r="V74" s="33"/>
      <c r="W74" s="32" t="s">
        <v>148</v>
      </c>
      <c r="X74" s="33"/>
      <c r="Y74" s="32" t="s">
        <v>148</v>
      </c>
      <c r="Z74" s="33"/>
      <c r="AA74" s="32" t="s">
        <v>148</v>
      </c>
      <c r="AB74" s="33"/>
      <c r="AC74" s="32" t="s">
        <v>148</v>
      </c>
      <c r="AD74" s="33"/>
      <c r="AE74" s="32" t="s">
        <v>148</v>
      </c>
      <c r="AF74" s="33"/>
      <c r="AG74" s="32" t="s">
        <v>148</v>
      </c>
      <c r="AH74" s="33"/>
      <c r="AI74" s="32" t="s">
        <v>148</v>
      </c>
      <c r="AJ74" s="33"/>
      <c r="AK74" s="32">
        <v>23</v>
      </c>
      <c r="AL74" s="33">
        <v>3.6209068010075599E-3</v>
      </c>
      <c r="AM74" s="32" t="s">
        <v>148</v>
      </c>
      <c r="AN74" s="33"/>
      <c r="AO74" s="32" t="s">
        <v>148</v>
      </c>
      <c r="AP74" s="33"/>
      <c r="AQ74" s="32" t="s">
        <v>148</v>
      </c>
      <c r="AR74" s="33"/>
      <c r="AS74" s="32">
        <v>19</v>
      </c>
      <c r="AT74" s="33">
        <v>2.8417588991923402E-3</v>
      </c>
      <c r="AU74" s="32">
        <v>19</v>
      </c>
      <c r="AV74" s="33">
        <v>2.73263339565655E-3</v>
      </c>
      <c r="AW74" s="32">
        <v>17</v>
      </c>
      <c r="AX74" s="33">
        <v>2.2531477799867502E-3</v>
      </c>
      <c r="AY74" s="32">
        <v>18</v>
      </c>
      <c r="AZ74" s="33">
        <v>2.3781212841854902E-3</v>
      </c>
    </row>
    <row r="75" spans="1:52" x14ac:dyDescent="0.25">
      <c r="A75" s="10" t="s">
        <v>1798</v>
      </c>
      <c r="B75" s="10"/>
      <c r="C75" s="32">
        <v>-10</v>
      </c>
      <c r="D75" s="33">
        <v>-1.72562553925798E-3</v>
      </c>
      <c r="E75" s="32">
        <v>6</v>
      </c>
      <c r="F75" s="33">
        <v>1.1361484567316801E-3</v>
      </c>
      <c r="G75" s="32">
        <v>2</v>
      </c>
      <c r="H75" s="33">
        <v>3.5180299032541799E-4</v>
      </c>
      <c r="I75" s="32">
        <v>4</v>
      </c>
      <c r="J75" s="33">
        <v>7.1377587437544601E-4</v>
      </c>
      <c r="K75" s="32">
        <v>3</v>
      </c>
      <c r="L75" s="33">
        <v>5.1029086579350205E-4</v>
      </c>
      <c r="M75" s="32">
        <v>3</v>
      </c>
      <c r="N75" s="33">
        <v>5.4073540014419597E-4</v>
      </c>
      <c r="O75" s="32">
        <v>1</v>
      </c>
      <c r="P75" s="33">
        <v>1.94401244167963E-4</v>
      </c>
      <c r="Q75" s="32">
        <v>2</v>
      </c>
      <c r="R75" s="33">
        <v>3.0413625304136303E-4</v>
      </c>
      <c r="S75" s="32">
        <v>7</v>
      </c>
      <c r="T75" s="33">
        <v>9.4326910119929899E-4</v>
      </c>
      <c r="U75" s="32">
        <v>8</v>
      </c>
      <c r="V75" s="33">
        <v>1.2455238984898E-3</v>
      </c>
      <c r="W75" s="32">
        <v>10</v>
      </c>
      <c r="X75" s="33">
        <v>1.60849284220685E-3</v>
      </c>
      <c r="Y75" s="32">
        <v>5</v>
      </c>
      <c r="Z75" s="33">
        <v>6.7376364371378504E-4</v>
      </c>
      <c r="AA75" s="32">
        <v>5</v>
      </c>
      <c r="AB75" s="33">
        <v>6.9022639425731598E-4</v>
      </c>
      <c r="AC75" s="32">
        <v>9</v>
      </c>
      <c r="AD75" s="33">
        <v>1.3657056145675299E-3</v>
      </c>
      <c r="AE75" s="32">
        <v>13</v>
      </c>
      <c r="AF75" s="33">
        <v>2.0766773162939301E-3</v>
      </c>
      <c r="AG75" s="32">
        <v>14</v>
      </c>
      <c r="AH75" s="33">
        <v>1.9880715705765401E-3</v>
      </c>
      <c r="AI75" s="32">
        <v>20</v>
      </c>
      <c r="AJ75" s="33">
        <v>2.7067262146433899E-3</v>
      </c>
      <c r="AK75" s="32">
        <v>9</v>
      </c>
      <c r="AL75" s="33">
        <v>1.4168765743072999E-3</v>
      </c>
      <c r="AM75" s="32">
        <v>17</v>
      </c>
      <c r="AN75" s="33">
        <v>2.5761479011971499E-3</v>
      </c>
      <c r="AO75" s="32">
        <v>25</v>
      </c>
      <c r="AP75" s="33">
        <v>3.5455963693093199E-3</v>
      </c>
      <c r="AQ75" s="32">
        <v>15</v>
      </c>
      <c r="AR75" s="33">
        <v>2.1082220660576202E-3</v>
      </c>
      <c r="AS75" s="32">
        <v>12</v>
      </c>
      <c r="AT75" s="33">
        <v>1.79479509422674E-3</v>
      </c>
      <c r="AU75" s="32">
        <v>24</v>
      </c>
      <c r="AV75" s="33">
        <v>3.4517474471451202E-3</v>
      </c>
      <c r="AW75" s="32">
        <v>16</v>
      </c>
      <c r="AX75" s="33">
        <v>2.1206096752816399E-3</v>
      </c>
      <c r="AY75" s="32">
        <v>16</v>
      </c>
      <c r="AZ75" s="33">
        <v>2.1138855859426601E-3</v>
      </c>
    </row>
    <row r="76" spans="1:52" x14ac:dyDescent="0.25">
      <c r="A76" s="10" t="s">
        <v>1850</v>
      </c>
      <c r="B76" s="10"/>
      <c r="C76" s="32">
        <v>4</v>
      </c>
      <c r="D76" s="33">
        <v>6.9025021570319196E-4</v>
      </c>
      <c r="E76" s="32">
        <v>5</v>
      </c>
      <c r="F76" s="33">
        <v>9.4679038060973295E-4</v>
      </c>
      <c r="G76" s="32">
        <v>5</v>
      </c>
      <c r="H76" s="33">
        <v>8.7950747581354402E-4</v>
      </c>
      <c r="I76" s="32">
        <v>1</v>
      </c>
      <c r="J76" s="33">
        <v>1.7844396859386199E-4</v>
      </c>
      <c r="K76" s="32">
        <v>1</v>
      </c>
      <c r="L76" s="33">
        <v>1.70096955264501E-4</v>
      </c>
      <c r="M76" s="32">
        <v>3</v>
      </c>
      <c r="N76" s="33">
        <v>5.4073540014419597E-4</v>
      </c>
      <c r="O76" s="32">
        <v>16</v>
      </c>
      <c r="P76" s="33">
        <v>3.1104199066874002E-3</v>
      </c>
      <c r="Q76" s="32">
        <v>2</v>
      </c>
      <c r="R76" s="33">
        <v>3.0413625304136303E-4</v>
      </c>
      <c r="S76" s="32">
        <v>7</v>
      </c>
      <c r="T76" s="33">
        <v>9.4326910119929899E-4</v>
      </c>
      <c r="U76" s="32">
        <v>14</v>
      </c>
      <c r="V76" s="33">
        <v>2.1796668223571501E-3</v>
      </c>
      <c r="W76" s="32">
        <v>6</v>
      </c>
      <c r="X76" s="33">
        <v>9.6509570532411098E-4</v>
      </c>
      <c r="Y76" s="32">
        <v>4</v>
      </c>
      <c r="Z76" s="33">
        <v>5.3901091497102801E-4</v>
      </c>
      <c r="AA76" s="32">
        <v>5</v>
      </c>
      <c r="AB76" s="33">
        <v>6.9022639425731598E-4</v>
      </c>
      <c r="AC76" s="32">
        <v>5</v>
      </c>
      <c r="AD76" s="33">
        <v>7.5872534142640399E-4</v>
      </c>
      <c r="AE76" s="32">
        <v>2</v>
      </c>
      <c r="AF76" s="33">
        <v>3.1948881789137397E-4</v>
      </c>
      <c r="AG76" s="32">
        <v>5</v>
      </c>
      <c r="AH76" s="33">
        <v>7.1002556092019298E-4</v>
      </c>
      <c r="AI76" s="32">
        <v>3</v>
      </c>
      <c r="AJ76" s="33">
        <v>4.0600893219650799E-4</v>
      </c>
      <c r="AK76" s="32">
        <v>13</v>
      </c>
      <c r="AL76" s="33">
        <v>2.0465994962216602E-3</v>
      </c>
      <c r="AM76" s="32">
        <v>3</v>
      </c>
      <c r="AN76" s="33">
        <v>4.5461433550537998E-4</v>
      </c>
      <c r="AO76" s="32">
        <v>0</v>
      </c>
      <c r="AP76" s="33"/>
      <c r="AQ76" s="32">
        <v>1</v>
      </c>
      <c r="AR76" s="33">
        <v>1.4054813773717499E-4</v>
      </c>
      <c r="AS76" s="32">
        <v>12</v>
      </c>
      <c r="AT76" s="33">
        <v>1.79479509422674E-3</v>
      </c>
      <c r="AU76" s="32">
        <v>15</v>
      </c>
      <c r="AV76" s="33">
        <v>2.1573421544656998E-3</v>
      </c>
      <c r="AW76" s="32">
        <v>9</v>
      </c>
      <c r="AX76" s="33">
        <v>1.19284294234592E-3</v>
      </c>
      <c r="AY76" s="32">
        <v>11</v>
      </c>
      <c r="AZ76" s="33">
        <v>1.45329634033558E-3</v>
      </c>
    </row>
    <row r="77" spans="1:52" x14ac:dyDescent="0.25">
      <c r="A77" s="10" t="s">
        <v>1770</v>
      </c>
      <c r="B77" s="10"/>
      <c r="C77" s="32">
        <v>6</v>
      </c>
      <c r="D77" s="33">
        <v>1.03537532355479E-3</v>
      </c>
      <c r="E77" s="32">
        <v>9</v>
      </c>
      <c r="F77" s="33">
        <v>1.70422268509752E-3</v>
      </c>
      <c r="G77" s="32">
        <v>10</v>
      </c>
      <c r="H77" s="33">
        <v>1.75901495162709E-3</v>
      </c>
      <c r="I77" s="32">
        <v>8</v>
      </c>
      <c r="J77" s="33">
        <v>1.4275517487508901E-3</v>
      </c>
      <c r="K77" s="32">
        <v>10</v>
      </c>
      <c r="L77" s="33">
        <v>1.7009695526450099E-3</v>
      </c>
      <c r="M77" s="32">
        <v>13</v>
      </c>
      <c r="N77" s="33">
        <v>2.34318673395818E-3</v>
      </c>
      <c r="O77" s="32">
        <v>11</v>
      </c>
      <c r="P77" s="33">
        <v>2.1384136858475901E-3</v>
      </c>
      <c r="Q77" s="32">
        <v>12</v>
      </c>
      <c r="R77" s="33">
        <v>1.8248175182481799E-3</v>
      </c>
      <c r="S77" s="32">
        <v>14</v>
      </c>
      <c r="T77" s="33">
        <v>1.8865382023985999E-3</v>
      </c>
      <c r="U77" s="32">
        <v>14</v>
      </c>
      <c r="V77" s="33">
        <v>2.1796668223571501E-3</v>
      </c>
      <c r="W77" s="32">
        <v>13</v>
      </c>
      <c r="X77" s="33">
        <v>2.09104069486891E-3</v>
      </c>
      <c r="Y77" s="32">
        <v>12</v>
      </c>
      <c r="Z77" s="33">
        <v>1.61703274491308E-3</v>
      </c>
      <c r="AA77" s="32">
        <v>13</v>
      </c>
      <c r="AB77" s="33">
        <v>1.7945886250690199E-3</v>
      </c>
      <c r="AC77" s="32">
        <v>11</v>
      </c>
      <c r="AD77" s="33">
        <v>1.6691957511380899E-3</v>
      </c>
      <c r="AE77" s="32">
        <v>12</v>
      </c>
      <c r="AF77" s="33">
        <v>1.91693290734824E-3</v>
      </c>
      <c r="AG77" s="32">
        <v>12</v>
      </c>
      <c r="AH77" s="33">
        <v>1.7040613462084601E-3</v>
      </c>
      <c r="AI77" s="32">
        <v>11</v>
      </c>
      <c r="AJ77" s="33">
        <v>1.48869941805386E-3</v>
      </c>
      <c r="AK77" s="32">
        <v>11</v>
      </c>
      <c r="AL77" s="33">
        <v>1.7317380352644799E-3</v>
      </c>
      <c r="AM77" s="32">
        <v>11</v>
      </c>
      <c r="AN77" s="33">
        <v>1.6669192301863899E-3</v>
      </c>
      <c r="AO77" s="32">
        <v>11</v>
      </c>
      <c r="AP77" s="33">
        <v>1.5600624024960999E-3</v>
      </c>
      <c r="AQ77" s="32">
        <v>11</v>
      </c>
      <c r="AR77" s="33">
        <v>1.5460295151089199E-3</v>
      </c>
      <c r="AS77" s="32">
        <v>11</v>
      </c>
      <c r="AT77" s="33">
        <v>1.6452288363745099E-3</v>
      </c>
      <c r="AU77" s="32">
        <v>10</v>
      </c>
      <c r="AV77" s="33">
        <v>1.43822810297713E-3</v>
      </c>
      <c r="AW77" s="32">
        <v>9</v>
      </c>
      <c r="AX77" s="33">
        <v>1.19284294234592E-3</v>
      </c>
      <c r="AY77" s="32">
        <v>11</v>
      </c>
      <c r="AZ77" s="33">
        <v>1.45329634033558E-3</v>
      </c>
    </row>
    <row r="78" spans="1:52" x14ac:dyDescent="0.25">
      <c r="A78" s="10" t="s">
        <v>1812</v>
      </c>
      <c r="B78" s="10"/>
      <c r="C78" s="32" t="s">
        <v>148</v>
      </c>
      <c r="D78" s="33"/>
      <c r="E78" s="32" t="s">
        <v>148</v>
      </c>
      <c r="F78" s="33"/>
      <c r="G78" s="32" t="s">
        <v>148</v>
      </c>
      <c r="H78" s="33"/>
      <c r="I78" s="32" t="s">
        <v>148</v>
      </c>
      <c r="J78" s="33"/>
      <c r="K78" s="32" t="s">
        <v>148</v>
      </c>
      <c r="L78" s="33"/>
      <c r="M78" s="32" t="s">
        <v>148</v>
      </c>
      <c r="N78" s="33"/>
      <c r="O78" s="32">
        <v>0</v>
      </c>
      <c r="P78" s="33"/>
      <c r="Q78" s="32" t="s">
        <v>148</v>
      </c>
      <c r="R78" s="33"/>
      <c r="S78" s="32">
        <v>0</v>
      </c>
      <c r="T78" s="33"/>
      <c r="U78" s="32">
        <v>0</v>
      </c>
      <c r="V78" s="33"/>
      <c r="W78" s="32">
        <v>0</v>
      </c>
      <c r="X78" s="33"/>
      <c r="Y78" s="32">
        <v>0</v>
      </c>
      <c r="Z78" s="33"/>
      <c r="AA78" s="32">
        <v>0</v>
      </c>
      <c r="AB78" s="33"/>
      <c r="AC78" s="32">
        <v>1</v>
      </c>
      <c r="AD78" s="33">
        <v>1.51745068285281E-4</v>
      </c>
      <c r="AE78" s="32">
        <v>0</v>
      </c>
      <c r="AF78" s="33"/>
      <c r="AG78" s="32">
        <v>1</v>
      </c>
      <c r="AH78" s="33">
        <v>1.42005112184039E-4</v>
      </c>
      <c r="AI78" s="32">
        <v>1</v>
      </c>
      <c r="AJ78" s="33">
        <v>1.3533631073216901E-4</v>
      </c>
      <c r="AK78" s="32">
        <v>3</v>
      </c>
      <c r="AL78" s="33">
        <v>4.7229219143576798E-4</v>
      </c>
      <c r="AM78" s="32">
        <v>4</v>
      </c>
      <c r="AN78" s="33">
        <v>6.0615244734050599E-4</v>
      </c>
      <c r="AO78" s="32">
        <v>4</v>
      </c>
      <c r="AP78" s="33">
        <v>5.6729541908949097E-4</v>
      </c>
      <c r="AQ78" s="32">
        <v>5</v>
      </c>
      <c r="AR78" s="33">
        <v>7.0274068868587502E-4</v>
      </c>
      <c r="AS78" s="32">
        <v>8</v>
      </c>
      <c r="AT78" s="33">
        <v>1.1965300628178301E-3</v>
      </c>
      <c r="AU78" s="32">
        <v>7</v>
      </c>
      <c r="AV78" s="33">
        <v>1.0067596720839901E-3</v>
      </c>
      <c r="AW78" s="32">
        <v>6</v>
      </c>
      <c r="AX78" s="33">
        <v>7.95228628230616E-4</v>
      </c>
      <c r="AY78" s="32">
        <v>10</v>
      </c>
      <c r="AZ78" s="33">
        <v>1.32117849121416E-3</v>
      </c>
    </row>
    <row r="79" spans="1:52" x14ac:dyDescent="0.25">
      <c r="A79" s="10" t="s">
        <v>1771</v>
      </c>
      <c r="B79" s="10"/>
      <c r="C79" s="32">
        <v>0</v>
      </c>
      <c r="D79" s="33"/>
      <c r="E79" s="32">
        <v>0</v>
      </c>
      <c r="F79" s="33"/>
      <c r="G79" s="32">
        <v>0</v>
      </c>
      <c r="H79" s="33"/>
      <c r="I79" s="32">
        <v>0</v>
      </c>
      <c r="J79" s="33"/>
      <c r="K79" s="32">
        <v>0</v>
      </c>
      <c r="L79" s="33"/>
      <c r="M79" s="32">
        <v>2</v>
      </c>
      <c r="N79" s="33">
        <v>3.60490266762797E-4</v>
      </c>
      <c r="O79" s="32">
        <v>2</v>
      </c>
      <c r="P79" s="33">
        <v>3.8880248833592502E-4</v>
      </c>
      <c r="Q79" s="32">
        <v>2</v>
      </c>
      <c r="R79" s="33">
        <v>3.0413625304136303E-4</v>
      </c>
      <c r="S79" s="32">
        <v>2</v>
      </c>
      <c r="T79" s="33">
        <v>2.6950545748551401E-4</v>
      </c>
      <c r="U79" s="32">
        <v>2</v>
      </c>
      <c r="V79" s="33">
        <v>3.1138097462245099E-4</v>
      </c>
      <c r="W79" s="32">
        <v>3</v>
      </c>
      <c r="X79" s="33">
        <v>4.8254785266205598E-4</v>
      </c>
      <c r="Y79" s="32">
        <v>3</v>
      </c>
      <c r="Z79" s="33">
        <v>4.0425818622827098E-4</v>
      </c>
      <c r="AA79" s="32">
        <v>3</v>
      </c>
      <c r="AB79" s="33">
        <v>4.1413583655438999E-4</v>
      </c>
      <c r="AC79" s="32">
        <v>3</v>
      </c>
      <c r="AD79" s="33">
        <v>4.5523520485584199E-4</v>
      </c>
      <c r="AE79" s="32">
        <v>4</v>
      </c>
      <c r="AF79" s="33">
        <v>6.3897763578274795E-4</v>
      </c>
      <c r="AG79" s="32">
        <v>4</v>
      </c>
      <c r="AH79" s="33">
        <v>5.6802044873615395E-4</v>
      </c>
      <c r="AI79" s="32">
        <v>3</v>
      </c>
      <c r="AJ79" s="33">
        <v>4.0600893219650799E-4</v>
      </c>
      <c r="AK79" s="32">
        <v>4</v>
      </c>
      <c r="AL79" s="33">
        <v>6.2972292191435799E-4</v>
      </c>
      <c r="AM79" s="32">
        <v>3</v>
      </c>
      <c r="AN79" s="33">
        <v>4.5461433550537998E-4</v>
      </c>
      <c r="AO79" s="32">
        <v>3</v>
      </c>
      <c r="AP79" s="33">
        <v>4.2547156431711801E-4</v>
      </c>
      <c r="AQ79" s="32">
        <v>3</v>
      </c>
      <c r="AR79" s="33">
        <v>4.2164441321152499E-4</v>
      </c>
      <c r="AS79" s="32">
        <v>3</v>
      </c>
      <c r="AT79" s="33">
        <v>4.4869877355668602E-4</v>
      </c>
      <c r="AU79" s="32">
        <v>3</v>
      </c>
      <c r="AV79" s="33">
        <v>4.3146843089314003E-4</v>
      </c>
      <c r="AW79" s="32">
        <v>3</v>
      </c>
      <c r="AX79" s="33">
        <v>3.97614314115308E-4</v>
      </c>
      <c r="AY79" s="32">
        <v>3</v>
      </c>
      <c r="AZ79" s="33">
        <v>3.9635354736424898E-4</v>
      </c>
    </row>
    <row r="80" spans="1:52" x14ac:dyDescent="0.25">
      <c r="A80" s="10" t="s">
        <v>1851</v>
      </c>
      <c r="B80" s="10"/>
      <c r="C80" s="32" t="s">
        <v>148</v>
      </c>
      <c r="D80" s="33"/>
      <c r="E80" s="32">
        <v>3</v>
      </c>
      <c r="F80" s="33">
        <v>5.6807422836584003E-4</v>
      </c>
      <c r="G80" s="32">
        <v>1</v>
      </c>
      <c r="H80" s="33">
        <v>1.7590149516270899E-4</v>
      </c>
      <c r="I80" s="32">
        <v>1</v>
      </c>
      <c r="J80" s="33">
        <v>1.7844396859386199E-4</v>
      </c>
      <c r="K80" s="32">
        <v>1</v>
      </c>
      <c r="L80" s="33">
        <v>1.70096955264501E-4</v>
      </c>
      <c r="M80" s="32">
        <v>16</v>
      </c>
      <c r="N80" s="33">
        <v>2.8839221341023799E-3</v>
      </c>
      <c r="O80" s="32">
        <v>0</v>
      </c>
      <c r="P80" s="33"/>
      <c r="Q80" s="32">
        <v>0</v>
      </c>
      <c r="R80" s="33"/>
      <c r="S80" s="32">
        <v>1</v>
      </c>
      <c r="T80" s="33">
        <v>1.34752728742757E-4</v>
      </c>
      <c r="U80" s="32">
        <v>2</v>
      </c>
      <c r="V80" s="33">
        <v>3.1138097462245099E-4</v>
      </c>
      <c r="W80" s="32" t="s">
        <v>148</v>
      </c>
      <c r="X80" s="33"/>
      <c r="Y80" s="32">
        <v>1</v>
      </c>
      <c r="Z80" s="33">
        <v>1.34752728742757E-4</v>
      </c>
      <c r="AA80" s="32">
        <v>7</v>
      </c>
      <c r="AB80" s="33">
        <v>9.66316951960243E-4</v>
      </c>
      <c r="AC80" s="32">
        <v>2</v>
      </c>
      <c r="AD80" s="33">
        <v>3.0349013657056102E-4</v>
      </c>
      <c r="AE80" s="32">
        <v>3</v>
      </c>
      <c r="AF80" s="33">
        <v>4.7923322683706099E-4</v>
      </c>
      <c r="AG80" s="32">
        <v>0</v>
      </c>
      <c r="AH80" s="33"/>
      <c r="AI80" s="32">
        <v>1</v>
      </c>
      <c r="AJ80" s="33">
        <v>1.3533631073216901E-4</v>
      </c>
      <c r="AK80" s="32">
        <v>2</v>
      </c>
      <c r="AL80" s="33">
        <v>3.14861460957179E-4</v>
      </c>
      <c r="AM80" s="32">
        <v>1</v>
      </c>
      <c r="AN80" s="33">
        <v>1.5153811183512701E-4</v>
      </c>
      <c r="AO80" s="32">
        <v>2</v>
      </c>
      <c r="AP80" s="33">
        <v>2.83647709544745E-4</v>
      </c>
      <c r="AQ80" s="32">
        <v>4</v>
      </c>
      <c r="AR80" s="33">
        <v>5.6219255094869995E-4</v>
      </c>
      <c r="AS80" s="32">
        <v>1</v>
      </c>
      <c r="AT80" s="33">
        <v>1.49566257852229E-4</v>
      </c>
      <c r="AU80" s="32">
        <v>1</v>
      </c>
      <c r="AV80" s="33">
        <v>1.4382281029771301E-4</v>
      </c>
      <c r="AW80" s="32">
        <v>1</v>
      </c>
      <c r="AX80" s="33">
        <v>1.3253810470510301E-4</v>
      </c>
      <c r="AY80" s="32">
        <v>-1</v>
      </c>
      <c r="AZ80" s="33">
        <v>-1.3211784912141601E-4</v>
      </c>
    </row>
    <row r="81" spans="1:52" x14ac:dyDescent="0.25">
      <c r="A81" s="10" t="s">
        <v>1776</v>
      </c>
      <c r="B81" s="10"/>
      <c r="C81" s="32">
        <v>6</v>
      </c>
      <c r="D81" s="33">
        <v>1.03537532355479E-3</v>
      </c>
      <c r="E81" s="32">
        <v>11</v>
      </c>
      <c r="F81" s="33">
        <v>2.0829388373414101E-3</v>
      </c>
      <c r="G81" s="32">
        <v>6</v>
      </c>
      <c r="H81" s="33">
        <v>1.05540897097625E-3</v>
      </c>
      <c r="I81" s="32">
        <v>13</v>
      </c>
      <c r="J81" s="33">
        <v>2.3197715917202002E-3</v>
      </c>
      <c r="K81" s="32">
        <v>-4</v>
      </c>
      <c r="L81" s="33">
        <v>-6.8038782105800302E-4</v>
      </c>
      <c r="M81" s="32">
        <v>2</v>
      </c>
      <c r="N81" s="33">
        <v>3.60490266762797E-4</v>
      </c>
      <c r="O81" s="32">
        <v>8</v>
      </c>
      <c r="P81" s="33">
        <v>1.5552099533437001E-3</v>
      </c>
      <c r="Q81" s="32">
        <v>2</v>
      </c>
      <c r="R81" s="33">
        <v>3.0413625304136303E-4</v>
      </c>
      <c r="S81" s="32">
        <v>5</v>
      </c>
      <c r="T81" s="33">
        <v>6.7376364371378504E-4</v>
      </c>
      <c r="U81" s="32">
        <v>4</v>
      </c>
      <c r="V81" s="33">
        <v>6.2276194924490099E-4</v>
      </c>
      <c r="W81" s="32">
        <v>5</v>
      </c>
      <c r="X81" s="33">
        <v>8.04246421103426E-4</v>
      </c>
      <c r="Y81" s="32">
        <v>3</v>
      </c>
      <c r="Z81" s="33">
        <v>4.0425818622827098E-4</v>
      </c>
      <c r="AA81" s="32">
        <v>2</v>
      </c>
      <c r="AB81" s="33">
        <v>2.7609055770292702E-4</v>
      </c>
      <c r="AC81" s="32">
        <v>3</v>
      </c>
      <c r="AD81" s="33">
        <v>4.5523520485584199E-4</v>
      </c>
      <c r="AE81" s="32">
        <v>2</v>
      </c>
      <c r="AF81" s="33">
        <v>3.1948881789137397E-4</v>
      </c>
      <c r="AG81" s="32">
        <v>3</v>
      </c>
      <c r="AH81" s="33">
        <v>4.26015336552116E-4</v>
      </c>
      <c r="AI81" s="32">
        <v>3</v>
      </c>
      <c r="AJ81" s="33">
        <v>4.0600893219650799E-4</v>
      </c>
      <c r="AK81" s="32" t="s">
        <v>148</v>
      </c>
      <c r="AL81" s="33"/>
      <c r="AM81" s="32">
        <v>2</v>
      </c>
      <c r="AN81" s="33">
        <v>3.03076223670253E-4</v>
      </c>
      <c r="AO81" s="32">
        <v>2</v>
      </c>
      <c r="AP81" s="33">
        <v>2.83647709544745E-4</v>
      </c>
      <c r="AQ81" s="32">
        <v>2</v>
      </c>
      <c r="AR81" s="33">
        <v>2.8109627547434998E-4</v>
      </c>
      <c r="AS81" s="32" t="s">
        <v>148</v>
      </c>
      <c r="AT81" s="33"/>
      <c r="AU81" s="32" t="s">
        <v>148</v>
      </c>
      <c r="AV81" s="33"/>
      <c r="AW81" s="32" t="s">
        <v>148</v>
      </c>
      <c r="AX81" s="33"/>
      <c r="AY81" s="32" t="s">
        <v>148</v>
      </c>
      <c r="AZ81" s="33"/>
    </row>
    <row r="82" spans="1:52" x14ac:dyDescent="0.25">
      <c r="A82" s="10" t="s">
        <v>1777</v>
      </c>
      <c r="B82" s="10"/>
      <c r="C82" s="32">
        <v>24</v>
      </c>
      <c r="D82" s="33">
        <v>4.1415012942191496E-3</v>
      </c>
      <c r="E82" s="32">
        <v>22</v>
      </c>
      <c r="F82" s="33">
        <v>4.1658776746828297E-3</v>
      </c>
      <c r="G82" s="32">
        <v>20</v>
      </c>
      <c r="H82" s="33">
        <v>3.51802990325418E-3</v>
      </c>
      <c r="I82" s="32">
        <v>19</v>
      </c>
      <c r="J82" s="33">
        <v>3.39043540328337E-3</v>
      </c>
      <c r="K82" s="32">
        <v>11</v>
      </c>
      <c r="L82" s="33">
        <v>1.87106650790951E-3</v>
      </c>
      <c r="M82" s="32">
        <v>15</v>
      </c>
      <c r="N82" s="33">
        <v>2.7036770007209799E-3</v>
      </c>
      <c r="O82" s="32">
        <v>11</v>
      </c>
      <c r="P82" s="33">
        <v>2.1384136858475901E-3</v>
      </c>
      <c r="Q82" s="32">
        <v>11</v>
      </c>
      <c r="R82" s="33">
        <v>1.6727493917274899E-3</v>
      </c>
      <c r="S82" s="32">
        <v>8</v>
      </c>
      <c r="T82" s="33">
        <v>1.0780218299420599E-3</v>
      </c>
      <c r="U82" s="32">
        <v>9</v>
      </c>
      <c r="V82" s="33">
        <v>1.40121438580103E-3</v>
      </c>
      <c r="W82" s="32">
        <v>8</v>
      </c>
      <c r="X82" s="33">
        <v>1.2867942737654801E-3</v>
      </c>
      <c r="Y82" s="32">
        <v>7</v>
      </c>
      <c r="Z82" s="33">
        <v>9.4326910119929899E-4</v>
      </c>
      <c r="AA82" s="32">
        <v>11</v>
      </c>
      <c r="AB82" s="33">
        <v>1.5184980673661E-3</v>
      </c>
      <c r="AC82" s="32">
        <v>6</v>
      </c>
      <c r="AD82" s="33">
        <v>9.1047040971168399E-4</v>
      </c>
      <c r="AE82" s="32">
        <v>5</v>
      </c>
      <c r="AF82" s="33">
        <v>7.9872204472843404E-4</v>
      </c>
      <c r="AG82" s="32">
        <v>2</v>
      </c>
      <c r="AH82" s="33">
        <v>2.8401022436807697E-4</v>
      </c>
      <c r="AI82" s="32">
        <v>5</v>
      </c>
      <c r="AJ82" s="33">
        <v>6.7668155366084704E-4</v>
      </c>
      <c r="AK82" s="32" t="s">
        <v>148</v>
      </c>
      <c r="AL82" s="33"/>
      <c r="AM82" s="32">
        <v>7</v>
      </c>
      <c r="AN82" s="33">
        <v>1.06076678284589E-3</v>
      </c>
      <c r="AO82" s="32">
        <v>4</v>
      </c>
      <c r="AP82" s="33">
        <v>5.6729541908949097E-4</v>
      </c>
      <c r="AQ82" s="32">
        <v>3</v>
      </c>
      <c r="AR82" s="33">
        <v>4.2164441321152499E-4</v>
      </c>
      <c r="AS82" s="32" t="s">
        <v>148</v>
      </c>
      <c r="AT82" s="33"/>
      <c r="AU82" s="32" t="s">
        <v>148</v>
      </c>
      <c r="AV82" s="33"/>
      <c r="AW82" s="32" t="s">
        <v>148</v>
      </c>
      <c r="AX82" s="33"/>
      <c r="AY82" s="32" t="s">
        <v>148</v>
      </c>
      <c r="AZ82" s="33"/>
    </row>
    <row r="83" spans="1:52" x14ac:dyDescent="0.25">
      <c r="A83" s="10" t="s">
        <v>1842</v>
      </c>
      <c r="B83" s="10"/>
      <c r="C83" s="32">
        <v>51</v>
      </c>
      <c r="D83" s="33">
        <v>8.8006902502157005E-3</v>
      </c>
      <c r="E83" s="32">
        <v>81</v>
      </c>
      <c r="F83" s="33">
        <v>1.5338004165877699E-2</v>
      </c>
      <c r="G83" s="32">
        <v>85</v>
      </c>
      <c r="H83" s="33">
        <v>1.4951627088830299E-2</v>
      </c>
      <c r="I83" s="32">
        <v>56</v>
      </c>
      <c r="J83" s="33">
        <v>9.9928622412562493E-3</v>
      </c>
      <c r="K83" s="32">
        <v>38</v>
      </c>
      <c r="L83" s="33">
        <v>6.46368430005103E-3</v>
      </c>
      <c r="M83" s="32">
        <v>48</v>
      </c>
      <c r="N83" s="33">
        <v>8.6517664023071407E-3</v>
      </c>
      <c r="O83" s="32">
        <v>39</v>
      </c>
      <c r="P83" s="33">
        <v>7.58164852255054E-3</v>
      </c>
      <c r="Q83" s="32">
        <v>37</v>
      </c>
      <c r="R83" s="33">
        <v>5.6265206812652103E-3</v>
      </c>
      <c r="S83" s="32">
        <v>27</v>
      </c>
      <c r="T83" s="33">
        <v>3.63832367605444E-3</v>
      </c>
      <c r="U83" s="32">
        <v>21</v>
      </c>
      <c r="V83" s="33">
        <v>3.2695002335357301E-3</v>
      </c>
      <c r="W83" s="32">
        <v>29</v>
      </c>
      <c r="X83" s="33">
        <v>4.6646292423998701E-3</v>
      </c>
      <c r="Y83" s="32">
        <v>26</v>
      </c>
      <c r="Z83" s="33">
        <v>3.5035709473116802E-3</v>
      </c>
      <c r="AA83" s="32">
        <v>21</v>
      </c>
      <c r="AB83" s="33">
        <v>2.89895085588073E-3</v>
      </c>
      <c r="AC83" s="32">
        <v>18</v>
      </c>
      <c r="AD83" s="33">
        <v>2.7314112291350499E-3</v>
      </c>
      <c r="AE83" s="32">
        <v>13</v>
      </c>
      <c r="AF83" s="33">
        <v>2.0766773162939301E-3</v>
      </c>
      <c r="AG83" s="32">
        <v>12</v>
      </c>
      <c r="AH83" s="33">
        <v>1.7040613462084601E-3</v>
      </c>
      <c r="AI83" s="32">
        <v>8</v>
      </c>
      <c r="AJ83" s="33">
        <v>1.0826904858573601E-3</v>
      </c>
      <c r="AK83" s="32" t="s">
        <v>148</v>
      </c>
      <c r="AL83" s="33"/>
      <c r="AM83" s="32">
        <v>5</v>
      </c>
      <c r="AN83" s="33">
        <v>7.5769055917563298E-4</v>
      </c>
      <c r="AO83" s="32">
        <v>4</v>
      </c>
      <c r="AP83" s="33">
        <v>5.6729541908949097E-4</v>
      </c>
      <c r="AQ83" s="32">
        <v>5</v>
      </c>
      <c r="AR83" s="33">
        <v>7.0274068868587502E-4</v>
      </c>
      <c r="AS83" s="32" t="s">
        <v>148</v>
      </c>
      <c r="AT83" s="33"/>
      <c r="AU83" s="32" t="s">
        <v>148</v>
      </c>
      <c r="AV83" s="33"/>
      <c r="AW83" s="32" t="s">
        <v>148</v>
      </c>
      <c r="AX83" s="33"/>
      <c r="AY83" s="32" t="s">
        <v>148</v>
      </c>
      <c r="AZ83" s="33"/>
    </row>
    <row r="84" spans="1:52" x14ac:dyDescent="0.25">
      <c r="A84" s="10" t="s">
        <v>1852</v>
      </c>
      <c r="B84" s="10"/>
      <c r="C84" s="32" t="s">
        <v>148</v>
      </c>
      <c r="D84" s="33"/>
      <c r="E84" s="32" t="s">
        <v>148</v>
      </c>
      <c r="F84" s="33"/>
      <c r="G84" s="32" t="s">
        <v>148</v>
      </c>
      <c r="H84" s="33"/>
      <c r="I84" s="32" t="s">
        <v>148</v>
      </c>
      <c r="J84" s="33"/>
      <c r="K84" s="32" t="s">
        <v>148</v>
      </c>
      <c r="L84" s="33"/>
      <c r="M84" s="32">
        <v>0</v>
      </c>
      <c r="N84" s="33"/>
      <c r="O84" s="32">
        <v>0</v>
      </c>
      <c r="P84" s="33"/>
      <c r="Q84" s="32" t="s">
        <v>148</v>
      </c>
      <c r="R84" s="33"/>
      <c r="S84" s="32" t="s">
        <v>148</v>
      </c>
      <c r="T84" s="33"/>
      <c r="U84" s="32">
        <v>0</v>
      </c>
      <c r="V84" s="33"/>
      <c r="W84" s="32" t="s">
        <v>148</v>
      </c>
      <c r="X84" s="33"/>
      <c r="Y84" s="32" t="s">
        <v>148</v>
      </c>
      <c r="Z84" s="33"/>
      <c r="AA84" s="32" t="s">
        <v>148</v>
      </c>
      <c r="AB84" s="33"/>
      <c r="AC84" s="32">
        <v>0</v>
      </c>
      <c r="AD84" s="33"/>
      <c r="AE84" s="32" t="s">
        <v>148</v>
      </c>
      <c r="AF84" s="33"/>
      <c r="AG84" s="32" t="s">
        <v>148</v>
      </c>
      <c r="AH84" s="33"/>
      <c r="AI84" s="32" t="s">
        <v>148</v>
      </c>
      <c r="AJ84" s="33"/>
      <c r="AK84" s="32" t="s">
        <v>148</v>
      </c>
      <c r="AL84" s="33"/>
      <c r="AM84" s="32">
        <v>0</v>
      </c>
      <c r="AN84" s="33"/>
      <c r="AO84" s="32" t="s">
        <v>148</v>
      </c>
      <c r="AP84" s="33"/>
      <c r="AQ84" s="32" t="s">
        <v>148</v>
      </c>
      <c r="AR84" s="33"/>
      <c r="AS84" s="32" t="s">
        <v>148</v>
      </c>
      <c r="AT84" s="33"/>
      <c r="AU84" s="32" t="s">
        <v>148</v>
      </c>
      <c r="AV84" s="33"/>
      <c r="AW84" s="32" t="s">
        <v>148</v>
      </c>
      <c r="AX84" s="33"/>
      <c r="AY84" s="32" t="s">
        <v>148</v>
      </c>
      <c r="AZ84" s="33"/>
    </row>
    <row r="85" spans="1:52" x14ac:dyDescent="0.25">
      <c r="A85" s="10" t="s">
        <v>1819</v>
      </c>
      <c r="B85" s="10"/>
      <c r="C85" s="32" t="s">
        <v>148</v>
      </c>
      <c r="D85" s="33"/>
      <c r="E85" s="32" t="s">
        <v>148</v>
      </c>
      <c r="F85" s="33"/>
      <c r="G85" s="32" t="s">
        <v>148</v>
      </c>
      <c r="H85" s="33"/>
      <c r="I85" s="32" t="s">
        <v>148</v>
      </c>
      <c r="J85" s="33"/>
      <c r="K85" s="32">
        <v>4</v>
      </c>
      <c r="L85" s="33">
        <v>6.8038782105800302E-4</v>
      </c>
      <c r="M85" s="32">
        <v>4</v>
      </c>
      <c r="N85" s="33">
        <v>7.2098053352559499E-4</v>
      </c>
      <c r="O85" s="32">
        <v>6</v>
      </c>
      <c r="P85" s="33">
        <v>1.1664074650077801E-3</v>
      </c>
      <c r="Q85" s="32">
        <v>2</v>
      </c>
      <c r="R85" s="33">
        <v>3.0413625304136303E-4</v>
      </c>
      <c r="S85" s="32">
        <v>1</v>
      </c>
      <c r="T85" s="33">
        <v>1.34752728742757E-4</v>
      </c>
      <c r="U85" s="32">
        <v>4</v>
      </c>
      <c r="V85" s="33">
        <v>6.2276194924490099E-4</v>
      </c>
      <c r="W85" s="32">
        <v>2</v>
      </c>
      <c r="X85" s="33">
        <v>3.21698568441371E-4</v>
      </c>
      <c r="Y85" s="32">
        <v>3</v>
      </c>
      <c r="Z85" s="33">
        <v>4.0425818622827098E-4</v>
      </c>
      <c r="AA85" s="32">
        <v>7</v>
      </c>
      <c r="AB85" s="33">
        <v>9.66316951960243E-4</v>
      </c>
      <c r="AC85" s="32">
        <v>3</v>
      </c>
      <c r="AD85" s="33">
        <v>4.5523520485584199E-4</v>
      </c>
      <c r="AE85" s="32">
        <v>4</v>
      </c>
      <c r="AF85" s="33">
        <v>6.3897763578274795E-4</v>
      </c>
      <c r="AG85" s="32">
        <v>2</v>
      </c>
      <c r="AH85" s="33">
        <v>2.8401022436807697E-4</v>
      </c>
      <c r="AI85" s="32">
        <v>3</v>
      </c>
      <c r="AJ85" s="33">
        <v>4.0600893219650799E-4</v>
      </c>
      <c r="AK85" s="32" t="s">
        <v>148</v>
      </c>
      <c r="AL85" s="33"/>
      <c r="AM85" s="32">
        <v>3</v>
      </c>
      <c r="AN85" s="33">
        <v>4.5461433550537998E-4</v>
      </c>
      <c r="AO85" s="32">
        <v>3</v>
      </c>
      <c r="AP85" s="33">
        <v>4.2547156431711801E-4</v>
      </c>
      <c r="AQ85" s="32">
        <v>3</v>
      </c>
      <c r="AR85" s="33">
        <v>4.2164441321152499E-4</v>
      </c>
      <c r="AS85" s="32" t="s">
        <v>148</v>
      </c>
      <c r="AT85" s="33"/>
      <c r="AU85" s="32" t="s">
        <v>148</v>
      </c>
      <c r="AV85" s="33"/>
      <c r="AW85" s="32" t="s">
        <v>148</v>
      </c>
      <c r="AX85" s="33"/>
      <c r="AY85" s="32" t="s">
        <v>148</v>
      </c>
      <c r="AZ85" s="33"/>
    </row>
    <row r="86" spans="1:52" x14ac:dyDescent="0.25">
      <c r="A86" s="10" t="s">
        <v>1853</v>
      </c>
      <c r="B86" s="10"/>
      <c r="C86" s="32">
        <v>2</v>
      </c>
      <c r="D86" s="33">
        <v>3.4512510785159598E-4</v>
      </c>
      <c r="E86" s="32">
        <v>2</v>
      </c>
      <c r="F86" s="33">
        <v>3.7871615224389303E-4</v>
      </c>
      <c r="G86" s="32">
        <v>7</v>
      </c>
      <c r="H86" s="33">
        <v>1.2313104661389599E-3</v>
      </c>
      <c r="I86" s="32">
        <v>9</v>
      </c>
      <c r="J86" s="33">
        <v>1.60599571734475E-3</v>
      </c>
      <c r="K86" s="32" t="s">
        <v>148</v>
      </c>
      <c r="L86" s="33"/>
      <c r="M86" s="32" t="s">
        <v>148</v>
      </c>
      <c r="N86" s="33"/>
      <c r="O86" s="32" t="s">
        <v>148</v>
      </c>
      <c r="P86" s="33"/>
      <c r="Q86" s="32" t="s">
        <v>148</v>
      </c>
      <c r="R86" s="33"/>
      <c r="S86" s="32" t="s">
        <v>148</v>
      </c>
      <c r="T86" s="33"/>
      <c r="U86" s="32" t="s">
        <v>148</v>
      </c>
      <c r="V86" s="33"/>
      <c r="W86" s="32" t="s">
        <v>148</v>
      </c>
      <c r="X86" s="33"/>
      <c r="Y86" s="32" t="s">
        <v>148</v>
      </c>
      <c r="Z86" s="33"/>
      <c r="AA86" s="32" t="s">
        <v>148</v>
      </c>
      <c r="AB86" s="33"/>
      <c r="AC86" s="32" t="s">
        <v>148</v>
      </c>
      <c r="AD86" s="33"/>
      <c r="AE86" s="32" t="s">
        <v>148</v>
      </c>
      <c r="AF86" s="33"/>
      <c r="AG86" s="32" t="s">
        <v>148</v>
      </c>
      <c r="AH86" s="33"/>
      <c r="AI86" s="32" t="s">
        <v>148</v>
      </c>
      <c r="AJ86" s="33"/>
      <c r="AK86" s="32" t="s">
        <v>148</v>
      </c>
      <c r="AL86" s="33"/>
      <c r="AM86" s="32" t="s">
        <v>148</v>
      </c>
      <c r="AN86" s="33"/>
      <c r="AO86" s="32" t="s">
        <v>148</v>
      </c>
      <c r="AP86" s="33"/>
      <c r="AQ86" s="32" t="s">
        <v>148</v>
      </c>
      <c r="AR86" s="33"/>
      <c r="AS86" s="32" t="s">
        <v>148</v>
      </c>
      <c r="AT86" s="33"/>
      <c r="AU86" s="32" t="s">
        <v>148</v>
      </c>
      <c r="AV86" s="33"/>
      <c r="AW86" s="32" t="s">
        <v>148</v>
      </c>
      <c r="AX86" s="33"/>
      <c r="AY86" s="32" t="s">
        <v>148</v>
      </c>
      <c r="AZ86" s="33"/>
    </row>
    <row r="87" spans="1:52" x14ac:dyDescent="0.25">
      <c r="A87" s="10" t="s">
        <v>1775</v>
      </c>
      <c r="B87" s="10"/>
      <c r="C87" s="32">
        <v>11</v>
      </c>
      <c r="D87" s="33">
        <v>1.89818809318378E-3</v>
      </c>
      <c r="E87" s="32">
        <v>9</v>
      </c>
      <c r="F87" s="33">
        <v>1.70422268509752E-3</v>
      </c>
      <c r="G87" s="32">
        <v>9</v>
      </c>
      <c r="H87" s="33">
        <v>1.5831134564643801E-3</v>
      </c>
      <c r="I87" s="32">
        <v>8</v>
      </c>
      <c r="J87" s="33">
        <v>1.4275517487508901E-3</v>
      </c>
      <c r="K87" s="32">
        <v>6</v>
      </c>
      <c r="L87" s="33">
        <v>1.020581731587E-3</v>
      </c>
      <c r="M87" s="32">
        <v>5</v>
      </c>
      <c r="N87" s="33">
        <v>9.0122566690699303E-4</v>
      </c>
      <c r="O87" s="32">
        <v>3</v>
      </c>
      <c r="P87" s="33">
        <v>5.8320373250388797E-4</v>
      </c>
      <c r="Q87" s="32">
        <v>9</v>
      </c>
      <c r="R87" s="33">
        <v>1.3686131386861299E-3</v>
      </c>
      <c r="S87" s="32">
        <v>4</v>
      </c>
      <c r="T87" s="33">
        <v>5.3901091497102801E-4</v>
      </c>
      <c r="U87" s="32">
        <v>4</v>
      </c>
      <c r="V87" s="33">
        <v>6.2276194924490099E-4</v>
      </c>
      <c r="W87" s="32">
        <v>3</v>
      </c>
      <c r="X87" s="33">
        <v>4.8254785266205598E-4</v>
      </c>
      <c r="Y87" s="32">
        <v>5</v>
      </c>
      <c r="Z87" s="33">
        <v>6.7376364371378504E-4</v>
      </c>
      <c r="AA87" s="32">
        <v>2</v>
      </c>
      <c r="AB87" s="33">
        <v>2.7609055770292702E-4</v>
      </c>
      <c r="AC87" s="32">
        <v>4</v>
      </c>
      <c r="AD87" s="33">
        <v>6.0698027314112302E-4</v>
      </c>
      <c r="AE87" s="32">
        <v>3</v>
      </c>
      <c r="AF87" s="33">
        <v>4.7923322683706099E-4</v>
      </c>
      <c r="AG87" s="32">
        <v>3</v>
      </c>
      <c r="AH87" s="33">
        <v>4.26015336552116E-4</v>
      </c>
      <c r="AI87" s="32">
        <v>3</v>
      </c>
      <c r="AJ87" s="33">
        <v>4.0600893219650799E-4</v>
      </c>
      <c r="AK87" s="32" t="s">
        <v>148</v>
      </c>
      <c r="AL87" s="33"/>
      <c r="AM87" s="32">
        <v>3</v>
      </c>
      <c r="AN87" s="33">
        <v>4.5461433550537998E-4</v>
      </c>
      <c r="AO87" s="32">
        <v>3</v>
      </c>
      <c r="AP87" s="33">
        <v>4.2547156431711801E-4</v>
      </c>
      <c r="AQ87" s="32">
        <v>3</v>
      </c>
      <c r="AR87" s="33">
        <v>4.2164441321152499E-4</v>
      </c>
      <c r="AS87" s="32" t="s">
        <v>148</v>
      </c>
      <c r="AT87" s="33"/>
      <c r="AU87" s="32" t="s">
        <v>148</v>
      </c>
      <c r="AV87" s="33"/>
      <c r="AW87" s="32" t="s">
        <v>148</v>
      </c>
      <c r="AX87" s="33"/>
      <c r="AY87" s="32" t="s">
        <v>148</v>
      </c>
      <c r="AZ87" s="33"/>
    </row>
    <row r="88" spans="1:52" x14ac:dyDescent="0.25">
      <c r="A88" s="10" t="s">
        <v>1847</v>
      </c>
      <c r="B88" s="10"/>
      <c r="C88" s="32">
        <v>29</v>
      </c>
      <c r="D88" s="33">
        <v>5.00431406384815E-3</v>
      </c>
      <c r="E88" s="32">
        <v>22</v>
      </c>
      <c r="F88" s="33">
        <v>4.1658776746828297E-3</v>
      </c>
      <c r="G88" s="32">
        <v>4</v>
      </c>
      <c r="H88" s="33">
        <v>7.0360598065083598E-4</v>
      </c>
      <c r="I88" s="32">
        <v>7</v>
      </c>
      <c r="J88" s="33">
        <v>1.2491077801570301E-3</v>
      </c>
      <c r="K88" s="32">
        <v>6</v>
      </c>
      <c r="L88" s="33">
        <v>1.020581731587E-3</v>
      </c>
      <c r="M88" s="32">
        <v>7</v>
      </c>
      <c r="N88" s="33">
        <v>1.26171593366979E-3</v>
      </c>
      <c r="O88" s="32">
        <v>3</v>
      </c>
      <c r="P88" s="33">
        <v>5.8320373250388797E-4</v>
      </c>
      <c r="Q88" s="32">
        <v>9</v>
      </c>
      <c r="R88" s="33">
        <v>1.3686131386861299E-3</v>
      </c>
      <c r="S88" s="32">
        <v>2</v>
      </c>
      <c r="T88" s="33">
        <v>2.6950545748551401E-4</v>
      </c>
      <c r="U88" s="32" t="s">
        <v>148</v>
      </c>
      <c r="V88" s="33"/>
      <c r="W88" s="32" t="s">
        <v>148</v>
      </c>
      <c r="X88" s="33"/>
      <c r="Y88" s="32" t="s">
        <v>148</v>
      </c>
      <c r="Z88" s="33"/>
      <c r="AA88" s="32" t="s">
        <v>148</v>
      </c>
      <c r="AB88" s="33"/>
      <c r="AC88" s="32" t="s">
        <v>148</v>
      </c>
      <c r="AD88" s="33"/>
      <c r="AE88" s="32" t="s">
        <v>148</v>
      </c>
      <c r="AF88" s="33"/>
      <c r="AG88" s="32" t="s">
        <v>148</v>
      </c>
      <c r="AH88" s="33"/>
      <c r="AI88" s="32" t="s">
        <v>148</v>
      </c>
      <c r="AJ88" s="33"/>
      <c r="AK88" s="32" t="s">
        <v>148</v>
      </c>
      <c r="AL88" s="33"/>
      <c r="AM88" s="32" t="s">
        <v>148</v>
      </c>
      <c r="AN88" s="33"/>
      <c r="AO88" s="32" t="s">
        <v>148</v>
      </c>
      <c r="AP88" s="33"/>
      <c r="AQ88" s="32" t="s">
        <v>148</v>
      </c>
      <c r="AR88" s="33"/>
      <c r="AS88" s="32" t="s">
        <v>148</v>
      </c>
      <c r="AT88" s="33"/>
      <c r="AU88" s="32" t="s">
        <v>148</v>
      </c>
      <c r="AV88" s="33"/>
      <c r="AW88" s="32" t="s">
        <v>148</v>
      </c>
      <c r="AX88" s="33"/>
      <c r="AY88" s="32" t="s">
        <v>148</v>
      </c>
      <c r="AZ88" s="33"/>
    </row>
    <row r="89" spans="1:52" x14ac:dyDescent="0.25">
      <c r="A89" s="10" t="s">
        <v>1815</v>
      </c>
      <c r="B89" s="10"/>
      <c r="C89" s="32">
        <v>38</v>
      </c>
      <c r="D89" s="33">
        <v>6.5573770491803296E-3</v>
      </c>
      <c r="E89" s="32">
        <v>46</v>
      </c>
      <c r="F89" s="33">
        <v>8.7104715016095395E-3</v>
      </c>
      <c r="G89" s="32">
        <v>38</v>
      </c>
      <c r="H89" s="33">
        <v>6.6842568161829402E-3</v>
      </c>
      <c r="I89" s="32">
        <v>35</v>
      </c>
      <c r="J89" s="33">
        <v>6.2455389007851497E-3</v>
      </c>
      <c r="K89" s="32">
        <v>23</v>
      </c>
      <c r="L89" s="33">
        <v>3.9122299710835197E-3</v>
      </c>
      <c r="M89" s="32">
        <v>25</v>
      </c>
      <c r="N89" s="33">
        <v>4.5061283345349699E-3</v>
      </c>
      <c r="O89" s="32">
        <v>54</v>
      </c>
      <c r="P89" s="33">
        <v>1.049766718507E-2</v>
      </c>
      <c r="Q89" s="32">
        <v>21</v>
      </c>
      <c r="R89" s="33">
        <v>3.19343065693431E-3</v>
      </c>
      <c r="S89" s="32">
        <v>37</v>
      </c>
      <c r="T89" s="33">
        <v>4.9858509634820103E-3</v>
      </c>
      <c r="U89" s="32">
        <v>20</v>
      </c>
      <c r="V89" s="33">
        <v>3.1138097462245101E-3</v>
      </c>
      <c r="W89" s="32">
        <v>17</v>
      </c>
      <c r="X89" s="33">
        <v>2.7344378317516499E-3</v>
      </c>
      <c r="Y89" s="32">
        <v>18</v>
      </c>
      <c r="Z89" s="33">
        <v>2.42554911736963E-3</v>
      </c>
      <c r="AA89" s="32">
        <v>17</v>
      </c>
      <c r="AB89" s="33">
        <v>2.34676974047488E-3</v>
      </c>
      <c r="AC89" s="32">
        <v>17</v>
      </c>
      <c r="AD89" s="33">
        <v>2.5796661608497701E-3</v>
      </c>
      <c r="AE89" s="32">
        <v>15</v>
      </c>
      <c r="AF89" s="33">
        <v>2.3961661341852999E-3</v>
      </c>
      <c r="AG89" s="32">
        <v>15</v>
      </c>
      <c r="AH89" s="33">
        <v>2.1300766827605801E-3</v>
      </c>
      <c r="AI89" s="32">
        <v>14</v>
      </c>
      <c r="AJ89" s="33">
        <v>1.8947083502503701E-3</v>
      </c>
      <c r="AK89" s="32" t="s">
        <v>148</v>
      </c>
      <c r="AL89" s="33"/>
      <c r="AM89" s="32">
        <v>14</v>
      </c>
      <c r="AN89" s="33">
        <v>2.12153356569177E-3</v>
      </c>
      <c r="AO89" s="32">
        <v>12</v>
      </c>
      <c r="AP89" s="33">
        <v>1.7018862572684701E-3</v>
      </c>
      <c r="AQ89" s="32">
        <v>12</v>
      </c>
      <c r="AR89" s="33">
        <v>1.6865776528461E-3</v>
      </c>
      <c r="AS89" s="32" t="s">
        <v>148</v>
      </c>
      <c r="AT89" s="33"/>
      <c r="AU89" s="32" t="s">
        <v>148</v>
      </c>
      <c r="AV89" s="33"/>
      <c r="AW89" s="32" t="s">
        <v>148</v>
      </c>
      <c r="AX89" s="33"/>
      <c r="AY89" s="32" t="s">
        <v>148</v>
      </c>
      <c r="AZ89" s="33"/>
    </row>
    <row r="90" spans="1:52" x14ac:dyDescent="0.25">
      <c r="A90" s="10" t="s">
        <v>1848</v>
      </c>
      <c r="B90" s="10"/>
      <c r="C90" s="32">
        <v>0</v>
      </c>
      <c r="D90" s="33"/>
      <c r="E90" s="32">
        <v>1</v>
      </c>
      <c r="F90" s="33">
        <v>1.89358076121947E-4</v>
      </c>
      <c r="G90" s="32">
        <v>0</v>
      </c>
      <c r="H90" s="33"/>
      <c r="I90" s="32">
        <v>0</v>
      </c>
      <c r="J90" s="33"/>
      <c r="K90" s="32">
        <v>1</v>
      </c>
      <c r="L90" s="33">
        <v>1.70096955264501E-4</v>
      </c>
      <c r="M90" s="32">
        <v>0</v>
      </c>
      <c r="N90" s="33"/>
      <c r="O90" s="32">
        <v>1</v>
      </c>
      <c r="P90" s="33">
        <v>1.94401244167963E-4</v>
      </c>
      <c r="Q90" s="32">
        <v>0</v>
      </c>
      <c r="R90" s="33"/>
      <c r="S90" s="32">
        <v>1</v>
      </c>
      <c r="T90" s="33">
        <v>1.34752728742757E-4</v>
      </c>
      <c r="U90" s="32" t="s">
        <v>148</v>
      </c>
      <c r="V90" s="33"/>
      <c r="W90" s="32" t="s">
        <v>148</v>
      </c>
      <c r="X90" s="33"/>
      <c r="Y90" s="32" t="s">
        <v>148</v>
      </c>
      <c r="Z90" s="33"/>
      <c r="AA90" s="32" t="s">
        <v>148</v>
      </c>
      <c r="AB90" s="33"/>
      <c r="AC90" s="32" t="s">
        <v>148</v>
      </c>
      <c r="AD90" s="33"/>
      <c r="AE90" s="32" t="s">
        <v>148</v>
      </c>
      <c r="AF90" s="33"/>
      <c r="AG90" s="32" t="s">
        <v>148</v>
      </c>
      <c r="AH90" s="33"/>
      <c r="AI90" s="32" t="s">
        <v>148</v>
      </c>
      <c r="AJ90" s="33"/>
      <c r="AK90" s="32" t="s">
        <v>148</v>
      </c>
      <c r="AL90" s="33"/>
      <c r="AM90" s="32" t="s">
        <v>148</v>
      </c>
      <c r="AN90" s="33"/>
      <c r="AO90" s="32" t="s">
        <v>148</v>
      </c>
      <c r="AP90" s="33"/>
      <c r="AQ90" s="32" t="s">
        <v>148</v>
      </c>
      <c r="AR90" s="33"/>
      <c r="AS90" s="32" t="s">
        <v>148</v>
      </c>
      <c r="AT90" s="33"/>
      <c r="AU90" s="32" t="s">
        <v>148</v>
      </c>
      <c r="AV90" s="33"/>
      <c r="AW90" s="32" t="s">
        <v>148</v>
      </c>
      <c r="AX90" s="33"/>
      <c r="AY90" s="32" t="s">
        <v>148</v>
      </c>
      <c r="AZ90" s="33"/>
    </row>
    <row r="91" spans="1:52" x14ac:dyDescent="0.25">
      <c r="A91" s="10" t="s">
        <v>1800</v>
      </c>
      <c r="B91" s="10"/>
      <c r="C91" s="32" t="s">
        <v>148</v>
      </c>
      <c r="D91" s="33"/>
      <c r="E91" s="32" t="s">
        <v>148</v>
      </c>
      <c r="F91" s="33"/>
      <c r="G91" s="32" t="s">
        <v>148</v>
      </c>
      <c r="H91" s="33"/>
      <c r="I91" s="32" t="s">
        <v>148</v>
      </c>
      <c r="J91" s="33"/>
      <c r="K91" s="32" t="s">
        <v>148</v>
      </c>
      <c r="L91" s="33"/>
      <c r="M91" s="32" t="s">
        <v>148</v>
      </c>
      <c r="N91" s="33"/>
      <c r="O91" s="32" t="s">
        <v>148</v>
      </c>
      <c r="P91" s="33"/>
      <c r="Q91" s="32" t="s">
        <v>148</v>
      </c>
      <c r="R91" s="33"/>
      <c r="S91" s="32" t="s">
        <v>148</v>
      </c>
      <c r="T91" s="33"/>
      <c r="U91" s="32" t="s">
        <v>148</v>
      </c>
      <c r="V91" s="33"/>
      <c r="W91" s="32" t="s">
        <v>148</v>
      </c>
      <c r="X91" s="33"/>
      <c r="Y91" s="32" t="s">
        <v>148</v>
      </c>
      <c r="Z91" s="33"/>
      <c r="AA91" s="32" t="s">
        <v>148</v>
      </c>
      <c r="AB91" s="33"/>
      <c r="AC91" s="32" t="s">
        <v>148</v>
      </c>
      <c r="AD91" s="33"/>
      <c r="AE91" s="32" t="s">
        <v>148</v>
      </c>
      <c r="AF91" s="33"/>
      <c r="AG91" s="32" t="s">
        <v>148</v>
      </c>
      <c r="AH91" s="33"/>
      <c r="AI91" s="32" t="s">
        <v>148</v>
      </c>
      <c r="AJ91" s="33"/>
      <c r="AK91" s="32" t="s">
        <v>148</v>
      </c>
      <c r="AL91" s="33"/>
      <c r="AM91" s="32" t="s">
        <v>148</v>
      </c>
      <c r="AN91" s="33"/>
      <c r="AO91" s="32" t="s">
        <v>148</v>
      </c>
      <c r="AP91" s="33"/>
      <c r="AQ91" s="32" t="s">
        <v>148</v>
      </c>
      <c r="AR91" s="33"/>
      <c r="AS91" s="32" t="s">
        <v>148</v>
      </c>
      <c r="AT91" s="33"/>
      <c r="AU91" s="32" t="s">
        <v>148</v>
      </c>
      <c r="AV91" s="33"/>
      <c r="AW91" s="32" t="s">
        <v>148</v>
      </c>
      <c r="AX91" s="33"/>
      <c r="AY91" s="32">
        <v>33</v>
      </c>
      <c r="AZ91" s="33">
        <v>4.3598890210067402E-3</v>
      </c>
    </row>
    <row r="92" spans="1:52" x14ac:dyDescent="0.25">
      <c r="A92" s="6" t="s">
        <v>1806</v>
      </c>
      <c r="B92" s="6"/>
      <c r="C92" s="36">
        <v>5795</v>
      </c>
      <c r="D92" s="37">
        <v>1</v>
      </c>
      <c r="E92" s="36">
        <v>5281</v>
      </c>
      <c r="F92" s="37">
        <v>1</v>
      </c>
      <c r="G92" s="36">
        <v>5685</v>
      </c>
      <c r="H92" s="37">
        <v>1</v>
      </c>
      <c r="I92" s="36">
        <v>5604</v>
      </c>
      <c r="J92" s="37">
        <v>1</v>
      </c>
      <c r="K92" s="36">
        <v>5879</v>
      </c>
      <c r="L92" s="37">
        <v>1</v>
      </c>
      <c r="M92" s="36">
        <v>5548</v>
      </c>
      <c r="N92" s="37">
        <v>1</v>
      </c>
      <c r="O92" s="36">
        <v>5143</v>
      </c>
      <c r="P92" s="37">
        <v>1</v>
      </c>
      <c r="Q92" s="36">
        <v>6577</v>
      </c>
      <c r="R92" s="37">
        <v>1</v>
      </c>
      <c r="S92" s="36">
        <v>7421</v>
      </c>
      <c r="T92" s="37">
        <v>1</v>
      </c>
      <c r="U92" s="36">
        <v>6423</v>
      </c>
      <c r="V92" s="37">
        <v>1</v>
      </c>
      <c r="W92" s="36">
        <v>6217</v>
      </c>
      <c r="X92" s="37">
        <v>1</v>
      </c>
      <c r="Y92" s="36">
        <v>7421</v>
      </c>
      <c r="Z92" s="37">
        <v>1</v>
      </c>
      <c r="AA92" s="36">
        <v>7244</v>
      </c>
      <c r="AB92" s="37">
        <v>1</v>
      </c>
      <c r="AC92" s="36">
        <v>6590</v>
      </c>
      <c r="AD92" s="37">
        <v>1</v>
      </c>
      <c r="AE92" s="36">
        <v>6217</v>
      </c>
      <c r="AF92" s="37">
        <v>1</v>
      </c>
      <c r="AG92" s="36">
        <v>7042</v>
      </c>
      <c r="AH92" s="37">
        <v>1</v>
      </c>
      <c r="AI92" s="36">
        <v>7389</v>
      </c>
      <c r="AJ92" s="37">
        <v>1</v>
      </c>
      <c r="AK92" s="36">
        <v>6352</v>
      </c>
      <c r="AL92" s="37">
        <v>1</v>
      </c>
      <c r="AM92" s="36">
        <v>6599</v>
      </c>
      <c r="AN92" s="37">
        <v>1</v>
      </c>
      <c r="AO92" s="36">
        <v>7051</v>
      </c>
      <c r="AP92" s="37">
        <v>1</v>
      </c>
      <c r="AQ92" s="36">
        <v>7115</v>
      </c>
      <c r="AR92" s="37">
        <v>1</v>
      </c>
      <c r="AS92" s="36">
        <v>6686</v>
      </c>
      <c r="AT92" s="37">
        <v>1</v>
      </c>
      <c r="AU92" s="36">
        <v>6953</v>
      </c>
      <c r="AV92" s="37">
        <v>1</v>
      </c>
      <c r="AW92" s="36">
        <v>7545</v>
      </c>
      <c r="AX92" s="37">
        <v>1</v>
      </c>
      <c r="AY92" s="36">
        <v>7536</v>
      </c>
      <c r="AZ92" s="37">
        <v>1</v>
      </c>
    </row>
    <row r="93" spans="1:52" x14ac:dyDescent="0.25">
      <c r="A93" s="10" t="s">
        <v>1831</v>
      </c>
      <c r="B93" s="10"/>
      <c r="C93" s="32">
        <v>4489</v>
      </c>
      <c r="D93" s="33">
        <v>0.77463330457290802</v>
      </c>
      <c r="E93" s="32">
        <v>3818</v>
      </c>
      <c r="F93" s="33">
        <v>0.72296913463359203</v>
      </c>
      <c r="G93" s="32">
        <v>4073</v>
      </c>
      <c r="H93" s="33">
        <v>0.71644678979771304</v>
      </c>
      <c r="I93" s="32">
        <v>4219</v>
      </c>
      <c r="J93" s="33">
        <v>0.75285510349750195</v>
      </c>
      <c r="K93" s="32">
        <v>4535</v>
      </c>
      <c r="L93" s="33">
        <v>0.77138969212451103</v>
      </c>
      <c r="M93" s="32">
        <v>4006</v>
      </c>
      <c r="N93" s="33">
        <v>0.72206200432588297</v>
      </c>
      <c r="O93" s="32">
        <v>3784</v>
      </c>
      <c r="P93" s="33">
        <v>0.73575734007388705</v>
      </c>
      <c r="Q93" s="32">
        <v>5100</v>
      </c>
      <c r="R93" s="33">
        <v>0.77542952714003299</v>
      </c>
      <c r="S93" s="32">
        <v>5327</v>
      </c>
      <c r="T93" s="33">
        <v>0.71782778601266695</v>
      </c>
      <c r="U93" s="32">
        <v>4260</v>
      </c>
      <c r="V93" s="33">
        <v>0.66324147594581995</v>
      </c>
      <c r="W93" s="32">
        <v>4213</v>
      </c>
      <c r="X93" s="33">
        <v>0.67765803442174699</v>
      </c>
      <c r="Y93" s="32">
        <v>5509</v>
      </c>
      <c r="Z93" s="33">
        <v>0.74235278264384796</v>
      </c>
      <c r="AA93" s="32">
        <v>5265</v>
      </c>
      <c r="AB93" s="33">
        <v>0.72680839315295398</v>
      </c>
      <c r="AC93" s="32">
        <v>4355</v>
      </c>
      <c r="AD93" s="33">
        <v>0.66084977238239795</v>
      </c>
      <c r="AE93" s="32">
        <v>4213</v>
      </c>
      <c r="AF93" s="33">
        <v>0.67765803442174699</v>
      </c>
      <c r="AG93" s="32">
        <v>4928</v>
      </c>
      <c r="AH93" s="33">
        <v>0.69980119284294195</v>
      </c>
      <c r="AI93" s="32">
        <v>5262</v>
      </c>
      <c r="AJ93" s="33">
        <v>0.71213966707267595</v>
      </c>
      <c r="AK93" s="32">
        <v>4452</v>
      </c>
      <c r="AL93" s="33">
        <v>0.70088161209068001</v>
      </c>
      <c r="AM93" s="32">
        <v>4785</v>
      </c>
      <c r="AN93" s="33">
        <v>0.725109865131081</v>
      </c>
      <c r="AO93" s="32">
        <v>5017</v>
      </c>
      <c r="AP93" s="33">
        <v>0.71153027939299396</v>
      </c>
      <c r="AQ93" s="32">
        <v>5185</v>
      </c>
      <c r="AR93" s="33">
        <v>0.728742094167252</v>
      </c>
      <c r="AS93" s="32">
        <v>4633</v>
      </c>
      <c r="AT93" s="33">
        <v>0.69294047262937497</v>
      </c>
      <c r="AU93" s="32">
        <v>4940</v>
      </c>
      <c r="AV93" s="33">
        <v>0.71048468287070299</v>
      </c>
      <c r="AW93" s="32">
        <v>5449</v>
      </c>
      <c r="AX93" s="33">
        <v>0.722200132538105</v>
      </c>
      <c r="AY93" s="32">
        <v>5550</v>
      </c>
      <c r="AZ93" s="33">
        <v>0.736464968152866</v>
      </c>
    </row>
    <row r="94" spans="1:52" x14ac:dyDescent="0.25">
      <c r="A94" s="10" t="s">
        <v>1843</v>
      </c>
      <c r="B94" s="10"/>
      <c r="C94" s="32">
        <v>890</v>
      </c>
      <c r="D94" s="33">
        <v>0.15358067299396</v>
      </c>
      <c r="E94" s="32">
        <v>938</v>
      </c>
      <c r="F94" s="33">
        <v>0.17761787540238599</v>
      </c>
      <c r="G94" s="32">
        <v>1099</v>
      </c>
      <c r="H94" s="33">
        <v>0.193315743183817</v>
      </c>
      <c r="I94" s="32">
        <v>871</v>
      </c>
      <c r="J94" s="33">
        <v>0.15542469664525299</v>
      </c>
      <c r="K94" s="32">
        <v>903</v>
      </c>
      <c r="L94" s="33">
        <v>0.153597550603844</v>
      </c>
      <c r="M94" s="32">
        <v>975</v>
      </c>
      <c r="N94" s="33">
        <v>0.17573900504686399</v>
      </c>
      <c r="O94" s="32">
        <v>786</v>
      </c>
      <c r="P94" s="33">
        <v>0.15282908808088699</v>
      </c>
      <c r="Q94" s="32">
        <v>937</v>
      </c>
      <c r="R94" s="33">
        <v>0.142466169986316</v>
      </c>
      <c r="S94" s="32">
        <v>1437</v>
      </c>
      <c r="T94" s="33">
        <v>0.193639671203342</v>
      </c>
      <c r="U94" s="32">
        <v>1336</v>
      </c>
      <c r="V94" s="33">
        <v>0.208002491047797</v>
      </c>
      <c r="W94" s="32">
        <v>1147</v>
      </c>
      <c r="X94" s="33">
        <v>0.18449412900112599</v>
      </c>
      <c r="Y94" s="32">
        <v>1031</v>
      </c>
      <c r="Z94" s="33">
        <v>0.13893006333378299</v>
      </c>
      <c r="AA94" s="32">
        <v>1315</v>
      </c>
      <c r="AB94" s="33">
        <v>0.181529541689674</v>
      </c>
      <c r="AC94" s="32">
        <v>1202</v>
      </c>
      <c r="AD94" s="33">
        <v>0.182397572078907</v>
      </c>
      <c r="AE94" s="32">
        <v>1147</v>
      </c>
      <c r="AF94" s="33">
        <v>0.18449412900112599</v>
      </c>
      <c r="AG94" s="32">
        <v>1101</v>
      </c>
      <c r="AH94" s="33">
        <v>0.156347628514627</v>
      </c>
      <c r="AI94" s="32">
        <v>1089</v>
      </c>
      <c r="AJ94" s="33">
        <v>0.14738124238733299</v>
      </c>
      <c r="AK94" s="32">
        <v>1079</v>
      </c>
      <c r="AL94" s="33">
        <v>0.16986775818639799</v>
      </c>
      <c r="AM94" s="32">
        <v>1026</v>
      </c>
      <c r="AN94" s="33">
        <v>0.15547810274283999</v>
      </c>
      <c r="AO94" s="32">
        <v>1040</v>
      </c>
      <c r="AP94" s="33">
        <v>0.147496808963268</v>
      </c>
      <c r="AQ94" s="32">
        <v>1164</v>
      </c>
      <c r="AR94" s="33">
        <v>0.16359803232607201</v>
      </c>
      <c r="AS94" s="32">
        <v>1159</v>
      </c>
      <c r="AT94" s="33">
        <v>0.173347292850733</v>
      </c>
      <c r="AU94" s="32">
        <v>1133</v>
      </c>
      <c r="AV94" s="33">
        <v>0.16295124406730899</v>
      </c>
      <c r="AW94" s="32">
        <v>1166</v>
      </c>
      <c r="AX94" s="33">
        <v>0.15453943008615001</v>
      </c>
      <c r="AY94" s="32">
        <v>1160</v>
      </c>
      <c r="AZ94" s="33">
        <v>0.153927813163482</v>
      </c>
    </row>
    <row r="95" spans="1:52" x14ac:dyDescent="0.25">
      <c r="A95" s="10" t="s">
        <v>1849</v>
      </c>
      <c r="B95" s="10"/>
      <c r="C95" s="32">
        <v>416</v>
      </c>
      <c r="D95" s="33">
        <v>7.1786022433131993E-2</v>
      </c>
      <c r="E95" s="32">
        <v>525</v>
      </c>
      <c r="F95" s="33">
        <v>9.9412989964021994E-2</v>
      </c>
      <c r="G95" s="32">
        <v>513</v>
      </c>
      <c r="H95" s="33">
        <v>9.02374670184697E-2</v>
      </c>
      <c r="I95" s="32">
        <v>514</v>
      </c>
      <c r="J95" s="33">
        <v>9.1720199857244805E-2</v>
      </c>
      <c r="K95" s="32">
        <v>441</v>
      </c>
      <c r="L95" s="33">
        <v>7.5012757271644803E-2</v>
      </c>
      <c r="M95" s="32">
        <v>567</v>
      </c>
      <c r="N95" s="33">
        <v>0.102198990627253</v>
      </c>
      <c r="O95" s="32">
        <v>573</v>
      </c>
      <c r="P95" s="33">
        <v>0.111413571845227</v>
      </c>
      <c r="Q95" s="32">
        <v>540</v>
      </c>
      <c r="R95" s="33">
        <v>8.21043028736506E-2</v>
      </c>
      <c r="S95" s="32">
        <v>657</v>
      </c>
      <c r="T95" s="33">
        <v>8.8532542783991405E-2</v>
      </c>
      <c r="U95" s="32">
        <v>827</v>
      </c>
      <c r="V95" s="33">
        <v>0.128756033006383</v>
      </c>
      <c r="W95" s="32">
        <v>792</v>
      </c>
      <c r="X95" s="33">
        <v>0.12739263310278301</v>
      </c>
      <c r="Y95" s="32">
        <v>881</v>
      </c>
      <c r="Z95" s="33">
        <v>0.118717154022369</v>
      </c>
      <c r="AA95" s="32">
        <v>664</v>
      </c>
      <c r="AB95" s="33">
        <v>9.1662065157371603E-2</v>
      </c>
      <c r="AC95" s="32">
        <v>1033</v>
      </c>
      <c r="AD95" s="33">
        <v>0.156752655538695</v>
      </c>
      <c r="AE95" s="32">
        <v>792</v>
      </c>
      <c r="AF95" s="33">
        <v>0.12739263310278301</v>
      </c>
      <c r="AG95" s="32">
        <v>1013</v>
      </c>
      <c r="AH95" s="33">
        <v>0.14385117864243099</v>
      </c>
      <c r="AI95" s="32">
        <v>1038</v>
      </c>
      <c r="AJ95" s="33">
        <v>0.140479090539992</v>
      </c>
      <c r="AK95" s="32">
        <v>821</v>
      </c>
      <c r="AL95" s="33">
        <v>0.12925062972292201</v>
      </c>
      <c r="AM95" s="32">
        <v>788</v>
      </c>
      <c r="AN95" s="33">
        <v>0.11941203212607999</v>
      </c>
      <c r="AO95" s="32">
        <v>994</v>
      </c>
      <c r="AP95" s="33">
        <v>0.14097291164373801</v>
      </c>
      <c r="AQ95" s="32">
        <v>766</v>
      </c>
      <c r="AR95" s="33">
        <v>0.107659873506676</v>
      </c>
      <c r="AS95" s="32">
        <v>894</v>
      </c>
      <c r="AT95" s="33">
        <v>0.133712234519892</v>
      </c>
      <c r="AU95" s="32">
        <v>880</v>
      </c>
      <c r="AV95" s="33">
        <v>0.126564073061988</v>
      </c>
      <c r="AW95" s="32">
        <v>930</v>
      </c>
      <c r="AX95" s="33">
        <v>0.123260437375746</v>
      </c>
      <c r="AY95" s="32">
        <v>826</v>
      </c>
      <c r="AZ95" s="33">
        <v>0.109607218683652</v>
      </c>
    </row>
    <row r="96" spans="1:52" x14ac:dyDescent="0.25">
      <c r="A96" s="10" t="s">
        <v>1800</v>
      </c>
      <c r="B96" s="10"/>
      <c r="C96" s="32" t="s">
        <v>148</v>
      </c>
      <c r="D96" s="33"/>
      <c r="E96" s="32" t="s">
        <v>148</v>
      </c>
      <c r="F96" s="33"/>
      <c r="G96" s="32" t="s">
        <v>148</v>
      </c>
      <c r="H96" s="33"/>
      <c r="I96" s="32" t="s">
        <v>148</v>
      </c>
      <c r="J96" s="33"/>
      <c r="K96" s="32" t="s">
        <v>148</v>
      </c>
      <c r="L96" s="33"/>
      <c r="M96" s="32" t="s">
        <v>148</v>
      </c>
      <c r="N96" s="33"/>
      <c r="O96" s="32" t="s">
        <v>148</v>
      </c>
      <c r="P96" s="33"/>
      <c r="Q96" s="32" t="s">
        <v>148</v>
      </c>
      <c r="R96" s="33"/>
      <c r="S96" s="32" t="s">
        <v>148</v>
      </c>
      <c r="T96" s="33"/>
      <c r="U96" s="32" t="s">
        <v>148</v>
      </c>
      <c r="V96" s="33"/>
      <c r="W96" s="32">
        <v>65</v>
      </c>
      <c r="X96" s="33">
        <v>1.0455203474344499E-2</v>
      </c>
      <c r="Y96" s="32" t="s">
        <v>148</v>
      </c>
      <c r="Z96" s="33"/>
      <c r="AA96" s="32" t="s">
        <v>148</v>
      </c>
      <c r="AB96" s="33"/>
      <c r="AC96" s="32" t="s">
        <v>148</v>
      </c>
      <c r="AD96" s="33"/>
      <c r="AE96" s="32">
        <v>65</v>
      </c>
      <c r="AF96" s="33">
        <v>1.0455203474344499E-2</v>
      </c>
      <c r="AG96" s="32" t="s">
        <v>148</v>
      </c>
      <c r="AH96" s="33"/>
      <c r="AI96" s="32" t="s">
        <v>148</v>
      </c>
      <c r="AJ96" s="33"/>
      <c r="AK96" s="32" t="s">
        <v>148</v>
      </c>
      <c r="AL96" s="33"/>
      <c r="AM96" s="32" t="s">
        <v>148</v>
      </c>
      <c r="AN96" s="33"/>
      <c r="AO96" s="32" t="s">
        <v>148</v>
      </c>
      <c r="AP96" s="33"/>
      <c r="AQ96" s="32" t="s">
        <v>148</v>
      </c>
      <c r="AR96" s="33"/>
      <c r="AS96" s="32" t="s">
        <v>148</v>
      </c>
      <c r="AT96" s="33"/>
      <c r="AU96" s="32" t="s">
        <v>148</v>
      </c>
      <c r="AV96" s="33"/>
      <c r="AW96" s="32" t="s">
        <v>148</v>
      </c>
      <c r="AX96" s="33"/>
      <c r="AY96" s="32" t="s">
        <v>148</v>
      </c>
      <c r="AZ96" s="33"/>
    </row>
    <row r="97" spans="1:52" x14ac:dyDescent="0.25">
      <c r="A97" s="6" t="s">
        <v>1854</v>
      </c>
      <c r="B97" s="6"/>
      <c r="C97" s="36">
        <v>3820</v>
      </c>
      <c r="D97" s="37">
        <v>1</v>
      </c>
      <c r="E97" s="36" t="s">
        <v>148</v>
      </c>
      <c r="F97" s="37"/>
      <c r="G97" s="36" t="s">
        <v>148</v>
      </c>
      <c r="H97" s="37"/>
      <c r="I97" s="36" t="s">
        <v>148</v>
      </c>
      <c r="J97" s="37"/>
      <c r="K97" s="36">
        <v>4291</v>
      </c>
      <c r="L97" s="37">
        <v>1</v>
      </c>
      <c r="M97" s="36" t="s">
        <v>148</v>
      </c>
      <c r="N97" s="37"/>
      <c r="O97" s="36" t="s">
        <v>148</v>
      </c>
      <c r="P97" s="37"/>
      <c r="Q97" s="36" t="s">
        <v>148</v>
      </c>
      <c r="R97" s="37"/>
      <c r="S97" s="36">
        <v>4697</v>
      </c>
      <c r="T97" s="37">
        <v>1</v>
      </c>
      <c r="U97" s="36" t="s">
        <v>148</v>
      </c>
      <c r="V97" s="37"/>
      <c r="W97" s="36" t="s">
        <v>148</v>
      </c>
      <c r="X97" s="37"/>
      <c r="Y97" s="36" t="s">
        <v>148</v>
      </c>
      <c r="Z97" s="37"/>
      <c r="AA97" s="36">
        <v>5063</v>
      </c>
      <c r="AB97" s="37">
        <v>1</v>
      </c>
      <c r="AC97" s="36" t="s">
        <v>148</v>
      </c>
      <c r="AD97" s="37"/>
      <c r="AE97" s="36" t="s">
        <v>148</v>
      </c>
      <c r="AF97" s="37"/>
      <c r="AG97" s="36" t="s">
        <v>148</v>
      </c>
      <c r="AH97" s="37"/>
      <c r="AI97" s="36">
        <v>5473</v>
      </c>
      <c r="AJ97" s="37">
        <v>1</v>
      </c>
      <c r="AK97" s="36" t="s">
        <v>148</v>
      </c>
      <c r="AL97" s="37"/>
      <c r="AM97" s="36" t="s">
        <v>148</v>
      </c>
      <c r="AN97" s="37"/>
      <c r="AO97" s="36" t="s">
        <v>148</v>
      </c>
      <c r="AP97" s="37"/>
      <c r="AQ97" s="36">
        <v>5317</v>
      </c>
      <c r="AR97" s="37">
        <v>1</v>
      </c>
      <c r="AS97" s="36" t="s">
        <v>148</v>
      </c>
      <c r="AT97" s="37"/>
      <c r="AU97" s="36" t="s">
        <v>148</v>
      </c>
      <c r="AV97" s="37"/>
      <c r="AW97" s="36" t="s">
        <v>148</v>
      </c>
      <c r="AX97" s="37"/>
      <c r="AY97" s="36">
        <v>5414</v>
      </c>
      <c r="AZ97" s="37">
        <v>1</v>
      </c>
    </row>
    <row r="98" spans="1:52" x14ac:dyDescent="0.25">
      <c r="A98" s="10" t="s">
        <v>1831</v>
      </c>
      <c r="B98" s="10"/>
      <c r="C98" s="32">
        <v>3200</v>
      </c>
      <c r="D98" s="33">
        <v>0.83769633507853403</v>
      </c>
      <c r="E98" s="32" t="s">
        <v>148</v>
      </c>
      <c r="F98" s="33"/>
      <c r="G98" s="32" t="s">
        <v>148</v>
      </c>
      <c r="H98" s="33"/>
      <c r="I98" s="32" t="s">
        <v>148</v>
      </c>
      <c r="J98" s="33"/>
      <c r="K98" s="32">
        <v>3500</v>
      </c>
      <c r="L98" s="33">
        <v>0.81566068515497603</v>
      </c>
      <c r="M98" s="32" t="s">
        <v>148</v>
      </c>
      <c r="N98" s="33"/>
      <c r="O98" s="32" t="s">
        <v>148</v>
      </c>
      <c r="P98" s="33"/>
      <c r="Q98" s="32" t="s">
        <v>148</v>
      </c>
      <c r="R98" s="33"/>
      <c r="S98" s="32">
        <v>3800</v>
      </c>
      <c r="T98" s="33">
        <v>0.80902703853523505</v>
      </c>
      <c r="U98" s="32" t="s">
        <v>148</v>
      </c>
      <c r="V98" s="33"/>
      <c r="W98" s="32" t="s">
        <v>148</v>
      </c>
      <c r="X98" s="33"/>
      <c r="Y98" s="32" t="s">
        <v>148</v>
      </c>
      <c r="Z98" s="33"/>
      <c r="AA98" s="32">
        <v>4100</v>
      </c>
      <c r="AB98" s="33">
        <v>0.80979656330239003</v>
      </c>
      <c r="AC98" s="32" t="s">
        <v>148</v>
      </c>
      <c r="AD98" s="33"/>
      <c r="AE98" s="32" t="s">
        <v>148</v>
      </c>
      <c r="AF98" s="33"/>
      <c r="AG98" s="32" t="s">
        <v>148</v>
      </c>
      <c r="AH98" s="33"/>
      <c r="AI98" s="32">
        <v>4500</v>
      </c>
      <c r="AJ98" s="33">
        <v>0.82221816188562002</v>
      </c>
      <c r="AK98" s="32" t="s">
        <v>148</v>
      </c>
      <c r="AL98" s="33"/>
      <c r="AM98" s="32" t="s">
        <v>148</v>
      </c>
      <c r="AN98" s="33"/>
      <c r="AO98" s="32" t="s">
        <v>148</v>
      </c>
      <c r="AP98" s="33"/>
      <c r="AQ98" s="32">
        <v>4691</v>
      </c>
      <c r="AR98" s="33">
        <v>0.88226443483167205</v>
      </c>
      <c r="AS98" s="32" t="s">
        <v>148</v>
      </c>
      <c r="AT98" s="33"/>
      <c r="AU98" s="32" t="s">
        <v>148</v>
      </c>
      <c r="AV98" s="33"/>
      <c r="AW98" s="32" t="s">
        <v>148</v>
      </c>
      <c r="AX98" s="33"/>
      <c r="AY98" s="32">
        <v>4787</v>
      </c>
      <c r="AZ98" s="33">
        <v>0.88418913926856302</v>
      </c>
    </row>
    <row r="99" spans="1:52" x14ac:dyDescent="0.25">
      <c r="A99" s="10" t="s">
        <v>1849</v>
      </c>
      <c r="B99" s="10"/>
      <c r="C99" s="32">
        <v>620</v>
      </c>
      <c r="D99" s="33">
        <v>0.162303664921466</v>
      </c>
      <c r="E99" s="32" t="s">
        <v>148</v>
      </c>
      <c r="F99" s="33"/>
      <c r="G99" s="32" t="s">
        <v>148</v>
      </c>
      <c r="H99" s="33"/>
      <c r="I99" s="32" t="s">
        <v>148</v>
      </c>
      <c r="J99" s="33"/>
      <c r="K99" s="32">
        <v>791</v>
      </c>
      <c r="L99" s="33">
        <v>0.184339314845024</v>
      </c>
      <c r="M99" s="32" t="s">
        <v>148</v>
      </c>
      <c r="N99" s="33"/>
      <c r="O99" s="32" t="s">
        <v>148</v>
      </c>
      <c r="P99" s="33"/>
      <c r="Q99" s="32" t="s">
        <v>148</v>
      </c>
      <c r="R99" s="33"/>
      <c r="S99" s="32">
        <v>897</v>
      </c>
      <c r="T99" s="33">
        <v>0.190972961464765</v>
      </c>
      <c r="U99" s="32" t="s">
        <v>148</v>
      </c>
      <c r="V99" s="33"/>
      <c r="W99" s="32" t="s">
        <v>148</v>
      </c>
      <c r="X99" s="33"/>
      <c r="Y99" s="32" t="s">
        <v>148</v>
      </c>
      <c r="Z99" s="33"/>
      <c r="AA99" s="32">
        <v>963</v>
      </c>
      <c r="AB99" s="33">
        <v>0.19020343669761</v>
      </c>
      <c r="AC99" s="32" t="s">
        <v>148</v>
      </c>
      <c r="AD99" s="33"/>
      <c r="AE99" s="32" t="s">
        <v>148</v>
      </c>
      <c r="AF99" s="33"/>
      <c r="AG99" s="32" t="s">
        <v>148</v>
      </c>
      <c r="AH99" s="33"/>
      <c r="AI99" s="32">
        <v>973</v>
      </c>
      <c r="AJ99" s="33">
        <v>0.17778183811438</v>
      </c>
      <c r="AK99" s="32" t="s">
        <v>148</v>
      </c>
      <c r="AL99" s="33"/>
      <c r="AM99" s="32" t="s">
        <v>148</v>
      </c>
      <c r="AN99" s="33"/>
      <c r="AO99" s="32" t="s">
        <v>148</v>
      </c>
      <c r="AP99" s="33"/>
      <c r="AQ99" s="32">
        <v>626</v>
      </c>
      <c r="AR99" s="33">
        <v>0.117735565168328</v>
      </c>
      <c r="AS99" s="32" t="s">
        <v>148</v>
      </c>
      <c r="AT99" s="33"/>
      <c r="AU99" s="32" t="s">
        <v>148</v>
      </c>
      <c r="AV99" s="33"/>
      <c r="AW99" s="32" t="s">
        <v>148</v>
      </c>
      <c r="AX99" s="33"/>
      <c r="AY99" s="32">
        <v>627</v>
      </c>
      <c r="AZ99" s="33">
        <v>0.115810860731437</v>
      </c>
    </row>
    <row r="100" spans="1:52" x14ac:dyDescent="0.25">
      <c r="A100" s="7" t="s">
        <v>90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05"/>
  <sheetViews>
    <sheetView workbookViewId="0">
      <selection activeCell="M18" sqref="M18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1855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 spans="1:27" x14ac:dyDescent="0.25">
      <c r="A5" s="9" t="s">
        <v>34</v>
      </c>
      <c r="B5" s="9"/>
      <c r="C5" s="5" t="s">
        <v>95</v>
      </c>
      <c r="D5" s="5" t="s">
        <v>96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</row>
    <row r="6" spans="1:27" x14ac:dyDescent="0.25">
      <c r="A6" s="6" t="s">
        <v>1856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1857</v>
      </c>
      <c r="B7" s="10"/>
      <c r="C7" s="13">
        <v>114</v>
      </c>
      <c r="D7" s="13">
        <v>81</v>
      </c>
      <c r="E7" s="13">
        <v>78</v>
      </c>
      <c r="F7" s="13">
        <v>88</v>
      </c>
      <c r="G7" s="13">
        <v>83</v>
      </c>
      <c r="H7" s="13">
        <v>81</v>
      </c>
      <c r="I7" s="13">
        <v>76</v>
      </c>
      <c r="J7" s="13">
        <v>84</v>
      </c>
      <c r="K7" s="13">
        <v>93</v>
      </c>
      <c r="L7" s="13">
        <v>83</v>
      </c>
      <c r="M7" s="13">
        <v>65</v>
      </c>
      <c r="N7" s="13">
        <v>65</v>
      </c>
      <c r="O7" s="13">
        <v>84</v>
      </c>
      <c r="P7" s="13">
        <v>56</v>
      </c>
      <c r="Q7" s="13">
        <v>65</v>
      </c>
      <c r="R7" s="13">
        <v>64</v>
      </c>
      <c r="S7" s="13">
        <v>56</v>
      </c>
      <c r="T7" s="13">
        <v>46</v>
      </c>
      <c r="U7" s="13">
        <v>35</v>
      </c>
      <c r="V7" s="13">
        <v>57</v>
      </c>
      <c r="W7" s="13">
        <v>45</v>
      </c>
      <c r="X7" s="13">
        <v>39</v>
      </c>
      <c r="Y7" s="13" t="s">
        <v>148</v>
      </c>
      <c r="Z7" s="13" t="s">
        <v>148</v>
      </c>
      <c r="AA7" s="13">
        <v>33</v>
      </c>
    </row>
    <row r="8" spans="1:27" x14ac:dyDescent="0.25">
      <c r="A8" s="10" t="s">
        <v>1858</v>
      </c>
      <c r="B8" s="10"/>
      <c r="C8" s="13">
        <v>114</v>
      </c>
      <c r="D8" s="13">
        <v>81</v>
      </c>
      <c r="E8" s="13">
        <v>78</v>
      </c>
      <c r="F8" s="13">
        <v>88</v>
      </c>
      <c r="G8" s="13">
        <v>98</v>
      </c>
      <c r="H8" s="13">
        <v>81</v>
      </c>
      <c r="I8" s="13">
        <v>76</v>
      </c>
      <c r="J8" s="13">
        <v>84</v>
      </c>
      <c r="K8" s="13">
        <v>100</v>
      </c>
      <c r="L8" s="13">
        <v>83</v>
      </c>
      <c r="M8" s="13">
        <v>65</v>
      </c>
      <c r="N8" s="13">
        <v>65</v>
      </c>
      <c r="O8" s="13">
        <v>86</v>
      </c>
      <c r="P8" s="13">
        <v>56</v>
      </c>
      <c r="Q8" s="13">
        <v>65</v>
      </c>
      <c r="R8" s="13">
        <v>64</v>
      </c>
      <c r="S8" s="13">
        <v>56</v>
      </c>
      <c r="T8" s="13">
        <v>46</v>
      </c>
      <c r="U8" s="13">
        <v>35</v>
      </c>
      <c r="V8" s="13">
        <v>57</v>
      </c>
      <c r="W8" s="13">
        <v>45</v>
      </c>
      <c r="X8" s="13">
        <v>39</v>
      </c>
      <c r="Y8" s="13">
        <v>41</v>
      </c>
      <c r="Z8" s="13">
        <v>30</v>
      </c>
      <c r="AA8" s="13">
        <v>33</v>
      </c>
    </row>
    <row r="9" spans="1:27" x14ac:dyDescent="0.25">
      <c r="A9" s="10" t="s">
        <v>1859</v>
      </c>
      <c r="B9" s="10"/>
      <c r="C9" s="14" t="s">
        <v>148</v>
      </c>
      <c r="D9" s="14" t="s">
        <v>148</v>
      </c>
      <c r="E9" s="14" t="s">
        <v>148</v>
      </c>
      <c r="F9" s="14" t="s">
        <v>148</v>
      </c>
      <c r="G9" s="14" t="s">
        <v>148</v>
      </c>
      <c r="H9" s="14" t="s">
        <v>148</v>
      </c>
      <c r="I9" s="14" t="s">
        <v>148</v>
      </c>
      <c r="J9" s="14" t="s">
        <v>148</v>
      </c>
      <c r="K9" s="14" t="s">
        <v>148</v>
      </c>
      <c r="L9" s="14" t="s">
        <v>148</v>
      </c>
      <c r="M9" s="14" t="s">
        <v>148</v>
      </c>
      <c r="N9" s="14" t="s">
        <v>148</v>
      </c>
      <c r="O9" s="14" t="s">
        <v>148</v>
      </c>
      <c r="P9" s="14" t="s">
        <v>148</v>
      </c>
      <c r="Q9" s="14" t="s">
        <v>148</v>
      </c>
      <c r="R9" s="14" t="s">
        <v>148</v>
      </c>
      <c r="S9" s="14" t="s">
        <v>148</v>
      </c>
      <c r="T9" s="14">
        <v>-18</v>
      </c>
      <c r="U9" s="14" t="s">
        <v>148</v>
      </c>
      <c r="V9" s="14" t="s">
        <v>148</v>
      </c>
      <c r="W9" s="14" t="s">
        <v>148</v>
      </c>
      <c r="X9" s="14">
        <v>5</v>
      </c>
      <c r="Y9" s="14">
        <v>18</v>
      </c>
      <c r="Z9" s="14">
        <v>-46</v>
      </c>
      <c r="AA9" s="14" t="s">
        <v>148</v>
      </c>
    </row>
    <row r="10" spans="1:27" x14ac:dyDescent="0.25">
      <c r="A10" s="6" t="s">
        <v>1860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x14ac:dyDescent="0.25">
      <c r="A11" s="10" t="s">
        <v>1857</v>
      </c>
      <c r="B11" s="10"/>
      <c r="C11" s="13">
        <v>77</v>
      </c>
      <c r="D11" s="13" t="s">
        <v>148</v>
      </c>
      <c r="E11" s="13" t="s">
        <v>148</v>
      </c>
      <c r="F11" s="13" t="s">
        <v>148</v>
      </c>
      <c r="G11" s="13">
        <v>0</v>
      </c>
      <c r="H11" s="13">
        <v>0</v>
      </c>
      <c r="I11" s="13">
        <v>0</v>
      </c>
      <c r="J11" s="13">
        <v>873</v>
      </c>
      <c r="K11" s="13">
        <v>1938</v>
      </c>
      <c r="L11" s="13">
        <v>1456</v>
      </c>
      <c r="M11" s="13">
        <v>829</v>
      </c>
      <c r="N11" s="13">
        <v>1923</v>
      </c>
      <c r="O11" s="13">
        <v>1357</v>
      </c>
      <c r="P11" s="13">
        <v>1535</v>
      </c>
      <c r="Q11" s="13">
        <v>829</v>
      </c>
      <c r="R11" s="13">
        <v>925</v>
      </c>
      <c r="S11" s="13">
        <v>1000</v>
      </c>
      <c r="T11" s="13">
        <v>573</v>
      </c>
      <c r="U11" s="13">
        <v>256</v>
      </c>
      <c r="V11" s="13">
        <v>636</v>
      </c>
      <c r="W11" s="13">
        <v>720</v>
      </c>
      <c r="X11" s="13">
        <v>555</v>
      </c>
      <c r="Y11" s="13">
        <v>214</v>
      </c>
      <c r="Z11" s="13">
        <v>692</v>
      </c>
      <c r="AA11" s="13">
        <v>337</v>
      </c>
    </row>
    <row r="12" spans="1:27" x14ac:dyDescent="0.25">
      <c r="A12" s="10" t="s">
        <v>1859</v>
      </c>
      <c r="B12" s="10"/>
      <c r="C12" s="14" t="s">
        <v>148</v>
      </c>
      <c r="D12" s="14" t="s">
        <v>148</v>
      </c>
      <c r="E12" s="14" t="s">
        <v>148</v>
      </c>
      <c r="F12" s="14" t="s">
        <v>148</v>
      </c>
      <c r="G12" s="14" t="s">
        <v>148</v>
      </c>
      <c r="H12" s="14" t="s">
        <v>148</v>
      </c>
      <c r="I12" s="14" t="s">
        <v>148</v>
      </c>
      <c r="J12" s="14" t="s">
        <v>148</v>
      </c>
      <c r="K12" s="14" t="s">
        <v>148</v>
      </c>
      <c r="L12" s="14" t="s">
        <v>148</v>
      </c>
      <c r="M12" s="14" t="s">
        <v>148</v>
      </c>
      <c r="N12" s="14" t="s">
        <v>148</v>
      </c>
      <c r="O12" s="14" t="s">
        <v>148</v>
      </c>
      <c r="P12" s="14">
        <v>5</v>
      </c>
      <c r="Q12" s="14">
        <v>-46</v>
      </c>
      <c r="R12" s="14">
        <v>-52</v>
      </c>
      <c r="S12" s="14" t="s">
        <v>148</v>
      </c>
      <c r="T12" s="14">
        <v>-63</v>
      </c>
      <c r="U12" s="14" t="s">
        <v>148</v>
      </c>
      <c r="V12" s="14">
        <v>-31</v>
      </c>
      <c r="W12" s="14">
        <v>-28</v>
      </c>
      <c r="X12" s="14">
        <v>-3</v>
      </c>
      <c r="Y12" s="14">
        <v>-16</v>
      </c>
      <c r="Z12" s="14">
        <v>9</v>
      </c>
      <c r="AA12" s="14">
        <v>-53</v>
      </c>
    </row>
    <row r="13" spans="1:27" x14ac:dyDescent="0.25">
      <c r="A13" s="6" t="s">
        <v>1861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x14ac:dyDescent="0.25">
      <c r="A14" s="10" t="s">
        <v>1857</v>
      </c>
      <c r="B14" s="10"/>
      <c r="C14" s="13">
        <v>4065</v>
      </c>
      <c r="D14" s="13">
        <v>3618</v>
      </c>
      <c r="E14" s="13">
        <v>4041</v>
      </c>
      <c r="F14" s="13">
        <v>4202</v>
      </c>
      <c r="G14" s="13">
        <v>4577</v>
      </c>
      <c r="H14" s="13">
        <v>4134</v>
      </c>
      <c r="I14" s="13">
        <v>4000</v>
      </c>
      <c r="J14" s="13">
        <v>4547</v>
      </c>
      <c r="K14" s="13">
        <v>4219</v>
      </c>
      <c r="L14" s="13">
        <v>3650</v>
      </c>
      <c r="M14" s="13">
        <v>3938</v>
      </c>
      <c r="N14" s="13">
        <v>4189</v>
      </c>
      <c r="O14" s="13">
        <v>4538</v>
      </c>
      <c r="P14" s="13">
        <v>3707</v>
      </c>
      <c r="Q14" s="13">
        <v>3938</v>
      </c>
      <c r="R14" s="13">
        <v>4487</v>
      </c>
      <c r="S14" s="13">
        <v>4773</v>
      </c>
      <c r="T14" s="13">
        <v>4189</v>
      </c>
      <c r="U14" s="13">
        <v>4626</v>
      </c>
      <c r="V14" s="13">
        <v>4667</v>
      </c>
      <c r="W14" s="13">
        <v>4693</v>
      </c>
      <c r="X14" s="13">
        <v>4342</v>
      </c>
      <c r="Y14" s="13">
        <v>4745</v>
      </c>
      <c r="Z14" s="13">
        <v>5073</v>
      </c>
      <c r="AA14" s="13">
        <v>5451</v>
      </c>
    </row>
    <row r="15" spans="1:27" x14ac:dyDescent="0.25">
      <c r="A15" s="10" t="s">
        <v>1859</v>
      </c>
      <c r="B15" s="10"/>
      <c r="C15" s="14" t="s">
        <v>148</v>
      </c>
      <c r="D15" s="14" t="s">
        <v>148</v>
      </c>
      <c r="E15" s="14" t="s">
        <v>148</v>
      </c>
      <c r="F15" s="14" t="s">
        <v>148</v>
      </c>
      <c r="G15" s="14" t="s">
        <v>148</v>
      </c>
      <c r="H15" s="14" t="s">
        <v>148</v>
      </c>
      <c r="I15" s="14" t="s">
        <v>148</v>
      </c>
      <c r="J15" s="14" t="s">
        <v>148</v>
      </c>
      <c r="K15" s="14" t="s">
        <v>148</v>
      </c>
      <c r="L15" s="14" t="s">
        <v>148</v>
      </c>
      <c r="M15" s="14" t="s">
        <v>148</v>
      </c>
      <c r="N15" s="14" t="s">
        <v>148</v>
      </c>
      <c r="O15" s="14" t="s">
        <v>148</v>
      </c>
      <c r="P15" s="14" t="s">
        <v>148</v>
      </c>
      <c r="Q15" s="14" t="s">
        <v>148</v>
      </c>
      <c r="R15" s="14" t="s">
        <v>148</v>
      </c>
      <c r="S15" s="14" t="s">
        <v>148</v>
      </c>
      <c r="T15" s="14">
        <v>13</v>
      </c>
      <c r="U15" s="14" t="s">
        <v>148</v>
      </c>
      <c r="V15" s="14" t="s">
        <v>148</v>
      </c>
      <c r="W15" s="14" t="s">
        <v>148</v>
      </c>
      <c r="X15" s="14">
        <v>4</v>
      </c>
      <c r="Y15" s="14" t="s">
        <v>148</v>
      </c>
      <c r="Z15" s="14">
        <v>9</v>
      </c>
      <c r="AA15" s="14">
        <v>16</v>
      </c>
    </row>
    <row r="16" spans="1:27" x14ac:dyDescent="0.25">
      <c r="A16" s="6" t="s">
        <v>1862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x14ac:dyDescent="0.25">
      <c r="A17" s="10" t="s">
        <v>1857</v>
      </c>
      <c r="B17" s="10"/>
      <c r="C17" s="13">
        <v>773</v>
      </c>
      <c r="D17" s="13" t="s">
        <v>148</v>
      </c>
      <c r="E17" s="13" t="s">
        <v>148</v>
      </c>
      <c r="F17" s="13" t="s">
        <v>148</v>
      </c>
      <c r="G17" s="13">
        <v>291</v>
      </c>
      <c r="H17" s="13">
        <v>278</v>
      </c>
      <c r="I17" s="13">
        <v>243</v>
      </c>
      <c r="J17" s="13">
        <v>251</v>
      </c>
      <c r="K17" s="13">
        <v>240</v>
      </c>
      <c r="L17" s="13">
        <v>241</v>
      </c>
      <c r="M17" s="13">
        <v>291</v>
      </c>
      <c r="N17" s="13">
        <v>245</v>
      </c>
      <c r="O17" s="13">
        <v>250</v>
      </c>
      <c r="P17" s="13">
        <v>237</v>
      </c>
      <c r="Q17" s="13">
        <v>291</v>
      </c>
      <c r="R17" s="13">
        <v>200</v>
      </c>
      <c r="S17" s="13">
        <v>252</v>
      </c>
      <c r="T17" s="13">
        <v>199</v>
      </c>
      <c r="U17" s="13">
        <v>243</v>
      </c>
      <c r="V17" s="13">
        <v>216</v>
      </c>
      <c r="W17" s="13">
        <v>201</v>
      </c>
      <c r="X17" s="13">
        <v>224</v>
      </c>
      <c r="Y17" s="13">
        <v>280</v>
      </c>
      <c r="Z17" s="13">
        <v>201</v>
      </c>
      <c r="AA17" s="13">
        <v>185</v>
      </c>
    </row>
    <row r="18" spans="1:27" x14ac:dyDescent="0.25">
      <c r="A18" s="10" t="s">
        <v>1859</v>
      </c>
      <c r="B18" s="10"/>
      <c r="C18" s="14" t="s">
        <v>148</v>
      </c>
      <c r="D18" s="14" t="s">
        <v>148</v>
      </c>
      <c r="E18" s="14" t="s">
        <v>148</v>
      </c>
      <c r="F18" s="14" t="s">
        <v>148</v>
      </c>
      <c r="G18" s="14" t="s">
        <v>148</v>
      </c>
      <c r="H18" s="14" t="s">
        <v>148</v>
      </c>
      <c r="I18" s="14" t="s">
        <v>148</v>
      </c>
      <c r="J18" s="14" t="s">
        <v>148</v>
      </c>
      <c r="K18" s="14" t="s">
        <v>148</v>
      </c>
      <c r="L18" s="14" t="s">
        <v>148</v>
      </c>
      <c r="M18" s="14" t="s">
        <v>148</v>
      </c>
      <c r="N18" s="14" t="s">
        <v>148</v>
      </c>
      <c r="O18" s="14" t="s">
        <v>148</v>
      </c>
      <c r="P18" s="14" t="s">
        <v>148</v>
      </c>
      <c r="Q18" s="14" t="s">
        <v>148</v>
      </c>
      <c r="R18" s="14" t="s">
        <v>148</v>
      </c>
      <c r="S18" s="14" t="s">
        <v>148</v>
      </c>
      <c r="T18" s="14">
        <v>-16</v>
      </c>
      <c r="U18" s="14" t="s">
        <v>148</v>
      </c>
      <c r="V18" s="14" t="s">
        <v>148</v>
      </c>
      <c r="W18" s="14" t="s">
        <v>148</v>
      </c>
      <c r="X18" s="14">
        <v>13</v>
      </c>
      <c r="Y18" s="14">
        <v>15</v>
      </c>
      <c r="Z18" s="14">
        <v>-7</v>
      </c>
      <c r="AA18" s="14" t="s">
        <v>148</v>
      </c>
    </row>
    <row r="19" spans="1:27" x14ac:dyDescent="0.25">
      <c r="A19" s="6" t="s">
        <v>1863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x14ac:dyDescent="0.25">
      <c r="A20" s="10" t="s">
        <v>1857</v>
      </c>
      <c r="B20" s="10"/>
      <c r="C20" s="13" t="s">
        <v>148</v>
      </c>
      <c r="D20" s="13" t="s">
        <v>148</v>
      </c>
      <c r="E20" s="13" t="s">
        <v>148</v>
      </c>
      <c r="F20" s="13" t="s">
        <v>148</v>
      </c>
      <c r="G20" s="13" t="s">
        <v>148</v>
      </c>
      <c r="H20" s="13" t="s">
        <v>148</v>
      </c>
      <c r="I20" s="13" t="s">
        <v>148</v>
      </c>
      <c r="J20" s="13" t="s">
        <v>148</v>
      </c>
      <c r="K20" s="13" t="s">
        <v>148</v>
      </c>
      <c r="L20" s="13" t="s">
        <v>148</v>
      </c>
      <c r="M20" s="13" t="s">
        <v>148</v>
      </c>
      <c r="N20" s="13" t="s">
        <v>148</v>
      </c>
      <c r="O20" s="13" t="s">
        <v>148</v>
      </c>
      <c r="P20" s="13" t="s">
        <v>148</v>
      </c>
      <c r="Q20" s="13" t="s">
        <v>148</v>
      </c>
      <c r="R20" s="13" t="s">
        <v>148</v>
      </c>
      <c r="S20" s="13" t="s">
        <v>148</v>
      </c>
      <c r="T20" s="13">
        <v>670</v>
      </c>
      <c r="U20" s="13">
        <v>728</v>
      </c>
      <c r="V20" s="13">
        <v>769</v>
      </c>
      <c r="W20" s="13">
        <v>765</v>
      </c>
      <c r="X20" s="13">
        <v>789</v>
      </c>
      <c r="Y20" s="13">
        <v>841</v>
      </c>
      <c r="Z20" s="13">
        <v>816</v>
      </c>
      <c r="AA20" s="13">
        <v>843</v>
      </c>
    </row>
    <row r="21" spans="1:27" x14ac:dyDescent="0.25">
      <c r="A21" s="10" t="s">
        <v>1859</v>
      </c>
      <c r="B21" s="10"/>
      <c r="C21" s="14" t="s">
        <v>148</v>
      </c>
      <c r="D21" s="14" t="s">
        <v>148</v>
      </c>
      <c r="E21" s="14" t="s">
        <v>148</v>
      </c>
      <c r="F21" s="14" t="s">
        <v>148</v>
      </c>
      <c r="G21" s="14" t="s">
        <v>148</v>
      </c>
      <c r="H21" s="14" t="s">
        <v>148</v>
      </c>
      <c r="I21" s="14" t="s">
        <v>148</v>
      </c>
      <c r="J21" s="14" t="s">
        <v>148</v>
      </c>
      <c r="K21" s="14" t="s">
        <v>148</v>
      </c>
      <c r="L21" s="14" t="s">
        <v>148</v>
      </c>
      <c r="M21" s="14" t="s">
        <v>148</v>
      </c>
      <c r="N21" s="14" t="s">
        <v>148</v>
      </c>
      <c r="O21" s="14" t="s">
        <v>148</v>
      </c>
      <c r="P21" s="14" t="s">
        <v>148</v>
      </c>
      <c r="Q21" s="14" t="s">
        <v>148</v>
      </c>
      <c r="R21" s="14" t="s">
        <v>148</v>
      </c>
      <c r="S21" s="14" t="s">
        <v>148</v>
      </c>
      <c r="T21" s="14">
        <v>59</v>
      </c>
      <c r="U21" s="14" t="s">
        <v>148</v>
      </c>
      <c r="V21" s="14" t="s">
        <v>148</v>
      </c>
      <c r="W21" s="14" t="s">
        <v>148</v>
      </c>
      <c r="X21" s="14">
        <v>18</v>
      </c>
      <c r="Y21" s="14">
        <v>15</v>
      </c>
      <c r="Z21" s="14">
        <v>6</v>
      </c>
      <c r="AA21" s="14" t="s">
        <v>148</v>
      </c>
    </row>
    <row r="22" spans="1:27" x14ac:dyDescent="0.25">
      <c r="A22" s="6" t="s">
        <v>1864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x14ac:dyDescent="0.25">
      <c r="A23" s="10" t="s">
        <v>1857</v>
      </c>
      <c r="B23" s="10"/>
      <c r="C23" s="13" t="s">
        <v>148</v>
      </c>
      <c r="D23" s="13" t="s">
        <v>148</v>
      </c>
      <c r="E23" s="13" t="s">
        <v>148</v>
      </c>
      <c r="F23" s="13" t="s">
        <v>148</v>
      </c>
      <c r="G23" s="13" t="s">
        <v>148</v>
      </c>
      <c r="H23" s="13" t="s">
        <v>148</v>
      </c>
      <c r="I23" s="13" t="s">
        <v>148</v>
      </c>
      <c r="J23" s="13" t="s">
        <v>148</v>
      </c>
      <c r="K23" s="13" t="s">
        <v>148</v>
      </c>
      <c r="L23" s="13" t="s">
        <v>148</v>
      </c>
      <c r="M23" s="13" t="s">
        <v>148</v>
      </c>
      <c r="N23" s="13" t="s">
        <v>148</v>
      </c>
      <c r="O23" s="13" t="s">
        <v>148</v>
      </c>
      <c r="P23" s="13" t="s">
        <v>148</v>
      </c>
      <c r="Q23" s="13" t="s">
        <v>148</v>
      </c>
      <c r="R23" s="13" t="s">
        <v>148</v>
      </c>
      <c r="S23" s="13" t="s">
        <v>148</v>
      </c>
      <c r="T23" s="13">
        <v>675</v>
      </c>
      <c r="U23" s="13">
        <v>711</v>
      </c>
      <c r="V23" s="13">
        <v>706</v>
      </c>
      <c r="W23" s="13">
        <v>691</v>
      </c>
      <c r="X23" s="13">
        <v>737</v>
      </c>
      <c r="Y23" s="13">
        <v>832</v>
      </c>
      <c r="Z23" s="13">
        <v>733</v>
      </c>
      <c r="AA23" s="13">
        <v>720</v>
      </c>
    </row>
    <row r="24" spans="1:27" x14ac:dyDescent="0.25">
      <c r="A24" s="10" t="s">
        <v>1859</v>
      </c>
      <c r="B24" s="10"/>
      <c r="C24" s="14" t="s">
        <v>148</v>
      </c>
      <c r="D24" s="14" t="s">
        <v>148</v>
      </c>
      <c r="E24" s="14" t="s">
        <v>148</v>
      </c>
      <c r="F24" s="14" t="s">
        <v>148</v>
      </c>
      <c r="G24" s="14" t="s">
        <v>148</v>
      </c>
      <c r="H24" s="14" t="s">
        <v>148</v>
      </c>
      <c r="I24" s="14" t="s">
        <v>148</v>
      </c>
      <c r="J24" s="14" t="s">
        <v>148</v>
      </c>
      <c r="K24" s="14" t="s">
        <v>148</v>
      </c>
      <c r="L24" s="14" t="s">
        <v>148</v>
      </c>
      <c r="M24" s="14" t="s">
        <v>148</v>
      </c>
      <c r="N24" s="14" t="s">
        <v>148</v>
      </c>
      <c r="O24" s="14" t="s">
        <v>148</v>
      </c>
      <c r="P24" s="14" t="s">
        <v>148</v>
      </c>
      <c r="Q24" s="14" t="s">
        <v>148</v>
      </c>
      <c r="R24" s="14" t="s">
        <v>148</v>
      </c>
      <c r="S24" s="14" t="s">
        <v>148</v>
      </c>
      <c r="T24" s="14">
        <v>6</v>
      </c>
      <c r="U24" s="14" t="s">
        <v>148</v>
      </c>
      <c r="V24" s="14" t="s">
        <v>148</v>
      </c>
      <c r="W24" s="14" t="s">
        <v>148</v>
      </c>
      <c r="X24" s="14">
        <v>9</v>
      </c>
      <c r="Y24" s="14">
        <v>17</v>
      </c>
      <c r="Z24" s="14">
        <v>4</v>
      </c>
      <c r="AA24" s="14">
        <v>4</v>
      </c>
    </row>
    <row r="25" spans="1:27" x14ac:dyDescent="0.25">
      <c r="A25" s="6" t="s">
        <v>1865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 x14ac:dyDescent="0.25">
      <c r="A26" s="10" t="s">
        <v>1858</v>
      </c>
      <c r="B26" s="10"/>
      <c r="C26" s="13">
        <v>5681</v>
      </c>
      <c r="D26" s="13">
        <v>5200</v>
      </c>
      <c r="E26" s="13">
        <v>5607</v>
      </c>
      <c r="F26" s="13">
        <v>5516</v>
      </c>
      <c r="G26" s="13">
        <v>5796</v>
      </c>
      <c r="H26" s="13">
        <v>5467</v>
      </c>
      <c r="I26" s="13">
        <v>5067</v>
      </c>
      <c r="J26" s="13">
        <v>6493</v>
      </c>
      <c r="K26" s="13">
        <v>7321</v>
      </c>
      <c r="L26" s="13">
        <v>6340</v>
      </c>
      <c r="M26" s="13">
        <v>6152</v>
      </c>
      <c r="N26" s="13">
        <v>7356</v>
      </c>
      <c r="O26" s="13">
        <v>7158</v>
      </c>
      <c r="P26" s="13">
        <v>6534</v>
      </c>
      <c r="Q26" s="13">
        <v>6152</v>
      </c>
      <c r="R26" s="13">
        <v>6978</v>
      </c>
      <c r="S26" s="13">
        <v>7333</v>
      </c>
      <c r="T26" s="13">
        <v>6306</v>
      </c>
      <c r="U26" s="13">
        <v>6564</v>
      </c>
      <c r="V26" s="13">
        <v>6994</v>
      </c>
      <c r="W26" s="13">
        <v>7070</v>
      </c>
      <c r="X26" s="13">
        <v>6647</v>
      </c>
      <c r="Y26" s="13">
        <v>6912</v>
      </c>
      <c r="Z26" s="13">
        <v>7515</v>
      </c>
      <c r="AA26" s="13">
        <v>7536</v>
      </c>
    </row>
    <row r="27" spans="1:27" x14ac:dyDescent="0.25">
      <c r="A27" s="6" t="s">
        <v>1866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x14ac:dyDescent="0.25">
      <c r="A28" s="10" t="s">
        <v>1859</v>
      </c>
      <c r="B28" s="10"/>
      <c r="C28" s="14" t="s">
        <v>148</v>
      </c>
      <c r="D28" s="14" t="s">
        <v>148</v>
      </c>
      <c r="E28" s="14" t="s">
        <v>148</v>
      </c>
      <c r="F28" s="14" t="s">
        <v>148</v>
      </c>
      <c r="G28" s="14" t="s">
        <v>148</v>
      </c>
      <c r="H28" s="14" t="s">
        <v>148</v>
      </c>
      <c r="I28" s="14" t="s">
        <v>148</v>
      </c>
      <c r="J28" s="14" t="s">
        <v>148</v>
      </c>
      <c r="K28" s="14" t="s">
        <v>148</v>
      </c>
      <c r="L28" s="14" t="s">
        <v>148</v>
      </c>
      <c r="M28" s="14" t="s">
        <v>148</v>
      </c>
      <c r="N28" s="14" t="s">
        <v>148</v>
      </c>
      <c r="O28" s="14" t="s">
        <v>148</v>
      </c>
      <c r="P28" s="14">
        <v>103</v>
      </c>
      <c r="Q28" s="14">
        <v>79</v>
      </c>
      <c r="R28" s="14">
        <v>78</v>
      </c>
      <c r="S28" s="14" t="s">
        <v>148</v>
      </c>
      <c r="T28" s="14" t="s">
        <v>148</v>
      </c>
      <c r="U28" s="14" t="s">
        <v>148</v>
      </c>
      <c r="V28" s="14">
        <v>58</v>
      </c>
      <c r="W28" s="14">
        <v>53</v>
      </c>
      <c r="X28" s="14" t="s">
        <v>148</v>
      </c>
      <c r="Y28" s="14" t="s">
        <v>148</v>
      </c>
      <c r="Z28" s="14" t="s">
        <v>148</v>
      </c>
      <c r="AA28" s="14">
        <v>19</v>
      </c>
    </row>
    <row r="29" spans="1:27" x14ac:dyDescent="0.25">
      <c r="A29" s="10" t="s">
        <v>1857</v>
      </c>
      <c r="B29" s="10"/>
      <c r="C29" s="13" t="s">
        <v>148</v>
      </c>
      <c r="D29" s="13" t="s">
        <v>148</v>
      </c>
      <c r="E29" s="13" t="s">
        <v>148</v>
      </c>
      <c r="F29" s="13" t="s">
        <v>148</v>
      </c>
      <c r="G29" s="13">
        <v>0</v>
      </c>
      <c r="H29" s="13">
        <v>0</v>
      </c>
      <c r="I29" s="13">
        <v>0</v>
      </c>
      <c r="J29" s="13">
        <v>0</v>
      </c>
      <c r="K29" s="13">
        <v>49</v>
      </c>
      <c r="L29" s="13">
        <v>72</v>
      </c>
      <c r="M29" s="13">
        <v>89</v>
      </c>
      <c r="N29" s="13">
        <v>101</v>
      </c>
      <c r="O29" s="13">
        <v>118</v>
      </c>
      <c r="P29" s="13">
        <v>146</v>
      </c>
      <c r="Q29" s="13">
        <v>89</v>
      </c>
      <c r="R29" s="13">
        <v>180</v>
      </c>
      <c r="S29" s="13">
        <v>195</v>
      </c>
      <c r="T29" s="13" t="s">
        <v>148</v>
      </c>
      <c r="U29" s="13" t="s">
        <v>148</v>
      </c>
      <c r="V29" s="13" t="s">
        <v>148</v>
      </c>
      <c r="W29" s="13" t="s">
        <v>148</v>
      </c>
      <c r="X29" s="13" t="s">
        <v>148</v>
      </c>
      <c r="Y29" s="13" t="s">
        <v>148</v>
      </c>
      <c r="Z29" s="13" t="s">
        <v>148</v>
      </c>
      <c r="AA29" s="13" t="s">
        <v>148</v>
      </c>
    </row>
    <row r="30" spans="1:27" x14ac:dyDescent="0.25">
      <c r="A30" s="6" t="s">
        <v>1867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x14ac:dyDescent="0.25">
      <c r="A31" s="10" t="s">
        <v>1859</v>
      </c>
      <c r="B31" s="10"/>
      <c r="C31" s="14" t="s">
        <v>148</v>
      </c>
      <c r="D31" s="14" t="s">
        <v>148</v>
      </c>
      <c r="E31" s="14" t="s">
        <v>148</v>
      </c>
      <c r="F31" s="14" t="s">
        <v>148</v>
      </c>
      <c r="G31" s="14" t="s">
        <v>148</v>
      </c>
      <c r="H31" s="14" t="s">
        <v>148</v>
      </c>
      <c r="I31" s="14" t="s">
        <v>148</v>
      </c>
      <c r="J31" s="14" t="s">
        <v>148</v>
      </c>
      <c r="K31" s="14" t="s">
        <v>148</v>
      </c>
      <c r="L31" s="14">
        <v>36</v>
      </c>
      <c r="M31" s="14">
        <v>39</v>
      </c>
      <c r="N31" s="14">
        <v>51</v>
      </c>
      <c r="O31" s="14" t="s">
        <v>148</v>
      </c>
      <c r="P31" s="14">
        <v>43</v>
      </c>
      <c r="Q31" s="14">
        <v>68</v>
      </c>
      <c r="R31" s="14">
        <v>79</v>
      </c>
      <c r="S31" s="14" t="s">
        <v>148</v>
      </c>
      <c r="T31" s="14" t="s">
        <v>148</v>
      </c>
      <c r="U31" s="14" t="s">
        <v>148</v>
      </c>
      <c r="V31" s="14">
        <v>22</v>
      </c>
      <c r="W31" s="14">
        <v>11</v>
      </c>
      <c r="X31" s="14" t="s">
        <v>148</v>
      </c>
      <c r="Y31" s="14" t="s">
        <v>148</v>
      </c>
      <c r="Z31" s="14" t="s">
        <v>148</v>
      </c>
      <c r="AA31" s="14">
        <v>5</v>
      </c>
    </row>
    <row r="32" spans="1:27" x14ac:dyDescent="0.25">
      <c r="A32" s="10" t="s">
        <v>1857</v>
      </c>
      <c r="B32" s="10"/>
      <c r="C32" s="13">
        <v>81</v>
      </c>
      <c r="D32" s="13" t="s">
        <v>148</v>
      </c>
      <c r="E32" s="13" t="s">
        <v>148</v>
      </c>
      <c r="F32" s="13" t="s">
        <v>148</v>
      </c>
      <c r="G32" s="13">
        <v>122</v>
      </c>
      <c r="H32" s="13">
        <v>140</v>
      </c>
      <c r="I32" s="13">
        <v>157</v>
      </c>
      <c r="J32" s="13">
        <v>147</v>
      </c>
      <c r="K32" s="13">
        <v>163</v>
      </c>
      <c r="L32" s="13">
        <v>191</v>
      </c>
      <c r="M32" s="13">
        <v>219</v>
      </c>
      <c r="N32" s="13">
        <v>222</v>
      </c>
      <c r="O32" s="13">
        <v>239</v>
      </c>
      <c r="P32" s="13">
        <v>274</v>
      </c>
      <c r="Q32" s="13">
        <v>219</v>
      </c>
      <c r="R32" s="13">
        <v>398</v>
      </c>
      <c r="S32" s="13">
        <v>419</v>
      </c>
      <c r="T32" s="13" t="s">
        <v>148</v>
      </c>
      <c r="U32" s="13" t="s">
        <v>148</v>
      </c>
      <c r="V32" s="13" t="s">
        <v>148</v>
      </c>
      <c r="W32" s="13" t="s">
        <v>148</v>
      </c>
      <c r="X32" s="13" t="s">
        <v>148</v>
      </c>
      <c r="Y32" s="13" t="s">
        <v>148</v>
      </c>
      <c r="Z32" s="13" t="s">
        <v>148</v>
      </c>
      <c r="AA32" s="13" t="s">
        <v>148</v>
      </c>
    </row>
    <row r="33" spans="1:27" x14ac:dyDescent="0.25">
      <c r="A33" s="6" t="s">
        <v>1868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 x14ac:dyDescent="0.25">
      <c r="A34" s="10" t="s">
        <v>1859</v>
      </c>
      <c r="B34" s="10"/>
      <c r="C34" s="14" t="s">
        <v>148</v>
      </c>
      <c r="D34" s="14" t="s">
        <v>148</v>
      </c>
      <c r="E34" s="14" t="s">
        <v>148</v>
      </c>
      <c r="F34" s="14" t="s">
        <v>148</v>
      </c>
      <c r="G34" s="14" t="s">
        <v>148</v>
      </c>
      <c r="H34" s="14" t="s">
        <v>148</v>
      </c>
      <c r="I34" s="14" t="s">
        <v>148</v>
      </c>
      <c r="J34" s="14" t="s">
        <v>148</v>
      </c>
      <c r="K34" s="14" t="s">
        <v>148</v>
      </c>
      <c r="L34" s="14">
        <v>-18</v>
      </c>
      <c r="M34" s="14" t="s">
        <v>148</v>
      </c>
      <c r="N34" s="14" t="s">
        <v>148</v>
      </c>
      <c r="O34" s="14" t="s">
        <v>148</v>
      </c>
      <c r="P34" s="14" t="s">
        <v>148</v>
      </c>
      <c r="Q34" s="14" t="s">
        <v>148</v>
      </c>
      <c r="R34" s="14" t="s">
        <v>148</v>
      </c>
      <c r="S34" s="14" t="s">
        <v>148</v>
      </c>
      <c r="T34" s="14" t="s">
        <v>148</v>
      </c>
      <c r="U34" s="14" t="s">
        <v>148</v>
      </c>
      <c r="V34" s="14" t="s">
        <v>148</v>
      </c>
      <c r="W34" s="14" t="s">
        <v>148</v>
      </c>
      <c r="X34" s="14" t="s">
        <v>148</v>
      </c>
      <c r="Y34" s="14">
        <v>-18</v>
      </c>
      <c r="Z34" s="14" t="s">
        <v>148</v>
      </c>
      <c r="AA34" s="14" t="s">
        <v>148</v>
      </c>
    </row>
    <row r="35" spans="1:27" x14ac:dyDescent="0.25">
      <c r="A35" s="6" t="s">
        <v>1869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 x14ac:dyDescent="0.25">
      <c r="A36" s="10" t="s">
        <v>1859</v>
      </c>
      <c r="B36" s="10"/>
      <c r="C36" s="14" t="s">
        <v>148</v>
      </c>
      <c r="D36" s="14">
        <v>-5</v>
      </c>
      <c r="E36" s="14">
        <v>-11</v>
      </c>
      <c r="F36" s="14">
        <v>-11</v>
      </c>
      <c r="G36" s="14" t="s">
        <v>148</v>
      </c>
      <c r="H36" s="14">
        <v>34</v>
      </c>
      <c r="I36" s="14">
        <v>16</v>
      </c>
      <c r="J36" s="14">
        <v>40</v>
      </c>
      <c r="K36" s="14" t="s">
        <v>148</v>
      </c>
      <c r="L36" s="14">
        <v>-22</v>
      </c>
      <c r="M36" s="14">
        <v>4</v>
      </c>
      <c r="N36" s="14">
        <v>-15</v>
      </c>
      <c r="O36" s="14" t="s">
        <v>148</v>
      </c>
      <c r="P36" s="14" t="s">
        <v>148</v>
      </c>
      <c r="Q36" s="14" t="s">
        <v>148</v>
      </c>
      <c r="R36" s="14" t="s">
        <v>148</v>
      </c>
      <c r="S36" s="14" t="s">
        <v>148</v>
      </c>
      <c r="T36" s="14" t="s">
        <v>148</v>
      </c>
      <c r="U36" s="14" t="s">
        <v>148</v>
      </c>
      <c r="V36" s="14">
        <v>2</v>
      </c>
      <c r="W36" s="14">
        <v>-5</v>
      </c>
      <c r="X36" s="14" t="s">
        <v>148</v>
      </c>
      <c r="Y36" s="14">
        <v>-6</v>
      </c>
      <c r="Z36" s="14" t="s">
        <v>148</v>
      </c>
      <c r="AA36" s="14" t="s">
        <v>148</v>
      </c>
    </row>
    <row r="37" spans="1:27" x14ac:dyDescent="0.25">
      <c r="A37" s="6" t="s">
        <v>1870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x14ac:dyDescent="0.25">
      <c r="A38" s="10" t="s">
        <v>1859</v>
      </c>
      <c r="B38" s="10"/>
      <c r="C38" s="14" t="s">
        <v>148</v>
      </c>
      <c r="D38" s="14">
        <v>16</v>
      </c>
      <c r="E38" s="14">
        <v>1</v>
      </c>
      <c r="F38" s="14">
        <v>3</v>
      </c>
      <c r="G38" s="14" t="s">
        <v>148</v>
      </c>
      <c r="H38" s="14">
        <v>3</v>
      </c>
      <c r="I38" s="14">
        <v>-1</v>
      </c>
      <c r="J38" s="14">
        <v>0</v>
      </c>
      <c r="K38" s="14" t="s">
        <v>148</v>
      </c>
      <c r="L38" s="14">
        <v>-10</v>
      </c>
      <c r="M38" s="14">
        <v>0</v>
      </c>
      <c r="N38" s="14">
        <v>-9</v>
      </c>
      <c r="O38" s="14" t="s">
        <v>148</v>
      </c>
      <c r="P38" s="14" t="s">
        <v>148</v>
      </c>
      <c r="Q38" s="14" t="s">
        <v>148</v>
      </c>
      <c r="R38" s="14" t="s">
        <v>148</v>
      </c>
      <c r="S38" s="14" t="s">
        <v>148</v>
      </c>
      <c r="T38" s="14" t="s">
        <v>148</v>
      </c>
      <c r="U38" s="14" t="s">
        <v>148</v>
      </c>
      <c r="V38" s="14" t="s">
        <v>148</v>
      </c>
      <c r="W38" s="14" t="s">
        <v>148</v>
      </c>
      <c r="X38" s="14" t="s">
        <v>148</v>
      </c>
      <c r="Y38" s="14">
        <v>-10</v>
      </c>
      <c r="Z38" s="14" t="s">
        <v>148</v>
      </c>
      <c r="AA38" s="14" t="s">
        <v>148</v>
      </c>
    </row>
    <row r="39" spans="1:27" x14ac:dyDescent="0.25">
      <c r="A39" s="6" t="s">
        <v>1871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x14ac:dyDescent="0.25">
      <c r="A40" s="10" t="s">
        <v>1859</v>
      </c>
      <c r="B40" s="10"/>
      <c r="C40" s="14" t="s">
        <v>148</v>
      </c>
      <c r="D40" s="14" t="s">
        <v>148</v>
      </c>
      <c r="E40" s="14" t="s">
        <v>148</v>
      </c>
      <c r="F40" s="14" t="s">
        <v>148</v>
      </c>
      <c r="G40" s="14" t="s">
        <v>148</v>
      </c>
      <c r="H40" s="14">
        <v>70</v>
      </c>
      <c r="I40" s="14">
        <v>57</v>
      </c>
      <c r="J40" s="14">
        <v>13</v>
      </c>
      <c r="K40" s="14" t="s">
        <v>148</v>
      </c>
      <c r="L40" s="14">
        <v>21</v>
      </c>
      <c r="M40" s="14">
        <v>-2</v>
      </c>
      <c r="N40" s="14">
        <v>10</v>
      </c>
      <c r="O40" s="14" t="s">
        <v>148</v>
      </c>
      <c r="P40" s="14" t="s">
        <v>148</v>
      </c>
      <c r="Q40" s="14" t="s">
        <v>148</v>
      </c>
      <c r="R40" s="14" t="s">
        <v>148</v>
      </c>
      <c r="S40" s="14" t="s">
        <v>148</v>
      </c>
      <c r="T40" s="14" t="s">
        <v>148</v>
      </c>
      <c r="U40" s="14" t="s">
        <v>148</v>
      </c>
      <c r="V40" s="14" t="s">
        <v>148</v>
      </c>
      <c r="W40" s="14" t="s">
        <v>148</v>
      </c>
      <c r="X40" s="14" t="s">
        <v>148</v>
      </c>
      <c r="Y40" s="14">
        <v>40</v>
      </c>
      <c r="Z40" s="14" t="s">
        <v>148</v>
      </c>
      <c r="AA40" s="14" t="s">
        <v>148</v>
      </c>
    </row>
    <row r="41" spans="1:27" x14ac:dyDescent="0.25">
      <c r="A41" s="6" t="s">
        <v>1872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x14ac:dyDescent="0.25">
      <c r="A42" s="10" t="s">
        <v>1859</v>
      </c>
      <c r="B42" s="10"/>
      <c r="C42" s="14" t="s">
        <v>148</v>
      </c>
      <c r="D42" s="14">
        <v>31</v>
      </c>
      <c r="E42" s="14">
        <v>-21</v>
      </c>
      <c r="F42" s="14">
        <v>-64</v>
      </c>
      <c r="G42" s="14" t="s">
        <v>148</v>
      </c>
      <c r="H42" s="14">
        <v>-53</v>
      </c>
      <c r="I42" s="14">
        <v>87</v>
      </c>
      <c r="J42" s="14" t="s">
        <v>148</v>
      </c>
      <c r="K42" s="14" t="s">
        <v>148</v>
      </c>
      <c r="L42" s="14">
        <v>0</v>
      </c>
      <c r="M42" s="14">
        <v>-61</v>
      </c>
      <c r="N42" s="14">
        <v>-46</v>
      </c>
      <c r="O42" s="14" t="s">
        <v>148</v>
      </c>
      <c r="P42" s="14" t="s">
        <v>148</v>
      </c>
      <c r="Q42" s="14" t="s">
        <v>148</v>
      </c>
      <c r="R42" s="14" t="s">
        <v>148</v>
      </c>
      <c r="S42" s="14" t="s">
        <v>148</v>
      </c>
      <c r="T42" s="14" t="s">
        <v>148</v>
      </c>
      <c r="U42" s="14" t="s">
        <v>148</v>
      </c>
      <c r="V42" s="14" t="s">
        <v>148</v>
      </c>
      <c r="W42" s="14" t="s">
        <v>148</v>
      </c>
      <c r="X42" s="14" t="s">
        <v>148</v>
      </c>
      <c r="Y42" s="14">
        <v>-13</v>
      </c>
      <c r="Z42" s="14" t="s">
        <v>148</v>
      </c>
      <c r="AA42" s="14" t="s">
        <v>148</v>
      </c>
    </row>
    <row r="43" spans="1:27" x14ac:dyDescent="0.25">
      <c r="A43" s="6" t="s">
        <v>1873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x14ac:dyDescent="0.25">
      <c r="A44" s="10" t="s">
        <v>1859</v>
      </c>
      <c r="B44" s="10"/>
      <c r="C44" s="14" t="s">
        <v>148</v>
      </c>
      <c r="D44" s="14" t="s">
        <v>148</v>
      </c>
      <c r="E44" s="14" t="s">
        <v>148</v>
      </c>
      <c r="F44" s="14">
        <v>-22</v>
      </c>
      <c r="G44" s="14" t="s">
        <v>148</v>
      </c>
      <c r="H44" s="14">
        <v>113</v>
      </c>
      <c r="I44" s="14">
        <v>44</v>
      </c>
      <c r="J44" s="14">
        <v>50</v>
      </c>
      <c r="K44" s="14" t="s">
        <v>148</v>
      </c>
      <c r="L44" s="14">
        <v>8</v>
      </c>
      <c r="M44" s="14">
        <v>16</v>
      </c>
      <c r="N44" s="14">
        <v>20</v>
      </c>
      <c r="O44" s="14" t="s">
        <v>148</v>
      </c>
      <c r="P44" s="14" t="s">
        <v>148</v>
      </c>
      <c r="Q44" s="14" t="s">
        <v>148</v>
      </c>
      <c r="R44" s="14" t="s">
        <v>148</v>
      </c>
      <c r="S44" s="14" t="s">
        <v>148</v>
      </c>
      <c r="T44" s="14" t="s">
        <v>148</v>
      </c>
      <c r="U44" s="14" t="s">
        <v>148</v>
      </c>
      <c r="V44" s="14">
        <v>12</v>
      </c>
      <c r="W44" s="14">
        <v>7</v>
      </c>
      <c r="X44" s="14" t="s">
        <v>148</v>
      </c>
      <c r="Y44" s="14">
        <v>8</v>
      </c>
      <c r="Z44" s="14" t="s">
        <v>148</v>
      </c>
      <c r="AA44" s="14" t="s">
        <v>148</v>
      </c>
    </row>
    <row r="45" spans="1:27" x14ac:dyDescent="0.25">
      <c r="A45" s="6" t="s">
        <v>1874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x14ac:dyDescent="0.25">
      <c r="A46" s="10" t="s">
        <v>1859</v>
      </c>
      <c r="B46" s="10"/>
      <c r="C46" s="14" t="s">
        <v>148</v>
      </c>
      <c r="D46" s="14" t="s">
        <v>148</v>
      </c>
      <c r="E46" s="14" t="s">
        <v>148</v>
      </c>
      <c r="F46" s="14" t="s">
        <v>148</v>
      </c>
      <c r="G46" s="14" t="s">
        <v>148</v>
      </c>
      <c r="H46" s="14" t="s">
        <v>148</v>
      </c>
      <c r="I46" s="14" t="s">
        <v>148</v>
      </c>
      <c r="J46" s="14" t="s">
        <v>148</v>
      </c>
      <c r="K46" s="14" t="s">
        <v>148</v>
      </c>
      <c r="L46" s="14">
        <v>-30</v>
      </c>
      <c r="M46" s="14">
        <v>23</v>
      </c>
      <c r="N46" s="14">
        <v>-8</v>
      </c>
      <c r="O46" s="14" t="s">
        <v>148</v>
      </c>
      <c r="P46" s="14">
        <v>-22</v>
      </c>
      <c r="Q46" s="14">
        <v>-18</v>
      </c>
      <c r="R46" s="14">
        <v>22</v>
      </c>
      <c r="S46" s="14" t="s">
        <v>148</v>
      </c>
      <c r="T46" s="14" t="s">
        <v>148</v>
      </c>
      <c r="U46" s="14" t="s">
        <v>148</v>
      </c>
      <c r="V46" s="14">
        <v>-10</v>
      </c>
      <c r="W46" s="14">
        <v>-10</v>
      </c>
      <c r="X46" s="14" t="s">
        <v>148</v>
      </c>
      <c r="Y46" s="14" t="s">
        <v>148</v>
      </c>
      <c r="Z46" s="14" t="s">
        <v>148</v>
      </c>
      <c r="AA46" s="14" t="s">
        <v>148</v>
      </c>
    </row>
    <row r="47" spans="1:27" x14ac:dyDescent="0.25">
      <c r="A47" s="10" t="s">
        <v>1857</v>
      </c>
      <c r="B47" s="10"/>
      <c r="C47" s="13">
        <v>685</v>
      </c>
      <c r="D47" s="13" t="s">
        <v>148</v>
      </c>
      <c r="E47" s="13" t="s">
        <v>148</v>
      </c>
      <c r="F47" s="13" t="s">
        <v>148</v>
      </c>
      <c r="G47" s="13">
        <v>630</v>
      </c>
      <c r="H47" s="13">
        <v>729</v>
      </c>
      <c r="I47" s="13">
        <v>448</v>
      </c>
      <c r="J47" s="13">
        <v>464</v>
      </c>
      <c r="K47" s="13">
        <v>423</v>
      </c>
      <c r="L47" s="13">
        <v>510</v>
      </c>
      <c r="M47" s="13">
        <v>549</v>
      </c>
      <c r="N47" s="13">
        <v>429</v>
      </c>
      <c r="O47" s="13">
        <v>393</v>
      </c>
      <c r="P47" s="13">
        <v>399</v>
      </c>
      <c r="Q47" s="13">
        <v>549</v>
      </c>
      <c r="R47" s="13">
        <v>524</v>
      </c>
      <c r="S47" s="13">
        <v>439</v>
      </c>
      <c r="T47" s="13" t="s">
        <v>148</v>
      </c>
      <c r="U47" s="13" t="s">
        <v>148</v>
      </c>
      <c r="V47" s="13" t="s">
        <v>148</v>
      </c>
      <c r="W47" s="13" t="s">
        <v>148</v>
      </c>
      <c r="X47" s="13" t="s">
        <v>148</v>
      </c>
      <c r="Y47" s="13" t="s">
        <v>148</v>
      </c>
      <c r="Z47" s="13" t="s">
        <v>148</v>
      </c>
      <c r="AA47" s="13" t="s">
        <v>148</v>
      </c>
    </row>
    <row r="48" spans="1:27" x14ac:dyDescent="0.25">
      <c r="A48" s="6" t="s">
        <v>1875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x14ac:dyDescent="0.25">
      <c r="A49" s="10" t="s">
        <v>1859</v>
      </c>
      <c r="B49" s="10"/>
      <c r="C49" s="14" t="s">
        <v>148</v>
      </c>
      <c r="D49" s="14" t="s">
        <v>148</v>
      </c>
      <c r="E49" s="14" t="s">
        <v>148</v>
      </c>
      <c r="F49" s="14" t="s">
        <v>148</v>
      </c>
      <c r="G49" s="14" t="s">
        <v>148</v>
      </c>
      <c r="H49" s="14" t="s">
        <v>148</v>
      </c>
      <c r="I49" s="14" t="s">
        <v>148</v>
      </c>
      <c r="J49" s="14" t="s">
        <v>148</v>
      </c>
      <c r="K49" s="14" t="s">
        <v>148</v>
      </c>
      <c r="L49" s="14">
        <v>18</v>
      </c>
      <c r="M49" s="14">
        <v>8</v>
      </c>
      <c r="N49" s="14">
        <v>17</v>
      </c>
      <c r="O49" s="14" t="s">
        <v>148</v>
      </c>
      <c r="P49" s="14">
        <v>7</v>
      </c>
      <c r="Q49" s="14">
        <v>-1</v>
      </c>
      <c r="R49" s="14">
        <v>7</v>
      </c>
      <c r="S49" s="14" t="s">
        <v>148</v>
      </c>
      <c r="T49" s="14" t="s">
        <v>148</v>
      </c>
      <c r="U49" s="14" t="s">
        <v>148</v>
      </c>
      <c r="V49" s="14">
        <v>2</v>
      </c>
      <c r="W49" s="14" t="s">
        <v>148</v>
      </c>
      <c r="X49" s="14" t="s">
        <v>148</v>
      </c>
      <c r="Y49" s="14" t="s">
        <v>148</v>
      </c>
      <c r="Z49" s="14" t="s">
        <v>148</v>
      </c>
      <c r="AA49" s="14" t="s">
        <v>148</v>
      </c>
    </row>
    <row r="50" spans="1:27" x14ac:dyDescent="0.25">
      <c r="A50" s="10" t="s">
        <v>1857</v>
      </c>
      <c r="B50" s="10"/>
      <c r="C50" s="13" t="s">
        <v>148</v>
      </c>
      <c r="D50" s="13" t="s">
        <v>148</v>
      </c>
      <c r="E50" s="13" t="s">
        <v>148</v>
      </c>
      <c r="F50" s="13" t="s">
        <v>148</v>
      </c>
      <c r="G50" s="13">
        <v>176</v>
      </c>
      <c r="H50" s="13">
        <v>186</v>
      </c>
      <c r="I50" s="13">
        <v>219</v>
      </c>
      <c r="J50" s="13">
        <v>211</v>
      </c>
      <c r="K50" s="13">
        <v>241</v>
      </c>
      <c r="L50" s="13">
        <v>220</v>
      </c>
      <c r="M50" s="13">
        <v>237</v>
      </c>
      <c r="N50" s="13">
        <v>247</v>
      </c>
      <c r="O50" s="13">
        <v>265</v>
      </c>
      <c r="P50" s="13">
        <v>236</v>
      </c>
      <c r="Q50" s="13">
        <v>237</v>
      </c>
      <c r="R50" s="13">
        <v>264</v>
      </c>
      <c r="S50" s="13">
        <v>255</v>
      </c>
      <c r="T50" s="13" t="s">
        <v>148</v>
      </c>
      <c r="U50" s="13" t="s">
        <v>148</v>
      </c>
      <c r="V50" s="13" t="s">
        <v>148</v>
      </c>
      <c r="W50" s="13" t="s">
        <v>148</v>
      </c>
      <c r="X50" s="13" t="s">
        <v>148</v>
      </c>
      <c r="Y50" s="13" t="s">
        <v>148</v>
      </c>
      <c r="Z50" s="13" t="s">
        <v>148</v>
      </c>
      <c r="AA50" s="13" t="s">
        <v>148</v>
      </c>
    </row>
    <row r="51" spans="1:27" x14ac:dyDescent="0.25">
      <c r="A51" s="6" t="s">
        <v>1876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x14ac:dyDescent="0.25">
      <c r="A52" s="10" t="s">
        <v>1859</v>
      </c>
      <c r="B52" s="10"/>
      <c r="C52" s="14" t="s">
        <v>148</v>
      </c>
      <c r="D52" s="14">
        <v>-42</v>
      </c>
      <c r="E52" s="14">
        <v>22</v>
      </c>
      <c r="F52" s="14">
        <v>-61</v>
      </c>
      <c r="G52" s="14" t="s">
        <v>148</v>
      </c>
      <c r="H52" s="14">
        <v>2</v>
      </c>
      <c r="I52" s="14">
        <v>-57</v>
      </c>
      <c r="J52" s="14" t="s">
        <v>148</v>
      </c>
      <c r="K52" s="14" t="s">
        <v>148</v>
      </c>
      <c r="L52" s="14" t="s">
        <v>148</v>
      </c>
      <c r="M52" s="14">
        <v>20</v>
      </c>
      <c r="N52" s="14">
        <v>-2</v>
      </c>
      <c r="O52" s="14" t="s">
        <v>148</v>
      </c>
      <c r="P52" s="14" t="s">
        <v>148</v>
      </c>
      <c r="Q52" s="14">
        <v>-12</v>
      </c>
      <c r="R52" s="14">
        <v>-18</v>
      </c>
      <c r="S52" s="14" t="s">
        <v>148</v>
      </c>
      <c r="T52" s="14" t="s">
        <v>148</v>
      </c>
      <c r="U52" s="14" t="s">
        <v>148</v>
      </c>
      <c r="V52" s="14" t="s">
        <v>148</v>
      </c>
      <c r="W52" s="14" t="s">
        <v>148</v>
      </c>
      <c r="X52" s="14" t="s">
        <v>148</v>
      </c>
      <c r="Y52" s="14" t="s">
        <v>148</v>
      </c>
      <c r="Z52" s="14" t="s">
        <v>148</v>
      </c>
      <c r="AA52" s="14" t="s">
        <v>148</v>
      </c>
    </row>
    <row r="53" spans="1:27" x14ac:dyDescent="0.25">
      <c r="A53" s="10" t="s">
        <v>1857</v>
      </c>
      <c r="B53" s="10"/>
      <c r="C53" s="13" t="s">
        <v>148</v>
      </c>
      <c r="D53" s="13">
        <v>62</v>
      </c>
      <c r="E53" s="13">
        <v>140</v>
      </c>
      <c r="F53" s="13">
        <v>25</v>
      </c>
      <c r="G53" s="13" t="s">
        <v>148</v>
      </c>
      <c r="H53" s="13" t="s">
        <v>148</v>
      </c>
      <c r="I53" s="13" t="s">
        <v>148</v>
      </c>
      <c r="J53" s="13" t="s">
        <v>148</v>
      </c>
      <c r="K53" s="13" t="s">
        <v>148</v>
      </c>
      <c r="L53" s="13" t="s">
        <v>148</v>
      </c>
      <c r="M53" s="13" t="s">
        <v>148</v>
      </c>
      <c r="N53" s="13" t="s">
        <v>148</v>
      </c>
      <c r="O53" s="13" t="s">
        <v>148</v>
      </c>
      <c r="P53" s="13" t="s">
        <v>148</v>
      </c>
      <c r="Q53" s="13" t="s">
        <v>148</v>
      </c>
      <c r="R53" s="13" t="s">
        <v>148</v>
      </c>
      <c r="S53" s="13" t="s">
        <v>148</v>
      </c>
      <c r="T53" s="13" t="s">
        <v>148</v>
      </c>
      <c r="U53" s="13" t="s">
        <v>148</v>
      </c>
      <c r="V53" s="13" t="s">
        <v>148</v>
      </c>
      <c r="W53" s="13" t="s">
        <v>148</v>
      </c>
      <c r="X53" s="13" t="s">
        <v>148</v>
      </c>
      <c r="Y53" s="13" t="s">
        <v>148</v>
      </c>
      <c r="Z53" s="13" t="s">
        <v>148</v>
      </c>
      <c r="AA53" s="13" t="s">
        <v>148</v>
      </c>
    </row>
    <row r="54" spans="1:27" x14ac:dyDescent="0.25">
      <c r="A54" s="6" t="s">
        <v>1877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x14ac:dyDescent="0.25">
      <c r="A55" s="10" t="s">
        <v>1859</v>
      </c>
      <c r="B55" s="10"/>
      <c r="C55" s="14" t="s">
        <v>148</v>
      </c>
      <c r="D55" s="14" t="s">
        <v>148</v>
      </c>
      <c r="E55" s="14" t="s">
        <v>148</v>
      </c>
      <c r="F55" s="14" t="s">
        <v>148</v>
      </c>
      <c r="G55" s="14" t="s">
        <v>148</v>
      </c>
      <c r="H55" s="14" t="s">
        <v>148</v>
      </c>
      <c r="I55" s="14" t="s">
        <v>148</v>
      </c>
      <c r="J55" s="14" t="s">
        <v>148</v>
      </c>
      <c r="K55" s="14" t="s">
        <v>148</v>
      </c>
      <c r="L55" s="14" t="s">
        <v>148</v>
      </c>
      <c r="M55" s="14">
        <v>-2</v>
      </c>
      <c r="N55" s="14">
        <v>-8</v>
      </c>
      <c r="O55" s="14" t="s">
        <v>148</v>
      </c>
      <c r="P55" s="14" t="s">
        <v>148</v>
      </c>
      <c r="Q55" s="14">
        <v>7</v>
      </c>
      <c r="R55" s="14">
        <v>7</v>
      </c>
      <c r="S55" s="14" t="s">
        <v>148</v>
      </c>
      <c r="T55" s="14" t="s">
        <v>148</v>
      </c>
      <c r="U55" s="14" t="s">
        <v>148</v>
      </c>
      <c r="V55" s="14" t="s">
        <v>148</v>
      </c>
      <c r="W55" s="14" t="s">
        <v>148</v>
      </c>
      <c r="X55" s="14" t="s">
        <v>148</v>
      </c>
      <c r="Y55" s="14" t="s">
        <v>148</v>
      </c>
      <c r="Z55" s="14" t="s">
        <v>148</v>
      </c>
      <c r="AA55" s="14" t="s">
        <v>148</v>
      </c>
    </row>
    <row r="56" spans="1:27" x14ac:dyDescent="0.25">
      <c r="A56" s="6" t="s">
        <v>1878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x14ac:dyDescent="0.25">
      <c r="A57" s="10" t="s">
        <v>1859</v>
      </c>
      <c r="B57" s="10"/>
      <c r="C57" s="14" t="s">
        <v>148</v>
      </c>
      <c r="D57" s="14" t="s">
        <v>148</v>
      </c>
      <c r="E57" s="14" t="s">
        <v>148</v>
      </c>
      <c r="F57" s="14" t="s">
        <v>148</v>
      </c>
      <c r="G57" s="14" t="s">
        <v>148</v>
      </c>
      <c r="H57" s="14" t="s">
        <v>148</v>
      </c>
      <c r="I57" s="14" t="s">
        <v>148</v>
      </c>
      <c r="J57" s="14" t="s">
        <v>148</v>
      </c>
      <c r="K57" s="14" t="s">
        <v>148</v>
      </c>
      <c r="L57" s="14">
        <v>0</v>
      </c>
      <c r="M57" s="14">
        <v>10</v>
      </c>
      <c r="N57" s="14">
        <v>-4</v>
      </c>
      <c r="O57" s="14" t="s">
        <v>148</v>
      </c>
      <c r="P57" s="14">
        <v>-2</v>
      </c>
      <c r="Q57" s="14" t="s">
        <v>148</v>
      </c>
      <c r="R57" s="14" t="s">
        <v>148</v>
      </c>
      <c r="S57" s="14" t="s">
        <v>148</v>
      </c>
      <c r="T57" s="14" t="s">
        <v>148</v>
      </c>
      <c r="U57" s="14" t="s">
        <v>148</v>
      </c>
      <c r="V57" s="14" t="s">
        <v>148</v>
      </c>
      <c r="W57" s="14" t="s">
        <v>148</v>
      </c>
      <c r="X57" s="14" t="s">
        <v>148</v>
      </c>
      <c r="Y57" s="14" t="s">
        <v>148</v>
      </c>
      <c r="Z57" s="14" t="s">
        <v>148</v>
      </c>
      <c r="AA57" s="14" t="s">
        <v>148</v>
      </c>
    </row>
    <row r="58" spans="1:27" x14ac:dyDescent="0.25">
      <c r="A58" s="6" t="s">
        <v>1879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x14ac:dyDescent="0.25">
      <c r="A59" s="10" t="s">
        <v>1859</v>
      </c>
      <c r="B59" s="10"/>
      <c r="C59" s="14" t="s">
        <v>148</v>
      </c>
      <c r="D59" s="14">
        <v>-7</v>
      </c>
      <c r="E59" s="14">
        <v>-6</v>
      </c>
      <c r="F59" s="14">
        <v>-5</v>
      </c>
      <c r="G59" s="14" t="s">
        <v>148</v>
      </c>
      <c r="H59" s="14">
        <v>-33</v>
      </c>
      <c r="I59" s="14">
        <v>-46</v>
      </c>
      <c r="J59" s="14">
        <v>-29</v>
      </c>
      <c r="K59" s="14" t="s">
        <v>148</v>
      </c>
      <c r="L59" s="14">
        <v>-67</v>
      </c>
      <c r="M59" s="14">
        <v>-72</v>
      </c>
      <c r="N59" s="14">
        <v>-87</v>
      </c>
      <c r="O59" s="14" t="s">
        <v>148</v>
      </c>
      <c r="P59" s="14" t="s">
        <v>148</v>
      </c>
      <c r="Q59" s="14" t="s">
        <v>148</v>
      </c>
      <c r="R59" s="14" t="s">
        <v>148</v>
      </c>
      <c r="S59" s="14" t="s">
        <v>148</v>
      </c>
      <c r="T59" s="14" t="s">
        <v>148</v>
      </c>
      <c r="U59" s="14" t="s">
        <v>148</v>
      </c>
      <c r="V59" s="14" t="s">
        <v>148</v>
      </c>
      <c r="W59" s="14" t="s">
        <v>148</v>
      </c>
      <c r="X59" s="14" t="s">
        <v>148</v>
      </c>
      <c r="Y59" s="14" t="s">
        <v>148</v>
      </c>
      <c r="Z59" s="14" t="s">
        <v>148</v>
      </c>
      <c r="AA59" s="14" t="s">
        <v>148</v>
      </c>
    </row>
    <row r="60" spans="1:27" x14ac:dyDescent="0.25">
      <c r="A60" s="6" t="s">
        <v>1880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 x14ac:dyDescent="0.25">
      <c r="A61" s="10" t="s">
        <v>1859</v>
      </c>
      <c r="B61" s="10"/>
      <c r="C61" s="14" t="s">
        <v>148</v>
      </c>
      <c r="D61" s="14">
        <v>-46</v>
      </c>
      <c r="E61" s="14">
        <v>-56</v>
      </c>
      <c r="F61" s="14">
        <v>-42</v>
      </c>
      <c r="G61" s="14" t="s">
        <v>148</v>
      </c>
      <c r="H61" s="14">
        <v>-44</v>
      </c>
      <c r="I61" s="14">
        <v>-32</v>
      </c>
      <c r="J61" s="14">
        <v>-24</v>
      </c>
      <c r="K61" s="14" t="s">
        <v>148</v>
      </c>
      <c r="L61" s="14" t="s">
        <v>148</v>
      </c>
      <c r="M61" s="14">
        <v>-42</v>
      </c>
      <c r="N61" s="14">
        <v>-76</v>
      </c>
      <c r="O61" s="14" t="s">
        <v>148</v>
      </c>
      <c r="P61" s="14" t="s">
        <v>148</v>
      </c>
      <c r="Q61" s="14" t="s">
        <v>148</v>
      </c>
      <c r="R61" s="14" t="s">
        <v>148</v>
      </c>
      <c r="S61" s="14" t="s">
        <v>148</v>
      </c>
      <c r="T61" s="14" t="s">
        <v>148</v>
      </c>
      <c r="U61" s="14" t="s">
        <v>148</v>
      </c>
      <c r="V61" s="14" t="s">
        <v>148</v>
      </c>
      <c r="W61" s="14" t="s">
        <v>148</v>
      </c>
      <c r="X61" s="14" t="s">
        <v>148</v>
      </c>
      <c r="Y61" s="14" t="s">
        <v>148</v>
      </c>
      <c r="Z61" s="14" t="s">
        <v>148</v>
      </c>
      <c r="AA61" s="14" t="s">
        <v>148</v>
      </c>
    </row>
    <row r="62" spans="1:27" x14ac:dyDescent="0.25">
      <c r="A62" s="10" t="s">
        <v>1857</v>
      </c>
      <c r="B62" s="10"/>
      <c r="C62" s="13" t="s">
        <v>148</v>
      </c>
      <c r="D62" s="13" t="s">
        <v>148</v>
      </c>
      <c r="E62" s="13" t="s">
        <v>148</v>
      </c>
      <c r="F62" s="13" t="s">
        <v>148</v>
      </c>
      <c r="G62" s="13" t="s">
        <v>148</v>
      </c>
      <c r="H62" s="13" t="s">
        <v>148</v>
      </c>
      <c r="I62" s="13" t="s">
        <v>148</v>
      </c>
      <c r="J62" s="13" t="s">
        <v>148</v>
      </c>
      <c r="K62" s="13">
        <v>38</v>
      </c>
      <c r="L62" s="13" t="s">
        <v>148</v>
      </c>
      <c r="M62" s="13" t="s">
        <v>148</v>
      </c>
      <c r="N62" s="13" t="s">
        <v>148</v>
      </c>
      <c r="O62" s="13" t="s">
        <v>148</v>
      </c>
      <c r="P62" s="13" t="s">
        <v>148</v>
      </c>
      <c r="Q62" s="13" t="s">
        <v>148</v>
      </c>
      <c r="R62" s="13" t="s">
        <v>148</v>
      </c>
      <c r="S62" s="13" t="s">
        <v>148</v>
      </c>
      <c r="T62" s="13" t="s">
        <v>148</v>
      </c>
      <c r="U62" s="13" t="s">
        <v>148</v>
      </c>
      <c r="V62" s="13" t="s">
        <v>148</v>
      </c>
      <c r="W62" s="13" t="s">
        <v>148</v>
      </c>
      <c r="X62" s="13" t="s">
        <v>148</v>
      </c>
      <c r="Y62" s="13" t="s">
        <v>148</v>
      </c>
      <c r="Z62" s="13" t="s">
        <v>148</v>
      </c>
      <c r="AA62" s="13" t="s">
        <v>148</v>
      </c>
    </row>
    <row r="63" spans="1:27" x14ac:dyDescent="0.25">
      <c r="A63" s="6" t="s">
        <v>1881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 x14ac:dyDescent="0.25">
      <c r="A64" s="10" t="s">
        <v>1859</v>
      </c>
      <c r="B64" s="10"/>
      <c r="C64" s="14" t="s">
        <v>148</v>
      </c>
      <c r="D64" s="14">
        <v>-35</v>
      </c>
      <c r="E64" s="14">
        <v>-42</v>
      </c>
      <c r="F64" s="14">
        <v>-60</v>
      </c>
      <c r="G64" s="14" t="s">
        <v>148</v>
      </c>
      <c r="H64" s="14">
        <v>-50</v>
      </c>
      <c r="I64" s="14">
        <v>-65</v>
      </c>
      <c r="J64" s="14">
        <v>-32</v>
      </c>
      <c r="K64" s="14" t="s">
        <v>148</v>
      </c>
      <c r="L64" s="14" t="s">
        <v>148</v>
      </c>
      <c r="M64" s="14">
        <v>-7</v>
      </c>
      <c r="N64" s="14">
        <v>-46</v>
      </c>
      <c r="O64" s="14" t="s">
        <v>148</v>
      </c>
      <c r="P64" s="14" t="s">
        <v>148</v>
      </c>
      <c r="Q64" s="14" t="s">
        <v>148</v>
      </c>
      <c r="R64" s="14" t="s">
        <v>148</v>
      </c>
      <c r="S64" s="14" t="s">
        <v>148</v>
      </c>
      <c r="T64" s="14" t="s">
        <v>148</v>
      </c>
      <c r="U64" s="14" t="s">
        <v>148</v>
      </c>
      <c r="V64" s="14" t="s">
        <v>148</v>
      </c>
      <c r="W64" s="14" t="s">
        <v>148</v>
      </c>
      <c r="X64" s="14" t="s">
        <v>148</v>
      </c>
      <c r="Y64" s="14" t="s">
        <v>148</v>
      </c>
      <c r="Z64" s="14" t="s">
        <v>148</v>
      </c>
      <c r="AA64" s="14" t="s">
        <v>148</v>
      </c>
    </row>
    <row r="65" spans="1:27" x14ac:dyDescent="0.25">
      <c r="A65" s="6" t="s">
        <v>1882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 x14ac:dyDescent="0.25">
      <c r="A66" s="10" t="s">
        <v>1859</v>
      </c>
      <c r="B66" s="10"/>
      <c r="C66" s="14" t="s">
        <v>148</v>
      </c>
      <c r="D66" s="14">
        <v>-8</v>
      </c>
      <c r="E66" s="14">
        <v>-1</v>
      </c>
      <c r="F66" s="14">
        <v>8</v>
      </c>
      <c r="G66" s="14" t="s">
        <v>148</v>
      </c>
      <c r="H66" s="14">
        <v>15</v>
      </c>
      <c r="I66" s="14">
        <v>-32</v>
      </c>
      <c r="J66" s="14">
        <v>-36</v>
      </c>
      <c r="K66" s="14" t="s">
        <v>148</v>
      </c>
      <c r="L66" s="14" t="s">
        <v>148</v>
      </c>
      <c r="M66" s="14">
        <v>32</v>
      </c>
      <c r="N66" s="14">
        <v>1</v>
      </c>
      <c r="O66" s="14" t="s">
        <v>148</v>
      </c>
      <c r="P66" s="14" t="s">
        <v>148</v>
      </c>
      <c r="Q66" s="14" t="s">
        <v>148</v>
      </c>
      <c r="R66" s="14" t="s">
        <v>148</v>
      </c>
      <c r="S66" s="14" t="s">
        <v>148</v>
      </c>
      <c r="T66" s="14" t="s">
        <v>148</v>
      </c>
      <c r="U66" s="14" t="s">
        <v>148</v>
      </c>
      <c r="V66" s="14" t="s">
        <v>148</v>
      </c>
      <c r="W66" s="14" t="s">
        <v>148</v>
      </c>
      <c r="X66" s="14" t="s">
        <v>148</v>
      </c>
      <c r="Y66" s="14" t="s">
        <v>148</v>
      </c>
      <c r="Z66" s="14" t="s">
        <v>148</v>
      </c>
      <c r="AA66" s="14" t="s">
        <v>148</v>
      </c>
    </row>
    <row r="67" spans="1:27" x14ac:dyDescent="0.25">
      <c r="A67" s="6" t="s">
        <v>1883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 x14ac:dyDescent="0.25">
      <c r="A68" s="10" t="s">
        <v>1859</v>
      </c>
      <c r="B68" s="10"/>
      <c r="C68" s="14" t="s">
        <v>148</v>
      </c>
      <c r="D68" s="14">
        <v>-45</v>
      </c>
      <c r="E68" s="14">
        <v>-42</v>
      </c>
      <c r="F68" s="14">
        <v>-36</v>
      </c>
      <c r="G68" s="14" t="s">
        <v>148</v>
      </c>
      <c r="H68" s="14">
        <v>-45</v>
      </c>
      <c r="I68" s="14">
        <v>-45</v>
      </c>
      <c r="J68" s="14">
        <v>-55</v>
      </c>
      <c r="K68" s="14" t="s">
        <v>148</v>
      </c>
      <c r="L68" s="14">
        <v>-13</v>
      </c>
      <c r="M68" s="14">
        <v>-14</v>
      </c>
      <c r="N68" s="14">
        <v>0</v>
      </c>
      <c r="O68" s="14" t="s">
        <v>148</v>
      </c>
      <c r="P68" s="14" t="s">
        <v>148</v>
      </c>
      <c r="Q68" s="14" t="s">
        <v>148</v>
      </c>
      <c r="R68" s="14" t="s">
        <v>148</v>
      </c>
      <c r="S68" s="14" t="s">
        <v>148</v>
      </c>
      <c r="T68" s="14" t="s">
        <v>148</v>
      </c>
      <c r="U68" s="14" t="s">
        <v>148</v>
      </c>
      <c r="V68" s="14" t="s">
        <v>148</v>
      </c>
      <c r="W68" s="14" t="s">
        <v>148</v>
      </c>
      <c r="X68" s="14" t="s">
        <v>148</v>
      </c>
      <c r="Y68" s="14" t="s">
        <v>148</v>
      </c>
      <c r="Z68" s="14" t="s">
        <v>148</v>
      </c>
      <c r="AA68" s="14" t="s">
        <v>148</v>
      </c>
    </row>
    <row r="69" spans="1:27" x14ac:dyDescent="0.25">
      <c r="A69" s="6" t="s">
        <v>1884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 x14ac:dyDescent="0.25">
      <c r="A70" s="10" t="s">
        <v>1859</v>
      </c>
      <c r="B70" s="10"/>
      <c r="C70" s="14" t="s">
        <v>148</v>
      </c>
      <c r="D70" s="14">
        <v>-39</v>
      </c>
      <c r="E70" s="14">
        <v>-38</v>
      </c>
      <c r="F70" s="14">
        <v>-33</v>
      </c>
      <c r="G70" s="14" t="s">
        <v>148</v>
      </c>
      <c r="H70" s="14">
        <v>-34</v>
      </c>
      <c r="I70" s="14">
        <v>-41</v>
      </c>
      <c r="J70" s="14">
        <v>-25</v>
      </c>
      <c r="K70" s="14" t="s">
        <v>148</v>
      </c>
      <c r="L70" s="14">
        <v>-17</v>
      </c>
      <c r="M70" s="14">
        <v>-14</v>
      </c>
      <c r="N70" s="14">
        <v>-9</v>
      </c>
      <c r="O70" s="14" t="s">
        <v>148</v>
      </c>
      <c r="P70" s="14" t="s">
        <v>148</v>
      </c>
      <c r="Q70" s="14" t="s">
        <v>148</v>
      </c>
      <c r="R70" s="14" t="s">
        <v>148</v>
      </c>
      <c r="S70" s="14" t="s">
        <v>148</v>
      </c>
      <c r="T70" s="14" t="s">
        <v>148</v>
      </c>
      <c r="U70" s="14" t="s">
        <v>148</v>
      </c>
      <c r="V70" s="14" t="s">
        <v>148</v>
      </c>
      <c r="W70" s="14" t="s">
        <v>148</v>
      </c>
      <c r="X70" s="14" t="s">
        <v>148</v>
      </c>
      <c r="Y70" s="14" t="s">
        <v>148</v>
      </c>
      <c r="Z70" s="14" t="s">
        <v>148</v>
      </c>
      <c r="AA70" s="14" t="s">
        <v>148</v>
      </c>
    </row>
    <row r="71" spans="1:27" x14ac:dyDescent="0.25">
      <c r="A71" s="6" t="s">
        <v>1885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 x14ac:dyDescent="0.25">
      <c r="A72" s="10" t="s">
        <v>1859</v>
      </c>
      <c r="B72" s="10"/>
      <c r="C72" s="14" t="s">
        <v>148</v>
      </c>
      <c r="D72" s="14">
        <v>-13</v>
      </c>
      <c r="E72" s="14">
        <v>2</v>
      </c>
      <c r="F72" s="14">
        <v>-3</v>
      </c>
      <c r="G72" s="14" t="s">
        <v>148</v>
      </c>
      <c r="H72" s="14">
        <v>28</v>
      </c>
      <c r="I72" s="14">
        <v>-10</v>
      </c>
      <c r="J72" s="14">
        <v>12</v>
      </c>
      <c r="K72" s="14" t="s">
        <v>148</v>
      </c>
      <c r="L72" s="14">
        <v>2</v>
      </c>
      <c r="M72" s="14">
        <v>64</v>
      </c>
      <c r="N72" s="14">
        <v>29</v>
      </c>
      <c r="O72" s="14" t="s">
        <v>148</v>
      </c>
      <c r="P72" s="14" t="s">
        <v>148</v>
      </c>
      <c r="Q72" s="14" t="s">
        <v>148</v>
      </c>
      <c r="R72" s="14" t="s">
        <v>148</v>
      </c>
      <c r="S72" s="14" t="s">
        <v>148</v>
      </c>
      <c r="T72" s="14" t="s">
        <v>148</v>
      </c>
      <c r="U72" s="14" t="s">
        <v>148</v>
      </c>
      <c r="V72" s="14" t="s">
        <v>148</v>
      </c>
      <c r="W72" s="14" t="s">
        <v>148</v>
      </c>
      <c r="X72" s="14" t="s">
        <v>148</v>
      </c>
      <c r="Y72" s="14" t="s">
        <v>148</v>
      </c>
      <c r="Z72" s="14" t="s">
        <v>148</v>
      </c>
      <c r="AA72" s="14" t="s">
        <v>148</v>
      </c>
    </row>
    <row r="73" spans="1:27" x14ac:dyDescent="0.25">
      <c r="A73" s="10" t="s">
        <v>1857</v>
      </c>
      <c r="B73" s="10"/>
      <c r="C73" s="13" t="s">
        <v>148</v>
      </c>
      <c r="D73" s="13">
        <v>93</v>
      </c>
      <c r="E73" s="13">
        <v>105</v>
      </c>
      <c r="F73" s="13">
        <v>99</v>
      </c>
      <c r="G73" s="13" t="s">
        <v>148</v>
      </c>
      <c r="H73" s="13" t="s">
        <v>148</v>
      </c>
      <c r="I73" s="13" t="s">
        <v>148</v>
      </c>
      <c r="J73" s="13" t="s">
        <v>148</v>
      </c>
      <c r="K73" s="13" t="s">
        <v>148</v>
      </c>
      <c r="L73" s="13" t="s">
        <v>148</v>
      </c>
      <c r="M73" s="13" t="s">
        <v>148</v>
      </c>
      <c r="N73" s="13" t="s">
        <v>148</v>
      </c>
      <c r="O73" s="13" t="s">
        <v>148</v>
      </c>
      <c r="P73" s="13" t="s">
        <v>148</v>
      </c>
      <c r="Q73" s="13" t="s">
        <v>148</v>
      </c>
      <c r="R73" s="13" t="s">
        <v>148</v>
      </c>
      <c r="S73" s="13" t="s">
        <v>148</v>
      </c>
      <c r="T73" s="13" t="s">
        <v>148</v>
      </c>
      <c r="U73" s="13" t="s">
        <v>148</v>
      </c>
      <c r="V73" s="13" t="s">
        <v>148</v>
      </c>
      <c r="W73" s="13" t="s">
        <v>148</v>
      </c>
      <c r="X73" s="13" t="s">
        <v>148</v>
      </c>
      <c r="Y73" s="13" t="s">
        <v>148</v>
      </c>
      <c r="Z73" s="13" t="s">
        <v>148</v>
      </c>
      <c r="AA73" s="13" t="s">
        <v>148</v>
      </c>
    </row>
    <row r="74" spans="1:27" x14ac:dyDescent="0.25">
      <c r="A74" s="6" t="s">
        <v>1886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 x14ac:dyDescent="0.25">
      <c r="A75" s="10" t="s">
        <v>1859</v>
      </c>
      <c r="B75" s="10"/>
      <c r="C75" s="14" t="s">
        <v>148</v>
      </c>
      <c r="D75" s="14">
        <v>-6</v>
      </c>
      <c r="E75" s="14">
        <v>-16</v>
      </c>
      <c r="F75" s="14">
        <v>-17</v>
      </c>
      <c r="G75" s="14" t="s">
        <v>148</v>
      </c>
      <c r="H75" s="14">
        <v>-19</v>
      </c>
      <c r="I75" s="14">
        <v>-17</v>
      </c>
      <c r="J75" s="14">
        <v>-13</v>
      </c>
      <c r="K75" s="14" t="s">
        <v>148</v>
      </c>
      <c r="L75" s="14" t="s">
        <v>148</v>
      </c>
      <c r="M75" s="14">
        <v>-13</v>
      </c>
      <c r="N75" s="14">
        <v>-12</v>
      </c>
      <c r="O75" s="14" t="s">
        <v>148</v>
      </c>
      <c r="P75" s="14" t="s">
        <v>148</v>
      </c>
      <c r="Q75" s="14" t="s">
        <v>148</v>
      </c>
      <c r="R75" s="14" t="s">
        <v>148</v>
      </c>
      <c r="S75" s="14" t="s">
        <v>148</v>
      </c>
      <c r="T75" s="14" t="s">
        <v>148</v>
      </c>
      <c r="U75" s="14" t="s">
        <v>148</v>
      </c>
      <c r="V75" s="14" t="s">
        <v>148</v>
      </c>
      <c r="W75" s="14" t="s">
        <v>148</v>
      </c>
      <c r="X75" s="14" t="s">
        <v>148</v>
      </c>
      <c r="Y75" s="14" t="s">
        <v>148</v>
      </c>
      <c r="Z75" s="14" t="s">
        <v>148</v>
      </c>
      <c r="AA75" s="14" t="s">
        <v>148</v>
      </c>
    </row>
    <row r="76" spans="1:27" x14ac:dyDescent="0.25">
      <c r="A76" s="6" t="s">
        <v>1887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 x14ac:dyDescent="0.25">
      <c r="A77" s="10" t="s">
        <v>1859</v>
      </c>
      <c r="B77" s="10"/>
      <c r="C77" s="14" t="s">
        <v>148</v>
      </c>
      <c r="D77" s="14">
        <v>-3</v>
      </c>
      <c r="E77" s="14">
        <v>-16</v>
      </c>
      <c r="F77" s="14">
        <v>-50</v>
      </c>
      <c r="G77" s="14" t="s">
        <v>148</v>
      </c>
      <c r="H77" s="14">
        <v>-58</v>
      </c>
      <c r="I77" s="14">
        <v>-61</v>
      </c>
      <c r="J77" s="14">
        <v>-36</v>
      </c>
      <c r="K77" s="14" t="s">
        <v>148</v>
      </c>
      <c r="L77" s="14">
        <v>-35</v>
      </c>
      <c r="M77" s="14">
        <v>-29</v>
      </c>
      <c r="N77" s="14">
        <v>-41</v>
      </c>
      <c r="O77" s="14" t="s">
        <v>148</v>
      </c>
      <c r="P77" s="14" t="s">
        <v>148</v>
      </c>
      <c r="Q77" s="14" t="s">
        <v>148</v>
      </c>
      <c r="R77" s="14" t="s">
        <v>148</v>
      </c>
      <c r="S77" s="14" t="s">
        <v>148</v>
      </c>
      <c r="T77" s="14" t="s">
        <v>148</v>
      </c>
      <c r="U77" s="14" t="s">
        <v>148</v>
      </c>
      <c r="V77" s="14" t="s">
        <v>148</v>
      </c>
      <c r="W77" s="14" t="s">
        <v>148</v>
      </c>
      <c r="X77" s="14" t="s">
        <v>148</v>
      </c>
      <c r="Y77" s="14" t="s">
        <v>148</v>
      </c>
      <c r="Z77" s="14" t="s">
        <v>148</v>
      </c>
      <c r="AA77" s="14" t="s">
        <v>148</v>
      </c>
    </row>
    <row r="78" spans="1:27" x14ac:dyDescent="0.25">
      <c r="A78" s="10" t="s">
        <v>1857</v>
      </c>
      <c r="B78" s="10"/>
      <c r="C78" s="13" t="s">
        <v>148</v>
      </c>
      <c r="D78" s="13">
        <v>197</v>
      </c>
      <c r="E78" s="13">
        <v>204</v>
      </c>
      <c r="F78" s="13">
        <v>121</v>
      </c>
      <c r="G78" s="13" t="s">
        <v>148</v>
      </c>
      <c r="H78" s="13" t="s">
        <v>148</v>
      </c>
      <c r="I78" s="13" t="s">
        <v>148</v>
      </c>
      <c r="J78" s="13" t="s">
        <v>148</v>
      </c>
      <c r="K78" s="13" t="s">
        <v>148</v>
      </c>
      <c r="L78" s="13" t="s">
        <v>148</v>
      </c>
      <c r="M78" s="13" t="s">
        <v>148</v>
      </c>
      <c r="N78" s="13" t="s">
        <v>148</v>
      </c>
      <c r="O78" s="13" t="s">
        <v>148</v>
      </c>
      <c r="P78" s="13" t="s">
        <v>148</v>
      </c>
      <c r="Q78" s="13" t="s">
        <v>148</v>
      </c>
      <c r="R78" s="13" t="s">
        <v>148</v>
      </c>
      <c r="S78" s="13" t="s">
        <v>148</v>
      </c>
      <c r="T78" s="13" t="s">
        <v>148</v>
      </c>
      <c r="U78" s="13" t="s">
        <v>148</v>
      </c>
      <c r="V78" s="13" t="s">
        <v>148</v>
      </c>
      <c r="W78" s="13" t="s">
        <v>148</v>
      </c>
      <c r="X78" s="13" t="s">
        <v>148</v>
      </c>
      <c r="Y78" s="13" t="s">
        <v>148</v>
      </c>
      <c r="Z78" s="13" t="s">
        <v>148</v>
      </c>
      <c r="AA78" s="13" t="s">
        <v>148</v>
      </c>
    </row>
    <row r="79" spans="1:27" x14ac:dyDescent="0.25">
      <c r="A79" s="6" t="s">
        <v>1888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 x14ac:dyDescent="0.25">
      <c r="A80" s="10" t="s">
        <v>1859</v>
      </c>
      <c r="B80" s="10"/>
      <c r="C80" s="14" t="s">
        <v>148</v>
      </c>
      <c r="D80" s="14">
        <v>-18</v>
      </c>
      <c r="E80" s="14">
        <v>-33</v>
      </c>
      <c r="F80" s="14">
        <v>30</v>
      </c>
      <c r="G80" s="14" t="s">
        <v>148</v>
      </c>
      <c r="H80" s="14">
        <v>-26</v>
      </c>
      <c r="I80" s="14">
        <v>-31</v>
      </c>
      <c r="J80" s="14">
        <v>-35</v>
      </c>
      <c r="K80" s="14" t="s">
        <v>148</v>
      </c>
      <c r="L80" s="14" t="s">
        <v>148</v>
      </c>
      <c r="M80" s="14">
        <v>22</v>
      </c>
      <c r="N80" s="14">
        <v>-41</v>
      </c>
      <c r="O80" s="14" t="s">
        <v>148</v>
      </c>
      <c r="P80" s="14" t="s">
        <v>148</v>
      </c>
      <c r="Q80" s="14" t="s">
        <v>148</v>
      </c>
      <c r="R80" s="14" t="s">
        <v>148</v>
      </c>
      <c r="S80" s="14" t="s">
        <v>148</v>
      </c>
      <c r="T80" s="14" t="s">
        <v>148</v>
      </c>
      <c r="U80" s="14" t="s">
        <v>148</v>
      </c>
      <c r="V80" s="14" t="s">
        <v>148</v>
      </c>
      <c r="W80" s="14" t="s">
        <v>148</v>
      </c>
      <c r="X80" s="14" t="s">
        <v>148</v>
      </c>
      <c r="Y80" s="14" t="s">
        <v>148</v>
      </c>
      <c r="Z80" s="14" t="s">
        <v>148</v>
      </c>
      <c r="AA80" s="14" t="s">
        <v>148</v>
      </c>
    </row>
    <row r="81" spans="1:27" x14ac:dyDescent="0.25">
      <c r="A81" s="10" t="s">
        <v>1857</v>
      </c>
      <c r="B81" s="10"/>
      <c r="C81" s="13" t="s">
        <v>148</v>
      </c>
      <c r="D81" s="13">
        <v>27</v>
      </c>
      <c r="E81" s="13">
        <v>26</v>
      </c>
      <c r="F81" s="13">
        <v>26</v>
      </c>
      <c r="G81" s="13" t="s">
        <v>148</v>
      </c>
      <c r="H81" s="13" t="s">
        <v>148</v>
      </c>
      <c r="I81" s="13" t="s">
        <v>148</v>
      </c>
      <c r="J81" s="13" t="s">
        <v>148</v>
      </c>
      <c r="K81" s="13">
        <v>17</v>
      </c>
      <c r="L81" s="13" t="s">
        <v>148</v>
      </c>
      <c r="M81" s="13" t="s">
        <v>148</v>
      </c>
      <c r="N81" s="13" t="s">
        <v>148</v>
      </c>
      <c r="O81" s="13" t="s">
        <v>148</v>
      </c>
      <c r="P81" s="13" t="s">
        <v>148</v>
      </c>
      <c r="Q81" s="13" t="s">
        <v>148</v>
      </c>
      <c r="R81" s="13" t="s">
        <v>148</v>
      </c>
      <c r="S81" s="13" t="s">
        <v>148</v>
      </c>
      <c r="T81" s="13" t="s">
        <v>148</v>
      </c>
      <c r="U81" s="13" t="s">
        <v>148</v>
      </c>
      <c r="V81" s="13" t="s">
        <v>148</v>
      </c>
      <c r="W81" s="13" t="s">
        <v>148</v>
      </c>
      <c r="X81" s="13" t="s">
        <v>148</v>
      </c>
      <c r="Y81" s="13" t="s">
        <v>148</v>
      </c>
      <c r="Z81" s="13" t="s">
        <v>148</v>
      </c>
      <c r="AA81" s="13" t="s">
        <v>148</v>
      </c>
    </row>
    <row r="82" spans="1:27" x14ac:dyDescent="0.25">
      <c r="A82" s="6" t="s">
        <v>1889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 x14ac:dyDescent="0.25">
      <c r="A83" s="10" t="s">
        <v>1859</v>
      </c>
      <c r="B83" s="10"/>
      <c r="C83" s="14" t="s">
        <v>148</v>
      </c>
      <c r="D83" s="14">
        <v>-21</v>
      </c>
      <c r="E83" s="14">
        <v>-91</v>
      </c>
      <c r="F83" s="14">
        <v>-83</v>
      </c>
      <c r="G83" s="14" t="s">
        <v>148</v>
      </c>
      <c r="H83" s="14">
        <v>-95</v>
      </c>
      <c r="I83" s="14">
        <v>-95</v>
      </c>
      <c r="J83" s="14" t="s">
        <v>148</v>
      </c>
      <c r="K83" s="14" t="s">
        <v>148</v>
      </c>
      <c r="L83" s="14" t="s">
        <v>148</v>
      </c>
      <c r="M83" s="14">
        <v>100</v>
      </c>
      <c r="N83" s="14" t="s">
        <v>148</v>
      </c>
      <c r="O83" s="14" t="s">
        <v>148</v>
      </c>
      <c r="P83" s="14" t="s">
        <v>148</v>
      </c>
      <c r="Q83" s="14" t="s">
        <v>148</v>
      </c>
      <c r="R83" s="14" t="s">
        <v>148</v>
      </c>
      <c r="S83" s="14" t="s">
        <v>148</v>
      </c>
      <c r="T83" s="14" t="s">
        <v>148</v>
      </c>
      <c r="U83" s="14" t="s">
        <v>148</v>
      </c>
      <c r="V83" s="14" t="s">
        <v>148</v>
      </c>
      <c r="W83" s="14" t="s">
        <v>148</v>
      </c>
      <c r="X83" s="14" t="s">
        <v>148</v>
      </c>
      <c r="Y83" s="14" t="s">
        <v>148</v>
      </c>
      <c r="Z83" s="14" t="s">
        <v>148</v>
      </c>
      <c r="AA83" s="14" t="s">
        <v>148</v>
      </c>
    </row>
    <row r="84" spans="1:27" x14ac:dyDescent="0.25">
      <c r="A84" s="10" t="s">
        <v>1857</v>
      </c>
      <c r="B84" s="10"/>
      <c r="C84" s="13" t="s">
        <v>148</v>
      </c>
      <c r="D84" s="13">
        <v>155</v>
      </c>
      <c r="E84" s="13">
        <v>19</v>
      </c>
      <c r="F84" s="13">
        <v>31</v>
      </c>
      <c r="G84" s="13" t="s">
        <v>148</v>
      </c>
      <c r="H84" s="13" t="s">
        <v>148</v>
      </c>
      <c r="I84" s="13" t="s">
        <v>148</v>
      </c>
      <c r="J84" s="13" t="s">
        <v>148</v>
      </c>
      <c r="K84" s="13">
        <v>0</v>
      </c>
      <c r="L84" s="13" t="s">
        <v>148</v>
      </c>
      <c r="M84" s="13" t="s">
        <v>148</v>
      </c>
      <c r="N84" s="13" t="s">
        <v>148</v>
      </c>
      <c r="O84" s="13" t="s">
        <v>148</v>
      </c>
      <c r="P84" s="13" t="s">
        <v>148</v>
      </c>
      <c r="Q84" s="13" t="s">
        <v>148</v>
      </c>
      <c r="R84" s="13" t="s">
        <v>148</v>
      </c>
      <c r="S84" s="13" t="s">
        <v>148</v>
      </c>
      <c r="T84" s="13" t="s">
        <v>148</v>
      </c>
      <c r="U84" s="13" t="s">
        <v>148</v>
      </c>
      <c r="V84" s="13" t="s">
        <v>148</v>
      </c>
      <c r="W84" s="13" t="s">
        <v>148</v>
      </c>
      <c r="X84" s="13" t="s">
        <v>148</v>
      </c>
      <c r="Y84" s="13" t="s">
        <v>148</v>
      </c>
      <c r="Z84" s="13" t="s">
        <v>148</v>
      </c>
      <c r="AA84" s="13" t="s">
        <v>148</v>
      </c>
    </row>
    <row r="85" spans="1:27" x14ac:dyDescent="0.25">
      <c r="A85" s="6" t="s">
        <v>1890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 x14ac:dyDescent="0.25">
      <c r="A86" s="10" t="s">
        <v>1859</v>
      </c>
      <c r="B86" s="10"/>
      <c r="C86" s="14" t="s">
        <v>148</v>
      </c>
      <c r="D86" s="14">
        <v>-26</v>
      </c>
      <c r="E86" s="14">
        <v>-9</v>
      </c>
      <c r="F86" s="14">
        <v>-19</v>
      </c>
      <c r="G86" s="14" t="s">
        <v>148</v>
      </c>
      <c r="H86" s="14">
        <v>-44</v>
      </c>
      <c r="I86" s="14">
        <v>-13</v>
      </c>
      <c r="J86" s="14">
        <v>-44</v>
      </c>
      <c r="K86" s="14" t="s">
        <v>148</v>
      </c>
      <c r="L86" s="14" t="s">
        <v>148</v>
      </c>
      <c r="M86" s="14" t="s">
        <v>148</v>
      </c>
      <c r="N86" s="14" t="s">
        <v>148</v>
      </c>
      <c r="O86" s="14" t="s">
        <v>148</v>
      </c>
      <c r="P86" s="14" t="s">
        <v>148</v>
      </c>
      <c r="Q86" s="14" t="s">
        <v>148</v>
      </c>
      <c r="R86" s="14" t="s">
        <v>148</v>
      </c>
      <c r="S86" s="14" t="s">
        <v>148</v>
      </c>
      <c r="T86" s="14" t="s">
        <v>148</v>
      </c>
      <c r="U86" s="14" t="s">
        <v>148</v>
      </c>
      <c r="V86" s="14" t="s">
        <v>148</v>
      </c>
      <c r="W86" s="14" t="s">
        <v>148</v>
      </c>
      <c r="X86" s="14" t="s">
        <v>148</v>
      </c>
      <c r="Y86" s="14" t="s">
        <v>148</v>
      </c>
      <c r="Z86" s="14" t="s">
        <v>148</v>
      </c>
      <c r="AA86" s="14" t="s">
        <v>148</v>
      </c>
    </row>
    <row r="87" spans="1:27" x14ac:dyDescent="0.25">
      <c r="A87" s="10" t="s">
        <v>1857</v>
      </c>
      <c r="B87" s="10"/>
      <c r="C87" s="13" t="s">
        <v>148</v>
      </c>
      <c r="D87" s="13">
        <v>72</v>
      </c>
      <c r="E87" s="13">
        <v>75</v>
      </c>
      <c r="F87" s="13">
        <v>57</v>
      </c>
      <c r="G87" s="13" t="s">
        <v>148</v>
      </c>
      <c r="H87" s="13" t="s">
        <v>148</v>
      </c>
      <c r="I87" s="13" t="s">
        <v>148</v>
      </c>
      <c r="J87" s="13" t="s">
        <v>148</v>
      </c>
      <c r="K87" s="13" t="s">
        <v>148</v>
      </c>
      <c r="L87" s="13" t="s">
        <v>148</v>
      </c>
      <c r="M87" s="13" t="s">
        <v>148</v>
      </c>
      <c r="N87" s="13" t="s">
        <v>148</v>
      </c>
      <c r="O87" s="13" t="s">
        <v>148</v>
      </c>
      <c r="P87" s="13" t="s">
        <v>148</v>
      </c>
      <c r="Q87" s="13" t="s">
        <v>148</v>
      </c>
      <c r="R87" s="13" t="s">
        <v>148</v>
      </c>
      <c r="S87" s="13" t="s">
        <v>148</v>
      </c>
      <c r="T87" s="13" t="s">
        <v>148</v>
      </c>
      <c r="U87" s="13" t="s">
        <v>148</v>
      </c>
      <c r="V87" s="13" t="s">
        <v>148</v>
      </c>
      <c r="W87" s="13" t="s">
        <v>148</v>
      </c>
      <c r="X87" s="13" t="s">
        <v>148</v>
      </c>
      <c r="Y87" s="13" t="s">
        <v>148</v>
      </c>
      <c r="Z87" s="13" t="s">
        <v>148</v>
      </c>
      <c r="AA87" s="13" t="s">
        <v>148</v>
      </c>
    </row>
    <row r="88" spans="1:27" x14ac:dyDescent="0.25">
      <c r="A88" s="6" t="s">
        <v>1891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 x14ac:dyDescent="0.25">
      <c r="A89" s="10" t="s">
        <v>1859</v>
      </c>
      <c r="B89" s="10"/>
      <c r="C89" s="14" t="s">
        <v>148</v>
      </c>
      <c r="D89" s="14" t="s">
        <v>148</v>
      </c>
      <c r="E89" s="14">
        <v>76</v>
      </c>
      <c r="F89" s="14">
        <v>57</v>
      </c>
      <c r="G89" s="14" t="s">
        <v>148</v>
      </c>
      <c r="H89" s="14">
        <v>46</v>
      </c>
      <c r="I89" s="14">
        <v>30</v>
      </c>
      <c r="J89" s="14">
        <v>17</v>
      </c>
      <c r="K89" s="14" t="s">
        <v>148</v>
      </c>
      <c r="L89" s="14" t="s">
        <v>148</v>
      </c>
      <c r="M89" s="14" t="s">
        <v>148</v>
      </c>
      <c r="N89" s="14" t="s">
        <v>148</v>
      </c>
      <c r="O89" s="14" t="s">
        <v>148</v>
      </c>
      <c r="P89" s="14" t="s">
        <v>148</v>
      </c>
      <c r="Q89" s="14" t="s">
        <v>148</v>
      </c>
      <c r="R89" s="14" t="s">
        <v>148</v>
      </c>
      <c r="S89" s="14" t="s">
        <v>148</v>
      </c>
      <c r="T89" s="14" t="s">
        <v>148</v>
      </c>
      <c r="U89" s="14" t="s">
        <v>148</v>
      </c>
      <c r="V89" s="14" t="s">
        <v>148</v>
      </c>
      <c r="W89" s="14" t="s">
        <v>148</v>
      </c>
      <c r="X89" s="14" t="s">
        <v>148</v>
      </c>
      <c r="Y89" s="14" t="s">
        <v>148</v>
      </c>
      <c r="Z89" s="14" t="s">
        <v>148</v>
      </c>
      <c r="AA89" s="14" t="s">
        <v>148</v>
      </c>
    </row>
    <row r="90" spans="1:27" x14ac:dyDescent="0.25">
      <c r="A90" s="10" t="s">
        <v>1857</v>
      </c>
      <c r="B90" s="10"/>
      <c r="C90" s="13" t="s">
        <v>148</v>
      </c>
      <c r="D90" s="13">
        <v>96</v>
      </c>
      <c r="E90" s="13">
        <v>120</v>
      </c>
      <c r="F90" s="13">
        <v>118</v>
      </c>
      <c r="G90" s="13" t="s">
        <v>148</v>
      </c>
      <c r="H90" s="13" t="s">
        <v>148</v>
      </c>
      <c r="I90" s="13" t="s">
        <v>148</v>
      </c>
      <c r="J90" s="13" t="s">
        <v>148</v>
      </c>
      <c r="K90" s="13" t="s">
        <v>148</v>
      </c>
      <c r="L90" s="13" t="s">
        <v>148</v>
      </c>
      <c r="M90" s="13" t="s">
        <v>148</v>
      </c>
      <c r="N90" s="13" t="s">
        <v>148</v>
      </c>
      <c r="O90" s="13" t="s">
        <v>148</v>
      </c>
      <c r="P90" s="13" t="s">
        <v>148</v>
      </c>
      <c r="Q90" s="13" t="s">
        <v>148</v>
      </c>
      <c r="R90" s="13" t="s">
        <v>148</v>
      </c>
      <c r="S90" s="13" t="s">
        <v>148</v>
      </c>
      <c r="T90" s="13" t="s">
        <v>148</v>
      </c>
      <c r="U90" s="13" t="s">
        <v>148</v>
      </c>
      <c r="V90" s="13" t="s">
        <v>148</v>
      </c>
      <c r="W90" s="13" t="s">
        <v>148</v>
      </c>
      <c r="X90" s="13" t="s">
        <v>148</v>
      </c>
      <c r="Y90" s="13" t="s">
        <v>148</v>
      </c>
      <c r="Z90" s="13" t="s">
        <v>148</v>
      </c>
      <c r="AA90" s="13" t="s">
        <v>148</v>
      </c>
    </row>
    <row r="91" spans="1:27" x14ac:dyDescent="0.25">
      <c r="A91" s="6" t="s">
        <v>1892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 x14ac:dyDescent="0.25">
      <c r="A92" s="10" t="s">
        <v>1859</v>
      </c>
      <c r="B92" s="10"/>
      <c r="C92" s="14" t="s">
        <v>148</v>
      </c>
      <c r="D92" s="14">
        <v>74</v>
      </c>
      <c r="E92" s="14">
        <v>53</v>
      </c>
      <c r="F92" s="14">
        <v>54</v>
      </c>
      <c r="G92" s="14" t="s">
        <v>148</v>
      </c>
      <c r="H92" s="14">
        <v>35</v>
      </c>
      <c r="I92" s="14">
        <v>30</v>
      </c>
      <c r="J92" s="14">
        <v>32</v>
      </c>
      <c r="K92" s="14" t="s">
        <v>148</v>
      </c>
      <c r="L92" s="14" t="s">
        <v>148</v>
      </c>
      <c r="M92" s="14" t="s">
        <v>148</v>
      </c>
      <c r="N92" s="14" t="s">
        <v>148</v>
      </c>
      <c r="O92" s="14" t="s">
        <v>148</v>
      </c>
      <c r="P92" s="14" t="s">
        <v>148</v>
      </c>
      <c r="Q92" s="14" t="s">
        <v>148</v>
      </c>
      <c r="R92" s="14" t="s">
        <v>148</v>
      </c>
      <c r="S92" s="14" t="s">
        <v>148</v>
      </c>
      <c r="T92" s="14" t="s">
        <v>148</v>
      </c>
      <c r="U92" s="14" t="s">
        <v>148</v>
      </c>
      <c r="V92" s="14" t="s">
        <v>148</v>
      </c>
      <c r="W92" s="14" t="s">
        <v>148</v>
      </c>
      <c r="X92" s="14" t="s">
        <v>148</v>
      </c>
      <c r="Y92" s="14" t="s">
        <v>148</v>
      </c>
      <c r="Z92" s="14" t="s">
        <v>148</v>
      </c>
      <c r="AA92" s="14" t="s">
        <v>148</v>
      </c>
    </row>
    <row r="93" spans="1:27" x14ac:dyDescent="0.25">
      <c r="A93" s="10" t="s">
        <v>1857</v>
      </c>
      <c r="B93" s="10"/>
      <c r="C93" s="13" t="s">
        <v>148</v>
      </c>
      <c r="D93" s="13">
        <v>101</v>
      </c>
      <c r="E93" s="13">
        <v>116</v>
      </c>
      <c r="F93" s="13">
        <v>134</v>
      </c>
      <c r="G93" s="13" t="s">
        <v>148</v>
      </c>
      <c r="H93" s="13" t="s">
        <v>148</v>
      </c>
      <c r="I93" s="13" t="s">
        <v>148</v>
      </c>
      <c r="J93" s="13" t="s">
        <v>148</v>
      </c>
      <c r="K93" s="13" t="s">
        <v>148</v>
      </c>
      <c r="L93" s="13" t="s">
        <v>148</v>
      </c>
      <c r="M93" s="13" t="s">
        <v>148</v>
      </c>
      <c r="N93" s="13" t="s">
        <v>148</v>
      </c>
      <c r="O93" s="13" t="s">
        <v>148</v>
      </c>
      <c r="P93" s="13" t="s">
        <v>148</v>
      </c>
      <c r="Q93" s="13" t="s">
        <v>148</v>
      </c>
      <c r="R93" s="13" t="s">
        <v>148</v>
      </c>
      <c r="S93" s="13" t="s">
        <v>148</v>
      </c>
      <c r="T93" s="13" t="s">
        <v>148</v>
      </c>
      <c r="U93" s="13" t="s">
        <v>148</v>
      </c>
      <c r="V93" s="13" t="s">
        <v>148</v>
      </c>
      <c r="W93" s="13" t="s">
        <v>148</v>
      </c>
      <c r="X93" s="13" t="s">
        <v>148</v>
      </c>
      <c r="Y93" s="13" t="s">
        <v>148</v>
      </c>
      <c r="Z93" s="13" t="s">
        <v>148</v>
      </c>
      <c r="AA93" s="13" t="s">
        <v>148</v>
      </c>
    </row>
    <row r="94" spans="1:27" x14ac:dyDescent="0.25">
      <c r="A94" s="6" t="s">
        <v>1893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 x14ac:dyDescent="0.25">
      <c r="A95" s="10" t="s">
        <v>1859</v>
      </c>
      <c r="B95" s="10"/>
      <c r="C95" s="14" t="s">
        <v>148</v>
      </c>
      <c r="D95" s="14" t="s">
        <v>148</v>
      </c>
      <c r="E95" s="14" t="s">
        <v>148</v>
      </c>
      <c r="F95" s="14" t="s">
        <v>148</v>
      </c>
      <c r="G95" s="14" t="s">
        <v>148</v>
      </c>
      <c r="H95" s="14">
        <v>-50</v>
      </c>
      <c r="I95" s="14">
        <v>-65</v>
      </c>
      <c r="J95" s="14">
        <v>-32</v>
      </c>
      <c r="K95" s="14" t="s">
        <v>148</v>
      </c>
      <c r="L95" s="14" t="s">
        <v>148</v>
      </c>
      <c r="M95" s="14" t="s">
        <v>148</v>
      </c>
      <c r="N95" s="14" t="s">
        <v>148</v>
      </c>
      <c r="O95" s="14" t="s">
        <v>148</v>
      </c>
      <c r="P95" s="14" t="s">
        <v>148</v>
      </c>
      <c r="Q95" s="14" t="s">
        <v>148</v>
      </c>
      <c r="R95" s="14" t="s">
        <v>148</v>
      </c>
      <c r="S95" s="14" t="s">
        <v>148</v>
      </c>
      <c r="T95" s="14" t="s">
        <v>148</v>
      </c>
      <c r="U95" s="14" t="s">
        <v>148</v>
      </c>
      <c r="V95" s="14" t="s">
        <v>148</v>
      </c>
      <c r="W95" s="14" t="s">
        <v>148</v>
      </c>
      <c r="X95" s="14" t="s">
        <v>148</v>
      </c>
      <c r="Y95" s="14" t="s">
        <v>148</v>
      </c>
      <c r="Z95" s="14" t="s">
        <v>148</v>
      </c>
      <c r="AA95" s="14" t="s">
        <v>148</v>
      </c>
    </row>
    <row r="96" spans="1:27" x14ac:dyDescent="0.25">
      <c r="A96" s="6" t="s">
        <v>1894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 x14ac:dyDescent="0.25">
      <c r="A97" s="10" t="s">
        <v>1859</v>
      </c>
      <c r="B97" s="10"/>
      <c r="C97" s="14" t="s">
        <v>148</v>
      </c>
      <c r="D97" s="14" t="s">
        <v>148</v>
      </c>
      <c r="E97" s="14" t="s">
        <v>148</v>
      </c>
      <c r="F97" s="14" t="s">
        <v>148</v>
      </c>
      <c r="G97" s="14" t="s">
        <v>148</v>
      </c>
      <c r="H97" s="14">
        <v>15</v>
      </c>
      <c r="I97" s="14">
        <v>-32</v>
      </c>
      <c r="J97" s="14">
        <v>-36</v>
      </c>
      <c r="K97" s="14" t="s">
        <v>148</v>
      </c>
      <c r="L97" s="14" t="s">
        <v>148</v>
      </c>
      <c r="M97" s="14" t="s">
        <v>148</v>
      </c>
      <c r="N97" s="14" t="s">
        <v>148</v>
      </c>
      <c r="O97" s="14" t="s">
        <v>148</v>
      </c>
      <c r="P97" s="14" t="s">
        <v>148</v>
      </c>
      <c r="Q97" s="14" t="s">
        <v>148</v>
      </c>
      <c r="R97" s="14" t="s">
        <v>148</v>
      </c>
      <c r="S97" s="14" t="s">
        <v>148</v>
      </c>
      <c r="T97" s="14" t="s">
        <v>148</v>
      </c>
      <c r="U97" s="14" t="s">
        <v>148</v>
      </c>
      <c r="V97" s="14" t="s">
        <v>148</v>
      </c>
      <c r="W97" s="14" t="s">
        <v>148</v>
      </c>
      <c r="X97" s="14" t="s">
        <v>148</v>
      </c>
      <c r="Y97" s="14" t="s">
        <v>148</v>
      </c>
      <c r="Z97" s="14" t="s">
        <v>148</v>
      </c>
      <c r="AA97" s="14" t="s">
        <v>148</v>
      </c>
    </row>
    <row r="98" spans="1:27" x14ac:dyDescent="0.25">
      <c r="A98" s="6" t="s">
        <v>1895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 x14ac:dyDescent="0.25">
      <c r="A99" s="10" t="s">
        <v>1857</v>
      </c>
      <c r="B99" s="10"/>
      <c r="C99" s="13" t="s">
        <v>148</v>
      </c>
      <c r="D99" s="13">
        <v>225</v>
      </c>
      <c r="E99" s="13">
        <v>193</v>
      </c>
      <c r="F99" s="13">
        <v>124</v>
      </c>
      <c r="G99" s="13" t="s">
        <v>148</v>
      </c>
      <c r="H99" s="13" t="s">
        <v>148</v>
      </c>
      <c r="I99" s="13" t="s">
        <v>148</v>
      </c>
      <c r="J99" s="13" t="s">
        <v>148</v>
      </c>
      <c r="K99" s="13" t="s">
        <v>148</v>
      </c>
      <c r="L99" s="13" t="s">
        <v>148</v>
      </c>
      <c r="M99" s="13" t="s">
        <v>148</v>
      </c>
      <c r="N99" s="13" t="s">
        <v>148</v>
      </c>
      <c r="O99" s="13" t="s">
        <v>148</v>
      </c>
      <c r="P99" s="13" t="s">
        <v>148</v>
      </c>
      <c r="Q99" s="13" t="s">
        <v>148</v>
      </c>
      <c r="R99" s="13" t="s">
        <v>148</v>
      </c>
      <c r="S99" s="13" t="s">
        <v>148</v>
      </c>
      <c r="T99" s="13" t="s">
        <v>148</v>
      </c>
      <c r="U99" s="13" t="s">
        <v>148</v>
      </c>
      <c r="V99" s="13" t="s">
        <v>148</v>
      </c>
      <c r="W99" s="13" t="s">
        <v>148</v>
      </c>
      <c r="X99" s="13" t="s">
        <v>148</v>
      </c>
      <c r="Y99" s="13" t="s">
        <v>148</v>
      </c>
      <c r="Z99" s="13" t="s">
        <v>148</v>
      </c>
      <c r="AA99" s="13" t="s">
        <v>148</v>
      </c>
    </row>
    <row r="100" spans="1:27" x14ac:dyDescent="0.25">
      <c r="A100" s="6" t="s">
        <v>1896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 x14ac:dyDescent="0.25">
      <c r="A101" s="10" t="s">
        <v>1857</v>
      </c>
      <c r="B101" s="10"/>
      <c r="C101" s="13" t="s">
        <v>148</v>
      </c>
      <c r="D101" s="13">
        <v>491</v>
      </c>
      <c r="E101" s="13">
        <v>493</v>
      </c>
      <c r="F101" s="13">
        <v>516</v>
      </c>
      <c r="G101" s="13" t="s">
        <v>148</v>
      </c>
      <c r="H101" s="13" t="s">
        <v>148</v>
      </c>
      <c r="I101" s="13" t="s">
        <v>148</v>
      </c>
      <c r="J101" s="13" t="s">
        <v>148</v>
      </c>
      <c r="K101" s="13" t="s">
        <v>148</v>
      </c>
      <c r="L101" s="13" t="s">
        <v>148</v>
      </c>
      <c r="M101" s="13" t="s">
        <v>148</v>
      </c>
      <c r="N101" s="13" t="s">
        <v>148</v>
      </c>
      <c r="O101" s="13" t="s">
        <v>148</v>
      </c>
      <c r="P101" s="13" t="s">
        <v>148</v>
      </c>
      <c r="Q101" s="13" t="s">
        <v>148</v>
      </c>
      <c r="R101" s="13" t="s">
        <v>148</v>
      </c>
      <c r="S101" s="13" t="s">
        <v>148</v>
      </c>
      <c r="T101" s="13" t="s">
        <v>148</v>
      </c>
      <c r="U101" s="13" t="s">
        <v>148</v>
      </c>
      <c r="V101" s="13" t="s">
        <v>148</v>
      </c>
      <c r="W101" s="13" t="s">
        <v>148</v>
      </c>
      <c r="X101" s="13" t="s">
        <v>148</v>
      </c>
      <c r="Y101" s="13" t="s">
        <v>148</v>
      </c>
      <c r="Z101" s="13" t="s">
        <v>148</v>
      </c>
      <c r="AA101" s="13" t="s">
        <v>148</v>
      </c>
    </row>
    <row r="102" spans="1:27" x14ac:dyDescent="0.25">
      <c r="A102" s="6" t="s">
        <v>1897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 x14ac:dyDescent="0.25">
      <c r="A103" s="10" t="s">
        <v>1857</v>
      </c>
      <c r="B103" s="10"/>
      <c r="C103" s="13" t="s">
        <v>148</v>
      </c>
      <c r="D103" s="13">
        <v>63</v>
      </c>
      <c r="E103" s="13">
        <v>75</v>
      </c>
      <c r="F103" s="13">
        <v>63</v>
      </c>
      <c r="G103" s="13" t="s">
        <v>148</v>
      </c>
      <c r="H103" s="13" t="s">
        <v>148</v>
      </c>
      <c r="I103" s="13" t="s">
        <v>148</v>
      </c>
      <c r="J103" s="13" t="s">
        <v>148</v>
      </c>
      <c r="K103" s="13" t="s">
        <v>148</v>
      </c>
      <c r="L103" s="13" t="s">
        <v>148</v>
      </c>
      <c r="M103" s="13" t="s">
        <v>148</v>
      </c>
      <c r="N103" s="13" t="s">
        <v>148</v>
      </c>
      <c r="O103" s="13" t="s">
        <v>148</v>
      </c>
      <c r="P103" s="13" t="s">
        <v>148</v>
      </c>
      <c r="Q103" s="13" t="s">
        <v>148</v>
      </c>
      <c r="R103" s="13" t="s">
        <v>148</v>
      </c>
      <c r="S103" s="13" t="s">
        <v>148</v>
      </c>
      <c r="T103" s="13" t="s">
        <v>148</v>
      </c>
      <c r="U103" s="13" t="s">
        <v>148</v>
      </c>
      <c r="V103" s="13" t="s">
        <v>148</v>
      </c>
      <c r="W103" s="13" t="s">
        <v>148</v>
      </c>
      <c r="X103" s="13" t="s">
        <v>148</v>
      </c>
      <c r="Y103" s="13" t="s">
        <v>148</v>
      </c>
      <c r="Z103" s="13" t="s">
        <v>148</v>
      </c>
      <c r="AA103" s="13" t="s">
        <v>148</v>
      </c>
    </row>
    <row r="104" spans="1:27" x14ac:dyDescent="0.25">
      <c r="A104" s="10" t="s">
        <v>1859</v>
      </c>
      <c r="B104" s="10"/>
      <c r="C104" s="14" t="s">
        <v>148</v>
      </c>
      <c r="D104" s="14">
        <v>-41</v>
      </c>
      <c r="E104" s="14">
        <v>-31</v>
      </c>
      <c r="F104" s="14">
        <v>-39</v>
      </c>
      <c r="G104" s="14" t="s">
        <v>148</v>
      </c>
      <c r="H104" s="14" t="s">
        <v>148</v>
      </c>
      <c r="I104" s="14" t="s">
        <v>148</v>
      </c>
      <c r="J104" s="14" t="s">
        <v>148</v>
      </c>
      <c r="K104" s="14" t="s">
        <v>148</v>
      </c>
      <c r="L104" s="14" t="s">
        <v>148</v>
      </c>
      <c r="M104" s="14" t="s">
        <v>148</v>
      </c>
      <c r="N104" s="14" t="s">
        <v>148</v>
      </c>
      <c r="O104" s="14" t="s">
        <v>148</v>
      </c>
      <c r="P104" s="14" t="s">
        <v>148</v>
      </c>
      <c r="Q104" s="14" t="s">
        <v>148</v>
      </c>
      <c r="R104" s="14" t="s">
        <v>148</v>
      </c>
      <c r="S104" s="14" t="s">
        <v>148</v>
      </c>
      <c r="T104" s="14" t="s">
        <v>148</v>
      </c>
      <c r="U104" s="14" t="s">
        <v>148</v>
      </c>
      <c r="V104" s="14" t="s">
        <v>148</v>
      </c>
      <c r="W104" s="14" t="s">
        <v>148</v>
      </c>
      <c r="X104" s="14" t="s">
        <v>148</v>
      </c>
      <c r="Y104" s="14" t="s">
        <v>148</v>
      </c>
      <c r="Z104" s="14" t="s">
        <v>148</v>
      </c>
      <c r="AA104" s="14" t="s">
        <v>148</v>
      </c>
    </row>
    <row r="105" spans="1:27" x14ac:dyDescent="0.25">
      <c r="A105" s="7" t="s">
        <v>90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2"/>
  <sheetViews>
    <sheetView tabSelected="1" topLeftCell="A45" workbookViewId="0">
      <selection activeCell="G58" sqref="G58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1898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1899</v>
      </c>
      <c r="D4" s="4" t="s">
        <v>1900</v>
      </c>
      <c r="E4" s="4" t="s">
        <v>1901</v>
      </c>
      <c r="F4" s="4" t="s">
        <v>1902</v>
      </c>
      <c r="G4" s="4" t="s">
        <v>1903</v>
      </c>
      <c r="H4" s="4" t="s">
        <v>6</v>
      </c>
      <c r="I4" s="4" t="s">
        <v>1904</v>
      </c>
      <c r="J4" s="4" t="s">
        <v>1905</v>
      </c>
      <c r="K4" s="4" t="s">
        <v>1906</v>
      </c>
      <c r="L4" s="4" t="s">
        <v>1907</v>
      </c>
      <c r="M4" s="4" t="s">
        <v>1908</v>
      </c>
      <c r="N4" s="4" t="s">
        <v>1909</v>
      </c>
      <c r="O4" s="4" t="s">
        <v>1910</v>
      </c>
      <c r="P4" s="4" t="s">
        <v>1911</v>
      </c>
      <c r="Q4" s="4" t="s">
        <v>1912</v>
      </c>
      <c r="R4" s="4" t="s">
        <v>1913</v>
      </c>
      <c r="S4" s="4" t="s">
        <v>1914</v>
      </c>
      <c r="T4" s="4" t="s">
        <v>1915</v>
      </c>
      <c r="U4" s="4" t="s">
        <v>1916</v>
      </c>
      <c r="V4" s="4" t="s">
        <v>1917</v>
      </c>
      <c r="W4" s="4" t="s">
        <v>1918</v>
      </c>
      <c r="X4" s="4" t="s">
        <v>1919</v>
      </c>
      <c r="Y4" s="4" t="s">
        <v>1920</v>
      </c>
      <c r="Z4" s="4" t="s">
        <v>1921</v>
      </c>
      <c r="AA4" s="4" t="s">
        <v>1922</v>
      </c>
    </row>
    <row r="5" spans="1:27" x14ac:dyDescent="0.25">
      <c r="A5" s="9" t="s">
        <v>34</v>
      </c>
      <c r="B5" s="9"/>
      <c r="C5" s="5" t="s">
        <v>1923</v>
      </c>
      <c r="D5" s="5" t="s">
        <v>1924</v>
      </c>
      <c r="E5" s="5" t="s">
        <v>1925</v>
      </c>
      <c r="F5" s="5" t="s">
        <v>1926</v>
      </c>
      <c r="G5" s="5" t="s">
        <v>1927</v>
      </c>
      <c r="H5" s="5" t="s">
        <v>1928</v>
      </c>
      <c r="I5" s="5" t="s">
        <v>1929</v>
      </c>
      <c r="J5" s="5" t="s">
        <v>1930</v>
      </c>
      <c r="K5" s="5" t="s">
        <v>1931</v>
      </c>
      <c r="L5" s="5" t="s">
        <v>1932</v>
      </c>
      <c r="M5" s="5" t="s">
        <v>1933</v>
      </c>
      <c r="N5" s="5" t="s">
        <v>1934</v>
      </c>
      <c r="O5" s="5" t="s">
        <v>1935</v>
      </c>
      <c r="P5" s="5" t="s">
        <v>1936</v>
      </c>
      <c r="Q5" s="5" t="s">
        <v>1937</v>
      </c>
      <c r="R5" s="5" t="s">
        <v>1938</v>
      </c>
      <c r="S5" s="5" t="s">
        <v>1939</v>
      </c>
      <c r="T5" s="5" t="s">
        <v>1940</v>
      </c>
      <c r="U5" s="5" t="s">
        <v>95</v>
      </c>
      <c r="V5" s="5" t="s">
        <v>37</v>
      </c>
      <c r="W5" s="5" t="s">
        <v>41</v>
      </c>
      <c r="X5" s="5" t="s">
        <v>45</v>
      </c>
      <c r="Y5" s="5" t="s">
        <v>49</v>
      </c>
      <c r="Z5" s="5" t="s">
        <v>53</v>
      </c>
      <c r="AA5" s="5" t="s">
        <v>57</v>
      </c>
    </row>
    <row r="6" spans="1:27" x14ac:dyDescent="0.25">
      <c r="A6" s="10" t="s">
        <v>1941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5">
      <c r="A7" s="10" t="s">
        <v>1942</v>
      </c>
      <c r="B7" s="10" t="s">
        <v>1943</v>
      </c>
      <c r="C7" s="14" t="str">
        <f>_xll.BDH("GILD US Equity","ESG_DISCLOSURE_SCORE","FY 2000","FY 2000","Currency=USD","Period=FQ","BEST_FPERIOD_OVERRIDE=FQ","FILING_STATUS=MR","Sort=A","Dates=H","DateFormat=P","Fill=—","Direction=H","UseDPDF=Y")</f>
        <v>—</v>
      </c>
      <c r="D7" s="14" t="str">
        <f>_xll.BDH("GILD US Equity","ESG_DISCLOSURE_SCORE","FY 2001","FY 2001","Currency=USD","Period=FQ","BEST_FPERIOD_OVERRIDE=FQ","FILING_STATUS=MR","Sort=A","Dates=H","DateFormat=P","Fill=—","Direction=H","UseDPDF=Y")</f>
        <v>—</v>
      </c>
      <c r="E7" s="14" t="str">
        <f>_xll.BDH("GILD US Equity","ESG_DISCLOSURE_SCORE","FY 2002","FY 2002","Currency=USD","Period=FQ","BEST_FPERIOD_OVERRIDE=FQ","FILING_STATUS=MR","Sort=A","Dates=H","DateFormat=P","Fill=—","Direction=H","UseDPDF=Y")</f>
        <v>—</v>
      </c>
      <c r="F7" s="14" t="str">
        <f>_xll.BDH("GILD US Equity","ESG_DISCLOSURE_SCORE","FY 2003","FY 2003","Currency=USD","Period=FQ","BEST_FPERIOD_OVERRIDE=FQ","FILING_STATUS=MR","Sort=A","Dates=H","DateFormat=P","Fill=—","Direction=H","UseDPDF=Y")</f>
        <v>—</v>
      </c>
      <c r="G7" s="14" t="str">
        <f>_xll.BDH("GILD US Equity","ESG_DISCLOSURE_SCORE","FY 2004","FY 2004","Currency=USD","Period=FQ","BEST_FPERIOD_OVERRIDE=FQ","FILING_STATUS=MR","Sort=A","Dates=H","DateFormat=P","Fill=—","Direction=H","UseDPDF=Y")</f>
        <v>—</v>
      </c>
      <c r="H7" s="14" t="str">
        <f>_xll.BDH("GILD US Equity","ESG_DISCLOSURE_SCORE","FY 2005","FY 2005","Currency=USD","Period=FQ","BEST_FPERIOD_OVERRIDE=FQ","FILING_STATUS=MR","Sort=A","Dates=H","DateFormat=P","Fill=—","Direction=H","UseDPDF=Y")</f>
        <v>—</v>
      </c>
      <c r="I7" s="14" t="str">
        <f>_xll.BDH("GILD US Equity","ESG_DISCLOSURE_SCORE","FY 2006","FY 2006","Currency=USD","Period=FQ","BEST_FPERIOD_OVERRIDE=FQ","FILING_STATUS=MR","Sort=A","Dates=H","DateFormat=P","Fill=—","Direction=H","UseDPDF=Y")</f>
        <v>—</v>
      </c>
      <c r="J7" s="14" t="str">
        <f>_xll.BDH("GILD US Equity","ESG_DISCLOSURE_SCORE","FY 2007","FY 2007","Currency=USD","Period=FQ","BEST_FPERIOD_OVERRIDE=FQ","FILING_STATUS=MR","Sort=A","Dates=H","DateFormat=P","Fill=—","Direction=H","UseDPDF=Y")</f>
        <v>—</v>
      </c>
      <c r="K7" s="14" t="str">
        <f>_xll.BDH("GILD US Equity","ESG_DISCLOSURE_SCORE","FY 2008","FY 2008","Currency=USD","Period=FQ","BEST_FPERIOD_OVERRIDE=FQ","FILING_STATUS=MR","Sort=A","Dates=H","DateFormat=P","Fill=—","Direction=H","UseDPDF=Y")</f>
        <v>—</v>
      </c>
      <c r="L7" s="14" t="str">
        <f>_xll.BDH("GILD US Equity","ESG_DISCLOSURE_SCORE","FY 2009","FY 2009","Currency=USD","Period=FQ","BEST_FPERIOD_OVERRIDE=FQ","FILING_STATUS=MR","Sort=A","Dates=H","DateFormat=P","Fill=—","Direction=H","UseDPDF=Y")</f>
        <v>—</v>
      </c>
      <c r="M7" s="14" t="str">
        <f>_xll.BDH("GILD US Equity","ESG_DISCLOSURE_SCORE","FY 2010","FY 2010","Currency=USD","Period=FQ","BEST_FPERIOD_OVERRIDE=FQ","FILING_STATUS=MR","Sort=A","Dates=H","DateFormat=P","Fill=—","Direction=H","UseDPDF=Y")</f>
        <v>—</v>
      </c>
      <c r="N7" s="14" t="str">
        <f>_xll.BDH("GILD US Equity","ESG_DISCLOSURE_SCORE","FY 2011","FY 2011","Currency=USD","Period=FQ","BEST_FPERIOD_OVERRIDE=FQ","FILING_STATUS=MR","Sort=A","Dates=H","DateFormat=P","Fill=—","Direction=H","UseDPDF=Y")</f>
        <v>—</v>
      </c>
      <c r="O7" s="14" t="str">
        <f>_xll.BDH("GILD US Equity","ESG_DISCLOSURE_SCORE","FY 2012","FY 2012","Currency=USD","Period=FQ","BEST_FPERIOD_OVERRIDE=FQ","FILING_STATUS=MR","Sort=A","Dates=H","DateFormat=P","Fill=—","Direction=H","UseDPDF=Y")</f>
        <v>—</v>
      </c>
      <c r="P7" s="14" t="str">
        <f>_xll.BDH("GILD US Equity","ESG_DISCLOSURE_SCORE","FY 2013","FY 2013","Currency=USD","Period=FQ","BEST_FPERIOD_OVERRIDE=FQ","FILING_STATUS=MR","Sort=A","Dates=H","DateFormat=P","Fill=—","Direction=H","UseDPDF=Y")</f>
        <v>—</v>
      </c>
      <c r="Q7" s="14" t="str">
        <f>_xll.BDH("GILD US Equity","ESG_DISCLOSURE_SCORE","FY 2014","FY 2014","Currency=USD","Period=FQ","BEST_FPERIOD_OVERRIDE=FQ","FILING_STATUS=MR","Sort=A","Dates=H","DateFormat=P","Fill=—","Direction=H","UseDPDF=Y")</f>
        <v>—</v>
      </c>
      <c r="R7" s="14" t="str">
        <f>_xll.BDH("GILD US Equity","ESG_DISCLOSURE_SCORE","FY 2015","FY 2015","Currency=USD","Period=FQ","BEST_FPERIOD_OVERRIDE=FQ","FILING_STATUS=MR","Sort=A","Dates=H","DateFormat=P","Fill=—","Direction=H","UseDPDF=Y")</f>
        <v>—</v>
      </c>
      <c r="S7" s="14" t="str">
        <f>_xll.BDH("GILD US Equity","ESG_DISCLOSURE_SCORE","FY 2016","FY 2016","Currency=USD","Period=FQ","BEST_FPERIOD_OVERRIDE=FQ","FILING_STATUS=MR","Sort=A","Dates=H","DateFormat=P","Fill=—","Direction=H","UseDPDF=Y")</f>
        <v>—</v>
      </c>
      <c r="T7" s="14" t="str">
        <f>_xll.BDH("GILD US Equity","ESG_DISCLOSURE_SCORE","FY 2017","FY 2017","Currency=USD","Period=FQ","BEST_FPERIOD_OVERRIDE=FQ","FILING_STATUS=MR","Sort=A","Dates=H","DateFormat=P","Fill=—","Direction=H","UseDPDF=Y")</f>
        <v>—</v>
      </c>
      <c r="U7" s="14" t="str">
        <f>_xll.BDH("GILD US Equity","ESG_DISCLOSURE_SCORE","FY 2018","FY 2018","Currency=USD","Period=FQ","BEST_FPERIOD_OVERRIDE=FQ","FILING_STATUS=MR","Sort=A","Dates=H","DateFormat=P","Fill=—","Direction=H","UseDPDF=Y")</f>
        <v>—</v>
      </c>
      <c r="V7" s="14" t="str">
        <f>_xll.BDH("GILD US Equity","ESG_DISCLOSURE_SCORE","FY 2019","FY 2019","Currency=USD","Period=FQ","BEST_FPERIOD_OVERRIDE=FQ","FILING_STATUS=MR","Sort=A","Dates=H","DateFormat=P","Fill=—","Direction=H","UseDPDF=Y")</f>
        <v>—</v>
      </c>
      <c r="W7" s="14" t="str">
        <f>_xll.BDH("GILD US Equity","ESG_DISCLOSURE_SCORE","FY 2020","FY 2020","Currency=USD","Period=FQ","BEST_FPERIOD_OVERRIDE=FQ","FILING_STATUS=MR","Sort=A","Dates=H","DateFormat=P","Fill=—","Direction=H","UseDPDF=Y")</f>
        <v>—</v>
      </c>
      <c r="X7" s="14" t="str">
        <f>_xll.BDH("GILD US Equity","ESG_DISCLOSURE_SCORE","FY 2021","FY 2021","Currency=USD","Period=FQ","BEST_FPERIOD_OVERRIDE=FQ","FILING_STATUS=MR","Sort=A","Dates=H","DateFormat=P","Fill=—","Direction=H","UseDPDF=Y")</f>
        <v>—</v>
      </c>
      <c r="Y7" s="14" t="str">
        <f>_xll.BDH("GILD US Equity","ESG_DISCLOSURE_SCORE","FY 2022","FY 2022","Currency=USD","Period=FQ","BEST_FPERIOD_OVERRIDE=FQ","FILING_STATUS=MR","Sort=A","Dates=H","DateFormat=P","Fill=—","Direction=H","UseDPDF=Y")</f>
        <v>—</v>
      </c>
      <c r="Z7" s="14" t="str">
        <f>_xll.BDH("GILD US Equity","ESG_DISCLOSURE_SCORE","FY 2023","FY 2023","Currency=USD","Period=FQ","BEST_FPERIOD_OVERRIDE=FQ","FILING_STATUS=MR","Sort=A","Dates=H","DateFormat=P","Fill=—","Direction=H","UseDPDF=Y")</f>
        <v>—</v>
      </c>
      <c r="AA7" s="14" t="str">
        <f>_xll.BDH("GILD US Equity","ESG_DISCLOSURE_SCORE","FY 2024","FY 2024","Currency=USD","Period=FQ","BEST_FPERIOD_OVERRIDE=FQ","FILING_STATUS=MR","Sort=A","Dates=H","DateFormat=P","Fill=—","Direction=H","UseDPDF=Y")</f>
        <v>—</v>
      </c>
    </row>
    <row r="8" spans="1:27" x14ac:dyDescent="0.25">
      <c r="A8" s="10" t="s">
        <v>1944</v>
      </c>
      <c r="B8" s="10" t="s">
        <v>1945</v>
      </c>
      <c r="C8" s="14" t="str">
        <f>_xll.BDH("GILD US Equity","ENVIRON_DISCLOSURE_SCORE","FY 2000","FY 2000","Currency=USD","Period=FQ","BEST_FPERIOD_OVERRIDE=FQ","FILING_STATUS=MR","Sort=A","Dates=H","DateFormat=P","Fill=—","Direction=H","UseDPDF=Y")</f>
        <v>—</v>
      </c>
      <c r="D8" s="14" t="str">
        <f>_xll.BDH("GILD US Equity","ENVIRON_DISCLOSURE_SCORE","FY 2001","FY 2001","Currency=USD","Period=FQ","BEST_FPERIOD_OVERRIDE=FQ","FILING_STATUS=MR","Sort=A","Dates=H","DateFormat=P","Fill=—","Direction=H","UseDPDF=Y")</f>
        <v>—</v>
      </c>
      <c r="E8" s="14" t="str">
        <f>_xll.BDH("GILD US Equity","ENVIRON_DISCLOSURE_SCORE","FY 2002","FY 2002","Currency=USD","Period=FQ","BEST_FPERIOD_OVERRIDE=FQ","FILING_STATUS=MR","Sort=A","Dates=H","DateFormat=P","Fill=—","Direction=H","UseDPDF=Y")</f>
        <v>—</v>
      </c>
      <c r="F8" s="14" t="str">
        <f>_xll.BDH("GILD US Equity","ENVIRON_DISCLOSURE_SCORE","FY 2003","FY 2003","Currency=USD","Period=FQ","BEST_FPERIOD_OVERRIDE=FQ","FILING_STATUS=MR","Sort=A","Dates=H","DateFormat=P","Fill=—","Direction=H","UseDPDF=Y")</f>
        <v>—</v>
      </c>
      <c r="G8" s="14" t="str">
        <f>_xll.BDH("GILD US Equity","ENVIRON_DISCLOSURE_SCORE","FY 2004","FY 2004","Currency=USD","Period=FQ","BEST_FPERIOD_OVERRIDE=FQ","FILING_STATUS=MR","Sort=A","Dates=H","DateFormat=P","Fill=—","Direction=H","UseDPDF=Y")</f>
        <v>—</v>
      </c>
      <c r="H8" s="14" t="str">
        <f>_xll.BDH("GILD US Equity","ENVIRON_DISCLOSURE_SCORE","FY 2005","FY 2005","Currency=USD","Period=FQ","BEST_FPERIOD_OVERRIDE=FQ","FILING_STATUS=MR","Sort=A","Dates=H","DateFormat=P","Fill=—","Direction=H","UseDPDF=Y")</f>
        <v>—</v>
      </c>
      <c r="I8" s="14" t="str">
        <f>_xll.BDH("GILD US Equity","ENVIRON_DISCLOSURE_SCORE","FY 2006","FY 2006","Currency=USD","Period=FQ","BEST_FPERIOD_OVERRIDE=FQ","FILING_STATUS=MR","Sort=A","Dates=H","DateFormat=P","Fill=—","Direction=H","UseDPDF=Y")</f>
        <v>—</v>
      </c>
      <c r="J8" s="14" t="str">
        <f>_xll.BDH("GILD US Equity","ENVIRON_DISCLOSURE_SCORE","FY 2007","FY 2007","Currency=USD","Period=FQ","BEST_FPERIOD_OVERRIDE=FQ","FILING_STATUS=MR","Sort=A","Dates=H","DateFormat=P","Fill=—","Direction=H","UseDPDF=Y")</f>
        <v>—</v>
      </c>
      <c r="K8" s="14" t="str">
        <f>_xll.BDH("GILD US Equity","ENVIRON_DISCLOSURE_SCORE","FY 2008","FY 2008","Currency=USD","Period=FQ","BEST_FPERIOD_OVERRIDE=FQ","FILING_STATUS=MR","Sort=A","Dates=H","DateFormat=P","Fill=—","Direction=H","UseDPDF=Y")</f>
        <v>—</v>
      </c>
      <c r="L8" s="14" t="str">
        <f>_xll.BDH("GILD US Equity","ENVIRON_DISCLOSURE_SCORE","FY 2009","FY 2009","Currency=USD","Period=FQ","BEST_FPERIOD_OVERRIDE=FQ","FILING_STATUS=MR","Sort=A","Dates=H","DateFormat=P","Fill=—","Direction=H","UseDPDF=Y")</f>
        <v>—</v>
      </c>
      <c r="M8" s="14" t="str">
        <f>_xll.BDH("GILD US Equity","ENVIRON_DISCLOSURE_SCORE","FY 2010","FY 2010","Currency=USD","Period=FQ","BEST_FPERIOD_OVERRIDE=FQ","FILING_STATUS=MR","Sort=A","Dates=H","DateFormat=P","Fill=—","Direction=H","UseDPDF=Y")</f>
        <v>—</v>
      </c>
      <c r="N8" s="14" t="str">
        <f>_xll.BDH("GILD US Equity","ENVIRON_DISCLOSURE_SCORE","FY 2011","FY 2011","Currency=USD","Period=FQ","BEST_FPERIOD_OVERRIDE=FQ","FILING_STATUS=MR","Sort=A","Dates=H","DateFormat=P","Fill=—","Direction=H","UseDPDF=Y")</f>
        <v>—</v>
      </c>
      <c r="O8" s="14" t="str">
        <f>_xll.BDH("GILD US Equity","ENVIRON_DISCLOSURE_SCORE","FY 2012","FY 2012","Currency=USD","Period=FQ","BEST_FPERIOD_OVERRIDE=FQ","FILING_STATUS=MR","Sort=A","Dates=H","DateFormat=P","Fill=—","Direction=H","UseDPDF=Y")</f>
        <v>—</v>
      </c>
      <c r="P8" s="14" t="str">
        <f>_xll.BDH("GILD US Equity","ENVIRON_DISCLOSURE_SCORE","FY 2013","FY 2013","Currency=USD","Period=FQ","BEST_FPERIOD_OVERRIDE=FQ","FILING_STATUS=MR","Sort=A","Dates=H","DateFormat=P","Fill=—","Direction=H","UseDPDF=Y")</f>
        <v>—</v>
      </c>
      <c r="Q8" s="14" t="str">
        <f>_xll.BDH("GILD US Equity","ENVIRON_DISCLOSURE_SCORE","FY 2014","FY 2014","Currency=USD","Period=FQ","BEST_FPERIOD_OVERRIDE=FQ","FILING_STATUS=MR","Sort=A","Dates=H","DateFormat=P","Fill=—","Direction=H","UseDPDF=Y")</f>
        <v>—</v>
      </c>
      <c r="R8" s="14" t="str">
        <f>_xll.BDH("GILD US Equity","ENVIRON_DISCLOSURE_SCORE","FY 2015","FY 2015","Currency=USD","Period=FQ","BEST_FPERIOD_OVERRIDE=FQ","FILING_STATUS=MR","Sort=A","Dates=H","DateFormat=P","Fill=—","Direction=H","UseDPDF=Y")</f>
        <v>—</v>
      </c>
      <c r="S8" s="14" t="str">
        <f>_xll.BDH("GILD US Equity","ENVIRON_DISCLOSURE_SCORE","FY 2016","FY 2016","Currency=USD","Period=FQ","BEST_FPERIOD_OVERRIDE=FQ","FILING_STATUS=MR","Sort=A","Dates=H","DateFormat=P","Fill=—","Direction=H","UseDPDF=Y")</f>
        <v>—</v>
      </c>
      <c r="T8" s="14" t="str">
        <f>_xll.BDH("GILD US Equity","ENVIRON_DISCLOSURE_SCORE","FY 2017","FY 2017","Currency=USD","Period=FQ","BEST_FPERIOD_OVERRIDE=FQ","FILING_STATUS=MR","Sort=A","Dates=H","DateFormat=P","Fill=—","Direction=H","UseDPDF=Y")</f>
        <v>—</v>
      </c>
      <c r="U8" s="14" t="str">
        <f>_xll.BDH("GILD US Equity","ENVIRON_DISCLOSURE_SCORE","FY 2018","FY 2018","Currency=USD","Period=FQ","BEST_FPERIOD_OVERRIDE=FQ","FILING_STATUS=MR","Sort=A","Dates=H","DateFormat=P","Fill=—","Direction=H","UseDPDF=Y")</f>
        <v>—</v>
      </c>
      <c r="V8" s="14" t="str">
        <f>_xll.BDH("GILD US Equity","ENVIRON_DISCLOSURE_SCORE","FY 2019","FY 2019","Currency=USD","Period=FQ","BEST_FPERIOD_OVERRIDE=FQ","FILING_STATUS=MR","Sort=A","Dates=H","DateFormat=P","Fill=—","Direction=H","UseDPDF=Y")</f>
        <v>—</v>
      </c>
      <c r="W8" s="14" t="str">
        <f>_xll.BDH("GILD US Equity","ENVIRON_DISCLOSURE_SCORE","FY 2020","FY 2020","Currency=USD","Period=FQ","BEST_FPERIOD_OVERRIDE=FQ","FILING_STATUS=MR","Sort=A","Dates=H","DateFormat=P","Fill=—","Direction=H","UseDPDF=Y")</f>
        <v>—</v>
      </c>
      <c r="X8" s="14" t="str">
        <f>_xll.BDH("GILD US Equity","ENVIRON_DISCLOSURE_SCORE","FY 2021","FY 2021","Currency=USD","Period=FQ","BEST_FPERIOD_OVERRIDE=FQ","FILING_STATUS=MR","Sort=A","Dates=H","DateFormat=P","Fill=—","Direction=H","UseDPDF=Y")</f>
        <v>—</v>
      </c>
      <c r="Y8" s="14" t="str">
        <f>_xll.BDH("GILD US Equity","ENVIRON_DISCLOSURE_SCORE","FY 2022","FY 2022","Currency=USD","Period=FQ","BEST_FPERIOD_OVERRIDE=FQ","FILING_STATUS=MR","Sort=A","Dates=H","DateFormat=P","Fill=—","Direction=H","UseDPDF=Y")</f>
        <v>—</v>
      </c>
      <c r="Z8" s="14" t="str">
        <f>_xll.BDH("GILD US Equity","ENVIRON_DISCLOSURE_SCORE","FY 2023","FY 2023","Currency=USD","Period=FQ","BEST_FPERIOD_OVERRIDE=FQ","FILING_STATUS=MR","Sort=A","Dates=H","DateFormat=P","Fill=—","Direction=H","UseDPDF=Y")</f>
        <v>—</v>
      </c>
      <c r="AA8" s="14" t="str">
        <f>_xll.BDH("GILD US Equity","ENVIRON_DISCLOSURE_SCORE","FY 2024","FY 2024","Currency=USD","Period=FQ","BEST_FPERIOD_OVERRIDE=FQ","FILING_STATUS=MR","Sort=A","Dates=H","DateFormat=P","Fill=—","Direction=H","UseDPDF=Y")</f>
        <v>—</v>
      </c>
    </row>
    <row r="9" spans="1:27" x14ac:dyDescent="0.25">
      <c r="A9" s="10" t="s">
        <v>1946</v>
      </c>
      <c r="B9" s="10" t="s">
        <v>1947</v>
      </c>
      <c r="C9" s="14" t="str">
        <f>_xll.BDH("GILD US Equity","SOCIAL_DISCLOSURE_SCORE","FY 2000","FY 2000","Currency=USD","Period=FQ","BEST_FPERIOD_OVERRIDE=FQ","FILING_STATUS=MR","Sort=A","Dates=H","DateFormat=P","Fill=—","Direction=H","UseDPDF=Y")</f>
        <v>—</v>
      </c>
      <c r="D9" s="14" t="str">
        <f>_xll.BDH("GILD US Equity","SOCIAL_DISCLOSURE_SCORE","FY 2001","FY 2001","Currency=USD","Period=FQ","BEST_FPERIOD_OVERRIDE=FQ","FILING_STATUS=MR","Sort=A","Dates=H","DateFormat=P","Fill=—","Direction=H","UseDPDF=Y")</f>
        <v>—</v>
      </c>
      <c r="E9" s="14" t="str">
        <f>_xll.BDH("GILD US Equity","SOCIAL_DISCLOSURE_SCORE","FY 2002","FY 2002","Currency=USD","Period=FQ","BEST_FPERIOD_OVERRIDE=FQ","FILING_STATUS=MR","Sort=A","Dates=H","DateFormat=P","Fill=—","Direction=H","UseDPDF=Y")</f>
        <v>—</v>
      </c>
      <c r="F9" s="14" t="str">
        <f>_xll.BDH("GILD US Equity","SOCIAL_DISCLOSURE_SCORE","FY 2003","FY 2003","Currency=USD","Period=FQ","BEST_FPERIOD_OVERRIDE=FQ","FILING_STATUS=MR","Sort=A","Dates=H","DateFormat=P","Fill=—","Direction=H","UseDPDF=Y")</f>
        <v>—</v>
      </c>
      <c r="G9" s="14" t="str">
        <f>_xll.BDH("GILD US Equity","SOCIAL_DISCLOSURE_SCORE","FY 2004","FY 2004","Currency=USD","Period=FQ","BEST_FPERIOD_OVERRIDE=FQ","FILING_STATUS=MR","Sort=A","Dates=H","DateFormat=P","Fill=—","Direction=H","UseDPDF=Y")</f>
        <v>—</v>
      </c>
      <c r="H9" s="14" t="str">
        <f>_xll.BDH("GILD US Equity","SOCIAL_DISCLOSURE_SCORE","FY 2005","FY 2005","Currency=USD","Period=FQ","BEST_FPERIOD_OVERRIDE=FQ","FILING_STATUS=MR","Sort=A","Dates=H","DateFormat=P","Fill=—","Direction=H","UseDPDF=Y")</f>
        <v>—</v>
      </c>
      <c r="I9" s="14" t="str">
        <f>_xll.BDH("GILD US Equity","SOCIAL_DISCLOSURE_SCORE","FY 2006","FY 2006","Currency=USD","Period=FQ","BEST_FPERIOD_OVERRIDE=FQ","FILING_STATUS=MR","Sort=A","Dates=H","DateFormat=P","Fill=—","Direction=H","UseDPDF=Y")</f>
        <v>—</v>
      </c>
      <c r="J9" s="14" t="str">
        <f>_xll.BDH("GILD US Equity","SOCIAL_DISCLOSURE_SCORE","FY 2007","FY 2007","Currency=USD","Period=FQ","BEST_FPERIOD_OVERRIDE=FQ","FILING_STATUS=MR","Sort=A","Dates=H","DateFormat=P","Fill=—","Direction=H","UseDPDF=Y")</f>
        <v>—</v>
      </c>
      <c r="K9" s="14" t="str">
        <f>_xll.BDH("GILD US Equity","SOCIAL_DISCLOSURE_SCORE","FY 2008","FY 2008","Currency=USD","Period=FQ","BEST_FPERIOD_OVERRIDE=FQ","FILING_STATUS=MR","Sort=A","Dates=H","DateFormat=P","Fill=—","Direction=H","UseDPDF=Y")</f>
        <v>—</v>
      </c>
      <c r="L9" s="14" t="str">
        <f>_xll.BDH("GILD US Equity","SOCIAL_DISCLOSURE_SCORE","FY 2009","FY 2009","Currency=USD","Period=FQ","BEST_FPERIOD_OVERRIDE=FQ","FILING_STATUS=MR","Sort=A","Dates=H","DateFormat=P","Fill=—","Direction=H","UseDPDF=Y")</f>
        <v>—</v>
      </c>
      <c r="M9" s="14" t="str">
        <f>_xll.BDH("GILD US Equity","SOCIAL_DISCLOSURE_SCORE","FY 2010","FY 2010","Currency=USD","Period=FQ","BEST_FPERIOD_OVERRIDE=FQ","FILING_STATUS=MR","Sort=A","Dates=H","DateFormat=P","Fill=—","Direction=H","UseDPDF=Y")</f>
        <v>—</v>
      </c>
      <c r="N9" s="14" t="str">
        <f>_xll.BDH("GILD US Equity","SOCIAL_DISCLOSURE_SCORE","FY 2011","FY 2011","Currency=USD","Period=FQ","BEST_FPERIOD_OVERRIDE=FQ","FILING_STATUS=MR","Sort=A","Dates=H","DateFormat=P","Fill=—","Direction=H","UseDPDF=Y")</f>
        <v>—</v>
      </c>
      <c r="O9" s="14" t="str">
        <f>_xll.BDH("GILD US Equity","SOCIAL_DISCLOSURE_SCORE","FY 2012","FY 2012","Currency=USD","Period=FQ","BEST_FPERIOD_OVERRIDE=FQ","FILING_STATUS=MR","Sort=A","Dates=H","DateFormat=P","Fill=—","Direction=H","UseDPDF=Y")</f>
        <v>—</v>
      </c>
      <c r="P9" s="14" t="str">
        <f>_xll.BDH("GILD US Equity","SOCIAL_DISCLOSURE_SCORE","FY 2013","FY 2013","Currency=USD","Period=FQ","BEST_FPERIOD_OVERRIDE=FQ","FILING_STATUS=MR","Sort=A","Dates=H","DateFormat=P","Fill=—","Direction=H","UseDPDF=Y")</f>
        <v>—</v>
      </c>
      <c r="Q9" s="14" t="str">
        <f>_xll.BDH("GILD US Equity","SOCIAL_DISCLOSURE_SCORE","FY 2014","FY 2014","Currency=USD","Period=FQ","BEST_FPERIOD_OVERRIDE=FQ","FILING_STATUS=MR","Sort=A","Dates=H","DateFormat=P","Fill=—","Direction=H","UseDPDF=Y")</f>
        <v>—</v>
      </c>
      <c r="R9" s="14" t="str">
        <f>_xll.BDH("GILD US Equity","SOCIAL_DISCLOSURE_SCORE","FY 2015","FY 2015","Currency=USD","Period=FQ","BEST_FPERIOD_OVERRIDE=FQ","FILING_STATUS=MR","Sort=A","Dates=H","DateFormat=P","Fill=—","Direction=H","UseDPDF=Y")</f>
        <v>—</v>
      </c>
      <c r="S9" s="14" t="str">
        <f>_xll.BDH("GILD US Equity","SOCIAL_DISCLOSURE_SCORE","FY 2016","FY 2016","Currency=USD","Period=FQ","BEST_FPERIOD_OVERRIDE=FQ","FILING_STATUS=MR","Sort=A","Dates=H","DateFormat=P","Fill=—","Direction=H","UseDPDF=Y")</f>
        <v>—</v>
      </c>
      <c r="T9" s="14" t="str">
        <f>_xll.BDH("GILD US Equity","SOCIAL_DISCLOSURE_SCORE","FY 2017","FY 2017","Currency=USD","Period=FQ","BEST_FPERIOD_OVERRIDE=FQ","FILING_STATUS=MR","Sort=A","Dates=H","DateFormat=P","Fill=—","Direction=H","UseDPDF=Y")</f>
        <v>—</v>
      </c>
      <c r="U9" s="14" t="str">
        <f>_xll.BDH("GILD US Equity","SOCIAL_DISCLOSURE_SCORE","FY 2018","FY 2018","Currency=USD","Period=FQ","BEST_FPERIOD_OVERRIDE=FQ","FILING_STATUS=MR","Sort=A","Dates=H","DateFormat=P","Fill=—","Direction=H","UseDPDF=Y")</f>
        <v>—</v>
      </c>
      <c r="V9" s="14" t="str">
        <f>_xll.BDH("GILD US Equity","SOCIAL_DISCLOSURE_SCORE","FY 2019","FY 2019","Currency=USD","Period=FQ","BEST_FPERIOD_OVERRIDE=FQ","FILING_STATUS=MR","Sort=A","Dates=H","DateFormat=P","Fill=—","Direction=H","UseDPDF=Y")</f>
        <v>—</v>
      </c>
      <c r="W9" s="14" t="str">
        <f>_xll.BDH("GILD US Equity","SOCIAL_DISCLOSURE_SCORE","FY 2020","FY 2020","Currency=USD","Period=FQ","BEST_FPERIOD_OVERRIDE=FQ","FILING_STATUS=MR","Sort=A","Dates=H","DateFormat=P","Fill=—","Direction=H","UseDPDF=Y")</f>
        <v>—</v>
      </c>
      <c r="X9" s="14" t="str">
        <f>_xll.BDH("GILD US Equity","SOCIAL_DISCLOSURE_SCORE","FY 2021","FY 2021","Currency=USD","Period=FQ","BEST_FPERIOD_OVERRIDE=FQ","FILING_STATUS=MR","Sort=A","Dates=H","DateFormat=P","Fill=—","Direction=H","UseDPDF=Y")</f>
        <v>—</v>
      </c>
      <c r="Y9" s="14" t="str">
        <f>_xll.BDH("GILD US Equity","SOCIAL_DISCLOSURE_SCORE","FY 2022","FY 2022","Currency=USD","Period=FQ","BEST_FPERIOD_OVERRIDE=FQ","FILING_STATUS=MR","Sort=A","Dates=H","DateFormat=P","Fill=—","Direction=H","UseDPDF=Y")</f>
        <v>—</v>
      </c>
      <c r="Z9" s="14" t="str">
        <f>_xll.BDH("GILD US Equity","SOCIAL_DISCLOSURE_SCORE","FY 2023","FY 2023","Currency=USD","Period=FQ","BEST_FPERIOD_OVERRIDE=FQ","FILING_STATUS=MR","Sort=A","Dates=H","DateFormat=P","Fill=—","Direction=H","UseDPDF=Y")</f>
        <v>—</v>
      </c>
      <c r="AA9" s="14" t="str">
        <f>_xll.BDH("GILD US Equity","SOCIAL_DISCLOSURE_SCORE","FY 2024","FY 2024","Currency=USD","Period=FQ","BEST_FPERIOD_OVERRIDE=FQ","FILING_STATUS=MR","Sort=A","Dates=H","DateFormat=P","Fill=—","Direction=H","UseDPDF=Y")</f>
        <v>—</v>
      </c>
    </row>
    <row r="10" spans="1:27" x14ac:dyDescent="0.25">
      <c r="A10" s="10" t="s">
        <v>1948</v>
      </c>
      <c r="B10" s="10" t="s">
        <v>1949</v>
      </c>
      <c r="C10" s="14" t="str">
        <f>_xll.BDH("GILD US Equity","GOVNCE_DISCLOSURE_SCORE","FY 2000","FY 2000","Currency=USD","Period=FQ","BEST_FPERIOD_OVERRIDE=FQ","FILING_STATUS=MR","Sort=A","Dates=H","DateFormat=P","Fill=—","Direction=H","UseDPDF=Y")</f>
        <v>—</v>
      </c>
      <c r="D10" s="14" t="str">
        <f>_xll.BDH("GILD US Equity","GOVNCE_DISCLOSURE_SCORE","FY 2001","FY 2001","Currency=USD","Period=FQ","BEST_FPERIOD_OVERRIDE=FQ","FILING_STATUS=MR","Sort=A","Dates=H","DateFormat=P","Fill=—","Direction=H","UseDPDF=Y")</f>
        <v>—</v>
      </c>
      <c r="E10" s="14" t="str">
        <f>_xll.BDH("GILD US Equity","GOVNCE_DISCLOSURE_SCORE","FY 2002","FY 2002","Currency=USD","Period=FQ","BEST_FPERIOD_OVERRIDE=FQ","FILING_STATUS=MR","Sort=A","Dates=H","DateFormat=P","Fill=—","Direction=H","UseDPDF=Y")</f>
        <v>—</v>
      </c>
      <c r="F10" s="14" t="str">
        <f>_xll.BDH("GILD US Equity","GOVNCE_DISCLOSURE_SCORE","FY 2003","FY 2003","Currency=USD","Period=FQ","BEST_FPERIOD_OVERRIDE=FQ","FILING_STATUS=MR","Sort=A","Dates=H","DateFormat=P","Fill=—","Direction=H","UseDPDF=Y")</f>
        <v>—</v>
      </c>
      <c r="G10" s="14" t="str">
        <f>_xll.BDH("GILD US Equity","GOVNCE_DISCLOSURE_SCORE","FY 2004","FY 2004","Currency=USD","Period=FQ","BEST_FPERIOD_OVERRIDE=FQ","FILING_STATUS=MR","Sort=A","Dates=H","DateFormat=P","Fill=—","Direction=H","UseDPDF=Y")</f>
        <v>—</v>
      </c>
      <c r="H10" s="14" t="str">
        <f>_xll.BDH("GILD US Equity","GOVNCE_DISCLOSURE_SCORE","FY 2005","FY 2005","Currency=USD","Period=FQ","BEST_FPERIOD_OVERRIDE=FQ","FILING_STATUS=MR","Sort=A","Dates=H","DateFormat=P","Fill=—","Direction=H","UseDPDF=Y")</f>
        <v>—</v>
      </c>
      <c r="I10" s="14" t="str">
        <f>_xll.BDH("GILD US Equity","GOVNCE_DISCLOSURE_SCORE","FY 2006","FY 2006","Currency=USD","Period=FQ","BEST_FPERIOD_OVERRIDE=FQ","FILING_STATUS=MR","Sort=A","Dates=H","DateFormat=P","Fill=—","Direction=H","UseDPDF=Y")</f>
        <v>—</v>
      </c>
      <c r="J10" s="14" t="str">
        <f>_xll.BDH("GILD US Equity","GOVNCE_DISCLOSURE_SCORE","FY 2007","FY 2007","Currency=USD","Period=FQ","BEST_FPERIOD_OVERRIDE=FQ","FILING_STATUS=MR","Sort=A","Dates=H","DateFormat=P","Fill=—","Direction=H","UseDPDF=Y")</f>
        <v>—</v>
      </c>
      <c r="K10" s="14" t="str">
        <f>_xll.BDH("GILD US Equity","GOVNCE_DISCLOSURE_SCORE","FY 2008","FY 2008","Currency=USD","Period=FQ","BEST_FPERIOD_OVERRIDE=FQ","FILING_STATUS=MR","Sort=A","Dates=H","DateFormat=P","Fill=—","Direction=H","UseDPDF=Y")</f>
        <v>—</v>
      </c>
      <c r="L10" s="14" t="str">
        <f>_xll.BDH("GILD US Equity","GOVNCE_DISCLOSURE_SCORE","FY 2009","FY 2009","Currency=USD","Period=FQ","BEST_FPERIOD_OVERRIDE=FQ","FILING_STATUS=MR","Sort=A","Dates=H","DateFormat=P","Fill=—","Direction=H","UseDPDF=Y")</f>
        <v>—</v>
      </c>
      <c r="M10" s="14" t="str">
        <f>_xll.BDH("GILD US Equity","GOVNCE_DISCLOSURE_SCORE","FY 2010","FY 2010","Currency=USD","Period=FQ","BEST_FPERIOD_OVERRIDE=FQ","FILING_STATUS=MR","Sort=A","Dates=H","DateFormat=P","Fill=—","Direction=H","UseDPDF=Y")</f>
        <v>—</v>
      </c>
      <c r="N10" s="14" t="str">
        <f>_xll.BDH("GILD US Equity","GOVNCE_DISCLOSURE_SCORE","FY 2011","FY 2011","Currency=USD","Period=FQ","BEST_FPERIOD_OVERRIDE=FQ","FILING_STATUS=MR","Sort=A","Dates=H","DateFormat=P","Fill=—","Direction=H","UseDPDF=Y")</f>
        <v>—</v>
      </c>
      <c r="O10" s="14" t="str">
        <f>_xll.BDH("GILD US Equity","GOVNCE_DISCLOSURE_SCORE","FY 2012","FY 2012","Currency=USD","Period=FQ","BEST_FPERIOD_OVERRIDE=FQ","FILING_STATUS=MR","Sort=A","Dates=H","DateFormat=P","Fill=—","Direction=H","UseDPDF=Y")</f>
        <v>—</v>
      </c>
      <c r="P10" s="14" t="str">
        <f>_xll.BDH("GILD US Equity","GOVNCE_DISCLOSURE_SCORE","FY 2013","FY 2013","Currency=USD","Period=FQ","BEST_FPERIOD_OVERRIDE=FQ","FILING_STATUS=MR","Sort=A","Dates=H","DateFormat=P","Fill=—","Direction=H","UseDPDF=Y")</f>
        <v>—</v>
      </c>
      <c r="Q10" s="14" t="str">
        <f>_xll.BDH("GILD US Equity","GOVNCE_DISCLOSURE_SCORE","FY 2014","FY 2014","Currency=USD","Period=FQ","BEST_FPERIOD_OVERRIDE=FQ","FILING_STATUS=MR","Sort=A","Dates=H","DateFormat=P","Fill=—","Direction=H","UseDPDF=Y")</f>
        <v>—</v>
      </c>
      <c r="R10" s="14" t="str">
        <f>_xll.BDH("GILD US Equity","GOVNCE_DISCLOSURE_SCORE","FY 2015","FY 2015","Currency=USD","Period=FQ","BEST_FPERIOD_OVERRIDE=FQ","FILING_STATUS=MR","Sort=A","Dates=H","DateFormat=P","Fill=—","Direction=H","UseDPDF=Y")</f>
        <v>—</v>
      </c>
      <c r="S10" s="14" t="str">
        <f>_xll.BDH("GILD US Equity","GOVNCE_DISCLOSURE_SCORE","FY 2016","FY 2016","Currency=USD","Period=FQ","BEST_FPERIOD_OVERRIDE=FQ","FILING_STATUS=MR","Sort=A","Dates=H","DateFormat=P","Fill=—","Direction=H","UseDPDF=Y")</f>
        <v>—</v>
      </c>
      <c r="T10" s="14" t="str">
        <f>_xll.BDH("GILD US Equity","GOVNCE_DISCLOSURE_SCORE","FY 2017","FY 2017","Currency=USD","Period=FQ","BEST_FPERIOD_OVERRIDE=FQ","FILING_STATUS=MR","Sort=A","Dates=H","DateFormat=P","Fill=—","Direction=H","UseDPDF=Y")</f>
        <v>—</v>
      </c>
      <c r="U10" s="14" t="str">
        <f>_xll.BDH("GILD US Equity","GOVNCE_DISCLOSURE_SCORE","FY 2018","FY 2018","Currency=USD","Period=FQ","BEST_FPERIOD_OVERRIDE=FQ","FILING_STATUS=MR","Sort=A","Dates=H","DateFormat=P","Fill=—","Direction=H","UseDPDF=Y")</f>
        <v>—</v>
      </c>
      <c r="V10" s="14" t="str">
        <f>_xll.BDH("GILD US Equity","GOVNCE_DISCLOSURE_SCORE","FY 2019","FY 2019","Currency=USD","Period=FQ","BEST_FPERIOD_OVERRIDE=FQ","FILING_STATUS=MR","Sort=A","Dates=H","DateFormat=P","Fill=—","Direction=H","UseDPDF=Y")</f>
        <v>—</v>
      </c>
      <c r="W10" s="14" t="str">
        <f>_xll.BDH("GILD US Equity","GOVNCE_DISCLOSURE_SCORE","FY 2020","FY 2020","Currency=USD","Period=FQ","BEST_FPERIOD_OVERRIDE=FQ","FILING_STATUS=MR","Sort=A","Dates=H","DateFormat=P","Fill=—","Direction=H","UseDPDF=Y")</f>
        <v>—</v>
      </c>
      <c r="X10" s="14" t="str">
        <f>_xll.BDH("GILD US Equity","GOVNCE_DISCLOSURE_SCORE","FY 2021","FY 2021","Currency=USD","Period=FQ","BEST_FPERIOD_OVERRIDE=FQ","FILING_STATUS=MR","Sort=A","Dates=H","DateFormat=P","Fill=—","Direction=H","UseDPDF=Y")</f>
        <v>—</v>
      </c>
      <c r="Y10" s="14" t="str">
        <f>_xll.BDH("GILD US Equity","GOVNCE_DISCLOSURE_SCORE","FY 2022","FY 2022","Currency=USD","Period=FQ","BEST_FPERIOD_OVERRIDE=FQ","FILING_STATUS=MR","Sort=A","Dates=H","DateFormat=P","Fill=—","Direction=H","UseDPDF=Y")</f>
        <v>—</v>
      </c>
      <c r="Z10" s="14" t="str">
        <f>_xll.BDH("GILD US Equity","GOVNCE_DISCLOSURE_SCORE","FY 2023","FY 2023","Currency=USD","Period=FQ","BEST_FPERIOD_OVERRIDE=FQ","FILING_STATUS=MR","Sort=A","Dates=H","DateFormat=P","Fill=—","Direction=H","UseDPDF=Y")</f>
        <v>—</v>
      </c>
      <c r="AA10" s="14" t="str">
        <f>_xll.BDH("GILD US Equity","GOVNCE_DISCLOSURE_SCORE","FY 2024","FY 2024","Currency=USD","Period=FQ","BEST_FPERIOD_OVERRIDE=FQ","FILING_STATUS=MR","Sort=A","Dates=H","DateFormat=P","Fill=—","Direction=H","UseDPDF=Y")</f>
        <v>—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6" t="s">
        <v>1950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10" t="s">
        <v>1951</v>
      </c>
      <c r="B13" s="10" t="s">
        <v>1952</v>
      </c>
      <c r="C13" s="14" t="str">
        <f>_xll.BDH("GILD US Equity","GHG_INTENSITY_PER_SALES","FY 2000","FY 2000","Currency=USD","Period=FQ","BEST_FPERIOD_OVERRIDE=FQ","FILING_STATUS=MR","FA_ADJUSTED=GAAP","Sort=A","Dates=H","DateFormat=P","Fill=—","Direction=H","UseDPDF=Y")</f>
        <v>—</v>
      </c>
      <c r="D13" s="14" t="str">
        <f>_xll.BDH("GILD US Equity","GHG_INTENSITY_PER_SALES","FY 2001","FY 2001","Currency=USD","Period=FQ","BEST_FPERIOD_OVERRIDE=FQ","FILING_STATUS=MR","FA_ADJUSTED=GAAP","Sort=A","Dates=H","DateFormat=P","Fill=—","Direction=H","UseDPDF=Y")</f>
        <v>—</v>
      </c>
      <c r="E13" s="14" t="str">
        <f>_xll.BDH("GILD US Equity","GHG_INTENSITY_PER_SALES","FY 2002","FY 2002","Currency=USD","Period=FQ","BEST_FPERIOD_OVERRIDE=FQ","FILING_STATUS=MR","FA_ADJUSTED=GAAP","Sort=A","Dates=H","DateFormat=P","Fill=—","Direction=H","UseDPDF=Y")</f>
        <v>—</v>
      </c>
      <c r="F13" s="14" t="str">
        <f>_xll.BDH("GILD US Equity","GHG_INTENSITY_PER_SALES","FY 2003","FY 2003","Currency=USD","Period=FQ","BEST_FPERIOD_OVERRIDE=FQ","FILING_STATUS=MR","FA_ADJUSTED=GAAP","Sort=A","Dates=H","DateFormat=P","Fill=—","Direction=H","UseDPDF=Y")</f>
        <v>—</v>
      </c>
      <c r="G13" s="14" t="str">
        <f>_xll.BDH("GILD US Equity","GHG_INTENSITY_PER_SALES","FY 2004","FY 2004","Currency=USD","Period=FQ","BEST_FPERIOD_OVERRIDE=FQ","FILING_STATUS=MR","FA_ADJUSTED=GAAP","Sort=A","Dates=H","DateFormat=P","Fill=—","Direction=H","UseDPDF=Y")</f>
        <v>—</v>
      </c>
      <c r="H13" s="14" t="str">
        <f>_xll.BDH("GILD US Equity","GHG_INTENSITY_PER_SALES","FY 2005","FY 2005","Currency=USD","Period=FQ","BEST_FPERIOD_OVERRIDE=FQ","FILING_STATUS=MR","FA_ADJUSTED=GAAP","Sort=A","Dates=H","DateFormat=P","Fill=—","Direction=H","UseDPDF=Y")</f>
        <v>—</v>
      </c>
      <c r="I13" s="14" t="str">
        <f>_xll.BDH("GILD US Equity","GHG_INTENSITY_PER_SALES","FY 2006","FY 2006","Currency=USD","Period=FQ","BEST_FPERIOD_OVERRIDE=FQ","FILING_STATUS=MR","FA_ADJUSTED=GAAP","Sort=A","Dates=H","DateFormat=P","Fill=—","Direction=H","UseDPDF=Y")</f>
        <v>—</v>
      </c>
      <c r="J13" s="14" t="str">
        <f>_xll.BDH("GILD US Equity","GHG_INTENSITY_PER_SALES","FY 2007","FY 2007","Currency=USD","Period=FQ","BEST_FPERIOD_OVERRIDE=FQ","FILING_STATUS=MR","FA_ADJUSTED=GAAP","Sort=A","Dates=H","DateFormat=P","Fill=—","Direction=H","UseDPDF=Y")</f>
        <v>—</v>
      </c>
      <c r="K13" s="14" t="str">
        <f>_xll.BDH("GILD US Equity","GHG_INTENSITY_PER_SALES","FY 2008","FY 2008","Currency=USD","Period=FQ","BEST_FPERIOD_OVERRIDE=FQ","FILING_STATUS=MR","FA_ADJUSTED=GAAP","Sort=A","Dates=H","DateFormat=P","Fill=—","Direction=H","UseDPDF=Y")</f>
        <v>—</v>
      </c>
      <c r="L13" s="14" t="str">
        <f>_xll.BDH("GILD US Equity","GHG_INTENSITY_PER_SALES","FY 2009","FY 2009","Currency=USD","Period=FQ","BEST_FPERIOD_OVERRIDE=FQ","FILING_STATUS=MR","FA_ADJUSTED=GAAP","Sort=A","Dates=H","DateFormat=P","Fill=—","Direction=H","UseDPDF=Y")</f>
        <v>—</v>
      </c>
      <c r="M13" s="14" t="str">
        <f>_xll.BDH("GILD US Equity","GHG_INTENSITY_PER_SALES","FY 2010","FY 2010","Currency=USD","Period=FQ","BEST_FPERIOD_OVERRIDE=FQ","FILING_STATUS=MR","FA_ADJUSTED=GAAP","Sort=A","Dates=H","DateFormat=P","Fill=—","Direction=H","UseDPDF=Y")</f>
        <v>—</v>
      </c>
      <c r="N13" s="14" t="str">
        <f>_xll.BDH("GILD US Equity","GHG_INTENSITY_PER_SALES","FY 2011","FY 2011","Currency=USD","Period=FQ","BEST_FPERIOD_OVERRIDE=FQ","FILING_STATUS=MR","FA_ADJUSTED=GAAP","Sort=A","Dates=H","DateFormat=P","Fill=—","Direction=H","UseDPDF=Y")</f>
        <v>—</v>
      </c>
      <c r="O13" s="14" t="str">
        <f>_xll.BDH("GILD US Equity","GHG_INTENSITY_PER_SALES","FY 2012","FY 2012","Currency=USD","Period=FQ","BEST_FPERIOD_OVERRIDE=FQ","FILING_STATUS=MR","FA_ADJUSTED=GAAP","Sort=A","Dates=H","DateFormat=P","Fill=—","Direction=H","UseDPDF=Y")</f>
        <v>—</v>
      </c>
      <c r="P13" s="14" t="str">
        <f>_xll.BDH("GILD US Equity","GHG_INTENSITY_PER_SALES","FY 2013","FY 2013","Currency=USD","Period=FQ","BEST_FPERIOD_OVERRIDE=FQ","FILING_STATUS=MR","FA_ADJUSTED=GAAP","Sort=A","Dates=H","DateFormat=P","Fill=—","Direction=H","UseDPDF=Y")</f>
        <v>—</v>
      </c>
      <c r="Q13" s="14" t="str">
        <f>_xll.BDH("GILD US Equity","GHG_INTENSITY_PER_SALES","FY 2014","FY 2014","Currency=USD","Period=FQ","BEST_FPERIOD_OVERRIDE=FQ","FILING_STATUS=MR","FA_ADJUSTED=GAAP","Sort=A","Dates=H","DateFormat=P","Fill=—","Direction=H","UseDPDF=Y")</f>
        <v>—</v>
      </c>
      <c r="R13" s="14" t="str">
        <f>_xll.BDH("GILD US Equity","GHG_INTENSITY_PER_SALES","FY 2015","FY 2015","Currency=USD","Period=FQ","BEST_FPERIOD_OVERRIDE=FQ","FILING_STATUS=MR","FA_ADJUSTED=GAAP","Sort=A","Dates=H","DateFormat=P","Fill=—","Direction=H","UseDPDF=Y")</f>
        <v>—</v>
      </c>
      <c r="S13" s="14" t="str">
        <f>_xll.BDH("GILD US Equity","GHG_INTENSITY_PER_SALES","FY 2016","FY 2016","Currency=USD","Period=FQ","BEST_FPERIOD_OVERRIDE=FQ","FILING_STATUS=MR","FA_ADJUSTED=GAAP","Sort=A","Dates=H","DateFormat=P","Fill=—","Direction=H","UseDPDF=Y")</f>
        <v>—</v>
      </c>
      <c r="T13" s="14" t="str">
        <f>_xll.BDH("GILD US Equity","GHG_INTENSITY_PER_SALES","FY 2017","FY 2017","Currency=USD","Period=FQ","BEST_FPERIOD_OVERRIDE=FQ","FILING_STATUS=MR","FA_ADJUSTED=GAAP","Sort=A","Dates=H","DateFormat=P","Fill=—","Direction=H","UseDPDF=Y")</f>
        <v>—</v>
      </c>
      <c r="U13" s="14" t="str">
        <f>_xll.BDH("GILD US Equity","GHG_INTENSITY_PER_SALES","FY 2018","FY 2018","Currency=USD","Period=FQ","BEST_FPERIOD_OVERRIDE=FQ","FILING_STATUS=MR","FA_ADJUSTED=GAAP","Sort=A","Dates=H","DateFormat=P","Fill=—","Direction=H","UseDPDF=Y")</f>
        <v>—</v>
      </c>
      <c r="V13" s="14" t="str">
        <f>_xll.BDH("GILD US Equity","GHG_INTENSITY_PER_SALES","FY 2019","FY 2019","Currency=USD","Period=FQ","BEST_FPERIOD_OVERRIDE=FQ","FILING_STATUS=MR","FA_ADJUSTED=GAAP","Sort=A","Dates=H","DateFormat=P","Fill=—","Direction=H","UseDPDF=Y")</f>
        <v>—</v>
      </c>
      <c r="W13" s="14" t="str">
        <f>_xll.BDH("GILD US Equity","GHG_INTENSITY_PER_SALES","FY 2020","FY 2020","Currency=USD","Period=FQ","BEST_FPERIOD_OVERRIDE=FQ","FILING_STATUS=MR","FA_ADJUSTED=GAAP","Sort=A","Dates=H","DateFormat=P","Fill=—","Direction=H","UseDPDF=Y")</f>
        <v>—</v>
      </c>
      <c r="X13" s="14" t="str">
        <f>_xll.BDH("GILD US Equity","GHG_INTENSITY_PER_SALES","FY 2021","FY 2021","Currency=USD","Period=FQ","BEST_FPERIOD_OVERRIDE=FQ","FILING_STATUS=MR","FA_ADJUSTED=GAAP","Sort=A","Dates=H","DateFormat=P","Fill=—","Direction=H","UseDPDF=Y")</f>
        <v>—</v>
      </c>
      <c r="Y13" s="14" t="str">
        <f>_xll.BDH("GILD US Equity","GHG_INTENSITY_PER_SALES","FY 2022","FY 2022","Currency=USD","Period=FQ","BEST_FPERIOD_OVERRIDE=FQ","FILING_STATUS=MR","FA_ADJUSTED=GAAP","Sort=A","Dates=H","DateFormat=P","Fill=—","Direction=H","UseDPDF=Y")</f>
        <v>—</v>
      </c>
      <c r="Z13" s="14" t="str">
        <f>_xll.BDH("GILD US Equity","GHG_INTENSITY_PER_SALES","FY 2023","FY 2023","Currency=USD","Period=FQ","BEST_FPERIOD_OVERRIDE=FQ","FILING_STATUS=MR","FA_ADJUSTED=GAAP","Sort=A","Dates=H","DateFormat=P","Fill=—","Direction=H","UseDPDF=Y")</f>
        <v>—</v>
      </c>
      <c r="AA13" s="14" t="str">
        <f>_xll.BDH("GILD US Equity","GHG_INTENSITY_PER_SALES","FY 2024","FY 2024","Currency=USD","Period=FQ","BEST_FPERIOD_OVERRIDE=FQ","FILING_STATUS=MR","FA_ADJUSTED=GAAP","Sort=A","Dates=H","DateFormat=P","Fill=—","Direction=H","UseDPDF=Y")</f>
        <v>—</v>
      </c>
    </row>
    <row r="14" spans="1:27" x14ac:dyDescent="0.25">
      <c r="A14" s="10" t="s">
        <v>1953</v>
      </c>
      <c r="B14" s="10" t="s">
        <v>1954</v>
      </c>
      <c r="C14" s="14" t="str">
        <f>_xll.BDH("GILD US Equity","GHG_SCOPE_1_INTENSITY_PER_SALES","FY 2000","FY 2000","Currency=USD","Period=FQ","BEST_FPERIOD_OVERRIDE=FQ","FILING_STATUS=MR","FA_ADJUSTED=GAAP","Sort=A","Dates=H","DateFormat=P","Fill=—","Direction=H","UseDPDF=Y")</f>
        <v>—</v>
      </c>
      <c r="D14" s="14" t="str">
        <f>_xll.BDH("GILD US Equity","GHG_SCOPE_1_INTENSITY_PER_SALES","FY 2001","FY 2001","Currency=USD","Period=FQ","BEST_FPERIOD_OVERRIDE=FQ","FILING_STATUS=MR","FA_ADJUSTED=GAAP","Sort=A","Dates=H","DateFormat=P","Fill=—","Direction=H","UseDPDF=Y")</f>
        <v>—</v>
      </c>
      <c r="E14" s="14" t="str">
        <f>_xll.BDH("GILD US Equity","GHG_SCOPE_1_INTENSITY_PER_SALES","FY 2002","FY 2002","Currency=USD","Period=FQ","BEST_FPERIOD_OVERRIDE=FQ","FILING_STATUS=MR","FA_ADJUSTED=GAAP","Sort=A","Dates=H","DateFormat=P","Fill=—","Direction=H","UseDPDF=Y")</f>
        <v>—</v>
      </c>
      <c r="F14" s="14" t="str">
        <f>_xll.BDH("GILD US Equity","GHG_SCOPE_1_INTENSITY_PER_SALES","FY 2003","FY 2003","Currency=USD","Period=FQ","BEST_FPERIOD_OVERRIDE=FQ","FILING_STATUS=MR","FA_ADJUSTED=GAAP","Sort=A","Dates=H","DateFormat=P","Fill=—","Direction=H","UseDPDF=Y")</f>
        <v>—</v>
      </c>
      <c r="G14" s="14" t="str">
        <f>_xll.BDH("GILD US Equity","GHG_SCOPE_1_INTENSITY_PER_SALES","FY 2004","FY 2004","Currency=USD","Period=FQ","BEST_FPERIOD_OVERRIDE=FQ","FILING_STATUS=MR","FA_ADJUSTED=GAAP","Sort=A","Dates=H","DateFormat=P","Fill=—","Direction=H","UseDPDF=Y")</f>
        <v>—</v>
      </c>
      <c r="H14" s="14" t="str">
        <f>_xll.BDH("GILD US Equity","GHG_SCOPE_1_INTENSITY_PER_SALES","FY 2005","FY 2005","Currency=USD","Period=FQ","BEST_FPERIOD_OVERRIDE=FQ","FILING_STATUS=MR","FA_ADJUSTED=GAAP","Sort=A","Dates=H","DateFormat=P","Fill=—","Direction=H","UseDPDF=Y")</f>
        <v>—</v>
      </c>
      <c r="I14" s="14" t="str">
        <f>_xll.BDH("GILD US Equity","GHG_SCOPE_1_INTENSITY_PER_SALES","FY 2006","FY 2006","Currency=USD","Period=FQ","BEST_FPERIOD_OVERRIDE=FQ","FILING_STATUS=MR","FA_ADJUSTED=GAAP","Sort=A","Dates=H","DateFormat=P","Fill=—","Direction=H","UseDPDF=Y")</f>
        <v>—</v>
      </c>
      <c r="J14" s="14" t="str">
        <f>_xll.BDH("GILD US Equity","GHG_SCOPE_1_INTENSITY_PER_SALES","FY 2007","FY 2007","Currency=USD","Period=FQ","BEST_FPERIOD_OVERRIDE=FQ","FILING_STATUS=MR","FA_ADJUSTED=GAAP","Sort=A","Dates=H","DateFormat=P","Fill=—","Direction=H","UseDPDF=Y")</f>
        <v>—</v>
      </c>
      <c r="K14" s="14" t="str">
        <f>_xll.BDH("GILD US Equity","GHG_SCOPE_1_INTENSITY_PER_SALES","FY 2008","FY 2008","Currency=USD","Period=FQ","BEST_FPERIOD_OVERRIDE=FQ","FILING_STATUS=MR","FA_ADJUSTED=GAAP","Sort=A","Dates=H","DateFormat=P","Fill=—","Direction=H","UseDPDF=Y")</f>
        <v>—</v>
      </c>
      <c r="L14" s="14" t="str">
        <f>_xll.BDH("GILD US Equity","GHG_SCOPE_1_INTENSITY_PER_SALES","FY 2009","FY 2009","Currency=USD","Period=FQ","BEST_FPERIOD_OVERRIDE=FQ","FILING_STATUS=MR","FA_ADJUSTED=GAAP","Sort=A","Dates=H","DateFormat=P","Fill=—","Direction=H","UseDPDF=Y")</f>
        <v>—</v>
      </c>
      <c r="M14" s="14" t="str">
        <f>_xll.BDH("GILD US Equity","GHG_SCOPE_1_INTENSITY_PER_SALES","FY 2010","FY 2010","Currency=USD","Period=FQ","BEST_FPERIOD_OVERRIDE=FQ","FILING_STATUS=MR","FA_ADJUSTED=GAAP","Sort=A","Dates=H","DateFormat=P","Fill=—","Direction=H","UseDPDF=Y")</f>
        <v>—</v>
      </c>
      <c r="N14" s="14" t="str">
        <f>_xll.BDH("GILD US Equity","GHG_SCOPE_1_INTENSITY_PER_SALES","FY 2011","FY 2011","Currency=USD","Period=FQ","BEST_FPERIOD_OVERRIDE=FQ","FILING_STATUS=MR","FA_ADJUSTED=GAAP","Sort=A","Dates=H","DateFormat=P","Fill=—","Direction=H","UseDPDF=Y")</f>
        <v>—</v>
      </c>
      <c r="O14" s="14" t="str">
        <f>_xll.BDH("GILD US Equity","GHG_SCOPE_1_INTENSITY_PER_SALES","FY 2012","FY 2012","Currency=USD","Period=FQ","BEST_FPERIOD_OVERRIDE=FQ","FILING_STATUS=MR","FA_ADJUSTED=GAAP","Sort=A","Dates=H","DateFormat=P","Fill=—","Direction=H","UseDPDF=Y")</f>
        <v>—</v>
      </c>
      <c r="P14" s="14" t="str">
        <f>_xll.BDH("GILD US Equity","GHG_SCOPE_1_INTENSITY_PER_SALES","FY 2013","FY 2013","Currency=USD","Period=FQ","BEST_FPERIOD_OVERRIDE=FQ","FILING_STATUS=MR","FA_ADJUSTED=GAAP","Sort=A","Dates=H","DateFormat=P","Fill=—","Direction=H","UseDPDF=Y")</f>
        <v>—</v>
      </c>
      <c r="Q14" s="14" t="str">
        <f>_xll.BDH("GILD US Equity","GHG_SCOPE_1_INTENSITY_PER_SALES","FY 2014","FY 2014","Currency=USD","Period=FQ","BEST_FPERIOD_OVERRIDE=FQ","FILING_STATUS=MR","FA_ADJUSTED=GAAP","Sort=A","Dates=H","DateFormat=P","Fill=—","Direction=H","UseDPDF=Y")</f>
        <v>—</v>
      </c>
      <c r="R14" s="14" t="str">
        <f>_xll.BDH("GILD US Equity","GHG_SCOPE_1_INTENSITY_PER_SALES","FY 2015","FY 2015","Currency=USD","Period=FQ","BEST_FPERIOD_OVERRIDE=FQ","FILING_STATUS=MR","FA_ADJUSTED=GAAP","Sort=A","Dates=H","DateFormat=P","Fill=—","Direction=H","UseDPDF=Y")</f>
        <v>—</v>
      </c>
      <c r="S14" s="14" t="str">
        <f>_xll.BDH("GILD US Equity","GHG_SCOPE_1_INTENSITY_PER_SALES","FY 2016","FY 2016","Currency=USD","Period=FQ","BEST_FPERIOD_OVERRIDE=FQ","FILING_STATUS=MR","FA_ADJUSTED=GAAP","Sort=A","Dates=H","DateFormat=P","Fill=—","Direction=H","UseDPDF=Y")</f>
        <v>—</v>
      </c>
      <c r="T14" s="14" t="str">
        <f>_xll.BDH("GILD US Equity","GHG_SCOPE_1_INTENSITY_PER_SALES","FY 2017","FY 2017","Currency=USD","Period=FQ","BEST_FPERIOD_OVERRIDE=FQ","FILING_STATUS=MR","FA_ADJUSTED=GAAP","Sort=A","Dates=H","DateFormat=P","Fill=—","Direction=H","UseDPDF=Y")</f>
        <v>—</v>
      </c>
      <c r="U14" s="14" t="str">
        <f>_xll.BDH("GILD US Equity","GHG_SCOPE_1_INTENSITY_PER_SALES","FY 2018","FY 2018","Currency=USD","Period=FQ","BEST_FPERIOD_OVERRIDE=FQ","FILING_STATUS=MR","FA_ADJUSTED=GAAP","Sort=A","Dates=H","DateFormat=P","Fill=—","Direction=H","UseDPDF=Y")</f>
        <v>—</v>
      </c>
      <c r="V14" s="14" t="str">
        <f>_xll.BDH("GILD US Equity","GHG_SCOPE_1_INTENSITY_PER_SALES","FY 2019","FY 2019","Currency=USD","Period=FQ","BEST_FPERIOD_OVERRIDE=FQ","FILING_STATUS=MR","FA_ADJUSTED=GAAP","Sort=A","Dates=H","DateFormat=P","Fill=—","Direction=H","UseDPDF=Y")</f>
        <v>—</v>
      </c>
      <c r="W14" s="14" t="str">
        <f>_xll.BDH("GILD US Equity","GHG_SCOPE_1_INTENSITY_PER_SALES","FY 2020","FY 2020","Currency=USD","Period=FQ","BEST_FPERIOD_OVERRIDE=FQ","FILING_STATUS=MR","FA_ADJUSTED=GAAP","Sort=A","Dates=H","DateFormat=P","Fill=—","Direction=H","UseDPDF=Y")</f>
        <v>—</v>
      </c>
      <c r="X14" s="14" t="str">
        <f>_xll.BDH("GILD US Equity","GHG_SCOPE_1_INTENSITY_PER_SALES","FY 2021","FY 2021","Currency=USD","Period=FQ","BEST_FPERIOD_OVERRIDE=FQ","FILING_STATUS=MR","FA_ADJUSTED=GAAP","Sort=A","Dates=H","DateFormat=P","Fill=—","Direction=H","UseDPDF=Y")</f>
        <v>—</v>
      </c>
      <c r="Y14" s="14" t="str">
        <f>_xll.BDH("GILD US Equity","GHG_SCOPE_1_INTENSITY_PER_SALES","FY 2022","FY 2022","Currency=USD","Period=FQ","BEST_FPERIOD_OVERRIDE=FQ","FILING_STATUS=MR","FA_ADJUSTED=GAAP","Sort=A","Dates=H","DateFormat=P","Fill=—","Direction=H","UseDPDF=Y")</f>
        <v>—</v>
      </c>
      <c r="Z14" s="14" t="str">
        <f>_xll.BDH("GILD US Equity","GHG_SCOPE_1_INTENSITY_PER_SALES","FY 2023","FY 2023","Currency=USD","Period=FQ","BEST_FPERIOD_OVERRIDE=FQ","FILING_STATUS=MR","FA_ADJUSTED=GAAP","Sort=A","Dates=H","DateFormat=P","Fill=—","Direction=H","UseDPDF=Y")</f>
        <v>—</v>
      </c>
      <c r="AA14" s="14" t="str">
        <f>_xll.BDH("GILD US Equity","GHG_SCOPE_1_INTENSITY_PER_SALES","FY 2024","FY 2024","Currency=USD","Period=FQ","BEST_FPERIOD_OVERRIDE=FQ","FILING_STATUS=MR","FA_ADJUSTED=GAAP","Sort=A","Dates=H","DateFormat=P","Fill=—","Direction=H","UseDPDF=Y")</f>
        <v>—</v>
      </c>
    </row>
    <row r="15" spans="1:27" x14ac:dyDescent="0.25">
      <c r="A15" s="10" t="s">
        <v>1955</v>
      </c>
      <c r="B15" s="10" t="s">
        <v>1956</v>
      </c>
      <c r="C15" s="14" t="str">
        <f>_xll.BDH("GILD US Equity","GHG_SCOPE_2_INTENSITY_PER_SALES","FY 2000","FY 2000","Currency=USD","Period=FQ","BEST_FPERIOD_OVERRIDE=FQ","FILING_STATUS=MR","FA_ADJUSTED=GAAP","Sort=A","Dates=H","DateFormat=P","Fill=—","Direction=H","UseDPDF=Y")</f>
        <v>—</v>
      </c>
      <c r="D15" s="14" t="str">
        <f>_xll.BDH("GILD US Equity","GHG_SCOPE_2_INTENSITY_PER_SALES","FY 2001","FY 2001","Currency=USD","Period=FQ","BEST_FPERIOD_OVERRIDE=FQ","FILING_STATUS=MR","FA_ADJUSTED=GAAP","Sort=A","Dates=H","DateFormat=P","Fill=—","Direction=H","UseDPDF=Y")</f>
        <v>—</v>
      </c>
      <c r="E15" s="14" t="str">
        <f>_xll.BDH("GILD US Equity","GHG_SCOPE_2_INTENSITY_PER_SALES","FY 2002","FY 2002","Currency=USD","Period=FQ","BEST_FPERIOD_OVERRIDE=FQ","FILING_STATUS=MR","FA_ADJUSTED=GAAP","Sort=A","Dates=H","DateFormat=P","Fill=—","Direction=H","UseDPDF=Y")</f>
        <v>—</v>
      </c>
      <c r="F15" s="14" t="str">
        <f>_xll.BDH("GILD US Equity","GHG_SCOPE_2_INTENSITY_PER_SALES","FY 2003","FY 2003","Currency=USD","Period=FQ","BEST_FPERIOD_OVERRIDE=FQ","FILING_STATUS=MR","FA_ADJUSTED=GAAP","Sort=A","Dates=H","DateFormat=P","Fill=—","Direction=H","UseDPDF=Y")</f>
        <v>—</v>
      </c>
      <c r="G15" s="14" t="str">
        <f>_xll.BDH("GILD US Equity","GHG_SCOPE_2_INTENSITY_PER_SALES","FY 2004","FY 2004","Currency=USD","Period=FQ","BEST_FPERIOD_OVERRIDE=FQ","FILING_STATUS=MR","FA_ADJUSTED=GAAP","Sort=A","Dates=H","DateFormat=P","Fill=—","Direction=H","UseDPDF=Y")</f>
        <v>—</v>
      </c>
      <c r="H15" s="14" t="str">
        <f>_xll.BDH("GILD US Equity","GHG_SCOPE_2_INTENSITY_PER_SALES","FY 2005","FY 2005","Currency=USD","Period=FQ","BEST_FPERIOD_OVERRIDE=FQ","FILING_STATUS=MR","FA_ADJUSTED=GAAP","Sort=A","Dates=H","DateFormat=P","Fill=—","Direction=H","UseDPDF=Y")</f>
        <v>—</v>
      </c>
      <c r="I15" s="14" t="str">
        <f>_xll.BDH("GILD US Equity","GHG_SCOPE_2_INTENSITY_PER_SALES","FY 2006","FY 2006","Currency=USD","Period=FQ","BEST_FPERIOD_OVERRIDE=FQ","FILING_STATUS=MR","FA_ADJUSTED=GAAP","Sort=A","Dates=H","DateFormat=P","Fill=—","Direction=H","UseDPDF=Y")</f>
        <v>—</v>
      </c>
      <c r="J15" s="14" t="str">
        <f>_xll.BDH("GILD US Equity","GHG_SCOPE_2_INTENSITY_PER_SALES","FY 2007","FY 2007","Currency=USD","Period=FQ","BEST_FPERIOD_OVERRIDE=FQ","FILING_STATUS=MR","FA_ADJUSTED=GAAP","Sort=A","Dates=H","DateFormat=P","Fill=—","Direction=H","UseDPDF=Y")</f>
        <v>—</v>
      </c>
      <c r="K15" s="14" t="str">
        <f>_xll.BDH("GILD US Equity","GHG_SCOPE_2_INTENSITY_PER_SALES","FY 2008","FY 2008","Currency=USD","Period=FQ","BEST_FPERIOD_OVERRIDE=FQ","FILING_STATUS=MR","FA_ADJUSTED=GAAP","Sort=A","Dates=H","DateFormat=P","Fill=—","Direction=H","UseDPDF=Y")</f>
        <v>—</v>
      </c>
      <c r="L15" s="14" t="str">
        <f>_xll.BDH("GILD US Equity","GHG_SCOPE_2_INTENSITY_PER_SALES","FY 2009","FY 2009","Currency=USD","Period=FQ","BEST_FPERIOD_OVERRIDE=FQ","FILING_STATUS=MR","FA_ADJUSTED=GAAP","Sort=A","Dates=H","DateFormat=P","Fill=—","Direction=H","UseDPDF=Y")</f>
        <v>—</v>
      </c>
      <c r="M15" s="14" t="str">
        <f>_xll.BDH("GILD US Equity","GHG_SCOPE_2_INTENSITY_PER_SALES","FY 2010","FY 2010","Currency=USD","Period=FQ","BEST_FPERIOD_OVERRIDE=FQ","FILING_STATUS=MR","FA_ADJUSTED=GAAP","Sort=A","Dates=H","DateFormat=P","Fill=—","Direction=H","UseDPDF=Y")</f>
        <v>—</v>
      </c>
      <c r="N15" s="14" t="str">
        <f>_xll.BDH("GILD US Equity","GHG_SCOPE_2_INTENSITY_PER_SALES","FY 2011","FY 2011","Currency=USD","Period=FQ","BEST_FPERIOD_OVERRIDE=FQ","FILING_STATUS=MR","FA_ADJUSTED=GAAP","Sort=A","Dates=H","DateFormat=P","Fill=—","Direction=H","UseDPDF=Y")</f>
        <v>—</v>
      </c>
      <c r="O15" s="14" t="str">
        <f>_xll.BDH("GILD US Equity","GHG_SCOPE_2_INTENSITY_PER_SALES","FY 2012","FY 2012","Currency=USD","Period=FQ","BEST_FPERIOD_OVERRIDE=FQ","FILING_STATUS=MR","FA_ADJUSTED=GAAP","Sort=A","Dates=H","DateFormat=P","Fill=—","Direction=H","UseDPDF=Y")</f>
        <v>—</v>
      </c>
      <c r="P15" s="14" t="str">
        <f>_xll.BDH("GILD US Equity","GHG_SCOPE_2_INTENSITY_PER_SALES","FY 2013","FY 2013","Currency=USD","Period=FQ","BEST_FPERIOD_OVERRIDE=FQ","FILING_STATUS=MR","FA_ADJUSTED=GAAP","Sort=A","Dates=H","DateFormat=P","Fill=—","Direction=H","UseDPDF=Y")</f>
        <v>—</v>
      </c>
      <c r="Q15" s="14" t="str">
        <f>_xll.BDH("GILD US Equity","GHG_SCOPE_2_INTENSITY_PER_SALES","FY 2014","FY 2014","Currency=USD","Period=FQ","BEST_FPERIOD_OVERRIDE=FQ","FILING_STATUS=MR","FA_ADJUSTED=GAAP","Sort=A","Dates=H","DateFormat=P","Fill=—","Direction=H","UseDPDF=Y")</f>
        <v>—</v>
      </c>
      <c r="R15" s="14" t="str">
        <f>_xll.BDH("GILD US Equity","GHG_SCOPE_2_INTENSITY_PER_SALES","FY 2015","FY 2015","Currency=USD","Period=FQ","BEST_FPERIOD_OVERRIDE=FQ","FILING_STATUS=MR","FA_ADJUSTED=GAAP","Sort=A","Dates=H","DateFormat=P","Fill=—","Direction=H","UseDPDF=Y")</f>
        <v>—</v>
      </c>
      <c r="S15" s="14" t="str">
        <f>_xll.BDH("GILD US Equity","GHG_SCOPE_2_INTENSITY_PER_SALES","FY 2016","FY 2016","Currency=USD","Period=FQ","BEST_FPERIOD_OVERRIDE=FQ","FILING_STATUS=MR","FA_ADJUSTED=GAAP","Sort=A","Dates=H","DateFormat=P","Fill=—","Direction=H","UseDPDF=Y")</f>
        <v>—</v>
      </c>
      <c r="T15" s="14" t="str">
        <f>_xll.BDH("GILD US Equity","GHG_SCOPE_2_INTENSITY_PER_SALES","FY 2017","FY 2017","Currency=USD","Period=FQ","BEST_FPERIOD_OVERRIDE=FQ","FILING_STATUS=MR","FA_ADJUSTED=GAAP","Sort=A","Dates=H","DateFormat=P","Fill=—","Direction=H","UseDPDF=Y")</f>
        <v>—</v>
      </c>
      <c r="U15" s="14" t="str">
        <f>_xll.BDH("GILD US Equity","GHG_SCOPE_2_INTENSITY_PER_SALES","FY 2018","FY 2018","Currency=USD","Period=FQ","BEST_FPERIOD_OVERRIDE=FQ","FILING_STATUS=MR","FA_ADJUSTED=GAAP","Sort=A","Dates=H","DateFormat=P","Fill=—","Direction=H","UseDPDF=Y")</f>
        <v>—</v>
      </c>
      <c r="V15" s="14" t="str">
        <f>_xll.BDH("GILD US Equity","GHG_SCOPE_2_INTENSITY_PER_SALES","FY 2019","FY 2019","Currency=USD","Period=FQ","BEST_FPERIOD_OVERRIDE=FQ","FILING_STATUS=MR","FA_ADJUSTED=GAAP","Sort=A","Dates=H","DateFormat=P","Fill=—","Direction=H","UseDPDF=Y")</f>
        <v>—</v>
      </c>
      <c r="W15" s="14" t="str">
        <f>_xll.BDH("GILD US Equity","GHG_SCOPE_2_INTENSITY_PER_SALES","FY 2020","FY 2020","Currency=USD","Period=FQ","BEST_FPERIOD_OVERRIDE=FQ","FILING_STATUS=MR","FA_ADJUSTED=GAAP","Sort=A","Dates=H","DateFormat=P","Fill=—","Direction=H","UseDPDF=Y")</f>
        <v>—</v>
      </c>
      <c r="X15" s="14" t="str">
        <f>_xll.BDH("GILD US Equity","GHG_SCOPE_2_INTENSITY_PER_SALES","FY 2021","FY 2021","Currency=USD","Period=FQ","BEST_FPERIOD_OVERRIDE=FQ","FILING_STATUS=MR","FA_ADJUSTED=GAAP","Sort=A","Dates=H","DateFormat=P","Fill=—","Direction=H","UseDPDF=Y")</f>
        <v>—</v>
      </c>
      <c r="Y15" s="14" t="str">
        <f>_xll.BDH("GILD US Equity","GHG_SCOPE_2_INTENSITY_PER_SALES","FY 2022","FY 2022","Currency=USD","Period=FQ","BEST_FPERIOD_OVERRIDE=FQ","FILING_STATUS=MR","FA_ADJUSTED=GAAP","Sort=A","Dates=H","DateFormat=P","Fill=—","Direction=H","UseDPDF=Y")</f>
        <v>—</v>
      </c>
      <c r="Z15" s="14" t="str">
        <f>_xll.BDH("GILD US Equity","GHG_SCOPE_2_INTENSITY_PER_SALES","FY 2023","FY 2023","Currency=USD","Period=FQ","BEST_FPERIOD_OVERRIDE=FQ","FILING_STATUS=MR","FA_ADJUSTED=GAAP","Sort=A","Dates=H","DateFormat=P","Fill=—","Direction=H","UseDPDF=Y")</f>
        <v>—</v>
      </c>
      <c r="AA15" s="14" t="str">
        <f>_xll.BDH("GILD US Equity","GHG_SCOPE_2_INTENSITY_PER_SALES","FY 2024","FY 2024","Currency=USD","Period=FQ","BEST_FPERIOD_OVERRIDE=FQ","FILING_STATUS=MR","FA_ADJUSTED=GAAP","Sort=A","Dates=H","DateFormat=P","Fill=—","Direction=H","UseDPDF=Y")</f>
        <v>—</v>
      </c>
    </row>
    <row r="16" spans="1:27" x14ac:dyDescent="0.25">
      <c r="A16" s="10" t="s">
        <v>1957</v>
      </c>
      <c r="B16" s="10" t="s">
        <v>1958</v>
      </c>
      <c r="C16" s="14" t="str">
        <f>_xll.BDH("GILD US Equity","GHG_INTENSITY_PER_EBITDA","FY 2000","FY 2000","Currency=USD","Period=FQ","BEST_FPERIOD_OVERRIDE=FQ","FILING_STATUS=MR","FA_ADJUSTED=GAAP","Sort=A","Dates=H","DateFormat=P","Fill=—","Direction=H","UseDPDF=Y")</f>
        <v>—</v>
      </c>
      <c r="D16" s="14" t="str">
        <f>_xll.BDH("GILD US Equity","GHG_INTENSITY_PER_EBITDA","FY 2001","FY 2001","Currency=USD","Period=FQ","BEST_FPERIOD_OVERRIDE=FQ","FILING_STATUS=MR","FA_ADJUSTED=GAAP","Sort=A","Dates=H","DateFormat=P","Fill=—","Direction=H","UseDPDF=Y")</f>
        <v>—</v>
      </c>
      <c r="E16" s="14" t="str">
        <f>_xll.BDH("GILD US Equity","GHG_INTENSITY_PER_EBITDA","FY 2002","FY 2002","Currency=USD","Period=FQ","BEST_FPERIOD_OVERRIDE=FQ","FILING_STATUS=MR","FA_ADJUSTED=GAAP","Sort=A","Dates=H","DateFormat=P","Fill=—","Direction=H","UseDPDF=Y")</f>
        <v>—</v>
      </c>
      <c r="F16" s="14" t="str">
        <f>_xll.BDH("GILD US Equity","GHG_INTENSITY_PER_EBITDA","FY 2003","FY 2003","Currency=USD","Period=FQ","BEST_FPERIOD_OVERRIDE=FQ","FILING_STATUS=MR","FA_ADJUSTED=GAAP","Sort=A","Dates=H","DateFormat=P","Fill=—","Direction=H","UseDPDF=Y")</f>
        <v>—</v>
      </c>
      <c r="G16" s="14" t="str">
        <f>_xll.BDH("GILD US Equity","GHG_INTENSITY_PER_EBITDA","FY 2004","FY 2004","Currency=USD","Period=FQ","BEST_FPERIOD_OVERRIDE=FQ","FILING_STATUS=MR","FA_ADJUSTED=GAAP","Sort=A","Dates=H","DateFormat=P","Fill=—","Direction=H","UseDPDF=Y")</f>
        <v>—</v>
      </c>
      <c r="H16" s="14" t="str">
        <f>_xll.BDH("GILD US Equity","GHG_INTENSITY_PER_EBITDA","FY 2005","FY 2005","Currency=USD","Period=FQ","BEST_FPERIOD_OVERRIDE=FQ","FILING_STATUS=MR","FA_ADJUSTED=GAAP","Sort=A","Dates=H","DateFormat=P","Fill=—","Direction=H","UseDPDF=Y")</f>
        <v>—</v>
      </c>
      <c r="I16" s="14" t="str">
        <f>_xll.BDH("GILD US Equity","GHG_INTENSITY_PER_EBITDA","FY 2006","FY 2006","Currency=USD","Period=FQ","BEST_FPERIOD_OVERRIDE=FQ","FILING_STATUS=MR","FA_ADJUSTED=GAAP","Sort=A","Dates=H","DateFormat=P","Fill=—","Direction=H","UseDPDF=Y")</f>
        <v>—</v>
      </c>
      <c r="J16" s="14" t="str">
        <f>_xll.BDH("GILD US Equity","GHG_INTENSITY_PER_EBITDA","FY 2007","FY 2007","Currency=USD","Period=FQ","BEST_FPERIOD_OVERRIDE=FQ","FILING_STATUS=MR","FA_ADJUSTED=GAAP","Sort=A","Dates=H","DateFormat=P","Fill=—","Direction=H","UseDPDF=Y")</f>
        <v>—</v>
      </c>
      <c r="K16" s="14" t="str">
        <f>_xll.BDH("GILD US Equity","GHG_INTENSITY_PER_EBITDA","FY 2008","FY 2008","Currency=USD","Period=FQ","BEST_FPERIOD_OVERRIDE=FQ","FILING_STATUS=MR","FA_ADJUSTED=GAAP","Sort=A","Dates=H","DateFormat=P","Fill=—","Direction=H","UseDPDF=Y")</f>
        <v>—</v>
      </c>
      <c r="L16" s="14" t="str">
        <f>_xll.BDH("GILD US Equity","GHG_INTENSITY_PER_EBITDA","FY 2009","FY 2009","Currency=USD","Period=FQ","BEST_FPERIOD_OVERRIDE=FQ","FILING_STATUS=MR","FA_ADJUSTED=GAAP","Sort=A","Dates=H","DateFormat=P","Fill=—","Direction=H","UseDPDF=Y")</f>
        <v>—</v>
      </c>
      <c r="M16" s="14" t="str">
        <f>_xll.BDH("GILD US Equity","GHG_INTENSITY_PER_EBITDA","FY 2010","FY 2010","Currency=USD","Period=FQ","BEST_FPERIOD_OVERRIDE=FQ","FILING_STATUS=MR","FA_ADJUSTED=GAAP","Sort=A","Dates=H","DateFormat=P","Fill=—","Direction=H","UseDPDF=Y")</f>
        <v>—</v>
      </c>
      <c r="N16" s="14" t="str">
        <f>_xll.BDH("GILD US Equity","GHG_INTENSITY_PER_EBITDA","FY 2011","FY 2011","Currency=USD","Period=FQ","BEST_FPERIOD_OVERRIDE=FQ","FILING_STATUS=MR","FA_ADJUSTED=GAAP","Sort=A","Dates=H","DateFormat=P","Fill=—","Direction=H","UseDPDF=Y")</f>
        <v>—</v>
      </c>
      <c r="O16" s="14" t="str">
        <f>_xll.BDH("GILD US Equity","GHG_INTENSITY_PER_EBITDA","FY 2012","FY 2012","Currency=USD","Period=FQ","BEST_FPERIOD_OVERRIDE=FQ","FILING_STATUS=MR","FA_ADJUSTED=GAAP","Sort=A","Dates=H","DateFormat=P","Fill=—","Direction=H","UseDPDF=Y")</f>
        <v>—</v>
      </c>
      <c r="P16" s="14" t="str">
        <f>_xll.BDH("GILD US Equity","GHG_INTENSITY_PER_EBITDA","FY 2013","FY 2013","Currency=USD","Period=FQ","BEST_FPERIOD_OVERRIDE=FQ","FILING_STATUS=MR","FA_ADJUSTED=GAAP","Sort=A","Dates=H","DateFormat=P","Fill=—","Direction=H","UseDPDF=Y")</f>
        <v>—</v>
      </c>
      <c r="Q16" s="14" t="str">
        <f>_xll.BDH("GILD US Equity","GHG_INTENSITY_PER_EBITDA","FY 2014","FY 2014","Currency=USD","Period=FQ","BEST_FPERIOD_OVERRIDE=FQ","FILING_STATUS=MR","FA_ADJUSTED=GAAP","Sort=A","Dates=H","DateFormat=P","Fill=—","Direction=H","UseDPDF=Y")</f>
        <v>—</v>
      </c>
      <c r="R16" s="14" t="str">
        <f>_xll.BDH("GILD US Equity","GHG_INTENSITY_PER_EBITDA","FY 2015","FY 2015","Currency=USD","Period=FQ","BEST_FPERIOD_OVERRIDE=FQ","FILING_STATUS=MR","FA_ADJUSTED=GAAP","Sort=A","Dates=H","DateFormat=P","Fill=—","Direction=H","UseDPDF=Y")</f>
        <v>—</v>
      </c>
      <c r="S16" s="14" t="str">
        <f>_xll.BDH("GILD US Equity","GHG_INTENSITY_PER_EBITDA","FY 2016","FY 2016","Currency=USD","Period=FQ","BEST_FPERIOD_OVERRIDE=FQ","FILING_STATUS=MR","FA_ADJUSTED=GAAP","Sort=A","Dates=H","DateFormat=P","Fill=—","Direction=H","UseDPDF=Y")</f>
        <v>—</v>
      </c>
      <c r="T16" s="14" t="str">
        <f>_xll.BDH("GILD US Equity","GHG_INTENSITY_PER_EBITDA","FY 2017","FY 2017","Currency=USD","Period=FQ","BEST_FPERIOD_OVERRIDE=FQ","FILING_STATUS=MR","FA_ADJUSTED=GAAP","Sort=A","Dates=H","DateFormat=P","Fill=—","Direction=H","UseDPDF=Y")</f>
        <v>—</v>
      </c>
      <c r="U16" s="14" t="str">
        <f>_xll.BDH("GILD US Equity","GHG_INTENSITY_PER_EBITDA","FY 2018","FY 2018","Currency=USD","Period=FQ","BEST_FPERIOD_OVERRIDE=FQ","FILING_STATUS=MR","FA_ADJUSTED=GAAP","Sort=A","Dates=H","DateFormat=P","Fill=—","Direction=H","UseDPDF=Y")</f>
        <v>—</v>
      </c>
      <c r="V16" s="14" t="str">
        <f>_xll.BDH("GILD US Equity","GHG_INTENSITY_PER_EBITDA","FY 2019","FY 2019","Currency=USD","Period=FQ","BEST_FPERIOD_OVERRIDE=FQ","FILING_STATUS=MR","FA_ADJUSTED=GAAP","Sort=A","Dates=H","DateFormat=P","Fill=—","Direction=H","UseDPDF=Y")</f>
        <v>—</v>
      </c>
      <c r="W16" s="14" t="str">
        <f>_xll.BDH("GILD US Equity","GHG_INTENSITY_PER_EBITDA","FY 2020","FY 2020","Currency=USD","Period=FQ","BEST_FPERIOD_OVERRIDE=FQ","FILING_STATUS=MR","FA_ADJUSTED=GAAP","Sort=A","Dates=H","DateFormat=P","Fill=—","Direction=H","UseDPDF=Y")</f>
        <v>—</v>
      </c>
      <c r="X16" s="14" t="str">
        <f>_xll.BDH("GILD US Equity","GHG_INTENSITY_PER_EBITDA","FY 2021","FY 2021","Currency=USD","Period=FQ","BEST_FPERIOD_OVERRIDE=FQ","FILING_STATUS=MR","FA_ADJUSTED=GAAP","Sort=A","Dates=H","DateFormat=P","Fill=—","Direction=H","UseDPDF=Y")</f>
        <v>—</v>
      </c>
      <c r="Y16" s="14" t="str">
        <f>_xll.BDH("GILD US Equity","GHG_INTENSITY_PER_EBITDA","FY 2022","FY 2022","Currency=USD","Period=FQ","BEST_FPERIOD_OVERRIDE=FQ","FILING_STATUS=MR","FA_ADJUSTED=GAAP","Sort=A","Dates=H","DateFormat=P","Fill=—","Direction=H","UseDPDF=Y")</f>
        <v>—</v>
      </c>
      <c r="Z16" s="14" t="str">
        <f>_xll.BDH("GILD US Equity","GHG_INTENSITY_PER_EBITDA","FY 2023","FY 2023","Currency=USD","Period=FQ","BEST_FPERIOD_OVERRIDE=FQ","FILING_STATUS=MR","FA_ADJUSTED=GAAP","Sort=A","Dates=H","DateFormat=P","Fill=—","Direction=H","UseDPDF=Y")</f>
        <v>—</v>
      </c>
      <c r="AA16" s="14" t="str">
        <f>_xll.BDH("GILD US Equity","GHG_INTENSITY_PER_EBITDA","FY 2024","FY 2024","Currency=USD","Period=FQ","BEST_FPERIOD_OVERRIDE=FQ","FILING_STATUS=MR","FA_ADJUSTED=GAAP","Sort=A","Dates=H","DateFormat=P","Fill=—","Direction=H","UseDPDF=Y")</f>
        <v>—</v>
      </c>
    </row>
    <row r="17" spans="1:27" x14ac:dyDescent="0.25">
      <c r="A17" s="10" t="s">
        <v>1959</v>
      </c>
      <c r="B17" s="10" t="s">
        <v>1960</v>
      </c>
      <c r="C17" s="14" t="str">
        <f>_xll.BDH("GILD US Equity","TOT_GHG_CO2_EM_INT_P_GR_FXD_AST","FY 2000","FY 2000","Currency=USD","Period=FQ","BEST_FPERIOD_OVERRIDE=FQ","FILING_STATUS=MR","Sort=A","Dates=H","DateFormat=P","Fill=—","Direction=H","UseDPDF=Y")</f>
        <v>—</v>
      </c>
      <c r="D17" s="14" t="str">
        <f>_xll.BDH("GILD US Equity","TOT_GHG_CO2_EM_INT_P_GR_FXD_AST","FY 2001","FY 2001","Currency=USD","Period=FQ","BEST_FPERIOD_OVERRIDE=FQ","FILING_STATUS=MR","Sort=A","Dates=H","DateFormat=P","Fill=—","Direction=H","UseDPDF=Y")</f>
        <v>—</v>
      </c>
      <c r="E17" s="14" t="str">
        <f>_xll.BDH("GILD US Equity","TOT_GHG_CO2_EM_INT_P_GR_FXD_AST","FY 2002","FY 2002","Currency=USD","Period=FQ","BEST_FPERIOD_OVERRIDE=FQ","FILING_STATUS=MR","Sort=A","Dates=H","DateFormat=P","Fill=—","Direction=H","UseDPDF=Y")</f>
        <v>—</v>
      </c>
      <c r="F17" s="14" t="str">
        <f>_xll.BDH("GILD US Equity","TOT_GHG_CO2_EM_INT_P_GR_FXD_AST","FY 2003","FY 2003","Currency=USD","Period=FQ","BEST_FPERIOD_OVERRIDE=FQ","FILING_STATUS=MR","Sort=A","Dates=H","DateFormat=P","Fill=—","Direction=H","UseDPDF=Y")</f>
        <v>—</v>
      </c>
      <c r="G17" s="14" t="str">
        <f>_xll.BDH("GILD US Equity","TOT_GHG_CO2_EM_INT_P_GR_FXD_AST","FY 2004","FY 2004","Currency=USD","Period=FQ","BEST_FPERIOD_OVERRIDE=FQ","FILING_STATUS=MR","Sort=A","Dates=H","DateFormat=P","Fill=—","Direction=H","UseDPDF=Y")</f>
        <v>—</v>
      </c>
      <c r="H17" s="14" t="str">
        <f>_xll.BDH("GILD US Equity","TOT_GHG_CO2_EM_INT_P_GR_FXD_AST","FY 2005","FY 2005","Currency=USD","Period=FQ","BEST_FPERIOD_OVERRIDE=FQ","FILING_STATUS=MR","Sort=A","Dates=H","DateFormat=P","Fill=—","Direction=H","UseDPDF=Y")</f>
        <v>—</v>
      </c>
      <c r="I17" s="14" t="str">
        <f>_xll.BDH("GILD US Equity","TOT_GHG_CO2_EM_INT_P_GR_FXD_AST","FY 2006","FY 2006","Currency=USD","Period=FQ","BEST_FPERIOD_OVERRIDE=FQ","FILING_STATUS=MR","Sort=A","Dates=H","DateFormat=P","Fill=—","Direction=H","UseDPDF=Y")</f>
        <v>—</v>
      </c>
      <c r="J17" s="14" t="str">
        <f>_xll.BDH("GILD US Equity","TOT_GHG_CO2_EM_INT_P_GR_FXD_AST","FY 2007","FY 2007","Currency=USD","Period=FQ","BEST_FPERIOD_OVERRIDE=FQ","FILING_STATUS=MR","Sort=A","Dates=H","DateFormat=P","Fill=—","Direction=H","UseDPDF=Y")</f>
        <v>—</v>
      </c>
      <c r="K17" s="14" t="str">
        <f>_xll.BDH("GILD US Equity","TOT_GHG_CO2_EM_INT_P_GR_FXD_AST","FY 2008","FY 2008","Currency=USD","Period=FQ","BEST_FPERIOD_OVERRIDE=FQ","FILING_STATUS=MR","Sort=A","Dates=H","DateFormat=P","Fill=—","Direction=H","UseDPDF=Y")</f>
        <v>—</v>
      </c>
      <c r="L17" s="14" t="str">
        <f>_xll.BDH("GILD US Equity","TOT_GHG_CO2_EM_INT_P_GR_FXD_AST","FY 2009","FY 2009","Currency=USD","Period=FQ","BEST_FPERIOD_OVERRIDE=FQ","FILING_STATUS=MR","Sort=A","Dates=H","DateFormat=P","Fill=—","Direction=H","UseDPDF=Y")</f>
        <v>—</v>
      </c>
      <c r="M17" s="14" t="str">
        <f>_xll.BDH("GILD US Equity","TOT_GHG_CO2_EM_INT_P_GR_FXD_AST","FY 2010","FY 2010","Currency=USD","Period=FQ","BEST_FPERIOD_OVERRIDE=FQ","FILING_STATUS=MR","Sort=A","Dates=H","DateFormat=P","Fill=—","Direction=H","UseDPDF=Y")</f>
        <v>—</v>
      </c>
      <c r="N17" s="14" t="str">
        <f>_xll.BDH("GILD US Equity","TOT_GHG_CO2_EM_INT_P_GR_FXD_AST","FY 2011","FY 2011","Currency=USD","Period=FQ","BEST_FPERIOD_OVERRIDE=FQ","FILING_STATUS=MR","Sort=A","Dates=H","DateFormat=P","Fill=—","Direction=H","UseDPDF=Y")</f>
        <v>—</v>
      </c>
      <c r="O17" s="14" t="str">
        <f>_xll.BDH("GILD US Equity","TOT_GHG_CO2_EM_INT_P_GR_FXD_AST","FY 2012","FY 2012","Currency=USD","Period=FQ","BEST_FPERIOD_OVERRIDE=FQ","FILING_STATUS=MR","Sort=A","Dates=H","DateFormat=P","Fill=—","Direction=H","UseDPDF=Y")</f>
        <v>—</v>
      </c>
      <c r="P17" s="14" t="str">
        <f>_xll.BDH("GILD US Equity","TOT_GHG_CO2_EM_INT_P_GR_FXD_AST","FY 2013","FY 2013","Currency=USD","Period=FQ","BEST_FPERIOD_OVERRIDE=FQ","FILING_STATUS=MR","Sort=A","Dates=H","DateFormat=P","Fill=—","Direction=H","UseDPDF=Y")</f>
        <v>—</v>
      </c>
      <c r="Q17" s="14" t="str">
        <f>_xll.BDH("GILD US Equity","TOT_GHG_CO2_EM_INT_P_GR_FXD_AST","FY 2014","FY 2014","Currency=USD","Period=FQ","BEST_FPERIOD_OVERRIDE=FQ","FILING_STATUS=MR","Sort=A","Dates=H","DateFormat=P","Fill=—","Direction=H","UseDPDF=Y")</f>
        <v>—</v>
      </c>
      <c r="R17" s="14" t="str">
        <f>_xll.BDH("GILD US Equity","TOT_GHG_CO2_EM_INT_P_GR_FXD_AST","FY 2015","FY 2015","Currency=USD","Period=FQ","BEST_FPERIOD_OVERRIDE=FQ","FILING_STATUS=MR","Sort=A","Dates=H","DateFormat=P","Fill=—","Direction=H","UseDPDF=Y")</f>
        <v>—</v>
      </c>
      <c r="S17" s="14" t="str">
        <f>_xll.BDH("GILD US Equity","TOT_GHG_CO2_EM_INT_P_GR_FXD_AST","FY 2016","FY 2016","Currency=USD","Period=FQ","BEST_FPERIOD_OVERRIDE=FQ","FILING_STATUS=MR","Sort=A","Dates=H","DateFormat=P","Fill=—","Direction=H","UseDPDF=Y")</f>
        <v>—</v>
      </c>
      <c r="T17" s="14" t="str">
        <f>_xll.BDH("GILD US Equity","TOT_GHG_CO2_EM_INT_P_GR_FXD_AST","FY 2017","FY 2017","Currency=USD","Period=FQ","BEST_FPERIOD_OVERRIDE=FQ","FILING_STATUS=MR","Sort=A","Dates=H","DateFormat=P","Fill=—","Direction=H","UseDPDF=Y")</f>
        <v>—</v>
      </c>
      <c r="U17" s="14" t="str">
        <f>_xll.BDH("GILD US Equity","TOT_GHG_CO2_EM_INT_P_GR_FXD_AST","FY 2018","FY 2018","Currency=USD","Period=FQ","BEST_FPERIOD_OVERRIDE=FQ","FILING_STATUS=MR","Sort=A","Dates=H","DateFormat=P","Fill=—","Direction=H","UseDPDF=Y")</f>
        <v>—</v>
      </c>
      <c r="V17" s="14" t="str">
        <f>_xll.BDH("GILD US Equity","TOT_GHG_CO2_EM_INT_P_GR_FXD_AST","FY 2019","FY 2019","Currency=USD","Period=FQ","BEST_FPERIOD_OVERRIDE=FQ","FILING_STATUS=MR","Sort=A","Dates=H","DateFormat=P","Fill=—","Direction=H","UseDPDF=Y")</f>
        <v>—</v>
      </c>
      <c r="W17" s="14" t="str">
        <f>_xll.BDH("GILD US Equity","TOT_GHG_CO2_EM_INT_P_GR_FXD_AST","FY 2020","FY 2020","Currency=USD","Period=FQ","BEST_FPERIOD_OVERRIDE=FQ","FILING_STATUS=MR","Sort=A","Dates=H","DateFormat=P","Fill=—","Direction=H","UseDPDF=Y")</f>
        <v>—</v>
      </c>
      <c r="X17" s="14" t="str">
        <f>_xll.BDH("GILD US Equity","TOT_GHG_CO2_EM_INT_P_GR_FXD_AST","FY 2021","FY 2021","Currency=USD","Period=FQ","BEST_FPERIOD_OVERRIDE=FQ","FILING_STATUS=MR","Sort=A","Dates=H","DateFormat=P","Fill=—","Direction=H","UseDPDF=Y")</f>
        <v>—</v>
      </c>
      <c r="Y17" s="14" t="str">
        <f>_xll.BDH("GILD US Equity","TOT_GHG_CO2_EM_INT_P_GR_FXD_AST","FY 2022","FY 2022","Currency=USD","Period=FQ","BEST_FPERIOD_OVERRIDE=FQ","FILING_STATUS=MR","Sort=A","Dates=H","DateFormat=P","Fill=—","Direction=H","UseDPDF=Y")</f>
        <v>—</v>
      </c>
      <c r="Z17" s="14" t="str">
        <f>_xll.BDH("GILD US Equity","TOT_GHG_CO2_EM_INT_P_GR_FXD_AST","FY 2023","FY 2023","Currency=USD","Period=FQ","BEST_FPERIOD_OVERRIDE=FQ","FILING_STATUS=MR","Sort=A","Dates=H","DateFormat=P","Fill=—","Direction=H","UseDPDF=Y")</f>
        <v>—</v>
      </c>
      <c r="AA17" s="14" t="str">
        <f>_xll.BDH("GILD US Equity","TOT_GHG_CO2_EM_INT_P_GR_FXD_AST","FY 2024","FY 2024","Currency=USD","Period=FQ","BEST_FPERIOD_OVERRIDE=FQ","FILING_STATUS=MR","Sort=A","Dates=H","DateFormat=P","Fill=—","Direction=H","UseDPDF=Y")</f>
        <v>—</v>
      </c>
    </row>
    <row r="18" spans="1:27" x14ac:dyDescent="0.25">
      <c r="A18" s="10" t="s">
        <v>1961</v>
      </c>
      <c r="B18" s="10" t="s">
        <v>1962</v>
      </c>
      <c r="C18" s="14" t="str">
        <f>_xll.BDH("GILD US Equity","TOT_GHG_CO2_EM_INT_P_NT_FXD_AST","FY 2000","FY 2000","Currency=USD","Period=FQ","BEST_FPERIOD_OVERRIDE=FQ","FILING_STATUS=MR","Sort=A","Dates=H","DateFormat=P","Fill=—","Direction=H","UseDPDF=Y")</f>
        <v>—</v>
      </c>
      <c r="D18" s="14" t="str">
        <f>_xll.BDH("GILD US Equity","TOT_GHG_CO2_EM_INT_P_NT_FXD_AST","FY 2001","FY 2001","Currency=USD","Period=FQ","BEST_FPERIOD_OVERRIDE=FQ","FILING_STATUS=MR","Sort=A","Dates=H","DateFormat=P","Fill=—","Direction=H","UseDPDF=Y")</f>
        <v>—</v>
      </c>
      <c r="E18" s="14" t="str">
        <f>_xll.BDH("GILD US Equity","TOT_GHG_CO2_EM_INT_P_NT_FXD_AST","FY 2002","FY 2002","Currency=USD","Period=FQ","BEST_FPERIOD_OVERRIDE=FQ","FILING_STATUS=MR","Sort=A","Dates=H","DateFormat=P","Fill=—","Direction=H","UseDPDF=Y")</f>
        <v>—</v>
      </c>
      <c r="F18" s="14" t="str">
        <f>_xll.BDH("GILD US Equity","TOT_GHG_CO2_EM_INT_P_NT_FXD_AST","FY 2003","FY 2003","Currency=USD","Period=FQ","BEST_FPERIOD_OVERRIDE=FQ","FILING_STATUS=MR","Sort=A","Dates=H","DateFormat=P","Fill=—","Direction=H","UseDPDF=Y")</f>
        <v>—</v>
      </c>
      <c r="G18" s="14" t="str">
        <f>_xll.BDH("GILD US Equity","TOT_GHG_CO2_EM_INT_P_NT_FXD_AST","FY 2004","FY 2004","Currency=USD","Period=FQ","BEST_FPERIOD_OVERRIDE=FQ","FILING_STATUS=MR","Sort=A","Dates=H","DateFormat=P","Fill=—","Direction=H","UseDPDF=Y")</f>
        <v>—</v>
      </c>
      <c r="H18" s="14" t="str">
        <f>_xll.BDH("GILD US Equity","TOT_GHG_CO2_EM_INT_P_NT_FXD_AST","FY 2005","FY 2005","Currency=USD","Period=FQ","BEST_FPERIOD_OVERRIDE=FQ","FILING_STATUS=MR","Sort=A","Dates=H","DateFormat=P","Fill=—","Direction=H","UseDPDF=Y")</f>
        <v>—</v>
      </c>
      <c r="I18" s="14" t="str">
        <f>_xll.BDH("GILD US Equity","TOT_GHG_CO2_EM_INT_P_NT_FXD_AST","FY 2006","FY 2006","Currency=USD","Period=FQ","BEST_FPERIOD_OVERRIDE=FQ","FILING_STATUS=MR","Sort=A","Dates=H","DateFormat=P","Fill=—","Direction=H","UseDPDF=Y")</f>
        <v>—</v>
      </c>
      <c r="J18" s="14" t="str">
        <f>_xll.BDH("GILD US Equity","TOT_GHG_CO2_EM_INT_P_NT_FXD_AST","FY 2007","FY 2007","Currency=USD","Period=FQ","BEST_FPERIOD_OVERRIDE=FQ","FILING_STATUS=MR","Sort=A","Dates=H","DateFormat=P","Fill=—","Direction=H","UseDPDF=Y")</f>
        <v>—</v>
      </c>
      <c r="K18" s="14" t="str">
        <f>_xll.BDH("GILD US Equity","TOT_GHG_CO2_EM_INT_P_NT_FXD_AST","FY 2008","FY 2008","Currency=USD","Period=FQ","BEST_FPERIOD_OVERRIDE=FQ","FILING_STATUS=MR","Sort=A","Dates=H","DateFormat=P","Fill=—","Direction=H","UseDPDF=Y")</f>
        <v>—</v>
      </c>
      <c r="L18" s="14" t="str">
        <f>_xll.BDH("GILD US Equity","TOT_GHG_CO2_EM_INT_P_NT_FXD_AST","FY 2009","FY 2009","Currency=USD","Period=FQ","BEST_FPERIOD_OVERRIDE=FQ","FILING_STATUS=MR","Sort=A","Dates=H","DateFormat=P","Fill=—","Direction=H","UseDPDF=Y")</f>
        <v>—</v>
      </c>
      <c r="M18" s="14" t="str">
        <f>_xll.BDH("GILD US Equity","TOT_GHG_CO2_EM_INT_P_NT_FXD_AST","FY 2010","FY 2010","Currency=USD","Period=FQ","BEST_FPERIOD_OVERRIDE=FQ","FILING_STATUS=MR","Sort=A","Dates=H","DateFormat=P","Fill=—","Direction=H","UseDPDF=Y")</f>
        <v>—</v>
      </c>
      <c r="N18" s="14" t="str">
        <f>_xll.BDH("GILD US Equity","TOT_GHG_CO2_EM_INT_P_NT_FXD_AST","FY 2011","FY 2011","Currency=USD","Period=FQ","BEST_FPERIOD_OVERRIDE=FQ","FILING_STATUS=MR","Sort=A","Dates=H","DateFormat=P","Fill=—","Direction=H","UseDPDF=Y")</f>
        <v>—</v>
      </c>
      <c r="O18" s="14" t="str">
        <f>_xll.BDH("GILD US Equity","TOT_GHG_CO2_EM_INT_P_NT_FXD_AST","FY 2012","FY 2012","Currency=USD","Period=FQ","BEST_FPERIOD_OVERRIDE=FQ","FILING_STATUS=MR","Sort=A","Dates=H","DateFormat=P","Fill=—","Direction=H","UseDPDF=Y")</f>
        <v>—</v>
      </c>
      <c r="P18" s="14" t="str">
        <f>_xll.BDH("GILD US Equity","TOT_GHG_CO2_EM_INT_P_NT_FXD_AST","FY 2013","FY 2013","Currency=USD","Period=FQ","BEST_FPERIOD_OVERRIDE=FQ","FILING_STATUS=MR","Sort=A","Dates=H","DateFormat=P","Fill=—","Direction=H","UseDPDF=Y")</f>
        <v>—</v>
      </c>
      <c r="Q18" s="14" t="str">
        <f>_xll.BDH("GILD US Equity","TOT_GHG_CO2_EM_INT_P_NT_FXD_AST","FY 2014","FY 2014","Currency=USD","Period=FQ","BEST_FPERIOD_OVERRIDE=FQ","FILING_STATUS=MR","Sort=A","Dates=H","DateFormat=P","Fill=—","Direction=H","UseDPDF=Y")</f>
        <v>—</v>
      </c>
      <c r="R18" s="14" t="str">
        <f>_xll.BDH("GILD US Equity","TOT_GHG_CO2_EM_INT_P_NT_FXD_AST","FY 2015","FY 2015","Currency=USD","Period=FQ","BEST_FPERIOD_OVERRIDE=FQ","FILING_STATUS=MR","Sort=A","Dates=H","DateFormat=P","Fill=—","Direction=H","UseDPDF=Y")</f>
        <v>—</v>
      </c>
      <c r="S18" s="14" t="str">
        <f>_xll.BDH("GILD US Equity","TOT_GHG_CO2_EM_INT_P_NT_FXD_AST","FY 2016","FY 2016","Currency=USD","Period=FQ","BEST_FPERIOD_OVERRIDE=FQ","FILING_STATUS=MR","Sort=A","Dates=H","DateFormat=P","Fill=—","Direction=H","UseDPDF=Y")</f>
        <v>—</v>
      </c>
      <c r="T18" s="14" t="str">
        <f>_xll.BDH("GILD US Equity","TOT_GHG_CO2_EM_INT_P_NT_FXD_AST","FY 2017","FY 2017","Currency=USD","Period=FQ","BEST_FPERIOD_OVERRIDE=FQ","FILING_STATUS=MR","Sort=A","Dates=H","DateFormat=P","Fill=—","Direction=H","UseDPDF=Y")</f>
        <v>—</v>
      </c>
      <c r="U18" s="14" t="str">
        <f>_xll.BDH("GILD US Equity","TOT_GHG_CO2_EM_INT_P_NT_FXD_AST","FY 2018","FY 2018","Currency=USD","Period=FQ","BEST_FPERIOD_OVERRIDE=FQ","FILING_STATUS=MR","Sort=A","Dates=H","DateFormat=P","Fill=—","Direction=H","UseDPDF=Y")</f>
        <v>—</v>
      </c>
      <c r="V18" s="14" t="str">
        <f>_xll.BDH("GILD US Equity","TOT_GHG_CO2_EM_INT_P_NT_FXD_AST","FY 2019","FY 2019","Currency=USD","Period=FQ","BEST_FPERIOD_OVERRIDE=FQ","FILING_STATUS=MR","Sort=A","Dates=H","DateFormat=P","Fill=—","Direction=H","UseDPDF=Y")</f>
        <v>—</v>
      </c>
      <c r="W18" s="14" t="str">
        <f>_xll.BDH("GILD US Equity","TOT_GHG_CO2_EM_INT_P_NT_FXD_AST","FY 2020","FY 2020","Currency=USD","Period=FQ","BEST_FPERIOD_OVERRIDE=FQ","FILING_STATUS=MR","Sort=A","Dates=H","DateFormat=P","Fill=—","Direction=H","UseDPDF=Y")</f>
        <v>—</v>
      </c>
      <c r="X18" s="14" t="str">
        <f>_xll.BDH("GILD US Equity","TOT_GHG_CO2_EM_INT_P_NT_FXD_AST","FY 2021","FY 2021","Currency=USD","Period=FQ","BEST_FPERIOD_OVERRIDE=FQ","FILING_STATUS=MR","Sort=A","Dates=H","DateFormat=P","Fill=—","Direction=H","UseDPDF=Y")</f>
        <v>—</v>
      </c>
      <c r="Y18" s="14" t="str">
        <f>_xll.BDH("GILD US Equity","TOT_GHG_CO2_EM_INT_P_NT_FXD_AST","FY 2022","FY 2022","Currency=USD","Period=FQ","BEST_FPERIOD_OVERRIDE=FQ","FILING_STATUS=MR","Sort=A","Dates=H","DateFormat=P","Fill=—","Direction=H","UseDPDF=Y")</f>
        <v>—</v>
      </c>
      <c r="Z18" s="14" t="str">
        <f>_xll.BDH("GILD US Equity","TOT_GHG_CO2_EM_INT_P_NT_FXD_AST","FY 2023","FY 2023","Currency=USD","Period=FQ","BEST_FPERIOD_OVERRIDE=FQ","FILING_STATUS=MR","Sort=A","Dates=H","DateFormat=P","Fill=—","Direction=H","UseDPDF=Y")</f>
        <v>—</v>
      </c>
      <c r="AA18" s="14" t="str">
        <f>_xll.BDH("GILD US Equity","TOT_GHG_CO2_EM_INT_P_NT_FXD_AST","FY 2024","FY 2024","Currency=USD","Period=FQ","BEST_FPERIOD_OVERRIDE=FQ","FILING_STATUS=MR","Sort=A","Dates=H","DateFormat=P","Fill=—","Direction=H","UseDPDF=Y")</f>
        <v>—</v>
      </c>
    </row>
    <row r="19" spans="1:27" x14ac:dyDescent="0.25">
      <c r="A19" s="10" t="s">
        <v>1963</v>
      </c>
      <c r="B19" s="10" t="s">
        <v>1964</v>
      </c>
      <c r="C19" s="14" t="str">
        <f>_xll.BDH("GILD US Equity","GHG_INTENSITY_PER_ENERGY","FY 2000","FY 2000","Currency=USD","Period=FQ","BEST_FPERIOD_OVERRIDE=FQ","FILING_STATUS=MR","Sort=A","Dates=H","DateFormat=P","Fill=—","Direction=H","UseDPDF=Y")</f>
        <v>—</v>
      </c>
      <c r="D19" s="14" t="str">
        <f>_xll.BDH("GILD US Equity","GHG_INTENSITY_PER_ENERGY","FY 2001","FY 2001","Currency=USD","Period=FQ","BEST_FPERIOD_OVERRIDE=FQ","FILING_STATUS=MR","Sort=A","Dates=H","DateFormat=P","Fill=—","Direction=H","UseDPDF=Y")</f>
        <v>—</v>
      </c>
      <c r="E19" s="14" t="str">
        <f>_xll.BDH("GILD US Equity","GHG_INTENSITY_PER_ENERGY","FY 2002","FY 2002","Currency=USD","Period=FQ","BEST_FPERIOD_OVERRIDE=FQ","FILING_STATUS=MR","Sort=A","Dates=H","DateFormat=P","Fill=—","Direction=H","UseDPDF=Y")</f>
        <v>—</v>
      </c>
      <c r="F19" s="14" t="str">
        <f>_xll.BDH("GILD US Equity","GHG_INTENSITY_PER_ENERGY","FY 2003","FY 2003","Currency=USD","Period=FQ","BEST_FPERIOD_OVERRIDE=FQ","FILING_STATUS=MR","Sort=A","Dates=H","DateFormat=P","Fill=—","Direction=H","UseDPDF=Y")</f>
        <v>—</v>
      </c>
      <c r="G19" s="14" t="str">
        <f>_xll.BDH("GILD US Equity","GHG_INTENSITY_PER_ENERGY","FY 2004","FY 2004","Currency=USD","Period=FQ","BEST_FPERIOD_OVERRIDE=FQ","FILING_STATUS=MR","Sort=A","Dates=H","DateFormat=P","Fill=—","Direction=H","UseDPDF=Y")</f>
        <v>—</v>
      </c>
      <c r="H19" s="14" t="str">
        <f>_xll.BDH("GILD US Equity","GHG_INTENSITY_PER_ENERGY","FY 2005","FY 2005","Currency=USD","Period=FQ","BEST_FPERIOD_OVERRIDE=FQ","FILING_STATUS=MR","Sort=A","Dates=H","DateFormat=P","Fill=—","Direction=H","UseDPDF=Y")</f>
        <v>—</v>
      </c>
      <c r="I19" s="14" t="str">
        <f>_xll.BDH("GILD US Equity","GHG_INTENSITY_PER_ENERGY","FY 2006","FY 2006","Currency=USD","Period=FQ","BEST_FPERIOD_OVERRIDE=FQ","FILING_STATUS=MR","Sort=A","Dates=H","DateFormat=P","Fill=—","Direction=H","UseDPDF=Y")</f>
        <v>—</v>
      </c>
      <c r="J19" s="14" t="str">
        <f>_xll.BDH("GILD US Equity","GHG_INTENSITY_PER_ENERGY","FY 2007","FY 2007","Currency=USD","Period=FQ","BEST_FPERIOD_OVERRIDE=FQ","FILING_STATUS=MR","Sort=A","Dates=H","DateFormat=P","Fill=—","Direction=H","UseDPDF=Y")</f>
        <v>—</v>
      </c>
      <c r="K19" s="14" t="str">
        <f>_xll.BDH("GILD US Equity","GHG_INTENSITY_PER_ENERGY","FY 2008","FY 2008","Currency=USD","Period=FQ","BEST_FPERIOD_OVERRIDE=FQ","FILING_STATUS=MR","Sort=A","Dates=H","DateFormat=P","Fill=—","Direction=H","UseDPDF=Y")</f>
        <v>—</v>
      </c>
      <c r="L19" s="14" t="str">
        <f>_xll.BDH("GILD US Equity","GHG_INTENSITY_PER_ENERGY","FY 2009","FY 2009","Currency=USD","Period=FQ","BEST_FPERIOD_OVERRIDE=FQ","FILING_STATUS=MR","Sort=A","Dates=H","DateFormat=P","Fill=—","Direction=H","UseDPDF=Y")</f>
        <v>—</v>
      </c>
      <c r="M19" s="14" t="str">
        <f>_xll.BDH("GILD US Equity","GHG_INTENSITY_PER_ENERGY","FY 2010","FY 2010","Currency=USD","Period=FQ","BEST_FPERIOD_OVERRIDE=FQ","FILING_STATUS=MR","Sort=A","Dates=H","DateFormat=P","Fill=—","Direction=H","UseDPDF=Y")</f>
        <v>—</v>
      </c>
      <c r="N19" s="14" t="str">
        <f>_xll.BDH("GILD US Equity","GHG_INTENSITY_PER_ENERGY","FY 2011","FY 2011","Currency=USD","Period=FQ","BEST_FPERIOD_OVERRIDE=FQ","FILING_STATUS=MR","Sort=A","Dates=H","DateFormat=P","Fill=—","Direction=H","UseDPDF=Y")</f>
        <v>—</v>
      </c>
      <c r="O19" s="14" t="str">
        <f>_xll.BDH("GILD US Equity","GHG_INTENSITY_PER_ENERGY","FY 2012","FY 2012","Currency=USD","Period=FQ","BEST_FPERIOD_OVERRIDE=FQ","FILING_STATUS=MR","Sort=A","Dates=H","DateFormat=P","Fill=—","Direction=H","UseDPDF=Y")</f>
        <v>—</v>
      </c>
      <c r="P19" s="14" t="str">
        <f>_xll.BDH("GILD US Equity","GHG_INTENSITY_PER_ENERGY","FY 2013","FY 2013","Currency=USD","Period=FQ","BEST_FPERIOD_OVERRIDE=FQ","FILING_STATUS=MR","Sort=A","Dates=H","DateFormat=P","Fill=—","Direction=H","UseDPDF=Y")</f>
        <v>—</v>
      </c>
      <c r="Q19" s="14" t="str">
        <f>_xll.BDH("GILD US Equity","GHG_INTENSITY_PER_ENERGY","FY 2014","FY 2014","Currency=USD","Period=FQ","BEST_FPERIOD_OVERRIDE=FQ","FILING_STATUS=MR","Sort=A","Dates=H","DateFormat=P","Fill=—","Direction=H","UseDPDF=Y")</f>
        <v>—</v>
      </c>
      <c r="R19" s="14" t="str">
        <f>_xll.BDH("GILD US Equity","GHG_INTENSITY_PER_ENERGY","FY 2015","FY 2015","Currency=USD","Period=FQ","BEST_FPERIOD_OVERRIDE=FQ","FILING_STATUS=MR","Sort=A","Dates=H","DateFormat=P","Fill=—","Direction=H","UseDPDF=Y")</f>
        <v>—</v>
      </c>
      <c r="S19" s="14" t="str">
        <f>_xll.BDH("GILD US Equity","GHG_INTENSITY_PER_ENERGY","FY 2016","FY 2016","Currency=USD","Period=FQ","BEST_FPERIOD_OVERRIDE=FQ","FILING_STATUS=MR","Sort=A","Dates=H","DateFormat=P","Fill=—","Direction=H","UseDPDF=Y")</f>
        <v>—</v>
      </c>
      <c r="T19" s="14" t="str">
        <f>_xll.BDH("GILD US Equity","GHG_INTENSITY_PER_ENERGY","FY 2017","FY 2017","Currency=USD","Period=FQ","BEST_FPERIOD_OVERRIDE=FQ","FILING_STATUS=MR","Sort=A","Dates=H","DateFormat=P","Fill=—","Direction=H","UseDPDF=Y")</f>
        <v>—</v>
      </c>
      <c r="U19" s="14" t="str">
        <f>_xll.BDH("GILD US Equity","GHG_INTENSITY_PER_ENERGY","FY 2018","FY 2018","Currency=USD","Period=FQ","BEST_FPERIOD_OVERRIDE=FQ","FILING_STATUS=MR","Sort=A","Dates=H","DateFormat=P","Fill=—","Direction=H","UseDPDF=Y")</f>
        <v>—</v>
      </c>
      <c r="V19" s="14" t="str">
        <f>_xll.BDH("GILD US Equity","GHG_INTENSITY_PER_ENERGY","FY 2019","FY 2019","Currency=USD","Period=FQ","BEST_FPERIOD_OVERRIDE=FQ","FILING_STATUS=MR","Sort=A","Dates=H","DateFormat=P","Fill=—","Direction=H","UseDPDF=Y")</f>
        <v>—</v>
      </c>
      <c r="W19" s="14" t="str">
        <f>_xll.BDH("GILD US Equity","GHG_INTENSITY_PER_ENERGY","FY 2020","FY 2020","Currency=USD","Period=FQ","BEST_FPERIOD_OVERRIDE=FQ","FILING_STATUS=MR","Sort=A","Dates=H","DateFormat=P","Fill=—","Direction=H","UseDPDF=Y")</f>
        <v>—</v>
      </c>
      <c r="X19" s="14" t="str">
        <f>_xll.BDH("GILD US Equity","GHG_INTENSITY_PER_ENERGY","FY 2021","FY 2021","Currency=USD","Period=FQ","BEST_FPERIOD_OVERRIDE=FQ","FILING_STATUS=MR","Sort=A","Dates=H","DateFormat=P","Fill=—","Direction=H","UseDPDF=Y")</f>
        <v>—</v>
      </c>
      <c r="Y19" s="14" t="str">
        <f>_xll.BDH("GILD US Equity","GHG_INTENSITY_PER_ENERGY","FY 2022","FY 2022","Currency=USD","Period=FQ","BEST_FPERIOD_OVERRIDE=FQ","FILING_STATUS=MR","Sort=A","Dates=H","DateFormat=P","Fill=—","Direction=H","UseDPDF=Y")</f>
        <v>—</v>
      </c>
      <c r="Z19" s="14" t="str">
        <f>_xll.BDH("GILD US Equity","GHG_INTENSITY_PER_ENERGY","FY 2023","FY 2023","Currency=USD","Period=FQ","BEST_FPERIOD_OVERRIDE=FQ","FILING_STATUS=MR","Sort=A","Dates=H","DateFormat=P","Fill=—","Direction=H","UseDPDF=Y")</f>
        <v>—</v>
      </c>
      <c r="AA19" s="14" t="str">
        <f>_xll.BDH("GILD US Equity","GHG_INTENSITY_PER_ENERGY","FY 2024","FY 2024","Currency=USD","Period=FQ","BEST_FPERIOD_OVERRIDE=FQ","FILING_STATUS=MR","Sort=A","Dates=H","DateFormat=P","Fill=—","Direction=H","UseDPDF=Y")</f>
        <v>—</v>
      </c>
    </row>
    <row r="20" spans="1:27" x14ac:dyDescent="0.25">
      <c r="A20" s="10" t="s">
        <v>1965</v>
      </c>
      <c r="B20" s="10" t="s">
        <v>1966</v>
      </c>
      <c r="C20" s="14" t="str">
        <f>_xll.BDH("GILD US Equity","GHG_INTENSITY_PER_EMPLOYEE","FY 2000","FY 2000","Currency=USD","Period=FQ","BEST_FPERIOD_OVERRIDE=FQ","FILING_STATUS=MR","Sort=A","Dates=H","DateFormat=P","Fill=—","Direction=H","UseDPDF=Y")</f>
        <v>—</v>
      </c>
      <c r="D20" s="14" t="str">
        <f>_xll.BDH("GILD US Equity","GHG_INTENSITY_PER_EMPLOYEE","FY 2001","FY 2001","Currency=USD","Period=FQ","BEST_FPERIOD_OVERRIDE=FQ","FILING_STATUS=MR","Sort=A","Dates=H","DateFormat=P","Fill=—","Direction=H","UseDPDF=Y")</f>
        <v>—</v>
      </c>
      <c r="E20" s="14" t="str">
        <f>_xll.BDH("GILD US Equity","GHG_INTENSITY_PER_EMPLOYEE","FY 2002","FY 2002","Currency=USD","Period=FQ","BEST_FPERIOD_OVERRIDE=FQ","FILING_STATUS=MR","Sort=A","Dates=H","DateFormat=P","Fill=—","Direction=H","UseDPDF=Y")</f>
        <v>—</v>
      </c>
      <c r="F20" s="14" t="str">
        <f>_xll.BDH("GILD US Equity","GHG_INTENSITY_PER_EMPLOYEE","FY 2003","FY 2003","Currency=USD","Period=FQ","BEST_FPERIOD_OVERRIDE=FQ","FILING_STATUS=MR","Sort=A","Dates=H","DateFormat=P","Fill=—","Direction=H","UseDPDF=Y")</f>
        <v>—</v>
      </c>
      <c r="G20" s="14" t="str">
        <f>_xll.BDH("GILD US Equity","GHG_INTENSITY_PER_EMPLOYEE","FY 2004","FY 2004","Currency=USD","Period=FQ","BEST_FPERIOD_OVERRIDE=FQ","FILING_STATUS=MR","Sort=A","Dates=H","DateFormat=P","Fill=—","Direction=H","UseDPDF=Y")</f>
        <v>—</v>
      </c>
      <c r="H20" s="14" t="str">
        <f>_xll.BDH("GILD US Equity","GHG_INTENSITY_PER_EMPLOYEE","FY 2005","FY 2005","Currency=USD","Period=FQ","BEST_FPERIOD_OVERRIDE=FQ","FILING_STATUS=MR","Sort=A","Dates=H","DateFormat=P","Fill=—","Direction=H","UseDPDF=Y")</f>
        <v>—</v>
      </c>
      <c r="I20" s="14" t="str">
        <f>_xll.BDH("GILD US Equity","GHG_INTENSITY_PER_EMPLOYEE","FY 2006","FY 2006","Currency=USD","Period=FQ","BEST_FPERIOD_OVERRIDE=FQ","FILING_STATUS=MR","Sort=A","Dates=H","DateFormat=P","Fill=—","Direction=H","UseDPDF=Y")</f>
        <v>—</v>
      </c>
      <c r="J20" s="14" t="str">
        <f>_xll.BDH("GILD US Equity","GHG_INTENSITY_PER_EMPLOYEE","FY 2007","FY 2007","Currency=USD","Period=FQ","BEST_FPERIOD_OVERRIDE=FQ","FILING_STATUS=MR","Sort=A","Dates=H","DateFormat=P","Fill=—","Direction=H","UseDPDF=Y")</f>
        <v>—</v>
      </c>
      <c r="K20" s="14" t="str">
        <f>_xll.BDH("GILD US Equity","GHG_INTENSITY_PER_EMPLOYEE","FY 2008","FY 2008","Currency=USD","Period=FQ","BEST_FPERIOD_OVERRIDE=FQ","FILING_STATUS=MR","Sort=A","Dates=H","DateFormat=P","Fill=—","Direction=H","UseDPDF=Y")</f>
        <v>—</v>
      </c>
      <c r="L20" s="14" t="str">
        <f>_xll.BDH("GILD US Equity","GHG_INTENSITY_PER_EMPLOYEE","FY 2009","FY 2009","Currency=USD","Period=FQ","BEST_FPERIOD_OVERRIDE=FQ","FILING_STATUS=MR","Sort=A","Dates=H","DateFormat=P","Fill=—","Direction=H","UseDPDF=Y")</f>
        <v>—</v>
      </c>
      <c r="M20" s="14" t="str">
        <f>_xll.BDH("GILD US Equity","GHG_INTENSITY_PER_EMPLOYEE","FY 2010","FY 2010","Currency=USD","Period=FQ","BEST_FPERIOD_OVERRIDE=FQ","FILING_STATUS=MR","Sort=A","Dates=H","DateFormat=P","Fill=—","Direction=H","UseDPDF=Y")</f>
        <v>—</v>
      </c>
      <c r="N20" s="14" t="str">
        <f>_xll.BDH("GILD US Equity","GHG_INTENSITY_PER_EMPLOYEE","FY 2011","FY 2011","Currency=USD","Period=FQ","BEST_FPERIOD_OVERRIDE=FQ","FILING_STATUS=MR","Sort=A","Dates=H","DateFormat=P","Fill=—","Direction=H","UseDPDF=Y")</f>
        <v>—</v>
      </c>
      <c r="O20" s="14" t="str">
        <f>_xll.BDH("GILD US Equity","GHG_INTENSITY_PER_EMPLOYEE","FY 2012","FY 2012","Currency=USD","Period=FQ","BEST_FPERIOD_OVERRIDE=FQ","FILING_STATUS=MR","Sort=A","Dates=H","DateFormat=P","Fill=—","Direction=H","UseDPDF=Y")</f>
        <v>—</v>
      </c>
      <c r="P20" s="14" t="str">
        <f>_xll.BDH("GILD US Equity","GHG_INTENSITY_PER_EMPLOYEE","FY 2013","FY 2013","Currency=USD","Period=FQ","BEST_FPERIOD_OVERRIDE=FQ","FILING_STATUS=MR","Sort=A","Dates=H","DateFormat=P","Fill=—","Direction=H","UseDPDF=Y")</f>
        <v>—</v>
      </c>
      <c r="Q20" s="14" t="str">
        <f>_xll.BDH("GILD US Equity","GHG_INTENSITY_PER_EMPLOYEE","FY 2014","FY 2014","Currency=USD","Period=FQ","BEST_FPERIOD_OVERRIDE=FQ","FILING_STATUS=MR","Sort=A","Dates=H","DateFormat=P","Fill=—","Direction=H","UseDPDF=Y")</f>
        <v>—</v>
      </c>
      <c r="R20" s="14" t="str">
        <f>_xll.BDH("GILD US Equity","GHG_INTENSITY_PER_EMPLOYEE","FY 2015","FY 2015","Currency=USD","Period=FQ","BEST_FPERIOD_OVERRIDE=FQ","FILING_STATUS=MR","Sort=A","Dates=H","DateFormat=P","Fill=—","Direction=H","UseDPDF=Y")</f>
        <v>—</v>
      </c>
      <c r="S20" s="14" t="str">
        <f>_xll.BDH("GILD US Equity","GHG_INTENSITY_PER_EMPLOYEE","FY 2016","FY 2016","Currency=USD","Period=FQ","BEST_FPERIOD_OVERRIDE=FQ","FILING_STATUS=MR","Sort=A","Dates=H","DateFormat=P","Fill=—","Direction=H","UseDPDF=Y")</f>
        <v>—</v>
      </c>
      <c r="T20" s="14" t="str">
        <f>_xll.BDH("GILD US Equity","GHG_INTENSITY_PER_EMPLOYEE","FY 2017","FY 2017","Currency=USD","Period=FQ","BEST_FPERIOD_OVERRIDE=FQ","FILING_STATUS=MR","Sort=A","Dates=H","DateFormat=P","Fill=—","Direction=H","UseDPDF=Y")</f>
        <v>—</v>
      </c>
      <c r="U20" s="14" t="str">
        <f>_xll.BDH("GILD US Equity","GHG_INTENSITY_PER_EMPLOYEE","FY 2018","FY 2018","Currency=USD","Period=FQ","BEST_FPERIOD_OVERRIDE=FQ","FILING_STATUS=MR","Sort=A","Dates=H","DateFormat=P","Fill=—","Direction=H","UseDPDF=Y")</f>
        <v>—</v>
      </c>
      <c r="V20" s="14" t="str">
        <f>_xll.BDH("GILD US Equity","GHG_INTENSITY_PER_EMPLOYEE","FY 2019","FY 2019","Currency=USD","Period=FQ","BEST_FPERIOD_OVERRIDE=FQ","FILING_STATUS=MR","Sort=A","Dates=H","DateFormat=P","Fill=—","Direction=H","UseDPDF=Y")</f>
        <v>—</v>
      </c>
      <c r="W20" s="14" t="str">
        <f>_xll.BDH("GILD US Equity","GHG_INTENSITY_PER_EMPLOYEE","FY 2020","FY 2020","Currency=USD","Period=FQ","BEST_FPERIOD_OVERRIDE=FQ","FILING_STATUS=MR","Sort=A","Dates=H","DateFormat=P","Fill=—","Direction=H","UseDPDF=Y")</f>
        <v>—</v>
      </c>
      <c r="X20" s="14" t="str">
        <f>_xll.BDH("GILD US Equity","GHG_INTENSITY_PER_EMPLOYEE","FY 2021","FY 2021","Currency=USD","Period=FQ","BEST_FPERIOD_OVERRIDE=FQ","FILING_STATUS=MR","Sort=A","Dates=H","DateFormat=P","Fill=—","Direction=H","UseDPDF=Y")</f>
        <v>—</v>
      </c>
      <c r="Y20" s="14" t="str">
        <f>_xll.BDH("GILD US Equity","GHG_INTENSITY_PER_EMPLOYEE","FY 2022","FY 2022","Currency=USD","Period=FQ","BEST_FPERIOD_OVERRIDE=FQ","FILING_STATUS=MR","Sort=A","Dates=H","DateFormat=P","Fill=—","Direction=H","UseDPDF=Y")</f>
        <v>—</v>
      </c>
      <c r="Z20" s="14" t="str">
        <f>_xll.BDH("GILD US Equity","GHG_INTENSITY_PER_EMPLOYEE","FY 2023","FY 2023","Currency=USD","Period=FQ","BEST_FPERIOD_OVERRIDE=FQ","FILING_STATUS=MR","Sort=A","Dates=H","DateFormat=P","Fill=—","Direction=H","UseDPDF=Y")</f>
        <v>—</v>
      </c>
      <c r="AA20" s="14" t="str">
        <f>_xll.BDH("GILD US Equity","GHG_INTENSITY_PER_EMPLOYEE","FY 2024","FY 2024","Currency=USD","Period=FQ","BEST_FPERIOD_OVERRIDE=FQ","FILING_STATUS=MR","Sort=A","Dates=H","DateFormat=P","Fill=—","Direction=H","UseDPDF=Y")</f>
        <v>—</v>
      </c>
    </row>
    <row r="21" spans="1:27" x14ac:dyDescent="0.25">
      <c r="A21" s="10" t="s">
        <v>1967</v>
      </c>
      <c r="B21" s="10" t="s">
        <v>1968</v>
      </c>
      <c r="C21" s="14" t="str">
        <f>_xll.BDH("GILD US Equity","GHG_INTENSITY_PER_ASSETS","FY 2000","FY 2000","Currency=USD","Period=FQ","BEST_FPERIOD_OVERRIDE=FQ","FILING_STATUS=MR","Sort=A","Dates=H","DateFormat=P","Fill=—","Direction=H","UseDPDF=Y")</f>
        <v>—</v>
      </c>
      <c r="D21" s="14" t="str">
        <f>_xll.BDH("GILD US Equity","GHG_INTENSITY_PER_ASSETS","FY 2001","FY 2001","Currency=USD","Period=FQ","BEST_FPERIOD_OVERRIDE=FQ","FILING_STATUS=MR","Sort=A","Dates=H","DateFormat=P","Fill=—","Direction=H","UseDPDF=Y")</f>
        <v>—</v>
      </c>
      <c r="E21" s="14" t="str">
        <f>_xll.BDH("GILD US Equity","GHG_INTENSITY_PER_ASSETS","FY 2002","FY 2002","Currency=USD","Period=FQ","BEST_FPERIOD_OVERRIDE=FQ","FILING_STATUS=MR","Sort=A","Dates=H","DateFormat=P","Fill=—","Direction=H","UseDPDF=Y")</f>
        <v>—</v>
      </c>
      <c r="F21" s="14" t="str">
        <f>_xll.BDH("GILD US Equity","GHG_INTENSITY_PER_ASSETS","FY 2003","FY 2003","Currency=USD","Period=FQ","BEST_FPERIOD_OVERRIDE=FQ","FILING_STATUS=MR","Sort=A","Dates=H","DateFormat=P","Fill=—","Direction=H","UseDPDF=Y")</f>
        <v>—</v>
      </c>
      <c r="G21" s="14" t="str">
        <f>_xll.BDH("GILD US Equity","GHG_INTENSITY_PER_ASSETS","FY 2004","FY 2004","Currency=USD","Period=FQ","BEST_FPERIOD_OVERRIDE=FQ","FILING_STATUS=MR","Sort=A","Dates=H","DateFormat=P","Fill=—","Direction=H","UseDPDF=Y")</f>
        <v>—</v>
      </c>
      <c r="H21" s="14" t="str">
        <f>_xll.BDH("GILD US Equity","GHG_INTENSITY_PER_ASSETS","FY 2005","FY 2005","Currency=USD","Period=FQ","BEST_FPERIOD_OVERRIDE=FQ","FILING_STATUS=MR","Sort=A","Dates=H","DateFormat=P","Fill=—","Direction=H","UseDPDF=Y")</f>
        <v>—</v>
      </c>
      <c r="I21" s="14" t="str">
        <f>_xll.BDH("GILD US Equity","GHG_INTENSITY_PER_ASSETS","FY 2006","FY 2006","Currency=USD","Period=FQ","BEST_FPERIOD_OVERRIDE=FQ","FILING_STATUS=MR","Sort=A","Dates=H","DateFormat=P","Fill=—","Direction=H","UseDPDF=Y")</f>
        <v>—</v>
      </c>
      <c r="J21" s="14" t="str">
        <f>_xll.BDH("GILD US Equity","GHG_INTENSITY_PER_ASSETS","FY 2007","FY 2007","Currency=USD","Period=FQ","BEST_FPERIOD_OVERRIDE=FQ","FILING_STATUS=MR","Sort=A","Dates=H","DateFormat=P","Fill=—","Direction=H","UseDPDF=Y")</f>
        <v>—</v>
      </c>
      <c r="K21" s="14" t="str">
        <f>_xll.BDH("GILD US Equity","GHG_INTENSITY_PER_ASSETS","FY 2008","FY 2008","Currency=USD","Period=FQ","BEST_FPERIOD_OVERRIDE=FQ","FILING_STATUS=MR","Sort=A","Dates=H","DateFormat=P","Fill=—","Direction=H","UseDPDF=Y")</f>
        <v>—</v>
      </c>
      <c r="L21" s="14" t="str">
        <f>_xll.BDH("GILD US Equity","GHG_INTENSITY_PER_ASSETS","FY 2009","FY 2009","Currency=USD","Period=FQ","BEST_FPERIOD_OVERRIDE=FQ","FILING_STATUS=MR","Sort=A","Dates=H","DateFormat=P","Fill=—","Direction=H","UseDPDF=Y")</f>
        <v>—</v>
      </c>
      <c r="M21" s="14" t="str">
        <f>_xll.BDH("GILD US Equity","GHG_INTENSITY_PER_ASSETS","FY 2010","FY 2010","Currency=USD","Period=FQ","BEST_FPERIOD_OVERRIDE=FQ","FILING_STATUS=MR","Sort=A","Dates=H","DateFormat=P","Fill=—","Direction=H","UseDPDF=Y")</f>
        <v>—</v>
      </c>
      <c r="N21" s="14" t="str">
        <f>_xll.BDH("GILD US Equity","GHG_INTENSITY_PER_ASSETS","FY 2011","FY 2011","Currency=USD","Period=FQ","BEST_FPERIOD_OVERRIDE=FQ","FILING_STATUS=MR","Sort=A","Dates=H","DateFormat=P","Fill=—","Direction=H","UseDPDF=Y")</f>
        <v>—</v>
      </c>
      <c r="O21" s="14" t="str">
        <f>_xll.BDH("GILD US Equity","GHG_INTENSITY_PER_ASSETS","FY 2012","FY 2012","Currency=USD","Period=FQ","BEST_FPERIOD_OVERRIDE=FQ","FILING_STATUS=MR","Sort=A","Dates=H","DateFormat=P","Fill=—","Direction=H","UseDPDF=Y")</f>
        <v>—</v>
      </c>
      <c r="P21" s="14" t="str">
        <f>_xll.BDH("GILD US Equity","GHG_INTENSITY_PER_ASSETS","FY 2013","FY 2013","Currency=USD","Period=FQ","BEST_FPERIOD_OVERRIDE=FQ","FILING_STATUS=MR","Sort=A","Dates=H","DateFormat=P","Fill=—","Direction=H","UseDPDF=Y")</f>
        <v>—</v>
      </c>
      <c r="Q21" s="14" t="str">
        <f>_xll.BDH("GILD US Equity","GHG_INTENSITY_PER_ASSETS","FY 2014","FY 2014","Currency=USD","Period=FQ","BEST_FPERIOD_OVERRIDE=FQ","FILING_STATUS=MR","Sort=A","Dates=H","DateFormat=P","Fill=—","Direction=H","UseDPDF=Y")</f>
        <v>—</v>
      </c>
      <c r="R21" s="14" t="str">
        <f>_xll.BDH("GILD US Equity","GHG_INTENSITY_PER_ASSETS","FY 2015","FY 2015","Currency=USD","Period=FQ","BEST_FPERIOD_OVERRIDE=FQ","FILING_STATUS=MR","Sort=A","Dates=H","DateFormat=P","Fill=—","Direction=H","UseDPDF=Y")</f>
        <v>—</v>
      </c>
      <c r="S21" s="14" t="str">
        <f>_xll.BDH("GILD US Equity","GHG_INTENSITY_PER_ASSETS","FY 2016","FY 2016","Currency=USD","Period=FQ","BEST_FPERIOD_OVERRIDE=FQ","FILING_STATUS=MR","Sort=A","Dates=H","DateFormat=P","Fill=—","Direction=H","UseDPDF=Y")</f>
        <v>—</v>
      </c>
      <c r="T21" s="14" t="str">
        <f>_xll.BDH("GILD US Equity","GHG_INTENSITY_PER_ASSETS","FY 2017","FY 2017","Currency=USD","Period=FQ","BEST_FPERIOD_OVERRIDE=FQ","FILING_STATUS=MR","Sort=A","Dates=H","DateFormat=P","Fill=—","Direction=H","UseDPDF=Y")</f>
        <v>—</v>
      </c>
      <c r="U21" s="14" t="str">
        <f>_xll.BDH("GILD US Equity","GHG_INTENSITY_PER_ASSETS","FY 2018","FY 2018","Currency=USD","Period=FQ","BEST_FPERIOD_OVERRIDE=FQ","FILING_STATUS=MR","Sort=A","Dates=H","DateFormat=P","Fill=—","Direction=H","UseDPDF=Y")</f>
        <v>—</v>
      </c>
      <c r="V21" s="14" t="str">
        <f>_xll.BDH("GILD US Equity","GHG_INTENSITY_PER_ASSETS","FY 2019","FY 2019","Currency=USD","Period=FQ","BEST_FPERIOD_OVERRIDE=FQ","FILING_STATUS=MR","Sort=A","Dates=H","DateFormat=P","Fill=—","Direction=H","UseDPDF=Y")</f>
        <v>—</v>
      </c>
      <c r="W21" s="14" t="str">
        <f>_xll.BDH("GILD US Equity","GHG_INTENSITY_PER_ASSETS","FY 2020","FY 2020","Currency=USD","Period=FQ","BEST_FPERIOD_OVERRIDE=FQ","FILING_STATUS=MR","Sort=A","Dates=H","DateFormat=P","Fill=—","Direction=H","UseDPDF=Y")</f>
        <v>—</v>
      </c>
      <c r="X21" s="14" t="str">
        <f>_xll.BDH("GILD US Equity","GHG_INTENSITY_PER_ASSETS","FY 2021","FY 2021","Currency=USD","Period=FQ","BEST_FPERIOD_OVERRIDE=FQ","FILING_STATUS=MR","Sort=A","Dates=H","DateFormat=P","Fill=—","Direction=H","UseDPDF=Y")</f>
        <v>—</v>
      </c>
      <c r="Y21" s="14" t="str">
        <f>_xll.BDH("GILD US Equity","GHG_INTENSITY_PER_ASSETS","FY 2022","FY 2022","Currency=USD","Period=FQ","BEST_FPERIOD_OVERRIDE=FQ","FILING_STATUS=MR","Sort=A","Dates=H","DateFormat=P","Fill=—","Direction=H","UseDPDF=Y")</f>
        <v>—</v>
      </c>
      <c r="Z21" s="14" t="str">
        <f>_xll.BDH("GILD US Equity","GHG_INTENSITY_PER_ASSETS","FY 2023","FY 2023","Currency=USD","Period=FQ","BEST_FPERIOD_OVERRIDE=FQ","FILING_STATUS=MR","Sort=A","Dates=H","DateFormat=P","Fill=—","Direction=H","UseDPDF=Y")</f>
        <v>—</v>
      </c>
      <c r="AA21" s="14" t="str">
        <f>_xll.BDH("GILD US Equity","GHG_INTENSITY_PER_ASSETS","FY 2024","FY 2024","Currency=USD","Period=FQ","BEST_FPERIOD_OVERRIDE=FQ","FILING_STATUS=MR","Sort=A","Dates=H","DateFormat=P","Fill=—","Direction=H","UseDPDF=Y")</f>
        <v>—</v>
      </c>
    </row>
    <row r="22" spans="1:27" x14ac:dyDescent="0.25">
      <c r="A22" s="10" t="s">
        <v>1969</v>
      </c>
      <c r="B22" s="10" t="s">
        <v>1970</v>
      </c>
      <c r="C22" s="14" t="str">
        <f>_xll.BDH("GILD US Equity","TRAVEL_GHG_PER_EMPLOYEE","FY 2000","FY 2000","Currency=USD","Period=FQ","BEST_FPERIOD_OVERRIDE=FQ","FILING_STATUS=MR","Sort=A","Dates=H","DateFormat=P","Fill=—","Direction=H","UseDPDF=Y")</f>
        <v>—</v>
      </c>
      <c r="D22" s="14" t="str">
        <f>_xll.BDH("GILD US Equity","TRAVEL_GHG_PER_EMPLOYEE","FY 2001","FY 2001","Currency=USD","Period=FQ","BEST_FPERIOD_OVERRIDE=FQ","FILING_STATUS=MR","Sort=A","Dates=H","DateFormat=P","Fill=—","Direction=H","UseDPDF=Y")</f>
        <v>—</v>
      </c>
      <c r="E22" s="14" t="str">
        <f>_xll.BDH("GILD US Equity","TRAVEL_GHG_PER_EMPLOYEE","FY 2002","FY 2002","Currency=USD","Period=FQ","BEST_FPERIOD_OVERRIDE=FQ","FILING_STATUS=MR","Sort=A","Dates=H","DateFormat=P","Fill=—","Direction=H","UseDPDF=Y")</f>
        <v>—</v>
      </c>
      <c r="F22" s="14" t="str">
        <f>_xll.BDH("GILD US Equity","TRAVEL_GHG_PER_EMPLOYEE","FY 2003","FY 2003","Currency=USD","Period=FQ","BEST_FPERIOD_OVERRIDE=FQ","FILING_STATUS=MR","Sort=A","Dates=H","DateFormat=P","Fill=—","Direction=H","UseDPDF=Y")</f>
        <v>—</v>
      </c>
      <c r="G22" s="14" t="str">
        <f>_xll.BDH("GILD US Equity","TRAVEL_GHG_PER_EMPLOYEE","FY 2004","FY 2004","Currency=USD","Period=FQ","BEST_FPERIOD_OVERRIDE=FQ","FILING_STATUS=MR","Sort=A","Dates=H","DateFormat=P","Fill=—","Direction=H","UseDPDF=Y")</f>
        <v>—</v>
      </c>
      <c r="H22" s="14" t="str">
        <f>_xll.BDH("GILD US Equity","TRAVEL_GHG_PER_EMPLOYEE","FY 2005","FY 2005","Currency=USD","Period=FQ","BEST_FPERIOD_OVERRIDE=FQ","FILING_STATUS=MR","Sort=A","Dates=H","DateFormat=P","Fill=—","Direction=H","UseDPDF=Y")</f>
        <v>—</v>
      </c>
      <c r="I22" s="14" t="str">
        <f>_xll.BDH("GILD US Equity","TRAVEL_GHG_PER_EMPLOYEE","FY 2006","FY 2006","Currency=USD","Period=FQ","BEST_FPERIOD_OVERRIDE=FQ","FILING_STATUS=MR","Sort=A","Dates=H","DateFormat=P","Fill=—","Direction=H","UseDPDF=Y")</f>
        <v>—</v>
      </c>
      <c r="J22" s="14" t="str">
        <f>_xll.BDH("GILD US Equity","TRAVEL_GHG_PER_EMPLOYEE","FY 2007","FY 2007","Currency=USD","Period=FQ","BEST_FPERIOD_OVERRIDE=FQ","FILING_STATUS=MR","Sort=A","Dates=H","DateFormat=P","Fill=—","Direction=H","UseDPDF=Y")</f>
        <v>—</v>
      </c>
      <c r="K22" s="14" t="str">
        <f>_xll.BDH("GILD US Equity","TRAVEL_GHG_PER_EMPLOYEE","FY 2008","FY 2008","Currency=USD","Period=FQ","BEST_FPERIOD_OVERRIDE=FQ","FILING_STATUS=MR","Sort=A","Dates=H","DateFormat=P","Fill=—","Direction=H","UseDPDF=Y")</f>
        <v>—</v>
      </c>
      <c r="L22" s="14" t="str">
        <f>_xll.BDH("GILD US Equity","TRAVEL_GHG_PER_EMPLOYEE","FY 2009","FY 2009","Currency=USD","Period=FQ","BEST_FPERIOD_OVERRIDE=FQ","FILING_STATUS=MR","Sort=A","Dates=H","DateFormat=P","Fill=—","Direction=H","UseDPDF=Y")</f>
        <v>—</v>
      </c>
      <c r="M22" s="14" t="str">
        <f>_xll.BDH("GILD US Equity","TRAVEL_GHG_PER_EMPLOYEE","FY 2010","FY 2010","Currency=USD","Period=FQ","BEST_FPERIOD_OVERRIDE=FQ","FILING_STATUS=MR","Sort=A","Dates=H","DateFormat=P","Fill=—","Direction=H","UseDPDF=Y")</f>
        <v>—</v>
      </c>
      <c r="N22" s="14" t="str">
        <f>_xll.BDH("GILD US Equity","TRAVEL_GHG_PER_EMPLOYEE","FY 2011","FY 2011","Currency=USD","Period=FQ","BEST_FPERIOD_OVERRIDE=FQ","FILING_STATUS=MR","Sort=A","Dates=H","DateFormat=P","Fill=—","Direction=H","UseDPDF=Y")</f>
        <v>—</v>
      </c>
      <c r="O22" s="14" t="str">
        <f>_xll.BDH("GILD US Equity","TRAVEL_GHG_PER_EMPLOYEE","FY 2012","FY 2012","Currency=USD","Period=FQ","BEST_FPERIOD_OVERRIDE=FQ","FILING_STATUS=MR","Sort=A","Dates=H","DateFormat=P","Fill=—","Direction=H","UseDPDF=Y")</f>
        <v>—</v>
      </c>
      <c r="P22" s="14" t="str">
        <f>_xll.BDH("GILD US Equity","TRAVEL_GHG_PER_EMPLOYEE","FY 2013","FY 2013","Currency=USD","Period=FQ","BEST_FPERIOD_OVERRIDE=FQ","FILING_STATUS=MR","Sort=A","Dates=H","DateFormat=P","Fill=—","Direction=H","UseDPDF=Y")</f>
        <v>—</v>
      </c>
      <c r="Q22" s="14" t="str">
        <f>_xll.BDH("GILD US Equity","TRAVEL_GHG_PER_EMPLOYEE","FY 2014","FY 2014","Currency=USD","Period=FQ","BEST_FPERIOD_OVERRIDE=FQ","FILING_STATUS=MR","Sort=A","Dates=H","DateFormat=P","Fill=—","Direction=H","UseDPDF=Y")</f>
        <v>—</v>
      </c>
      <c r="R22" s="14" t="str">
        <f>_xll.BDH("GILD US Equity","TRAVEL_GHG_PER_EMPLOYEE","FY 2015","FY 2015","Currency=USD","Period=FQ","BEST_FPERIOD_OVERRIDE=FQ","FILING_STATUS=MR","Sort=A","Dates=H","DateFormat=P","Fill=—","Direction=H","UseDPDF=Y")</f>
        <v>—</v>
      </c>
      <c r="S22" s="14" t="str">
        <f>_xll.BDH("GILD US Equity","TRAVEL_GHG_PER_EMPLOYEE","FY 2016","FY 2016","Currency=USD","Period=FQ","BEST_FPERIOD_OVERRIDE=FQ","FILING_STATUS=MR","Sort=A","Dates=H","DateFormat=P","Fill=—","Direction=H","UseDPDF=Y")</f>
        <v>—</v>
      </c>
      <c r="T22" s="14" t="str">
        <f>_xll.BDH("GILD US Equity","TRAVEL_GHG_PER_EMPLOYEE","FY 2017","FY 2017","Currency=USD","Period=FQ","BEST_FPERIOD_OVERRIDE=FQ","FILING_STATUS=MR","Sort=A","Dates=H","DateFormat=P","Fill=—","Direction=H","UseDPDF=Y")</f>
        <v>—</v>
      </c>
      <c r="U22" s="14" t="str">
        <f>_xll.BDH("GILD US Equity","TRAVEL_GHG_PER_EMPLOYEE","FY 2018","FY 2018","Currency=USD","Period=FQ","BEST_FPERIOD_OVERRIDE=FQ","FILING_STATUS=MR","Sort=A","Dates=H","DateFormat=P","Fill=—","Direction=H","UseDPDF=Y")</f>
        <v>—</v>
      </c>
      <c r="V22" s="14" t="str">
        <f>_xll.BDH("GILD US Equity","TRAVEL_GHG_PER_EMPLOYEE","FY 2019","FY 2019","Currency=USD","Period=FQ","BEST_FPERIOD_OVERRIDE=FQ","FILING_STATUS=MR","Sort=A","Dates=H","DateFormat=P","Fill=—","Direction=H","UseDPDF=Y")</f>
        <v>—</v>
      </c>
      <c r="W22" s="14" t="str">
        <f>_xll.BDH("GILD US Equity","TRAVEL_GHG_PER_EMPLOYEE","FY 2020","FY 2020","Currency=USD","Period=FQ","BEST_FPERIOD_OVERRIDE=FQ","FILING_STATUS=MR","Sort=A","Dates=H","DateFormat=P","Fill=—","Direction=H","UseDPDF=Y")</f>
        <v>—</v>
      </c>
      <c r="X22" s="14" t="str">
        <f>_xll.BDH("GILD US Equity","TRAVEL_GHG_PER_EMPLOYEE","FY 2021","FY 2021","Currency=USD","Period=FQ","BEST_FPERIOD_OVERRIDE=FQ","FILING_STATUS=MR","Sort=A","Dates=H","DateFormat=P","Fill=—","Direction=H","UseDPDF=Y")</f>
        <v>—</v>
      </c>
      <c r="Y22" s="14" t="str">
        <f>_xll.BDH("GILD US Equity","TRAVEL_GHG_PER_EMPLOYEE","FY 2022","FY 2022","Currency=USD","Period=FQ","BEST_FPERIOD_OVERRIDE=FQ","FILING_STATUS=MR","Sort=A","Dates=H","DateFormat=P","Fill=—","Direction=H","UseDPDF=Y")</f>
        <v>—</v>
      </c>
      <c r="Z22" s="14" t="str">
        <f>_xll.BDH("GILD US Equity","TRAVEL_GHG_PER_EMPLOYEE","FY 2023","FY 2023","Currency=USD","Period=FQ","BEST_FPERIOD_OVERRIDE=FQ","FILING_STATUS=MR","Sort=A","Dates=H","DateFormat=P","Fill=—","Direction=H","UseDPDF=Y")</f>
        <v>—</v>
      </c>
      <c r="AA22" s="14" t="str">
        <f>_xll.BDH("GILD US Equity","TRAVEL_GHG_PER_EMPLOYEE","FY 2024","FY 2024","Currency=USD","Period=FQ","BEST_FPERIOD_OVERRIDE=FQ","FILING_STATUS=MR","Sort=A","Dates=H","DateFormat=P","Fill=—","Direction=H","UseDPDF=Y")</f>
        <v>—</v>
      </c>
    </row>
    <row r="23" spans="1:27" x14ac:dyDescent="0.25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5">
      <c r="A24" s="6" t="s">
        <v>1971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x14ac:dyDescent="0.25">
      <c r="A25" s="10" t="s">
        <v>1972</v>
      </c>
      <c r="B25" s="10" t="s">
        <v>1973</v>
      </c>
      <c r="C25" s="14" t="str">
        <f>_xll.BDH("GILD US Equity","CO2_INTENSITY_PER_SALES_CALC","FY 2000","FY 2000","Currency=USD","Period=FQ","BEST_FPERIOD_OVERRIDE=FQ","FILING_STATUS=MR","FA_ADJUSTED=GAAP","Sort=A","Dates=H","DateFormat=P","Fill=—","Direction=H","UseDPDF=Y")</f>
        <v>—</v>
      </c>
      <c r="D25" s="14" t="str">
        <f>_xll.BDH("GILD US Equity","CO2_INTENSITY_PER_SALES_CALC","FY 2001","FY 2001","Currency=USD","Period=FQ","BEST_FPERIOD_OVERRIDE=FQ","FILING_STATUS=MR","FA_ADJUSTED=GAAP","Sort=A","Dates=H","DateFormat=P","Fill=—","Direction=H","UseDPDF=Y")</f>
        <v>—</v>
      </c>
      <c r="E25" s="14" t="str">
        <f>_xll.BDH("GILD US Equity","CO2_INTENSITY_PER_SALES_CALC","FY 2002","FY 2002","Currency=USD","Period=FQ","BEST_FPERIOD_OVERRIDE=FQ","FILING_STATUS=MR","FA_ADJUSTED=GAAP","Sort=A","Dates=H","DateFormat=P","Fill=—","Direction=H","UseDPDF=Y")</f>
        <v>—</v>
      </c>
      <c r="F25" s="14" t="str">
        <f>_xll.BDH("GILD US Equity","CO2_INTENSITY_PER_SALES_CALC","FY 2003","FY 2003","Currency=USD","Period=FQ","BEST_FPERIOD_OVERRIDE=FQ","FILING_STATUS=MR","FA_ADJUSTED=GAAP","Sort=A","Dates=H","DateFormat=P","Fill=—","Direction=H","UseDPDF=Y")</f>
        <v>—</v>
      </c>
      <c r="G25" s="14" t="str">
        <f>_xll.BDH("GILD US Equity","CO2_INTENSITY_PER_SALES_CALC","FY 2004","FY 2004","Currency=USD","Period=FQ","BEST_FPERIOD_OVERRIDE=FQ","FILING_STATUS=MR","FA_ADJUSTED=GAAP","Sort=A","Dates=H","DateFormat=P","Fill=—","Direction=H","UseDPDF=Y")</f>
        <v>—</v>
      </c>
      <c r="H25" s="14" t="str">
        <f>_xll.BDH("GILD US Equity","CO2_INTENSITY_PER_SALES_CALC","FY 2005","FY 2005","Currency=USD","Period=FQ","BEST_FPERIOD_OVERRIDE=FQ","FILING_STATUS=MR","FA_ADJUSTED=GAAP","Sort=A","Dates=H","DateFormat=P","Fill=—","Direction=H","UseDPDF=Y")</f>
        <v>—</v>
      </c>
      <c r="I25" s="14" t="str">
        <f>_xll.BDH("GILD US Equity","CO2_INTENSITY_PER_SALES_CALC","FY 2006","FY 2006","Currency=USD","Period=FQ","BEST_FPERIOD_OVERRIDE=FQ","FILING_STATUS=MR","FA_ADJUSTED=GAAP","Sort=A","Dates=H","DateFormat=P","Fill=—","Direction=H","UseDPDF=Y")</f>
        <v>—</v>
      </c>
      <c r="J25" s="14" t="str">
        <f>_xll.BDH("GILD US Equity","CO2_INTENSITY_PER_SALES_CALC","FY 2007","FY 2007","Currency=USD","Period=FQ","BEST_FPERIOD_OVERRIDE=FQ","FILING_STATUS=MR","FA_ADJUSTED=GAAP","Sort=A","Dates=H","DateFormat=P","Fill=—","Direction=H","UseDPDF=Y")</f>
        <v>—</v>
      </c>
      <c r="K25" s="14" t="str">
        <f>_xll.BDH("GILD US Equity","CO2_INTENSITY_PER_SALES_CALC","FY 2008","FY 2008","Currency=USD","Period=FQ","BEST_FPERIOD_OVERRIDE=FQ","FILING_STATUS=MR","FA_ADJUSTED=GAAP","Sort=A","Dates=H","DateFormat=P","Fill=—","Direction=H","UseDPDF=Y")</f>
        <v>—</v>
      </c>
      <c r="L25" s="14" t="str">
        <f>_xll.BDH("GILD US Equity","CO2_INTENSITY_PER_SALES_CALC","FY 2009","FY 2009","Currency=USD","Period=FQ","BEST_FPERIOD_OVERRIDE=FQ","FILING_STATUS=MR","FA_ADJUSTED=GAAP","Sort=A","Dates=H","DateFormat=P","Fill=—","Direction=H","UseDPDF=Y")</f>
        <v>—</v>
      </c>
      <c r="M25" s="14" t="str">
        <f>_xll.BDH("GILD US Equity","CO2_INTENSITY_PER_SALES_CALC","FY 2010","FY 2010","Currency=USD","Period=FQ","BEST_FPERIOD_OVERRIDE=FQ","FILING_STATUS=MR","FA_ADJUSTED=GAAP","Sort=A","Dates=H","DateFormat=P","Fill=—","Direction=H","UseDPDF=Y")</f>
        <v>—</v>
      </c>
      <c r="N25" s="14" t="str">
        <f>_xll.BDH("GILD US Equity","CO2_INTENSITY_PER_SALES_CALC","FY 2011","FY 2011","Currency=USD","Period=FQ","BEST_FPERIOD_OVERRIDE=FQ","FILING_STATUS=MR","FA_ADJUSTED=GAAP","Sort=A","Dates=H","DateFormat=P","Fill=—","Direction=H","UseDPDF=Y")</f>
        <v>—</v>
      </c>
      <c r="O25" s="14" t="str">
        <f>_xll.BDH("GILD US Equity","CO2_INTENSITY_PER_SALES_CALC","FY 2012","FY 2012","Currency=USD","Period=FQ","BEST_FPERIOD_OVERRIDE=FQ","FILING_STATUS=MR","FA_ADJUSTED=GAAP","Sort=A","Dates=H","DateFormat=P","Fill=—","Direction=H","UseDPDF=Y")</f>
        <v>—</v>
      </c>
      <c r="P25" s="14" t="str">
        <f>_xll.BDH("GILD US Equity","CO2_INTENSITY_PER_SALES_CALC","FY 2013","FY 2013","Currency=USD","Period=FQ","BEST_FPERIOD_OVERRIDE=FQ","FILING_STATUS=MR","FA_ADJUSTED=GAAP","Sort=A","Dates=H","DateFormat=P","Fill=—","Direction=H","UseDPDF=Y")</f>
        <v>—</v>
      </c>
      <c r="Q25" s="14" t="str">
        <f>_xll.BDH("GILD US Equity","CO2_INTENSITY_PER_SALES_CALC","FY 2014","FY 2014","Currency=USD","Period=FQ","BEST_FPERIOD_OVERRIDE=FQ","FILING_STATUS=MR","FA_ADJUSTED=GAAP","Sort=A","Dates=H","DateFormat=P","Fill=—","Direction=H","UseDPDF=Y")</f>
        <v>—</v>
      </c>
      <c r="R25" s="14" t="str">
        <f>_xll.BDH("GILD US Equity","CO2_INTENSITY_PER_SALES_CALC","FY 2015","FY 2015","Currency=USD","Period=FQ","BEST_FPERIOD_OVERRIDE=FQ","FILING_STATUS=MR","FA_ADJUSTED=GAAP","Sort=A","Dates=H","DateFormat=P","Fill=—","Direction=H","UseDPDF=Y")</f>
        <v>—</v>
      </c>
      <c r="S25" s="14" t="str">
        <f>_xll.BDH("GILD US Equity","CO2_INTENSITY_PER_SALES_CALC","FY 2016","FY 2016","Currency=USD","Period=FQ","BEST_FPERIOD_OVERRIDE=FQ","FILING_STATUS=MR","FA_ADJUSTED=GAAP","Sort=A","Dates=H","DateFormat=P","Fill=—","Direction=H","UseDPDF=Y")</f>
        <v>—</v>
      </c>
      <c r="T25" s="14" t="str">
        <f>_xll.BDH("GILD US Equity","CO2_INTENSITY_PER_SALES_CALC","FY 2017","FY 2017","Currency=USD","Period=FQ","BEST_FPERIOD_OVERRIDE=FQ","FILING_STATUS=MR","FA_ADJUSTED=GAAP","Sort=A","Dates=H","DateFormat=P","Fill=—","Direction=H","UseDPDF=Y")</f>
        <v>—</v>
      </c>
      <c r="U25" s="14" t="str">
        <f>_xll.BDH("GILD US Equity","CO2_INTENSITY_PER_SALES_CALC","FY 2018","FY 2018","Currency=USD","Period=FQ","BEST_FPERIOD_OVERRIDE=FQ","FILING_STATUS=MR","FA_ADJUSTED=GAAP","Sort=A","Dates=H","DateFormat=P","Fill=—","Direction=H","UseDPDF=Y")</f>
        <v>—</v>
      </c>
      <c r="V25" s="14" t="str">
        <f>_xll.BDH("GILD US Equity","CO2_INTENSITY_PER_SALES_CALC","FY 2019","FY 2019","Currency=USD","Period=FQ","BEST_FPERIOD_OVERRIDE=FQ","FILING_STATUS=MR","FA_ADJUSTED=GAAP","Sort=A","Dates=H","DateFormat=P","Fill=—","Direction=H","UseDPDF=Y")</f>
        <v>—</v>
      </c>
      <c r="W25" s="14" t="str">
        <f>_xll.BDH("GILD US Equity","CO2_INTENSITY_PER_SALES_CALC","FY 2020","FY 2020","Currency=USD","Period=FQ","BEST_FPERIOD_OVERRIDE=FQ","FILING_STATUS=MR","FA_ADJUSTED=GAAP","Sort=A","Dates=H","DateFormat=P","Fill=—","Direction=H","UseDPDF=Y")</f>
        <v>—</v>
      </c>
      <c r="X25" s="14" t="str">
        <f>_xll.BDH("GILD US Equity","CO2_INTENSITY_PER_SALES_CALC","FY 2021","FY 2021","Currency=USD","Period=FQ","BEST_FPERIOD_OVERRIDE=FQ","FILING_STATUS=MR","FA_ADJUSTED=GAAP","Sort=A","Dates=H","DateFormat=P","Fill=—","Direction=H","UseDPDF=Y")</f>
        <v>—</v>
      </c>
      <c r="Y25" s="14" t="str">
        <f>_xll.BDH("GILD US Equity","CO2_INTENSITY_PER_SALES_CALC","FY 2022","FY 2022","Currency=USD","Period=FQ","BEST_FPERIOD_OVERRIDE=FQ","FILING_STATUS=MR","FA_ADJUSTED=GAAP","Sort=A","Dates=H","DateFormat=P","Fill=—","Direction=H","UseDPDF=Y")</f>
        <v>—</v>
      </c>
      <c r="Z25" s="14" t="str">
        <f>_xll.BDH("GILD US Equity","CO2_INTENSITY_PER_SALES_CALC","FY 2023","FY 2023","Currency=USD","Period=FQ","BEST_FPERIOD_OVERRIDE=FQ","FILING_STATUS=MR","FA_ADJUSTED=GAAP","Sort=A","Dates=H","DateFormat=P","Fill=—","Direction=H","UseDPDF=Y")</f>
        <v>—</v>
      </c>
      <c r="AA25" s="14" t="str">
        <f>_xll.BDH("GILD US Equity","CO2_INTENSITY_PER_SALES_CALC","FY 2024","FY 2024","Currency=USD","Period=FQ","BEST_FPERIOD_OVERRIDE=FQ","FILING_STATUS=MR","FA_ADJUSTED=GAAP","Sort=A","Dates=H","DateFormat=P","Fill=—","Direction=H","UseDPDF=Y")</f>
        <v>—</v>
      </c>
    </row>
    <row r="26" spans="1:27" x14ac:dyDescent="0.25">
      <c r="A26" s="10" t="s">
        <v>1974</v>
      </c>
      <c r="B26" s="10" t="s">
        <v>1975</v>
      </c>
      <c r="C26" s="14" t="str">
        <f>_xll.BDH("GILD US Equity","CO2_INTENSITY_PER_EBITDA","FY 2000","FY 2000","Currency=USD","Period=FQ","BEST_FPERIOD_OVERRIDE=FQ","FILING_STATUS=MR","FA_ADJUSTED=GAAP","Sort=A","Dates=H","DateFormat=P","Fill=—","Direction=H","UseDPDF=Y")</f>
        <v>—</v>
      </c>
      <c r="D26" s="14" t="str">
        <f>_xll.BDH("GILD US Equity","CO2_INTENSITY_PER_EBITDA","FY 2001","FY 2001","Currency=USD","Period=FQ","BEST_FPERIOD_OVERRIDE=FQ","FILING_STATUS=MR","FA_ADJUSTED=GAAP","Sort=A","Dates=H","DateFormat=P","Fill=—","Direction=H","UseDPDF=Y")</f>
        <v>—</v>
      </c>
      <c r="E26" s="14" t="str">
        <f>_xll.BDH("GILD US Equity","CO2_INTENSITY_PER_EBITDA","FY 2002","FY 2002","Currency=USD","Period=FQ","BEST_FPERIOD_OVERRIDE=FQ","FILING_STATUS=MR","FA_ADJUSTED=GAAP","Sort=A","Dates=H","DateFormat=P","Fill=—","Direction=H","UseDPDF=Y")</f>
        <v>—</v>
      </c>
      <c r="F26" s="14" t="str">
        <f>_xll.BDH("GILD US Equity","CO2_INTENSITY_PER_EBITDA","FY 2003","FY 2003","Currency=USD","Period=FQ","BEST_FPERIOD_OVERRIDE=FQ","FILING_STATUS=MR","FA_ADJUSTED=GAAP","Sort=A","Dates=H","DateFormat=P","Fill=—","Direction=H","UseDPDF=Y")</f>
        <v>—</v>
      </c>
      <c r="G26" s="14" t="str">
        <f>_xll.BDH("GILD US Equity","CO2_INTENSITY_PER_EBITDA","FY 2004","FY 2004","Currency=USD","Period=FQ","BEST_FPERIOD_OVERRIDE=FQ","FILING_STATUS=MR","FA_ADJUSTED=GAAP","Sort=A","Dates=H","DateFormat=P","Fill=—","Direction=H","UseDPDF=Y")</f>
        <v>—</v>
      </c>
      <c r="H26" s="14" t="str">
        <f>_xll.BDH("GILD US Equity","CO2_INTENSITY_PER_EBITDA","FY 2005","FY 2005","Currency=USD","Period=FQ","BEST_FPERIOD_OVERRIDE=FQ","FILING_STATUS=MR","FA_ADJUSTED=GAAP","Sort=A","Dates=H","DateFormat=P","Fill=—","Direction=H","UseDPDF=Y")</f>
        <v>—</v>
      </c>
      <c r="I26" s="14" t="str">
        <f>_xll.BDH("GILD US Equity","CO2_INTENSITY_PER_EBITDA","FY 2006","FY 2006","Currency=USD","Period=FQ","BEST_FPERIOD_OVERRIDE=FQ","FILING_STATUS=MR","FA_ADJUSTED=GAAP","Sort=A","Dates=H","DateFormat=P","Fill=—","Direction=H","UseDPDF=Y")</f>
        <v>—</v>
      </c>
      <c r="J26" s="14" t="str">
        <f>_xll.BDH("GILD US Equity","CO2_INTENSITY_PER_EBITDA","FY 2007","FY 2007","Currency=USD","Period=FQ","BEST_FPERIOD_OVERRIDE=FQ","FILING_STATUS=MR","FA_ADJUSTED=GAAP","Sort=A","Dates=H","DateFormat=P","Fill=—","Direction=H","UseDPDF=Y")</f>
        <v>—</v>
      </c>
      <c r="K26" s="14" t="str">
        <f>_xll.BDH("GILD US Equity","CO2_INTENSITY_PER_EBITDA","FY 2008","FY 2008","Currency=USD","Period=FQ","BEST_FPERIOD_OVERRIDE=FQ","FILING_STATUS=MR","FA_ADJUSTED=GAAP","Sort=A","Dates=H","DateFormat=P","Fill=—","Direction=H","UseDPDF=Y")</f>
        <v>—</v>
      </c>
      <c r="L26" s="14" t="str">
        <f>_xll.BDH("GILD US Equity","CO2_INTENSITY_PER_EBITDA","FY 2009","FY 2009","Currency=USD","Period=FQ","BEST_FPERIOD_OVERRIDE=FQ","FILING_STATUS=MR","FA_ADJUSTED=GAAP","Sort=A","Dates=H","DateFormat=P","Fill=—","Direction=H","UseDPDF=Y")</f>
        <v>—</v>
      </c>
      <c r="M26" s="14" t="str">
        <f>_xll.BDH("GILD US Equity","CO2_INTENSITY_PER_EBITDA","FY 2010","FY 2010","Currency=USD","Period=FQ","BEST_FPERIOD_OVERRIDE=FQ","FILING_STATUS=MR","FA_ADJUSTED=GAAP","Sort=A","Dates=H","DateFormat=P","Fill=—","Direction=H","UseDPDF=Y")</f>
        <v>—</v>
      </c>
      <c r="N26" s="14" t="str">
        <f>_xll.BDH("GILD US Equity","CO2_INTENSITY_PER_EBITDA","FY 2011","FY 2011","Currency=USD","Period=FQ","BEST_FPERIOD_OVERRIDE=FQ","FILING_STATUS=MR","FA_ADJUSTED=GAAP","Sort=A","Dates=H","DateFormat=P","Fill=—","Direction=H","UseDPDF=Y")</f>
        <v>—</v>
      </c>
      <c r="O26" s="14" t="str">
        <f>_xll.BDH("GILD US Equity","CO2_INTENSITY_PER_EBITDA","FY 2012","FY 2012","Currency=USD","Period=FQ","BEST_FPERIOD_OVERRIDE=FQ","FILING_STATUS=MR","FA_ADJUSTED=GAAP","Sort=A","Dates=H","DateFormat=P","Fill=—","Direction=H","UseDPDF=Y")</f>
        <v>—</v>
      </c>
      <c r="P26" s="14" t="str">
        <f>_xll.BDH("GILD US Equity","CO2_INTENSITY_PER_EBITDA","FY 2013","FY 2013","Currency=USD","Period=FQ","BEST_FPERIOD_OVERRIDE=FQ","FILING_STATUS=MR","FA_ADJUSTED=GAAP","Sort=A","Dates=H","DateFormat=P","Fill=—","Direction=H","UseDPDF=Y")</f>
        <v>—</v>
      </c>
      <c r="Q26" s="14" t="str">
        <f>_xll.BDH("GILD US Equity","CO2_INTENSITY_PER_EBITDA","FY 2014","FY 2014","Currency=USD","Period=FQ","BEST_FPERIOD_OVERRIDE=FQ","FILING_STATUS=MR","FA_ADJUSTED=GAAP","Sort=A","Dates=H","DateFormat=P","Fill=—","Direction=H","UseDPDF=Y")</f>
        <v>—</v>
      </c>
      <c r="R26" s="14" t="str">
        <f>_xll.BDH("GILD US Equity","CO2_INTENSITY_PER_EBITDA","FY 2015","FY 2015","Currency=USD","Period=FQ","BEST_FPERIOD_OVERRIDE=FQ","FILING_STATUS=MR","FA_ADJUSTED=GAAP","Sort=A","Dates=H","DateFormat=P","Fill=—","Direction=H","UseDPDF=Y")</f>
        <v>—</v>
      </c>
      <c r="S26" s="14" t="str">
        <f>_xll.BDH("GILD US Equity","CO2_INTENSITY_PER_EBITDA","FY 2016","FY 2016","Currency=USD","Period=FQ","BEST_FPERIOD_OVERRIDE=FQ","FILING_STATUS=MR","FA_ADJUSTED=GAAP","Sort=A","Dates=H","DateFormat=P","Fill=—","Direction=H","UseDPDF=Y")</f>
        <v>—</v>
      </c>
      <c r="T26" s="14" t="str">
        <f>_xll.BDH("GILD US Equity","CO2_INTENSITY_PER_EBITDA","FY 2017","FY 2017","Currency=USD","Period=FQ","BEST_FPERIOD_OVERRIDE=FQ","FILING_STATUS=MR","FA_ADJUSTED=GAAP","Sort=A","Dates=H","DateFormat=P","Fill=—","Direction=H","UseDPDF=Y")</f>
        <v>—</v>
      </c>
      <c r="U26" s="14" t="str">
        <f>_xll.BDH("GILD US Equity","CO2_INTENSITY_PER_EBITDA","FY 2018","FY 2018","Currency=USD","Period=FQ","BEST_FPERIOD_OVERRIDE=FQ","FILING_STATUS=MR","FA_ADJUSTED=GAAP","Sort=A","Dates=H","DateFormat=P","Fill=—","Direction=H","UseDPDF=Y")</f>
        <v>—</v>
      </c>
      <c r="V26" s="14" t="str">
        <f>_xll.BDH("GILD US Equity","CO2_INTENSITY_PER_EBITDA","FY 2019","FY 2019","Currency=USD","Period=FQ","BEST_FPERIOD_OVERRIDE=FQ","FILING_STATUS=MR","FA_ADJUSTED=GAAP","Sort=A","Dates=H","DateFormat=P","Fill=—","Direction=H","UseDPDF=Y")</f>
        <v>—</v>
      </c>
      <c r="W26" s="14" t="str">
        <f>_xll.BDH("GILD US Equity","CO2_INTENSITY_PER_EBITDA","FY 2020","FY 2020","Currency=USD","Period=FQ","BEST_FPERIOD_OVERRIDE=FQ","FILING_STATUS=MR","FA_ADJUSTED=GAAP","Sort=A","Dates=H","DateFormat=P","Fill=—","Direction=H","UseDPDF=Y")</f>
        <v>—</v>
      </c>
      <c r="X26" s="14" t="str">
        <f>_xll.BDH("GILD US Equity","CO2_INTENSITY_PER_EBITDA","FY 2021","FY 2021","Currency=USD","Period=FQ","BEST_FPERIOD_OVERRIDE=FQ","FILING_STATUS=MR","FA_ADJUSTED=GAAP","Sort=A","Dates=H","DateFormat=P","Fill=—","Direction=H","UseDPDF=Y")</f>
        <v>—</v>
      </c>
      <c r="Y26" s="14" t="str">
        <f>_xll.BDH("GILD US Equity","CO2_INTENSITY_PER_EBITDA","FY 2022","FY 2022","Currency=USD","Period=FQ","BEST_FPERIOD_OVERRIDE=FQ","FILING_STATUS=MR","FA_ADJUSTED=GAAP","Sort=A","Dates=H","DateFormat=P","Fill=—","Direction=H","UseDPDF=Y")</f>
        <v>—</v>
      </c>
      <c r="Z26" s="14" t="str">
        <f>_xll.BDH("GILD US Equity","CO2_INTENSITY_PER_EBITDA","FY 2023","FY 2023","Currency=USD","Period=FQ","BEST_FPERIOD_OVERRIDE=FQ","FILING_STATUS=MR","FA_ADJUSTED=GAAP","Sort=A","Dates=H","DateFormat=P","Fill=—","Direction=H","UseDPDF=Y")</f>
        <v>—</v>
      </c>
      <c r="AA26" s="14" t="str">
        <f>_xll.BDH("GILD US Equity","CO2_INTENSITY_PER_EBITDA","FY 2024","FY 2024","Currency=USD","Period=FQ","BEST_FPERIOD_OVERRIDE=FQ","FILING_STATUS=MR","FA_ADJUSTED=GAAP","Sort=A","Dates=H","DateFormat=P","Fill=—","Direction=H","UseDPDF=Y")</f>
        <v>—</v>
      </c>
    </row>
    <row r="27" spans="1:27" x14ac:dyDescent="0.25">
      <c r="A27" s="10" t="s">
        <v>1976</v>
      </c>
      <c r="B27" s="10" t="s">
        <v>1977</v>
      </c>
      <c r="C27" s="14" t="str">
        <f>_xll.BDH("GILD US Equity","CO2_INTENSITY_PER_EMPLOYEE","FY 2000","FY 2000","Currency=USD","Period=FQ","BEST_FPERIOD_OVERRIDE=FQ","FILING_STATUS=MR","Sort=A","Dates=H","DateFormat=P","Fill=—","Direction=H","UseDPDF=Y")</f>
        <v>—</v>
      </c>
      <c r="D27" s="14" t="str">
        <f>_xll.BDH("GILD US Equity","CO2_INTENSITY_PER_EMPLOYEE","FY 2001","FY 2001","Currency=USD","Period=FQ","BEST_FPERIOD_OVERRIDE=FQ","FILING_STATUS=MR","Sort=A","Dates=H","DateFormat=P","Fill=—","Direction=H","UseDPDF=Y")</f>
        <v>—</v>
      </c>
      <c r="E27" s="14" t="str">
        <f>_xll.BDH("GILD US Equity","CO2_INTENSITY_PER_EMPLOYEE","FY 2002","FY 2002","Currency=USD","Period=FQ","BEST_FPERIOD_OVERRIDE=FQ","FILING_STATUS=MR","Sort=A","Dates=H","DateFormat=P","Fill=—","Direction=H","UseDPDF=Y")</f>
        <v>—</v>
      </c>
      <c r="F27" s="14" t="str">
        <f>_xll.BDH("GILD US Equity","CO2_INTENSITY_PER_EMPLOYEE","FY 2003","FY 2003","Currency=USD","Period=FQ","BEST_FPERIOD_OVERRIDE=FQ","FILING_STATUS=MR","Sort=A","Dates=H","DateFormat=P","Fill=—","Direction=H","UseDPDF=Y")</f>
        <v>—</v>
      </c>
      <c r="G27" s="14" t="str">
        <f>_xll.BDH("GILD US Equity","CO2_INTENSITY_PER_EMPLOYEE","FY 2004","FY 2004","Currency=USD","Period=FQ","BEST_FPERIOD_OVERRIDE=FQ","FILING_STATUS=MR","Sort=A","Dates=H","DateFormat=P","Fill=—","Direction=H","UseDPDF=Y")</f>
        <v>—</v>
      </c>
      <c r="H27" s="14" t="str">
        <f>_xll.BDH("GILD US Equity","CO2_INTENSITY_PER_EMPLOYEE","FY 2005","FY 2005","Currency=USD","Period=FQ","BEST_FPERIOD_OVERRIDE=FQ","FILING_STATUS=MR","Sort=A","Dates=H","DateFormat=P","Fill=—","Direction=H","UseDPDF=Y")</f>
        <v>—</v>
      </c>
      <c r="I27" s="14" t="str">
        <f>_xll.BDH("GILD US Equity","CO2_INTENSITY_PER_EMPLOYEE","FY 2006","FY 2006","Currency=USD","Period=FQ","BEST_FPERIOD_OVERRIDE=FQ","FILING_STATUS=MR","Sort=A","Dates=H","DateFormat=P","Fill=—","Direction=H","UseDPDF=Y")</f>
        <v>—</v>
      </c>
      <c r="J27" s="14" t="str">
        <f>_xll.BDH("GILD US Equity","CO2_INTENSITY_PER_EMPLOYEE","FY 2007","FY 2007","Currency=USD","Period=FQ","BEST_FPERIOD_OVERRIDE=FQ","FILING_STATUS=MR","Sort=A","Dates=H","DateFormat=P","Fill=—","Direction=H","UseDPDF=Y")</f>
        <v>—</v>
      </c>
      <c r="K27" s="14" t="str">
        <f>_xll.BDH("GILD US Equity","CO2_INTENSITY_PER_EMPLOYEE","FY 2008","FY 2008","Currency=USD","Period=FQ","BEST_FPERIOD_OVERRIDE=FQ","FILING_STATUS=MR","Sort=A","Dates=H","DateFormat=P","Fill=—","Direction=H","UseDPDF=Y")</f>
        <v>—</v>
      </c>
      <c r="L27" s="14" t="str">
        <f>_xll.BDH("GILD US Equity","CO2_INTENSITY_PER_EMPLOYEE","FY 2009","FY 2009","Currency=USD","Period=FQ","BEST_FPERIOD_OVERRIDE=FQ","FILING_STATUS=MR","Sort=A","Dates=H","DateFormat=P","Fill=—","Direction=H","UseDPDF=Y")</f>
        <v>—</v>
      </c>
      <c r="M27" s="14" t="str">
        <f>_xll.BDH("GILD US Equity","CO2_INTENSITY_PER_EMPLOYEE","FY 2010","FY 2010","Currency=USD","Period=FQ","BEST_FPERIOD_OVERRIDE=FQ","FILING_STATUS=MR","Sort=A","Dates=H","DateFormat=P","Fill=—","Direction=H","UseDPDF=Y")</f>
        <v>—</v>
      </c>
      <c r="N27" s="14" t="str">
        <f>_xll.BDH("GILD US Equity","CO2_INTENSITY_PER_EMPLOYEE","FY 2011","FY 2011","Currency=USD","Period=FQ","BEST_FPERIOD_OVERRIDE=FQ","FILING_STATUS=MR","Sort=A","Dates=H","DateFormat=P","Fill=—","Direction=H","UseDPDF=Y")</f>
        <v>—</v>
      </c>
      <c r="O27" s="14" t="str">
        <f>_xll.BDH("GILD US Equity","CO2_INTENSITY_PER_EMPLOYEE","FY 2012","FY 2012","Currency=USD","Period=FQ","BEST_FPERIOD_OVERRIDE=FQ","FILING_STATUS=MR","Sort=A","Dates=H","DateFormat=P","Fill=—","Direction=H","UseDPDF=Y")</f>
        <v>—</v>
      </c>
      <c r="P27" s="14" t="str">
        <f>_xll.BDH("GILD US Equity","CO2_INTENSITY_PER_EMPLOYEE","FY 2013","FY 2013","Currency=USD","Period=FQ","BEST_FPERIOD_OVERRIDE=FQ","FILING_STATUS=MR","Sort=A","Dates=H","DateFormat=P","Fill=—","Direction=H","UseDPDF=Y")</f>
        <v>—</v>
      </c>
      <c r="Q27" s="14" t="str">
        <f>_xll.BDH("GILD US Equity","CO2_INTENSITY_PER_EMPLOYEE","FY 2014","FY 2014","Currency=USD","Period=FQ","BEST_FPERIOD_OVERRIDE=FQ","FILING_STATUS=MR","Sort=A","Dates=H","DateFormat=P","Fill=—","Direction=H","UseDPDF=Y")</f>
        <v>—</v>
      </c>
      <c r="R27" s="14" t="str">
        <f>_xll.BDH("GILD US Equity","CO2_INTENSITY_PER_EMPLOYEE","FY 2015","FY 2015","Currency=USD","Period=FQ","BEST_FPERIOD_OVERRIDE=FQ","FILING_STATUS=MR","Sort=A","Dates=H","DateFormat=P","Fill=—","Direction=H","UseDPDF=Y")</f>
        <v>—</v>
      </c>
      <c r="S27" s="14" t="str">
        <f>_xll.BDH("GILD US Equity","CO2_INTENSITY_PER_EMPLOYEE","FY 2016","FY 2016","Currency=USD","Period=FQ","BEST_FPERIOD_OVERRIDE=FQ","FILING_STATUS=MR","Sort=A","Dates=H","DateFormat=P","Fill=—","Direction=H","UseDPDF=Y")</f>
        <v>—</v>
      </c>
      <c r="T27" s="14" t="str">
        <f>_xll.BDH("GILD US Equity","CO2_INTENSITY_PER_EMPLOYEE","FY 2017","FY 2017","Currency=USD","Period=FQ","BEST_FPERIOD_OVERRIDE=FQ","FILING_STATUS=MR","Sort=A","Dates=H","DateFormat=P","Fill=—","Direction=H","UseDPDF=Y")</f>
        <v>—</v>
      </c>
      <c r="U27" s="14" t="str">
        <f>_xll.BDH("GILD US Equity","CO2_INTENSITY_PER_EMPLOYEE","FY 2018","FY 2018","Currency=USD","Period=FQ","BEST_FPERIOD_OVERRIDE=FQ","FILING_STATUS=MR","Sort=A","Dates=H","DateFormat=P","Fill=—","Direction=H","UseDPDF=Y")</f>
        <v>—</v>
      </c>
      <c r="V27" s="14" t="str">
        <f>_xll.BDH("GILD US Equity","CO2_INTENSITY_PER_EMPLOYEE","FY 2019","FY 2019","Currency=USD","Period=FQ","BEST_FPERIOD_OVERRIDE=FQ","FILING_STATUS=MR","Sort=A","Dates=H","DateFormat=P","Fill=—","Direction=H","UseDPDF=Y")</f>
        <v>—</v>
      </c>
      <c r="W27" s="14" t="str">
        <f>_xll.BDH("GILD US Equity","CO2_INTENSITY_PER_EMPLOYEE","FY 2020","FY 2020","Currency=USD","Period=FQ","BEST_FPERIOD_OVERRIDE=FQ","FILING_STATUS=MR","Sort=A","Dates=H","DateFormat=P","Fill=—","Direction=H","UseDPDF=Y")</f>
        <v>—</v>
      </c>
      <c r="X27" s="14" t="str">
        <f>_xll.BDH("GILD US Equity","CO2_INTENSITY_PER_EMPLOYEE","FY 2021","FY 2021","Currency=USD","Period=FQ","BEST_FPERIOD_OVERRIDE=FQ","FILING_STATUS=MR","Sort=A","Dates=H","DateFormat=P","Fill=—","Direction=H","UseDPDF=Y")</f>
        <v>—</v>
      </c>
      <c r="Y27" s="14" t="str">
        <f>_xll.BDH("GILD US Equity","CO2_INTENSITY_PER_EMPLOYEE","FY 2022","FY 2022","Currency=USD","Period=FQ","BEST_FPERIOD_OVERRIDE=FQ","FILING_STATUS=MR","Sort=A","Dates=H","DateFormat=P","Fill=—","Direction=H","UseDPDF=Y")</f>
        <v>—</v>
      </c>
      <c r="Z27" s="14" t="str">
        <f>_xll.BDH("GILD US Equity","CO2_INTENSITY_PER_EMPLOYEE","FY 2023","FY 2023","Currency=USD","Period=FQ","BEST_FPERIOD_OVERRIDE=FQ","FILING_STATUS=MR","Sort=A","Dates=H","DateFormat=P","Fill=—","Direction=H","UseDPDF=Y")</f>
        <v>—</v>
      </c>
      <c r="AA27" s="14" t="str">
        <f>_xll.BDH("GILD US Equity","CO2_INTENSITY_PER_EMPLOYEE","FY 2024","FY 2024","Currency=USD","Period=FQ","BEST_FPERIOD_OVERRIDE=FQ","FILING_STATUS=MR","Sort=A","Dates=H","DateFormat=P","Fill=—","Direction=H","UseDPDF=Y")</f>
        <v>—</v>
      </c>
    </row>
    <row r="28" spans="1:27" x14ac:dyDescent="0.25">
      <c r="A28" s="10" t="s">
        <v>1978</v>
      </c>
      <c r="B28" s="10" t="s">
        <v>1979</v>
      </c>
      <c r="C28" s="14" t="str">
        <f>_xll.BDH("GILD US Equity","CO2_INTENSITY_PER_ASSETS","FY 2000","FY 2000","Currency=USD","Period=FQ","BEST_FPERIOD_OVERRIDE=FQ","FILING_STATUS=MR","Sort=A","Dates=H","DateFormat=P","Fill=—","Direction=H","UseDPDF=Y")</f>
        <v>—</v>
      </c>
      <c r="D28" s="14" t="str">
        <f>_xll.BDH("GILD US Equity","CO2_INTENSITY_PER_ASSETS","FY 2001","FY 2001","Currency=USD","Period=FQ","BEST_FPERIOD_OVERRIDE=FQ","FILING_STATUS=MR","Sort=A","Dates=H","DateFormat=P","Fill=—","Direction=H","UseDPDF=Y")</f>
        <v>—</v>
      </c>
      <c r="E28" s="14" t="str">
        <f>_xll.BDH("GILD US Equity","CO2_INTENSITY_PER_ASSETS","FY 2002","FY 2002","Currency=USD","Period=FQ","BEST_FPERIOD_OVERRIDE=FQ","FILING_STATUS=MR","Sort=A","Dates=H","DateFormat=P","Fill=—","Direction=H","UseDPDF=Y")</f>
        <v>—</v>
      </c>
      <c r="F28" s="14" t="str">
        <f>_xll.BDH("GILD US Equity","CO2_INTENSITY_PER_ASSETS","FY 2003","FY 2003","Currency=USD","Period=FQ","BEST_FPERIOD_OVERRIDE=FQ","FILING_STATUS=MR","Sort=A","Dates=H","DateFormat=P","Fill=—","Direction=H","UseDPDF=Y")</f>
        <v>—</v>
      </c>
      <c r="G28" s="14" t="str">
        <f>_xll.BDH("GILD US Equity","CO2_INTENSITY_PER_ASSETS","FY 2004","FY 2004","Currency=USD","Period=FQ","BEST_FPERIOD_OVERRIDE=FQ","FILING_STATUS=MR","Sort=A","Dates=H","DateFormat=P","Fill=—","Direction=H","UseDPDF=Y")</f>
        <v>—</v>
      </c>
      <c r="H28" s="14" t="str">
        <f>_xll.BDH("GILD US Equity","CO2_INTENSITY_PER_ASSETS","FY 2005","FY 2005","Currency=USD","Period=FQ","BEST_FPERIOD_OVERRIDE=FQ","FILING_STATUS=MR","Sort=A","Dates=H","DateFormat=P","Fill=—","Direction=H","UseDPDF=Y")</f>
        <v>—</v>
      </c>
      <c r="I28" s="14" t="str">
        <f>_xll.BDH("GILD US Equity","CO2_INTENSITY_PER_ASSETS","FY 2006","FY 2006","Currency=USD","Period=FQ","BEST_FPERIOD_OVERRIDE=FQ","FILING_STATUS=MR","Sort=A","Dates=H","DateFormat=P","Fill=—","Direction=H","UseDPDF=Y")</f>
        <v>—</v>
      </c>
      <c r="J28" s="14" t="str">
        <f>_xll.BDH("GILD US Equity","CO2_INTENSITY_PER_ASSETS","FY 2007","FY 2007","Currency=USD","Period=FQ","BEST_FPERIOD_OVERRIDE=FQ","FILING_STATUS=MR","Sort=A","Dates=H","DateFormat=P","Fill=—","Direction=H","UseDPDF=Y")</f>
        <v>—</v>
      </c>
      <c r="K28" s="14" t="str">
        <f>_xll.BDH("GILD US Equity","CO2_INTENSITY_PER_ASSETS","FY 2008","FY 2008","Currency=USD","Period=FQ","BEST_FPERIOD_OVERRIDE=FQ","FILING_STATUS=MR","Sort=A","Dates=H","DateFormat=P","Fill=—","Direction=H","UseDPDF=Y")</f>
        <v>—</v>
      </c>
      <c r="L28" s="14" t="str">
        <f>_xll.BDH("GILD US Equity","CO2_INTENSITY_PER_ASSETS","FY 2009","FY 2009","Currency=USD","Period=FQ","BEST_FPERIOD_OVERRIDE=FQ","FILING_STATUS=MR","Sort=A","Dates=H","DateFormat=P","Fill=—","Direction=H","UseDPDF=Y")</f>
        <v>—</v>
      </c>
      <c r="M28" s="14" t="str">
        <f>_xll.BDH("GILD US Equity","CO2_INTENSITY_PER_ASSETS","FY 2010","FY 2010","Currency=USD","Period=FQ","BEST_FPERIOD_OVERRIDE=FQ","FILING_STATUS=MR","Sort=A","Dates=H","DateFormat=P","Fill=—","Direction=H","UseDPDF=Y")</f>
        <v>—</v>
      </c>
      <c r="N28" s="14" t="str">
        <f>_xll.BDH("GILD US Equity","CO2_INTENSITY_PER_ASSETS","FY 2011","FY 2011","Currency=USD","Period=FQ","BEST_FPERIOD_OVERRIDE=FQ","FILING_STATUS=MR","Sort=A","Dates=H","DateFormat=P","Fill=—","Direction=H","UseDPDF=Y")</f>
        <v>—</v>
      </c>
      <c r="O28" s="14" t="str">
        <f>_xll.BDH("GILD US Equity","CO2_INTENSITY_PER_ASSETS","FY 2012","FY 2012","Currency=USD","Period=FQ","BEST_FPERIOD_OVERRIDE=FQ","FILING_STATUS=MR","Sort=A","Dates=H","DateFormat=P","Fill=—","Direction=H","UseDPDF=Y")</f>
        <v>—</v>
      </c>
      <c r="P28" s="14" t="str">
        <f>_xll.BDH("GILD US Equity","CO2_INTENSITY_PER_ASSETS","FY 2013","FY 2013","Currency=USD","Period=FQ","BEST_FPERIOD_OVERRIDE=FQ","FILING_STATUS=MR","Sort=A","Dates=H","DateFormat=P","Fill=—","Direction=H","UseDPDF=Y")</f>
        <v>—</v>
      </c>
      <c r="Q28" s="14" t="str">
        <f>_xll.BDH("GILD US Equity","CO2_INTENSITY_PER_ASSETS","FY 2014","FY 2014","Currency=USD","Period=FQ","BEST_FPERIOD_OVERRIDE=FQ","FILING_STATUS=MR","Sort=A","Dates=H","DateFormat=P","Fill=—","Direction=H","UseDPDF=Y")</f>
        <v>—</v>
      </c>
      <c r="R28" s="14" t="str">
        <f>_xll.BDH("GILD US Equity","CO2_INTENSITY_PER_ASSETS","FY 2015","FY 2015","Currency=USD","Period=FQ","BEST_FPERIOD_OVERRIDE=FQ","FILING_STATUS=MR","Sort=A","Dates=H","DateFormat=P","Fill=—","Direction=H","UseDPDF=Y")</f>
        <v>—</v>
      </c>
      <c r="S28" s="14" t="str">
        <f>_xll.BDH("GILD US Equity","CO2_INTENSITY_PER_ASSETS","FY 2016","FY 2016","Currency=USD","Period=FQ","BEST_FPERIOD_OVERRIDE=FQ","FILING_STATUS=MR","Sort=A","Dates=H","DateFormat=P","Fill=—","Direction=H","UseDPDF=Y")</f>
        <v>—</v>
      </c>
      <c r="T28" s="14" t="str">
        <f>_xll.BDH("GILD US Equity","CO2_INTENSITY_PER_ASSETS","FY 2017","FY 2017","Currency=USD","Period=FQ","BEST_FPERIOD_OVERRIDE=FQ","FILING_STATUS=MR","Sort=A","Dates=H","DateFormat=P","Fill=—","Direction=H","UseDPDF=Y")</f>
        <v>—</v>
      </c>
      <c r="U28" s="14" t="str">
        <f>_xll.BDH("GILD US Equity","CO2_INTENSITY_PER_ASSETS","FY 2018","FY 2018","Currency=USD","Period=FQ","BEST_FPERIOD_OVERRIDE=FQ","FILING_STATUS=MR","Sort=A","Dates=H","DateFormat=P","Fill=—","Direction=H","UseDPDF=Y")</f>
        <v>—</v>
      </c>
      <c r="V28" s="14" t="str">
        <f>_xll.BDH("GILD US Equity","CO2_INTENSITY_PER_ASSETS","FY 2019","FY 2019","Currency=USD","Period=FQ","BEST_FPERIOD_OVERRIDE=FQ","FILING_STATUS=MR","Sort=A","Dates=H","DateFormat=P","Fill=—","Direction=H","UseDPDF=Y")</f>
        <v>—</v>
      </c>
      <c r="W28" s="14" t="str">
        <f>_xll.BDH("GILD US Equity","CO2_INTENSITY_PER_ASSETS","FY 2020","FY 2020","Currency=USD","Period=FQ","BEST_FPERIOD_OVERRIDE=FQ","FILING_STATUS=MR","Sort=A","Dates=H","DateFormat=P","Fill=—","Direction=H","UseDPDF=Y")</f>
        <v>—</v>
      </c>
      <c r="X28" s="14" t="str">
        <f>_xll.BDH("GILD US Equity","CO2_INTENSITY_PER_ASSETS","FY 2021","FY 2021","Currency=USD","Period=FQ","BEST_FPERIOD_OVERRIDE=FQ","FILING_STATUS=MR","Sort=A","Dates=H","DateFormat=P","Fill=—","Direction=H","UseDPDF=Y")</f>
        <v>—</v>
      </c>
      <c r="Y28" s="14" t="str">
        <f>_xll.BDH("GILD US Equity","CO2_INTENSITY_PER_ASSETS","FY 2022","FY 2022","Currency=USD","Period=FQ","BEST_FPERIOD_OVERRIDE=FQ","FILING_STATUS=MR","Sort=A","Dates=H","DateFormat=P","Fill=—","Direction=H","UseDPDF=Y")</f>
        <v>—</v>
      </c>
      <c r="Z28" s="14" t="str">
        <f>_xll.BDH("GILD US Equity","CO2_INTENSITY_PER_ASSETS","FY 2023","FY 2023","Currency=USD","Period=FQ","BEST_FPERIOD_OVERRIDE=FQ","FILING_STATUS=MR","Sort=A","Dates=H","DateFormat=P","Fill=—","Direction=H","UseDPDF=Y")</f>
        <v>—</v>
      </c>
      <c r="AA28" s="14" t="str">
        <f>_xll.BDH("GILD US Equity","CO2_INTENSITY_PER_ASSETS","FY 2024","FY 2024","Currency=USD","Period=FQ","BEST_FPERIOD_OVERRIDE=FQ","FILING_STATUS=MR","Sort=A","Dates=H","DateFormat=P","Fill=—","Direction=H","UseDPDF=Y")</f>
        <v>—</v>
      </c>
    </row>
    <row r="29" spans="1:27" x14ac:dyDescent="0.25">
      <c r="A29" s="10" t="s">
        <v>1980</v>
      </c>
      <c r="B29" s="10" t="s">
        <v>1981</v>
      </c>
      <c r="C29" s="14" t="str">
        <f>_xll.BDH("GILD US Equity","TRAVEL_EMISSIONS_PER_SALES","FY 2000","FY 2000","Currency=USD","Period=FQ","BEST_FPERIOD_OVERRIDE=FQ","FILING_STATUS=MR","FA_ADJUSTED=GAAP","Sort=A","Dates=H","DateFormat=P","Fill=—","Direction=H","UseDPDF=Y")</f>
        <v>—</v>
      </c>
      <c r="D29" s="14" t="str">
        <f>_xll.BDH("GILD US Equity","TRAVEL_EMISSIONS_PER_SALES","FY 2001","FY 2001","Currency=USD","Period=FQ","BEST_FPERIOD_OVERRIDE=FQ","FILING_STATUS=MR","FA_ADJUSTED=GAAP","Sort=A","Dates=H","DateFormat=P","Fill=—","Direction=H","UseDPDF=Y")</f>
        <v>—</v>
      </c>
      <c r="E29" s="14" t="str">
        <f>_xll.BDH("GILD US Equity","TRAVEL_EMISSIONS_PER_SALES","FY 2002","FY 2002","Currency=USD","Period=FQ","BEST_FPERIOD_OVERRIDE=FQ","FILING_STATUS=MR","FA_ADJUSTED=GAAP","Sort=A","Dates=H","DateFormat=P","Fill=—","Direction=H","UseDPDF=Y")</f>
        <v>—</v>
      </c>
      <c r="F29" s="14" t="str">
        <f>_xll.BDH("GILD US Equity","TRAVEL_EMISSIONS_PER_SALES","FY 2003","FY 2003","Currency=USD","Period=FQ","BEST_FPERIOD_OVERRIDE=FQ","FILING_STATUS=MR","FA_ADJUSTED=GAAP","Sort=A","Dates=H","DateFormat=P","Fill=—","Direction=H","UseDPDF=Y")</f>
        <v>—</v>
      </c>
      <c r="G29" s="14" t="str">
        <f>_xll.BDH("GILD US Equity","TRAVEL_EMISSIONS_PER_SALES","FY 2004","FY 2004","Currency=USD","Period=FQ","BEST_FPERIOD_OVERRIDE=FQ","FILING_STATUS=MR","FA_ADJUSTED=GAAP","Sort=A","Dates=H","DateFormat=P","Fill=—","Direction=H","UseDPDF=Y")</f>
        <v>—</v>
      </c>
      <c r="H29" s="14" t="str">
        <f>_xll.BDH("GILD US Equity","TRAVEL_EMISSIONS_PER_SALES","FY 2005","FY 2005","Currency=USD","Period=FQ","BEST_FPERIOD_OVERRIDE=FQ","FILING_STATUS=MR","FA_ADJUSTED=GAAP","Sort=A","Dates=H","DateFormat=P","Fill=—","Direction=H","UseDPDF=Y")</f>
        <v>—</v>
      </c>
      <c r="I29" s="14" t="str">
        <f>_xll.BDH("GILD US Equity","TRAVEL_EMISSIONS_PER_SALES","FY 2006","FY 2006","Currency=USD","Period=FQ","BEST_FPERIOD_OVERRIDE=FQ","FILING_STATUS=MR","FA_ADJUSTED=GAAP","Sort=A","Dates=H","DateFormat=P","Fill=—","Direction=H","UseDPDF=Y")</f>
        <v>—</v>
      </c>
      <c r="J29" s="14" t="str">
        <f>_xll.BDH("GILD US Equity","TRAVEL_EMISSIONS_PER_SALES","FY 2007","FY 2007","Currency=USD","Period=FQ","BEST_FPERIOD_OVERRIDE=FQ","FILING_STATUS=MR","FA_ADJUSTED=GAAP","Sort=A","Dates=H","DateFormat=P","Fill=—","Direction=H","UseDPDF=Y")</f>
        <v>—</v>
      </c>
      <c r="K29" s="14" t="str">
        <f>_xll.BDH("GILD US Equity","TRAVEL_EMISSIONS_PER_SALES","FY 2008","FY 2008","Currency=USD","Period=FQ","BEST_FPERIOD_OVERRIDE=FQ","FILING_STATUS=MR","FA_ADJUSTED=GAAP","Sort=A","Dates=H","DateFormat=P","Fill=—","Direction=H","UseDPDF=Y")</f>
        <v>—</v>
      </c>
      <c r="L29" s="14" t="str">
        <f>_xll.BDH("GILD US Equity","TRAVEL_EMISSIONS_PER_SALES","FY 2009","FY 2009","Currency=USD","Period=FQ","BEST_FPERIOD_OVERRIDE=FQ","FILING_STATUS=MR","FA_ADJUSTED=GAAP","Sort=A","Dates=H","DateFormat=P","Fill=—","Direction=H","UseDPDF=Y")</f>
        <v>—</v>
      </c>
      <c r="M29" s="14" t="str">
        <f>_xll.BDH("GILD US Equity","TRAVEL_EMISSIONS_PER_SALES","FY 2010","FY 2010","Currency=USD","Period=FQ","BEST_FPERIOD_OVERRIDE=FQ","FILING_STATUS=MR","FA_ADJUSTED=GAAP","Sort=A","Dates=H","DateFormat=P","Fill=—","Direction=H","UseDPDF=Y")</f>
        <v>—</v>
      </c>
      <c r="N29" s="14" t="str">
        <f>_xll.BDH("GILD US Equity","TRAVEL_EMISSIONS_PER_SALES","FY 2011","FY 2011","Currency=USD","Period=FQ","BEST_FPERIOD_OVERRIDE=FQ","FILING_STATUS=MR","FA_ADJUSTED=GAAP","Sort=A","Dates=H","DateFormat=P","Fill=—","Direction=H","UseDPDF=Y")</f>
        <v>—</v>
      </c>
      <c r="O29" s="14" t="str">
        <f>_xll.BDH("GILD US Equity","TRAVEL_EMISSIONS_PER_SALES","FY 2012","FY 2012","Currency=USD","Period=FQ","BEST_FPERIOD_OVERRIDE=FQ","FILING_STATUS=MR","FA_ADJUSTED=GAAP","Sort=A","Dates=H","DateFormat=P","Fill=—","Direction=H","UseDPDF=Y")</f>
        <v>—</v>
      </c>
      <c r="P29" s="14" t="str">
        <f>_xll.BDH("GILD US Equity","TRAVEL_EMISSIONS_PER_SALES","FY 2013","FY 2013","Currency=USD","Period=FQ","BEST_FPERIOD_OVERRIDE=FQ","FILING_STATUS=MR","FA_ADJUSTED=GAAP","Sort=A","Dates=H","DateFormat=P","Fill=—","Direction=H","UseDPDF=Y")</f>
        <v>—</v>
      </c>
      <c r="Q29" s="14" t="str">
        <f>_xll.BDH("GILD US Equity","TRAVEL_EMISSIONS_PER_SALES","FY 2014","FY 2014","Currency=USD","Period=FQ","BEST_FPERIOD_OVERRIDE=FQ","FILING_STATUS=MR","FA_ADJUSTED=GAAP","Sort=A","Dates=H","DateFormat=P","Fill=—","Direction=H","UseDPDF=Y")</f>
        <v>—</v>
      </c>
      <c r="R29" s="14" t="str">
        <f>_xll.BDH("GILD US Equity","TRAVEL_EMISSIONS_PER_SALES","FY 2015","FY 2015","Currency=USD","Period=FQ","BEST_FPERIOD_OVERRIDE=FQ","FILING_STATUS=MR","FA_ADJUSTED=GAAP","Sort=A","Dates=H","DateFormat=P","Fill=—","Direction=H","UseDPDF=Y")</f>
        <v>—</v>
      </c>
      <c r="S29" s="14" t="str">
        <f>_xll.BDH("GILD US Equity","TRAVEL_EMISSIONS_PER_SALES","FY 2016","FY 2016","Currency=USD","Period=FQ","BEST_FPERIOD_OVERRIDE=FQ","FILING_STATUS=MR","FA_ADJUSTED=GAAP","Sort=A","Dates=H","DateFormat=P","Fill=—","Direction=H","UseDPDF=Y")</f>
        <v>—</v>
      </c>
      <c r="T29" s="14" t="str">
        <f>_xll.BDH("GILD US Equity","TRAVEL_EMISSIONS_PER_SALES","FY 2017","FY 2017","Currency=USD","Period=FQ","BEST_FPERIOD_OVERRIDE=FQ","FILING_STATUS=MR","FA_ADJUSTED=GAAP","Sort=A","Dates=H","DateFormat=P","Fill=—","Direction=H","UseDPDF=Y")</f>
        <v>—</v>
      </c>
      <c r="U29" s="14" t="str">
        <f>_xll.BDH("GILD US Equity","TRAVEL_EMISSIONS_PER_SALES","FY 2018","FY 2018","Currency=USD","Period=FQ","BEST_FPERIOD_OVERRIDE=FQ","FILING_STATUS=MR","FA_ADJUSTED=GAAP","Sort=A","Dates=H","DateFormat=P","Fill=—","Direction=H","UseDPDF=Y")</f>
        <v>—</v>
      </c>
      <c r="V29" s="14" t="str">
        <f>_xll.BDH("GILD US Equity","TRAVEL_EMISSIONS_PER_SALES","FY 2019","FY 2019","Currency=USD","Period=FQ","BEST_FPERIOD_OVERRIDE=FQ","FILING_STATUS=MR","FA_ADJUSTED=GAAP","Sort=A","Dates=H","DateFormat=P","Fill=—","Direction=H","UseDPDF=Y")</f>
        <v>—</v>
      </c>
      <c r="W29" s="14" t="str">
        <f>_xll.BDH("GILD US Equity","TRAVEL_EMISSIONS_PER_SALES","FY 2020","FY 2020","Currency=USD","Period=FQ","BEST_FPERIOD_OVERRIDE=FQ","FILING_STATUS=MR","FA_ADJUSTED=GAAP","Sort=A","Dates=H","DateFormat=P","Fill=—","Direction=H","UseDPDF=Y")</f>
        <v>—</v>
      </c>
      <c r="X29" s="14" t="str">
        <f>_xll.BDH("GILD US Equity","TRAVEL_EMISSIONS_PER_SALES","FY 2021","FY 2021","Currency=USD","Period=FQ","BEST_FPERIOD_OVERRIDE=FQ","FILING_STATUS=MR","FA_ADJUSTED=GAAP","Sort=A","Dates=H","DateFormat=P","Fill=—","Direction=H","UseDPDF=Y")</f>
        <v>—</v>
      </c>
      <c r="Y29" s="14" t="str">
        <f>_xll.BDH("GILD US Equity","TRAVEL_EMISSIONS_PER_SALES","FY 2022","FY 2022","Currency=USD","Period=FQ","BEST_FPERIOD_OVERRIDE=FQ","FILING_STATUS=MR","FA_ADJUSTED=GAAP","Sort=A","Dates=H","DateFormat=P","Fill=—","Direction=H","UseDPDF=Y")</f>
        <v>—</v>
      </c>
      <c r="Z29" s="14" t="str">
        <f>_xll.BDH("GILD US Equity","TRAVEL_EMISSIONS_PER_SALES","FY 2023","FY 2023","Currency=USD","Period=FQ","BEST_FPERIOD_OVERRIDE=FQ","FILING_STATUS=MR","FA_ADJUSTED=GAAP","Sort=A","Dates=H","DateFormat=P","Fill=—","Direction=H","UseDPDF=Y")</f>
        <v>—</v>
      </c>
      <c r="AA29" s="14" t="str">
        <f>_xll.BDH("GILD US Equity","TRAVEL_EMISSIONS_PER_SALES","FY 2024","FY 2024","Currency=USD","Period=FQ","BEST_FPERIOD_OVERRIDE=FQ","FILING_STATUS=MR","FA_ADJUSTED=GAAP","Sort=A","Dates=H","DateFormat=P","Fill=—","Direction=H","UseDPDF=Y")</f>
        <v>—</v>
      </c>
    </row>
    <row r="30" spans="1:27" x14ac:dyDescent="0.25">
      <c r="A30" s="10" t="s">
        <v>1982</v>
      </c>
      <c r="B30" s="10" t="s">
        <v>1983</v>
      </c>
      <c r="C30" s="14" t="str">
        <f>_xll.BDH("GILD US Equity","TRAVEL_CO2_PER_EMPLOYEE","FY 2000","FY 2000","Currency=USD","Period=FQ","BEST_FPERIOD_OVERRIDE=FQ","FILING_STATUS=MR","Sort=A","Dates=H","DateFormat=P","Fill=—","Direction=H","UseDPDF=Y")</f>
        <v>—</v>
      </c>
      <c r="D30" s="14" t="str">
        <f>_xll.BDH("GILD US Equity","TRAVEL_CO2_PER_EMPLOYEE","FY 2001","FY 2001","Currency=USD","Period=FQ","BEST_FPERIOD_OVERRIDE=FQ","FILING_STATUS=MR","Sort=A","Dates=H","DateFormat=P","Fill=—","Direction=H","UseDPDF=Y")</f>
        <v>—</v>
      </c>
      <c r="E30" s="14" t="str">
        <f>_xll.BDH("GILD US Equity","TRAVEL_CO2_PER_EMPLOYEE","FY 2002","FY 2002","Currency=USD","Period=FQ","BEST_FPERIOD_OVERRIDE=FQ","FILING_STATUS=MR","Sort=A","Dates=H","DateFormat=P","Fill=—","Direction=H","UseDPDF=Y")</f>
        <v>—</v>
      </c>
      <c r="F30" s="14" t="str">
        <f>_xll.BDH("GILD US Equity","TRAVEL_CO2_PER_EMPLOYEE","FY 2003","FY 2003","Currency=USD","Period=FQ","BEST_FPERIOD_OVERRIDE=FQ","FILING_STATUS=MR","Sort=A","Dates=H","DateFormat=P","Fill=—","Direction=H","UseDPDF=Y")</f>
        <v>—</v>
      </c>
      <c r="G30" s="14" t="str">
        <f>_xll.BDH("GILD US Equity","TRAVEL_CO2_PER_EMPLOYEE","FY 2004","FY 2004","Currency=USD","Period=FQ","BEST_FPERIOD_OVERRIDE=FQ","FILING_STATUS=MR","Sort=A","Dates=H","DateFormat=P","Fill=—","Direction=H","UseDPDF=Y")</f>
        <v>—</v>
      </c>
      <c r="H30" s="14" t="str">
        <f>_xll.BDH("GILD US Equity","TRAVEL_CO2_PER_EMPLOYEE","FY 2005","FY 2005","Currency=USD","Period=FQ","BEST_FPERIOD_OVERRIDE=FQ","FILING_STATUS=MR","Sort=A","Dates=H","DateFormat=P","Fill=—","Direction=H","UseDPDF=Y")</f>
        <v>—</v>
      </c>
      <c r="I30" s="14" t="str">
        <f>_xll.BDH("GILD US Equity","TRAVEL_CO2_PER_EMPLOYEE","FY 2006","FY 2006","Currency=USD","Period=FQ","BEST_FPERIOD_OVERRIDE=FQ","FILING_STATUS=MR","Sort=A","Dates=H","DateFormat=P","Fill=—","Direction=H","UseDPDF=Y")</f>
        <v>—</v>
      </c>
      <c r="J30" s="14" t="str">
        <f>_xll.BDH("GILD US Equity","TRAVEL_CO2_PER_EMPLOYEE","FY 2007","FY 2007","Currency=USD","Period=FQ","BEST_FPERIOD_OVERRIDE=FQ","FILING_STATUS=MR","Sort=A","Dates=H","DateFormat=P","Fill=—","Direction=H","UseDPDF=Y")</f>
        <v>—</v>
      </c>
      <c r="K30" s="14" t="str">
        <f>_xll.BDH("GILD US Equity","TRAVEL_CO2_PER_EMPLOYEE","FY 2008","FY 2008","Currency=USD","Period=FQ","BEST_FPERIOD_OVERRIDE=FQ","FILING_STATUS=MR","Sort=A","Dates=H","DateFormat=P","Fill=—","Direction=H","UseDPDF=Y")</f>
        <v>—</v>
      </c>
      <c r="L30" s="14" t="str">
        <f>_xll.BDH("GILD US Equity","TRAVEL_CO2_PER_EMPLOYEE","FY 2009","FY 2009","Currency=USD","Period=FQ","BEST_FPERIOD_OVERRIDE=FQ","FILING_STATUS=MR","Sort=A","Dates=H","DateFormat=P","Fill=—","Direction=H","UseDPDF=Y")</f>
        <v>—</v>
      </c>
      <c r="M30" s="14" t="str">
        <f>_xll.BDH("GILD US Equity","TRAVEL_CO2_PER_EMPLOYEE","FY 2010","FY 2010","Currency=USD","Period=FQ","BEST_FPERIOD_OVERRIDE=FQ","FILING_STATUS=MR","Sort=A","Dates=H","DateFormat=P","Fill=—","Direction=H","UseDPDF=Y")</f>
        <v>—</v>
      </c>
      <c r="N30" s="14" t="str">
        <f>_xll.BDH("GILD US Equity","TRAVEL_CO2_PER_EMPLOYEE","FY 2011","FY 2011","Currency=USD","Period=FQ","BEST_FPERIOD_OVERRIDE=FQ","FILING_STATUS=MR","Sort=A","Dates=H","DateFormat=P","Fill=—","Direction=H","UseDPDF=Y")</f>
        <v>—</v>
      </c>
      <c r="O30" s="14" t="str">
        <f>_xll.BDH("GILD US Equity","TRAVEL_CO2_PER_EMPLOYEE","FY 2012","FY 2012","Currency=USD","Period=FQ","BEST_FPERIOD_OVERRIDE=FQ","FILING_STATUS=MR","Sort=A","Dates=H","DateFormat=P","Fill=—","Direction=H","UseDPDF=Y")</f>
        <v>—</v>
      </c>
      <c r="P30" s="14" t="str">
        <f>_xll.BDH("GILD US Equity","TRAVEL_CO2_PER_EMPLOYEE","FY 2013","FY 2013","Currency=USD","Period=FQ","BEST_FPERIOD_OVERRIDE=FQ","FILING_STATUS=MR","Sort=A","Dates=H","DateFormat=P","Fill=—","Direction=H","UseDPDF=Y")</f>
        <v>—</v>
      </c>
      <c r="Q30" s="14" t="str">
        <f>_xll.BDH("GILD US Equity","TRAVEL_CO2_PER_EMPLOYEE","FY 2014","FY 2014","Currency=USD","Period=FQ","BEST_FPERIOD_OVERRIDE=FQ","FILING_STATUS=MR","Sort=A","Dates=H","DateFormat=P","Fill=—","Direction=H","UseDPDF=Y")</f>
        <v>—</v>
      </c>
      <c r="R30" s="14" t="str">
        <f>_xll.BDH("GILD US Equity","TRAVEL_CO2_PER_EMPLOYEE","FY 2015","FY 2015","Currency=USD","Period=FQ","BEST_FPERIOD_OVERRIDE=FQ","FILING_STATUS=MR","Sort=A","Dates=H","DateFormat=P","Fill=—","Direction=H","UseDPDF=Y")</f>
        <v>—</v>
      </c>
      <c r="S30" s="14" t="str">
        <f>_xll.BDH("GILD US Equity","TRAVEL_CO2_PER_EMPLOYEE","FY 2016","FY 2016","Currency=USD","Period=FQ","BEST_FPERIOD_OVERRIDE=FQ","FILING_STATUS=MR","Sort=A","Dates=H","DateFormat=P","Fill=—","Direction=H","UseDPDF=Y")</f>
        <v>—</v>
      </c>
      <c r="T30" s="14" t="str">
        <f>_xll.BDH("GILD US Equity","TRAVEL_CO2_PER_EMPLOYEE","FY 2017","FY 2017","Currency=USD","Period=FQ","BEST_FPERIOD_OVERRIDE=FQ","FILING_STATUS=MR","Sort=A","Dates=H","DateFormat=P","Fill=—","Direction=H","UseDPDF=Y")</f>
        <v>—</v>
      </c>
      <c r="U30" s="14" t="str">
        <f>_xll.BDH("GILD US Equity","TRAVEL_CO2_PER_EMPLOYEE","FY 2018","FY 2018","Currency=USD","Period=FQ","BEST_FPERIOD_OVERRIDE=FQ","FILING_STATUS=MR","Sort=A","Dates=H","DateFormat=P","Fill=—","Direction=H","UseDPDF=Y")</f>
        <v>—</v>
      </c>
      <c r="V30" s="14" t="str">
        <f>_xll.BDH("GILD US Equity","TRAVEL_CO2_PER_EMPLOYEE","FY 2019","FY 2019","Currency=USD","Period=FQ","BEST_FPERIOD_OVERRIDE=FQ","FILING_STATUS=MR","Sort=A","Dates=H","DateFormat=P","Fill=—","Direction=H","UseDPDF=Y")</f>
        <v>—</v>
      </c>
      <c r="W30" s="14" t="str">
        <f>_xll.BDH("GILD US Equity","TRAVEL_CO2_PER_EMPLOYEE","FY 2020","FY 2020","Currency=USD","Period=FQ","BEST_FPERIOD_OVERRIDE=FQ","FILING_STATUS=MR","Sort=A","Dates=H","DateFormat=P","Fill=—","Direction=H","UseDPDF=Y")</f>
        <v>—</v>
      </c>
      <c r="X30" s="14" t="str">
        <f>_xll.BDH("GILD US Equity","TRAVEL_CO2_PER_EMPLOYEE","FY 2021","FY 2021","Currency=USD","Period=FQ","BEST_FPERIOD_OVERRIDE=FQ","FILING_STATUS=MR","Sort=A","Dates=H","DateFormat=P","Fill=—","Direction=H","UseDPDF=Y")</f>
        <v>—</v>
      </c>
      <c r="Y30" s="14" t="str">
        <f>_xll.BDH("GILD US Equity","TRAVEL_CO2_PER_EMPLOYEE","FY 2022","FY 2022","Currency=USD","Period=FQ","BEST_FPERIOD_OVERRIDE=FQ","FILING_STATUS=MR","Sort=A","Dates=H","DateFormat=P","Fill=—","Direction=H","UseDPDF=Y")</f>
        <v>—</v>
      </c>
      <c r="Z30" s="14" t="str">
        <f>_xll.BDH("GILD US Equity","TRAVEL_CO2_PER_EMPLOYEE","FY 2023","FY 2023","Currency=USD","Period=FQ","BEST_FPERIOD_OVERRIDE=FQ","FILING_STATUS=MR","Sort=A","Dates=H","DateFormat=P","Fill=—","Direction=H","UseDPDF=Y")</f>
        <v>—</v>
      </c>
      <c r="AA30" s="14" t="str">
        <f>_xll.BDH("GILD US Equity","TRAVEL_CO2_PER_EMPLOYEE","FY 2024","FY 2024","Currency=USD","Period=FQ","BEST_FPERIOD_OVERRIDE=FQ","FILING_STATUS=MR","Sort=A","Dates=H","DateFormat=P","Fill=—","Direction=H","UseDPDF=Y")</f>
        <v>—</v>
      </c>
    </row>
    <row r="31" spans="1:27" x14ac:dyDescent="0.25">
      <c r="A31" s="10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5">
      <c r="A32" s="6" t="s">
        <v>1984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 x14ac:dyDescent="0.25">
      <c r="A33" s="10" t="s">
        <v>1985</v>
      </c>
      <c r="B33" s="10" t="s">
        <v>1986</v>
      </c>
      <c r="C33" s="14" t="str">
        <f>_xll.BDH("GILD US Equity","ENERGY_INTENSITY_PER_SALES","FY 2000","FY 2000","Currency=USD","Period=FQ","BEST_FPERIOD_OVERRIDE=FQ","FILING_STATUS=MR","FA_ADJUSTED=GAAP","Sort=A","Dates=H","DateFormat=P","Fill=—","Direction=H","UseDPDF=Y")</f>
        <v>—</v>
      </c>
      <c r="D33" s="14" t="str">
        <f>_xll.BDH("GILD US Equity","ENERGY_INTENSITY_PER_SALES","FY 2001","FY 2001","Currency=USD","Period=FQ","BEST_FPERIOD_OVERRIDE=FQ","FILING_STATUS=MR","FA_ADJUSTED=GAAP","Sort=A","Dates=H","DateFormat=P","Fill=—","Direction=H","UseDPDF=Y")</f>
        <v>—</v>
      </c>
      <c r="E33" s="14" t="str">
        <f>_xll.BDH("GILD US Equity","ENERGY_INTENSITY_PER_SALES","FY 2002","FY 2002","Currency=USD","Period=FQ","BEST_FPERIOD_OVERRIDE=FQ","FILING_STATUS=MR","FA_ADJUSTED=GAAP","Sort=A","Dates=H","DateFormat=P","Fill=—","Direction=H","UseDPDF=Y")</f>
        <v>—</v>
      </c>
      <c r="F33" s="14" t="str">
        <f>_xll.BDH("GILD US Equity","ENERGY_INTENSITY_PER_SALES","FY 2003","FY 2003","Currency=USD","Period=FQ","BEST_FPERIOD_OVERRIDE=FQ","FILING_STATUS=MR","FA_ADJUSTED=GAAP","Sort=A","Dates=H","DateFormat=P","Fill=—","Direction=H","UseDPDF=Y")</f>
        <v>—</v>
      </c>
      <c r="G33" s="14" t="str">
        <f>_xll.BDH("GILD US Equity","ENERGY_INTENSITY_PER_SALES","FY 2004","FY 2004","Currency=USD","Period=FQ","BEST_FPERIOD_OVERRIDE=FQ","FILING_STATUS=MR","FA_ADJUSTED=GAAP","Sort=A","Dates=H","DateFormat=P","Fill=—","Direction=H","UseDPDF=Y")</f>
        <v>—</v>
      </c>
      <c r="H33" s="14" t="str">
        <f>_xll.BDH("GILD US Equity","ENERGY_INTENSITY_PER_SALES","FY 2005","FY 2005","Currency=USD","Period=FQ","BEST_FPERIOD_OVERRIDE=FQ","FILING_STATUS=MR","FA_ADJUSTED=GAAP","Sort=A","Dates=H","DateFormat=P","Fill=—","Direction=H","UseDPDF=Y")</f>
        <v>—</v>
      </c>
      <c r="I33" s="14" t="str">
        <f>_xll.BDH("GILD US Equity","ENERGY_INTENSITY_PER_SALES","FY 2006","FY 2006","Currency=USD","Period=FQ","BEST_FPERIOD_OVERRIDE=FQ","FILING_STATUS=MR","FA_ADJUSTED=GAAP","Sort=A","Dates=H","DateFormat=P","Fill=—","Direction=H","UseDPDF=Y")</f>
        <v>—</v>
      </c>
      <c r="J33" s="14" t="str">
        <f>_xll.BDH("GILD US Equity","ENERGY_INTENSITY_PER_SALES","FY 2007","FY 2007","Currency=USD","Period=FQ","BEST_FPERIOD_OVERRIDE=FQ","FILING_STATUS=MR","FA_ADJUSTED=GAAP","Sort=A","Dates=H","DateFormat=P","Fill=—","Direction=H","UseDPDF=Y")</f>
        <v>—</v>
      </c>
      <c r="K33" s="14" t="str">
        <f>_xll.BDH("GILD US Equity","ENERGY_INTENSITY_PER_SALES","FY 2008","FY 2008","Currency=USD","Period=FQ","BEST_FPERIOD_OVERRIDE=FQ","FILING_STATUS=MR","FA_ADJUSTED=GAAP","Sort=A","Dates=H","DateFormat=P","Fill=—","Direction=H","UseDPDF=Y")</f>
        <v>—</v>
      </c>
      <c r="L33" s="14" t="str">
        <f>_xll.BDH("GILD US Equity","ENERGY_INTENSITY_PER_SALES","FY 2009","FY 2009","Currency=USD","Period=FQ","BEST_FPERIOD_OVERRIDE=FQ","FILING_STATUS=MR","FA_ADJUSTED=GAAP","Sort=A","Dates=H","DateFormat=P","Fill=—","Direction=H","UseDPDF=Y")</f>
        <v>—</v>
      </c>
      <c r="M33" s="14" t="str">
        <f>_xll.BDH("GILD US Equity","ENERGY_INTENSITY_PER_SALES","FY 2010","FY 2010","Currency=USD","Period=FQ","BEST_FPERIOD_OVERRIDE=FQ","FILING_STATUS=MR","FA_ADJUSTED=GAAP","Sort=A","Dates=H","DateFormat=P","Fill=—","Direction=H","UseDPDF=Y")</f>
        <v>—</v>
      </c>
      <c r="N33" s="14" t="str">
        <f>_xll.BDH("GILD US Equity","ENERGY_INTENSITY_PER_SALES","FY 2011","FY 2011","Currency=USD","Period=FQ","BEST_FPERIOD_OVERRIDE=FQ","FILING_STATUS=MR","FA_ADJUSTED=GAAP","Sort=A","Dates=H","DateFormat=P","Fill=—","Direction=H","UseDPDF=Y")</f>
        <v>—</v>
      </c>
      <c r="O33" s="14" t="str">
        <f>_xll.BDH("GILD US Equity","ENERGY_INTENSITY_PER_SALES","FY 2012","FY 2012","Currency=USD","Period=FQ","BEST_FPERIOD_OVERRIDE=FQ","FILING_STATUS=MR","FA_ADJUSTED=GAAP","Sort=A","Dates=H","DateFormat=P","Fill=—","Direction=H","UseDPDF=Y")</f>
        <v>—</v>
      </c>
      <c r="P33" s="14" t="str">
        <f>_xll.BDH("GILD US Equity","ENERGY_INTENSITY_PER_SALES","FY 2013","FY 2013","Currency=USD","Period=FQ","BEST_FPERIOD_OVERRIDE=FQ","FILING_STATUS=MR","FA_ADJUSTED=GAAP","Sort=A","Dates=H","DateFormat=P","Fill=—","Direction=H","UseDPDF=Y")</f>
        <v>—</v>
      </c>
      <c r="Q33" s="14" t="str">
        <f>_xll.BDH("GILD US Equity","ENERGY_INTENSITY_PER_SALES","FY 2014","FY 2014","Currency=USD","Period=FQ","BEST_FPERIOD_OVERRIDE=FQ","FILING_STATUS=MR","FA_ADJUSTED=GAAP","Sort=A","Dates=H","DateFormat=P","Fill=—","Direction=H","UseDPDF=Y")</f>
        <v>—</v>
      </c>
      <c r="R33" s="14" t="str">
        <f>_xll.BDH("GILD US Equity","ENERGY_INTENSITY_PER_SALES","FY 2015","FY 2015","Currency=USD","Period=FQ","BEST_FPERIOD_OVERRIDE=FQ","FILING_STATUS=MR","FA_ADJUSTED=GAAP","Sort=A","Dates=H","DateFormat=P","Fill=—","Direction=H","UseDPDF=Y")</f>
        <v>—</v>
      </c>
      <c r="S33" s="14" t="str">
        <f>_xll.BDH("GILD US Equity","ENERGY_INTENSITY_PER_SALES","FY 2016","FY 2016","Currency=USD","Period=FQ","BEST_FPERIOD_OVERRIDE=FQ","FILING_STATUS=MR","FA_ADJUSTED=GAAP","Sort=A","Dates=H","DateFormat=P","Fill=—","Direction=H","UseDPDF=Y")</f>
        <v>—</v>
      </c>
      <c r="T33" s="14" t="str">
        <f>_xll.BDH("GILD US Equity","ENERGY_INTENSITY_PER_SALES","FY 2017","FY 2017","Currency=USD","Period=FQ","BEST_FPERIOD_OVERRIDE=FQ","FILING_STATUS=MR","FA_ADJUSTED=GAAP","Sort=A","Dates=H","DateFormat=P","Fill=—","Direction=H","UseDPDF=Y")</f>
        <v>—</v>
      </c>
      <c r="U33" s="14" t="str">
        <f>_xll.BDH("GILD US Equity","ENERGY_INTENSITY_PER_SALES","FY 2018","FY 2018","Currency=USD","Period=FQ","BEST_FPERIOD_OVERRIDE=FQ","FILING_STATUS=MR","FA_ADJUSTED=GAAP","Sort=A","Dates=H","DateFormat=P","Fill=—","Direction=H","UseDPDF=Y")</f>
        <v>—</v>
      </c>
      <c r="V33" s="14" t="str">
        <f>_xll.BDH("GILD US Equity","ENERGY_INTENSITY_PER_SALES","FY 2019","FY 2019","Currency=USD","Period=FQ","BEST_FPERIOD_OVERRIDE=FQ","FILING_STATUS=MR","FA_ADJUSTED=GAAP","Sort=A","Dates=H","DateFormat=P","Fill=—","Direction=H","UseDPDF=Y")</f>
        <v>—</v>
      </c>
      <c r="W33" s="14" t="str">
        <f>_xll.BDH("GILD US Equity","ENERGY_INTENSITY_PER_SALES","FY 2020","FY 2020","Currency=USD","Period=FQ","BEST_FPERIOD_OVERRIDE=FQ","FILING_STATUS=MR","FA_ADJUSTED=GAAP","Sort=A","Dates=H","DateFormat=P","Fill=—","Direction=H","UseDPDF=Y")</f>
        <v>—</v>
      </c>
      <c r="X33" s="14" t="str">
        <f>_xll.BDH("GILD US Equity","ENERGY_INTENSITY_PER_SALES","FY 2021","FY 2021","Currency=USD","Period=FQ","BEST_FPERIOD_OVERRIDE=FQ","FILING_STATUS=MR","FA_ADJUSTED=GAAP","Sort=A","Dates=H","DateFormat=P","Fill=—","Direction=H","UseDPDF=Y")</f>
        <v>—</v>
      </c>
      <c r="Y33" s="14" t="str">
        <f>_xll.BDH("GILD US Equity","ENERGY_INTENSITY_PER_SALES","FY 2022","FY 2022","Currency=USD","Period=FQ","BEST_FPERIOD_OVERRIDE=FQ","FILING_STATUS=MR","FA_ADJUSTED=GAAP","Sort=A","Dates=H","DateFormat=P","Fill=—","Direction=H","UseDPDF=Y")</f>
        <v>—</v>
      </c>
      <c r="Z33" s="14" t="str">
        <f>_xll.BDH("GILD US Equity","ENERGY_INTENSITY_PER_SALES","FY 2023","FY 2023","Currency=USD","Period=FQ","BEST_FPERIOD_OVERRIDE=FQ","FILING_STATUS=MR","FA_ADJUSTED=GAAP","Sort=A","Dates=H","DateFormat=P","Fill=—","Direction=H","UseDPDF=Y")</f>
        <v>—</v>
      </c>
      <c r="AA33" s="14" t="str">
        <f>_xll.BDH("GILD US Equity","ENERGY_INTENSITY_PER_SALES","FY 2024","FY 2024","Currency=USD","Period=FQ","BEST_FPERIOD_OVERRIDE=FQ","FILING_STATUS=MR","FA_ADJUSTED=GAAP","Sort=A","Dates=H","DateFormat=P","Fill=—","Direction=H","UseDPDF=Y")</f>
        <v>—</v>
      </c>
    </row>
    <row r="34" spans="1:27" x14ac:dyDescent="0.25">
      <c r="A34" s="10" t="s">
        <v>1987</v>
      </c>
      <c r="B34" s="10" t="s">
        <v>1988</v>
      </c>
      <c r="C34" s="14" t="str">
        <f>_xll.BDH("GILD US Equity","ENERGY_INTENSITY_PER_EBITDA","FY 2000","FY 2000","Currency=USD","Period=FQ","BEST_FPERIOD_OVERRIDE=FQ","FILING_STATUS=MR","FA_ADJUSTED=GAAP","Sort=A","Dates=H","DateFormat=P","Fill=—","Direction=H","UseDPDF=Y")</f>
        <v>—</v>
      </c>
      <c r="D34" s="14" t="str">
        <f>_xll.BDH("GILD US Equity","ENERGY_INTENSITY_PER_EBITDA","FY 2001","FY 2001","Currency=USD","Period=FQ","BEST_FPERIOD_OVERRIDE=FQ","FILING_STATUS=MR","FA_ADJUSTED=GAAP","Sort=A","Dates=H","DateFormat=P","Fill=—","Direction=H","UseDPDF=Y")</f>
        <v>—</v>
      </c>
      <c r="E34" s="14" t="str">
        <f>_xll.BDH("GILD US Equity","ENERGY_INTENSITY_PER_EBITDA","FY 2002","FY 2002","Currency=USD","Period=FQ","BEST_FPERIOD_OVERRIDE=FQ","FILING_STATUS=MR","FA_ADJUSTED=GAAP","Sort=A","Dates=H","DateFormat=P","Fill=—","Direction=H","UseDPDF=Y")</f>
        <v>—</v>
      </c>
      <c r="F34" s="14" t="str">
        <f>_xll.BDH("GILD US Equity","ENERGY_INTENSITY_PER_EBITDA","FY 2003","FY 2003","Currency=USD","Period=FQ","BEST_FPERIOD_OVERRIDE=FQ","FILING_STATUS=MR","FA_ADJUSTED=GAAP","Sort=A","Dates=H","DateFormat=P","Fill=—","Direction=H","UseDPDF=Y")</f>
        <v>—</v>
      </c>
      <c r="G34" s="14" t="str">
        <f>_xll.BDH("GILD US Equity","ENERGY_INTENSITY_PER_EBITDA","FY 2004","FY 2004","Currency=USD","Period=FQ","BEST_FPERIOD_OVERRIDE=FQ","FILING_STATUS=MR","FA_ADJUSTED=GAAP","Sort=A","Dates=H","DateFormat=P","Fill=—","Direction=H","UseDPDF=Y")</f>
        <v>—</v>
      </c>
      <c r="H34" s="14" t="str">
        <f>_xll.BDH("GILD US Equity","ENERGY_INTENSITY_PER_EBITDA","FY 2005","FY 2005","Currency=USD","Period=FQ","BEST_FPERIOD_OVERRIDE=FQ","FILING_STATUS=MR","FA_ADJUSTED=GAAP","Sort=A","Dates=H","DateFormat=P","Fill=—","Direction=H","UseDPDF=Y")</f>
        <v>—</v>
      </c>
      <c r="I34" s="14" t="str">
        <f>_xll.BDH("GILD US Equity","ENERGY_INTENSITY_PER_EBITDA","FY 2006","FY 2006","Currency=USD","Period=FQ","BEST_FPERIOD_OVERRIDE=FQ","FILING_STATUS=MR","FA_ADJUSTED=GAAP","Sort=A","Dates=H","DateFormat=P","Fill=—","Direction=H","UseDPDF=Y")</f>
        <v>—</v>
      </c>
      <c r="J34" s="14" t="str">
        <f>_xll.BDH("GILD US Equity","ENERGY_INTENSITY_PER_EBITDA","FY 2007","FY 2007","Currency=USD","Period=FQ","BEST_FPERIOD_OVERRIDE=FQ","FILING_STATUS=MR","FA_ADJUSTED=GAAP","Sort=A","Dates=H","DateFormat=P","Fill=—","Direction=H","UseDPDF=Y")</f>
        <v>—</v>
      </c>
      <c r="K34" s="14" t="str">
        <f>_xll.BDH("GILD US Equity","ENERGY_INTENSITY_PER_EBITDA","FY 2008","FY 2008","Currency=USD","Period=FQ","BEST_FPERIOD_OVERRIDE=FQ","FILING_STATUS=MR","FA_ADJUSTED=GAAP","Sort=A","Dates=H","DateFormat=P","Fill=—","Direction=H","UseDPDF=Y")</f>
        <v>—</v>
      </c>
      <c r="L34" s="14" t="str">
        <f>_xll.BDH("GILD US Equity","ENERGY_INTENSITY_PER_EBITDA","FY 2009","FY 2009","Currency=USD","Period=FQ","BEST_FPERIOD_OVERRIDE=FQ","FILING_STATUS=MR","FA_ADJUSTED=GAAP","Sort=A","Dates=H","DateFormat=P","Fill=—","Direction=H","UseDPDF=Y")</f>
        <v>—</v>
      </c>
      <c r="M34" s="14" t="str">
        <f>_xll.BDH("GILD US Equity","ENERGY_INTENSITY_PER_EBITDA","FY 2010","FY 2010","Currency=USD","Period=FQ","BEST_FPERIOD_OVERRIDE=FQ","FILING_STATUS=MR","FA_ADJUSTED=GAAP","Sort=A","Dates=H","DateFormat=P","Fill=—","Direction=H","UseDPDF=Y")</f>
        <v>—</v>
      </c>
      <c r="N34" s="14" t="str">
        <f>_xll.BDH("GILD US Equity","ENERGY_INTENSITY_PER_EBITDA","FY 2011","FY 2011","Currency=USD","Period=FQ","BEST_FPERIOD_OVERRIDE=FQ","FILING_STATUS=MR","FA_ADJUSTED=GAAP","Sort=A","Dates=H","DateFormat=P","Fill=—","Direction=H","UseDPDF=Y")</f>
        <v>—</v>
      </c>
      <c r="O34" s="14" t="str">
        <f>_xll.BDH("GILD US Equity","ENERGY_INTENSITY_PER_EBITDA","FY 2012","FY 2012","Currency=USD","Period=FQ","BEST_FPERIOD_OVERRIDE=FQ","FILING_STATUS=MR","FA_ADJUSTED=GAAP","Sort=A","Dates=H","DateFormat=P","Fill=—","Direction=H","UseDPDF=Y")</f>
        <v>—</v>
      </c>
      <c r="P34" s="14" t="str">
        <f>_xll.BDH("GILD US Equity","ENERGY_INTENSITY_PER_EBITDA","FY 2013","FY 2013","Currency=USD","Period=FQ","BEST_FPERIOD_OVERRIDE=FQ","FILING_STATUS=MR","FA_ADJUSTED=GAAP","Sort=A","Dates=H","DateFormat=P","Fill=—","Direction=H","UseDPDF=Y")</f>
        <v>—</v>
      </c>
      <c r="Q34" s="14" t="str">
        <f>_xll.BDH("GILD US Equity","ENERGY_INTENSITY_PER_EBITDA","FY 2014","FY 2014","Currency=USD","Period=FQ","BEST_FPERIOD_OVERRIDE=FQ","FILING_STATUS=MR","FA_ADJUSTED=GAAP","Sort=A","Dates=H","DateFormat=P","Fill=—","Direction=H","UseDPDF=Y")</f>
        <v>—</v>
      </c>
      <c r="R34" s="14" t="str">
        <f>_xll.BDH("GILD US Equity","ENERGY_INTENSITY_PER_EBITDA","FY 2015","FY 2015","Currency=USD","Period=FQ","BEST_FPERIOD_OVERRIDE=FQ","FILING_STATUS=MR","FA_ADJUSTED=GAAP","Sort=A","Dates=H","DateFormat=P","Fill=—","Direction=H","UseDPDF=Y")</f>
        <v>—</v>
      </c>
      <c r="S34" s="14" t="str">
        <f>_xll.BDH("GILD US Equity","ENERGY_INTENSITY_PER_EBITDA","FY 2016","FY 2016","Currency=USD","Period=FQ","BEST_FPERIOD_OVERRIDE=FQ","FILING_STATUS=MR","FA_ADJUSTED=GAAP","Sort=A","Dates=H","DateFormat=P","Fill=—","Direction=H","UseDPDF=Y")</f>
        <v>—</v>
      </c>
      <c r="T34" s="14" t="str">
        <f>_xll.BDH("GILD US Equity","ENERGY_INTENSITY_PER_EBITDA","FY 2017","FY 2017","Currency=USD","Period=FQ","BEST_FPERIOD_OVERRIDE=FQ","FILING_STATUS=MR","FA_ADJUSTED=GAAP","Sort=A","Dates=H","DateFormat=P","Fill=—","Direction=H","UseDPDF=Y")</f>
        <v>—</v>
      </c>
      <c r="U34" s="14" t="str">
        <f>_xll.BDH("GILD US Equity","ENERGY_INTENSITY_PER_EBITDA","FY 2018","FY 2018","Currency=USD","Period=FQ","BEST_FPERIOD_OVERRIDE=FQ","FILING_STATUS=MR","FA_ADJUSTED=GAAP","Sort=A","Dates=H","DateFormat=P","Fill=—","Direction=H","UseDPDF=Y")</f>
        <v>—</v>
      </c>
      <c r="V34" s="14" t="str">
        <f>_xll.BDH("GILD US Equity","ENERGY_INTENSITY_PER_EBITDA","FY 2019","FY 2019","Currency=USD","Period=FQ","BEST_FPERIOD_OVERRIDE=FQ","FILING_STATUS=MR","FA_ADJUSTED=GAAP","Sort=A","Dates=H","DateFormat=P","Fill=—","Direction=H","UseDPDF=Y")</f>
        <v>—</v>
      </c>
      <c r="W34" s="14" t="str">
        <f>_xll.BDH("GILD US Equity","ENERGY_INTENSITY_PER_EBITDA","FY 2020","FY 2020","Currency=USD","Period=FQ","BEST_FPERIOD_OVERRIDE=FQ","FILING_STATUS=MR","FA_ADJUSTED=GAAP","Sort=A","Dates=H","DateFormat=P","Fill=—","Direction=H","UseDPDF=Y")</f>
        <v>—</v>
      </c>
      <c r="X34" s="14" t="str">
        <f>_xll.BDH("GILD US Equity","ENERGY_INTENSITY_PER_EBITDA","FY 2021","FY 2021","Currency=USD","Period=FQ","BEST_FPERIOD_OVERRIDE=FQ","FILING_STATUS=MR","FA_ADJUSTED=GAAP","Sort=A","Dates=H","DateFormat=P","Fill=—","Direction=H","UseDPDF=Y")</f>
        <v>—</v>
      </c>
      <c r="Y34" s="14" t="str">
        <f>_xll.BDH("GILD US Equity","ENERGY_INTENSITY_PER_EBITDA","FY 2022","FY 2022","Currency=USD","Period=FQ","BEST_FPERIOD_OVERRIDE=FQ","FILING_STATUS=MR","FA_ADJUSTED=GAAP","Sort=A","Dates=H","DateFormat=P","Fill=—","Direction=H","UseDPDF=Y")</f>
        <v>—</v>
      </c>
      <c r="Z34" s="14" t="str">
        <f>_xll.BDH("GILD US Equity","ENERGY_INTENSITY_PER_EBITDA","FY 2023","FY 2023","Currency=USD","Period=FQ","BEST_FPERIOD_OVERRIDE=FQ","FILING_STATUS=MR","FA_ADJUSTED=GAAP","Sort=A","Dates=H","DateFormat=P","Fill=—","Direction=H","UseDPDF=Y")</f>
        <v>—</v>
      </c>
      <c r="AA34" s="14" t="str">
        <f>_xll.BDH("GILD US Equity","ENERGY_INTENSITY_PER_EBITDA","FY 2024","FY 2024","Currency=USD","Period=FQ","BEST_FPERIOD_OVERRIDE=FQ","FILING_STATUS=MR","FA_ADJUSTED=GAAP","Sort=A","Dates=H","DateFormat=P","Fill=—","Direction=H","UseDPDF=Y")</f>
        <v>—</v>
      </c>
    </row>
    <row r="35" spans="1:27" x14ac:dyDescent="0.25">
      <c r="A35" s="10" t="s">
        <v>1989</v>
      </c>
      <c r="B35" s="10" t="s">
        <v>1990</v>
      </c>
      <c r="C35" s="14" t="str">
        <f>_xll.BDH("GILD US Equity","ENERGY_INTENSITY_PER_EMPLOYEE","FY 2000","FY 2000","Currency=USD","Period=FQ","BEST_FPERIOD_OVERRIDE=FQ","FILING_STATUS=MR","Sort=A","Dates=H","DateFormat=P","Fill=—","Direction=H","UseDPDF=Y")</f>
        <v>—</v>
      </c>
      <c r="D35" s="14" t="str">
        <f>_xll.BDH("GILD US Equity","ENERGY_INTENSITY_PER_EMPLOYEE","FY 2001","FY 2001","Currency=USD","Period=FQ","BEST_FPERIOD_OVERRIDE=FQ","FILING_STATUS=MR","Sort=A","Dates=H","DateFormat=P","Fill=—","Direction=H","UseDPDF=Y")</f>
        <v>—</v>
      </c>
      <c r="E35" s="14" t="str">
        <f>_xll.BDH("GILD US Equity","ENERGY_INTENSITY_PER_EMPLOYEE","FY 2002","FY 2002","Currency=USD","Period=FQ","BEST_FPERIOD_OVERRIDE=FQ","FILING_STATUS=MR","Sort=A","Dates=H","DateFormat=P","Fill=—","Direction=H","UseDPDF=Y")</f>
        <v>—</v>
      </c>
      <c r="F35" s="14" t="str">
        <f>_xll.BDH("GILD US Equity","ENERGY_INTENSITY_PER_EMPLOYEE","FY 2003","FY 2003","Currency=USD","Period=FQ","BEST_FPERIOD_OVERRIDE=FQ","FILING_STATUS=MR","Sort=A","Dates=H","DateFormat=P","Fill=—","Direction=H","UseDPDF=Y")</f>
        <v>—</v>
      </c>
      <c r="G35" s="14" t="str">
        <f>_xll.BDH("GILD US Equity","ENERGY_INTENSITY_PER_EMPLOYEE","FY 2004","FY 2004","Currency=USD","Period=FQ","BEST_FPERIOD_OVERRIDE=FQ","FILING_STATUS=MR","Sort=A","Dates=H","DateFormat=P","Fill=—","Direction=H","UseDPDF=Y")</f>
        <v>—</v>
      </c>
      <c r="H35" s="14" t="str">
        <f>_xll.BDH("GILD US Equity","ENERGY_INTENSITY_PER_EMPLOYEE","FY 2005","FY 2005","Currency=USD","Period=FQ","BEST_FPERIOD_OVERRIDE=FQ","FILING_STATUS=MR","Sort=A","Dates=H","DateFormat=P","Fill=—","Direction=H","UseDPDF=Y")</f>
        <v>—</v>
      </c>
      <c r="I35" s="14" t="str">
        <f>_xll.BDH("GILD US Equity","ENERGY_INTENSITY_PER_EMPLOYEE","FY 2006","FY 2006","Currency=USD","Period=FQ","BEST_FPERIOD_OVERRIDE=FQ","FILING_STATUS=MR","Sort=A","Dates=H","DateFormat=P","Fill=—","Direction=H","UseDPDF=Y")</f>
        <v>—</v>
      </c>
      <c r="J35" s="14" t="str">
        <f>_xll.BDH("GILD US Equity","ENERGY_INTENSITY_PER_EMPLOYEE","FY 2007","FY 2007","Currency=USD","Period=FQ","BEST_FPERIOD_OVERRIDE=FQ","FILING_STATUS=MR","Sort=A","Dates=H","DateFormat=P","Fill=—","Direction=H","UseDPDF=Y")</f>
        <v>—</v>
      </c>
      <c r="K35" s="14" t="str">
        <f>_xll.BDH("GILD US Equity","ENERGY_INTENSITY_PER_EMPLOYEE","FY 2008","FY 2008","Currency=USD","Period=FQ","BEST_FPERIOD_OVERRIDE=FQ","FILING_STATUS=MR","Sort=A","Dates=H","DateFormat=P","Fill=—","Direction=H","UseDPDF=Y")</f>
        <v>—</v>
      </c>
      <c r="L35" s="14" t="str">
        <f>_xll.BDH("GILD US Equity","ENERGY_INTENSITY_PER_EMPLOYEE","FY 2009","FY 2009","Currency=USD","Period=FQ","BEST_FPERIOD_OVERRIDE=FQ","FILING_STATUS=MR","Sort=A","Dates=H","DateFormat=P","Fill=—","Direction=H","UseDPDF=Y")</f>
        <v>—</v>
      </c>
      <c r="M35" s="14" t="str">
        <f>_xll.BDH("GILD US Equity","ENERGY_INTENSITY_PER_EMPLOYEE","FY 2010","FY 2010","Currency=USD","Period=FQ","BEST_FPERIOD_OVERRIDE=FQ","FILING_STATUS=MR","Sort=A","Dates=H","DateFormat=P","Fill=—","Direction=H","UseDPDF=Y")</f>
        <v>—</v>
      </c>
      <c r="N35" s="14" t="str">
        <f>_xll.BDH("GILD US Equity","ENERGY_INTENSITY_PER_EMPLOYEE","FY 2011","FY 2011","Currency=USD","Period=FQ","BEST_FPERIOD_OVERRIDE=FQ","FILING_STATUS=MR","Sort=A","Dates=H","DateFormat=P","Fill=—","Direction=H","UseDPDF=Y")</f>
        <v>—</v>
      </c>
      <c r="O35" s="14" t="str">
        <f>_xll.BDH("GILD US Equity","ENERGY_INTENSITY_PER_EMPLOYEE","FY 2012","FY 2012","Currency=USD","Period=FQ","BEST_FPERIOD_OVERRIDE=FQ","FILING_STATUS=MR","Sort=A","Dates=H","DateFormat=P","Fill=—","Direction=H","UseDPDF=Y")</f>
        <v>—</v>
      </c>
      <c r="P35" s="14" t="str">
        <f>_xll.BDH("GILD US Equity","ENERGY_INTENSITY_PER_EMPLOYEE","FY 2013","FY 2013","Currency=USD","Period=FQ","BEST_FPERIOD_OVERRIDE=FQ","FILING_STATUS=MR","Sort=A","Dates=H","DateFormat=P","Fill=—","Direction=H","UseDPDF=Y")</f>
        <v>—</v>
      </c>
      <c r="Q35" s="14" t="str">
        <f>_xll.BDH("GILD US Equity","ENERGY_INTENSITY_PER_EMPLOYEE","FY 2014","FY 2014","Currency=USD","Period=FQ","BEST_FPERIOD_OVERRIDE=FQ","FILING_STATUS=MR","Sort=A","Dates=H","DateFormat=P","Fill=—","Direction=H","UseDPDF=Y")</f>
        <v>—</v>
      </c>
      <c r="R35" s="14" t="str">
        <f>_xll.BDH("GILD US Equity","ENERGY_INTENSITY_PER_EMPLOYEE","FY 2015","FY 2015","Currency=USD","Period=FQ","BEST_FPERIOD_OVERRIDE=FQ","FILING_STATUS=MR","Sort=A","Dates=H","DateFormat=P","Fill=—","Direction=H","UseDPDF=Y")</f>
        <v>—</v>
      </c>
      <c r="S35" s="14" t="str">
        <f>_xll.BDH("GILD US Equity","ENERGY_INTENSITY_PER_EMPLOYEE","FY 2016","FY 2016","Currency=USD","Period=FQ","BEST_FPERIOD_OVERRIDE=FQ","FILING_STATUS=MR","Sort=A","Dates=H","DateFormat=P","Fill=—","Direction=H","UseDPDF=Y")</f>
        <v>—</v>
      </c>
      <c r="T35" s="14" t="str">
        <f>_xll.BDH("GILD US Equity","ENERGY_INTENSITY_PER_EMPLOYEE","FY 2017","FY 2017","Currency=USD","Period=FQ","BEST_FPERIOD_OVERRIDE=FQ","FILING_STATUS=MR","Sort=A","Dates=H","DateFormat=P","Fill=—","Direction=H","UseDPDF=Y")</f>
        <v>—</v>
      </c>
      <c r="U35" s="14" t="str">
        <f>_xll.BDH("GILD US Equity","ENERGY_INTENSITY_PER_EMPLOYEE","FY 2018","FY 2018","Currency=USD","Period=FQ","BEST_FPERIOD_OVERRIDE=FQ","FILING_STATUS=MR","Sort=A","Dates=H","DateFormat=P","Fill=—","Direction=H","UseDPDF=Y")</f>
        <v>—</v>
      </c>
      <c r="V35" s="14" t="str">
        <f>_xll.BDH("GILD US Equity","ENERGY_INTENSITY_PER_EMPLOYEE","FY 2019","FY 2019","Currency=USD","Period=FQ","BEST_FPERIOD_OVERRIDE=FQ","FILING_STATUS=MR","Sort=A","Dates=H","DateFormat=P","Fill=—","Direction=H","UseDPDF=Y")</f>
        <v>—</v>
      </c>
      <c r="W35" s="14" t="str">
        <f>_xll.BDH("GILD US Equity","ENERGY_INTENSITY_PER_EMPLOYEE","FY 2020","FY 2020","Currency=USD","Period=FQ","BEST_FPERIOD_OVERRIDE=FQ","FILING_STATUS=MR","Sort=A","Dates=H","DateFormat=P","Fill=—","Direction=H","UseDPDF=Y")</f>
        <v>—</v>
      </c>
      <c r="X35" s="14" t="str">
        <f>_xll.BDH("GILD US Equity","ENERGY_INTENSITY_PER_EMPLOYEE","FY 2021","FY 2021","Currency=USD","Period=FQ","BEST_FPERIOD_OVERRIDE=FQ","FILING_STATUS=MR","Sort=A","Dates=H","DateFormat=P","Fill=—","Direction=H","UseDPDF=Y")</f>
        <v>—</v>
      </c>
      <c r="Y35" s="14" t="str">
        <f>_xll.BDH("GILD US Equity","ENERGY_INTENSITY_PER_EMPLOYEE","FY 2022","FY 2022","Currency=USD","Period=FQ","BEST_FPERIOD_OVERRIDE=FQ","FILING_STATUS=MR","Sort=A","Dates=H","DateFormat=P","Fill=—","Direction=H","UseDPDF=Y")</f>
        <v>—</v>
      </c>
      <c r="Z35" s="14" t="str">
        <f>_xll.BDH("GILD US Equity","ENERGY_INTENSITY_PER_EMPLOYEE","FY 2023","FY 2023","Currency=USD","Period=FQ","BEST_FPERIOD_OVERRIDE=FQ","FILING_STATUS=MR","Sort=A","Dates=H","DateFormat=P","Fill=—","Direction=H","UseDPDF=Y")</f>
        <v>—</v>
      </c>
      <c r="AA35" s="14" t="str">
        <f>_xll.BDH("GILD US Equity","ENERGY_INTENSITY_PER_EMPLOYEE","FY 2024","FY 2024","Currency=USD","Period=FQ","BEST_FPERIOD_OVERRIDE=FQ","FILING_STATUS=MR","Sort=A","Dates=H","DateFormat=P","Fill=—","Direction=H","UseDPDF=Y")</f>
        <v>—</v>
      </c>
    </row>
    <row r="36" spans="1:27" x14ac:dyDescent="0.25">
      <c r="A36" s="10" t="s">
        <v>1991</v>
      </c>
      <c r="B36" s="10" t="s">
        <v>1992</v>
      </c>
      <c r="C36" s="14" t="str">
        <f>_xll.BDH("GILD US Equity","ENERGY_INTENSITY_PER_ASSETS","FY 2000","FY 2000","Currency=USD","Period=FQ","BEST_FPERIOD_OVERRIDE=FQ","FILING_STATUS=MR","Sort=A","Dates=H","DateFormat=P","Fill=—","Direction=H","UseDPDF=Y")</f>
        <v>—</v>
      </c>
      <c r="D36" s="14" t="str">
        <f>_xll.BDH("GILD US Equity","ENERGY_INTENSITY_PER_ASSETS","FY 2001","FY 2001","Currency=USD","Period=FQ","BEST_FPERIOD_OVERRIDE=FQ","FILING_STATUS=MR","Sort=A","Dates=H","DateFormat=P","Fill=—","Direction=H","UseDPDF=Y")</f>
        <v>—</v>
      </c>
      <c r="E36" s="14" t="str">
        <f>_xll.BDH("GILD US Equity","ENERGY_INTENSITY_PER_ASSETS","FY 2002","FY 2002","Currency=USD","Period=FQ","BEST_FPERIOD_OVERRIDE=FQ","FILING_STATUS=MR","Sort=A","Dates=H","DateFormat=P","Fill=—","Direction=H","UseDPDF=Y")</f>
        <v>—</v>
      </c>
      <c r="F36" s="14" t="str">
        <f>_xll.BDH("GILD US Equity","ENERGY_INTENSITY_PER_ASSETS","FY 2003","FY 2003","Currency=USD","Period=FQ","BEST_FPERIOD_OVERRIDE=FQ","FILING_STATUS=MR","Sort=A","Dates=H","DateFormat=P","Fill=—","Direction=H","UseDPDF=Y")</f>
        <v>—</v>
      </c>
      <c r="G36" s="14" t="str">
        <f>_xll.BDH("GILD US Equity","ENERGY_INTENSITY_PER_ASSETS","FY 2004","FY 2004","Currency=USD","Period=FQ","BEST_FPERIOD_OVERRIDE=FQ","FILING_STATUS=MR","Sort=A","Dates=H","DateFormat=P","Fill=—","Direction=H","UseDPDF=Y")</f>
        <v>—</v>
      </c>
      <c r="H36" s="14" t="str">
        <f>_xll.BDH("GILD US Equity","ENERGY_INTENSITY_PER_ASSETS","FY 2005","FY 2005","Currency=USD","Period=FQ","BEST_FPERIOD_OVERRIDE=FQ","FILING_STATUS=MR","Sort=A","Dates=H","DateFormat=P","Fill=—","Direction=H","UseDPDF=Y")</f>
        <v>—</v>
      </c>
      <c r="I36" s="14" t="str">
        <f>_xll.BDH("GILD US Equity","ENERGY_INTENSITY_PER_ASSETS","FY 2006","FY 2006","Currency=USD","Period=FQ","BEST_FPERIOD_OVERRIDE=FQ","FILING_STATUS=MR","Sort=A","Dates=H","DateFormat=P","Fill=—","Direction=H","UseDPDF=Y")</f>
        <v>—</v>
      </c>
      <c r="J36" s="14" t="str">
        <f>_xll.BDH("GILD US Equity","ENERGY_INTENSITY_PER_ASSETS","FY 2007","FY 2007","Currency=USD","Period=FQ","BEST_FPERIOD_OVERRIDE=FQ","FILING_STATUS=MR","Sort=A","Dates=H","DateFormat=P","Fill=—","Direction=H","UseDPDF=Y")</f>
        <v>—</v>
      </c>
      <c r="K36" s="14" t="str">
        <f>_xll.BDH("GILD US Equity","ENERGY_INTENSITY_PER_ASSETS","FY 2008","FY 2008","Currency=USD","Period=FQ","BEST_FPERIOD_OVERRIDE=FQ","FILING_STATUS=MR","Sort=A","Dates=H","DateFormat=P","Fill=—","Direction=H","UseDPDF=Y")</f>
        <v>—</v>
      </c>
      <c r="L36" s="14" t="str">
        <f>_xll.BDH("GILD US Equity","ENERGY_INTENSITY_PER_ASSETS","FY 2009","FY 2009","Currency=USD","Period=FQ","BEST_FPERIOD_OVERRIDE=FQ","FILING_STATUS=MR","Sort=A","Dates=H","DateFormat=P","Fill=—","Direction=H","UseDPDF=Y")</f>
        <v>—</v>
      </c>
      <c r="M36" s="14" t="str">
        <f>_xll.BDH("GILD US Equity","ENERGY_INTENSITY_PER_ASSETS","FY 2010","FY 2010","Currency=USD","Period=FQ","BEST_FPERIOD_OVERRIDE=FQ","FILING_STATUS=MR","Sort=A","Dates=H","DateFormat=P","Fill=—","Direction=H","UseDPDF=Y")</f>
        <v>—</v>
      </c>
      <c r="N36" s="14" t="str">
        <f>_xll.BDH("GILD US Equity","ENERGY_INTENSITY_PER_ASSETS","FY 2011","FY 2011","Currency=USD","Period=FQ","BEST_FPERIOD_OVERRIDE=FQ","FILING_STATUS=MR","Sort=A","Dates=H","DateFormat=P","Fill=—","Direction=H","UseDPDF=Y")</f>
        <v>—</v>
      </c>
      <c r="O36" s="14" t="str">
        <f>_xll.BDH("GILD US Equity","ENERGY_INTENSITY_PER_ASSETS","FY 2012","FY 2012","Currency=USD","Period=FQ","BEST_FPERIOD_OVERRIDE=FQ","FILING_STATUS=MR","Sort=A","Dates=H","DateFormat=P","Fill=—","Direction=H","UseDPDF=Y")</f>
        <v>—</v>
      </c>
      <c r="P36" s="14" t="str">
        <f>_xll.BDH("GILD US Equity","ENERGY_INTENSITY_PER_ASSETS","FY 2013","FY 2013","Currency=USD","Period=FQ","BEST_FPERIOD_OVERRIDE=FQ","FILING_STATUS=MR","Sort=A","Dates=H","DateFormat=P","Fill=—","Direction=H","UseDPDF=Y")</f>
        <v>—</v>
      </c>
      <c r="Q36" s="14" t="str">
        <f>_xll.BDH("GILD US Equity","ENERGY_INTENSITY_PER_ASSETS","FY 2014","FY 2014","Currency=USD","Period=FQ","BEST_FPERIOD_OVERRIDE=FQ","FILING_STATUS=MR","Sort=A","Dates=H","DateFormat=P","Fill=—","Direction=H","UseDPDF=Y")</f>
        <v>—</v>
      </c>
      <c r="R36" s="14" t="str">
        <f>_xll.BDH("GILD US Equity","ENERGY_INTENSITY_PER_ASSETS","FY 2015","FY 2015","Currency=USD","Period=FQ","BEST_FPERIOD_OVERRIDE=FQ","FILING_STATUS=MR","Sort=A","Dates=H","DateFormat=P","Fill=—","Direction=H","UseDPDF=Y")</f>
        <v>—</v>
      </c>
      <c r="S36" s="14" t="str">
        <f>_xll.BDH("GILD US Equity","ENERGY_INTENSITY_PER_ASSETS","FY 2016","FY 2016","Currency=USD","Period=FQ","BEST_FPERIOD_OVERRIDE=FQ","FILING_STATUS=MR","Sort=A","Dates=H","DateFormat=P","Fill=—","Direction=H","UseDPDF=Y")</f>
        <v>—</v>
      </c>
      <c r="T36" s="14" t="str">
        <f>_xll.BDH("GILD US Equity","ENERGY_INTENSITY_PER_ASSETS","FY 2017","FY 2017","Currency=USD","Period=FQ","BEST_FPERIOD_OVERRIDE=FQ","FILING_STATUS=MR","Sort=A","Dates=H","DateFormat=P","Fill=—","Direction=H","UseDPDF=Y")</f>
        <v>—</v>
      </c>
      <c r="U36" s="14" t="str">
        <f>_xll.BDH("GILD US Equity","ENERGY_INTENSITY_PER_ASSETS","FY 2018","FY 2018","Currency=USD","Period=FQ","BEST_FPERIOD_OVERRIDE=FQ","FILING_STATUS=MR","Sort=A","Dates=H","DateFormat=P","Fill=—","Direction=H","UseDPDF=Y")</f>
        <v>—</v>
      </c>
      <c r="V36" s="14" t="str">
        <f>_xll.BDH("GILD US Equity","ENERGY_INTENSITY_PER_ASSETS","FY 2019","FY 2019","Currency=USD","Period=FQ","BEST_FPERIOD_OVERRIDE=FQ","FILING_STATUS=MR","Sort=A","Dates=H","DateFormat=P","Fill=—","Direction=H","UseDPDF=Y")</f>
        <v>—</v>
      </c>
      <c r="W36" s="14" t="str">
        <f>_xll.BDH("GILD US Equity","ENERGY_INTENSITY_PER_ASSETS","FY 2020","FY 2020","Currency=USD","Period=FQ","BEST_FPERIOD_OVERRIDE=FQ","FILING_STATUS=MR","Sort=A","Dates=H","DateFormat=P","Fill=—","Direction=H","UseDPDF=Y")</f>
        <v>—</v>
      </c>
      <c r="X36" s="14" t="str">
        <f>_xll.BDH("GILD US Equity","ENERGY_INTENSITY_PER_ASSETS","FY 2021","FY 2021","Currency=USD","Period=FQ","BEST_FPERIOD_OVERRIDE=FQ","FILING_STATUS=MR","Sort=A","Dates=H","DateFormat=P","Fill=—","Direction=H","UseDPDF=Y")</f>
        <v>—</v>
      </c>
      <c r="Y36" s="14" t="str">
        <f>_xll.BDH("GILD US Equity","ENERGY_INTENSITY_PER_ASSETS","FY 2022","FY 2022","Currency=USD","Period=FQ","BEST_FPERIOD_OVERRIDE=FQ","FILING_STATUS=MR","Sort=A","Dates=H","DateFormat=P","Fill=—","Direction=H","UseDPDF=Y")</f>
        <v>—</v>
      </c>
      <c r="Z36" s="14" t="str">
        <f>_xll.BDH("GILD US Equity","ENERGY_INTENSITY_PER_ASSETS","FY 2023","FY 2023","Currency=USD","Period=FQ","BEST_FPERIOD_OVERRIDE=FQ","FILING_STATUS=MR","Sort=A","Dates=H","DateFormat=P","Fill=—","Direction=H","UseDPDF=Y")</f>
        <v>—</v>
      </c>
      <c r="AA36" s="14" t="str">
        <f>_xll.BDH("GILD US Equity","ENERGY_INTENSITY_PER_ASSETS","FY 2024","FY 2024","Currency=USD","Period=FQ","BEST_FPERIOD_OVERRIDE=FQ","FILING_STATUS=MR","Sort=A","Dates=H","DateFormat=P","Fill=—","Direction=H","UseDPDF=Y")</f>
        <v>—</v>
      </c>
    </row>
    <row r="37" spans="1:27" x14ac:dyDescent="0.25">
      <c r="A37" s="10" t="s">
        <v>1993</v>
      </c>
      <c r="B37" s="10" t="s">
        <v>1994</v>
      </c>
      <c r="C37" s="14" t="str">
        <f>_xll.BDH("GILD US Equity","ALTERNATIVE_FUEL_USE_PCT","FY 2000","FY 2000","Currency=USD","Period=FQ","BEST_FPERIOD_OVERRIDE=FQ","FILING_STATUS=MR","Sort=A","Dates=H","DateFormat=P","Fill=—","Direction=H","UseDPDF=Y")</f>
        <v>—</v>
      </c>
      <c r="D37" s="14" t="str">
        <f>_xll.BDH("GILD US Equity","ALTERNATIVE_FUEL_USE_PCT","FY 2001","FY 2001","Currency=USD","Period=FQ","BEST_FPERIOD_OVERRIDE=FQ","FILING_STATUS=MR","Sort=A","Dates=H","DateFormat=P","Fill=—","Direction=H","UseDPDF=Y")</f>
        <v>—</v>
      </c>
      <c r="E37" s="14" t="str">
        <f>_xll.BDH("GILD US Equity","ALTERNATIVE_FUEL_USE_PCT","FY 2002","FY 2002","Currency=USD","Period=FQ","BEST_FPERIOD_OVERRIDE=FQ","FILING_STATUS=MR","Sort=A","Dates=H","DateFormat=P","Fill=—","Direction=H","UseDPDF=Y")</f>
        <v>—</v>
      </c>
      <c r="F37" s="14" t="str">
        <f>_xll.BDH("GILD US Equity","ALTERNATIVE_FUEL_USE_PCT","FY 2003","FY 2003","Currency=USD","Period=FQ","BEST_FPERIOD_OVERRIDE=FQ","FILING_STATUS=MR","Sort=A","Dates=H","DateFormat=P","Fill=—","Direction=H","UseDPDF=Y")</f>
        <v>—</v>
      </c>
      <c r="G37" s="14" t="str">
        <f>_xll.BDH("GILD US Equity","ALTERNATIVE_FUEL_USE_PCT","FY 2004","FY 2004","Currency=USD","Period=FQ","BEST_FPERIOD_OVERRIDE=FQ","FILING_STATUS=MR","Sort=A","Dates=H","DateFormat=P","Fill=—","Direction=H","UseDPDF=Y")</f>
        <v>—</v>
      </c>
      <c r="H37" s="14" t="str">
        <f>_xll.BDH("GILD US Equity","ALTERNATIVE_FUEL_USE_PCT","FY 2005","FY 2005","Currency=USD","Period=FQ","BEST_FPERIOD_OVERRIDE=FQ","FILING_STATUS=MR","Sort=A","Dates=H","DateFormat=P","Fill=—","Direction=H","UseDPDF=Y")</f>
        <v>—</v>
      </c>
      <c r="I37" s="14" t="str">
        <f>_xll.BDH("GILD US Equity","ALTERNATIVE_FUEL_USE_PCT","FY 2006","FY 2006","Currency=USD","Period=FQ","BEST_FPERIOD_OVERRIDE=FQ","FILING_STATUS=MR","Sort=A","Dates=H","DateFormat=P","Fill=—","Direction=H","UseDPDF=Y")</f>
        <v>—</v>
      </c>
      <c r="J37" s="14" t="str">
        <f>_xll.BDH("GILD US Equity","ALTERNATIVE_FUEL_USE_PCT","FY 2007","FY 2007","Currency=USD","Period=FQ","BEST_FPERIOD_OVERRIDE=FQ","FILING_STATUS=MR","Sort=A","Dates=H","DateFormat=P","Fill=—","Direction=H","UseDPDF=Y")</f>
        <v>—</v>
      </c>
      <c r="K37" s="14" t="str">
        <f>_xll.BDH("GILD US Equity","ALTERNATIVE_FUEL_USE_PCT","FY 2008","FY 2008","Currency=USD","Period=FQ","BEST_FPERIOD_OVERRIDE=FQ","FILING_STATUS=MR","Sort=A","Dates=H","DateFormat=P","Fill=—","Direction=H","UseDPDF=Y")</f>
        <v>—</v>
      </c>
      <c r="L37" s="14" t="str">
        <f>_xll.BDH("GILD US Equity","ALTERNATIVE_FUEL_USE_PCT","FY 2009","FY 2009","Currency=USD","Period=FQ","BEST_FPERIOD_OVERRIDE=FQ","FILING_STATUS=MR","Sort=A","Dates=H","DateFormat=P","Fill=—","Direction=H","UseDPDF=Y")</f>
        <v>—</v>
      </c>
      <c r="M37" s="14" t="str">
        <f>_xll.BDH("GILD US Equity","ALTERNATIVE_FUEL_USE_PCT","FY 2010","FY 2010","Currency=USD","Period=FQ","BEST_FPERIOD_OVERRIDE=FQ","FILING_STATUS=MR","Sort=A","Dates=H","DateFormat=P","Fill=—","Direction=H","UseDPDF=Y")</f>
        <v>—</v>
      </c>
      <c r="N37" s="14" t="str">
        <f>_xll.BDH("GILD US Equity","ALTERNATIVE_FUEL_USE_PCT","FY 2011","FY 2011","Currency=USD","Period=FQ","BEST_FPERIOD_OVERRIDE=FQ","FILING_STATUS=MR","Sort=A","Dates=H","DateFormat=P","Fill=—","Direction=H","UseDPDF=Y")</f>
        <v>—</v>
      </c>
      <c r="O37" s="14" t="str">
        <f>_xll.BDH("GILD US Equity","ALTERNATIVE_FUEL_USE_PCT","FY 2012","FY 2012","Currency=USD","Period=FQ","BEST_FPERIOD_OVERRIDE=FQ","FILING_STATUS=MR","Sort=A","Dates=H","DateFormat=P","Fill=—","Direction=H","UseDPDF=Y")</f>
        <v>—</v>
      </c>
      <c r="P37" s="14" t="str">
        <f>_xll.BDH("GILD US Equity","ALTERNATIVE_FUEL_USE_PCT","FY 2013","FY 2013","Currency=USD","Period=FQ","BEST_FPERIOD_OVERRIDE=FQ","FILING_STATUS=MR","Sort=A","Dates=H","DateFormat=P","Fill=—","Direction=H","UseDPDF=Y")</f>
        <v>—</v>
      </c>
      <c r="Q37" s="14" t="str">
        <f>_xll.BDH("GILD US Equity","ALTERNATIVE_FUEL_USE_PCT","FY 2014","FY 2014","Currency=USD","Period=FQ","BEST_FPERIOD_OVERRIDE=FQ","FILING_STATUS=MR","Sort=A","Dates=H","DateFormat=P","Fill=—","Direction=H","UseDPDF=Y")</f>
        <v>—</v>
      </c>
      <c r="R37" s="14" t="str">
        <f>_xll.BDH("GILD US Equity","ALTERNATIVE_FUEL_USE_PCT","FY 2015","FY 2015","Currency=USD","Period=FQ","BEST_FPERIOD_OVERRIDE=FQ","FILING_STATUS=MR","Sort=A","Dates=H","DateFormat=P","Fill=—","Direction=H","UseDPDF=Y")</f>
        <v>—</v>
      </c>
      <c r="S37" s="14" t="str">
        <f>_xll.BDH("GILD US Equity","ALTERNATIVE_FUEL_USE_PCT","FY 2016","FY 2016","Currency=USD","Period=FQ","BEST_FPERIOD_OVERRIDE=FQ","FILING_STATUS=MR","Sort=A","Dates=H","DateFormat=P","Fill=—","Direction=H","UseDPDF=Y")</f>
        <v>—</v>
      </c>
      <c r="T37" s="14" t="str">
        <f>_xll.BDH("GILD US Equity","ALTERNATIVE_FUEL_USE_PCT","FY 2017","FY 2017","Currency=USD","Period=FQ","BEST_FPERIOD_OVERRIDE=FQ","FILING_STATUS=MR","Sort=A","Dates=H","DateFormat=P","Fill=—","Direction=H","UseDPDF=Y")</f>
        <v>—</v>
      </c>
      <c r="U37" s="14" t="str">
        <f>_xll.BDH("GILD US Equity","ALTERNATIVE_FUEL_USE_PCT","FY 2018","FY 2018","Currency=USD","Period=FQ","BEST_FPERIOD_OVERRIDE=FQ","FILING_STATUS=MR","Sort=A","Dates=H","DateFormat=P","Fill=—","Direction=H","UseDPDF=Y")</f>
        <v>—</v>
      </c>
      <c r="V37" s="14" t="str">
        <f>_xll.BDH("GILD US Equity","ALTERNATIVE_FUEL_USE_PCT","FY 2019","FY 2019","Currency=USD","Period=FQ","BEST_FPERIOD_OVERRIDE=FQ","FILING_STATUS=MR","Sort=A","Dates=H","DateFormat=P","Fill=—","Direction=H","UseDPDF=Y")</f>
        <v>—</v>
      </c>
      <c r="W37" s="14" t="str">
        <f>_xll.BDH("GILD US Equity","ALTERNATIVE_FUEL_USE_PCT","FY 2020","FY 2020","Currency=USD","Period=FQ","BEST_FPERIOD_OVERRIDE=FQ","FILING_STATUS=MR","Sort=A","Dates=H","DateFormat=P","Fill=—","Direction=H","UseDPDF=Y")</f>
        <v>—</v>
      </c>
      <c r="X37" s="14" t="str">
        <f>_xll.BDH("GILD US Equity","ALTERNATIVE_FUEL_USE_PCT","FY 2021","FY 2021","Currency=USD","Period=FQ","BEST_FPERIOD_OVERRIDE=FQ","FILING_STATUS=MR","Sort=A","Dates=H","DateFormat=P","Fill=—","Direction=H","UseDPDF=Y")</f>
        <v>—</v>
      </c>
      <c r="Y37" s="14" t="str">
        <f>_xll.BDH("GILD US Equity","ALTERNATIVE_FUEL_USE_PCT","FY 2022","FY 2022","Currency=USD","Period=FQ","BEST_FPERIOD_OVERRIDE=FQ","FILING_STATUS=MR","Sort=A","Dates=H","DateFormat=P","Fill=—","Direction=H","UseDPDF=Y")</f>
        <v>—</v>
      </c>
      <c r="Z37" s="14" t="str">
        <f>_xll.BDH("GILD US Equity","ALTERNATIVE_FUEL_USE_PCT","FY 2023","FY 2023","Currency=USD","Period=FQ","BEST_FPERIOD_OVERRIDE=FQ","FILING_STATUS=MR","Sort=A","Dates=H","DateFormat=P","Fill=—","Direction=H","UseDPDF=Y")</f>
        <v>—</v>
      </c>
      <c r="AA37" s="14" t="str">
        <f>_xll.BDH("GILD US Equity","ALTERNATIVE_FUEL_USE_PCT","FY 2024","FY 2024","Currency=USD","Period=FQ","BEST_FPERIOD_OVERRIDE=FQ","FILING_STATUS=MR","Sort=A","Dates=H","DateFormat=P","Fill=—","Direction=H","UseDPDF=Y")</f>
        <v>—</v>
      </c>
    </row>
    <row r="38" spans="1:27" x14ac:dyDescent="0.25">
      <c r="A38" s="10" t="s">
        <v>1995</v>
      </c>
      <c r="B38" s="10" t="s">
        <v>1996</v>
      </c>
      <c r="C38" s="14" t="str">
        <f>_xll.BDH("GILD US Equity","BIOMASS_FUEL_USE_PERCENTAGE","FY 2000","FY 2000","Currency=USD","Period=FQ","BEST_FPERIOD_OVERRIDE=FQ","FILING_STATUS=MR","Sort=A","Dates=H","DateFormat=P","Fill=—","Direction=H","UseDPDF=Y")</f>
        <v>—</v>
      </c>
      <c r="D38" s="14" t="str">
        <f>_xll.BDH("GILD US Equity","BIOMASS_FUEL_USE_PERCENTAGE","FY 2001","FY 2001","Currency=USD","Period=FQ","BEST_FPERIOD_OVERRIDE=FQ","FILING_STATUS=MR","Sort=A","Dates=H","DateFormat=P","Fill=—","Direction=H","UseDPDF=Y")</f>
        <v>—</v>
      </c>
      <c r="E38" s="14" t="str">
        <f>_xll.BDH("GILD US Equity","BIOMASS_FUEL_USE_PERCENTAGE","FY 2002","FY 2002","Currency=USD","Period=FQ","BEST_FPERIOD_OVERRIDE=FQ","FILING_STATUS=MR","Sort=A","Dates=H","DateFormat=P","Fill=—","Direction=H","UseDPDF=Y")</f>
        <v>—</v>
      </c>
      <c r="F38" s="14" t="str">
        <f>_xll.BDH("GILD US Equity","BIOMASS_FUEL_USE_PERCENTAGE","FY 2003","FY 2003","Currency=USD","Period=FQ","BEST_FPERIOD_OVERRIDE=FQ","FILING_STATUS=MR","Sort=A","Dates=H","DateFormat=P","Fill=—","Direction=H","UseDPDF=Y")</f>
        <v>—</v>
      </c>
      <c r="G38" s="14" t="str">
        <f>_xll.BDH("GILD US Equity","BIOMASS_FUEL_USE_PERCENTAGE","FY 2004","FY 2004","Currency=USD","Period=FQ","BEST_FPERIOD_OVERRIDE=FQ","FILING_STATUS=MR","Sort=A","Dates=H","DateFormat=P","Fill=—","Direction=H","UseDPDF=Y")</f>
        <v>—</v>
      </c>
      <c r="H38" s="14" t="str">
        <f>_xll.BDH("GILD US Equity","BIOMASS_FUEL_USE_PERCENTAGE","FY 2005","FY 2005","Currency=USD","Period=FQ","BEST_FPERIOD_OVERRIDE=FQ","FILING_STATUS=MR","Sort=A","Dates=H","DateFormat=P","Fill=—","Direction=H","UseDPDF=Y")</f>
        <v>—</v>
      </c>
      <c r="I38" s="14" t="str">
        <f>_xll.BDH("GILD US Equity","BIOMASS_FUEL_USE_PERCENTAGE","FY 2006","FY 2006","Currency=USD","Period=FQ","BEST_FPERIOD_OVERRIDE=FQ","FILING_STATUS=MR","Sort=A","Dates=H","DateFormat=P","Fill=—","Direction=H","UseDPDF=Y")</f>
        <v>—</v>
      </c>
      <c r="J38" s="14" t="str">
        <f>_xll.BDH("GILD US Equity","BIOMASS_FUEL_USE_PERCENTAGE","FY 2007","FY 2007","Currency=USD","Period=FQ","BEST_FPERIOD_OVERRIDE=FQ","FILING_STATUS=MR","Sort=A","Dates=H","DateFormat=P","Fill=—","Direction=H","UseDPDF=Y")</f>
        <v>—</v>
      </c>
      <c r="K38" s="14" t="str">
        <f>_xll.BDH("GILD US Equity","BIOMASS_FUEL_USE_PERCENTAGE","FY 2008","FY 2008","Currency=USD","Period=FQ","BEST_FPERIOD_OVERRIDE=FQ","FILING_STATUS=MR","Sort=A","Dates=H","DateFormat=P","Fill=—","Direction=H","UseDPDF=Y")</f>
        <v>—</v>
      </c>
      <c r="L38" s="14" t="str">
        <f>_xll.BDH("GILD US Equity","BIOMASS_FUEL_USE_PERCENTAGE","FY 2009","FY 2009","Currency=USD","Period=FQ","BEST_FPERIOD_OVERRIDE=FQ","FILING_STATUS=MR","Sort=A","Dates=H","DateFormat=P","Fill=—","Direction=H","UseDPDF=Y")</f>
        <v>—</v>
      </c>
      <c r="M38" s="14" t="str">
        <f>_xll.BDH("GILD US Equity","BIOMASS_FUEL_USE_PERCENTAGE","FY 2010","FY 2010","Currency=USD","Period=FQ","BEST_FPERIOD_OVERRIDE=FQ","FILING_STATUS=MR","Sort=A","Dates=H","DateFormat=P","Fill=—","Direction=H","UseDPDF=Y")</f>
        <v>—</v>
      </c>
      <c r="N38" s="14" t="str">
        <f>_xll.BDH("GILD US Equity","BIOMASS_FUEL_USE_PERCENTAGE","FY 2011","FY 2011","Currency=USD","Period=FQ","BEST_FPERIOD_OVERRIDE=FQ","FILING_STATUS=MR","Sort=A","Dates=H","DateFormat=P","Fill=—","Direction=H","UseDPDF=Y")</f>
        <v>—</v>
      </c>
      <c r="O38" s="14" t="str">
        <f>_xll.BDH("GILD US Equity","BIOMASS_FUEL_USE_PERCENTAGE","FY 2012","FY 2012","Currency=USD","Period=FQ","BEST_FPERIOD_OVERRIDE=FQ","FILING_STATUS=MR","Sort=A","Dates=H","DateFormat=P","Fill=—","Direction=H","UseDPDF=Y")</f>
        <v>—</v>
      </c>
      <c r="P38" s="14" t="str">
        <f>_xll.BDH("GILD US Equity","BIOMASS_FUEL_USE_PERCENTAGE","FY 2013","FY 2013","Currency=USD","Period=FQ","BEST_FPERIOD_OVERRIDE=FQ","FILING_STATUS=MR","Sort=A","Dates=H","DateFormat=P","Fill=—","Direction=H","UseDPDF=Y")</f>
        <v>—</v>
      </c>
      <c r="Q38" s="14" t="str">
        <f>_xll.BDH("GILD US Equity","BIOMASS_FUEL_USE_PERCENTAGE","FY 2014","FY 2014","Currency=USD","Period=FQ","BEST_FPERIOD_OVERRIDE=FQ","FILING_STATUS=MR","Sort=A","Dates=H","DateFormat=P","Fill=—","Direction=H","UseDPDF=Y")</f>
        <v>—</v>
      </c>
      <c r="R38" s="14" t="str">
        <f>_xll.BDH("GILD US Equity","BIOMASS_FUEL_USE_PERCENTAGE","FY 2015","FY 2015","Currency=USD","Period=FQ","BEST_FPERIOD_OVERRIDE=FQ","FILING_STATUS=MR","Sort=A","Dates=H","DateFormat=P","Fill=—","Direction=H","UseDPDF=Y")</f>
        <v>—</v>
      </c>
      <c r="S38" s="14" t="str">
        <f>_xll.BDH("GILD US Equity","BIOMASS_FUEL_USE_PERCENTAGE","FY 2016","FY 2016","Currency=USD","Period=FQ","BEST_FPERIOD_OVERRIDE=FQ","FILING_STATUS=MR","Sort=A","Dates=H","DateFormat=P","Fill=—","Direction=H","UseDPDF=Y")</f>
        <v>—</v>
      </c>
      <c r="T38" s="14" t="str">
        <f>_xll.BDH("GILD US Equity","BIOMASS_FUEL_USE_PERCENTAGE","FY 2017","FY 2017","Currency=USD","Period=FQ","BEST_FPERIOD_OVERRIDE=FQ","FILING_STATUS=MR","Sort=A","Dates=H","DateFormat=P","Fill=—","Direction=H","UseDPDF=Y")</f>
        <v>—</v>
      </c>
      <c r="U38" s="14" t="str">
        <f>_xll.BDH("GILD US Equity","BIOMASS_FUEL_USE_PERCENTAGE","FY 2018","FY 2018","Currency=USD","Period=FQ","BEST_FPERIOD_OVERRIDE=FQ","FILING_STATUS=MR","Sort=A","Dates=H","DateFormat=P","Fill=—","Direction=H","UseDPDF=Y")</f>
        <v>—</v>
      </c>
      <c r="V38" s="14" t="str">
        <f>_xll.BDH("GILD US Equity","BIOMASS_FUEL_USE_PERCENTAGE","FY 2019","FY 2019","Currency=USD","Period=FQ","BEST_FPERIOD_OVERRIDE=FQ","FILING_STATUS=MR","Sort=A","Dates=H","DateFormat=P","Fill=—","Direction=H","UseDPDF=Y")</f>
        <v>—</v>
      </c>
      <c r="W38" s="14" t="str">
        <f>_xll.BDH("GILD US Equity","BIOMASS_FUEL_USE_PERCENTAGE","FY 2020","FY 2020","Currency=USD","Period=FQ","BEST_FPERIOD_OVERRIDE=FQ","FILING_STATUS=MR","Sort=A","Dates=H","DateFormat=P","Fill=—","Direction=H","UseDPDF=Y")</f>
        <v>—</v>
      </c>
      <c r="X38" s="14" t="str">
        <f>_xll.BDH("GILD US Equity","BIOMASS_FUEL_USE_PERCENTAGE","FY 2021","FY 2021","Currency=USD","Period=FQ","BEST_FPERIOD_OVERRIDE=FQ","FILING_STATUS=MR","Sort=A","Dates=H","DateFormat=P","Fill=—","Direction=H","UseDPDF=Y")</f>
        <v>—</v>
      </c>
      <c r="Y38" s="14" t="str">
        <f>_xll.BDH("GILD US Equity","BIOMASS_FUEL_USE_PERCENTAGE","FY 2022","FY 2022","Currency=USD","Period=FQ","BEST_FPERIOD_OVERRIDE=FQ","FILING_STATUS=MR","Sort=A","Dates=H","DateFormat=P","Fill=—","Direction=H","UseDPDF=Y")</f>
        <v>—</v>
      </c>
      <c r="Z38" s="14" t="str">
        <f>_xll.BDH("GILD US Equity","BIOMASS_FUEL_USE_PERCENTAGE","FY 2023","FY 2023","Currency=USD","Period=FQ","BEST_FPERIOD_OVERRIDE=FQ","FILING_STATUS=MR","Sort=A","Dates=H","DateFormat=P","Fill=—","Direction=H","UseDPDF=Y")</f>
        <v>—</v>
      </c>
      <c r="AA38" s="14" t="str">
        <f>_xll.BDH("GILD US Equity","BIOMASS_FUEL_USE_PERCENTAGE","FY 2024","FY 2024","Currency=USD","Period=FQ","BEST_FPERIOD_OVERRIDE=FQ","FILING_STATUS=MR","Sort=A","Dates=H","DateFormat=P","Fill=—","Direction=H","UseDPDF=Y")</f>
        <v>—</v>
      </c>
    </row>
    <row r="39" spans="1:27" x14ac:dyDescent="0.25">
      <c r="A39" s="10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5">
      <c r="A40" s="6" t="s">
        <v>1997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x14ac:dyDescent="0.25">
      <c r="A41" s="10" t="s">
        <v>1998</v>
      </c>
      <c r="B41" s="10" t="s">
        <v>1999</v>
      </c>
      <c r="C41" s="14" t="str">
        <f>_xll.BDH("GILD US Equity","WATER_INTENSITY_PER_SALES","FY 2000","FY 2000","Currency=USD","Period=FQ","BEST_FPERIOD_OVERRIDE=FQ","FILING_STATUS=MR","FA_ADJUSTED=GAAP","Sort=A","Dates=H","DateFormat=P","Fill=—","Direction=H","UseDPDF=Y")</f>
        <v>—</v>
      </c>
      <c r="D41" s="14" t="str">
        <f>_xll.BDH("GILD US Equity","WATER_INTENSITY_PER_SALES","FY 2001","FY 2001","Currency=USD","Period=FQ","BEST_FPERIOD_OVERRIDE=FQ","FILING_STATUS=MR","FA_ADJUSTED=GAAP","Sort=A","Dates=H","DateFormat=P","Fill=—","Direction=H","UseDPDF=Y")</f>
        <v>—</v>
      </c>
      <c r="E41" s="14" t="str">
        <f>_xll.BDH("GILD US Equity","WATER_INTENSITY_PER_SALES","FY 2002","FY 2002","Currency=USD","Period=FQ","BEST_FPERIOD_OVERRIDE=FQ","FILING_STATUS=MR","FA_ADJUSTED=GAAP","Sort=A","Dates=H","DateFormat=P","Fill=—","Direction=H","UseDPDF=Y")</f>
        <v>—</v>
      </c>
      <c r="F41" s="14" t="str">
        <f>_xll.BDH("GILD US Equity","WATER_INTENSITY_PER_SALES","FY 2003","FY 2003","Currency=USD","Period=FQ","BEST_FPERIOD_OVERRIDE=FQ","FILING_STATUS=MR","FA_ADJUSTED=GAAP","Sort=A","Dates=H","DateFormat=P","Fill=—","Direction=H","UseDPDF=Y")</f>
        <v>—</v>
      </c>
      <c r="G41" s="14" t="str">
        <f>_xll.BDH("GILD US Equity","WATER_INTENSITY_PER_SALES","FY 2004","FY 2004","Currency=USD","Period=FQ","BEST_FPERIOD_OVERRIDE=FQ","FILING_STATUS=MR","FA_ADJUSTED=GAAP","Sort=A","Dates=H","DateFormat=P","Fill=—","Direction=H","UseDPDF=Y")</f>
        <v>—</v>
      </c>
      <c r="H41" s="14" t="str">
        <f>_xll.BDH("GILD US Equity","WATER_INTENSITY_PER_SALES","FY 2005","FY 2005","Currency=USD","Period=FQ","BEST_FPERIOD_OVERRIDE=FQ","FILING_STATUS=MR","FA_ADJUSTED=GAAP","Sort=A","Dates=H","DateFormat=P","Fill=—","Direction=H","UseDPDF=Y")</f>
        <v>—</v>
      </c>
      <c r="I41" s="14" t="str">
        <f>_xll.BDH("GILD US Equity","WATER_INTENSITY_PER_SALES","FY 2006","FY 2006","Currency=USD","Period=FQ","BEST_FPERIOD_OVERRIDE=FQ","FILING_STATUS=MR","FA_ADJUSTED=GAAP","Sort=A","Dates=H","DateFormat=P","Fill=—","Direction=H","UseDPDF=Y")</f>
        <v>—</v>
      </c>
      <c r="J41" s="14" t="str">
        <f>_xll.BDH("GILD US Equity","WATER_INTENSITY_PER_SALES","FY 2007","FY 2007","Currency=USD","Period=FQ","BEST_FPERIOD_OVERRIDE=FQ","FILING_STATUS=MR","FA_ADJUSTED=GAAP","Sort=A","Dates=H","DateFormat=P","Fill=—","Direction=H","UseDPDF=Y")</f>
        <v>—</v>
      </c>
      <c r="K41" s="14" t="str">
        <f>_xll.BDH("GILD US Equity","WATER_INTENSITY_PER_SALES","FY 2008","FY 2008","Currency=USD","Period=FQ","BEST_FPERIOD_OVERRIDE=FQ","FILING_STATUS=MR","FA_ADJUSTED=GAAP","Sort=A","Dates=H","DateFormat=P","Fill=—","Direction=H","UseDPDF=Y")</f>
        <v>—</v>
      </c>
      <c r="L41" s="14" t="str">
        <f>_xll.BDH("GILD US Equity","WATER_INTENSITY_PER_SALES","FY 2009","FY 2009","Currency=USD","Period=FQ","BEST_FPERIOD_OVERRIDE=FQ","FILING_STATUS=MR","FA_ADJUSTED=GAAP","Sort=A","Dates=H","DateFormat=P","Fill=—","Direction=H","UseDPDF=Y")</f>
        <v>—</v>
      </c>
      <c r="M41" s="14" t="str">
        <f>_xll.BDH("GILD US Equity","WATER_INTENSITY_PER_SALES","FY 2010","FY 2010","Currency=USD","Period=FQ","BEST_FPERIOD_OVERRIDE=FQ","FILING_STATUS=MR","FA_ADJUSTED=GAAP","Sort=A","Dates=H","DateFormat=P","Fill=—","Direction=H","UseDPDF=Y")</f>
        <v>—</v>
      </c>
      <c r="N41" s="14" t="str">
        <f>_xll.BDH("GILD US Equity","WATER_INTENSITY_PER_SALES","FY 2011","FY 2011","Currency=USD","Period=FQ","BEST_FPERIOD_OVERRIDE=FQ","FILING_STATUS=MR","FA_ADJUSTED=GAAP","Sort=A","Dates=H","DateFormat=P","Fill=—","Direction=H","UseDPDF=Y")</f>
        <v>—</v>
      </c>
      <c r="O41" s="14" t="str">
        <f>_xll.BDH("GILD US Equity","WATER_INTENSITY_PER_SALES","FY 2012","FY 2012","Currency=USD","Period=FQ","BEST_FPERIOD_OVERRIDE=FQ","FILING_STATUS=MR","FA_ADJUSTED=GAAP","Sort=A","Dates=H","DateFormat=P","Fill=—","Direction=H","UseDPDF=Y")</f>
        <v>—</v>
      </c>
      <c r="P41" s="14" t="str">
        <f>_xll.BDH("GILD US Equity","WATER_INTENSITY_PER_SALES","FY 2013","FY 2013","Currency=USD","Period=FQ","BEST_FPERIOD_OVERRIDE=FQ","FILING_STATUS=MR","FA_ADJUSTED=GAAP","Sort=A","Dates=H","DateFormat=P","Fill=—","Direction=H","UseDPDF=Y")</f>
        <v>—</v>
      </c>
      <c r="Q41" s="14" t="str">
        <f>_xll.BDH("GILD US Equity","WATER_INTENSITY_PER_SALES","FY 2014","FY 2014","Currency=USD","Period=FQ","BEST_FPERIOD_OVERRIDE=FQ","FILING_STATUS=MR","FA_ADJUSTED=GAAP","Sort=A","Dates=H","DateFormat=P","Fill=—","Direction=H","UseDPDF=Y")</f>
        <v>—</v>
      </c>
      <c r="R41" s="14" t="str">
        <f>_xll.BDH("GILD US Equity","WATER_INTENSITY_PER_SALES","FY 2015","FY 2015","Currency=USD","Period=FQ","BEST_FPERIOD_OVERRIDE=FQ","FILING_STATUS=MR","FA_ADJUSTED=GAAP","Sort=A","Dates=H","DateFormat=P","Fill=—","Direction=H","UseDPDF=Y")</f>
        <v>—</v>
      </c>
      <c r="S41" s="14" t="str">
        <f>_xll.BDH("GILD US Equity","WATER_INTENSITY_PER_SALES","FY 2016","FY 2016","Currency=USD","Period=FQ","BEST_FPERIOD_OVERRIDE=FQ","FILING_STATUS=MR","FA_ADJUSTED=GAAP","Sort=A","Dates=H","DateFormat=P","Fill=—","Direction=H","UseDPDF=Y")</f>
        <v>—</v>
      </c>
      <c r="T41" s="14" t="str">
        <f>_xll.BDH("GILD US Equity","WATER_INTENSITY_PER_SALES","FY 2017","FY 2017","Currency=USD","Period=FQ","BEST_FPERIOD_OVERRIDE=FQ","FILING_STATUS=MR","FA_ADJUSTED=GAAP","Sort=A","Dates=H","DateFormat=P","Fill=—","Direction=H","UseDPDF=Y")</f>
        <v>—</v>
      </c>
      <c r="U41" s="14" t="str">
        <f>_xll.BDH("GILD US Equity","WATER_INTENSITY_PER_SALES","FY 2018","FY 2018","Currency=USD","Period=FQ","BEST_FPERIOD_OVERRIDE=FQ","FILING_STATUS=MR","FA_ADJUSTED=GAAP","Sort=A","Dates=H","DateFormat=P","Fill=—","Direction=H","UseDPDF=Y")</f>
        <v>—</v>
      </c>
      <c r="V41" s="14" t="str">
        <f>_xll.BDH("GILD US Equity","WATER_INTENSITY_PER_SALES","FY 2019","FY 2019","Currency=USD","Period=FQ","BEST_FPERIOD_OVERRIDE=FQ","FILING_STATUS=MR","FA_ADJUSTED=GAAP","Sort=A","Dates=H","DateFormat=P","Fill=—","Direction=H","UseDPDF=Y")</f>
        <v>—</v>
      </c>
      <c r="W41" s="14" t="str">
        <f>_xll.BDH("GILD US Equity","WATER_INTENSITY_PER_SALES","FY 2020","FY 2020","Currency=USD","Period=FQ","BEST_FPERIOD_OVERRIDE=FQ","FILING_STATUS=MR","FA_ADJUSTED=GAAP","Sort=A","Dates=H","DateFormat=P","Fill=—","Direction=H","UseDPDF=Y")</f>
        <v>—</v>
      </c>
      <c r="X41" s="14" t="str">
        <f>_xll.BDH("GILD US Equity","WATER_INTENSITY_PER_SALES","FY 2021","FY 2021","Currency=USD","Period=FQ","BEST_FPERIOD_OVERRIDE=FQ","FILING_STATUS=MR","FA_ADJUSTED=GAAP","Sort=A","Dates=H","DateFormat=P","Fill=—","Direction=H","UseDPDF=Y")</f>
        <v>—</v>
      </c>
      <c r="Y41" s="14" t="str">
        <f>_xll.BDH("GILD US Equity","WATER_INTENSITY_PER_SALES","FY 2022","FY 2022","Currency=USD","Period=FQ","BEST_FPERIOD_OVERRIDE=FQ","FILING_STATUS=MR","FA_ADJUSTED=GAAP","Sort=A","Dates=H","DateFormat=P","Fill=—","Direction=H","UseDPDF=Y")</f>
        <v>—</v>
      </c>
      <c r="Z41" s="14" t="str">
        <f>_xll.BDH("GILD US Equity","WATER_INTENSITY_PER_SALES","FY 2023","FY 2023","Currency=USD","Period=FQ","BEST_FPERIOD_OVERRIDE=FQ","FILING_STATUS=MR","FA_ADJUSTED=GAAP","Sort=A","Dates=H","DateFormat=P","Fill=—","Direction=H","UseDPDF=Y")</f>
        <v>—</v>
      </c>
      <c r="AA41" s="14" t="str">
        <f>_xll.BDH("GILD US Equity","WATER_INTENSITY_PER_SALES","FY 2024","FY 2024","Currency=USD","Period=FQ","BEST_FPERIOD_OVERRIDE=FQ","FILING_STATUS=MR","FA_ADJUSTED=GAAP","Sort=A","Dates=H","DateFormat=P","Fill=—","Direction=H","UseDPDF=Y")</f>
        <v>—</v>
      </c>
    </row>
    <row r="42" spans="1:27" x14ac:dyDescent="0.25">
      <c r="A42" s="10" t="s">
        <v>2000</v>
      </c>
      <c r="B42" s="10" t="s">
        <v>2001</v>
      </c>
      <c r="C42" s="14" t="str">
        <f>_xll.BDH("GILD US Equity","WATER_INTENSITY_PER_EBITDA","FY 2000","FY 2000","Currency=USD","Period=FQ","BEST_FPERIOD_OVERRIDE=FQ","FILING_STATUS=MR","FA_ADJUSTED=GAAP","Sort=A","Dates=H","DateFormat=P","Fill=—","Direction=H","UseDPDF=Y")</f>
        <v>—</v>
      </c>
      <c r="D42" s="14" t="str">
        <f>_xll.BDH("GILD US Equity","WATER_INTENSITY_PER_EBITDA","FY 2001","FY 2001","Currency=USD","Period=FQ","BEST_FPERIOD_OVERRIDE=FQ","FILING_STATUS=MR","FA_ADJUSTED=GAAP","Sort=A","Dates=H","DateFormat=P","Fill=—","Direction=H","UseDPDF=Y")</f>
        <v>—</v>
      </c>
      <c r="E42" s="14" t="str">
        <f>_xll.BDH("GILD US Equity","WATER_INTENSITY_PER_EBITDA","FY 2002","FY 2002","Currency=USD","Period=FQ","BEST_FPERIOD_OVERRIDE=FQ","FILING_STATUS=MR","FA_ADJUSTED=GAAP","Sort=A","Dates=H","DateFormat=P","Fill=—","Direction=H","UseDPDF=Y")</f>
        <v>—</v>
      </c>
      <c r="F42" s="14" t="str">
        <f>_xll.BDH("GILD US Equity","WATER_INTENSITY_PER_EBITDA","FY 2003","FY 2003","Currency=USD","Period=FQ","BEST_FPERIOD_OVERRIDE=FQ","FILING_STATUS=MR","FA_ADJUSTED=GAAP","Sort=A","Dates=H","DateFormat=P","Fill=—","Direction=H","UseDPDF=Y")</f>
        <v>—</v>
      </c>
      <c r="G42" s="14" t="str">
        <f>_xll.BDH("GILD US Equity","WATER_INTENSITY_PER_EBITDA","FY 2004","FY 2004","Currency=USD","Period=FQ","BEST_FPERIOD_OVERRIDE=FQ","FILING_STATUS=MR","FA_ADJUSTED=GAAP","Sort=A","Dates=H","DateFormat=P","Fill=—","Direction=H","UseDPDF=Y")</f>
        <v>—</v>
      </c>
      <c r="H42" s="14" t="str">
        <f>_xll.BDH("GILD US Equity","WATER_INTENSITY_PER_EBITDA","FY 2005","FY 2005","Currency=USD","Period=FQ","BEST_FPERIOD_OVERRIDE=FQ","FILING_STATUS=MR","FA_ADJUSTED=GAAP","Sort=A","Dates=H","DateFormat=P","Fill=—","Direction=H","UseDPDF=Y")</f>
        <v>—</v>
      </c>
      <c r="I42" s="14" t="str">
        <f>_xll.BDH("GILD US Equity","WATER_INTENSITY_PER_EBITDA","FY 2006","FY 2006","Currency=USD","Period=FQ","BEST_FPERIOD_OVERRIDE=FQ","FILING_STATUS=MR","FA_ADJUSTED=GAAP","Sort=A","Dates=H","DateFormat=P","Fill=—","Direction=H","UseDPDF=Y")</f>
        <v>—</v>
      </c>
      <c r="J42" s="14" t="str">
        <f>_xll.BDH("GILD US Equity","WATER_INTENSITY_PER_EBITDA","FY 2007","FY 2007","Currency=USD","Period=FQ","BEST_FPERIOD_OVERRIDE=FQ","FILING_STATUS=MR","FA_ADJUSTED=GAAP","Sort=A","Dates=H","DateFormat=P","Fill=—","Direction=H","UseDPDF=Y")</f>
        <v>—</v>
      </c>
      <c r="K42" s="14" t="str">
        <f>_xll.BDH("GILD US Equity","WATER_INTENSITY_PER_EBITDA","FY 2008","FY 2008","Currency=USD","Period=FQ","BEST_FPERIOD_OVERRIDE=FQ","FILING_STATUS=MR","FA_ADJUSTED=GAAP","Sort=A","Dates=H","DateFormat=P","Fill=—","Direction=H","UseDPDF=Y")</f>
        <v>—</v>
      </c>
      <c r="L42" s="14" t="str">
        <f>_xll.BDH("GILD US Equity","WATER_INTENSITY_PER_EBITDA","FY 2009","FY 2009","Currency=USD","Period=FQ","BEST_FPERIOD_OVERRIDE=FQ","FILING_STATUS=MR","FA_ADJUSTED=GAAP","Sort=A","Dates=H","DateFormat=P","Fill=—","Direction=H","UseDPDF=Y")</f>
        <v>—</v>
      </c>
      <c r="M42" s="14" t="str">
        <f>_xll.BDH("GILD US Equity","WATER_INTENSITY_PER_EBITDA","FY 2010","FY 2010","Currency=USD","Period=FQ","BEST_FPERIOD_OVERRIDE=FQ","FILING_STATUS=MR","FA_ADJUSTED=GAAP","Sort=A","Dates=H","DateFormat=P","Fill=—","Direction=H","UseDPDF=Y")</f>
        <v>—</v>
      </c>
      <c r="N42" s="14" t="str">
        <f>_xll.BDH("GILD US Equity","WATER_INTENSITY_PER_EBITDA","FY 2011","FY 2011","Currency=USD","Period=FQ","BEST_FPERIOD_OVERRIDE=FQ","FILING_STATUS=MR","FA_ADJUSTED=GAAP","Sort=A","Dates=H","DateFormat=P","Fill=—","Direction=H","UseDPDF=Y")</f>
        <v>—</v>
      </c>
      <c r="O42" s="14" t="str">
        <f>_xll.BDH("GILD US Equity","WATER_INTENSITY_PER_EBITDA","FY 2012","FY 2012","Currency=USD","Period=FQ","BEST_FPERIOD_OVERRIDE=FQ","FILING_STATUS=MR","FA_ADJUSTED=GAAP","Sort=A","Dates=H","DateFormat=P","Fill=—","Direction=H","UseDPDF=Y")</f>
        <v>—</v>
      </c>
      <c r="P42" s="14" t="str">
        <f>_xll.BDH("GILD US Equity","WATER_INTENSITY_PER_EBITDA","FY 2013","FY 2013","Currency=USD","Period=FQ","BEST_FPERIOD_OVERRIDE=FQ","FILING_STATUS=MR","FA_ADJUSTED=GAAP","Sort=A","Dates=H","DateFormat=P","Fill=—","Direction=H","UseDPDF=Y")</f>
        <v>—</v>
      </c>
      <c r="Q42" s="14" t="str">
        <f>_xll.BDH("GILD US Equity","WATER_INTENSITY_PER_EBITDA","FY 2014","FY 2014","Currency=USD","Period=FQ","BEST_FPERIOD_OVERRIDE=FQ","FILING_STATUS=MR","FA_ADJUSTED=GAAP","Sort=A","Dates=H","DateFormat=P","Fill=—","Direction=H","UseDPDF=Y")</f>
        <v>—</v>
      </c>
      <c r="R42" s="14" t="str">
        <f>_xll.BDH("GILD US Equity","WATER_INTENSITY_PER_EBITDA","FY 2015","FY 2015","Currency=USD","Period=FQ","BEST_FPERIOD_OVERRIDE=FQ","FILING_STATUS=MR","FA_ADJUSTED=GAAP","Sort=A","Dates=H","DateFormat=P","Fill=—","Direction=H","UseDPDF=Y")</f>
        <v>—</v>
      </c>
      <c r="S42" s="14" t="str">
        <f>_xll.BDH("GILD US Equity","WATER_INTENSITY_PER_EBITDA","FY 2016","FY 2016","Currency=USD","Period=FQ","BEST_FPERIOD_OVERRIDE=FQ","FILING_STATUS=MR","FA_ADJUSTED=GAAP","Sort=A","Dates=H","DateFormat=P","Fill=—","Direction=H","UseDPDF=Y")</f>
        <v>—</v>
      </c>
      <c r="T42" s="14" t="str">
        <f>_xll.BDH("GILD US Equity","WATER_INTENSITY_PER_EBITDA","FY 2017","FY 2017","Currency=USD","Period=FQ","BEST_FPERIOD_OVERRIDE=FQ","FILING_STATUS=MR","FA_ADJUSTED=GAAP","Sort=A","Dates=H","DateFormat=P","Fill=—","Direction=H","UseDPDF=Y")</f>
        <v>—</v>
      </c>
      <c r="U42" s="14" t="str">
        <f>_xll.BDH("GILD US Equity","WATER_INTENSITY_PER_EBITDA","FY 2018","FY 2018","Currency=USD","Period=FQ","BEST_FPERIOD_OVERRIDE=FQ","FILING_STATUS=MR","FA_ADJUSTED=GAAP","Sort=A","Dates=H","DateFormat=P","Fill=—","Direction=H","UseDPDF=Y")</f>
        <v>—</v>
      </c>
      <c r="V42" s="14" t="str">
        <f>_xll.BDH("GILD US Equity","WATER_INTENSITY_PER_EBITDA","FY 2019","FY 2019","Currency=USD","Period=FQ","BEST_FPERIOD_OVERRIDE=FQ","FILING_STATUS=MR","FA_ADJUSTED=GAAP","Sort=A","Dates=H","DateFormat=P","Fill=—","Direction=H","UseDPDF=Y")</f>
        <v>—</v>
      </c>
      <c r="W42" s="14" t="str">
        <f>_xll.BDH("GILD US Equity","WATER_INTENSITY_PER_EBITDA","FY 2020","FY 2020","Currency=USD","Period=FQ","BEST_FPERIOD_OVERRIDE=FQ","FILING_STATUS=MR","FA_ADJUSTED=GAAP","Sort=A","Dates=H","DateFormat=P","Fill=—","Direction=H","UseDPDF=Y")</f>
        <v>—</v>
      </c>
      <c r="X42" s="14" t="str">
        <f>_xll.BDH("GILD US Equity","WATER_INTENSITY_PER_EBITDA","FY 2021","FY 2021","Currency=USD","Period=FQ","BEST_FPERIOD_OVERRIDE=FQ","FILING_STATUS=MR","FA_ADJUSTED=GAAP","Sort=A","Dates=H","DateFormat=P","Fill=—","Direction=H","UseDPDF=Y")</f>
        <v>—</v>
      </c>
      <c r="Y42" s="14" t="str">
        <f>_xll.BDH("GILD US Equity","WATER_INTENSITY_PER_EBITDA","FY 2022","FY 2022","Currency=USD","Period=FQ","BEST_FPERIOD_OVERRIDE=FQ","FILING_STATUS=MR","FA_ADJUSTED=GAAP","Sort=A","Dates=H","DateFormat=P","Fill=—","Direction=H","UseDPDF=Y")</f>
        <v>—</v>
      </c>
      <c r="Z42" s="14" t="str">
        <f>_xll.BDH("GILD US Equity","WATER_INTENSITY_PER_EBITDA","FY 2023","FY 2023","Currency=USD","Period=FQ","BEST_FPERIOD_OVERRIDE=FQ","FILING_STATUS=MR","FA_ADJUSTED=GAAP","Sort=A","Dates=H","DateFormat=P","Fill=—","Direction=H","UseDPDF=Y")</f>
        <v>—</v>
      </c>
      <c r="AA42" s="14" t="str">
        <f>_xll.BDH("GILD US Equity","WATER_INTENSITY_PER_EBITDA","FY 2024","FY 2024","Currency=USD","Period=FQ","BEST_FPERIOD_OVERRIDE=FQ","FILING_STATUS=MR","FA_ADJUSTED=GAAP","Sort=A","Dates=H","DateFormat=P","Fill=—","Direction=H","UseDPDF=Y")</f>
        <v>—</v>
      </c>
    </row>
    <row r="43" spans="1:27" x14ac:dyDescent="0.25">
      <c r="A43" s="10" t="s">
        <v>2002</v>
      </c>
      <c r="B43" s="10" t="s">
        <v>2003</v>
      </c>
      <c r="C43" s="14" t="str">
        <f>_xll.BDH("GILD US Equity","WATER_INTENSITY_PER_ENERGY","FY 2000","FY 2000","Currency=USD","Period=FQ","BEST_FPERIOD_OVERRIDE=FQ","FILING_STATUS=MR","Sort=A","Dates=H","DateFormat=P","Fill=—","Direction=H","UseDPDF=Y")</f>
        <v>—</v>
      </c>
      <c r="D43" s="14" t="str">
        <f>_xll.BDH("GILD US Equity","WATER_INTENSITY_PER_ENERGY","FY 2001","FY 2001","Currency=USD","Period=FQ","BEST_FPERIOD_OVERRIDE=FQ","FILING_STATUS=MR","Sort=A","Dates=H","DateFormat=P","Fill=—","Direction=H","UseDPDF=Y")</f>
        <v>—</v>
      </c>
      <c r="E43" s="14" t="str">
        <f>_xll.BDH("GILD US Equity","WATER_INTENSITY_PER_ENERGY","FY 2002","FY 2002","Currency=USD","Period=FQ","BEST_FPERIOD_OVERRIDE=FQ","FILING_STATUS=MR","Sort=A","Dates=H","DateFormat=P","Fill=—","Direction=H","UseDPDF=Y")</f>
        <v>—</v>
      </c>
      <c r="F43" s="14" t="str">
        <f>_xll.BDH("GILD US Equity","WATER_INTENSITY_PER_ENERGY","FY 2003","FY 2003","Currency=USD","Period=FQ","BEST_FPERIOD_OVERRIDE=FQ","FILING_STATUS=MR","Sort=A","Dates=H","DateFormat=P","Fill=—","Direction=H","UseDPDF=Y")</f>
        <v>—</v>
      </c>
      <c r="G43" s="14" t="str">
        <f>_xll.BDH("GILD US Equity","WATER_INTENSITY_PER_ENERGY","FY 2004","FY 2004","Currency=USD","Period=FQ","BEST_FPERIOD_OVERRIDE=FQ","FILING_STATUS=MR","Sort=A","Dates=H","DateFormat=P","Fill=—","Direction=H","UseDPDF=Y")</f>
        <v>—</v>
      </c>
      <c r="H43" s="14" t="str">
        <f>_xll.BDH("GILD US Equity","WATER_INTENSITY_PER_ENERGY","FY 2005","FY 2005","Currency=USD","Period=FQ","BEST_FPERIOD_OVERRIDE=FQ","FILING_STATUS=MR","Sort=A","Dates=H","DateFormat=P","Fill=—","Direction=H","UseDPDF=Y")</f>
        <v>—</v>
      </c>
      <c r="I43" s="14" t="str">
        <f>_xll.BDH("GILD US Equity","WATER_INTENSITY_PER_ENERGY","FY 2006","FY 2006","Currency=USD","Period=FQ","BEST_FPERIOD_OVERRIDE=FQ","FILING_STATUS=MR","Sort=A","Dates=H","DateFormat=P","Fill=—","Direction=H","UseDPDF=Y")</f>
        <v>—</v>
      </c>
      <c r="J43" s="14" t="str">
        <f>_xll.BDH("GILD US Equity","WATER_INTENSITY_PER_ENERGY","FY 2007","FY 2007","Currency=USD","Period=FQ","BEST_FPERIOD_OVERRIDE=FQ","FILING_STATUS=MR","Sort=A","Dates=H","DateFormat=P","Fill=—","Direction=H","UseDPDF=Y")</f>
        <v>—</v>
      </c>
      <c r="K43" s="14" t="str">
        <f>_xll.BDH("GILD US Equity","WATER_INTENSITY_PER_ENERGY","FY 2008","FY 2008","Currency=USD","Period=FQ","BEST_FPERIOD_OVERRIDE=FQ","FILING_STATUS=MR","Sort=A","Dates=H","DateFormat=P","Fill=—","Direction=H","UseDPDF=Y")</f>
        <v>—</v>
      </c>
      <c r="L43" s="14" t="str">
        <f>_xll.BDH("GILD US Equity","WATER_INTENSITY_PER_ENERGY","FY 2009","FY 2009","Currency=USD","Period=FQ","BEST_FPERIOD_OVERRIDE=FQ","FILING_STATUS=MR","Sort=A","Dates=H","DateFormat=P","Fill=—","Direction=H","UseDPDF=Y")</f>
        <v>—</v>
      </c>
      <c r="M43" s="14" t="str">
        <f>_xll.BDH("GILD US Equity","WATER_INTENSITY_PER_ENERGY","FY 2010","FY 2010","Currency=USD","Period=FQ","BEST_FPERIOD_OVERRIDE=FQ","FILING_STATUS=MR","Sort=A","Dates=H","DateFormat=P","Fill=—","Direction=H","UseDPDF=Y")</f>
        <v>—</v>
      </c>
      <c r="N43" s="14" t="str">
        <f>_xll.BDH("GILD US Equity","WATER_INTENSITY_PER_ENERGY","FY 2011","FY 2011","Currency=USD","Period=FQ","BEST_FPERIOD_OVERRIDE=FQ","FILING_STATUS=MR","Sort=A","Dates=H","DateFormat=P","Fill=—","Direction=H","UseDPDF=Y")</f>
        <v>—</v>
      </c>
      <c r="O43" s="14" t="str">
        <f>_xll.BDH("GILD US Equity","WATER_INTENSITY_PER_ENERGY","FY 2012","FY 2012","Currency=USD","Period=FQ","BEST_FPERIOD_OVERRIDE=FQ","FILING_STATUS=MR","Sort=A","Dates=H","DateFormat=P","Fill=—","Direction=H","UseDPDF=Y")</f>
        <v>—</v>
      </c>
      <c r="P43" s="14" t="str">
        <f>_xll.BDH("GILD US Equity","WATER_INTENSITY_PER_ENERGY","FY 2013","FY 2013","Currency=USD","Period=FQ","BEST_FPERIOD_OVERRIDE=FQ","FILING_STATUS=MR","Sort=A","Dates=H","DateFormat=P","Fill=—","Direction=H","UseDPDF=Y")</f>
        <v>—</v>
      </c>
      <c r="Q43" s="14" t="str">
        <f>_xll.BDH("GILD US Equity","WATER_INTENSITY_PER_ENERGY","FY 2014","FY 2014","Currency=USD","Period=FQ","BEST_FPERIOD_OVERRIDE=FQ","FILING_STATUS=MR","Sort=A","Dates=H","DateFormat=P","Fill=—","Direction=H","UseDPDF=Y")</f>
        <v>—</v>
      </c>
      <c r="R43" s="14" t="str">
        <f>_xll.BDH("GILD US Equity","WATER_INTENSITY_PER_ENERGY","FY 2015","FY 2015","Currency=USD","Period=FQ","BEST_FPERIOD_OVERRIDE=FQ","FILING_STATUS=MR","Sort=A","Dates=H","DateFormat=P","Fill=—","Direction=H","UseDPDF=Y")</f>
        <v>—</v>
      </c>
      <c r="S43" s="14" t="str">
        <f>_xll.BDH("GILD US Equity","WATER_INTENSITY_PER_ENERGY","FY 2016","FY 2016","Currency=USD","Period=FQ","BEST_FPERIOD_OVERRIDE=FQ","FILING_STATUS=MR","Sort=A","Dates=H","DateFormat=P","Fill=—","Direction=H","UseDPDF=Y")</f>
        <v>—</v>
      </c>
      <c r="T43" s="14" t="str">
        <f>_xll.BDH("GILD US Equity","WATER_INTENSITY_PER_ENERGY","FY 2017","FY 2017","Currency=USD","Period=FQ","BEST_FPERIOD_OVERRIDE=FQ","FILING_STATUS=MR","Sort=A","Dates=H","DateFormat=P","Fill=—","Direction=H","UseDPDF=Y")</f>
        <v>—</v>
      </c>
      <c r="U43" s="14" t="str">
        <f>_xll.BDH("GILD US Equity","WATER_INTENSITY_PER_ENERGY","FY 2018","FY 2018","Currency=USD","Period=FQ","BEST_FPERIOD_OVERRIDE=FQ","FILING_STATUS=MR","Sort=A","Dates=H","DateFormat=P","Fill=—","Direction=H","UseDPDF=Y")</f>
        <v>—</v>
      </c>
      <c r="V43" s="14" t="str">
        <f>_xll.BDH("GILD US Equity","WATER_INTENSITY_PER_ENERGY","FY 2019","FY 2019","Currency=USD","Period=FQ","BEST_FPERIOD_OVERRIDE=FQ","FILING_STATUS=MR","Sort=A","Dates=H","DateFormat=P","Fill=—","Direction=H","UseDPDF=Y")</f>
        <v>—</v>
      </c>
      <c r="W43" s="14" t="str">
        <f>_xll.BDH("GILD US Equity","WATER_INTENSITY_PER_ENERGY","FY 2020","FY 2020","Currency=USD","Period=FQ","BEST_FPERIOD_OVERRIDE=FQ","FILING_STATUS=MR","Sort=A","Dates=H","DateFormat=P","Fill=—","Direction=H","UseDPDF=Y")</f>
        <v>—</v>
      </c>
      <c r="X43" s="14" t="str">
        <f>_xll.BDH("GILD US Equity","WATER_INTENSITY_PER_ENERGY","FY 2021","FY 2021","Currency=USD","Period=FQ","BEST_FPERIOD_OVERRIDE=FQ","FILING_STATUS=MR","Sort=A","Dates=H","DateFormat=P","Fill=—","Direction=H","UseDPDF=Y")</f>
        <v>—</v>
      </c>
      <c r="Y43" s="14" t="str">
        <f>_xll.BDH("GILD US Equity","WATER_INTENSITY_PER_ENERGY","FY 2022","FY 2022","Currency=USD","Period=FQ","BEST_FPERIOD_OVERRIDE=FQ","FILING_STATUS=MR","Sort=A","Dates=H","DateFormat=P","Fill=—","Direction=H","UseDPDF=Y")</f>
        <v>—</v>
      </c>
      <c r="Z43" s="14" t="str">
        <f>_xll.BDH("GILD US Equity","WATER_INTENSITY_PER_ENERGY","FY 2023","FY 2023","Currency=USD","Period=FQ","BEST_FPERIOD_OVERRIDE=FQ","FILING_STATUS=MR","Sort=A","Dates=H","DateFormat=P","Fill=—","Direction=H","UseDPDF=Y")</f>
        <v>—</v>
      </c>
      <c r="AA43" s="14" t="str">
        <f>_xll.BDH("GILD US Equity","WATER_INTENSITY_PER_ENERGY","FY 2024","FY 2024","Currency=USD","Period=FQ","BEST_FPERIOD_OVERRIDE=FQ","FILING_STATUS=MR","Sort=A","Dates=H","DateFormat=P","Fill=—","Direction=H","UseDPDF=Y")</f>
        <v>—</v>
      </c>
    </row>
    <row r="44" spans="1:27" x14ac:dyDescent="0.25">
      <c r="A44" s="10" t="s">
        <v>2004</v>
      </c>
      <c r="B44" s="10" t="s">
        <v>2005</v>
      </c>
      <c r="C44" s="14" t="str">
        <f>_xll.BDH("GILD US Equity","WATER_INTENSITY_PER_EMPLOYEE","FY 2000","FY 2000","Currency=USD","Period=FQ","BEST_FPERIOD_OVERRIDE=FQ","FILING_STATUS=MR","Sort=A","Dates=H","DateFormat=P","Fill=—","Direction=H","UseDPDF=Y")</f>
        <v>—</v>
      </c>
      <c r="D44" s="14" t="str">
        <f>_xll.BDH("GILD US Equity","WATER_INTENSITY_PER_EMPLOYEE","FY 2001","FY 2001","Currency=USD","Period=FQ","BEST_FPERIOD_OVERRIDE=FQ","FILING_STATUS=MR","Sort=A","Dates=H","DateFormat=P","Fill=—","Direction=H","UseDPDF=Y")</f>
        <v>—</v>
      </c>
      <c r="E44" s="14" t="str">
        <f>_xll.BDH("GILD US Equity","WATER_INTENSITY_PER_EMPLOYEE","FY 2002","FY 2002","Currency=USD","Period=FQ","BEST_FPERIOD_OVERRIDE=FQ","FILING_STATUS=MR","Sort=A","Dates=H","DateFormat=P","Fill=—","Direction=H","UseDPDF=Y")</f>
        <v>—</v>
      </c>
      <c r="F44" s="14" t="str">
        <f>_xll.BDH("GILD US Equity","WATER_INTENSITY_PER_EMPLOYEE","FY 2003","FY 2003","Currency=USD","Period=FQ","BEST_FPERIOD_OVERRIDE=FQ","FILING_STATUS=MR","Sort=A","Dates=H","DateFormat=P","Fill=—","Direction=H","UseDPDF=Y")</f>
        <v>—</v>
      </c>
      <c r="G44" s="14" t="str">
        <f>_xll.BDH("GILD US Equity","WATER_INTENSITY_PER_EMPLOYEE","FY 2004","FY 2004","Currency=USD","Period=FQ","BEST_FPERIOD_OVERRIDE=FQ","FILING_STATUS=MR","Sort=A","Dates=H","DateFormat=P","Fill=—","Direction=H","UseDPDF=Y")</f>
        <v>—</v>
      </c>
      <c r="H44" s="14" t="str">
        <f>_xll.BDH("GILD US Equity","WATER_INTENSITY_PER_EMPLOYEE","FY 2005","FY 2005","Currency=USD","Period=FQ","BEST_FPERIOD_OVERRIDE=FQ","FILING_STATUS=MR","Sort=A","Dates=H","DateFormat=P","Fill=—","Direction=H","UseDPDF=Y")</f>
        <v>—</v>
      </c>
      <c r="I44" s="14" t="str">
        <f>_xll.BDH("GILD US Equity","WATER_INTENSITY_PER_EMPLOYEE","FY 2006","FY 2006","Currency=USD","Period=FQ","BEST_FPERIOD_OVERRIDE=FQ","FILING_STATUS=MR","Sort=A","Dates=H","DateFormat=P","Fill=—","Direction=H","UseDPDF=Y")</f>
        <v>—</v>
      </c>
      <c r="J44" s="14" t="str">
        <f>_xll.BDH("GILD US Equity","WATER_INTENSITY_PER_EMPLOYEE","FY 2007","FY 2007","Currency=USD","Period=FQ","BEST_FPERIOD_OVERRIDE=FQ","FILING_STATUS=MR","Sort=A","Dates=H","DateFormat=P","Fill=—","Direction=H","UseDPDF=Y")</f>
        <v>—</v>
      </c>
      <c r="K44" s="14" t="str">
        <f>_xll.BDH("GILD US Equity","WATER_INTENSITY_PER_EMPLOYEE","FY 2008","FY 2008","Currency=USD","Period=FQ","BEST_FPERIOD_OVERRIDE=FQ","FILING_STATUS=MR","Sort=A","Dates=H","DateFormat=P","Fill=—","Direction=H","UseDPDF=Y")</f>
        <v>—</v>
      </c>
      <c r="L44" s="14" t="str">
        <f>_xll.BDH("GILD US Equity","WATER_INTENSITY_PER_EMPLOYEE","FY 2009","FY 2009","Currency=USD","Period=FQ","BEST_FPERIOD_OVERRIDE=FQ","FILING_STATUS=MR","Sort=A","Dates=H","DateFormat=P","Fill=—","Direction=H","UseDPDF=Y")</f>
        <v>—</v>
      </c>
      <c r="M44" s="14" t="str">
        <f>_xll.BDH("GILD US Equity","WATER_INTENSITY_PER_EMPLOYEE","FY 2010","FY 2010","Currency=USD","Period=FQ","BEST_FPERIOD_OVERRIDE=FQ","FILING_STATUS=MR","Sort=A","Dates=H","DateFormat=P","Fill=—","Direction=H","UseDPDF=Y")</f>
        <v>—</v>
      </c>
      <c r="N44" s="14" t="str">
        <f>_xll.BDH("GILD US Equity","WATER_INTENSITY_PER_EMPLOYEE","FY 2011","FY 2011","Currency=USD","Period=FQ","BEST_FPERIOD_OVERRIDE=FQ","FILING_STATUS=MR","Sort=A","Dates=H","DateFormat=P","Fill=—","Direction=H","UseDPDF=Y")</f>
        <v>—</v>
      </c>
      <c r="O44" s="14" t="str">
        <f>_xll.BDH("GILD US Equity","WATER_INTENSITY_PER_EMPLOYEE","FY 2012","FY 2012","Currency=USD","Period=FQ","BEST_FPERIOD_OVERRIDE=FQ","FILING_STATUS=MR","Sort=A","Dates=H","DateFormat=P","Fill=—","Direction=H","UseDPDF=Y")</f>
        <v>—</v>
      </c>
      <c r="P44" s="14" t="str">
        <f>_xll.BDH("GILD US Equity","WATER_INTENSITY_PER_EMPLOYEE","FY 2013","FY 2013","Currency=USD","Period=FQ","BEST_FPERIOD_OVERRIDE=FQ","FILING_STATUS=MR","Sort=A","Dates=H","DateFormat=P","Fill=—","Direction=H","UseDPDF=Y")</f>
        <v>—</v>
      </c>
      <c r="Q44" s="14" t="str">
        <f>_xll.BDH("GILD US Equity","WATER_INTENSITY_PER_EMPLOYEE","FY 2014","FY 2014","Currency=USD","Period=FQ","BEST_FPERIOD_OVERRIDE=FQ","FILING_STATUS=MR","Sort=A","Dates=H","DateFormat=P","Fill=—","Direction=H","UseDPDF=Y")</f>
        <v>—</v>
      </c>
      <c r="R44" s="14" t="str">
        <f>_xll.BDH("GILD US Equity","WATER_INTENSITY_PER_EMPLOYEE","FY 2015","FY 2015","Currency=USD","Period=FQ","BEST_FPERIOD_OVERRIDE=FQ","FILING_STATUS=MR","Sort=A","Dates=H","DateFormat=P","Fill=—","Direction=H","UseDPDF=Y")</f>
        <v>—</v>
      </c>
      <c r="S44" s="14" t="str">
        <f>_xll.BDH("GILD US Equity","WATER_INTENSITY_PER_EMPLOYEE","FY 2016","FY 2016","Currency=USD","Period=FQ","BEST_FPERIOD_OVERRIDE=FQ","FILING_STATUS=MR","Sort=A","Dates=H","DateFormat=P","Fill=—","Direction=H","UseDPDF=Y")</f>
        <v>—</v>
      </c>
      <c r="T44" s="14" t="str">
        <f>_xll.BDH("GILD US Equity","WATER_INTENSITY_PER_EMPLOYEE","FY 2017","FY 2017","Currency=USD","Period=FQ","BEST_FPERIOD_OVERRIDE=FQ","FILING_STATUS=MR","Sort=A","Dates=H","DateFormat=P","Fill=—","Direction=H","UseDPDF=Y")</f>
        <v>—</v>
      </c>
      <c r="U44" s="14" t="str">
        <f>_xll.BDH("GILD US Equity","WATER_INTENSITY_PER_EMPLOYEE","FY 2018","FY 2018","Currency=USD","Period=FQ","BEST_FPERIOD_OVERRIDE=FQ","FILING_STATUS=MR","Sort=A","Dates=H","DateFormat=P","Fill=—","Direction=H","UseDPDF=Y")</f>
        <v>—</v>
      </c>
      <c r="V44" s="14" t="str">
        <f>_xll.BDH("GILD US Equity","WATER_INTENSITY_PER_EMPLOYEE","FY 2019","FY 2019","Currency=USD","Period=FQ","BEST_FPERIOD_OVERRIDE=FQ","FILING_STATUS=MR","Sort=A","Dates=H","DateFormat=P","Fill=—","Direction=H","UseDPDF=Y")</f>
        <v>—</v>
      </c>
      <c r="W44" s="14" t="str">
        <f>_xll.BDH("GILD US Equity","WATER_INTENSITY_PER_EMPLOYEE","FY 2020","FY 2020","Currency=USD","Period=FQ","BEST_FPERIOD_OVERRIDE=FQ","FILING_STATUS=MR","Sort=A","Dates=H","DateFormat=P","Fill=—","Direction=H","UseDPDF=Y")</f>
        <v>—</v>
      </c>
      <c r="X44" s="14" t="str">
        <f>_xll.BDH("GILD US Equity","WATER_INTENSITY_PER_EMPLOYEE","FY 2021","FY 2021","Currency=USD","Period=FQ","BEST_FPERIOD_OVERRIDE=FQ","FILING_STATUS=MR","Sort=A","Dates=H","DateFormat=P","Fill=—","Direction=H","UseDPDF=Y")</f>
        <v>—</v>
      </c>
      <c r="Y44" s="14" t="str">
        <f>_xll.BDH("GILD US Equity","WATER_INTENSITY_PER_EMPLOYEE","FY 2022","FY 2022","Currency=USD","Period=FQ","BEST_FPERIOD_OVERRIDE=FQ","FILING_STATUS=MR","Sort=A","Dates=H","DateFormat=P","Fill=—","Direction=H","UseDPDF=Y")</f>
        <v>—</v>
      </c>
      <c r="Z44" s="14" t="str">
        <f>_xll.BDH("GILD US Equity","WATER_INTENSITY_PER_EMPLOYEE","FY 2023","FY 2023","Currency=USD","Period=FQ","BEST_FPERIOD_OVERRIDE=FQ","FILING_STATUS=MR","Sort=A","Dates=H","DateFormat=P","Fill=—","Direction=H","UseDPDF=Y")</f>
        <v>—</v>
      </c>
      <c r="AA44" s="14" t="str">
        <f>_xll.BDH("GILD US Equity","WATER_INTENSITY_PER_EMPLOYEE","FY 2024","FY 2024","Currency=USD","Period=FQ","BEST_FPERIOD_OVERRIDE=FQ","FILING_STATUS=MR","Sort=A","Dates=H","DateFormat=P","Fill=—","Direction=H","UseDPDF=Y")</f>
        <v>—</v>
      </c>
    </row>
    <row r="45" spans="1:27" x14ac:dyDescent="0.25">
      <c r="A45" s="10" t="s">
        <v>2006</v>
      </c>
      <c r="B45" s="10" t="s">
        <v>2007</v>
      </c>
      <c r="C45" s="14" t="str">
        <f>_xll.BDH("GILD US Equity","WATER_INTENSITY_PER_ASSETS","FY 2000","FY 2000","Currency=USD","Period=FQ","BEST_FPERIOD_OVERRIDE=FQ","FILING_STATUS=MR","Sort=A","Dates=H","DateFormat=P","Fill=—","Direction=H","UseDPDF=Y")</f>
        <v>—</v>
      </c>
      <c r="D45" s="14" t="str">
        <f>_xll.BDH("GILD US Equity","WATER_INTENSITY_PER_ASSETS","FY 2001","FY 2001","Currency=USD","Period=FQ","BEST_FPERIOD_OVERRIDE=FQ","FILING_STATUS=MR","Sort=A","Dates=H","DateFormat=P","Fill=—","Direction=H","UseDPDF=Y")</f>
        <v>—</v>
      </c>
      <c r="E45" s="14" t="str">
        <f>_xll.BDH("GILD US Equity","WATER_INTENSITY_PER_ASSETS","FY 2002","FY 2002","Currency=USD","Period=FQ","BEST_FPERIOD_OVERRIDE=FQ","FILING_STATUS=MR","Sort=A","Dates=H","DateFormat=P","Fill=—","Direction=H","UseDPDF=Y")</f>
        <v>—</v>
      </c>
      <c r="F45" s="14" t="str">
        <f>_xll.BDH("GILD US Equity","WATER_INTENSITY_PER_ASSETS","FY 2003","FY 2003","Currency=USD","Period=FQ","BEST_FPERIOD_OVERRIDE=FQ","FILING_STATUS=MR","Sort=A","Dates=H","DateFormat=P","Fill=—","Direction=H","UseDPDF=Y")</f>
        <v>—</v>
      </c>
      <c r="G45" s="14" t="str">
        <f>_xll.BDH("GILD US Equity","WATER_INTENSITY_PER_ASSETS","FY 2004","FY 2004","Currency=USD","Period=FQ","BEST_FPERIOD_OVERRIDE=FQ","FILING_STATUS=MR","Sort=A","Dates=H","DateFormat=P","Fill=—","Direction=H","UseDPDF=Y")</f>
        <v>—</v>
      </c>
      <c r="H45" s="14" t="str">
        <f>_xll.BDH("GILD US Equity","WATER_INTENSITY_PER_ASSETS","FY 2005","FY 2005","Currency=USD","Period=FQ","BEST_FPERIOD_OVERRIDE=FQ","FILING_STATUS=MR","Sort=A","Dates=H","DateFormat=P","Fill=—","Direction=H","UseDPDF=Y")</f>
        <v>—</v>
      </c>
      <c r="I45" s="14" t="str">
        <f>_xll.BDH("GILD US Equity","WATER_INTENSITY_PER_ASSETS","FY 2006","FY 2006","Currency=USD","Period=FQ","BEST_FPERIOD_OVERRIDE=FQ","FILING_STATUS=MR","Sort=A","Dates=H","DateFormat=P","Fill=—","Direction=H","UseDPDF=Y")</f>
        <v>—</v>
      </c>
      <c r="J45" s="14" t="str">
        <f>_xll.BDH("GILD US Equity","WATER_INTENSITY_PER_ASSETS","FY 2007","FY 2007","Currency=USD","Period=FQ","BEST_FPERIOD_OVERRIDE=FQ","FILING_STATUS=MR","Sort=A","Dates=H","DateFormat=P","Fill=—","Direction=H","UseDPDF=Y")</f>
        <v>—</v>
      </c>
      <c r="K45" s="14" t="str">
        <f>_xll.BDH("GILD US Equity","WATER_INTENSITY_PER_ASSETS","FY 2008","FY 2008","Currency=USD","Period=FQ","BEST_FPERIOD_OVERRIDE=FQ","FILING_STATUS=MR","Sort=A","Dates=H","DateFormat=P","Fill=—","Direction=H","UseDPDF=Y")</f>
        <v>—</v>
      </c>
      <c r="L45" s="14" t="str">
        <f>_xll.BDH("GILD US Equity","WATER_INTENSITY_PER_ASSETS","FY 2009","FY 2009","Currency=USD","Period=FQ","BEST_FPERIOD_OVERRIDE=FQ","FILING_STATUS=MR","Sort=A","Dates=H","DateFormat=P","Fill=—","Direction=H","UseDPDF=Y")</f>
        <v>—</v>
      </c>
      <c r="M45" s="14" t="str">
        <f>_xll.BDH("GILD US Equity","WATER_INTENSITY_PER_ASSETS","FY 2010","FY 2010","Currency=USD","Period=FQ","BEST_FPERIOD_OVERRIDE=FQ","FILING_STATUS=MR","Sort=A","Dates=H","DateFormat=P","Fill=—","Direction=H","UseDPDF=Y")</f>
        <v>—</v>
      </c>
      <c r="N45" s="14" t="str">
        <f>_xll.BDH("GILD US Equity","WATER_INTENSITY_PER_ASSETS","FY 2011","FY 2011","Currency=USD","Period=FQ","BEST_FPERIOD_OVERRIDE=FQ","FILING_STATUS=MR","Sort=A","Dates=H","DateFormat=P","Fill=—","Direction=H","UseDPDF=Y")</f>
        <v>—</v>
      </c>
      <c r="O45" s="14" t="str">
        <f>_xll.BDH("GILD US Equity","WATER_INTENSITY_PER_ASSETS","FY 2012","FY 2012","Currency=USD","Period=FQ","BEST_FPERIOD_OVERRIDE=FQ","FILING_STATUS=MR","Sort=A","Dates=H","DateFormat=P","Fill=—","Direction=H","UseDPDF=Y")</f>
        <v>—</v>
      </c>
      <c r="P45" s="14" t="str">
        <f>_xll.BDH("GILD US Equity","WATER_INTENSITY_PER_ASSETS","FY 2013","FY 2013","Currency=USD","Period=FQ","BEST_FPERIOD_OVERRIDE=FQ","FILING_STATUS=MR","Sort=A","Dates=H","DateFormat=P","Fill=—","Direction=H","UseDPDF=Y")</f>
        <v>—</v>
      </c>
      <c r="Q45" s="14" t="str">
        <f>_xll.BDH("GILD US Equity","WATER_INTENSITY_PER_ASSETS","FY 2014","FY 2014","Currency=USD","Period=FQ","BEST_FPERIOD_OVERRIDE=FQ","FILING_STATUS=MR","Sort=A","Dates=H","DateFormat=P","Fill=—","Direction=H","UseDPDF=Y")</f>
        <v>—</v>
      </c>
      <c r="R45" s="14" t="str">
        <f>_xll.BDH("GILD US Equity","WATER_INTENSITY_PER_ASSETS","FY 2015","FY 2015","Currency=USD","Period=FQ","BEST_FPERIOD_OVERRIDE=FQ","FILING_STATUS=MR","Sort=A","Dates=H","DateFormat=P","Fill=—","Direction=H","UseDPDF=Y")</f>
        <v>—</v>
      </c>
      <c r="S45" s="14" t="str">
        <f>_xll.BDH("GILD US Equity","WATER_INTENSITY_PER_ASSETS","FY 2016","FY 2016","Currency=USD","Period=FQ","BEST_FPERIOD_OVERRIDE=FQ","FILING_STATUS=MR","Sort=A","Dates=H","DateFormat=P","Fill=—","Direction=H","UseDPDF=Y")</f>
        <v>—</v>
      </c>
      <c r="T45" s="14" t="str">
        <f>_xll.BDH("GILD US Equity","WATER_INTENSITY_PER_ASSETS","FY 2017","FY 2017","Currency=USD","Period=FQ","BEST_FPERIOD_OVERRIDE=FQ","FILING_STATUS=MR","Sort=A","Dates=H","DateFormat=P","Fill=—","Direction=H","UseDPDF=Y")</f>
        <v>—</v>
      </c>
      <c r="U45" s="14" t="str">
        <f>_xll.BDH("GILD US Equity","WATER_INTENSITY_PER_ASSETS","FY 2018","FY 2018","Currency=USD","Period=FQ","BEST_FPERIOD_OVERRIDE=FQ","FILING_STATUS=MR","Sort=A","Dates=H","DateFormat=P","Fill=—","Direction=H","UseDPDF=Y")</f>
        <v>—</v>
      </c>
      <c r="V45" s="14" t="str">
        <f>_xll.BDH("GILD US Equity","WATER_INTENSITY_PER_ASSETS","FY 2019","FY 2019","Currency=USD","Period=FQ","BEST_FPERIOD_OVERRIDE=FQ","FILING_STATUS=MR","Sort=A","Dates=H","DateFormat=P","Fill=—","Direction=H","UseDPDF=Y")</f>
        <v>—</v>
      </c>
      <c r="W45" s="14" t="str">
        <f>_xll.BDH("GILD US Equity","WATER_INTENSITY_PER_ASSETS","FY 2020","FY 2020","Currency=USD","Period=FQ","BEST_FPERIOD_OVERRIDE=FQ","FILING_STATUS=MR","Sort=A","Dates=H","DateFormat=P","Fill=—","Direction=H","UseDPDF=Y")</f>
        <v>—</v>
      </c>
      <c r="X45" s="14" t="str">
        <f>_xll.BDH("GILD US Equity","WATER_INTENSITY_PER_ASSETS","FY 2021","FY 2021","Currency=USD","Period=FQ","BEST_FPERIOD_OVERRIDE=FQ","FILING_STATUS=MR","Sort=A","Dates=H","DateFormat=P","Fill=—","Direction=H","UseDPDF=Y")</f>
        <v>—</v>
      </c>
      <c r="Y45" s="14" t="str">
        <f>_xll.BDH("GILD US Equity","WATER_INTENSITY_PER_ASSETS","FY 2022","FY 2022","Currency=USD","Period=FQ","BEST_FPERIOD_OVERRIDE=FQ","FILING_STATUS=MR","Sort=A","Dates=H","DateFormat=P","Fill=—","Direction=H","UseDPDF=Y")</f>
        <v>—</v>
      </c>
      <c r="Z45" s="14" t="str">
        <f>_xll.BDH("GILD US Equity","WATER_INTENSITY_PER_ASSETS","FY 2023","FY 2023","Currency=USD","Period=FQ","BEST_FPERIOD_OVERRIDE=FQ","FILING_STATUS=MR","Sort=A","Dates=H","DateFormat=P","Fill=—","Direction=H","UseDPDF=Y")</f>
        <v>—</v>
      </c>
      <c r="AA45" s="14" t="str">
        <f>_xll.BDH("GILD US Equity","WATER_INTENSITY_PER_ASSETS","FY 2024","FY 2024","Currency=USD","Period=FQ","BEST_FPERIOD_OVERRIDE=FQ","FILING_STATUS=MR","Sort=A","Dates=H","DateFormat=P","Fill=—","Direction=H","UseDPDF=Y")</f>
        <v>—</v>
      </c>
    </row>
    <row r="46" spans="1:27" x14ac:dyDescent="0.25">
      <c r="A46" s="10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25">
      <c r="A47" s="6" t="s">
        <v>2008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 x14ac:dyDescent="0.25">
      <c r="A48" s="10" t="s">
        <v>2009</v>
      </c>
      <c r="B48" s="10" t="s">
        <v>2010</v>
      </c>
      <c r="C48" s="14" t="str">
        <f>_xll.BDH("GILD US Equity","WASTE_INTENSITY_PER_EMPLOYEE","FY 2000","FY 2000","Currency=USD","Period=FQ","BEST_FPERIOD_OVERRIDE=FQ","FILING_STATUS=MR","Sort=A","Dates=H","DateFormat=P","Fill=—","Direction=H","UseDPDF=Y")</f>
        <v>—</v>
      </c>
      <c r="D48" s="14" t="str">
        <f>_xll.BDH("GILD US Equity","WASTE_INTENSITY_PER_EMPLOYEE","FY 2001","FY 2001","Currency=USD","Period=FQ","BEST_FPERIOD_OVERRIDE=FQ","FILING_STATUS=MR","Sort=A","Dates=H","DateFormat=P","Fill=—","Direction=H","UseDPDF=Y")</f>
        <v>—</v>
      </c>
      <c r="E48" s="14" t="str">
        <f>_xll.BDH("GILD US Equity","WASTE_INTENSITY_PER_EMPLOYEE","FY 2002","FY 2002","Currency=USD","Period=FQ","BEST_FPERIOD_OVERRIDE=FQ","FILING_STATUS=MR","Sort=A","Dates=H","DateFormat=P","Fill=—","Direction=H","UseDPDF=Y")</f>
        <v>—</v>
      </c>
      <c r="F48" s="14" t="str">
        <f>_xll.BDH("GILD US Equity","WASTE_INTENSITY_PER_EMPLOYEE","FY 2003","FY 2003","Currency=USD","Period=FQ","BEST_FPERIOD_OVERRIDE=FQ","FILING_STATUS=MR","Sort=A","Dates=H","DateFormat=P","Fill=—","Direction=H","UseDPDF=Y")</f>
        <v>—</v>
      </c>
      <c r="G48" s="14" t="str">
        <f>_xll.BDH("GILD US Equity","WASTE_INTENSITY_PER_EMPLOYEE","FY 2004","FY 2004","Currency=USD","Period=FQ","BEST_FPERIOD_OVERRIDE=FQ","FILING_STATUS=MR","Sort=A","Dates=H","DateFormat=P","Fill=—","Direction=H","UseDPDF=Y")</f>
        <v>—</v>
      </c>
      <c r="H48" s="14" t="str">
        <f>_xll.BDH("GILD US Equity","WASTE_INTENSITY_PER_EMPLOYEE","FY 2005","FY 2005","Currency=USD","Period=FQ","BEST_FPERIOD_OVERRIDE=FQ","FILING_STATUS=MR","Sort=A","Dates=H","DateFormat=P","Fill=—","Direction=H","UseDPDF=Y")</f>
        <v>—</v>
      </c>
      <c r="I48" s="14" t="str">
        <f>_xll.BDH("GILD US Equity","WASTE_INTENSITY_PER_EMPLOYEE","FY 2006","FY 2006","Currency=USD","Period=FQ","BEST_FPERIOD_OVERRIDE=FQ","FILING_STATUS=MR","Sort=A","Dates=H","DateFormat=P","Fill=—","Direction=H","UseDPDF=Y")</f>
        <v>—</v>
      </c>
      <c r="J48" s="14" t="str">
        <f>_xll.BDH("GILD US Equity","WASTE_INTENSITY_PER_EMPLOYEE","FY 2007","FY 2007","Currency=USD","Period=FQ","BEST_FPERIOD_OVERRIDE=FQ","FILING_STATUS=MR","Sort=A","Dates=H","DateFormat=P","Fill=—","Direction=H","UseDPDF=Y")</f>
        <v>—</v>
      </c>
      <c r="K48" s="14" t="str">
        <f>_xll.BDH("GILD US Equity","WASTE_INTENSITY_PER_EMPLOYEE","FY 2008","FY 2008","Currency=USD","Period=FQ","BEST_FPERIOD_OVERRIDE=FQ","FILING_STATUS=MR","Sort=A","Dates=H","DateFormat=P","Fill=—","Direction=H","UseDPDF=Y")</f>
        <v>—</v>
      </c>
      <c r="L48" s="14" t="str">
        <f>_xll.BDH("GILD US Equity","WASTE_INTENSITY_PER_EMPLOYEE","FY 2009","FY 2009","Currency=USD","Period=FQ","BEST_FPERIOD_OVERRIDE=FQ","FILING_STATUS=MR","Sort=A","Dates=H","DateFormat=P","Fill=—","Direction=H","UseDPDF=Y")</f>
        <v>—</v>
      </c>
      <c r="M48" s="14" t="str">
        <f>_xll.BDH("GILD US Equity","WASTE_INTENSITY_PER_EMPLOYEE","FY 2010","FY 2010","Currency=USD","Period=FQ","BEST_FPERIOD_OVERRIDE=FQ","FILING_STATUS=MR","Sort=A","Dates=H","DateFormat=P","Fill=—","Direction=H","UseDPDF=Y")</f>
        <v>—</v>
      </c>
      <c r="N48" s="14" t="str">
        <f>_xll.BDH("GILD US Equity","WASTE_INTENSITY_PER_EMPLOYEE","FY 2011","FY 2011","Currency=USD","Period=FQ","BEST_FPERIOD_OVERRIDE=FQ","FILING_STATUS=MR","Sort=A","Dates=H","DateFormat=P","Fill=—","Direction=H","UseDPDF=Y")</f>
        <v>—</v>
      </c>
      <c r="O48" s="14" t="str">
        <f>_xll.BDH("GILD US Equity","WASTE_INTENSITY_PER_EMPLOYEE","FY 2012","FY 2012","Currency=USD","Period=FQ","BEST_FPERIOD_OVERRIDE=FQ","FILING_STATUS=MR","Sort=A","Dates=H","DateFormat=P","Fill=—","Direction=H","UseDPDF=Y")</f>
        <v>—</v>
      </c>
      <c r="P48" s="14" t="str">
        <f>_xll.BDH("GILD US Equity","WASTE_INTENSITY_PER_EMPLOYEE","FY 2013","FY 2013","Currency=USD","Period=FQ","BEST_FPERIOD_OVERRIDE=FQ","FILING_STATUS=MR","Sort=A","Dates=H","DateFormat=P","Fill=—","Direction=H","UseDPDF=Y")</f>
        <v>—</v>
      </c>
      <c r="Q48" s="14" t="str">
        <f>_xll.BDH("GILD US Equity","WASTE_INTENSITY_PER_EMPLOYEE","FY 2014","FY 2014","Currency=USD","Period=FQ","BEST_FPERIOD_OVERRIDE=FQ","FILING_STATUS=MR","Sort=A","Dates=H","DateFormat=P","Fill=—","Direction=H","UseDPDF=Y")</f>
        <v>—</v>
      </c>
      <c r="R48" s="14" t="str">
        <f>_xll.BDH("GILD US Equity","WASTE_INTENSITY_PER_EMPLOYEE","FY 2015","FY 2015","Currency=USD","Period=FQ","BEST_FPERIOD_OVERRIDE=FQ","FILING_STATUS=MR","Sort=A","Dates=H","DateFormat=P","Fill=—","Direction=H","UseDPDF=Y")</f>
        <v>—</v>
      </c>
      <c r="S48" s="14" t="str">
        <f>_xll.BDH("GILD US Equity","WASTE_INTENSITY_PER_EMPLOYEE","FY 2016","FY 2016","Currency=USD","Period=FQ","BEST_FPERIOD_OVERRIDE=FQ","FILING_STATUS=MR","Sort=A","Dates=H","DateFormat=P","Fill=—","Direction=H","UseDPDF=Y")</f>
        <v>—</v>
      </c>
      <c r="T48" s="14" t="str">
        <f>_xll.BDH("GILD US Equity","WASTE_INTENSITY_PER_EMPLOYEE","FY 2017","FY 2017","Currency=USD","Period=FQ","BEST_FPERIOD_OVERRIDE=FQ","FILING_STATUS=MR","Sort=A","Dates=H","DateFormat=P","Fill=—","Direction=H","UseDPDF=Y")</f>
        <v>—</v>
      </c>
      <c r="U48" s="14" t="str">
        <f>_xll.BDH("GILD US Equity","WASTE_INTENSITY_PER_EMPLOYEE","FY 2018","FY 2018","Currency=USD","Period=FQ","BEST_FPERIOD_OVERRIDE=FQ","FILING_STATUS=MR","Sort=A","Dates=H","DateFormat=P","Fill=—","Direction=H","UseDPDF=Y")</f>
        <v>—</v>
      </c>
      <c r="V48" s="14" t="str">
        <f>_xll.BDH("GILD US Equity","WASTE_INTENSITY_PER_EMPLOYEE","FY 2019","FY 2019","Currency=USD","Period=FQ","BEST_FPERIOD_OVERRIDE=FQ","FILING_STATUS=MR","Sort=A","Dates=H","DateFormat=P","Fill=—","Direction=H","UseDPDF=Y")</f>
        <v>—</v>
      </c>
      <c r="W48" s="14" t="str">
        <f>_xll.BDH("GILD US Equity","WASTE_INTENSITY_PER_EMPLOYEE","FY 2020","FY 2020","Currency=USD","Period=FQ","BEST_FPERIOD_OVERRIDE=FQ","FILING_STATUS=MR","Sort=A","Dates=H","DateFormat=P","Fill=—","Direction=H","UseDPDF=Y")</f>
        <v>—</v>
      </c>
      <c r="X48" s="14" t="str">
        <f>_xll.BDH("GILD US Equity","WASTE_INTENSITY_PER_EMPLOYEE","FY 2021","FY 2021","Currency=USD","Period=FQ","BEST_FPERIOD_OVERRIDE=FQ","FILING_STATUS=MR","Sort=A","Dates=H","DateFormat=P","Fill=—","Direction=H","UseDPDF=Y")</f>
        <v>—</v>
      </c>
      <c r="Y48" s="14" t="str">
        <f>_xll.BDH("GILD US Equity","WASTE_INTENSITY_PER_EMPLOYEE","FY 2022","FY 2022","Currency=USD","Period=FQ","BEST_FPERIOD_OVERRIDE=FQ","FILING_STATUS=MR","Sort=A","Dates=H","DateFormat=P","Fill=—","Direction=H","UseDPDF=Y")</f>
        <v>—</v>
      </c>
      <c r="Z48" s="14" t="str">
        <f>_xll.BDH("GILD US Equity","WASTE_INTENSITY_PER_EMPLOYEE","FY 2023","FY 2023","Currency=USD","Period=FQ","BEST_FPERIOD_OVERRIDE=FQ","FILING_STATUS=MR","Sort=A","Dates=H","DateFormat=P","Fill=—","Direction=H","UseDPDF=Y")</f>
        <v>—</v>
      </c>
      <c r="AA48" s="14" t="str">
        <f>_xll.BDH("GILD US Equity","WASTE_INTENSITY_PER_EMPLOYEE","FY 2024","FY 2024","Currency=USD","Period=FQ","BEST_FPERIOD_OVERRIDE=FQ","FILING_STATUS=MR","Sort=A","Dates=H","DateFormat=P","Fill=—","Direction=H","UseDPDF=Y")</f>
        <v>—</v>
      </c>
    </row>
    <row r="49" spans="1:27" x14ac:dyDescent="0.25">
      <c r="A49" s="10" t="s">
        <v>2011</v>
      </c>
      <c r="B49" s="10" t="s">
        <v>2012</v>
      </c>
      <c r="C49" s="14" t="str">
        <f>_xll.BDH("GILD US Equity","WASTE_GENERATED_PER_ASSETS","FY 2000","FY 2000","Currency=USD","Period=FQ","BEST_FPERIOD_OVERRIDE=FQ","FILING_STATUS=MR","Sort=A","Dates=H","DateFormat=P","Fill=—","Direction=H","UseDPDF=Y")</f>
        <v>—</v>
      </c>
      <c r="D49" s="14" t="str">
        <f>_xll.BDH("GILD US Equity","WASTE_GENERATED_PER_ASSETS","FY 2001","FY 2001","Currency=USD","Period=FQ","BEST_FPERIOD_OVERRIDE=FQ","FILING_STATUS=MR","Sort=A","Dates=H","DateFormat=P","Fill=—","Direction=H","UseDPDF=Y")</f>
        <v>—</v>
      </c>
      <c r="E49" s="14" t="str">
        <f>_xll.BDH("GILD US Equity","WASTE_GENERATED_PER_ASSETS","FY 2002","FY 2002","Currency=USD","Period=FQ","BEST_FPERIOD_OVERRIDE=FQ","FILING_STATUS=MR","Sort=A","Dates=H","DateFormat=P","Fill=—","Direction=H","UseDPDF=Y")</f>
        <v>—</v>
      </c>
      <c r="F49" s="14" t="str">
        <f>_xll.BDH("GILD US Equity","WASTE_GENERATED_PER_ASSETS","FY 2003","FY 2003","Currency=USD","Period=FQ","BEST_FPERIOD_OVERRIDE=FQ","FILING_STATUS=MR","Sort=A","Dates=H","DateFormat=P","Fill=—","Direction=H","UseDPDF=Y")</f>
        <v>—</v>
      </c>
      <c r="G49" s="14" t="str">
        <f>_xll.BDH("GILD US Equity","WASTE_GENERATED_PER_ASSETS","FY 2004","FY 2004","Currency=USD","Period=FQ","BEST_FPERIOD_OVERRIDE=FQ","FILING_STATUS=MR","Sort=A","Dates=H","DateFormat=P","Fill=—","Direction=H","UseDPDF=Y")</f>
        <v>—</v>
      </c>
      <c r="H49" s="14" t="str">
        <f>_xll.BDH("GILD US Equity","WASTE_GENERATED_PER_ASSETS","FY 2005","FY 2005","Currency=USD","Period=FQ","BEST_FPERIOD_OVERRIDE=FQ","FILING_STATUS=MR","Sort=A","Dates=H","DateFormat=P","Fill=—","Direction=H","UseDPDF=Y")</f>
        <v>—</v>
      </c>
      <c r="I49" s="14" t="str">
        <f>_xll.BDH("GILD US Equity","WASTE_GENERATED_PER_ASSETS","FY 2006","FY 2006","Currency=USD","Period=FQ","BEST_FPERIOD_OVERRIDE=FQ","FILING_STATUS=MR","Sort=A","Dates=H","DateFormat=P","Fill=—","Direction=H","UseDPDF=Y")</f>
        <v>—</v>
      </c>
      <c r="J49" s="14" t="str">
        <f>_xll.BDH("GILD US Equity","WASTE_GENERATED_PER_ASSETS","FY 2007","FY 2007","Currency=USD","Period=FQ","BEST_FPERIOD_OVERRIDE=FQ","FILING_STATUS=MR","Sort=A","Dates=H","DateFormat=P","Fill=—","Direction=H","UseDPDF=Y")</f>
        <v>—</v>
      </c>
      <c r="K49" s="14" t="str">
        <f>_xll.BDH("GILD US Equity","WASTE_GENERATED_PER_ASSETS","FY 2008","FY 2008","Currency=USD","Period=FQ","BEST_FPERIOD_OVERRIDE=FQ","FILING_STATUS=MR","Sort=A","Dates=H","DateFormat=P","Fill=—","Direction=H","UseDPDF=Y")</f>
        <v>—</v>
      </c>
      <c r="L49" s="14" t="str">
        <f>_xll.BDH("GILD US Equity","WASTE_GENERATED_PER_ASSETS","FY 2009","FY 2009","Currency=USD","Period=FQ","BEST_FPERIOD_OVERRIDE=FQ","FILING_STATUS=MR","Sort=A","Dates=H","DateFormat=P","Fill=—","Direction=H","UseDPDF=Y")</f>
        <v>—</v>
      </c>
      <c r="M49" s="14" t="str">
        <f>_xll.BDH("GILD US Equity","WASTE_GENERATED_PER_ASSETS","FY 2010","FY 2010","Currency=USD","Period=FQ","BEST_FPERIOD_OVERRIDE=FQ","FILING_STATUS=MR","Sort=A","Dates=H","DateFormat=P","Fill=—","Direction=H","UseDPDF=Y")</f>
        <v>—</v>
      </c>
      <c r="N49" s="14" t="str">
        <f>_xll.BDH("GILD US Equity","WASTE_GENERATED_PER_ASSETS","FY 2011","FY 2011","Currency=USD","Period=FQ","BEST_FPERIOD_OVERRIDE=FQ","FILING_STATUS=MR","Sort=A","Dates=H","DateFormat=P","Fill=—","Direction=H","UseDPDF=Y")</f>
        <v>—</v>
      </c>
      <c r="O49" s="14" t="str">
        <f>_xll.BDH("GILD US Equity","WASTE_GENERATED_PER_ASSETS","FY 2012","FY 2012","Currency=USD","Period=FQ","BEST_FPERIOD_OVERRIDE=FQ","FILING_STATUS=MR","Sort=A","Dates=H","DateFormat=P","Fill=—","Direction=H","UseDPDF=Y")</f>
        <v>—</v>
      </c>
      <c r="P49" s="14" t="str">
        <f>_xll.BDH("GILD US Equity","WASTE_GENERATED_PER_ASSETS","FY 2013","FY 2013","Currency=USD","Period=FQ","BEST_FPERIOD_OVERRIDE=FQ","FILING_STATUS=MR","Sort=A","Dates=H","DateFormat=P","Fill=—","Direction=H","UseDPDF=Y")</f>
        <v>—</v>
      </c>
      <c r="Q49" s="14" t="str">
        <f>_xll.BDH("GILD US Equity","WASTE_GENERATED_PER_ASSETS","FY 2014","FY 2014","Currency=USD","Period=FQ","BEST_FPERIOD_OVERRIDE=FQ","FILING_STATUS=MR","Sort=A","Dates=H","DateFormat=P","Fill=—","Direction=H","UseDPDF=Y")</f>
        <v>—</v>
      </c>
      <c r="R49" s="14" t="str">
        <f>_xll.BDH("GILD US Equity","WASTE_GENERATED_PER_ASSETS","FY 2015","FY 2015","Currency=USD","Period=FQ","BEST_FPERIOD_OVERRIDE=FQ","FILING_STATUS=MR","Sort=A","Dates=H","DateFormat=P","Fill=—","Direction=H","UseDPDF=Y")</f>
        <v>—</v>
      </c>
      <c r="S49" s="14" t="str">
        <f>_xll.BDH("GILD US Equity","WASTE_GENERATED_PER_ASSETS","FY 2016","FY 2016","Currency=USD","Period=FQ","BEST_FPERIOD_OVERRIDE=FQ","FILING_STATUS=MR","Sort=A","Dates=H","DateFormat=P","Fill=—","Direction=H","UseDPDF=Y")</f>
        <v>—</v>
      </c>
      <c r="T49" s="14" t="str">
        <f>_xll.BDH("GILD US Equity","WASTE_GENERATED_PER_ASSETS","FY 2017","FY 2017","Currency=USD","Period=FQ","BEST_FPERIOD_OVERRIDE=FQ","FILING_STATUS=MR","Sort=A","Dates=H","DateFormat=P","Fill=—","Direction=H","UseDPDF=Y")</f>
        <v>—</v>
      </c>
      <c r="U49" s="14" t="str">
        <f>_xll.BDH("GILD US Equity","WASTE_GENERATED_PER_ASSETS","FY 2018","FY 2018","Currency=USD","Period=FQ","BEST_FPERIOD_OVERRIDE=FQ","FILING_STATUS=MR","Sort=A","Dates=H","DateFormat=P","Fill=—","Direction=H","UseDPDF=Y")</f>
        <v>—</v>
      </c>
      <c r="V49" s="14" t="str">
        <f>_xll.BDH("GILD US Equity","WASTE_GENERATED_PER_ASSETS","FY 2019","FY 2019","Currency=USD","Period=FQ","BEST_FPERIOD_OVERRIDE=FQ","FILING_STATUS=MR","Sort=A","Dates=H","DateFormat=P","Fill=—","Direction=H","UseDPDF=Y")</f>
        <v>—</v>
      </c>
      <c r="W49" s="14" t="str">
        <f>_xll.BDH("GILD US Equity","WASTE_GENERATED_PER_ASSETS","FY 2020","FY 2020","Currency=USD","Period=FQ","BEST_FPERIOD_OVERRIDE=FQ","FILING_STATUS=MR","Sort=A","Dates=H","DateFormat=P","Fill=—","Direction=H","UseDPDF=Y")</f>
        <v>—</v>
      </c>
      <c r="X49" s="14" t="str">
        <f>_xll.BDH("GILD US Equity","WASTE_GENERATED_PER_ASSETS","FY 2021","FY 2021","Currency=USD","Period=FQ","BEST_FPERIOD_OVERRIDE=FQ","FILING_STATUS=MR","Sort=A","Dates=H","DateFormat=P","Fill=—","Direction=H","UseDPDF=Y")</f>
        <v>—</v>
      </c>
      <c r="Y49" s="14" t="str">
        <f>_xll.BDH("GILD US Equity","WASTE_GENERATED_PER_ASSETS","FY 2022","FY 2022","Currency=USD","Period=FQ","BEST_FPERIOD_OVERRIDE=FQ","FILING_STATUS=MR","Sort=A","Dates=H","DateFormat=P","Fill=—","Direction=H","UseDPDF=Y")</f>
        <v>—</v>
      </c>
      <c r="Z49" s="14" t="str">
        <f>_xll.BDH("GILD US Equity","WASTE_GENERATED_PER_ASSETS","FY 2023","FY 2023","Currency=USD","Period=FQ","BEST_FPERIOD_OVERRIDE=FQ","FILING_STATUS=MR","Sort=A","Dates=H","DateFormat=P","Fill=—","Direction=H","UseDPDF=Y")</f>
        <v>—</v>
      </c>
      <c r="AA49" s="14" t="str">
        <f>_xll.BDH("GILD US Equity","WASTE_GENERATED_PER_ASSETS","FY 2024","FY 2024","Currency=USD","Period=FQ","BEST_FPERIOD_OVERRIDE=FQ","FILING_STATUS=MR","Sort=A","Dates=H","DateFormat=P","Fill=—","Direction=H","UseDPDF=Y")</f>
        <v>—</v>
      </c>
    </row>
    <row r="50" spans="1:27" x14ac:dyDescent="0.25">
      <c r="A50" s="10" t="s">
        <v>2013</v>
      </c>
      <c r="B50" s="10" t="s">
        <v>2014</v>
      </c>
      <c r="C50" s="14" t="str">
        <f>_xll.BDH("GILD US Equity","WASTE_GENERATED_PER_SALES","FY 2000","FY 2000","Currency=USD","Period=FQ","BEST_FPERIOD_OVERRIDE=FQ","FILING_STATUS=MR","FA_ADJUSTED=GAAP","Sort=A","Dates=H","DateFormat=P","Fill=—","Direction=H","UseDPDF=Y")</f>
        <v>—</v>
      </c>
      <c r="D50" s="14" t="str">
        <f>_xll.BDH("GILD US Equity","WASTE_GENERATED_PER_SALES","FY 2001","FY 2001","Currency=USD","Period=FQ","BEST_FPERIOD_OVERRIDE=FQ","FILING_STATUS=MR","FA_ADJUSTED=GAAP","Sort=A","Dates=H","DateFormat=P","Fill=—","Direction=H","UseDPDF=Y")</f>
        <v>—</v>
      </c>
      <c r="E50" s="14" t="str">
        <f>_xll.BDH("GILD US Equity","WASTE_GENERATED_PER_SALES","FY 2002","FY 2002","Currency=USD","Period=FQ","BEST_FPERIOD_OVERRIDE=FQ","FILING_STATUS=MR","FA_ADJUSTED=GAAP","Sort=A","Dates=H","DateFormat=P","Fill=—","Direction=H","UseDPDF=Y")</f>
        <v>—</v>
      </c>
      <c r="F50" s="14" t="str">
        <f>_xll.BDH("GILD US Equity","WASTE_GENERATED_PER_SALES","FY 2003","FY 2003","Currency=USD","Period=FQ","BEST_FPERIOD_OVERRIDE=FQ","FILING_STATUS=MR","FA_ADJUSTED=GAAP","Sort=A","Dates=H","DateFormat=P","Fill=—","Direction=H","UseDPDF=Y")</f>
        <v>—</v>
      </c>
      <c r="G50" s="14" t="str">
        <f>_xll.BDH("GILD US Equity","WASTE_GENERATED_PER_SALES","FY 2004","FY 2004","Currency=USD","Period=FQ","BEST_FPERIOD_OVERRIDE=FQ","FILING_STATUS=MR","FA_ADJUSTED=GAAP","Sort=A","Dates=H","DateFormat=P","Fill=—","Direction=H","UseDPDF=Y")</f>
        <v>—</v>
      </c>
      <c r="H50" s="14" t="str">
        <f>_xll.BDH("GILD US Equity","WASTE_GENERATED_PER_SALES","FY 2005","FY 2005","Currency=USD","Period=FQ","BEST_FPERIOD_OVERRIDE=FQ","FILING_STATUS=MR","FA_ADJUSTED=GAAP","Sort=A","Dates=H","DateFormat=P","Fill=—","Direction=H","UseDPDF=Y")</f>
        <v>—</v>
      </c>
      <c r="I50" s="14" t="str">
        <f>_xll.BDH("GILD US Equity","WASTE_GENERATED_PER_SALES","FY 2006","FY 2006","Currency=USD","Period=FQ","BEST_FPERIOD_OVERRIDE=FQ","FILING_STATUS=MR","FA_ADJUSTED=GAAP","Sort=A","Dates=H","DateFormat=P","Fill=—","Direction=H","UseDPDF=Y")</f>
        <v>—</v>
      </c>
      <c r="J50" s="14" t="str">
        <f>_xll.BDH("GILD US Equity","WASTE_GENERATED_PER_SALES","FY 2007","FY 2007","Currency=USD","Period=FQ","BEST_FPERIOD_OVERRIDE=FQ","FILING_STATUS=MR","FA_ADJUSTED=GAAP","Sort=A","Dates=H","DateFormat=P","Fill=—","Direction=H","UseDPDF=Y")</f>
        <v>—</v>
      </c>
      <c r="K50" s="14" t="str">
        <f>_xll.BDH("GILD US Equity","WASTE_GENERATED_PER_SALES","FY 2008","FY 2008","Currency=USD","Period=FQ","BEST_FPERIOD_OVERRIDE=FQ","FILING_STATUS=MR","FA_ADJUSTED=GAAP","Sort=A","Dates=H","DateFormat=P","Fill=—","Direction=H","UseDPDF=Y")</f>
        <v>—</v>
      </c>
      <c r="L50" s="14" t="str">
        <f>_xll.BDH("GILD US Equity","WASTE_GENERATED_PER_SALES","FY 2009","FY 2009","Currency=USD","Period=FQ","BEST_FPERIOD_OVERRIDE=FQ","FILING_STATUS=MR","FA_ADJUSTED=GAAP","Sort=A","Dates=H","DateFormat=P","Fill=—","Direction=H","UseDPDF=Y")</f>
        <v>—</v>
      </c>
      <c r="M50" s="14" t="str">
        <f>_xll.BDH("GILD US Equity","WASTE_GENERATED_PER_SALES","FY 2010","FY 2010","Currency=USD","Period=FQ","BEST_FPERIOD_OVERRIDE=FQ","FILING_STATUS=MR","FA_ADJUSTED=GAAP","Sort=A","Dates=H","DateFormat=P","Fill=—","Direction=H","UseDPDF=Y")</f>
        <v>—</v>
      </c>
      <c r="N50" s="14" t="str">
        <f>_xll.BDH("GILD US Equity","WASTE_GENERATED_PER_SALES","FY 2011","FY 2011","Currency=USD","Period=FQ","BEST_FPERIOD_OVERRIDE=FQ","FILING_STATUS=MR","FA_ADJUSTED=GAAP","Sort=A","Dates=H","DateFormat=P","Fill=—","Direction=H","UseDPDF=Y")</f>
        <v>—</v>
      </c>
      <c r="O50" s="14" t="str">
        <f>_xll.BDH("GILD US Equity","WASTE_GENERATED_PER_SALES","FY 2012","FY 2012","Currency=USD","Period=FQ","BEST_FPERIOD_OVERRIDE=FQ","FILING_STATUS=MR","FA_ADJUSTED=GAAP","Sort=A","Dates=H","DateFormat=P","Fill=—","Direction=H","UseDPDF=Y")</f>
        <v>—</v>
      </c>
      <c r="P50" s="14" t="str">
        <f>_xll.BDH("GILD US Equity","WASTE_GENERATED_PER_SALES","FY 2013","FY 2013","Currency=USD","Period=FQ","BEST_FPERIOD_OVERRIDE=FQ","FILING_STATUS=MR","FA_ADJUSTED=GAAP","Sort=A","Dates=H","DateFormat=P","Fill=—","Direction=H","UseDPDF=Y")</f>
        <v>—</v>
      </c>
      <c r="Q50" s="14" t="str">
        <f>_xll.BDH("GILD US Equity","WASTE_GENERATED_PER_SALES","FY 2014","FY 2014","Currency=USD","Period=FQ","BEST_FPERIOD_OVERRIDE=FQ","FILING_STATUS=MR","FA_ADJUSTED=GAAP","Sort=A","Dates=H","DateFormat=P","Fill=—","Direction=H","UseDPDF=Y")</f>
        <v>—</v>
      </c>
      <c r="R50" s="14" t="str">
        <f>_xll.BDH("GILD US Equity","WASTE_GENERATED_PER_SALES","FY 2015","FY 2015","Currency=USD","Period=FQ","BEST_FPERIOD_OVERRIDE=FQ","FILING_STATUS=MR","FA_ADJUSTED=GAAP","Sort=A","Dates=H","DateFormat=P","Fill=—","Direction=H","UseDPDF=Y")</f>
        <v>—</v>
      </c>
      <c r="S50" s="14" t="str">
        <f>_xll.BDH("GILD US Equity","WASTE_GENERATED_PER_SALES","FY 2016","FY 2016","Currency=USD","Period=FQ","BEST_FPERIOD_OVERRIDE=FQ","FILING_STATUS=MR","FA_ADJUSTED=GAAP","Sort=A","Dates=H","DateFormat=P","Fill=—","Direction=H","UseDPDF=Y")</f>
        <v>—</v>
      </c>
      <c r="T50" s="14" t="str">
        <f>_xll.BDH("GILD US Equity","WASTE_GENERATED_PER_SALES","FY 2017","FY 2017","Currency=USD","Period=FQ","BEST_FPERIOD_OVERRIDE=FQ","FILING_STATUS=MR","FA_ADJUSTED=GAAP","Sort=A","Dates=H","DateFormat=P","Fill=—","Direction=H","UseDPDF=Y")</f>
        <v>—</v>
      </c>
      <c r="U50" s="14" t="str">
        <f>_xll.BDH("GILD US Equity","WASTE_GENERATED_PER_SALES","FY 2018","FY 2018","Currency=USD","Period=FQ","BEST_FPERIOD_OVERRIDE=FQ","FILING_STATUS=MR","FA_ADJUSTED=GAAP","Sort=A","Dates=H","DateFormat=P","Fill=—","Direction=H","UseDPDF=Y")</f>
        <v>—</v>
      </c>
      <c r="V50" s="14" t="str">
        <f>_xll.BDH("GILD US Equity","WASTE_GENERATED_PER_SALES","FY 2019","FY 2019","Currency=USD","Period=FQ","BEST_FPERIOD_OVERRIDE=FQ","FILING_STATUS=MR","FA_ADJUSTED=GAAP","Sort=A","Dates=H","DateFormat=P","Fill=—","Direction=H","UseDPDF=Y")</f>
        <v>—</v>
      </c>
      <c r="W50" s="14" t="str">
        <f>_xll.BDH("GILD US Equity","WASTE_GENERATED_PER_SALES","FY 2020","FY 2020","Currency=USD","Period=FQ","BEST_FPERIOD_OVERRIDE=FQ","FILING_STATUS=MR","FA_ADJUSTED=GAAP","Sort=A","Dates=H","DateFormat=P","Fill=—","Direction=H","UseDPDF=Y")</f>
        <v>—</v>
      </c>
      <c r="X50" s="14" t="str">
        <f>_xll.BDH("GILD US Equity","WASTE_GENERATED_PER_SALES","FY 2021","FY 2021","Currency=USD","Period=FQ","BEST_FPERIOD_OVERRIDE=FQ","FILING_STATUS=MR","FA_ADJUSTED=GAAP","Sort=A","Dates=H","DateFormat=P","Fill=—","Direction=H","UseDPDF=Y")</f>
        <v>—</v>
      </c>
      <c r="Y50" s="14" t="str">
        <f>_xll.BDH("GILD US Equity","WASTE_GENERATED_PER_SALES","FY 2022","FY 2022","Currency=USD","Period=FQ","BEST_FPERIOD_OVERRIDE=FQ","FILING_STATUS=MR","FA_ADJUSTED=GAAP","Sort=A","Dates=H","DateFormat=P","Fill=—","Direction=H","UseDPDF=Y")</f>
        <v>—</v>
      </c>
      <c r="Z50" s="14" t="str">
        <f>_xll.BDH("GILD US Equity","WASTE_GENERATED_PER_SALES","FY 2023","FY 2023","Currency=USD","Period=FQ","BEST_FPERIOD_OVERRIDE=FQ","FILING_STATUS=MR","FA_ADJUSTED=GAAP","Sort=A","Dates=H","DateFormat=P","Fill=—","Direction=H","UseDPDF=Y")</f>
        <v>—</v>
      </c>
      <c r="AA50" s="14" t="str">
        <f>_xll.BDH("GILD US Equity","WASTE_GENERATED_PER_SALES","FY 2024","FY 2024","Currency=USD","Period=FQ","BEST_FPERIOD_OVERRIDE=FQ","FILING_STATUS=MR","FA_ADJUSTED=GAAP","Sort=A","Dates=H","DateFormat=P","Fill=—","Direction=H","UseDPDF=Y")</f>
        <v>—</v>
      </c>
    </row>
    <row r="51" spans="1:27" x14ac:dyDescent="0.25">
      <c r="A51" s="10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25">
      <c r="A52" s="6" t="s">
        <v>2015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x14ac:dyDescent="0.25">
      <c r="A53" s="10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x14ac:dyDescent="0.25">
      <c r="A54" s="6" t="s">
        <v>2016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x14ac:dyDescent="0.25">
      <c r="A55" s="10" t="s">
        <v>2017</v>
      </c>
      <c r="B55" s="10" t="s">
        <v>2018</v>
      </c>
      <c r="C55" s="14" t="str">
        <f>_xll.BDH("GILD US Equity","WOMEN_MANAGEMENT_TO_EMPL_RATIO","FY 2000","FY 2000","Currency=USD","Period=FQ","BEST_FPERIOD_OVERRIDE=FQ","FILING_STATUS=MR","Sort=A","Dates=H","DateFormat=P","Fill=—","Direction=H","UseDPDF=Y")</f>
        <v>—</v>
      </c>
      <c r="D55" s="14" t="str">
        <f>_xll.BDH("GILD US Equity","WOMEN_MANAGEMENT_TO_EMPL_RATIO","FY 2001","FY 2001","Currency=USD","Period=FQ","BEST_FPERIOD_OVERRIDE=FQ","FILING_STATUS=MR","Sort=A","Dates=H","DateFormat=P","Fill=—","Direction=H","UseDPDF=Y")</f>
        <v>—</v>
      </c>
      <c r="E55" s="14" t="str">
        <f>_xll.BDH("GILD US Equity","WOMEN_MANAGEMENT_TO_EMPL_RATIO","FY 2002","FY 2002","Currency=USD","Period=FQ","BEST_FPERIOD_OVERRIDE=FQ","FILING_STATUS=MR","Sort=A","Dates=H","DateFormat=P","Fill=—","Direction=H","UseDPDF=Y")</f>
        <v>—</v>
      </c>
      <c r="F55" s="14" t="str">
        <f>_xll.BDH("GILD US Equity","WOMEN_MANAGEMENT_TO_EMPL_RATIO","FY 2003","FY 2003","Currency=USD","Period=FQ","BEST_FPERIOD_OVERRIDE=FQ","FILING_STATUS=MR","Sort=A","Dates=H","DateFormat=P","Fill=—","Direction=H","UseDPDF=Y")</f>
        <v>—</v>
      </c>
      <c r="G55" s="14" t="str">
        <f>_xll.BDH("GILD US Equity","WOMEN_MANAGEMENT_TO_EMPL_RATIO","FY 2004","FY 2004","Currency=USD","Period=FQ","BEST_FPERIOD_OVERRIDE=FQ","FILING_STATUS=MR","Sort=A","Dates=H","DateFormat=P","Fill=—","Direction=H","UseDPDF=Y")</f>
        <v>—</v>
      </c>
      <c r="H55" s="14" t="str">
        <f>_xll.BDH("GILD US Equity","WOMEN_MANAGEMENT_TO_EMPL_RATIO","FY 2005","FY 2005","Currency=USD","Period=FQ","BEST_FPERIOD_OVERRIDE=FQ","FILING_STATUS=MR","Sort=A","Dates=H","DateFormat=P","Fill=—","Direction=H","UseDPDF=Y")</f>
        <v>—</v>
      </c>
      <c r="I55" s="14" t="str">
        <f>_xll.BDH("GILD US Equity","WOMEN_MANAGEMENT_TO_EMPL_RATIO","FY 2006","FY 2006","Currency=USD","Period=FQ","BEST_FPERIOD_OVERRIDE=FQ","FILING_STATUS=MR","Sort=A","Dates=H","DateFormat=P","Fill=—","Direction=H","UseDPDF=Y")</f>
        <v>—</v>
      </c>
      <c r="J55" s="14" t="str">
        <f>_xll.BDH("GILD US Equity","WOMEN_MANAGEMENT_TO_EMPL_RATIO","FY 2007","FY 2007","Currency=USD","Period=FQ","BEST_FPERIOD_OVERRIDE=FQ","FILING_STATUS=MR","Sort=A","Dates=H","DateFormat=P","Fill=—","Direction=H","UseDPDF=Y")</f>
        <v>—</v>
      </c>
      <c r="K55" s="14" t="str">
        <f>_xll.BDH("GILD US Equity","WOMEN_MANAGEMENT_TO_EMPL_RATIO","FY 2008","FY 2008","Currency=USD","Period=FQ","BEST_FPERIOD_OVERRIDE=FQ","FILING_STATUS=MR","Sort=A","Dates=H","DateFormat=P","Fill=—","Direction=H","UseDPDF=Y")</f>
        <v>—</v>
      </c>
      <c r="L55" s="14" t="str">
        <f>_xll.BDH("GILD US Equity","WOMEN_MANAGEMENT_TO_EMPL_RATIO","FY 2009","FY 2009","Currency=USD","Period=FQ","BEST_FPERIOD_OVERRIDE=FQ","FILING_STATUS=MR","Sort=A","Dates=H","DateFormat=P","Fill=—","Direction=H","UseDPDF=Y")</f>
        <v>—</v>
      </c>
      <c r="M55" s="14" t="str">
        <f>_xll.BDH("GILD US Equity","WOMEN_MANAGEMENT_TO_EMPL_RATIO","FY 2010","FY 2010","Currency=USD","Period=FQ","BEST_FPERIOD_OVERRIDE=FQ","FILING_STATUS=MR","Sort=A","Dates=H","DateFormat=P","Fill=—","Direction=H","UseDPDF=Y")</f>
        <v>—</v>
      </c>
      <c r="N55" s="14" t="str">
        <f>_xll.BDH("GILD US Equity","WOMEN_MANAGEMENT_TO_EMPL_RATIO","FY 2011","FY 2011","Currency=USD","Period=FQ","BEST_FPERIOD_OVERRIDE=FQ","FILING_STATUS=MR","Sort=A","Dates=H","DateFormat=P","Fill=—","Direction=H","UseDPDF=Y")</f>
        <v>—</v>
      </c>
      <c r="O55" s="14" t="str">
        <f>_xll.BDH("GILD US Equity","WOMEN_MANAGEMENT_TO_EMPL_RATIO","FY 2012","FY 2012","Currency=USD","Period=FQ","BEST_FPERIOD_OVERRIDE=FQ","FILING_STATUS=MR","Sort=A","Dates=H","DateFormat=P","Fill=—","Direction=H","UseDPDF=Y")</f>
        <v>—</v>
      </c>
      <c r="P55" s="14" t="str">
        <f>_xll.BDH("GILD US Equity","WOMEN_MANAGEMENT_TO_EMPL_RATIO","FY 2013","FY 2013","Currency=USD","Period=FQ","BEST_FPERIOD_OVERRIDE=FQ","FILING_STATUS=MR","Sort=A","Dates=H","DateFormat=P","Fill=—","Direction=H","UseDPDF=Y")</f>
        <v>—</v>
      </c>
      <c r="Q55" s="14" t="str">
        <f>_xll.BDH("GILD US Equity","WOMEN_MANAGEMENT_TO_EMPL_RATIO","FY 2014","FY 2014","Currency=USD","Period=FQ","BEST_FPERIOD_OVERRIDE=FQ","FILING_STATUS=MR","Sort=A","Dates=H","DateFormat=P","Fill=—","Direction=H","UseDPDF=Y")</f>
        <v>—</v>
      </c>
      <c r="R55" s="14" t="str">
        <f>_xll.BDH("GILD US Equity","WOMEN_MANAGEMENT_TO_EMPL_RATIO","FY 2015","FY 2015","Currency=USD","Period=FQ","BEST_FPERIOD_OVERRIDE=FQ","FILING_STATUS=MR","Sort=A","Dates=H","DateFormat=P","Fill=—","Direction=H","UseDPDF=Y")</f>
        <v>—</v>
      </c>
      <c r="S55" s="14" t="str">
        <f>_xll.BDH("GILD US Equity","WOMEN_MANAGEMENT_TO_EMPL_RATIO","FY 2016","FY 2016","Currency=USD","Period=FQ","BEST_FPERIOD_OVERRIDE=FQ","FILING_STATUS=MR","Sort=A","Dates=H","DateFormat=P","Fill=—","Direction=H","UseDPDF=Y")</f>
        <v>—</v>
      </c>
      <c r="T55" s="14" t="str">
        <f>_xll.BDH("GILD US Equity","WOMEN_MANAGEMENT_TO_EMPL_RATIO","FY 2017","FY 2017","Currency=USD","Period=FQ","BEST_FPERIOD_OVERRIDE=FQ","FILING_STATUS=MR","Sort=A","Dates=H","DateFormat=P","Fill=—","Direction=H","UseDPDF=Y")</f>
        <v>—</v>
      </c>
      <c r="U55" s="14" t="str">
        <f>_xll.BDH("GILD US Equity","WOMEN_MANAGEMENT_TO_EMPL_RATIO","FY 2018","FY 2018","Currency=USD","Period=FQ","BEST_FPERIOD_OVERRIDE=FQ","FILING_STATUS=MR","Sort=A","Dates=H","DateFormat=P","Fill=—","Direction=H","UseDPDF=Y")</f>
        <v>—</v>
      </c>
      <c r="V55" s="14" t="str">
        <f>_xll.BDH("GILD US Equity","WOMEN_MANAGEMENT_TO_EMPL_RATIO","FY 2019","FY 2019","Currency=USD","Period=FQ","BEST_FPERIOD_OVERRIDE=FQ","FILING_STATUS=MR","Sort=A","Dates=H","DateFormat=P","Fill=—","Direction=H","UseDPDF=Y")</f>
        <v>—</v>
      </c>
      <c r="W55" s="14" t="str">
        <f>_xll.BDH("GILD US Equity","WOMEN_MANAGEMENT_TO_EMPL_RATIO","FY 2020","FY 2020","Currency=USD","Period=FQ","BEST_FPERIOD_OVERRIDE=FQ","FILING_STATUS=MR","Sort=A","Dates=H","DateFormat=P","Fill=—","Direction=H","UseDPDF=Y")</f>
        <v>—</v>
      </c>
      <c r="X55" s="14" t="str">
        <f>_xll.BDH("GILD US Equity","WOMEN_MANAGEMENT_TO_EMPL_RATIO","FY 2021","FY 2021","Currency=USD","Period=FQ","BEST_FPERIOD_OVERRIDE=FQ","FILING_STATUS=MR","Sort=A","Dates=H","DateFormat=P","Fill=—","Direction=H","UseDPDF=Y")</f>
        <v>—</v>
      </c>
      <c r="Y55" s="14" t="str">
        <f>_xll.BDH("GILD US Equity","WOMEN_MANAGEMENT_TO_EMPL_RATIO","FY 2022","FY 2022","Currency=USD","Period=FQ","BEST_FPERIOD_OVERRIDE=FQ","FILING_STATUS=MR","Sort=A","Dates=H","DateFormat=P","Fill=—","Direction=H","UseDPDF=Y")</f>
        <v>—</v>
      </c>
      <c r="Z55" s="14" t="str">
        <f>_xll.BDH("GILD US Equity","WOMEN_MANAGEMENT_TO_EMPL_RATIO","FY 2023","FY 2023","Currency=USD","Period=FQ","BEST_FPERIOD_OVERRIDE=FQ","FILING_STATUS=MR","Sort=A","Dates=H","DateFormat=P","Fill=—","Direction=H","UseDPDF=Y")</f>
        <v>—</v>
      </c>
      <c r="AA55" s="14" t="str">
        <f>_xll.BDH("GILD US Equity","WOMEN_MANAGEMENT_TO_EMPL_RATIO","FY 2024","FY 2024","Currency=USD","Period=FQ","BEST_FPERIOD_OVERRIDE=FQ","FILING_STATUS=MR","Sort=A","Dates=H","DateFormat=P","Fill=—","Direction=H","UseDPDF=Y")</f>
        <v>—</v>
      </c>
    </row>
    <row r="56" spans="1:27" x14ac:dyDescent="0.25">
      <c r="A56" s="10" t="s">
        <v>2019</v>
      </c>
      <c r="B56" s="10" t="s">
        <v>2020</v>
      </c>
      <c r="C56" s="14" t="str">
        <f>_xll.BDH("GILD US Equity","FATALITY_RATE_WORKFORCE","FY 2000","FY 2000","Currency=USD","Period=FQ","BEST_FPERIOD_OVERRIDE=FQ","FILING_STATUS=MR","Sort=A","Dates=H","DateFormat=P","Fill=—","Direction=H","UseDPDF=Y")</f>
        <v>—</v>
      </c>
      <c r="D56" s="14" t="str">
        <f>_xll.BDH("GILD US Equity","FATALITY_RATE_WORKFORCE","FY 2001","FY 2001","Currency=USD","Period=FQ","BEST_FPERIOD_OVERRIDE=FQ","FILING_STATUS=MR","Sort=A","Dates=H","DateFormat=P","Fill=—","Direction=H","UseDPDF=Y")</f>
        <v>—</v>
      </c>
      <c r="E56" s="14" t="str">
        <f>_xll.BDH("GILD US Equity","FATALITY_RATE_WORKFORCE","FY 2002","FY 2002","Currency=USD","Period=FQ","BEST_FPERIOD_OVERRIDE=FQ","FILING_STATUS=MR","Sort=A","Dates=H","DateFormat=P","Fill=—","Direction=H","UseDPDF=Y")</f>
        <v>—</v>
      </c>
      <c r="F56" s="14" t="str">
        <f>_xll.BDH("GILD US Equity","FATALITY_RATE_WORKFORCE","FY 2003","FY 2003","Currency=USD","Period=FQ","BEST_FPERIOD_OVERRIDE=FQ","FILING_STATUS=MR","Sort=A","Dates=H","DateFormat=P","Fill=—","Direction=H","UseDPDF=Y")</f>
        <v>—</v>
      </c>
      <c r="G56" s="14" t="str">
        <f>_xll.BDH("GILD US Equity","FATALITY_RATE_WORKFORCE","FY 2004","FY 2004","Currency=USD","Period=FQ","BEST_FPERIOD_OVERRIDE=FQ","FILING_STATUS=MR","Sort=A","Dates=H","DateFormat=P","Fill=—","Direction=H","UseDPDF=Y")</f>
        <v>—</v>
      </c>
      <c r="H56" s="14" t="str">
        <f>_xll.BDH("GILD US Equity","FATALITY_RATE_WORKFORCE","FY 2005","FY 2005","Currency=USD","Period=FQ","BEST_FPERIOD_OVERRIDE=FQ","FILING_STATUS=MR","Sort=A","Dates=H","DateFormat=P","Fill=—","Direction=H","UseDPDF=Y")</f>
        <v>—</v>
      </c>
      <c r="I56" s="14" t="str">
        <f>_xll.BDH("GILD US Equity","FATALITY_RATE_WORKFORCE","FY 2006","FY 2006","Currency=USD","Period=FQ","BEST_FPERIOD_OVERRIDE=FQ","FILING_STATUS=MR","Sort=A","Dates=H","DateFormat=P","Fill=—","Direction=H","UseDPDF=Y")</f>
        <v>—</v>
      </c>
      <c r="J56" s="14" t="str">
        <f>_xll.BDH("GILD US Equity","FATALITY_RATE_WORKFORCE","FY 2007","FY 2007","Currency=USD","Period=FQ","BEST_FPERIOD_OVERRIDE=FQ","FILING_STATUS=MR","Sort=A","Dates=H","DateFormat=P","Fill=—","Direction=H","UseDPDF=Y")</f>
        <v>—</v>
      </c>
      <c r="K56" s="14" t="str">
        <f>_xll.BDH("GILD US Equity","FATALITY_RATE_WORKFORCE","FY 2008","FY 2008","Currency=USD","Period=FQ","BEST_FPERIOD_OVERRIDE=FQ","FILING_STATUS=MR","Sort=A","Dates=H","DateFormat=P","Fill=—","Direction=H","UseDPDF=Y")</f>
        <v>—</v>
      </c>
      <c r="L56" s="14" t="str">
        <f>_xll.BDH("GILD US Equity","FATALITY_RATE_WORKFORCE","FY 2009","FY 2009","Currency=USD","Period=FQ","BEST_FPERIOD_OVERRIDE=FQ","FILING_STATUS=MR","Sort=A","Dates=H","DateFormat=P","Fill=—","Direction=H","UseDPDF=Y")</f>
        <v>—</v>
      </c>
      <c r="M56" s="14" t="str">
        <f>_xll.BDH("GILD US Equity","FATALITY_RATE_WORKFORCE","FY 2010","FY 2010","Currency=USD","Period=FQ","BEST_FPERIOD_OVERRIDE=FQ","FILING_STATUS=MR","Sort=A","Dates=H","DateFormat=P","Fill=—","Direction=H","UseDPDF=Y")</f>
        <v>—</v>
      </c>
      <c r="N56" s="14" t="str">
        <f>_xll.BDH("GILD US Equity","FATALITY_RATE_WORKFORCE","FY 2011","FY 2011","Currency=USD","Period=FQ","BEST_FPERIOD_OVERRIDE=FQ","FILING_STATUS=MR","Sort=A","Dates=H","DateFormat=P","Fill=—","Direction=H","UseDPDF=Y")</f>
        <v>—</v>
      </c>
      <c r="O56" s="14" t="str">
        <f>_xll.BDH("GILD US Equity","FATALITY_RATE_WORKFORCE","FY 2012","FY 2012","Currency=USD","Period=FQ","BEST_FPERIOD_OVERRIDE=FQ","FILING_STATUS=MR","Sort=A","Dates=H","DateFormat=P","Fill=—","Direction=H","UseDPDF=Y")</f>
        <v>—</v>
      </c>
      <c r="P56" s="14" t="str">
        <f>_xll.BDH("GILD US Equity","FATALITY_RATE_WORKFORCE","FY 2013","FY 2013","Currency=USD","Period=FQ","BEST_FPERIOD_OVERRIDE=FQ","FILING_STATUS=MR","Sort=A","Dates=H","DateFormat=P","Fill=—","Direction=H","UseDPDF=Y")</f>
        <v>—</v>
      </c>
      <c r="Q56" s="14" t="str">
        <f>_xll.BDH("GILD US Equity","FATALITY_RATE_WORKFORCE","FY 2014","FY 2014","Currency=USD","Period=FQ","BEST_FPERIOD_OVERRIDE=FQ","FILING_STATUS=MR","Sort=A","Dates=H","DateFormat=P","Fill=—","Direction=H","UseDPDF=Y")</f>
        <v>—</v>
      </c>
      <c r="R56" s="14" t="str">
        <f>_xll.BDH("GILD US Equity","FATALITY_RATE_WORKFORCE","FY 2015","FY 2015","Currency=USD","Period=FQ","BEST_FPERIOD_OVERRIDE=FQ","FILING_STATUS=MR","Sort=A","Dates=H","DateFormat=P","Fill=—","Direction=H","UseDPDF=Y")</f>
        <v>—</v>
      </c>
      <c r="S56" s="14" t="str">
        <f>_xll.BDH("GILD US Equity","FATALITY_RATE_WORKFORCE","FY 2016","FY 2016","Currency=USD","Period=FQ","BEST_FPERIOD_OVERRIDE=FQ","FILING_STATUS=MR","Sort=A","Dates=H","DateFormat=P","Fill=—","Direction=H","UseDPDF=Y")</f>
        <v>—</v>
      </c>
      <c r="T56" s="14" t="str">
        <f>_xll.BDH("GILD US Equity","FATALITY_RATE_WORKFORCE","FY 2017","FY 2017","Currency=USD","Period=FQ","BEST_FPERIOD_OVERRIDE=FQ","FILING_STATUS=MR","Sort=A","Dates=H","DateFormat=P","Fill=—","Direction=H","UseDPDF=Y")</f>
        <v>—</v>
      </c>
      <c r="U56" s="14" t="str">
        <f>_xll.BDH("GILD US Equity","FATALITY_RATE_WORKFORCE","FY 2018","FY 2018","Currency=USD","Period=FQ","BEST_FPERIOD_OVERRIDE=FQ","FILING_STATUS=MR","Sort=A","Dates=H","DateFormat=P","Fill=—","Direction=H","UseDPDF=Y")</f>
        <v>—</v>
      </c>
      <c r="V56" s="14" t="str">
        <f>_xll.BDH("GILD US Equity","FATALITY_RATE_WORKFORCE","FY 2019","FY 2019","Currency=USD","Period=FQ","BEST_FPERIOD_OVERRIDE=FQ","FILING_STATUS=MR","Sort=A","Dates=H","DateFormat=P","Fill=—","Direction=H","UseDPDF=Y")</f>
        <v>—</v>
      </c>
      <c r="W56" s="14" t="str">
        <f>_xll.BDH("GILD US Equity","FATALITY_RATE_WORKFORCE","FY 2020","FY 2020","Currency=USD","Period=FQ","BEST_FPERIOD_OVERRIDE=FQ","FILING_STATUS=MR","Sort=A","Dates=H","DateFormat=P","Fill=—","Direction=H","UseDPDF=Y")</f>
        <v>—</v>
      </c>
      <c r="X56" s="14" t="str">
        <f>_xll.BDH("GILD US Equity","FATALITY_RATE_WORKFORCE","FY 2021","FY 2021","Currency=USD","Period=FQ","BEST_FPERIOD_OVERRIDE=FQ","FILING_STATUS=MR","Sort=A","Dates=H","DateFormat=P","Fill=—","Direction=H","UseDPDF=Y")</f>
        <v>—</v>
      </c>
      <c r="Y56" s="14" t="str">
        <f>_xll.BDH("GILD US Equity","FATALITY_RATE_WORKFORCE","FY 2022","FY 2022","Currency=USD","Period=FQ","BEST_FPERIOD_OVERRIDE=FQ","FILING_STATUS=MR","Sort=A","Dates=H","DateFormat=P","Fill=—","Direction=H","UseDPDF=Y")</f>
        <v>—</v>
      </c>
      <c r="Z56" s="14" t="str">
        <f>_xll.BDH("GILD US Equity","FATALITY_RATE_WORKFORCE","FY 2023","FY 2023","Currency=USD","Period=FQ","BEST_FPERIOD_OVERRIDE=FQ","FILING_STATUS=MR","Sort=A","Dates=H","DateFormat=P","Fill=—","Direction=H","UseDPDF=Y")</f>
        <v>—</v>
      </c>
      <c r="AA56" s="14" t="str">
        <f>_xll.BDH("GILD US Equity","FATALITY_RATE_WORKFORCE","FY 2024","FY 2024","Currency=USD","Period=FQ","BEST_FPERIOD_OVERRIDE=FQ","FILING_STATUS=MR","Sort=A","Dates=H","DateFormat=P","Fill=—","Direction=H","UseDPDF=Y")</f>
        <v>—</v>
      </c>
    </row>
    <row r="57" spans="1:27" x14ac:dyDescent="0.25">
      <c r="A57" s="10" t="s">
        <v>2021</v>
      </c>
      <c r="B57" s="10" t="s">
        <v>2022</v>
      </c>
      <c r="C57" s="14" t="str">
        <f>_xll.BDH("GILD US Equity","ACCIDENTS_PER_1000_EMPLOYEES","FY 2000","FY 2000","Currency=USD","Period=FQ","BEST_FPERIOD_OVERRIDE=FQ","FILING_STATUS=MR","Sort=A","Dates=H","DateFormat=P","Fill=—","Direction=H","UseDPDF=Y")</f>
        <v>—</v>
      </c>
      <c r="D57" s="14" t="str">
        <f>_xll.BDH("GILD US Equity","ACCIDENTS_PER_1000_EMPLOYEES","FY 2001","FY 2001","Currency=USD","Period=FQ","BEST_FPERIOD_OVERRIDE=FQ","FILING_STATUS=MR","Sort=A","Dates=H","DateFormat=P","Fill=—","Direction=H","UseDPDF=Y")</f>
        <v>—</v>
      </c>
      <c r="E57" s="14" t="str">
        <f>_xll.BDH("GILD US Equity","ACCIDENTS_PER_1000_EMPLOYEES","FY 2002","FY 2002","Currency=USD","Period=FQ","BEST_FPERIOD_OVERRIDE=FQ","FILING_STATUS=MR","Sort=A","Dates=H","DateFormat=P","Fill=—","Direction=H","UseDPDF=Y")</f>
        <v>—</v>
      </c>
      <c r="F57" s="14" t="str">
        <f>_xll.BDH("GILD US Equity","ACCIDENTS_PER_1000_EMPLOYEES","FY 2003","FY 2003","Currency=USD","Period=FQ","BEST_FPERIOD_OVERRIDE=FQ","FILING_STATUS=MR","Sort=A","Dates=H","DateFormat=P","Fill=—","Direction=H","UseDPDF=Y")</f>
        <v>—</v>
      </c>
      <c r="G57" s="14" t="str">
        <f>_xll.BDH("GILD US Equity","ACCIDENTS_PER_1000_EMPLOYEES","FY 2004","FY 2004","Currency=USD","Period=FQ","BEST_FPERIOD_OVERRIDE=FQ","FILING_STATUS=MR","Sort=A","Dates=H","DateFormat=P","Fill=—","Direction=H","UseDPDF=Y")</f>
        <v>—</v>
      </c>
      <c r="H57" s="14" t="str">
        <f>_xll.BDH("GILD US Equity","ACCIDENTS_PER_1000_EMPLOYEES","FY 2005","FY 2005","Currency=USD","Period=FQ","BEST_FPERIOD_OVERRIDE=FQ","FILING_STATUS=MR","Sort=A","Dates=H","DateFormat=P","Fill=—","Direction=H","UseDPDF=Y")</f>
        <v>—</v>
      </c>
      <c r="I57" s="14" t="str">
        <f>_xll.BDH("GILD US Equity","ACCIDENTS_PER_1000_EMPLOYEES","FY 2006","FY 2006","Currency=USD","Period=FQ","BEST_FPERIOD_OVERRIDE=FQ","FILING_STATUS=MR","Sort=A","Dates=H","DateFormat=P","Fill=—","Direction=H","UseDPDF=Y")</f>
        <v>—</v>
      </c>
      <c r="J57" s="14" t="str">
        <f>_xll.BDH("GILD US Equity","ACCIDENTS_PER_1000_EMPLOYEES","FY 2007","FY 2007","Currency=USD","Period=FQ","BEST_FPERIOD_OVERRIDE=FQ","FILING_STATUS=MR","Sort=A","Dates=H","DateFormat=P","Fill=—","Direction=H","UseDPDF=Y")</f>
        <v>—</v>
      </c>
      <c r="K57" s="14" t="str">
        <f>_xll.BDH("GILD US Equity","ACCIDENTS_PER_1000_EMPLOYEES","FY 2008","FY 2008","Currency=USD","Period=FQ","BEST_FPERIOD_OVERRIDE=FQ","FILING_STATUS=MR","Sort=A","Dates=H","DateFormat=P","Fill=—","Direction=H","UseDPDF=Y")</f>
        <v>—</v>
      </c>
      <c r="L57" s="14" t="str">
        <f>_xll.BDH("GILD US Equity","ACCIDENTS_PER_1000_EMPLOYEES","FY 2009","FY 2009","Currency=USD","Period=FQ","BEST_FPERIOD_OVERRIDE=FQ","FILING_STATUS=MR","Sort=A","Dates=H","DateFormat=P","Fill=—","Direction=H","UseDPDF=Y")</f>
        <v>—</v>
      </c>
      <c r="M57" s="14" t="str">
        <f>_xll.BDH("GILD US Equity","ACCIDENTS_PER_1000_EMPLOYEES","FY 2010","FY 2010","Currency=USD","Period=FQ","BEST_FPERIOD_OVERRIDE=FQ","FILING_STATUS=MR","Sort=A","Dates=H","DateFormat=P","Fill=—","Direction=H","UseDPDF=Y")</f>
        <v>—</v>
      </c>
      <c r="N57" s="14" t="str">
        <f>_xll.BDH("GILD US Equity","ACCIDENTS_PER_1000_EMPLOYEES","FY 2011","FY 2011","Currency=USD","Period=FQ","BEST_FPERIOD_OVERRIDE=FQ","FILING_STATUS=MR","Sort=A","Dates=H","DateFormat=P","Fill=—","Direction=H","UseDPDF=Y")</f>
        <v>—</v>
      </c>
      <c r="O57" s="14" t="str">
        <f>_xll.BDH("GILD US Equity","ACCIDENTS_PER_1000_EMPLOYEES","FY 2012","FY 2012","Currency=USD","Period=FQ","BEST_FPERIOD_OVERRIDE=FQ","FILING_STATUS=MR","Sort=A","Dates=H","DateFormat=P","Fill=—","Direction=H","UseDPDF=Y")</f>
        <v>—</v>
      </c>
      <c r="P57" s="14" t="str">
        <f>_xll.BDH("GILD US Equity","ACCIDENTS_PER_1000_EMPLOYEES","FY 2013","FY 2013","Currency=USD","Period=FQ","BEST_FPERIOD_OVERRIDE=FQ","FILING_STATUS=MR","Sort=A","Dates=H","DateFormat=P","Fill=—","Direction=H","UseDPDF=Y")</f>
        <v>—</v>
      </c>
      <c r="Q57" s="14" t="str">
        <f>_xll.BDH("GILD US Equity","ACCIDENTS_PER_1000_EMPLOYEES","FY 2014","FY 2014","Currency=USD","Period=FQ","BEST_FPERIOD_OVERRIDE=FQ","FILING_STATUS=MR","Sort=A","Dates=H","DateFormat=P","Fill=—","Direction=H","UseDPDF=Y")</f>
        <v>—</v>
      </c>
      <c r="R57" s="14" t="str">
        <f>_xll.BDH("GILD US Equity","ACCIDENTS_PER_1000_EMPLOYEES","FY 2015","FY 2015","Currency=USD","Period=FQ","BEST_FPERIOD_OVERRIDE=FQ","FILING_STATUS=MR","Sort=A","Dates=H","DateFormat=P","Fill=—","Direction=H","UseDPDF=Y")</f>
        <v>—</v>
      </c>
      <c r="S57" s="14" t="str">
        <f>_xll.BDH("GILD US Equity","ACCIDENTS_PER_1000_EMPLOYEES","FY 2016","FY 2016","Currency=USD","Period=FQ","BEST_FPERIOD_OVERRIDE=FQ","FILING_STATUS=MR","Sort=A","Dates=H","DateFormat=P","Fill=—","Direction=H","UseDPDF=Y")</f>
        <v>—</v>
      </c>
      <c r="T57" s="14" t="str">
        <f>_xll.BDH("GILD US Equity","ACCIDENTS_PER_1000_EMPLOYEES","FY 2017","FY 2017","Currency=USD","Period=FQ","BEST_FPERIOD_OVERRIDE=FQ","FILING_STATUS=MR","Sort=A","Dates=H","DateFormat=P","Fill=—","Direction=H","UseDPDF=Y")</f>
        <v>—</v>
      </c>
      <c r="U57" s="14" t="str">
        <f>_xll.BDH("GILD US Equity","ACCIDENTS_PER_1000_EMPLOYEES","FY 2018","FY 2018","Currency=USD","Period=FQ","BEST_FPERIOD_OVERRIDE=FQ","FILING_STATUS=MR","Sort=A","Dates=H","DateFormat=P","Fill=—","Direction=H","UseDPDF=Y")</f>
        <v>—</v>
      </c>
      <c r="V57" s="14" t="str">
        <f>_xll.BDH("GILD US Equity","ACCIDENTS_PER_1000_EMPLOYEES","FY 2019","FY 2019","Currency=USD","Period=FQ","BEST_FPERIOD_OVERRIDE=FQ","FILING_STATUS=MR","Sort=A","Dates=H","DateFormat=P","Fill=—","Direction=H","UseDPDF=Y")</f>
        <v>—</v>
      </c>
      <c r="W57" s="14" t="str">
        <f>_xll.BDH("GILD US Equity","ACCIDENTS_PER_1000_EMPLOYEES","FY 2020","FY 2020","Currency=USD","Period=FQ","BEST_FPERIOD_OVERRIDE=FQ","FILING_STATUS=MR","Sort=A","Dates=H","DateFormat=P","Fill=—","Direction=H","UseDPDF=Y")</f>
        <v>—</v>
      </c>
      <c r="X57" s="14" t="str">
        <f>_xll.BDH("GILD US Equity","ACCIDENTS_PER_1000_EMPLOYEES","FY 2021","FY 2021","Currency=USD","Period=FQ","BEST_FPERIOD_OVERRIDE=FQ","FILING_STATUS=MR","Sort=A","Dates=H","DateFormat=P","Fill=—","Direction=H","UseDPDF=Y")</f>
        <v>—</v>
      </c>
      <c r="Y57" s="14" t="str">
        <f>_xll.BDH("GILD US Equity","ACCIDENTS_PER_1000_EMPLOYEES","FY 2022","FY 2022","Currency=USD","Period=FQ","BEST_FPERIOD_OVERRIDE=FQ","FILING_STATUS=MR","Sort=A","Dates=H","DateFormat=P","Fill=—","Direction=H","UseDPDF=Y")</f>
        <v>—</v>
      </c>
      <c r="Z57" s="14" t="str">
        <f>_xll.BDH("GILD US Equity","ACCIDENTS_PER_1000_EMPLOYEES","FY 2023","FY 2023","Currency=USD","Period=FQ","BEST_FPERIOD_OVERRIDE=FQ","FILING_STATUS=MR","Sort=A","Dates=H","DateFormat=P","Fill=—","Direction=H","UseDPDF=Y")</f>
        <v>—</v>
      </c>
      <c r="AA57" s="14" t="str">
        <f>_xll.BDH("GILD US Equity","ACCIDENTS_PER_1000_EMPLOYEES","FY 2024","FY 2024","Currency=USD","Period=FQ","BEST_FPERIOD_OVERRIDE=FQ","FILING_STATUS=MR","Sort=A","Dates=H","DateFormat=P","Fill=—","Direction=H","UseDPDF=Y")</f>
        <v>—</v>
      </c>
    </row>
    <row r="58" spans="1:27" x14ac:dyDescent="0.25">
      <c r="A58" s="10" t="s">
        <v>2023</v>
      </c>
      <c r="B58" s="10" t="s">
        <v>2024</v>
      </c>
      <c r="C58" s="14" t="str">
        <f>_xll.BDH("GILD US Equity","COMMUNITY_SPND_PCT_PRETAX_PROFIT","FY 2000","FY 2000","Currency=USD","Period=FQ","BEST_FPERIOD_OVERRIDE=FQ","FILING_STATUS=MR","FA_ADJUSTED=GAAP","Sort=A","Dates=H","DateFormat=P","Fill=—","Direction=H","UseDPDF=Y")</f>
        <v>—</v>
      </c>
      <c r="D58" s="14" t="str">
        <f>_xll.BDH("GILD US Equity","COMMUNITY_SPND_PCT_PRETAX_PROFIT","FY 2001","FY 2001","Currency=USD","Period=FQ","BEST_FPERIOD_OVERRIDE=FQ","FILING_STATUS=MR","FA_ADJUSTED=GAAP","Sort=A","Dates=H","DateFormat=P","Fill=—","Direction=H","UseDPDF=Y")</f>
        <v>—</v>
      </c>
      <c r="E58" s="14" t="str">
        <f>_xll.BDH("GILD US Equity","COMMUNITY_SPND_PCT_PRETAX_PROFIT","FY 2002","FY 2002","Currency=USD","Period=FQ","BEST_FPERIOD_OVERRIDE=FQ","FILING_STATUS=MR","FA_ADJUSTED=GAAP","Sort=A","Dates=H","DateFormat=P","Fill=—","Direction=H","UseDPDF=Y")</f>
        <v>—</v>
      </c>
      <c r="F58" s="14" t="str">
        <f>_xll.BDH("GILD US Equity","COMMUNITY_SPND_PCT_PRETAX_PROFIT","FY 2003","FY 2003","Currency=USD","Period=FQ","BEST_FPERIOD_OVERRIDE=FQ","FILING_STATUS=MR","FA_ADJUSTED=GAAP","Sort=A","Dates=H","DateFormat=P","Fill=—","Direction=H","UseDPDF=Y")</f>
        <v>—</v>
      </c>
      <c r="G58" s="14" t="str">
        <f>_xll.BDH("GILD US Equity","COMMUNITY_SPND_PCT_PRETAX_PROFIT","FY 2004","FY 2004","Currency=USD","Period=FQ","BEST_FPERIOD_OVERRIDE=FQ","FILING_STATUS=MR","FA_ADJUSTED=GAAP","Sort=A","Dates=H","DateFormat=P","Fill=—","Direction=H","UseDPDF=Y")</f>
        <v>—</v>
      </c>
      <c r="H58" s="14" t="str">
        <f>_xll.BDH("GILD US Equity","COMMUNITY_SPND_PCT_PRETAX_PROFIT","FY 2005","FY 2005","Currency=USD","Period=FQ","BEST_FPERIOD_OVERRIDE=FQ","FILING_STATUS=MR","FA_ADJUSTED=GAAP","Sort=A","Dates=H","DateFormat=P","Fill=—","Direction=H","UseDPDF=Y")</f>
        <v>—</v>
      </c>
      <c r="I58" s="14" t="str">
        <f>_xll.BDH("GILD US Equity","COMMUNITY_SPND_PCT_PRETAX_PROFIT","FY 2006","FY 2006","Currency=USD","Period=FQ","BEST_FPERIOD_OVERRIDE=FQ","FILING_STATUS=MR","FA_ADJUSTED=GAAP","Sort=A","Dates=H","DateFormat=P","Fill=—","Direction=H","UseDPDF=Y")</f>
        <v>—</v>
      </c>
      <c r="J58" s="14" t="str">
        <f>_xll.BDH("GILD US Equity","COMMUNITY_SPND_PCT_PRETAX_PROFIT","FY 2007","FY 2007","Currency=USD","Period=FQ","BEST_FPERIOD_OVERRIDE=FQ","FILING_STATUS=MR","FA_ADJUSTED=GAAP","Sort=A","Dates=H","DateFormat=P","Fill=—","Direction=H","UseDPDF=Y")</f>
        <v>—</v>
      </c>
      <c r="K58" s="14" t="str">
        <f>_xll.BDH("GILD US Equity","COMMUNITY_SPND_PCT_PRETAX_PROFIT","FY 2008","FY 2008","Currency=USD","Period=FQ","BEST_FPERIOD_OVERRIDE=FQ","FILING_STATUS=MR","FA_ADJUSTED=GAAP","Sort=A","Dates=H","DateFormat=P","Fill=—","Direction=H","UseDPDF=Y")</f>
        <v>—</v>
      </c>
      <c r="L58" s="14" t="str">
        <f>_xll.BDH("GILD US Equity","COMMUNITY_SPND_PCT_PRETAX_PROFIT","FY 2009","FY 2009","Currency=USD","Period=FQ","BEST_FPERIOD_OVERRIDE=FQ","FILING_STATUS=MR","FA_ADJUSTED=GAAP","Sort=A","Dates=H","DateFormat=P","Fill=—","Direction=H","UseDPDF=Y")</f>
        <v>—</v>
      </c>
      <c r="M58" s="14" t="str">
        <f>_xll.BDH("GILD US Equity","COMMUNITY_SPND_PCT_PRETAX_PROFIT","FY 2010","FY 2010","Currency=USD","Period=FQ","BEST_FPERIOD_OVERRIDE=FQ","FILING_STATUS=MR","FA_ADJUSTED=GAAP","Sort=A","Dates=H","DateFormat=P","Fill=—","Direction=H","UseDPDF=Y")</f>
        <v>—</v>
      </c>
      <c r="N58" s="14" t="str">
        <f>_xll.BDH("GILD US Equity","COMMUNITY_SPND_PCT_PRETAX_PROFIT","FY 2011","FY 2011","Currency=USD","Period=FQ","BEST_FPERIOD_OVERRIDE=FQ","FILING_STATUS=MR","FA_ADJUSTED=GAAP","Sort=A","Dates=H","DateFormat=P","Fill=—","Direction=H","UseDPDF=Y")</f>
        <v>—</v>
      </c>
      <c r="O58" s="14" t="str">
        <f>_xll.BDH("GILD US Equity","COMMUNITY_SPND_PCT_PRETAX_PROFIT","FY 2012","FY 2012","Currency=USD","Period=FQ","BEST_FPERIOD_OVERRIDE=FQ","FILING_STATUS=MR","FA_ADJUSTED=GAAP","Sort=A","Dates=H","DateFormat=P","Fill=—","Direction=H","UseDPDF=Y")</f>
        <v>—</v>
      </c>
      <c r="P58" s="14" t="str">
        <f>_xll.BDH("GILD US Equity","COMMUNITY_SPND_PCT_PRETAX_PROFIT","FY 2013","FY 2013","Currency=USD","Period=FQ","BEST_FPERIOD_OVERRIDE=FQ","FILING_STATUS=MR","FA_ADJUSTED=GAAP","Sort=A","Dates=H","DateFormat=P","Fill=—","Direction=H","UseDPDF=Y")</f>
        <v>—</v>
      </c>
      <c r="Q58" s="14" t="str">
        <f>_xll.BDH("GILD US Equity","COMMUNITY_SPND_PCT_PRETAX_PROFIT","FY 2014","FY 2014","Currency=USD","Period=FQ","BEST_FPERIOD_OVERRIDE=FQ","FILING_STATUS=MR","FA_ADJUSTED=GAAP","Sort=A","Dates=H","DateFormat=P","Fill=—","Direction=H","UseDPDF=Y")</f>
        <v>—</v>
      </c>
      <c r="R58" s="14" t="str">
        <f>_xll.BDH("GILD US Equity","COMMUNITY_SPND_PCT_PRETAX_PROFIT","FY 2015","FY 2015","Currency=USD","Period=FQ","BEST_FPERIOD_OVERRIDE=FQ","FILING_STATUS=MR","FA_ADJUSTED=GAAP","Sort=A","Dates=H","DateFormat=P","Fill=—","Direction=H","UseDPDF=Y")</f>
        <v>—</v>
      </c>
      <c r="S58" s="14" t="str">
        <f>_xll.BDH("GILD US Equity","COMMUNITY_SPND_PCT_PRETAX_PROFIT","FY 2016","FY 2016","Currency=USD","Period=FQ","BEST_FPERIOD_OVERRIDE=FQ","FILING_STATUS=MR","FA_ADJUSTED=GAAP","Sort=A","Dates=H","DateFormat=P","Fill=—","Direction=H","UseDPDF=Y")</f>
        <v>—</v>
      </c>
      <c r="T58" s="14" t="str">
        <f>_xll.BDH("GILD US Equity","COMMUNITY_SPND_PCT_PRETAX_PROFIT","FY 2017","FY 2017","Currency=USD","Period=FQ","BEST_FPERIOD_OVERRIDE=FQ","FILING_STATUS=MR","FA_ADJUSTED=GAAP","Sort=A","Dates=H","DateFormat=P","Fill=—","Direction=H","UseDPDF=Y")</f>
        <v>—</v>
      </c>
      <c r="U58" s="14" t="str">
        <f>_xll.BDH("GILD US Equity","COMMUNITY_SPND_PCT_PRETAX_PROFIT","FY 2018","FY 2018","Currency=USD","Period=FQ","BEST_FPERIOD_OVERRIDE=FQ","FILING_STATUS=MR","FA_ADJUSTED=GAAP","Sort=A","Dates=H","DateFormat=P","Fill=—","Direction=H","UseDPDF=Y")</f>
        <v>—</v>
      </c>
      <c r="V58" s="14" t="str">
        <f>_xll.BDH("GILD US Equity","COMMUNITY_SPND_PCT_PRETAX_PROFIT","FY 2019","FY 2019","Currency=USD","Period=FQ","BEST_FPERIOD_OVERRIDE=FQ","FILING_STATUS=MR","FA_ADJUSTED=GAAP","Sort=A","Dates=H","DateFormat=P","Fill=—","Direction=H","UseDPDF=Y")</f>
        <v>—</v>
      </c>
      <c r="W58" s="14" t="str">
        <f>_xll.BDH("GILD US Equity","COMMUNITY_SPND_PCT_PRETAX_PROFIT","FY 2020","FY 2020","Currency=USD","Period=FQ","BEST_FPERIOD_OVERRIDE=FQ","FILING_STATUS=MR","FA_ADJUSTED=GAAP","Sort=A","Dates=H","DateFormat=P","Fill=—","Direction=H","UseDPDF=Y")</f>
        <v>—</v>
      </c>
      <c r="X58" s="14" t="str">
        <f>_xll.BDH("GILD US Equity","COMMUNITY_SPND_PCT_PRETAX_PROFIT","FY 2021","FY 2021","Currency=USD","Period=FQ","BEST_FPERIOD_OVERRIDE=FQ","FILING_STATUS=MR","FA_ADJUSTED=GAAP","Sort=A","Dates=H","DateFormat=P","Fill=—","Direction=H","UseDPDF=Y")</f>
        <v>—</v>
      </c>
      <c r="Y58" s="14" t="str">
        <f>_xll.BDH("GILD US Equity","COMMUNITY_SPND_PCT_PRETAX_PROFIT","FY 2022","FY 2022","Currency=USD","Period=FQ","BEST_FPERIOD_OVERRIDE=FQ","FILING_STATUS=MR","FA_ADJUSTED=GAAP","Sort=A","Dates=H","DateFormat=P","Fill=—","Direction=H","UseDPDF=Y")</f>
        <v>—</v>
      </c>
      <c r="Z58" s="14" t="str">
        <f>_xll.BDH("GILD US Equity","COMMUNITY_SPND_PCT_PRETAX_PROFIT","FY 2023","FY 2023","Currency=USD","Period=FQ","BEST_FPERIOD_OVERRIDE=FQ","FILING_STATUS=MR","FA_ADJUSTED=GAAP","Sort=A","Dates=H","DateFormat=P","Fill=—","Direction=H","UseDPDF=Y")</f>
        <v>—</v>
      </c>
      <c r="AA58" s="14" t="str">
        <f>_xll.BDH("GILD US Equity","COMMUNITY_SPND_PCT_PRETAX_PROFIT","FY 2024","FY 2024","Currency=USD","Period=FQ","BEST_FPERIOD_OVERRIDE=FQ","FILING_STATUS=MR","FA_ADJUSTED=GAAP","Sort=A","Dates=H","DateFormat=P","Fill=—","Direction=H","UseDPDF=Y")</f>
        <v>—</v>
      </c>
    </row>
    <row r="59" spans="1:27" x14ac:dyDescent="0.25">
      <c r="A59" s="10" t="s">
        <v>2025</v>
      </c>
      <c r="B59" s="10" t="s">
        <v>2026</v>
      </c>
      <c r="C59" s="14" t="str">
        <f>_xll.BDH("GILD US Equity","COMMUNITY_SPEND_PCT_EBITDA","FY 2000","FY 2000","Currency=USD","Period=FQ","BEST_FPERIOD_OVERRIDE=FQ","FILING_STATUS=MR","FA_ADJUSTED=GAAP","Sort=A","Dates=H","DateFormat=P","Fill=—","Direction=H","UseDPDF=Y")</f>
        <v>—</v>
      </c>
      <c r="D59" s="14" t="str">
        <f>_xll.BDH("GILD US Equity","COMMUNITY_SPEND_PCT_EBITDA","FY 2001","FY 2001","Currency=USD","Period=FQ","BEST_FPERIOD_OVERRIDE=FQ","FILING_STATUS=MR","FA_ADJUSTED=GAAP","Sort=A","Dates=H","DateFormat=P","Fill=—","Direction=H","UseDPDF=Y")</f>
        <v>—</v>
      </c>
      <c r="E59" s="14" t="str">
        <f>_xll.BDH("GILD US Equity","COMMUNITY_SPEND_PCT_EBITDA","FY 2002","FY 2002","Currency=USD","Period=FQ","BEST_FPERIOD_OVERRIDE=FQ","FILING_STATUS=MR","FA_ADJUSTED=GAAP","Sort=A","Dates=H","DateFormat=P","Fill=—","Direction=H","UseDPDF=Y")</f>
        <v>—</v>
      </c>
      <c r="F59" s="14" t="str">
        <f>_xll.BDH("GILD US Equity","COMMUNITY_SPEND_PCT_EBITDA","FY 2003","FY 2003","Currency=USD","Period=FQ","BEST_FPERIOD_OVERRIDE=FQ","FILING_STATUS=MR","FA_ADJUSTED=GAAP","Sort=A","Dates=H","DateFormat=P","Fill=—","Direction=H","UseDPDF=Y")</f>
        <v>—</v>
      </c>
      <c r="G59" s="14" t="str">
        <f>_xll.BDH("GILD US Equity","COMMUNITY_SPEND_PCT_EBITDA","FY 2004","FY 2004","Currency=USD","Period=FQ","BEST_FPERIOD_OVERRIDE=FQ","FILING_STATUS=MR","FA_ADJUSTED=GAAP","Sort=A","Dates=H","DateFormat=P","Fill=—","Direction=H","UseDPDF=Y")</f>
        <v>—</v>
      </c>
      <c r="H59" s="14" t="str">
        <f>_xll.BDH("GILD US Equity","COMMUNITY_SPEND_PCT_EBITDA","FY 2005","FY 2005","Currency=USD","Period=FQ","BEST_FPERIOD_OVERRIDE=FQ","FILING_STATUS=MR","FA_ADJUSTED=GAAP","Sort=A","Dates=H","DateFormat=P","Fill=—","Direction=H","UseDPDF=Y")</f>
        <v>—</v>
      </c>
      <c r="I59" s="14" t="str">
        <f>_xll.BDH("GILD US Equity","COMMUNITY_SPEND_PCT_EBITDA","FY 2006","FY 2006","Currency=USD","Period=FQ","BEST_FPERIOD_OVERRIDE=FQ","FILING_STATUS=MR","FA_ADJUSTED=GAAP","Sort=A","Dates=H","DateFormat=P","Fill=—","Direction=H","UseDPDF=Y")</f>
        <v>—</v>
      </c>
      <c r="J59" s="14" t="str">
        <f>_xll.BDH("GILD US Equity","COMMUNITY_SPEND_PCT_EBITDA","FY 2007","FY 2007","Currency=USD","Period=FQ","BEST_FPERIOD_OVERRIDE=FQ","FILING_STATUS=MR","FA_ADJUSTED=GAAP","Sort=A","Dates=H","DateFormat=P","Fill=—","Direction=H","UseDPDF=Y")</f>
        <v>—</v>
      </c>
      <c r="K59" s="14" t="str">
        <f>_xll.BDH("GILD US Equity","COMMUNITY_SPEND_PCT_EBITDA","FY 2008","FY 2008","Currency=USD","Period=FQ","BEST_FPERIOD_OVERRIDE=FQ","FILING_STATUS=MR","FA_ADJUSTED=GAAP","Sort=A","Dates=H","DateFormat=P","Fill=—","Direction=H","UseDPDF=Y")</f>
        <v>—</v>
      </c>
      <c r="L59" s="14" t="str">
        <f>_xll.BDH("GILD US Equity","COMMUNITY_SPEND_PCT_EBITDA","FY 2009","FY 2009","Currency=USD","Period=FQ","BEST_FPERIOD_OVERRIDE=FQ","FILING_STATUS=MR","FA_ADJUSTED=GAAP","Sort=A","Dates=H","DateFormat=P","Fill=—","Direction=H","UseDPDF=Y")</f>
        <v>—</v>
      </c>
      <c r="M59" s="14" t="str">
        <f>_xll.BDH("GILD US Equity","COMMUNITY_SPEND_PCT_EBITDA","FY 2010","FY 2010","Currency=USD","Period=FQ","BEST_FPERIOD_OVERRIDE=FQ","FILING_STATUS=MR","FA_ADJUSTED=GAAP","Sort=A","Dates=H","DateFormat=P","Fill=—","Direction=H","UseDPDF=Y")</f>
        <v>—</v>
      </c>
      <c r="N59" s="14" t="str">
        <f>_xll.BDH("GILD US Equity","COMMUNITY_SPEND_PCT_EBITDA","FY 2011","FY 2011","Currency=USD","Period=FQ","BEST_FPERIOD_OVERRIDE=FQ","FILING_STATUS=MR","FA_ADJUSTED=GAAP","Sort=A","Dates=H","DateFormat=P","Fill=—","Direction=H","UseDPDF=Y")</f>
        <v>—</v>
      </c>
      <c r="O59" s="14" t="str">
        <f>_xll.BDH("GILD US Equity","COMMUNITY_SPEND_PCT_EBITDA","FY 2012","FY 2012","Currency=USD","Period=FQ","BEST_FPERIOD_OVERRIDE=FQ","FILING_STATUS=MR","FA_ADJUSTED=GAAP","Sort=A","Dates=H","DateFormat=P","Fill=—","Direction=H","UseDPDF=Y")</f>
        <v>—</v>
      </c>
      <c r="P59" s="14" t="str">
        <f>_xll.BDH("GILD US Equity","COMMUNITY_SPEND_PCT_EBITDA","FY 2013","FY 2013","Currency=USD","Period=FQ","BEST_FPERIOD_OVERRIDE=FQ","FILING_STATUS=MR","FA_ADJUSTED=GAAP","Sort=A","Dates=H","DateFormat=P","Fill=—","Direction=H","UseDPDF=Y")</f>
        <v>—</v>
      </c>
      <c r="Q59" s="14" t="str">
        <f>_xll.BDH("GILD US Equity","COMMUNITY_SPEND_PCT_EBITDA","FY 2014","FY 2014","Currency=USD","Period=FQ","BEST_FPERIOD_OVERRIDE=FQ","FILING_STATUS=MR","FA_ADJUSTED=GAAP","Sort=A","Dates=H","DateFormat=P","Fill=—","Direction=H","UseDPDF=Y")</f>
        <v>—</v>
      </c>
      <c r="R59" s="14" t="str">
        <f>_xll.BDH("GILD US Equity","COMMUNITY_SPEND_PCT_EBITDA","FY 2015","FY 2015","Currency=USD","Period=FQ","BEST_FPERIOD_OVERRIDE=FQ","FILING_STATUS=MR","FA_ADJUSTED=GAAP","Sort=A","Dates=H","DateFormat=P","Fill=—","Direction=H","UseDPDF=Y")</f>
        <v>—</v>
      </c>
      <c r="S59" s="14" t="str">
        <f>_xll.BDH("GILD US Equity","COMMUNITY_SPEND_PCT_EBITDA","FY 2016","FY 2016","Currency=USD","Period=FQ","BEST_FPERIOD_OVERRIDE=FQ","FILING_STATUS=MR","FA_ADJUSTED=GAAP","Sort=A","Dates=H","DateFormat=P","Fill=—","Direction=H","UseDPDF=Y")</f>
        <v>—</v>
      </c>
      <c r="T59" s="14" t="str">
        <f>_xll.BDH("GILD US Equity","COMMUNITY_SPEND_PCT_EBITDA","FY 2017","FY 2017","Currency=USD","Period=FQ","BEST_FPERIOD_OVERRIDE=FQ","FILING_STATUS=MR","FA_ADJUSTED=GAAP","Sort=A","Dates=H","DateFormat=P","Fill=—","Direction=H","UseDPDF=Y")</f>
        <v>—</v>
      </c>
      <c r="U59" s="14" t="str">
        <f>_xll.BDH("GILD US Equity","COMMUNITY_SPEND_PCT_EBITDA","FY 2018","FY 2018","Currency=USD","Period=FQ","BEST_FPERIOD_OVERRIDE=FQ","FILING_STATUS=MR","FA_ADJUSTED=GAAP","Sort=A","Dates=H","DateFormat=P","Fill=—","Direction=H","UseDPDF=Y")</f>
        <v>—</v>
      </c>
      <c r="V59" s="14" t="str">
        <f>_xll.BDH("GILD US Equity","COMMUNITY_SPEND_PCT_EBITDA","FY 2019","FY 2019","Currency=USD","Period=FQ","BEST_FPERIOD_OVERRIDE=FQ","FILING_STATUS=MR","FA_ADJUSTED=GAAP","Sort=A","Dates=H","DateFormat=P","Fill=—","Direction=H","UseDPDF=Y")</f>
        <v>—</v>
      </c>
      <c r="W59" s="14" t="str">
        <f>_xll.BDH("GILD US Equity","COMMUNITY_SPEND_PCT_EBITDA","FY 2020","FY 2020","Currency=USD","Period=FQ","BEST_FPERIOD_OVERRIDE=FQ","FILING_STATUS=MR","FA_ADJUSTED=GAAP","Sort=A","Dates=H","DateFormat=P","Fill=—","Direction=H","UseDPDF=Y")</f>
        <v>—</v>
      </c>
      <c r="X59" s="14" t="str">
        <f>_xll.BDH("GILD US Equity","COMMUNITY_SPEND_PCT_EBITDA","FY 2021","FY 2021","Currency=USD","Period=FQ","BEST_FPERIOD_OVERRIDE=FQ","FILING_STATUS=MR","FA_ADJUSTED=GAAP","Sort=A","Dates=H","DateFormat=P","Fill=—","Direction=H","UseDPDF=Y")</f>
        <v>—</v>
      </c>
      <c r="Y59" s="14" t="str">
        <f>_xll.BDH("GILD US Equity","COMMUNITY_SPEND_PCT_EBITDA","FY 2022","FY 2022","Currency=USD","Period=FQ","BEST_FPERIOD_OVERRIDE=FQ","FILING_STATUS=MR","FA_ADJUSTED=GAAP","Sort=A","Dates=H","DateFormat=P","Fill=—","Direction=H","UseDPDF=Y")</f>
        <v>—</v>
      </c>
      <c r="Z59" s="14" t="str">
        <f>_xll.BDH("GILD US Equity","COMMUNITY_SPEND_PCT_EBITDA","FY 2023","FY 2023","Currency=USD","Period=FQ","BEST_FPERIOD_OVERRIDE=FQ","FILING_STATUS=MR","FA_ADJUSTED=GAAP","Sort=A","Dates=H","DateFormat=P","Fill=—","Direction=H","UseDPDF=Y")</f>
        <v>—</v>
      </c>
      <c r="AA59" s="14" t="str">
        <f>_xll.BDH("GILD US Equity","COMMUNITY_SPEND_PCT_EBITDA","FY 2024","FY 2024","Currency=USD","Period=FQ","BEST_FPERIOD_OVERRIDE=FQ","FILING_STATUS=MR","FA_ADJUSTED=GAAP","Sort=A","Dates=H","DateFormat=P","Fill=—","Direction=H","UseDPDF=Y")</f>
        <v>—</v>
      </c>
    </row>
    <row r="60" spans="1:27" x14ac:dyDescent="0.25">
      <c r="A60" s="10" t="s">
        <v>2027</v>
      </c>
      <c r="B60" s="10" t="s">
        <v>2028</v>
      </c>
      <c r="C60" s="14" t="str">
        <f>_xll.BDH("GILD US Equity","COMMUNITY_SPEND_PCT_EQUITY","FY 2000","FY 2000","Currency=USD","Period=FQ","BEST_FPERIOD_OVERRIDE=FQ","FILING_STATUS=MR","Sort=A","Dates=H","DateFormat=P","Fill=—","Direction=H","UseDPDF=Y")</f>
        <v>—</v>
      </c>
      <c r="D60" s="14" t="str">
        <f>_xll.BDH("GILD US Equity","COMMUNITY_SPEND_PCT_EQUITY","FY 2001","FY 2001","Currency=USD","Period=FQ","BEST_FPERIOD_OVERRIDE=FQ","FILING_STATUS=MR","Sort=A","Dates=H","DateFormat=P","Fill=—","Direction=H","UseDPDF=Y")</f>
        <v>—</v>
      </c>
      <c r="E60" s="14" t="str">
        <f>_xll.BDH("GILD US Equity","COMMUNITY_SPEND_PCT_EQUITY","FY 2002","FY 2002","Currency=USD","Period=FQ","BEST_FPERIOD_OVERRIDE=FQ","FILING_STATUS=MR","Sort=A","Dates=H","DateFormat=P","Fill=—","Direction=H","UseDPDF=Y")</f>
        <v>—</v>
      </c>
      <c r="F60" s="14" t="str">
        <f>_xll.BDH("GILD US Equity","COMMUNITY_SPEND_PCT_EQUITY","FY 2003","FY 2003","Currency=USD","Period=FQ","BEST_FPERIOD_OVERRIDE=FQ","FILING_STATUS=MR","Sort=A","Dates=H","DateFormat=P","Fill=—","Direction=H","UseDPDF=Y")</f>
        <v>—</v>
      </c>
      <c r="G60" s="14" t="str">
        <f>_xll.BDH("GILD US Equity","COMMUNITY_SPEND_PCT_EQUITY","FY 2004","FY 2004","Currency=USD","Period=FQ","BEST_FPERIOD_OVERRIDE=FQ","FILING_STATUS=MR","Sort=A","Dates=H","DateFormat=P","Fill=—","Direction=H","UseDPDF=Y")</f>
        <v>—</v>
      </c>
      <c r="H60" s="14" t="str">
        <f>_xll.BDH("GILD US Equity","COMMUNITY_SPEND_PCT_EQUITY","FY 2005","FY 2005","Currency=USD","Period=FQ","BEST_FPERIOD_OVERRIDE=FQ","FILING_STATUS=MR","Sort=A","Dates=H","DateFormat=P","Fill=—","Direction=H","UseDPDF=Y")</f>
        <v>—</v>
      </c>
      <c r="I60" s="14" t="str">
        <f>_xll.BDH("GILD US Equity","COMMUNITY_SPEND_PCT_EQUITY","FY 2006","FY 2006","Currency=USD","Period=FQ","BEST_FPERIOD_OVERRIDE=FQ","FILING_STATUS=MR","Sort=A","Dates=H","DateFormat=P","Fill=—","Direction=H","UseDPDF=Y")</f>
        <v>—</v>
      </c>
      <c r="J60" s="14" t="str">
        <f>_xll.BDH("GILD US Equity","COMMUNITY_SPEND_PCT_EQUITY","FY 2007","FY 2007","Currency=USD","Period=FQ","BEST_FPERIOD_OVERRIDE=FQ","FILING_STATUS=MR","Sort=A","Dates=H","DateFormat=P","Fill=—","Direction=H","UseDPDF=Y")</f>
        <v>—</v>
      </c>
      <c r="K60" s="14" t="str">
        <f>_xll.BDH("GILD US Equity","COMMUNITY_SPEND_PCT_EQUITY","FY 2008","FY 2008","Currency=USD","Period=FQ","BEST_FPERIOD_OVERRIDE=FQ","FILING_STATUS=MR","Sort=A","Dates=H","DateFormat=P","Fill=—","Direction=H","UseDPDF=Y")</f>
        <v>—</v>
      </c>
      <c r="L60" s="14" t="str">
        <f>_xll.BDH("GILD US Equity","COMMUNITY_SPEND_PCT_EQUITY","FY 2009","FY 2009","Currency=USD","Period=FQ","BEST_FPERIOD_OVERRIDE=FQ","FILING_STATUS=MR","Sort=A","Dates=H","DateFormat=P","Fill=—","Direction=H","UseDPDF=Y")</f>
        <v>—</v>
      </c>
      <c r="M60" s="14" t="str">
        <f>_xll.BDH("GILD US Equity","COMMUNITY_SPEND_PCT_EQUITY","FY 2010","FY 2010","Currency=USD","Period=FQ","BEST_FPERIOD_OVERRIDE=FQ","FILING_STATUS=MR","Sort=A","Dates=H","DateFormat=P","Fill=—","Direction=H","UseDPDF=Y")</f>
        <v>—</v>
      </c>
      <c r="N60" s="14" t="str">
        <f>_xll.BDH("GILD US Equity","COMMUNITY_SPEND_PCT_EQUITY","FY 2011","FY 2011","Currency=USD","Period=FQ","BEST_FPERIOD_OVERRIDE=FQ","FILING_STATUS=MR","Sort=A","Dates=H","DateFormat=P","Fill=—","Direction=H","UseDPDF=Y")</f>
        <v>—</v>
      </c>
      <c r="O60" s="14" t="str">
        <f>_xll.BDH("GILD US Equity","COMMUNITY_SPEND_PCT_EQUITY","FY 2012","FY 2012","Currency=USD","Period=FQ","BEST_FPERIOD_OVERRIDE=FQ","FILING_STATUS=MR","Sort=A","Dates=H","DateFormat=P","Fill=—","Direction=H","UseDPDF=Y")</f>
        <v>—</v>
      </c>
      <c r="P60" s="14" t="str">
        <f>_xll.BDH("GILD US Equity","COMMUNITY_SPEND_PCT_EQUITY","FY 2013","FY 2013","Currency=USD","Period=FQ","BEST_FPERIOD_OVERRIDE=FQ","FILING_STATUS=MR","Sort=A","Dates=H","DateFormat=P","Fill=—","Direction=H","UseDPDF=Y")</f>
        <v>—</v>
      </c>
      <c r="Q60" s="14" t="str">
        <f>_xll.BDH("GILD US Equity","COMMUNITY_SPEND_PCT_EQUITY","FY 2014","FY 2014","Currency=USD","Period=FQ","BEST_FPERIOD_OVERRIDE=FQ","FILING_STATUS=MR","Sort=A","Dates=H","DateFormat=P","Fill=—","Direction=H","UseDPDF=Y")</f>
        <v>—</v>
      </c>
      <c r="R60" s="14" t="str">
        <f>_xll.BDH("GILD US Equity","COMMUNITY_SPEND_PCT_EQUITY","FY 2015","FY 2015","Currency=USD","Period=FQ","BEST_FPERIOD_OVERRIDE=FQ","FILING_STATUS=MR","Sort=A","Dates=H","DateFormat=P","Fill=—","Direction=H","UseDPDF=Y")</f>
        <v>—</v>
      </c>
      <c r="S60" s="14" t="str">
        <f>_xll.BDH("GILD US Equity","COMMUNITY_SPEND_PCT_EQUITY","FY 2016","FY 2016","Currency=USD","Period=FQ","BEST_FPERIOD_OVERRIDE=FQ","FILING_STATUS=MR","Sort=A","Dates=H","DateFormat=P","Fill=—","Direction=H","UseDPDF=Y")</f>
        <v>—</v>
      </c>
      <c r="T60" s="14" t="str">
        <f>_xll.BDH("GILD US Equity","COMMUNITY_SPEND_PCT_EQUITY","FY 2017","FY 2017","Currency=USD","Period=FQ","BEST_FPERIOD_OVERRIDE=FQ","FILING_STATUS=MR","Sort=A","Dates=H","DateFormat=P","Fill=—","Direction=H","UseDPDF=Y")</f>
        <v>—</v>
      </c>
      <c r="U60" s="14" t="str">
        <f>_xll.BDH("GILD US Equity","COMMUNITY_SPEND_PCT_EQUITY","FY 2018","FY 2018","Currency=USD","Period=FQ","BEST_FPERIOD_OVERRIDE=FQ","FILING_STATUS=MR","Sort=A","Dates=H","DateFormat=P","Fill=—","Direction=H","UseDPDF=Y")</f>
        <v>—</v>
      </c>
      <c r="V60" s="14" t="str">
        <f>_xll.BDH("GILD US Equity","COMMUNITY_SPEND_PCT_EQUITY","FY 2019","FY 2019","Currency=USD","Period=FQ","BEST_FPERIOD_OVERRIDE=FQ","FILING_STATUS=MR","Sort=A","Dates=H","DateFormat=P","Fill=—","Direction=H","UseDPDF=Y")</f>
        <v>—</v>
      </c>
      <c r="W60" s="14" t="str">
        <f>_xll.BDH("GILD US Equity","COMMUNITY_SPEND_PCT_EQUITY","FY 2020","FY 2020","Currency=USD","Period=FQ","BEST_FPERIOD_OVERRIDE=FQ","FILING_STATUS=MR","Sort=A","Dates=H","DateFormat=P","Fill=—","Direction=H","UseDPDF=Y")</f>
        <v>—</v>
      </c>
      <c r="X60" s="14" t="str">
        <f>_xll.BDH("GILD US Equity","COMMUNITY_SPEND_PCT_EQUITY","FY 2021","FY 2021","Currency=USD","Period=FQ","BEST_FPERIOD_OVERRIDE=FQ","FILING_STATUS=MR","Sort=A","Dates=H","DateFormat=P","Fill=—","Direction=H","UseDPDF=Y")</f>
        <v>—</v>
      </c>
      <c r="Y60" s="14" t="str">
        <f>_xll.BDH("GILD US Equity","COMMUNITY_SPEND_PCT_EQUITY","FY 2022","FY 2022","Currency=USD","Period=FQ","BEST_FPERIOD_OVERRIDE=FQ","FILING_STATUS=MR","Sort=A","Dates=H","DateFormat=P","Fill=—","Direction=H","UseDPDF=Y")</f>
        <v>—</v>
      </c>
      <c r="Z60" s="14" t="str">
        <f>_xll.BDH("GILD US Equity","COMMUNITY_SPEND_PCT_EQUITY","FY 2023","FY 2023","Currency=USD","Period=FQ","BEST_FPERIOD_OVERRIDE=FQ","FILING_STATUS=MR","Sort=A","Dates=H","DateFormat=P","Fill=—","Direction=H","UseDPDF=Y")</f>
        <v>—</v>
      </c>
      <c r="AA60" s="14" t="str">
        <f>_xll.BDH("GILD US Equity","COMMUNITY_SPEND_PCT_EQUITY","FY 2024","FY 2024","Currency=USD","Period=FQ","BEST_FPERIOD_OVERRIDE=FQ","FILING_STATUS=MR","Sort=A","Dates=H","DateFormat=P","Fill=—","Direction=H","UseDPDF=Y")</f>
        <v>—</v>
      </c>
    </row>
    <row r="61" spans="1:27" x14ac:dyDescent="0.25">
      <c r="A61" s="10" t="s">
        <v>2029</v>
      </c>
      <c r="B61" s="10" t="s">
        <v>2030</v>
      </c>
      <c r="C61" s="14" t="str">
        <f>_xll.BDH("GILD US Equity","POL_DONATIONS_PCT_PRETAX_PROFIT","FY 2000","FY 2000","Currency=USD","Period=FQ","BEST_FPERIOD_OVERRIDE=FQ","FILING_STATUS=MR","FA_ADJUSTED=GAAP","Sort=A","Dates=H","DateFormat=P","Fill=—","Direction=H","UseDPDF=Y")</f>
        <v>—</v>
      </c>
      <c r="D61" s="14" t="str">
        <f>_xll.BDH("GILD US Equity","POL_DONATIONS_PCT_PRETAX_PROFIT","FY 2001","FY 2001","Currency=USD","Period=FQ","BEST_FPERIOD_OVERRIDE=FQ","FILING_STATUS=MR","FA_ADJUSTED=GAAP","Sort=A","Dates=H","DateFormat=P","Fill=—","Direction=H","UseDPDF=Y")</f>
        <v>—</v>
      </c>
      <c r="E61" s="14" t="str">
        <f>_xll.BDH("GILD US Equity","POL_DONATIONS_PCT_PRETAX_PROFIT","FY 2002","FY 2002","Currency=USD","Period=FQ","BEST_FPERIOD_OVERRIDE=FQ","FILING_STATUS=MR","FA_ADJUSTED=GAAP","Sort=A","Dates=H","DateFormat=P","Fill=—","Direction=H","UseDPDF=Y")</f>
        <v>—</v>
      </c>
      <c r="F61" s="14" t="str">
        <f>_xll.BDH("GILD US Equity","POL_DONATIONS_PCT_PRETAX_PROFIT","FY 2003","FY 2003","Currency=USD","Period=FQ","BEST_FPERIOD_OVERRIDE=FQ","FILING_STATUS=MR","FA_ADJUSTED=GAAP","Sort=A","Dates=H","DateFormat=P","Fill=—","Direction=H","UseDPDF=Y")</f>
        <v>—</v>
      </c>
      <c r="G61" s="14" t="str">
        <f>_xll.BDH("GILD US Equity","POL_DONATIONS_PCT_PRETAX_PROFIT","FY 2004","FY 2004","Currency=USD","Period=FQ","BEST_FPERIOD_OVERRIDE=FQ","FILING_STATUS=MR","FA_ADJUSTED=GAAP","Sort=A","Dates=H","DateFormat=P","Fill=—","Direction=H","UseDPDF=Y")</f>
        <v>—</v>
      </c>
      <c r="H61" s="14" t="str">
        <f>_xll.BDH("GILD US Equity","POL_DONATIONS_PCT_PRETAX_PROFIT","FY 2005","FY 2005","Currency=USD","Period=FQ","BEST_FPERIOD_OVERRIDE=FQ","FILING_STATUS=MR","FA_ADJUSTED=GAAP","Sort=A","Dates=H","DateFormat=P","Fill=—","Direction=H","UseDPDF=Y")</f>
        <v>—</v>
      </c>
      <c r="I61" s="14" t="str">
        <f>_xll.BDH("GILD US Equity","POL_DONATIONS_PCT_PRETAX_PROFIT","FY 2006","FY 2006","Currency=USD","Period=FQ","BEST_FPERIOD_OVERRIDE=FQ","FILING_STATUS=MR","FA_ADJUSTED=GAAP","Sort=A","Dates=H","DateFormat=P","Fill=—","Direction=H","UseDPDF=Y")</f>
        <v>—</v>
      </c>
      <c r="J61" s="14" t="str">
        <f>_xll.BDH("GILD US Equity","POL_DONATIONS_PCT_PRETAX_PROFIT","FY 2007","FY 2007","Currency=USD","Period=FQ","BEST_FPERIOD_OVERRIDE=FQ","FILING_STATUS=MR","FA_ADJUSTED=GAAP","Sort=A","Dates=H","DateFormat=P","Fill=—","Direction=H","UseDPDF=Y")</f>
        <v>—</v>
      </c>
      <c r="K61" s="14" t="str">
        <f>_xll.BDH("GILD US Equity","POL_DONATIONS_PCT_PRETAX_PROFIT","FY 2008","FY 2008","Currency=USD","Period=FQ","BEST_FPERIOD_OVERRIDE=FQ","FILING_STATUS=MR","FA_ADJUSTED=GAAP","Sort=A","Dates=H","DateFormat=P","Fill=—","Direction=H","UseDPDF=Y")</f>
        <v>—</v>
      </c>
      <c r="L61" s="14" t="str">
        <f>_xll.BDH("GILD US Equity","POL_DONATIONS_PCT_PRETAX_PROFIT","FY 2009","FY 2009","Currency=USD","Period=FQ","BEST_FPERIOD_OVERRIDE=FQ","FILING_STATUS=MR","FA_ADJUSTED=GAAP","Sort=A","Dates=H","DateFormat=P","Fill=—","Direction=H","UseDPDF=Y")</f>
        <v>—</v>
      </c>
      <c r="M61" s="14" t="str">
        <f>_xll.BDH("GILD US Equity","POL_DONATIONS_PCT_PRETAX_PROFIT","FY 2010","FY 2010","Currency=USD","Period=FQ","BEST_FPERIOD_OVERRIDE=FQ","FILING_STATUS=MR","FA_ADJUSTED=GAAP","Sort=A","Dates=H","DateFormat=P","Fill=—","Direction=H","UseDPDF=Y")</f>
        <v>—</v>
      </c>
      <c r="N61" s="14" t="str">
        <f>_xll.BDH("GILD US Equity","POL_DONATIONS_PCT_PRETAX_PROFIT","FY 2011","FY 2011","Currency=USD","Period=FQ","BEST_FPERIOD_OVERRIDE=FQ","FILING_STATUS=MR","FA_ADJUSTED=GAAP","Sort=A","Dates=H","DateFormat=P","Fill=—","Direction=H","UseDPDF=Y")</f>
        <v>—</v>
      </c>
      <c r="O61" s="14" t="str">
        <f>_xll.BDH("GILD US Equity","POL_DONATIONS_PCT_PRETAX_PROFIT","FY 2012","FY 2012","Currency=USD","Period=FQ","BEST_FPERIOD_OVERRIDE=FQ","FILING_STATUS=MR","FA_ADJUSTED=GAAP","Sort=A","Dates=H","DateFormat=P","Fill=—","Direction=H","UseDPDF=Y")</f>
        <v>—</v>
      </c>
      <c r="P61" s="14" t="str">
        <f>_xll.BDH("GILD US Equity","POL_DONATIONS_PCT_PRETAX_PROFIT","FY 2013","FY 2013","Currency=USD","Period=FQ","BEST_FPERIOD_OVERRIDE=FQ","FILING_STATUS=MR","FA_ADJUSTED=GAAP","Sort=A","Dates=H","DateFormat=P","Fill=—","Direction=H","UseDPDF=Y")</f>
        <v>—</v>
      </c>
      <c r="Q61" s="14" t="str">
        <f>_xll.BDH("GILD US Equity","POL_DONATIONS_PCT_PRETAX_PROFIT","FY 2014","FY 2014","Currency=USD","Period=FQ","BEST_FPERIOD_OVERRIDE=FQ","FILING_STATUS=MR","FA_ADJUSTED=GAAP","Sort=A","Dates=H","DateFormat=P","Fill=—","Direction=H","UseDPDF=Y")</f>
        <v>—</v>
      </c>
      <c r="R61" s="14" t="str">
        <f>_xll.BDH("GILD US Equity","POL_DONATIONS_PCT_PRETAX_PROFIT","FY 2015","FY 2015","Currency=USD","Period=FQ","BEST_FPERIOD_OVERRIDE=FQ","FILING_STATUS=MR","FA_ADJUSTED=GAAP","Sort=A","Dates=H","DateFormat=P","Fill=—","Direction=H","UseDPDF=Y")</f>
        <v>—</v>
      </c>
      <c r="S61" s="14" t="str">
        <f>_xll.BDH("GILD US Equity","POL_DONATIONS_PCT_PRETAX_PROFIT","FY 2016","FY 2016","Currency=USD","Period=FQ","BEST_FPERIOD_OVERRIDE=FQ","FILING_STATUS=MR","FA_ADJUSTED=GAAP","Sort=A","Dates=H","DateFormat=P","Fill=—","Direction=H","UseDPDF=Y")</f>
        <v>—</v>
      </c>
      <c r="T61" s="14" t="str">
        <f>_xll.BDH("GILD US Equity","POL_DONATIONS_PCT_PRETAX_PROFIT","FY 2017","FY 2017","Currency=USD","Period=FQ","BEST_FPERIOD_OVERRIDE=FQ","FILING_STATUS=MR","FA_ADJUSTED=GAAP","Sort=A","Dates=H","DateFormat=P","Fill=—","Direction=H","UseDPDF=Y")</f>
        <v>—</v>
      </c>
      <c r="U61" s="14" t="str">
        <f>_xll.BDH("GILD US Equity","POL_DONATIONS_PCT_PRETAX_PROFIT","FY 2018","FY 2018","Currency=USD","Period=FQ","BEST_FPERIOD_OVERRIDE=FQ","FILING_STATUS=MR","FA_ADJUSTED=GAAP","Sort=A","Dates=H","DateFormat=P","Fill=—","Direction=H","UseDPDF=Y")</f>
        <v>—</v>
      </c>
      <c r="V61" s="14" t="str">
        <f>_xll.BDH("GILD US Equity","POL_DONATIONS_PCT_PRETAX_PROFIT","FY 2019","FY 2019","Currency=USD","Period=FQ","BEST_FPERIOD_OVERRIDE=FQ","FILING_STATUS=MR","FA_ADJUSTED=GAAP","Sort=A","Dates=H","DateFormat=P","Fill=—","Direction=H","UseDPDF=Y")</f>
        <v>—</v>
      </c>
      <c r="W61" s="14" t="str">
        <f>_xll.BDH("GILD US Equity","POL_DONATIONS_PCT_PRETAX_PROFIT","FY 2020","FY 2020","Currency=USD","Period=FQ","BEST_FPERIOD_OVERRIDE=FQ","FILING_STATUS=MR","FA_ADJUSTED=GAAP","Sort=A","Dates=H","DateFormat=P","Fill=—","Direction=H","UseDPDF=Y")</f>
        <v>—</v>
      </c>
      <c r="X61" s="14" t="str">
        <f>_xll.BDH("GILD US Equity","POL_DONATIONS_PCT_PRETAX_PROFIT","FY 2021","FY 2021","Currency=USD","Period=FQ","BEST_FPERIOD_OVERRIDE=FQ","FILING_STATUS=MR","FA_ADJUSTED=GAAP","Sort=A","Dates=H","DateFormat=P","Fill=—","Direction=H","UseDPDF=Y")</f>
        <v>—</v>
      </c>
      <c r="Y61" s="14" t="str">
        <f>_xll.BDH("GILD US Equity","POL_DONATIONS_PCT_PRETAX_PROFIT","FY 2022","FY 2022","Currency=USD","Period=FQ","BEST_FPERIOD_OVERRIDE=FQ","FILING_STATUS=MR","FA_ADJUSTED=GAAP","Sort=A","Dates=H","DateFormat=P","Fill=—","Direction=H","UseDPDF=Y")</f>
        <v>—</v>
      </c>
      <c r="Z61" s="14" t="str">
        <f>_xll.BDH("GILD US Equity","POL_DONATIONS_PCT_PRETAX_PROFIT","FY 2023","FY 2023","Currency=USD","Period=FQ","BEST_FPERIOD_OVERRIDE=FQ","FILING_STATUS=MR","FA_ADJUSTED=GAAP","Sort=A","Dates=H","DateFormat=P","Fill=—","Direction=H","UseDPDF=Y")</f>
        <v>—</v>
      </c>
      <c r="AA61" s="14" t="str">
        <f>_xll.BDH("GILD US Equity","POL_DONATIONS_PCT_PRETAX_PROFIT","FY 2024","FY 2024","Currency=USD","Period=FQ","BEST_FPERIOD_OVERRIDE=FQ","FILING_STATUS=MR","FA_ADJUSTED=GAAP","Sort=A","Dates=H","DateFormat=P","Fill=—","Direction=H","UseDPDF=Y")</f>
        <v>—</v>
      </c>
    </row>
    <row r="62" spans="1:27" x14ac:dyDescent="0.25">
      <c r="A62" s="10" t="s">
        <v>2031</v>
      </c>
      <c r="B62" s="10" t="s">
        <v>2032</v>
      </c>
      <c r="C62" s="14" t="str">
        <f>_xll.BDH("GILD US Equity","RD_EXPENDITURES_PER_CASH_FLOW","FY 2000","FY 2000","Currency=USD","Period=FQ","BEST_FPERIOD_OVERRIDE=FQ","FILING_STATUS=MR","Sort=A","Dates=H","DateFormat=P","Fill=—","Direction=H","UseDPDF=Y")</f>
        <v>—</v>
      </c>
      <c r="D62" s="14">
        <f>_xll.BDH("GILD US Equity","RD_EXPENDITURES_PER_CASH_FLOW","FY 2001","FY 2001","Currency=USD","Period=FQ","BEST_FPERIOD_OVERRIDE=FQ","FILING_STATUS=MR","Sort=A","Dates=H","DateFormat=P","Fill=—","Direction=H","UseDPDF=Y")</f>
        <v>-1.3035000000000001</v>
      </c>
      <c r="E62" s="14">
        <f>_xll.BDH("GILD US Equity","RD_EXPENDITURES_PER_CASH_FLOW","FY 2002","FY 2002","Currency=USD","Period=FQ","BEST_FPERIOD_OVERRIDE=FQ","FILING_STATUS=MR","Sort=A","Dates=H","DateFormat=P","Fill=—","Direction=H","UseDPDF=Y")</f>
        <v>0.98499999999999999</v>
      </c>
      <c r="F62" s="14">
        <f>_xll.BDH("GILD US Equity","RD_EXPENDITURES_PER_CASH_FLOW","FY 2003","FY 2003","Currency=USD","Period=FQ","BEST_FPERIOD_OVERRIDE=FQ","FILING_STATUS=MR","Sort=A","Dates=H","DateFormat=P","Fill=—","Direction=H","UseDPDF=Y")</f>
        <v>0.58950000000000002</v>
      </c>
      <c r="G62" s="14">
        <f>_xll.BDH("GILD US Equity","RD_EXPENDITURES_PER_CASH_FLOW","FY 2004","FY 2004","Currency=USD","Period=FQ","BEST_FPERIOD_OVERRIDE=FQ","FILING_STATUS=MR","Sort=A","Dates=H","DateFormat=P","Fill=—","Direction=H","UseDPDF=Y")</f>
        <v>0.6048</v>
      </c>
      <c r="H62" s="14">
        <f>_xll.BDH("GILD US Equity","RD_EXPENDITURES_PER_CASH_FLOW","FY 2005","FY 2005","Currency=USD","Period=FQ","BEST_FPERIOD_OVERRIDE=FQ","FILING_STATUS=MR","Sort=A","Dates=H","DateFormat=P","Fill=—","Direction=H","UseDPDF=Y")</f>
        <v>0.20200000000000001</v>
      </c>
      <c r="I62" s="14">
        <f>_xll.BDH("GILD US Equity","RD_EXPENDITURES_PER_CASH_FLOW","FY 2006","FY 2006","Currency=USD","Period=FQ","BEST_FPERIOD_OVERRIDE=FQ","FILING_STATUS=MR","Sort=A","Dates=H","DateFormat=P","Fill=—","Direction=H","UseDPDF=Y")</f>
        <v>0.23280000000000001</v>
      </c>
      <c r="J62" s="14">
        <f>_xll.BDH("GILD US Equity","RD_EXPENDITURES_PER_CASH_FLOW","FY 2007","FY 2007","Currency=USD","Period=FQ","BEST_FPERIOD_OVERRIDE=FQ","FILING_STATUS=MR","Sort=A","Dates=H","DateFormat=P","Fill=—","Direction=H","UseDPDF=Y")</f>
        <v>0.36070000000000002</v>
      </c>
      <c r="K62" s="14">
        <f>_xll.BDH("GILD US Equity","RD_EXPENDITURES_PER_CASH_FLOW","FY 2008","FY 2008","Currency=USD","Period=FQ","BEST_FPERIOD_OVERRIDE=FQ","FILING_STATUS=MR","Sort=A","Dates=H","DateFormat=P","Fill=—","Direction=H","UseDPDF=Y")</f>
        <v>0.31040000000000001</v>
      </c>
      <c r="L62" s="14">
        <f>_xll.BDH("GILD US Equity","RD_EXPENDITURES_PER_CASH_FLOW","FY 2009","FY 2009","Currency=USD","Period=FQ","BEST_FPERIOD_OVERRIDE=FQ","FILING_STATUS=MR","Sort=A","Dates=H","DateFormat=P","Fill=—","Direction=H","UseDPDF=Y")</f>
        <v>0.25090000000000001</v>
      </c>
      <c r="M62" s="14">
        <f>_xll.BDH("GILD US Equity","RD_EXPENDITURES_PER_CASH_FLOW","FY 2010","FY 2010","Currency=USD","Period=FQ","BEST_FPERIOD_OVERRIDE=FQ","FILING_STATUS=MR","Sort=A","Dates=H","DateFormat=P","Fill=—","Direction=H","UseDPDF=Y")</f>
        <v>0.54190000000000005</v>
      </c>
      <c r="N62" s="14">
        <f>_xll.BDH("GILD US Equity","RD_EXPENDITURES_PER_CASH_FLOW","FY 2011","FY 2011","Currency=USD","Period=FQ","BEST_FPERIOD_OVERRIDE=FQ","FILING_STATUS=MR","Sort=A","Dates=H","DateFormat=P","Fill=—","Direction=H","UseDPDF=Y")</f>
        <v>0.41120000000000001</v>
      </c>
      <c r="O62" s="14">
        <f>_xll.BDH("GILD US Equity","RD_EXPENDITURES_PER_CASH_FLOW","FY 2012","FY 2012","Currency=USD","Period=FQ","BEST_FPERIOD_OVERRIDE=FQ","FILING_STATUS=MR","Sort=A","Dates=H","DateFormat=P","Fill=—","Direction=H","UseDPDF=Y")</f>
        <v>0.62270000000000003</v>
      </c>
      <c r="P62" s="14">
        <f>_xll.BDH("GILD US Equity","RD_EXPENDITURES_PER_CASH_FLOW","FY 2013","FY 2013","Currency=USD","Period=FQ","BEST_FPERIOD_OVERRIDE=FQ","FILING_STATUS=MR","Sort=A","Dates=H","DateFormat=P","Fill=—","Direction=H","UseDPDF=Y")</f>
        <v>0.75949999999999995</v>
      </c>
      <c r="Q62" s="14">
        <f>_xll.BDH("GILD US Equity","RD_EXPENDITURES_PER_CASH_FLOW","FY 2014","FY 2014","Currency=USD","Period=FQ","BEST_FPERIOD_OVERRIDE=FQ","FILING_STATUS=MR","Sort=A","Dates=H","DateFormat=P","Fill=—","Direction=H","UseDPDF=Y")</f>
        <v>0.34599999999999997</v>
      </c>
      <c r="R62" s="14">
        <f>_xll.BDH("GILD US Equity","RD_EXPENDITURES_PER_CASH_FLOW","FY 2015","FY 2015","Currency=USD","Period=FQ","BEST_FPERIOD_OVERRIDE=FQ","FILING_STATUS=MR","Sort=A","Dates=H","DateFormat=P","Fill=—","Direction=H","UseDPDF=Y")</f>
        <v>0.15529999999999999</v>
      </c>
      <c r="S62" s="14">
        <f>_xll.BDH("GILD US Equity","RD_EXPENDITURES_PER_CASH_FLOW","FY 2016","FY 2016","Currency=USD","Period=FQ","BEST_FPERIOD_OVERRIDE=FQ","FILING_STATUS=MR","Sort=A","Dates=H","DateFormat=P","Fill=—","Direction=H","UseDPDF=Y")</f>
        <v>0.34129999999999999</v>
      </c>
      <c r="T62" s="14">
        <f>_xll.BDH("GILD US Equity","RD_EXPENDITURES_PER_CASH_FLOW","FY 2017","FY 2017","Currency=USD","Period=FQ","BEST_FPERIOD_OVERRIDE=FQ","FILING_STATUS=MR","Sort=A","Dates=H","DateFormat=P","Fill=—","Direction=H","UseDPDF=Y")</f>
        <v>0.41770000000000002</v>
      </c>
      <c r="U62" s="14">
        <f>_xll.BDH("GILD US Equity","RD_EXPENDITURES_PER_CASH_FLOW","FY 2018","FY 2018","Currency=USD","Period=FQ","BEST_FPERIOD_OVERRIDE=FQ","FILING_STATUS=MR","Sort=A","Dates=H","DateFormat=P","Fill=—","Direction=H","UseDPDF=Y")</f>
        <v>0.83160000000000001</v>
      </c>
      <c r="V62" s="14">
        <f>_xll.BDH("GILD US Equity","RD_EXPENDITURES_PER_CASH_FLOW","FY 2019","FY 2019","Currency=USD","Period=FQ","BEST_FPERIOD_OVERRIDE=FQ","FILING_STATUS=MR","Sort=A","Dates=H","DateFormat=P","Fill=—","Direction=H","UseDPDF=Y")</f>
        <v>0.73599999999999999</v>
      </c>
      <c r="W62" s="14">
        <f>_xll.BDH("GILD US Equity","RD_EXPENDITURES_PER_CASH_FLOW","FY 2020","FY 2020","Currency=USD","Period=FQ","BEST_FPERIOD_OVERRIDE=FQ","FILING_STATUS=MR","Sort=A","Dates=H","DateFormat=P","Fill=—","Direction=H","UseDPDF=Y")</f>
        <v>0.8236</v>
      </c>
      <c r="X62" s="14">
        <f>_xll.BDH("GILD US Equity","RD_EXPENDITURES_PER_CASH_FLOW","FY 2021","FY 2021","Currency=USD","Period=FQ","BEST_FPERIOD_OVERRIDE=FQ","FILING_STATUS=MR","Sort=A","Dates=H","DateFormat=P","Fill=—","Direction=H","UseDPDF=Y")</f>
        <v>0.42370000000000002</v>
      </c>
      <c r="Y62" s="14">
        <f>_xll.BDH("GILD US Equity","RD_EXPENDITURES_PER_CASH_FLOW","FY 2022","FY 2022","Currency=USD","Period=FQ","BEST_FPERIOD_OVERRIDE=FQ","FILING_STATUS=MR","Sort=A","Dates=H","DateFormat=P","Fill=—","Direction=H","UseDPDF=Y")</f>
        <v>0.60299999999999998</v>
      </c>
      <c r="Z62" s="14">
        <f>_xll.BDH("GILD US Equity","RD_EXPENDITURES_PER_CASH_FLOW","FY 2023","FY 2023","Currency=USD","Period=FQ","BEST_FPERIOD_OVERRIDE=FQ","FILING_STATUS=MR","Sort=A","Dates=H","DateFormat=P","Fill=—","Direction=H","UseDPDF=Y")</f>
        <v>0.64910000000000001</v>
      </c>
      <c r="AA62" s="14">
        <f>_xll.BDH("GILD US Equity","RD_EXPENDITURES_PER_CASH_FLOW","FY 2024","FY 2024","Currency=USD","Period=FQ","BEST_FPERIOD_OVERRIDE=FQ","FILING_STATUS=MR","Sort=A","Dates=H","DateFormat=P","Fill=—","Direction=H","UseDPDF=Y")</f>
        <v>0.55159999999999998</v>
      </c>
    </row>
    <row r="63" spans="1:27" x14ac:dyDescent="0.25">
      <c r="A63" s="10" t="s">
        <v>2033</v>
      </c>
      <c r="B63" s="10" t="s">
        <v>2034</v>
      </c>
      <c r="C63" s="14">
        <f>_xll.BDH("GILD US Equity","ACTUAL_NET_INCOME_PER_EMPLOYEE","FY 2000","FY 2000","Currency=USD","Period=FQ","BEST_FPERIOD_OVERRIDE=FQ","FILING_STATUS=MR","FA_ADJUSTED=GAAP","Sort=A","Dates=H","DateFormat=P","Fill=—","Direction=H","UseDPDF=Y")</f>
        <v>-34429.411800000002</v>
      </c>
      <c r="D63" s="14">
        <f>_xll.BDH("GILD US Equity","ACTUAL_NET_INCOME_PER_EMPLOYEE","FY 2001","FY 2001","Currency=USD","Period=FQ","BEST_FPERIOD_OVERRIDE=FQ","FILING_STATUS=MR","FA_ADJUSTED=GAAP","Sort=A","Dates=H","DateFormat=P","Fill=—","Direction=H","UseDPDF=Y")</f>
        <v>131577</v>
      </c>
      <c r="E63" s="14">
        <f>_xll.BDH("GILD US Equity","ACTUAL_NET_INCOME_PER_EMPLOYEE","FY 2002","FY 2002","Currency=USD","Period=FQ","BEST_FPERIOD_OVERRIDE=FQ","FILING_STATUS=MR","FA_ADJUSTED=GAAP","Sort=A","Dates=H","DateFormat=P","Fill=—","Direction=H","UseDPDF=Y")</f>
        <v>28383.200000000001</v>
      </c>
      <c r="F63" s="14">
        <f>_xll.BDH("GILD US Equity","ACTUAL_NET_INCOME_PER_EMPLOYEE","FY 2003","FY 2003","Currency=USD","Period=FQ","BEST_FPERIOD_OVERRIDE=FQ","FILING_STATUS=MR","FA_ADJUSTED=GAAP","Sort=A","Dates=H","DateFormat=P","Fill=—","Direction=H","UseDPDF=Y")</f>
        <v>135145.96489999999</v>
      </c>
      <c r="G63" s="14">
        <f>_xll.BDH("GILD US Equity","ACTUAL_NET_INCOME_PER_EMPLOYEE","FY 2004","FY 2004","Currency=USD","Period=FQ","BEST_FPERIOD_OVERRIDE=FQ","FILING_STATUS=MR","FA_ADJUSTED=GAAP","Sort=A","Dates=H","DateFormat=P","Fill=—","Direction=H","UseDPDF=Y")</f>
        <v>66652.357900000003</v>
      </c>
      <c r="H63" s="14">
        <f>_xll.BDH("GILD US Equity","ACTUAL_NET_INCOME_PER_EMPLOYEE","FY 2005","FY 2005","Currency=USD","Period=FQ","BEST_FPERIOD_OVERRIDE=FQ","FILING_STATUS=MR","FA_ADJUSTED=GAAP","Sort=A","Dates=H","DateFormat=P","Fill=—","Direction=H","UseDPDF=Y")</f>
        <v>148211.57889999999</v>
      </c>
      <c r="I63" s="14">
        <f>_xll.BDH("GILD US Equity","ACTUAL_NET_INCOME_PER_EMPLOYEE","FY 2006","FY 2006","Currency=USD","Period=FQ","BEST_FPERIOD_OVERRIDE=FQ","FILING_STATUS=MR","FA_ADJUSTED=GAAP","Sort=A","Dates=H","DateFormat=P","Fill=—","Direction=H","UseDPDF=Y")</f>
        <v>-662285.0895</v>
      </c>
      <c r="J63" s="14">
        <f>_xll.BDH("GILD US Equity","ACTUAL_NET_INCOME_PER_EMPLOYEE","FY 2007","FY 2007","Currency=USD","Period=FQ","BEST_FPERIOD_OVERRIDE=FQ","FILING_STATUS=MR","FA_ADJUSTED=GAAP","Sort=A","Dates=H","DateFormat=P","Fill=—","Direction=H","UseDPDF=Y")</f>
        <v>134824.43770000001</v>
      </c>
      <c r="K63" s="14">
        <f>_xll.BDH("GILD US Equity","ACTUAL_NET_INCOME_PER_EMPLOYEE","FY 2008","FY 2008","Currency=USD","Period=FQ","BEST_FPERIOD_OVERRIDE=FQ","FILING_STATUS=MR","FA_ADJUSTED=GAAP","Sort=A","Dates=H","DateFormat=P","Fill=—","Direction=H","UseDPDF=Y")</f>
        <v>172106.36439999999</v>
      </c>
      <c r="L63" s="14">
        <f>_xll.BDH("GILD US Equity","ACTUAL_NET_INCOME_PER_EMPLOYEE","FY 2009","FY 2009","Currency=USD","Period=FQ","BEST_FPERIOD_OVERRIDE=FQ","FILING_STATUS=MR","FA_ADJUSTED=GAAP","Sort=A","Dates=H","DateFormat=P","Fill=—","Direction=H","UseDPDF=Y")</f>
        <v>208258.56700000001</v>
      </c>
      <c r="M63" s="14">
        <f>_xll.BDH("GILD US Equity","ACTUAL_NET_INCOME_PER_EMPLOYEE","FY 2010","FY 2010","Currency=USD","Period=FQ","BEST_FPERIOD_OVERRIDE=FQ","FILING_STATUS=MR","FA_ADJUSTED=GAAP","Sort=A","Dates=H","DateFormat=P","Fill=—","Direction=H","UseDPDF=Y")</f>
        <v>157354.75</v>
      </c>
      <c r="N63" s="14">
        <f>_xll.BDH("GILD US Equity","ACTUAL_NET_INCOME_PER_EMPLOYEE","FY 2011","FY 2011","Currency=USD","Period=FQ","BEST_FPERIOD_OVERRIDE=FQ","FILING_STATUS=MR","FA_ADJUSTED=GAAP","Sort=A","Dates=H","DateFormat=P","Fill=—","Direction=H","UseDPDF=Y")</f>
        <v>147810</v>
      </c>
      <c r="O63" s="14">
        <f>_xll.BDH("GILD US Equity","ACTUAL_NET_INCOME_PER_EMPLOYEE","FY 2012","FY 2012","Currency=USD","Period=FQ","BEST_FPERIOD_OVERRIDE=FQ","FILING_STATUS=MR","FA_ADJUSTED=GAAP","Sort=A","Dates=H","DateFormat=P","Fill=—","Direction=H","UseDPDF=Y")</f>
        <v>152508.20000000001</v>
      </c>
      <c r="P63" s="14">
        <f>_xll.BDH("GILD US Equity","ACTUAL_NET_INCOME_PER_EMPLOYEE","FY 2013","FY 2013","Currency=USD","Period=FQ","BEST_FPERIOD_OVERRIDE=FQ","FILING_STATUS=MR","FA_ADJUSTED=GAAP","Sort=A","Dates=H","DateFormat=P","Fill=—","Direction=H","UseDPDF=Y")</f>
        <v>129672.1311</v>
      </c>
      <c r="Q63" s="14">
        <f>_xll.BDH("GILD US Equity","ACTUAL_NET_INCOME_PER_EMPLOYEE","FY 2014","FY 2014","Currency=USD","Period=FQ","BEST_FPERIOD_OVERRIDE=FQ","FILING_STATUS=MR","FA_ADJUSTED=GAAP","Sort=A","Dates=H","DateFormat=P","Fill=—","Direction=H","UseDPDF=Y")</f>
        <v>498142.85710000002</v>
      </c>
      <c r="R63" s="14">
        <f>_xll.BDH("GILD US Equity","ACTUAL_NET_INCOME_PER_EMPLOYEE","FY 2015","FY 2015","Currency=USD","Period=FQ","BEST_FPERIOD_OVERRIDE=FQ","FILING_STATUS=MR","FA_ADJUSTED=GAAP","Sort=A","Dates=H","DateFormat=P","Fill=—","Direction=H","UseDPDF=Y")</f>
        <v>585375</v>
      </c>
      <c r="S63" s="14">
        <f>_xll.BDH("GILD US Equity","ACTUAL_NET_INCOME_PER_EMPLOYEE","FY 2016","FY 2016","Currency=USD","Period=FQ","BEST_FPERIOD_OVERRIDE=FQ","FILING_STATUS=MR","FA_ADJUSTED=GAAP","Sort=A","Dates=H","DateFormat=P","Fill=—","Direction=H","UseDPDF=Y")</f>
        <v>345333.3333</v>
      </c>
      <c r="T63" s="14">
        <f>_xll.BDH("GILD US Equity","ACTUAL_NET_INCOME_PER_EMPLOYEE","FY 2017","FY 2017","Currency=USD","Period=FQ","BEST_FPERIOD_OVERRIDE=FQ","FILING_STATUS=MR","FA_ADJUSTED=GAAP","Sort=A","Dates=H","DateFormat=P","Fill=—","Direction=H","UseDPDF=Y")</f>
        <v>-386500</v>
      </c>
      <c r="U63" s="14">
        <f>_xll.BDH("GILD US Equity","ACTUAL_NET_INCOME_PER_EMPLOYEE","FY 2018","FY 2018","Currency=USD","Period=FQ","BEST_FPERIOD_OVERRIDE=FQ","FILING_STATUS=MR","FA_ADJUSTED=GAAP","Sort=A","Dates=H","DateFormat=P","Fill=—","Direction=H","UseDPDF=Y")</f>
        <v>272.72730000000001</v>
      </c>
      <c r="V63" s="14">
        <f>_xll.BDH("GILD US Equity","ACTUAL_NET_INCOME_PER_EMPLOYEE","FY 2019","FY 2019","Currency=USD","Period=FQ","BEST_FPERIOD_OVERRIDE=FQ","FILING_STATUS=MR","FA_ADJUSTED=GAAP","Sort=A","Dates=H","DateFormat=P","Fill=—","Direction=H","UseDPDF=Y")</f>
        <v>228474.57629999999</v>
      </c>
      <c r="W63" s="14">
        <f>_xll.BDH("GILD US Equity","ACTUAL_NET_INCOME_PER_EMPLOYEE","FY 2020","FY 2020","Currency=USD","Period=FQ","BEST_FPERIOD_OVERRIDE=FQ","FILING_STATUS=MR","FA_ADJUSTED=GAAP","Sort=A","Dates=H","DateFormat=P","Fill=—","Direction=H","UseDPDF=Y")</f>
        <v>114044.1176</v>
      </c>
      <c r="X63" s="14">
        <f>_xll.BDH("GILD US Equity","ACTUAL_NET_INCOME_PER_EMPLOYEE","FY 2021","FY 2021","Currency=USD","Period=FQ","BEST_FPERIOD_OVERRIDE=FQ","FILING_STATUS=MR","FA_ADJUSTED=GAAP","Sort=A","Dates=H","DateFormat=P","Fill=—","Direction=H","UseDPDF=Y")</f>
        <v>26527.7778</v>
      </c>
      <c r="Y63" s="14">
        <f>_xll.BDH("GILD US Equity","ACTUAL_NET_INCOME_PER_EMPLOYEE","FY 2022","FY 2022","Currency=USD","Period=FQ","BEST_FPERIOD_OVERRIDE=FQ","FILING_STATUS=MR","FA_ADJUSTED=GAAP","Sort=A","Dates=H","DateFormat=P","Fill=—","Direction=H","UseDPDF=Y")</f>
        <v>96470.588199999998</v>
      </c>
      <c r="Z63" s="14">
        <f>_xll.BDH("GILD US Equity","ACTUAL_NET_INCOME_PER_EMPLOYEE","FY 2023","FY 2023","Currency=USD","Period=FQ","BEST_FPERIOD_OVERRIDE=FQ","FILING_STATUS=MR","FA_ADJUSTED=GAAP","Sort=A","Dates=H","DateFormat=P","Fill=—","Direction=H","UseDPDF=Y")</f>
        <v>79388.888900000005</v>
      </c>
      <c r="AA63" s="14">
        <f>_xll.BDH("GILD US Equity","ACTUAL_NET_INCOME_PER_EMPLOYEE","FY 2024","FY 2024","Currency=USD","Period=FQ","BEST_FPERIOD_OVERRIDE=FQ","FILING_STATUS=MR","FA_ADJUSTED=GAAP","Sort=A","Dates=H","DateFormat=P","Fill=—","Direction=H","UseDPDF=Y")</f>
        <v>101306.81819999999</v>
      </c>
    </row>
    <row r="64" spans="1:27" x14ac:dyDescent="0.25">
      <c r="A64" s="10" t="s">
        <v>2035</v>
      </c>
      <c r="B64" s="10" t="s">
        <v>2036</v>
      </c>
      <c r="C64" s="14">
        <f>_xll.BDH("GILD US Equity","CASH_FLOW_PER_EMPLOYEE","FY 2000","FY 2000","Currency=USD","Period=FQ","BEST_FPERIOD_OVERRIDE=FQ","FILING_STATUS=MR","Sort=A","Dates=H","DateFormat=P","Fill=—","Direction=H","UseDPDF=Y")</f>
        <v>-27538.823499999999</v>
      </c>
      <c r="D64" s="14">
        <f>_xll.BDH("GILD US Equity","CASH_FLOW_PER_EMPLOYEE","FY 2001","FY 2001","Currency=USD","Period=FQ","BEST_FPERIOD_OVERRIDE=FQ","FILING_STATUS=MR","Sort=A","Dates=H","DateFormat=P","Fill=—","Direction=H","UseDPDF=Y")</f>
        <v>-34217</v>
      </c>
      <c r="E64" s="14">
        <f>_xll.BDH("GILD US Equity","CASH_FLOW_PER_EMPLOYEE","FY 2002","FY 2002","Currency=USD","Period=FQ","BEST_FPERIOD_OVERRIDE=FQ","FILING_STATUS=MR","Sort=A","Dates=H","DateFormat=P","Fill=—","Direction=H","UseDPDF=Y")</f>
        <v>28438.400000000001</v>
      </c>
      <c r="F64" s="14">
        <f>_xll.BDH("GILD US Equity","CASH_FLOW_PER_EMPLOYEE","FY 2003","FY 2003","Currency=USD","Period=FQ","BEST_FPERIOD_OVERRIDE=FQ","FILING_STATUS=MR","Sort=A","Dates=H","DateFormat=P","Fill=—","Direction=H","UseDPDF=Y")</f>
        <v>70114.385999999999</v>
      </c>
      <c r="G64" s="14">
        <f>_xll.BDH("GILD US Equity","CASH_FLOW_PER_EMPLOYEE","FY 2004","FY 2004","Currency=USD","Period=FQ","BEST_FPERIOD_OVERRIDE=FQ","FILING_STATUS=MR","Sort=A","Dates=H","DateFormat=P","Fill=—","Direction=H","UseDPDF=Y")</f>
        <v>74998.790800000002</v>
      </c>
      <c r="H64" s="14">
        <f>_xll.BDH("GILD US Equity","CASH_FLOW_PER_EMPLOYEE","FY 2005","FY 2005","Currency=USD","Period=FQ","BEST_FPERIOD_OVERRIDE=FQ","FILING_STATUS=MR","Sort=A","Dates=H","DateFormat=P","Fill=—","Direction=H","UseDPDF=Y")</f>
        <v>179183.68419999999</v>
      </c>
      <c r="I64" s="14">
        <f>_xll.BDH("GILD US Equity","CASH_FLOW_PER_EMPLOYEE","FY 2006","FY 2006","Currency=USD","Period=FQ","BEST_FPERIOD_OVERRIDE=FQ","FILING_STATUS=MR","Sort=A","Dates=H","DateFormat=P","Fill=—","Direction=H","UseDPDF=Y")</f>
        <v>190659.2445</v>
      </c>
      <c r="J64" s="14">
        <f>_xll.BDH("GILD US Equity","CASH_FLOW_PER_EMPLOYEE","FY 2007","FY 2007","Currency=USD","Period=FQ","BEST_FPERIOD_OVERRIDE=FQ","FILING_STATUS=MR","Sort=A","Dates=H","DateFormat=P","Fill=—","Direction=H","UseDPDF=Y")</f>
        <v>171865.05540000001</v>
      </c>
      <c r="K64" s="14">
        <f>_xll.BDH("GILD US Equity","CASH_FLOW_PER_EMPLOYEE","FY 2008","FY 2008","Currency=USD","Period=FQ","BEST_FPERIOD_OVERRIDE=FQ","FILING_STATUS=MR","Sort=A","Dates=H","DateFormat=P","Fill=—","Direction=H","UseDPDF=Y")</f>
        <v>189018.5992</v>
      </c>
      <c r="L64" s="14">
        <f>_xll.BDH("GILD US Equity","CASH_FLOW_PER_EMPLOYEE","FY 2009","FY 2009","Currency=USD","Period=FQ","BEST_FPERIOD_OVERRIDE=FQ","FILING_STATUS=MR","Sort=A","Dates=H","DateFormat=P","Fill=—","Direction=H","UseDPDF=Y")</f>
        <v>247994.80790000001</v>
      </c>
      <c r="M64" s="14">
        <f>_xll.BDH("GILD US Equity","CASH_FLOW_PER_EMPLOYEE","FY 2010","FY 2010","Currency=USD","Period=FQ","BEST_FPERIOD_OVERRIDE=FQ","FILING_STATUS=MR","Sort=A","Dates=H","DateFormat=P","Fill=—","Direction=H","UseDPDF=Y")</f>
        <v>181210.75</v>
      </c>
      <c r="N64" s="14">
        <f>_xll.BDH("GILD US Equity","CASH_FLOW_PER_EMPLOYEE","FY 2011","FY 2011","Currency=USD","Period=FQ","BEST_FPERIOD_OVERRIDE=FQ","FILING_STATUS=MR","Sort=A","Dates=H","DateFormat=P","Fill=—","Direction=H","UseDPDF=Y")</f>
        <v>217357.11110000001</v>
      </c>
      <c r="O64" s="14">
        <f>_xll.BDH("GILD US Equity","CASH_FLOW_PER_EMPLOYEE","FY 2012","FY 2012","Currency=USD","Period=FQ","BEST_FPERIOD_OVERRIDE=FQ","FILING_STATUS=MR","Sort=A","Dates=H","DateFormat=P","Fill=—","Direction=H","UseDPDF=Y")</f>
        <v>141202.4</v>
      </c>
      <c r="P64" s="14">
        <f>_xll.BDH("GILD US Equity","CASH_FLOW_PER_EMPLOYEE","FY 2013","FY 2013","Currency=USD","Period=FQ","BEST_FPERIOD_OVERRIDE=FQ","FILING_STATUS=MR","Sort=A","Dates=H","DateFormat=P","Fill=—","Direction=H","UseDPDF=Y")</f>
        <v>119147.37699999999</v>
      </c>
      <c r="Q64" s="14">
        <f>_xll.BDH("GILD US Equity","CASH_FLOW_PER_EMPLOYEE","FY 2014","FY 2014","Currency=USD","Period=FQ","BEST_FPERIOD_OVERRIDE=FQ","FILING_STATUS=MR","Sort=A","Dates=H","DateFormat=P","Fill=—","Direction=H","UseDPDF=Y")</f>
        <v>431523.85710000002</v>
      </c>
      <c r="R64" s="14">
        <f>_xll.BDH("GILD US Equity","CASH_FLOW_PER_EMPLOYEE","FY 2015","FY 2015","Currency=USD","Period=FQ","BEST_FPERIOD_OVERRIDE=FQ","FILING_STATUS=MR","Sort=A","Dates=H","DateFormat=P","Fill=—","Direction=H","UseDPDF=Y")</f>
        <v>609250</v>
      </c>
      <c r="S64" s="14">
        <f>_xll.BDH("GILD US Equity","CASH_FLOW_PER_EMPLOYEE","FY 2016","FY 2016","Currency=USD","Period=FQ","BEST_FPERIOD_OVERRIDE=FQ","FILING_STATUS=MR","Sort=A","Dates=H","DateFormat=P","Fill=—","Direction=H","UseDPDF=Y")</f>
        <v>393222.22220000002</v>
      </c>
      <c r="T64" s="14">
        <f>_xll.BDH("GILD US Equity","CASH_FLOW_PER_EMPLOYEE","FY 2017","FY 2017","Currency=USD","Period=FQ","BEST_FPERIOD_OVERRIDE=FQ","FILING_STATUS=MR","Sort=A","Dates=H","DateFormat=P","Fill=—","Direction=H","UseDPDF=Y")</f>
        <v>275300</v>
      </c>
      <c r="U64" s="14">
        <f>_xll.BDH("GILD US Equity","CASH_FLOW_PER_EMPLOYEE","FY 2018","FY 2018","Currency=USD","Period=FQ","BEST_FPERIOD_OVERRIDE=FQ","FILING_STATUS=MR","Sort=A","Dates=H","DateFormat=P","Fill=—","Direction=H","UseDPDF=Y")</f>
        <v>213181.81820000001</v>
      </c>
      <c r="V64" s="14">
        <f>_xll.BDH("GILD US Equity","CASH_FLOW_PER_EMPLOYEE","FY 2019","FY 2019","Currency=USD","Period=FQ","BEST_FPERIOD_OVERRIDE=FQ","FILING_STATUS=MR","Sort=A","Dates=H","DateFormat=P","Fill=—","Direction=H","UseDPDF=Y")</f>
        <v>218644.06779999999</v>
      </c>
      <c r="W64" s="14">
        <f>_xll.BDH("GILD US Equity","CASH_FLOW_PER_EMPLOYEE","FY 2020","FY 2020","Currency=USD","Period=FQ","BEST_FPERIOD_OVERRIDE=FQ","FILING_STATUS=MR","Sort=A","Dates=H","DateFormat=P","Fill=—","Direction=H","UseDPDF=Y")</f>
        <v>140882.3529</v>
      </c>
      <c r="X64" s="14">
        <f>_xll.BDH("GILD US Equity","CASH_FLOW_PER_EMPLOYEE","FY 2021","FY 2021","Currency=USD","Period=FQ","BEST_FPERIOD_OVERRIDE=FQ","FILING_STATUS=MR","Sort=A","Dates=H","DateFormat=P","Fill=—","Direction=H","UseDPDF=Y")</f>
        <v>222569.44440000001</v>
      </c>
      <c r="Y64" s="14">
        <f>_xll.BDH("GILD US Equity","CASH_FLOW_PER_EMPLOYEE","FY 2022","FY 2022","Currency=USD","Period=FQ","BEST_FPERIOD_OVERRIDE=FQ","FILING_STATUS=MR","Sort=A","Dates=H","DateFormat=P","Fill=—","Direction=H","UseDPDF=Y")</f>
        <v>151000</v>
      </c>
      <c r="Z64" s="14">
        <f>_xll.BDH("GILD US Equity","CASH_FLOW_PER_EMPLOYEE","FY 2023","FY 2023","Currency=USD","Period=FQ","BEST_FPERIOD_OVERRIDE=FQ","FILING_STATUS=MR","Sort=A","Dates=H","DateFormat=P","Fill=—","Direction=H","UseDPDF=Y")</f>
        <v>120500</v>
      </c>
      <c r="AA64" s="14">
        <f>_xll.BDH("GILD US Equity","CASH_FLOW_PER_EMPLOYEE","FY 2024","FY 2024","Currency=USD","Period=FQ","BEST_FPERIOD_OVERRIDE=FQ","FILING_STATUS=MR","Sort=A","Dates=H","DateFormat=P","Fill=—","Direction=H","UseDPDF=Y")</f>
        <v>169034.09090000001</v>
      </c>
    </row>
    <row r="65" spans="1:27" x14ac:dyDescent="0.25">
      <c r="A65" s="10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x14ac:dyDescent="0.25">
      <c r="A66" s="6" t="s">
        <v>2037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 x14ac:dyDescent="0.25">
      <c r="A67" s="10" t="s">
        <v>2038</v>
      </c>
      <c r="B67" s="10" t="s">
        <v>2039</v>
      </c>
      <c r="C67" s="14" t="str">
        <f>_xll.BDH("GILD US Equity","PCT_OF_NON_EXEC_DIR_ON_BRD","FY 2000","FY 2000","Currency=USD","Period=FQ","BEST_FPERIOD_OVERRIDE=FQ","FILING_STATUS=MR","Sort=A","Dates=H","DateFormat=P","Fill=—","Direction=H","UseDPDF=Y")</f>
        <v>—</v>
      </c>
      <c r="D67" s="14" t="str">
        <f>_xll.BDH("GILD US Equity","PCT_OF_NON_EXEC_DIR_ON_BRD","FY 2001","FY 2001","Currency=USD","Period=FQ","BEST_FPERIOD_OVERRIDE=FQ","FILING_STATUS=MR","Sort=A","Dates=H","DateFormat=P","Fill=—","Direction=H","UseDPDF=Y")</f>
        <v>—</v>
      </c>
      <c r="E67" s="14" t="str">
        <f>_xll.BDH("GILD US Equity","PCT_OF_NON_EXEC_DIR_ON_BRD","FY 2002","FY 2002","Currency=USD","Period=FQ","BEST_FPERIOD_OVERRIDE=FQ","FILING_STATUS=MR","Sort=A","Dates=H","DateFormat=P","Fill=—","Direction=H","UseDPDF=Y")</f>
        <v>—</v>
      </c>
      <c r="F67" s="14" t="str">
        <f>_xll.BDH("GILD US Equity","PCT_OF_NON_EXEC_DIR_ON_BRD","FY 2003","FY 2003","Currency=USD","Period=FQ","BEST_FPERIOD_OVERRIDE=FQ","FILING_STATUS=MR","Sort=A","Dates=H","DateFormat=P","Fill=—","Direction=H","UseDPDF=Y")</f>
        <v>—</v>
      </c>
      <c r="G67" s="14" t="str">
        <f>_xll.BDH("GILD US Equity","PCT_OF_NON_EXEC_DIR_ON_BRD","FY 2004","FY 2004","Currency=USD","Period=FQ","BEST_FPERIOD_OVERRIDE=FQ","FILING_STATUS=MR","Sort=A","Dates=H","DateFormat=P","Fill=—","Direction=H","UseDPDF=Y")</f>
        <v>—</v>
      </c>
      <c r="H67" s="14" t="str">
        <f>_xll.BDH("GILD US Equity","PCT_OF_NON_EXEC_DIR_ON_BRD","FY 2005","FY 2005","Currency=USD","Period=FQ","BEST_FPERIOD_OVERRIDE=FQ","FILING_STATUS=MR","Sort=A","Dates=H","DateFormat=P","Fill=—","Direction=H","UseDPDF=Y")</f>
        <v>—</v>
      </c>
      <c r="I67" s="14" t="str">
        <f>_xll.BDH("GILD US Equity","PCT_OF_NON_EXEC_DIR_ON_BRD","FY 2006","FY 2006","Currency=USD","Period=FQ","BEST_FPERIOD_OVERRIDE=FQ","FILING_STATUS=MR","Sort=A","Dates=H","DateFormat=P","Fill=—","Direction=H","UseDPDF=Y")</f>
        <v>—</v>
      </c>
      <c r="J67" s="14" t="str">
        <f>_xll.BDH("GILD US Equity","PCT_OF_NON_EXEC_DIR_ON_BRD","FY 2007","FY 2007","Currency=USD","Period=FQ","BEST_FPERIOD_OVERRIDE=FQ","FILING_STATUS=MR","Sort=A","Dates=H","DateFormat=P","Fill=—","Direction=H","UseDPDF=Y")</f>
        <v>—</v>
      </c>
      <c r="K67" s="14" t="str">
        <f>_xll.BDH("GILD US Equity","PCT_OF_NON_EXEC_DIR_ON_BRD","FY 2008","FY 2008","Currency=USD","Period=FQ","BEST_FPERIOD_OVERRIDE=FQ","FILING_STATUS=MR","Sort=A","Dates=H","DateFormat=P","Fill=—","Direction=H","UseDPDF=Y")</f>
        <v>—</v>
      </c>
      <c r="L67" s="14" t="str">
        <f>_xll.BDH("GILD US Equity","PCT_OF_NON_EXEC_DIR_ON_BRD","FY 2009","FY 2009","Currency=USD","Period=FQ","BEST_FPERIOD_OVERRIDE=FQ","FILING_STATUS=MR","Sort=A","Dates=H","DateFormat=P","Fill=—","Direction=H","UseDPDF=Y")</f>
        <v>—</v>
      </c>
      <c r="M67" s="14" t="str">
        <f>_xll.BDH("GILD US Equity","PCT_OF_NON_EXEC_DIR_ON_BRD","FY 2010","FY 2010","Currency=USD","Period=FQ","BEST_FPERIOD_OVERRIDE=FQ","FILING_STATUS=MR","Sort=A","Dates=H","DateFormat=P","Fill=—","Direction=H","UseDPDF=Y")</f>
        <v>—</v>
      </c>
      <c r="N67" s="14" t="str">
        <f>_xll.BDH("GILD US Equity","PCT_OF_NON_EXEC_DIR_ON_BRD","FY 2011","FY 2011","Currency=USD","Period=FQ","BEST_FPERIOD_OVERRIDE=FQ","FILING_STATUS=MR","Sort=A","Dates=H","DateFormat=P","Fill=—","Direction=H","UseDPDF=Y")</f>
        <v>—</v>
      </c>
      <c r="O67" s="14" t="str">
        <f>_xll.BDH("GILD US Equity","PCT_OF_NON_EXEC_DIR_ON_BRD","FY 2012","FY 2012","Currency=USD","Period=FQ","BEST_FPERIOD_OVERRIDE=FQ","FILING_STATUS=MR","Sort=A","Dates=H","DateFormat=P","Fill=—","Direction=H","UseDPDF=Y")</f>
        <v>—</v>
      </c>
      <c r="P67" s="14" t="str">
        <f>_xll.BDH("GILD US Equity","PCT_OF_NON_EXEC_DIR_ON_BRD","FY 2013","FY 2013","Currency=USD","Period=FQ","BEST_FPERIOD_OVERRIDE=FQ","FILING_STATUS=MR","Sort=A","Dates=H","DateFormat=P","Fill=—","Direction=H","UseDPDF=Y")</f>
        <v>—</v>
      </c>
      <c r="Q67" s="14" t="str">
        <f>_xll.BDH("GILD US Equity","PCT_OF_NON_EXEC_DIR_ON_BRD","FY 2014","FY 2014","Currency=USD","Period=FQ","BEST_FPERIOD_OVERRIDE=FQ","FILING_STATUS=MR","Sort=A","Dates=H","DateFormat=P","Fill=—","Direction=H","UseDPDF=Y")</f>
        <v>—</v>
      </c>
      <c r="R67" s="14" t="str">
        <f>_xll.BDH("GILD US Equity","PCT_OF_NON_EXEC_DIR_ON_BRD","FY 2015","FY 2015","Currency=USD","Period=FQ","BEST_FPERIOD_OVERRIDE=FQ","FILING_STATUS=MR","Sort=A","Dates=H","DateFormat=P","Fill=—","Direction=H","UseDPDF=Y")</f>
        <v>—</v>
      </c>
      <c r="S67" s="14" t="str">
        <f>_xll.BDH("GILD US Equity","PCT_OF_NON_EXEC_DIR_ON_BRD","FY 2016","FY 2016","Currency=USD","Period=FQ","BEST_FPERIOD_OVERRIDE=FQ","FILING_STATUS=MR","Sort=A","Dates=H","DateFormat=P","Fill=—","Direction=H","UseDPDF=Y")</f>
        <v>—</v>
      </c>
      <c r="T67" s="14" t="str">
        <f>_xll.BDH("GILD US Equity","PCT_OF_NON_EXEC_DIR_ON_BRD","FY 2017","FY 2017","Currency=USD","Period=FQ","BEST_FPERIOD_OVERRIDE=FQ","FILING_STATUS=MR","Sort=A","Dates=H","DateFormat=P","Fill=—","Direction=H","UseDPDF=Y")</f>
        <v>—</v>
      </c>
      <c r="U67" s="14" t="str">
        <f>_xll.BDH("GILD US Equity","PCT_OF_NON_EXEC_DIR_ON_BRD","FY 2018","FY 2018","Currency=USD","Period=FQ","BEST_FPERIOD_OVERRIDE=FQ","FILING_STATUS=MR","Sort=A","Dates=H","DateFormat=P","Fill=—","Direction=H","UseDPDF=Y")</f>
        <v>—</v>
      </c>
      <c r="V67" s="14" t="str">
        <f>_xll.BDH("GILD US Equity","PCT_OF_NON_EXEC_DIR_ON_BRD","FY 2019","FY 2019","Currency=USD","Period=FQ","BEST_FPERIOD_OVERRIDE=FQ","FILING_STATUS=MR","Sort=A","Dates=H","DateFormat=P","Fill=—","Direction=H","UseDPDF=Y")</f>
        <v>—</v>
      </c>
      <c r="W67" s="14" t="str">
        <f>_xll.BDH("GILD US Equity","PCT_OF_NON_EXEC_DIR_ON_BRD","FY 2020","FY 2020","Currency=USD","Period=FQ","BEST_FPERIOD_OVERRIDE=FQ","FILING_STATUS=MR","Sort=A","Dates=H","DateFormat=P","Fill=—","Direction=H","UseDPDF=Y")</f>
        <v>—</v>
      </c>
      <c r="X67" s="14" t="str">
        <f>_xll.BDH("GILD US Equity","PCT_OF_NON_EXEC_DIR_ON_BRD","FY 2021","FY 2021","Currency=USD","Period=FQ","BEST_FPERIOD_OVERRIDE=FQ","FILING_STATUS=MR","Sort=A","Dates=H","DateFormat=P","Fill=—","Direction=H","UseDPDF=Y")</f>
        <v>—</v>
      </c>
      <c r="Y67" s="14" t="str">
        <f>_xll.BDH("GILD US Equity","PCT_OF_NON_EXEC_DIR_ON_BRD","FY 2022","FY 2022","Currency=USD","Period=FQ","BEST_FPERIOD_OVERRIDE=FQ","FILING_STATUS=MR","Sort=A","Dates=H","DateFormat=P","Fill=—","Direction=H","UseDPDF=Y")</f>
        <v>—</v>
      </c>
      <c r="Z67" s="14" t="str">
        <f>_xll.BDH("GILD US Equity","PCT_OF_NON_EXEC_DIR_ON_BRD","FY 2023","FY 2023","Currency=USD","Period=FQ","BEST_FPERIOD_OVERRIDE=FQ","FILING_STATUS=MR","Sort=A","Dates=H","DateFormat=P","Fill=—","Direction=H","UseDPDF=Y")</f>
        <v>—</v>
      </c>
      <c r="AA67" s="14" t="str">
        <f>_xll.BDH("GILD US Equity","PCT_OF_NON_EXEC_DIR_ON_BRD","FY 2024","FY 2024","Currency=USD","Period=FQ","BEST_FPERIOD_OVERRIDE=FQ","FILING_STATUS=MR","Sort=A","Dates=H","DateFormat=P","Fill=—","Direction=H","UseDPDF=Y")</f>
        <v>—</v>
      </c>
    </row>
    <row r="68" spans="1:27" x14ac:dyDescent="0.25">
      <c r="A68" s="10" t="s">
        <v>2040</v>
      </c>
      <c r="B68" s="10" t="s">
        <v>2041</v>
      </c>
      <c r="C68" s="14" t="str">
        <f>_xll.BDH("GILD US Equity","PCT_INDEPENDENT_DIRECTORS","FY 2000","FY 2000","Currency=USD","Period=FQ","BEST_FPERIOD_OVERRIDE=FQ","FILING_STATUS=MR","Sort=A","Dates=H","DateFormat=P","Fill=—","Direction=H","UseDPDF=Y")</f>
        <v>—</v>
      </c>
      <c r="D68" s="14" t="str">
        <f>_xll.BDH("GILD US Equity","PCT_INDEPENDENT_DIRECTORS","FY 2001","FY 2001","Currency=USD","Period=FQ","BEST_FPERIOD_OVERRIDE=FQ","FILING_STATUS=MR","Sort=A","Dates=H","DateFormat=P","Fill=—","Direction=H","UseDPDF=Y")</f>
        <v>—</v>
      </c>
      <c r="E68" s="14" t="str">
        <f>_xll.BDH("GILD US Equity","PCT_INDEPENDENT_DIRECTORS","FY 2002","FY 2002","Currency=USD","Period=FQ","BEST_FPERIOD_OVERRIDE=FQ","FILING_STATUS=MR","Sort=A","Dates=H","DateFormat=P","Fill=—","Direction=H","UseDPDF=Y")</f>
        <v>—</v>
      </c>
      <c r="F68" s="14" t="str">
        <f>_xll.BDH("GILD US Equity","PCT_INDEPENDENT_DIRECTORS","FY 2003","FY 2003","Currency=USD","Period=FQ","BEST_FPERIOD_OVERRIDE=FQ","FILING_STATUS=MR","Sort=A","Dates=H","DateFormat=P","Fill=—","Direction=H","UseDPDF=Y")</f>
        <v>—</v>
      </c>
      <c r="G68" s="14" t="str">
        <f>_xll.BDH("GILD US Equity","PCT_INDEPENDENT_DIRECTORS","FY 2004","FY 2004","Currency=USD","Period=FQ","BEST_FPERIOD_OVERRIDE=FQ","FILING_STATUS=MR","Sort=A","Dates=H","DateFormat=P","Fill=—","Direction=H","UseDPDF=Y")</f>
        <v>—</v>
      </c>
      <c r="H68" s="14" t="str">
        <f>_xll.BDH("GILD US Equity","PCT_INDEPENDENT_DIRECTORS","FY 2005","FY 2005","Currency=USD","Period=FQ","BEST_FPERIOD_OVERRIDE=FQ","FILING_STATUS=MR","Sort=A","Dates=H","DateFormat=P","Fill=—","Direction=H","UseDPDF=Y")</f>
        <v>—</v>
      </c>
      <c r="I68" s="14" t="str">
        <f>_xll.BDH("GILD US Equity","PCT_INDEPENDENT_DIRECTORS","FY 2006","FY 2006","Currency=USD","Period=FQ","BEST_FPERIOD_OVERRIDE=FQ","FILING_STATUS=MR","Sort=A","Dates=H","DateFormat=P","Fill=—","Direction=H","UseDPDF=Y")</f>
        <v>—</v>
      </c>
      <c r="J68" s="14" t="str">
        <f>_xll.BDH("GILD US Equity","PCT_INDEPENDENT_DIRECTORS","FY 2007","FY 2007","Currency=USD","Period=FQ","BEST_FPERIOD_OVERRIDE=FQ","FILING_STATUS=MR","Sort=A","Dates=H","DateFormat=P","Fill=—","Direction=H","UseDPDF=Y")</f>
        <v>—</v>
      </c>
      <c r="K68" s="14" t="str">
        <f>_xll.BDH("GILD US Equity","PCT_INDEPENDENT_DIRECTORS","FY 2008","FY 2008","Currency=USD","Period=FQ","BEST_FPERIOD_OVERRIDE=FQ","FILING_STATUS=MR","Sort=A","Dates=H","DateFormat=P","Fill=—","Direction=H","UseDPDF=Y")</f>
        <v>—</v>
      </c>
      <c r="L68" s="14" t="str">
        <f>_xll.BDH("GILD US Equity","PCT_INDEPENDENT_DIRECTORS","FY 2009","FY 2009","Currency=USD","Period=FQ","BEST_FPERIOD_OVERRIDE=FQ","FILING_STATUS=MR","Sort=A","Dates=H","DateFormat=P","Fill=—","Direction=H","UseDPDF=Y")</f>
        <v>—</v>
      </c>
      <c r="M68" s="14" t="str">
        <f>_xll.BDH("GILD US Equity","PCT_INDEPENDENT_DIRECTORS","FY 2010","FY 2010","Currency=USD","Period=FQ","BEST_FPERIOD_OVERRIDE=FQ","FILING_STATUS=MR","Sort=A","Dates=H","DateFormat=P","Fill=—","Direction=H","UseDPDF=Y")</f>
        <v>—</v>
      </c>
      <c r="N68" s="14" t="str">
        <f>_xll.BDH("GILD US Equity","PCT_INDEPENDENT_DIRECTORS","FY 2011","FY 2011","Currency=USD","Period=FQ","BEST_FPERIOD_OVERRIDE=FQ","FILING_STATUS=MR","Sort=A","Dates=H","DateFormat=P","Fill=—","Direction=H","UseDPDF=Y")</f>
        <v>—</v>
      </c>
      <c r="O68" s="14" t="str">
        <f>_xll.BDH("GILD US Equity","PCT_INDEPENDENT_DIRECTORS","FY 2012","FY 2012","Currency=USD","Period=FQ","BEST_FPERIOD_OVERRIDE=FQ","FILING_STATUS=MR","Sort=A","Dates=H","DateFormat=P","Fill=—","Direction=H","UseDPDF=Y")</f>
        <v>—</v>
      </c>
      <c r="P68" s="14" t="str">
        <f>_xll.BDH("GILD US Equity","PCT_INDEPENDENT_DIRECTORS","FY 2013","FY 2013","Currency=USD","Period=FQ","BEST_FPERIOD_OVERRIDE=FQ","FILING_STATUS=MR","Sort=A","Dates=H","DateFormat=P","Fill=—","Direction=H","UseDPDF=Y")</f>
        <v>—</v>
      </c>
      <c r="Q68" s="14" t="str">
        <f>_xll.BDH("GILD US Equity","PCT_INDEPENDENT_DIRECTORS","FY 2014","FY 2014","Currency=USD","Period=FQ","BEST_FPERIOD_OVERRIDE=FQ","FILING_STATUS=MR","Sort=A","Dates=H","DateFormat=P","Fill=—","Direction=H","UseDPDF=Y")</f>
        <v>—</v>
      </c>
      <c r="R68" s="14" t="str">
        <f>_xll.BDH("GILD US Equity","PCT_INDEPENDENT_DIRECTORS","FY 2015","FY 2015","Currency=USD","Period=FQ","BEST_FPERIOD_OVERRIDE=FQ","FILING_STATUS=MR","Sort=A","Dates=H","DateFormat=P","Fill=—","Direction=H","UseDPDF=Y")</f>
        <v>—</v>
      </c>
      <c r="S68" s="14" t="str">
        <f>_xll.BDH("GILD US Equity","PCT_INDEPENDENT_DIRECTORS","FY 2016","FY 2016","Currency=USD","Period=FQ","BEST_FPERIOD_OVERRIDE=FQ","FILING_STATUS=MR","Sort=A","Dates=H","DateFormat=P","Fill=—","Direction=H","UseDPDF=Y")</f>
        <v>—</v>
      </c>
      <c r="T68" s="14" t="str">
        <f>_xll.BDH("GILD US Equity","PCT_INDEPENDENT_DIRECTORS","FY 2017","FY 2017","Currency=USD","Period=FQ","BEST_FPERIOD_OVERRIDE=FQ","FILING_STATUS=MR","Sort=A","Dates=H","DateFormat=P","Fill=—","Direction=H","UseDPDF=Y")</f>
        <v>—</v>
      </c>
      <c r="U68" s="14" t="str">
        <f>_xll.BDH("GILD US Equity","PCT_INDEPENDENT_DIRECTORS","FY 2018","FY 2018","Currency=USD","Period=FQ","BEST_FPERIOD_OVERRIDE=FQ","FILING_STATUS=MR","Sort=A","Dates=H","DateFormat=P","Fill=—","Direction=H","UseDPDF=Y")</f>
        <v>—</v>
      </c>
      <c r="V68" s="14" t="str">
        <f>_xll.BDH("GILD US Equity","PCT_INDEPENDENT_DIRECTORS","FY 2019","FY 2019","Currency=USD","Period=FQ","BEST_FPERIOD_OVERRIDE=FQ","FILING_STATUS=MR","Sort=A","Dates=H","DateFormat=P","Fill=—","Direction=H","UseDPDF=Y")</f>
        <v>—</v>
      </c>
      <c r="W68" s="14" t="str">
        <f>_xll.BDH("GILD US Equity","PCT_INDEPENDENT_DIRECTORS","FY 2020","FY 2020","Currency=USD","Period=FQ","BEST_FPERIOD_OVERRIDE=FQ","FILING_STATUS=MR","Sort=A","Dates=H","DateFormat=P","Fill=—","Direction=H","UseDPDF=Y")</f>
        <v>—</v>
      </c>
      <c r="X68" s="14" t="str">
        <f>_xll.BDH("GILD US Equity","PCT_INDEPENDENT_DIRECTORS","FY 2021","FY 2021","Currency=USD","Period=FQ","BEST_FPERIOD_OVERRIDE=FQ","FILING_STATUS=MR","Sort=A","Dates=H","DateFormat=P","Fill=—","Direction=H","UseDPDF=Y")</f>
        <v>—</v>
      </c>
      <c r="Y68" s="14" t="str">
        <f>_xll.BDH("GILD US Equity","PCT_INDEPENDENT_DIRECTORS","FY 2022","FY 2022","Currency=USD","Period=FQ","BEST_FPERIOD_OVERRIDE=FQ","FILING_STATUS=MR","Sort=A","Dates=H","DateFormat=P","Fill=—","Direction=H","UseDPDF=Y")</f>
        <v>—</v>
      </c>
      <c r="Z68" s="14" t="str">
        <f>_xll.BDH("GILD US Equity","PCT_INDEPENDENT_DIRECTORS","FY 2023","FY 2023","Currency=USD","Period=FQ","BEST_FPERIOD_OVERRIDE=FQ","FILING_STATUS=MR","Sort=A","Dates=H","DateFormat=P","Fill=—","Direction=H","UseDPDF=Y")</f>
        <v>—</v>
      </c>
      <c r="AA68" s="14" t="str">
        <f>_xll.BDH("GILD US Equity","PCT_INDEPENDENT_DIRECTORS","FY 2024","FY 2024","Currency=USD","Period=FQ","BEST_FPERIOD_OVERRIDE=FQ","FILING_STATUS=MR","Sort=A","Dates=H","DateFormat=P","Fill=—","Direction=H","UseDPDF=Y")</f>
        <v>—</v>
      </c>
    </row>
    <row r="69" spans="1:27" x14ac:dyDescent="0.25">
      <c r="A69" s="10" t="s">
        <v>2042</v>
      </c>
      <c r="B69" s="10" t="s">
        <v>2043</v>
      </c>
      <c r="C69" s="14" t="str">
        <f>_xll.BDH("GILD US Equity","PCT_WOMEN_ON_BOARD","FY 2000","FY 2000","Currency=USD","Period=FQ","BEST_FPERIOD_OVERRIDE=FQ","FILING_STATUS=MR","Sort=A","Dates=H","DateFormat=P","Fill=—","Direction=H","UseDPDF=Y")</f>
        <v>—</v>
      </c>
      <c r="D69" s="14" t="str">
        <f>_xll.BDH("GILD US Equity","PCT_WOMEN_ON_BOARD","FY 2001","FY 2001","Currency=USD","Period=FQ","BEST_FPERIOD_OVERRIDE=FQ","FILING_STATUS=MR","Sort=A","Dates=H","DateFormat=P","Fill=—","Direction=H","UseDPDF=Y")</f>
        <v>—</v>
      </c>
      <c r="E69" s="14" t="str">
        <f>_xll.BDH("GILD US Equity","PCT_WOMEN_ON_BOARD","FY 2002","FY 2002","Currency=USD","Period=FQ","BEST_FPERIOD_OVERRIDE=FQ","FILING_STATUS=MR","Sort=A","Dates=H","DateFormat=P","Fill=—","Direction=H","UseDPDF=Y")</f>
        <v>—</v>
      </c>
      <c r="F69" s="14" t="str">
        <f>_xll.BDH("GILD US Equity","PCT_WOMEN_ON_BOARD","FY 2003","FY 2003","Currency=USD","Period=FQ","BEST_FPERIOD_OVERRIDE=FQ","FILING_STATUS=MR","Sort=A","Dates=H","DateFormat=P","Fill=—","Direction=H","UseDPDF=Y")</f>
        <v>—</v>
      </c>
      <c r="G69" s="14" t="str">
        <f>_xll.BDH("GILD US Equity","PCT_WOMEN_ON_BOARD","FY 2004","FY 2004","Currency=USD","Period=FQ","BEST_FPERIOD_OVERRIDE=FQ","FILING_STATUS=MR","Sort=A","Dates=H","DateFormat=P","Fill=—","Direction=H","UseDPDF=Y")</f>
        <v>—</v>
      </c>
      <c r="H69" s="14" t="str">
        <f>_xll.BDH("GILD US Equity","PCT_WOMEN_ON_BOARD","FY 2005","FY 2005","Currency=USD","Period=FQ","BEST_FPERIOD_OVERRIDE=FQ","FILING_STATUS=MR","Sort=A","Dates=H","DateFormat=P","Fill=—","Direction=H","UseDPDF=Y")</f>
        <v>—</v>
      </c>
      <c r="I69" s="14" t="str">
        <f>_xll.BDH("GILD US Equity","PCT_WOMEN_ON_BOARD","FY 2006","FY 2006","Currency=USD","Period=FQ","BEST_FPERIOD_OVERRIDE=FQ","FILING_STATUS=MR","Sort=A","Dates=H","DateFormat=P","Fill=—","Direction=H","UseDPDF=Y")</f>
        <v>—</v>
      </c>
      <c r="J69" s="14" t="str">
        <f>_xll.BDH("GILD US Equity","PCT_WOMEN_ON_BOARD","FY 2007","FY 2007","Currency=USD","Period=FQ","BEST_FPERIOD_OVERRIDE=FQ","FILING_STATUS=MR","Sort=A","Dates=H","DateFormat=P","Fill=—","Direction=H","UseDPDF=Y")</f>
        <v>—</v>
      </c>
      <c r="K69" s="14" t="str">
        <f>_xll.BDH("GILD US Equity","PCT_WOMEN_ON_BOARD","FY 2008","FY 2008","Currency=USD","Period=FQ","BEST_FPERIOD_OVERRIDE=FQ","FILING_STATUS=MR","Sort=A","Dates=H","DateFormat=P","Fill=—","Direction=H","UseDPDF=Y")</f>
        <v>—</v>
      </c>
      <c r="L69" s="14" t="str">
        <f>_xll.BDH("GILD US Equity","PCT_WOMEN_ON_BOARD","FY 2009","FY 2009","Currency=USD","Period=FQ","BEST_FPERIOD_OVERRIDE=FQ","FILING_STATUS=MR","Sort=A","Dates=H","DateFormat=P","Fill=—","Direction=H","UseDPDF=Y")</f>
        <v>—</v>
      </c>
      <c r="M69" s="14" t="str">
        <f>_xll.BDH("GILD US Equity","PCT_WOMEN_ON_BOARD","FY 2010","FY 2010","Currency=USD","Period=FQ","BEST_FPERIOD_OVERRIDE=FQ","FILING_STATUS=MR","Sort=A","Dates=H","DateFormat=P","Fill=—","Direction=H","UseDPDF=Y")</f>
        <v>—</v>
      </c>
      <c r="N69" s="14" t="str">
        <f>_xll.BDH("GILD US Equity","PCT_WOMEN_ON_BOARD","FY 2011","FY 2011","Currency=USD","Period=FQ","BEST_FPERIOD_OVERRIDE=FQ","FILING_STATUS=MR","Sort=A","Dates=H","DateFormat=P","Fill=—","Direction=H","UseDPDF=Y")</f>
        <v>—</v>
      </c>
      <c r="O69" s="14" t="str">
        <f>_xll.BDH("GILD US Equity","PCT_WOMEN_ON_BOARD","FY 2012","FY 2012","Currency=USD","Period=FQ","BEST_FPERIOD_OVERRIDE=FQ","FILING_STATUS=MR","Sort=A","Dates=H","DateFormat=P","Fill=—","Direction=H","UseDPDF=Y")</f>
        <v>—</v>
      </c>
      <c r="P69" s="14" t="str">
        <f>_xll.BDH("GILD US Equity","PCT_WOMEN_ON_BOARD","FY 2013","FY 2013","Currency=USD","Period=FQ","BEST_FPERIOD_OVERRIDE=FQ","FILING_STATUS=MR","Sort=A","Dates=H","DateFormat=P","Fill=—","Direction=H","UseDPDF=Y")</f>
        <v>—</v>
      </c>
      <c r="Q69" s="14" t="str">
        <f>_xll.BDH("GILD US Equity","PCT_WOMEN_ON_BOARD","FY 2014","FY 2014","Currency=USD","Period=FQ","BEST_FPERIOD_OVERRIDE=FQ","FILING_STATUS=MR","Sort=A","Dates=H","DateFormat=P","Fill=—","Direction=H","UseDPDF=Y")</f>
        <v>—</v>
      </c>
      <c r="R69" s="14" t="str">
        <f>_xll.BDH("GILD US Equity","PCT_WOMEN_ON_BOARD","FY 2015","FY 2015","Currency=USD","Period=FQ","BEST_FPERIOD_OVERRIDE=FQ","FILING_STATUS=MR","Sort=A","Dates=H","DateFormat=P","Fill=—","Direction=H","UseDPDF=Y")</f>
        <v>—</v>
      </c>
      <c r="S69" s="14" t="str">
        <f>_xll.BDH("GILD US Equity","PCT_WOMEN_ON_BOARD","FY 2016","FY 2016","Currency=USD","Period=FQ","BEST_FPERIOD_OVERRIDE=FQ","FILING_STATUS=MR","Sort=A","Dates=H","DateFormat=P","Fill=—","Direction=H","UseDPDF=Y")</f>
        <v>—</v>
      </c>
      <c r="T69" s="14" t="str">
        <f>_xll.BDH("GILD US Equity","PCT_WOMEN_ON_BOARD","FY 2017","FY 2017","Currency=USD","Period=FQ","BEST_FPERIOD_OVERRIDE=FQ","FILING_STATUS=MR","Sort=A","Dates=H","DateFormat=P","Fill=—","Direction=H","UseDPDF=Y")</f>
        <v>—</v>
      </c>
      <c r="U69" s="14" t="str">
        <f>_xll.BDH("GILD US Equity","PCT_WOMEN_ON_BOARD","FY 2018","FY 2018","Currency=USD","Period=FQ","BEST_FPERIOD_OVERRIDE=FQ","FILING_STATUS=MR","Sort=A","Dates=H","DateFormat=P","Fill=—","Direction=H","UseDPDF=Y")</f>
        <v>—</v>
      </c>
      <c r="V69" s="14" t="str">
        <f>_xll.BDH("GILD US Equity","PCT_WOMEN_ON_BOARD","FY 2019","FY 2019","Currency=USD","Period=FQ","BEST_FPERIOD_OVERRIDE=FQ","FILING_STATUS=MR","Sort=A","Dates=H","DateFormat=P","Fill=—","Direction=H","UseDPDF=Y")</f>
        <v>—</v>
      </c>
      <c r="W69" s="14" t="str">
        <f>_xll.BDH("GILD US Equity","PCT_WOMEN_ON_BOARD","FY 2020","FY 2020","Currency=USD","Period=FQ","BEST_FPERIOD_OVERRIDE=FQ","FILING_STATUS=MR","Sort=A","Dates=H","DateFormat=P","Fill=—","Direction=H","UseDPDF=Y")</f>
        <v>—</v>
      </c>
      <c r="X69" s="14" t="str">
        <f>_xll.BDH("GILD US Equity","PCT_WOMEN_ON_BOARD","FY 2021","FY 2021","Currency=USD","Period=FQ","BEST_FPERIOD_OVERRIDE=FQ","FILING_STATUS=MR","Sort=A","Dates=H","DateFormat=P","Fill=—","Direction=H","UseDPDF=Y")</f>
        <v>—</v>
      </c>
      <c r="Y69" s="14" t="str">
        <f>_xll.BDH("GILD US Equity","PCT_WOMEN_ON_BOARD","FY 2022","FY 2022","Currency=USD","Period=FQ","BEST_FPERIOD_OVERRIDE=FQ","FILING_STATUS=MR","Sort=A","Dates=H","DateFormat=P","Fill=—","Direction=H","UseDPDF=Y")</f>
        <v>—</v>
      </c>
      <c r="Z69" s="14" t="str">
        <f>_xll.BDH("GILD US Equity","PCT_WOMEN_ON_BOARD","FY 2023","FY 2023","Currency=USD","Period=FQ","BEST_FPERIOD_OVERRIDE=FQ","FILING_STATUS=MR","Sort=A","Dates=H","DateFormat=P","Fill=—","Direction=H","UseDPDF=Y")</f>
        <v>—</v>
      </c>
      <c r="AA69" s="14" t="str">
        <f>_xll.BDH("GILD US Equity","PCT_WOMEN_ON_BOARD","FY 2024","FY 2024","Currency=USD","Period=FQ","BEST_FPERIOD_OVERRIDE=FQ","FILING_STATUS=MR","Sort=A","Dates=H","DateFormat=P","Fill=—","Direction=H","UseDPDF=Y")</f>
        <v>—</v>
      </c>
    </row>
    <row r="70" spans="1:27" x14ac:dyDescent="0.25">
      <c r="A70" s="10" t="s">
        <v>2044</v>
      </c>
      <c r="B70" s="10" t="s">
        <v>2045</v>
      </c>
      <c r="C70" s="14" t="str">
        <f>_xll.BDH("GILD US Equity","PERCENTAGE_OF_FEMALE_EXECUTIVES","FY 2000","FY 2000","Currency=USD","Period=FQ","BEST_FPERIOD_OVERRIDE=FQ","FILING_STATUS=MR","Sort=A","Dates=H","DateFormat=P","Fill=—","Direction=H","UseDPDF=Y")</f>
        <v>—</v>
      </c>
      <c r="D70" s="14" t="str">
        <f>_xll.BDH("GILD US Equity","PERCENTAGE_OF_FEMALE_EXECUTIVES","FY 2001","FY 2001","Currency=USD","Period=FQ","BEST_FPERIOD_OVERRIDE=FQ","FILING_STATUS=MR","Sort=A","Dates=H","DateFormat=P","Fill=—","Direction=H","UseDPDF=Y")</f>
        <v>—</v>
      </c>
      <c r="E70" s="14" t="str">
        <f>_xll.BDH("GILD US Equity","PERCENTAGE_OF_FEMALE_EXECUTIVES","FY 2002","FY 2002","Currency=USD","Period=FQ","BEST_FPERIOD_OVERRIDE=FQ","FILING_STATUS=MR","Sort=A","Dates=H","DateFormat=P","Fill=—","Direction=H","UseDPDF=Y")</f>
        <v>—</v>
      </c>
      <c r="F70" s="14" t="str">
        <f>_xll.BDH("GILD US Equity","PERCENTAGE_OF_FEMALE_EXECUTIVES","FY 2003","FY 2003","Currency=USD","Period=FQ","BEST_FPERIOD_OVERRIDE=FQ","FILING_STATUS=MR","Sort=A","Dates=H","DateFormat=P","Fill=—","Direction=H","UseDPDF=Y")</f>
        <v>—</v>
      </c>
      <c r="G70" s="14" t="str">
        <f>_xll.BDH("GILD US Equity","PERCENTAGE_OF_FEMALE_EXECUTIVES","FY 2004","FY 2004","Currency=USD","Period=FQ","BEST_FPERIOD_OVERRIDE=FQ","FILING_STATUS=MR","Sort=A","Dates=H","DateFormat=P","Fill=—","Direction=H","UseDPDF=Y")</f>
        <v>—</v>
      </c>
      <c r="H70" s="14" t="str">
        <f>_xll.BDH("GILD US Equity","PERCENTAGE_OF_FEMALE_EXECUTIVES","FY 2005","FY 2005","Currency=USD","Period=FQ","BEST_FPERIOD_OVERRIDE=FQ","FILING_STATUS=MR","Sort=A","Dates=H","DateFormat=P","Fill=—","Direction=H","UseDPDF=Y")</f>
        <v>—</v>
      </c>
      <c r="I70" s="14" t="str">
        <f>_xll.BDH("GILD US Equity","PERCENTAGE_OF_FEMALE_EXECUTIVES","FY 2006","FY 2006","Currency=USD","Period=FQ","BEST_FPERIOD_OVERRIDE=FQ","FILING_STATUS=MR","Sort=A","Dates=H","DateFormat=P","Fill=—","Direction=H","UseDPDF=Y")</f>
        <v>—</v>
      </c>
      <c r="J70" s="14" t="str">
        <f>_xll.BDH("GILD US Equity","PERCENTAGE_OF_FEMALE_EXECUTIVES","FY 2007","FY 2007","Currency=USD","Period=FQ","BEST_FPERIOD_OVERRIDE=FQ","FILING_STATUS=MR","Sort=A","Dates=H","DateFormat=P","Fill=—","Direction=H","UseDPDF=Y")</f>
        <v>—</v>
      </c>
      <c r="K70" s="14" t="str">
        <f>_xll.BDH("GILD US Equity","PERCENTAGE_OF_FEMALE_EXECUTIVES","FY 2008","FY 2008","Currency=USD","Period=FQ","BEST_FPERIOD_OVERRIDE=FQ","FILING_STATUS=MR","Sort=A","Dates=H","DateFormat=P","Fill=—","Direction=H","UseDPDF=Y")</f>
        <v>—</v>
      </c>
      <c r="L70" s="14" t="str">
        <f>_xll.BDH("GILD US Equity","PERCENTAGE_OF_FEMALE_EXECUTIVES","FY 2009","FY 2009","Currency=USD","Period=FQ","BEST_FPERIOD_OVERRIDE=FQ","FILING_STATUS=MR","Sort=A","Dates=H","DateFormat=P","Fill=—","Direction=H","UseDPDF=Y")</f>
        <v>—</v>
      </c>
      <c r="M70" s="14" t="str">
        <f>_xll.BDH("GILD US Equity","PERCENTAGE_OF_FEMALE_EXECUTIVES","FY 2010","FY 2010","Currency=USD","Period=FQ","BEST_FPERIOD_OVERRIDE=FQ","FILING_STATUS=MR","Sort=A","Dates=H","DateFormat=P","Fill=—","Direction=H","UseDPDF=Y")</f>
        <v>—</v>
      </c>
      <c r="N70" s="14" t="str">
        <f>_xll.BDH("GILD US Equity","PERCENTAGE_OF_FEMALE_EXECUTIVES","FY 2011","FY 2011","Currency=USD","Period=FQ","BEST_FPERIOD_OVERRIDE=FQ","FILING_STATUS=MR","Sort=A","Dates=H","DateFormat=P","Fill=—","Direction=H","UseDPDF=Y")</f>
        <v>—</v>
      </c>
      <c r="O70" s="14" t="str">
        <f>_xll.BDH("GILD US Equity","PERCENTAGE_OF_FEMALE_EXECUTIVES","FY 2012","FY 2012","Currency=USD","Period=FQ","BEST_FPERIOD_OVERRIDE=FQ","FILING_STATUS=MR","Sort=A","Dates=H","DateFormat=P","Fill=—","Direction=H","UseDPDF=Y")</f>
        <v>—</v>
      </c>
      <c r="P70" s="14" t="str">
        <f>_xll.BDH("GILD US Equity","PERCENTAGE_OF_FEMALE_EXECUTIVES","FY 2013","FY 2013","Currency=USD","Period=FQ","BEST_FPERIOD_OVERRIDE=FQ","FILING_STATUS=MR","Sort=A","Dates=H","DateFormat=P","Fill=—","Direction=H","UseDPDF=Y")</f>
        <v>—</v>
      </c>
      <c r="Q70" s="14" t="str">
        <f>_xll.BDH("GILD US Equity","PERCENTAGE_OF_FEMALE_EXECUTIVES","FY 2014","FY 2014","Currency=USD","Period=FQ","BEST_FPERIOD_OVERRIDE=FQ","FILING_STATUS=MR","Sort=A","Dates=H","DateFormat=P","Fill=—","Direction=H","UseDPDF=Y")</f>
        <v>—</v>
      </c>
      <c r="R70" s="14" t="str">
        <f>_xll.BDH("GILD US Equity","PERCENTAGE_OF_FEMALE_EXECUTIVES","FY 2015","FY 2015","Currency=USD","Period=FQ","BEST_FPERIOD_OVERRIDE=FQ","FILING_STATUS=MR","Sort=A","Dates=H","DateFormat=P","Fill=—","Direction=H","UseDPDF=Y")</f>
        <v>—</v>
      </c>
      <c r="S70" s="14" t="str">
        <f>_xll.BDH("GILD US Equity","PERCENTAGE_OF_FEMALE_EXECUTIVES","FY 2016","FY 2016","Currency=USD","Period=FQ","BEST_FPERIOD_OVERRIDE=FQ","FILING_STATUS=MR","Sort=A","Dates=H","DateFormat=P","Fill=—","Direction=H","UseDPDF=Y")</f>
        <v>—</v>
      </c>
      <c r="T70" s="14" t="str">
        <f>_xll.BDH("GILD US Equity","PERCENTAGE_OF_FEMALE_EXECUTIVES","FY 2017","FY 2017","Currency=USD","Period=FQ","BEST_FPERIOD_OVERRIDE=FQ","FILING_STATUS=MR","Sort=A","Dates=H","DateFormat=P","Fill=—","Direction=H","UseDPDF=Y")</f>
        <v>—</v>
      </c>
      <c r="U70" s="14" t="str">
        <f>_xll.BDH("GILD US Equity","PERCENTAGE_OF_FEMALE_EXECUTIVES","FY 2018","FY 2018","Currency=USD","Period=FQ","BEST_FPERIOD_OVERRIDE=FQ","FILING_STATUS=MR","Sort=A","Dates=H","DateFormat=P","Fill=—","Direction=H","UseDPDF=Y")</f>
        <v>—</v>
      </c>
      <c r="V70" s="14" t="str">
        <f>_xll.BDH("GILD US Equity","PERCENTAGE_OF_FEMALE_EXECUTIVES","FY 2019","FY 2019","Currency=USD","Period=FQ","BEST_FPERIOD_OVERRIDE=FQ","FILING_STATUS=MR","Sort=A","Dates=H","DateFormat=P","Fill=—","Direction=H","UseDPDF=Y")</f>
        <v>—</v>
      </c>
      <c r="W70" s="14" t="str">
        <f>_xll.BDH("GILD US Equity","PERCENTAGE_OF_FEMALE_EXECUTIVES","FY 2020","FY 2020","Currency=USD","Period=FQ","BEST_FPERIOD_OVERRIDE=FQ","FILING_STATUS=MR","Sort=A","Dates=H","DateFormat=P","Fill=—","Direction=H","UseDPDF=Y")</f>
        <v>—</v>
      </c>
      <c r="X70" s="14" t="str">
        <f>_xll.BDH("GILD US Equity","PERCENTAGE_OF_FEMALE_EXECUTIVES","FY 2021","FY 2021","Currency=USD","Period=FQ","BEST_FPERIOD_OVERRIDE=FQ","FILING_STATUS=MR","Sort=A","Dates=H","DateFormat=P","Fill=—","Direction=H","UseDPDF=Y")</f>
        <v>—</v>
      </c>
      <c r="Y70" s="14" t="str">
        <f>_xll.BDH("GILD US Equity","PERCENTAGE_OF_FEMALE_EXECUTIVES","FY 2022","FY 2022","Currency=USD","Period=FQ","BEST_FPERIOD_OVERRIDE=FQ","FILING_STATUS=MR","Sort=A","Dates=H","DateFormat=P","Fill=—","Direction=H","UseDPDF=Y")</f>
        <v>—</v>
      </c>
      <c r="Z70" s="14" t="str">
        <f>_xll.BDH("GILD US Equity","PERCENTAGE_OF_FEMALE_EXECUTIVES","FY 2023","FY 2023","Currency=USD","Period=FQ","BEST_FPERIOD_OVERRIDE=FQ","FILING_STATUS=MR","Sort=A","Dates=H","DateFormat=P","Fill=—","Direction=H","UseDPDF=Y")</f>
        <v>—</v>
      </c>
      <c r="AA70" s="14" t="str">
        <f>_xll.BDH("GILD US Equity","PERCENTAGE_OF_FEMALE_EXECUTIVES","FY 2024","FY 2024","Currency=USD","Period=FQ","BEST_FPERIOD_OVERRIDE=FQ","FILING_STATUS=MR","Sort=A","Dates=H","DateFormat=P","Fill=—","Direction=H","UseDPDF=Y")</f>
        <v>—</v>
      </c>
    </row>
    <row r="71" spans="1:27" x14ac:dyDescent="0.25">
      <c r="A71" s="10" t="s">
        <v>2046</v>
      </c>
      <c r="B71" s="10" t="s">
        <v>2047</v>
      </c>
      <c r="C71" s="14" t="str">
        <f>_xll.BDH("GILD US Equity","BOARD_OF_DIRECTORS_AGE_RANGE","FY 2000","FY 2000","Currency=USD","Period=FQ","BEST_FPERIOD_OVERRIDE=FQ","FILING_STATUS=MR","Sort=A","Dates=H","DateFormat=P","Fill=—","Direction=H","UseDPDF=Y")</f>
        <v>—</v>
      </c>
      <c r="D71" s="14" t="str">
        <f>_xll.BDH("GILD US Equity","BOARD_OF_DIRECTORS_AGE_RANGE","FY 2001","FY 2001","Currency=USD","Period=FQ","BEST_FPERIOD_OVERRIDE=FQ","FILING_STATUS=MR","Sort=A","Dates=H","DateFormat=P","Fill=—","Direction=H","UseDPDF=Y")</f>
        <v>—</v>
      </c>
      <c r="E71" s="14" t="str">
        <f>_xll.BDH("GILD US Equity","BOARD_OF_DIRECTORS_AGE_RANGE","FY 2002","FY 2002","Currency=USD","Period=FQ","BEST_FPERIOD_OVERRIDE=FQ","FILING_STATUS=MR","Sort=A","Dates=H","DateFormat=P","Fill=—","Direction=H","UseDPDF=Y")</f>
        <v>—</v>
      </c>
      <c r="F71" s="14" t="str">
        <f>_xll.BDH("GILD US Equity","BOARD_OF_DIRECTORS_AGE_RANGE","FY 2003","FY 2003","Currency=USD","Period=FQ","BEST_FPERIOD_OVERRIDE=FQ","FILING_STATUS=MR","Sort=A","Dates=H","DateFormat=P","Fill=—","Direction=H","UseDPDF=Y")</f>
        <v>—</v>
      </c>
      <c r="G71" s="14" t="str">
        <f>_xll.BDH("GILD US Equity","BOARD_OF_DIRECTORS_AGE_RANGE","FY 2004","FY 2004","Currency=USD","Period=FQ","BEST_FPERIOD_OVERRIDE=FQ","FILING_STATUS=MR","Sort=A","Dates=H","DateFormat=P","Fill=—","Direction=H","UseDPDF=Y")</f>
        <v>—</v>
      </c>
      <c r="H71" s="14" t="str">
        <f>_xll.BDH("GILD US Equity","BOARD_OF_DIRECTORS_AGE_RANGE","FY 2005","FY 2005","Currency=USD","Period=FQ","BEST_FPERIOD_OVERRIDE=FQ","FILING_STATUS=MR","Sort=A","Dates=H","DateFormat=P","Fill=—","Direction=H","UseDPDF=Y")</f>
        <v>—</v>
      </c>
      <c r="I71" s="14" t="str">
        <f>_xll.BDH("GILD US Equity","BOARD_OF_DIRECTORS_AGE_RANGE","FY 2006","FY 2006","Currency=USD","Period=FQ","BEST_FPERIOD_OVERRIDE=FQ","FILING_STATUS=MR","Sort=A","Dates=H","DateFormat=P","Fill=—","Direction=H","UseDPDF=Y")</f>
        <v>—</v>
      </c>
      <c r="J71" s="14" t="str">
        <f>_xll.BDH("GILD US Equity","BOARD_OF_DIRECTORS_AGE_RANGE","FY 2007","FY 2007","Currency=USD","Period=FQ","BEST_FPERIOD_OVERRIDE=FQ","FILING_STATUS=MR","Sort=A","Dates=H","DateFormat=P","Fill=—","Direction=H","UseDPDF=Y")</f>
        <v>—</v>
      </c>
      <c r="K71" s="14" t="str">
        <f>_xll.BDH("GILD US Equity","BOARD_OF_DIRECTORS_AGE_RANGE","FY 2008","FY 2008","Currency=USD","Period=FQ","BEST_FPERIOD_OVERRIDE=FQ","FILING_STATUS=MR","Sort=A","Dates=H","DateFormat=P","Fill=—","Direction=H","UseDPDF=Y")</f>
        <v>—</v>
      </c>
      <c r="L71" s="14" t="str">
        <f>_xll.BDH("GILD US Equity","BOARD_OF_DIRECTORS_AGE_RANGE","FY 2009","FY 2009","Currency=USD","Period=FQ","BEST_FPERIOD_OVERRIDE=FQ","FILING_STATUS=MR","Sort=A","Dates=H","DateFormat=P","Fill=—","Direction=H","UseDPDF=Y")</f>
        <v>—</v>
      </c>
      <c r="M71" s="14" t="str">
        <f>_xll.BDH("GILD US Equity","BOARD_OF_DIRECTORS_AGE_RANGE","FY 2010","FY 2010","Currency=USD","Period=FQ","BEST_FPERIOD_OVERRIDE=FQ","FILING_STATUS=MR","Sort=A","Dates=H","DateFormat=P","Fill=—","Direction=H","UseDPDF=Y")</f>
        <v>—</v>
      </c>
      <c r="N71" s="14" t="str">
        <f>_xll.BDH("GILD US Equity","BOARD_OF_DIRECTORS_AGE_RANGE","FY 2011","FY 2011","Currency=USD","Period=FQ","BEST_FPERIOD_OVERRIDE=FQ","FILING_STATUS=MR","Sort=A","Dates=H","DateFormat=P","Fill=—","Direction=H","UseDPDF=Y")</f>
        <v>—</v>
      </c>
      <c r="O71" s="14" t="str">
        <f>_xll.BDH("GILD US Equity","BOARD_OF_DIRECTORS_AGE_RANGE","FY 2012","FY 2012","Currency=USD","Period=FQ","BEST_FPERIOD_OVERRIDE=FQ","FILING_STATUS=MR","Sort=A","Dates=H","DateFormat=P","Fill=—","Direction=H","UseDPDF=Y")</f>
        <v>—</v>
      </c>
      <c r="P71" s="14" t="str">
        <f>_xll.BDH("GILD US Equity","BOARD_OF_DIRECTORS_AGE_RANGE","FY 2013","FY 2013","Currency=USD","Period=FQ","BEST_FPERIOD_OVERRIDE=FQ","FILING_STATUS=MR","Sort=A","Dates=H","DateFormat=P","Fill=—","Direction=H","UseDPDF=Y")</f>
        <v>—</v>
      </c>
      <c r="Q71" s="14" t="str">
        <f>_xll.BDH("GILD US Equity","BOARD_OF_DIRECTORS_AGE_RANGE","FY 2014","FY 2014","Currency=USD","Period=FQ","BEST_FPERIOD_OVERRIDE=FQ","FILING_STATUS=MR","Sort=A","Dates=H","DateFormat=P","Fill=—","Direction=H","UseDPDF=Y")</f>
        <v>—</v>
      </c>
      <c r="R71" s="14" t="str">
        <f>_xll.BDH("GILD US Equity","BOARD_OF_DIRECTORS_AGE_RANGE","FY 2015","FY 2015","Currency=USD","Period=FQ","BEST_FPERIOD_OVERRIDE=FQ","FILING_STATUS=MR","Sort=A","Dates=H","DateFormat=P","Fill=—","Direction=H","UseDPDF=Y")</f>
        <v>—</v>
      </c>
      <c r="S71" s="14" t="str">
        <f>_xll.BDH("GILD US Equity","BOARD_OF_DIRECTORS_AGE_RANGE","FY 2016","FY 2016","Currency=USD","Period=FQ","BEST_FPERIOD_OVERRIDE=FQ","FILING_STATUS=MR","Sort=A","Dates=H","DateFormat=P","Fill=—","Direction=H","UseDPDF=Y")</f>
        <v>—</v>
      </c>
      <c r="T71" s="14" t="str">
        <f>_xll.BDH("GILD US Equity","BOARD_OF_DIRECTORS_AGE_RANGE","FY 2017","FY 2017","Currency=USD","Period=FQ","BEST_FPERIOD_OVERRIDE=FQ","FILING_STATUS=MR","Sort=A","Dates=H","DateFormat=P","Fill=—","Direction=H","UseDPDF=Y")</f>
        <v>—</v>
      </c>
      <c r="U71" s="14" t="str">
        <f>_xll.BDH("GILD US Equity","BOARD_OF_DIRECTORS_AGE_RANGE","FY 2018","FY 2018","Currency=USD","Period=FQ","BEST_FPERIOD_OVERRIDE=FQ","FILING_STATUS=MR","Sort=A","Dates=H","DateFormat=P","Fill=—","Direction=H","UseDPDF=Y")</f>
        <v>—</v>
      </c>
      <c r="V71" s="14" t="str">
        <f>_xll.BDH("GILD US Equity","BOARD_OF_DIRECTORS_AGE_RANGE","FY 2019","FY 2019","Currency=USD","Period=FQ","BEST_FPERIOD_OVERRIDE=FQ","FILING_STATUS=MR","Sort=A","Dates=H","DateFormat=P","Fill=—","Direction=H","UseDPDF=Y")</f>
        <v>—</v>
      </c>
      <c r="W71" s="14" t="str">
        <f>_xll.BDH("GILD US Equity","BOARD_OF_DIRECTORS_AGE_RANGE","FY 2020","FY 2020","Currency=USD","Period=FQ","BEST_FPERIOD_OVERRIDE=FQ","FILING_STATUS=MR","Sort=A","Dates=H","DateFormat=P","Fill=—","Direction=H","UseDPDF=Y")</f>
        <v>—</v>
      </c>
      <c r="X71" s="14" t="str">
        <f>_xll.BDH("GILD US Equity","BOARD_OF_DIRECTORS_AGE_RANGE","FY 2021","FY 2021","Currency=USD","Period=FQ","BEST_FPERIOD_OVERRIDE=FQ","FILING_STATUS=MR","Sort=A","Dates=H","DateFormat=P","Fill=—","Direction=H","UseDPDF=Y")</f>
        <v>—</v>
      </c>
      <c r="Y71" s="14" t="str">
        <f>_xll.BDH("GILD US Equity","BOARD_OF_DIRECTORS_AGE_RANGE","FY 2022","FY 2022","Currency=USD","Period=FQ","BEST_FPERIOD_OVERRIDE=FQ","FILING_STATUS=MR","Sort=A","Dates=H","DateFormat=P","Fill=—","Direction=H","UseDPDF=Y")</f>
        <v>—</v>
      </c>
      <c r="Z71" s="14" t="str">
        <f>_xll.BDH("GILD US Equity","BOARD_OF_DIRECTORS_AGE_RANGE","FY 2023","FY 2023","Currency=USD","Period=FQ","BEST_FPERIOD_OVERRIDE=FQ","FILING_STATUS=MR","Sort=A","Dates=H","DateFormat=P","Fill=—","Direction=H","UseDPDF=Y")</f>
        <v>—</v>
      </c>
      <c r="AA71" s="14" t="str">
        <f>_xll.BDH("GILD US Equity","BOARD_OF_DIRECTORS_AGE_RANGE","FY 2024","FY 2024","Currency=USD","Period=FQ","BEST_FPERIOD_OVERRIDE=FQ","FILING_STATUS=MR","Sort=A","Dates=H","DateFormat=P","Fill=—","Direction=H","UseDPDF=Y")</f>
        <v>—</v>
      </c>
    </row>
    <row r="72" spans="1:27" x14ac:dyDescent="0.25">
      <c r="A72" s="10" t="s">
        <v>2048</v>
      </c>
      <c r="B72" s="10" t="s">
        <v>2049</v>
      </c>
      <c r="C72" s="14" t="str">
        <f>_xll.BDH("GILD US Equity","BOARD_AVERAGE_AGE","FY 2000","FY 2000","Currency=USD","Period=FQ","BEST_FPERIOD_OVERRIDE=FQ","FILING_STATUS=MR","Sort=A","Dates=H","DateFormat=P","Fill=—","Direction=H","UseDPDF=Y")</f>
        <v>—</v>
      </c>
      <c r="D72" s="14" t="str">
        <f>_xll.BDH("GILD US Equity","BOARD_AVERAGE_AGE","FY 2001","FY 2001","Currency=USD","Period=FQ","BEST_FPERIOD_OVERRIDE=FQ","FILING_STATUS=MR","Sort=A","Dates=H","DateFormat=P","Fill=—","Direction=H","UseDPDF=Y")</f>
        <v>—</v>
      </c>
      <c r="E72" s="14" t="str">
        <f>_xll.BDH("GILD US Equity","BOARD_AVERAGE_AGE","FY 2002","FY 2002","Currency=USD","Period=FQ","BEST_FPERIOD_OVERRIDE=FQ","FILING_STATUS=MR","Sort=A","Dates=H","DateFormat=P","Fill=—","Direction=H","UseDPDF=Y")</f>
        <v>—</v>
      </c>
      <c r="F72" s="14" t="str">
        <f>_xll.BDH("GILD US Equity","BOARD_AVERAGE_AGE","FY 2003","FY 2003","Currency=USD","Period=FQ","BEST_FPERIOD_OVERRIDE=FQ","FILING_STATUS=MR","Sort=A","Dates=H","DateFormat=P","Fill=—","Direction=H","UseDPDF=Y")</f>
        <v>—</v>
      </c>
      <c r="G72" s="14" t="str">
        <f>_xll.BDH("GILD US Equity","BOARD_AVERAGE_AGE","FY 2004","FY 2004","Currency=USD","Period=FQ","BEST_FPERIOD_OVERRIDE=FQ","FILING_STATUS=MR","Sort=A","Dates=H","DateFormat=P","Fill=—","Direction=H","UseDPDF=Y")</f>
        <v>—</v>
      </c>
      <c r="H72" s="14" t="str">
        <f>_xll.BDH("GILD US Equity","BOARD_AVERAGE_AGE","FY 2005","FY 2005","Currency=USD","Period=FQ","BEST_FPERIOD_OVERRIDE=FQ","FILING_STATUS=MR","Sort=A","Dates=H","DateFormat=P","Fill=—","Direction=H","UseDPDF=Y")</f>
        <v>—</v>
      </c>
      <c r="I72" s="14" t="str">
        <f>_xll.BDH("GILD US Equity","BOARD_AVERAGE_AGE","FY 2006","FY 2006","Currency=USD","Period=FQ","BEST_FPERIOD_OVERRIDE=FQ","FILING_STATUS=MR","Sort=A","Dates=H","DateFormat=P","Fill=—","Direction=H","UseDPDF=Y")</f>
        <v>—</v>
      </c>
      <c r="J72" s="14" t="str">
        <f>_xll.BDH("GILD US Equity","BOARD_AVERAGE_AGE","FY 2007","FY 2007","Currency=USD","Period=FQ","BEST_FPERIOD_OVERRIDE=FQ","FILING_STATUS=MR","Sort=A","Dates=H","DateFormat=P","Fill=—","Direction=H","UseDPDF=Y")</f>
        <v>—</v>
      </c>
      <c r="K72" s="14" t="str">
        <f>_xll.BDH("GILD US Equity","BOARD_AVERAGE_AGE","FY 2008","FY 2008","Currency=USD","Period=FQ","BEST_FPERIOD_OVERRIDE=FQ","FILING_STATUS=MR","Sort=A","Dates=H","DateFormat=P","Fill=—","Direction=H","UseDPDF=Y")</f>
        <v>—</v>
      </c>
      <c r="L72" s="14" t="str">
        <f>_xll.BDH("GILD US Equity","BOARD_AVERAGE_AGE","FY 2009","FY 2009","Currency=USD","Period=FQ","BEST_FPERIOD_OVERRIDE=FQ","FILING_STATUS=MR","Sort=A","Dates=H","DateFormat=P","Fill=—","Direction=H","UseDPDF=Y")</f>
        <v>—</v>
      </c>
      <c r="M72" s="14" t="str">
        <f>_xll.BDH("GILD US Equity","BOARD_AVERAGE_AGE","FY 2010","FY 2010","Currency=USD","Period=FQ","BEST_FPERIOD_OVERRIDE=FQ","FILING_STATUS=MR","Sort=A","Dates=H","DateFormat=P","Fill=—","Direction=H","UseDPDF=Y")</f>
        <v>—</v>
      </c>
      <c r="N72" s="14" t="str">
        <f>_xll.BDH("GILD US Equity","BOARD_AVERAGE_AGE","FY 2011","FY 2011","Currency=USD","Period=FQ","BEST_FPERIOD_OVERRIDE=FQ","FILING_STATUS=MR","Sort=A","Dates=H","DateFormat=P","Fill=—","Direction=H","UseDPDF=Y")</f>
        <v>—</v>
      </c>
      <c r="O72" s="14" t="str">
        <f>_xll.BDH("GILD US Equity","BOARD_AVERAGE_AGE","FY 2012","FY 2012","Currency=USD","Period=FQ","BEST_FPERIOD_OVERRIDE=FQ","FILING_STATUS=MR","Sort=A","Dates=H","DateFormat=P","Fill=—","Direction=H","UseDPDF=Y")</f>
        <v>—</v>
      </c>
      <c r="P72" s="14" t="str">
        <f>_xll.BDH("GILD US Equity","BOARD_AVERAGE_AGE","FY 2013","FY 2013","Currency=USD","Period=FQ","BEST_FPERIOD_OVERRIDE=FQ","FILING_STATUS=MR","Sort=A","Dates=H","DateFormat=P","Fill=—","Direction=H","UseDPDF=Y")</f>
        <v>—</v>
      </c>
      <c r="Q72" s="14" t="str">
        <f>_xll.BDH("GILD US Equity","BOARD_AVERAGE_AGE","FY 2014","FY 2014","Currency=USD","Period=FQ","BEST_FPERIOD_OVERRIDE=FQ","FILING_STATUS=MR","Sort=A","Dates=H","DateFormat=P","Fill=—","Direction=H","UseDPDF=Y")</f>
        <v>—</v>
      </c>
      <c r="R72" s="14" t="str">
        <f>_xll.BDH("GILD US Equity","BOARD_AVERAGE_AGE","FY 2015","FY 2015","Currency=USD","Period=FQ","BEST_FPERIOD_OVERRIDE=FQ","FILING_STATUS=MR","Sort=A","Dates=H","DateFormat=P","Fill=—","Direction=H","UseDPDF=Y")</f>
        <v>—</v>
      </c>
      <c r="S72" s="14" t="str">
        <f>_xll.BDH("GILD US Equity","BOARD_AVERAGE_AGE","FY 2016","FY 2016","Currency=USD","Period=FQ","BEST_FPERIOD_OVERRIDE=FQ","FILING_STATUS=MR","Sort=A","Dates=H","DateFormat=P","Fill=—","Direction=H","UseDPDF=Y")</f>
        <v>—</v>
      </c>
      <c r="T72" s="14" t="str">
        <f>_xll.BDH("GILD US Equity","BOARD_AVERAGE_AGE","FY 2017","FY 2017","Currency=USD","Period=FQ","BEST_FPERIOD_OVERRIDE=FQ","FILING_STATUS=MR","Sort=A","Dates=H","DateFormat=P","Fill=—","Direction=H","UseDPDF=Y")</f>
        <v>—</v>
      </c>
      <c r="U72" s="14" t="str">
        <f>_xll.BDH("GILD US Equity","BOARD_AVERAGE_AGE","FY 2018","FY 2018","Currency=USD","Period=FQ","BEST_FPERIOD_OVERRIDE=FQ","FILING_STATUS=MR","Sort=A","Dates=H","DateFormat=P","Fill=—","Direction=H","UseDPDF=Y")</f>
        <v>—</v>
      </c>
      <c r="V72" s="14" t="str">
        <f>_xll.BDH("GILD US Equity","BOARD_AVERAGE_AGE","FY 2019","FY 2019","Currency=USD","Period=FQ","BEST_FPERIOD_OVERRIDE=FQ","FILING_STATUS=MR","Sort=A","Dates=H","DateFormat=P","Fill=—","Direction=H","UseDPDF=Y")</f>
        <v>—</v>
      </c>
      <c r="W72" s="14" t="str">
        <f>_xll.BDH("GILD US Equity","BOARD_AVERAGE_AGE","FY 2020","FY 2020","Currency=USD","Period=FQ","BEST_FPERIOD_OVERRIDE=FQ","FILING_STATUS=MR","Sort=A","Dates=H","DateFormat=P","Fill=—","Direction=H","UseDPDF=Y")</f>
        <v>—</v>
      </c>
      <c r="X72" s="14" t="str">
        <f>_xll.BDH("GILD US Equity","BOARD_AVERAGE_AGE","FY 2021","FY 2021","Currency=USD","Period=FQ","BEST_FPERIOD_OVERRIDE=FQ","FILING_STATUS=MR","Sort=A","Dates=H","DateFormat=P","Fill=—","Direction=H","UseDPDF=Y")</f>
        <v>—</v>
      </c>
      <c r="Y72" s="14" t="str">
        <f>_xll.BDH("GILD US Equity","BOARD_AVERAGE_AGE","FY 2022","FY 2022","Currency=USD","Period=FQ","BEST_FPERIOD_OVERRIDE=FQ","FILING_STATUS=MR","Sort=A","Dates=H","DateFormat=P","Fill=—","Direction=H","UseDPDF=Y")</f>
        <v>—</v>
      </c>
      <c r="Z72" s="14" t="str">
        <f>_xll.BDH("GILD US Equity","BOARD_AVERAGE_AGE","FY 2023","FY 2023","Currency=USD","Period=FQ","BEST_FPERIOD_OVERRIDE=FQ","FILING_STATUS=MR","Sort=A","Dates=H","DateFormat=P","Fill=—","Direction=H","UseDPDF=Y")</f>
        <v>—</v>
      </c>
      <c r="AA72" s="14" t="str">
        <f>_xll.BDH("GILD US Equity","BOARD_AVERAGE_AGE","FY 2024","FY 2024","Currency=USD","Period=FQ","BEST_FPERIOD_OVERRIDE=FQ","FILING_STATUS=MR","Sort=A","Dates=H","DateFormat=P","Fill=—","Direction=H","UseDPDF=Y")</f>
        <v>—</v>
      </c>
    </row>
    <row r="73" spans="1:27" x14ac:dyDescent="0.25">
      <c r="A73" s="10" t="s">
        <v>2050</v>
      </c>
      <c r="B73" s="10" t="s">
        <v>2051</v>
      </c>
      <c r="C73" s="14" t="str">
        <f>_xll.BDH("GILD US Equity","BOARD_MEETING_ATTENDANCE_PCT","FY 2000","FY 2000","Currency=USD","Period=FQ","BEST_FPERIOD_OVERRIDE=FQ","FILING_STATUS=MR","Sort=A","Dates=H","DateFormat=P","Fill=—","Direction=H","UseDPDF=Y")</f>
        <v>—</v>
      </c>
      <c r="D73" s="14" t="str">
        <f>_xll.BDH("GILD US Equity","BOARD_MEETING_ATTENDANCE_PCT","FY 2001","FY 2001","Currency=USD","Period=FQ","BEST_FPERIOD_OVERRIDE=FQ","FILING_STATUS=MR","Sort=A","Dates=H","DateFormat=P","Fill=—","Direction=H","UseDPDF=Y")</f>
        <v>—</v>
      </c>
      <c r="E73" s="14" t="str">
        <f>_xll.BDH("GILD US Equity","BOARD_MEETING_ATTENDANCE_PCT","FY 2002","FY 2002","Currency=USD","Period=FQ","BEST_FPERIOD_OVERRIDE=FQ","FILING_STATUS=MR","Sort=A","Dates=H","DateFormat=P","Fill=—","Direction=H","UseDPDF=Y")</f>
        <v>—</v>
      </c>
      <c r="F73" s="14" t="str">
        <f>_xll.BDH("GILD US Equity","BOARD_MEETING_ATTENDANCE_PCT","FY 2003","FY 2003","Currency=USD","Period=FQ","BEST_FPERIOD_OVERRIDE=FQ","FILING_STATUS=MR","Sort=A","Dates=H","DateFormat=P","Fill=—","Direction=H","UseDPDF=Y")</f>
        <v>—</v>
      </c>
      <c r="G73" s="14" t="str">
        <f>_xll.BDH("GILD US Equity","BOARD_MEETING_ATTENDANCE_PCT","FY 2004","FY 2004","Currency=USD","Period=FQ","BEST_FPERIOD_OVERRIDE=FQ","FILING_STATUS=MR","Sort=A","Dates=H","DateFormat=P","Fill=—","Direction=H","UseDPDF=Y")</f>
        <v>—</v>
      </c>
      <c r="H73" s="14" t="str">
        <f>_xll.BDH("GILD US Equity","BOARD_MEETING_ATTENDANCE_PCT","FY 2005","FY 2005","Currency=USD","Period=FQ","BEST_FPERIOD_OVERRIDE=FQ","FILING_STATUS=MR","Sort=A","Dates=H","DateFormat=P","Fill=—","Direction=H","UseDPDF=Y")</f>
        <v>—</v>
      </c>
      <c r="I73" s="14" t="str">
        <f>_xll.BDH("GILD US Equity","BOARD_MEETING_ATTENDANCE_PCT","FY 2006","FY 2006","Currency=USD","Period=FQ","BEST_FPERIOD_OVERRIDE=FQ","FILING_STATUS=MR","Sort=A","Dates=H","DateFormat=P","Fill=—","Direction=H","UseDPDF=Y")</f>
        <v>—</v>
      </c>
      <c r="J73" s="14" t="str">
        <f>_xll.BDH("GILD US Equity","BOARD_MEETING_ATTENDANCE_PCT","FY 2007","FY 2007","Currency=USD","Period=FQ","BEST_FPERIOD_OVERRIDE=FQ","FILING_STATUS=MR","Sort=A","Dates=H","DateFormat=P","Fill=—","Direction=H","UseDPDF=Y")</f>
        <v>—</v>
      </c>
      <c r="K73" s="14" t="str">
        <f>_xll.BDH("GILD US Equity","BOARD_MEETING_ATTENDANCE_PCT","FY 2008","FY 2008","Currency=USD","Period=FQ","BEST_FPERIOD_OVERRIDE=FQ","FILING_STATUS=MR","Sort=A","Dates=H","DateFormat=P","Fill=—","Direction=H","UseDPDF=Y")</f>
        <v>—</v>
      </c>
      <c r="L73" s="14" t="str">
        <f>_xll.BDH("GILD US Equity","BOARD_MEETING_ATTENDANCE_PCT","FY 2009","FY 2009","Currency=USD","Period=FQ","BEST_FPERIOD_OVERRIDE=FQ","FILING_STATUS=MR","Sort=A","Dates=H","DateFormat=P","Fill=—","Direction=H","UseDPDF=Y")</f>
        <v>—</v>
      </c>
      <c r="M73" s="14" t="str">
        <f>_xll.BDH("GILD US Equity","BOARD_MEETING_ATTENDANCE_PCT","FY 2010","FY 2010","Currency=USD","Period=FQ","BEST_FPERIOD_OVERRIDE=FQ","FILING_STATUS=MR","Sort=A","Dates=H","DateFormat=P","Fill=—","Direction=H","UseDPDF=Y")</f>
        <v>—</v>
      </c>
      <c r="N73" s="14" t="str">
        <f>_xll.BDH("GILD US Equity","BOARD_MEETING_ATTENDANCE_PCT","FY 2011","FY 2011","Currency=USD","Period=FQ","BEST_FPERIOD_OVERRIDE=FQ","FILING_STATUS=MR","Sort=A","Dates=H","DateFormat=P","Fill=—","Direction=H","UseDPDF=Y")</f>
        <v>—</v>
      </c>
      <c r="O73" s="14" t="str">
        <f>_xll.BDH("GILD US Equity","BOARD_MEETING_ATTENDANCE_PCT","FY 2012","FY 2012","Currency=USD","Period=FQ","BEST_FPERIOD_OVERRIDE=FQ","FILING_STATUS=MR","Sort=A","Dates=H","DateFormat=P","Fill=—","Direction=H","UseDPDF=Y")</f>
        <v>—</v>
      </c>
      <c r="P73" s="14" t="str">
        <f>_xll.BDH("GILD US Equity","BOARD_MEETING_ATTENDANCE_PCT","FY 2013","FY 2013","Currency=USD","Period=FQ","BEST_FPERIOD_OVERRIDE=FQ","FILING_STATUS=MR","Sort=A","Dates=H","DateFormat=P","Fill=—","Direction=H","UseDPDF=Y")</f>
        <v>—</v>
      </c>
      <c r="Q73" s="14" t="str">
        <f>_xll.BDH("GILD US Equity","BOARD_MEETING_ATTENDANCE_PCT","FY 2014","FY 2014","Currency=USD","Period=FQ","BEST_FPERIOD_OVERRIDE=FQ","FILING_STATUS=MR","Sort=A","Dates=H","DateFormat=P","Fill=—","Direction=H","UseDPDF=Y")</f>
        <v>—</v>
      </c>
      <c r="R73" s="14" t="str">
        <f>_xll.BDH("GILD US Equity","BOARD_MEETING_ATTENDANCE_PCT","FY 2015","FY 2015","Currency=USD","Period=FQ","BEST_FPERIOD_OVERRIDE=FQ","FILING_STATUS=MR","Sort=A","Dates=H","DateFormat=P","Fill=—","Direction=H","UseDPDF=Y")</f>
        <v>—</v>
      </c>
      <c r="S73" s="14" t="str">
        <f>_xll.BDH("GILD US Equity","BOARD_MEETING_ATTENDANCE_PCT","FY 2016","FY 2016","Currency=USD","Period=FQ","BEST_FPERIOD_OVERRIDE=FQ","FILING_STATUS=MR","Sort=A","Dates=H","DateFormat=P","Fill=—","Direction=H","UseDPDF=Y")</f>
        <v>—</v>
      </c>
      <c r="T73" s="14" t="str">
        <f>_xll.BDH("GILD US Equity","BOARD_MEETING_ATTENDANCE_PCT","FY 2017","FY 2017","Currency=USD","Period=FQ","BEST_FPERIOD_OVERRIDE=FQ","FILING_STATUS=MR","Sort=A","Dates=H","DateFormat=P","Fill=—","Direction=H","UseDPDF=Y")</f>
        <v>—</v>
      </c>
      <c r="U73" s="14" t="str">
        <f>_xll.BDH("GILD US Equity","BOARD_MEETING_ATTENDANCE_PCT","FY 2018","FY 2018","Currency=USD","Period=FQ","BEST_FPERIOD_OVERRIDE=FQ","FILING_STATUS=MR","Sort=A","Dates=H","DateFormat=P","Fill=—","Direction=H","UseDPDF=Y")</f>
        <v>—</v>
      </c>
      <c r="V73" s="14" t="str">
        <f>_xll.BDH("GILD US Equity","BOARD_MEETING_ATTENDANCE_PCT","FY 2019","FY 2019","Currency=USD","Period=FQ","BEST_FPERIOD_OVERRIDE=FQ","FILING_STATUS=MR","Sort=A","Dates=H","DateFormat=P","Fill=—","Direction=H","UseDPDF=Y")</f>
        <v>—</v>
      </c>
      <c r="W73" s="14" t="str">
        <f>_xll.BDH("GILD US Equity","BOARD_MEETING_ATTENDANCE_PCT","FY 2020","FY 2020","Currency=USD","Period=FQ","BEST_FPERIOD_OVERRIDE=FQ","FILING_STATUS=MR","Sort=A","Dates=H","DateFormat=P","Fill=—","Direction=H","UseDPDF=Y")</f>
        <v>—</v>
      </c>
      <c r="X73" s="14" t="str">
        <f>_xll.BDH("GILD US Equity","BOARD_MEETING_ATTENDANCE_PCT","FY 2021","FY 2021","Currency=USD","Period=FQ","BEST_FPERIOD_OVERRIDE=FQ","FILING_STATUS=MR","Sort=A","Dates=H","DateFormat=P","Fill=—","Direction=H","UseDPDF=Y")</f>
        <v>—</v>
      </c>
      <c r="Y73" s="14" t="str">
        <f>_xll.BDH("GILD US Equity","BOARD_MEETING_ATTENDANCE_PCT","FY 2022","FY 2022","Currency=USD","Period=FQ","BEST_FPERIOD_OVERRIDE=FQ","FILING_STATUS=MR","Sort=A","Dates=H","DateFormat=P","Fill=—","Direction=H","UseDPDF=Y")</f>
        <v>—</v>
      </c>
      <c r="Z73" s="14" t="str">
        <f>_xll.BDH("GILD US Equity","BOARD_MEETING_ATTENDANCE_PCT","FY 2023","FY 2023","Currency=USD","Period=FQ","BEST_FPERIOD_OVERRIDE=FQ","FILING_STATUS=MR","Sort=A","Dates=H","DateFormat=P","Fill=—","Direction=H","UseDPDF=Y")</f>
        <v>—</v>
      </c>
      <c r="AA73" s="14" t="str">
        <f>_xll.BDH("GILD US Equity","BOARD_MEETING_ATTENDANCE_PCT","FY 2024","FY 2024","Currency=USD","Period=FQ","BEST_FPERIOD_OVERRIDE=FQ","FILING_STATUS=MR","Sort=A","Dates=H","DateFormat=P","Fill=—","Direction=H","UseDPDF=Y")</f>
        <v>—</v>
      </c>
    </row>
    <row r="74" spans="1:27" x14ac:dyDescent="0.25">
      <c r="A74" s="10" t="s">
        <v>2052</v>
      </c>
      <c r="B74" s="10" t="s">
        <v>2053</v>
      </c>
      <c r="C74" s="14" t="str">
        <f>_xll.BDH("GILD US Equity","IND_DIRECTORS_BRD_MTG_ATTEND_PCT","FY 2000","FY 2000","Currency=USD","Period=FQ","BEST_FPERIOD_OVERRIDE=FQ","FILING_STATUS=MR","Sort=A","Dates=H","DateFormat=P","Fill=—","Direction=H","UseDPDF=Y")</f>
        <v>—</v>
      </c>
      <c r="D74" s="14" t="str">
        <f>_xll.BDH("GILD US Equity","IND_DIRECTORS_BRD_MTG_ATTEND_PCT","FY 2001","FY 2001","Currency=USD","Period=FQ","BEST_FPERIOD_OVERRIDE=FQ","FILING_STATUS=MR","Sort=A","Dates=H","DateFormat=P","Fill=—","Direction=H","UseDPDF=Y")</f>
        <v>—</v>
      </c>
      <c r="E74" s="14" t="str">
        <f>_xll.BDH("GILD US Equity","IND_DIRECTORS_BRD_MTG_ATTEND_PCT","FY 2002","FY 2002","Currency=USD","Period=FQ","BEST_FPERIOD_OVERRIDE=FQ","FILING_STATUS=MR","Sort=A","Dates=H","DateFormat=P","Fill=—","Direction=H","UseDPDF=Y")</f>
        <v>—</v>
      </c>
      <c r="F74" s="14" t="str">
        <f>_xll.BDH("GILD US Equity","IND_DIRECTORS_BRD_MTG_ATTEND_PCT","FY 2003","FY 2003","Currency=USD","Period=FQ","BEST_FPERIOD_OVERRIDE=FQ","FILING_STATUS=MR","Sort=A","Dates=H","DateFormat=P","Fill=—","Direction=H","UseDPDF=Y")</f>
        <v>—</v>
      </c>
      <c r="G74" s="14" t="str">
        <f>_xll.BDH("GILD US Equity","IND_DIRECTORS_BRD_MTG_ATTEND_PCT","FY 2004","FY 2004","Currency=USD","Period=FQ","BEST_FPERIOD_OVERRIDE=FQ","FILING_STATUS=MR","Sort=A","Dates=H","DateFormat=P","Fill=—","Direction=H","UseDPDF=Y")</f>
        <v>—</v>
      </c>
      <c r="H74" s="14" t="str">
        <f>_xll.BDH("GILD US Equity","IND_DIRECTORS_BRD_MTG_ATTEND_PCT","FY 2005","FY 2005","Currency=USD","Period=FQ","BEST_FPERIOD_OVERRIDE=FQ","FILING_STATUS=MR","Sort=A","Dates=H","DateFormat=P","Fill=—","Direction=H","UseDPDF=Y")</f>
        <v>—</v>
      </c>
      <c r="I74" s="14" t="str">
        <f>_xll.BDH("GILD US Equity","IND_DIRECTORS_BRD_MTG_ATTEND_PCT","FY 2006","FY 2006","Currency=USD","Period=FQ","BEST_FPERIOD_OVERRIDE=FQ","FILING_STATUS=MR","Sort=A","Dates=H","DateFormat=P","Fill=—","Direction=H","UseDPDF=Y")</f>
        <v>—</v>
      </c>
      <c r="J74" s="14" t="str">
        <f>_xll.BDH("GILD US Equity","IND_DIRECTORS_BRD_MTG_ATTEND_PCT","FY 2007","FY 2007","Currency=USD","Period=FQ","BEST_FPERIOD_OVERRIDE=FQ","FILING_STATUS=MR","Sort=A","Dates=H","DateFormat=P","Fill=—","Direction=H","UseDPDF=Y")</f>
        <v>—</v>
      </c>
      <c r="K74" s="14" t="str">
        <f>_xll.BDH("GILD US Equity","IND_DIRECTORS_BRD_MTG_ATTEND_PCT","FY 2008","FY 2008","Currency=USD","Period=FQ","BEST_FPERIOD_OVERRIDE=FQ","FILING_STATUS=MR","Sort=A","Dates=H","DateFormat=P","Fill=—","Direction=H","UseDPDF=Y")</f>
        <v>—</v>
      </c>
      <c r="L74" s="14" t="str">
        <f>_xll.BDH("GILD US Equity","IND_DIRECTORS_BRD_MTG_ATTEND_PCT","FY 2009","FY 2009","Currency=USD","Period=FQ","BEST_FPERIOD_OVERRIDE=FQ","FILING_STATUS=MR","Sort=A","Dates=H","DateFormat=P","Fill=—","Direction=H","UseDPDF=Y")</f>
        <v>—</v>
      </c>
      <c r="M74" s="14" t="str">
        <f>_xll.BDH("GILD US Equity","IND_DIRECTORS_BRD_MTG_ATTEND_PCT","FY 2010","FY 2010","Currency=USD","Period=FQ","BEST_FPERIOD_OVERRIDE=FQ","FILING_STATUS=MR","Sort=A","Dates=H","DateFormat=P","Fill=—","Direction=H","UseDPDF=Y")</f>
        <v>—</v>
      </c>
      <c r="N74" s="14" t="str">
        <f>_xll.BDH("GILD US Equity","IND_DIRECTORS_BRD_MTG_ATTEND_PCT","FY 2011","FY 2011","Currency=USD","Period=FQ","BEST_FPERIOD_OVERRIDE=FQ","FILING_STATUS=MR","Sort=A","Dates=H","DateFormat=P","Fill=—","Direction=H","UseDPDF=Y")</f>
        <v>—</v>
      </c>
      <c r="O74" s="14" t="str">
        <f>_xll.BDH("GILD US Equity","IND_DIRECTORS_BRD_MTG_ATTEND_PCT","FY 2012","FY 2012","Currency=USD","Period=FQ","BEST_FPERIOD_OVERRIDE=FQ","FILING_STATUS=MR","Sort=A","Dates=H","DateFormat=P","Fill=—","Direction=H","UseDPDF=Y")</f>
        <v>—</v>
      </c>
      <c r="P74" s="14" t="str">
        <f>_xll.BDH("GILD US Equity","IND_DIRECTORS_BRD_MTG_ATTEND_PCT","FY 2013","FY 2013","Currency=USD","Period=FQ","BEST_FPERIOD_OVERRIDE=FQ","FILING_STATUS=MR","Sort=A","Dates=H","DateFormat=P","Fill=—","Direction=H","UseDPDF=Y")</f>
        <v>—</v>
      </c>
      <c r="Q74" s="14" t="str">
        <f>_xll.BDH("GILD US Equity","IND_DIRECTORS_BRD_MTG_ATTEND_PCT","FY 2014","FY 2014","Currency=USD","Period=FQ","BEST_FPERIOD_OVERRIDE=FQ","FILING_STATUS=MR","Sort=A","Dates=H","DateFormat=P","Fill=—","Direction=H","UseDPDF=Y")</f>
        <v>—</v>
      </c>
      <c r="R74" s="14" t="str">
        <f>_xll.BDH("GILD US Equity","IND_DIRECTORS_BRD_MTG_ATTEND_PCT","FY 2015","FY 2015","Currency=USD","Period=FQ","BEST_FPERIOD_OVERRIDE=FQ","FILING_STATUS=MR","Sort=A","Dates=H","DateFormat=P","Fill=—","Direction=H","UseDPDF=Y")</f>
        <v>—</v>
      </c>
      <c r="S74" s="14" t="str">
        <f>_xll.BDH("GILD US Equity","IND_DIRECTORS_BRD_MTG_ATTEND_PCT","FY 2016","FY 2016","Currency=USD","Period=FQ","BEST_FPERIOD_OVERRIDE=FQ","FILING_STATUS=MR","Sort=A","Dates=H","DateFormat=P","Fill=—","Direction=H","UseDPDF=Y")</f>
        <v>—</v>
      </c>
      <c r="T74" s="14" t="str">
        <f>_xll.BDH("GILD US Equity","IND_DIRECTORS_BRD_MTG_ATTEND_PCT","FY 2017","FY 2017","Currency=USD","Period=FQ","BEST_FPERIOD_OVERRIDE=FQ","FILING_STATUS=MR","Sort=A","Dates=H","DateFormat=P","Fill=—","Direction=H","UseDPDF=Y")</f>
        <v>—</v>
      </c>
      <c r="U74" s="14" t="str">
        <f>_xll.BDH("GILD US Equity","IND_DIRECTORS_BRD_MTG_ATTEND_PCT","FY 2018","FY 2018","Currency=USD","Period=FQ","BEST_FPERIOD_OVERRIDE=FQ","FILING_STATUS=MR","Sort=A","Dates=H","DateFormat=P","Fill=—","Direction=H","UseDPDF=Y")</f>
        <v>—</v>
      </c>
      <c r="V74" s="14" t="str">
        <f>_xll.BDH("GILD US Equity","IND_DIRECTORS_BRD_MTG_ATTEND_PCT","FY 2019","FY 2019","Currency=USD","Period=FQ","BEST_FPERIOD_OVERRIDE=FQ","FILING_STATUS=MR","Sort=A","Dates=H","DateFormat=P","Fill=—","Direction=H","UseDPDF=Y")</f>
        <v>—</v>
      </c>
      <c r="W74" s="14" t="str">
        <f>_xll.BDH("GILD US Equity","IND_DIRECTORS_BRD_MTG_ATTEND_PCT","FY 2020","FY 2020","Currency=USD","Period=FQ","BEST_FPERIOD_OVERRIDE=FQ","FILING_STATUS=MR","Sort=A","Dates=H","DateFormat=P","Fill=—","Direction=H","UseDPDF=Y")</f>
        <v>—</v>
      </c>
      <c r="X74" s="14" t="str">
        <f>_xll.BDH("GILD US Equity","IND_DIRECTORS_BRD_MTG_ATTEND_PCT","FY 2021","FY 2021","Currency=USD","Period=FQ","BEST_FPERIOD_OVERRIDE=FQ","FILING_STATUS=MR","Sort=A","Dates=H","DateFormat=P","Fill=—","Direction=H","UseDPDF=Y")</f>
        <v>—</v>
      </c>
      <c r="Y74" s="14" t="str">
        <f>_xll.BDH("GILD US Equity","IND_DIRECTORS_BRD_MTG_ATTEND_PCT","FY 2022","FY 2022","Currency=USD","Period=FQ","BEST_FPERIOD_OVERRIDE=FQ","FILING_STATUS=MR","Sort=A","Dates=H","DateFormat=P","Fill=—","Direction=H","UseDPDF=Y")</f>
        <v>—</v>
      </c>
      <c r="Z74" s="14" t="str">
        <f>_xll.BDH("GILD US Equity","IND_DIRECTORS_BRD_MTG_ATTEND_PCT","FY 2023","FY 2023","Currency=USD","Period=FQ","BEST_FPERIOD_OVERRIDE=FQ","FILING_STATUS=MR","Sort=A","Dates=H","DateFormat=P","Fill=—","Direction=H","UseDPDF=Y")</f>
        <v>—</v>
      </c>
      <c r="AA74" s="14" t="str">
        <f>_xll.BDH("GILD US Equity","IND_DIRECTORS_BRD_MTG_ATTEND_PCT","FY 2024","FY 2024","Currency=USD","Period=FQ","BEST_FPERIOD_OVERRIDE=FQ","FILING_STATUS=MR","Sort=A","Dates=H","DateFormat=P","Fill=—","Direction=H","UseDPDF=Y")</f>
        <v>—</v>
      </c>
    </row>
    <row r="75" spans="1:27" x14ac:dyDescent="0.25">
      <c r="A75" s="10" t="s">
        <v>2054</v>
      </c>
      <c r="B75" s="10" t="s">
        <v>2055</v>
      </c>
      <c r="C75" s="14" t="str">
        <f>_xll.BDH("GILD US Equity","PCT_IND_DIRECTORS_ON_AUDIT_CMTE","FY 2000","FY 2000","Currency=USD","Period=FQ","BEST_FPERIOD_OVERRIDE=FQ","FILING_STATUS=MR","Sort=A","Dates=H","DateFormat=P","Fill=—","Direction=H","UseDPDF=Y")</f>
        <v>—</v>
      </c>
      <c r="D75" s="14" t="str">
        <f>_xll.BDH("GILD US Equity","PCT_IND_DIRECTORS_ON_AUDIT_CMTE","FY 2001","FY 2001","Currency=USD","Period=FQ","BEST_FPERIOD_OVERRIDE=FQ","FILING_STATUS=MR","Sort=A","Dates=H","DateFormat=P","Fill=—","Direction=H","UseDPDF=Y")</f>
        <v>—</v>
      </c>
      <c r="E75" s="14" t="str">
        <f>_xll.BDH("GILD US Equity","PCT_IND_DIRECTORS_ON_AUDIT_CMTE","FY 2002","FY 2002","Currency=USD","Period=FQ","BEST_FPERIOD_OVERRIDE=FQ","FILING_STATUS=MR","Sort=A","Dates=H","DateFormat=P","Fill=—","Direction=H","UseDPDF=Y")</f>
        <v>—</v>
      </c>
      <c r="F75" s="14" t="str">
        <f>_xll.BDH("GILD US Equity","PCT_IND_DIRECTORS_ON_AUDIT_CMTE","FY 2003","FY 2003","Currency=USD","Period=FQ","BEST_FPERIOD_OVERRIDE=FQ","FILING_STATUS=MR","Sort=A","Dates=H","DateFormat=P","Fill=—","Direction=H","UseDPDF=Y")</f>
        <v>—</v>
      </c>
      <c r="G75" s="14" t="str">
        <f>_xll.BDH("GILD US Equity","PCT_IND_DIRECTORS_ON_AUDIT_CMTE","FY 2004","FY 2004","Currency=USD","Period=FQ","BEST_FPERIOD_OVERRIDE=FQ","FILING_STATUS=MR","Sort=A","Dates=H","DateFormat=P","Fill=—","Direction=H","UseDPDF=Y")</f>
        <v>—</v>
      </c>
      <c r="H75" s="14" t="str">
        <f>_xll.BDH("GILD US Equity","PCT_IND_DIRECTORS_ON_AUDIT_CMTE","FY 2005","FY 2005","Currency=USD","Period=FQ","BEST_FPERIOD_OVERRIDE=FQ","FILING_STATUS=MR","Sort=A","Dates=H","DateFormat=P","Fill=—","Direction=H","UseDPDF=Y")</f>
        <v>—</v>
      </c>
      <c r="I75" s="14" t="str">
        <f>_xll.BDH("GILD US Equity","PCT_IND_DIRECTORS_ON_AUDIT_CMTE","FY 2006","FY 2006","Currency=USD","Period=FQ","BEST_FPERIOD_OVERRIDE=FQ","FILING_STATUS=MR","Sort=A","Dates=H","DateFormat=P","Fill=—","Direction=H","UseDPDF=Y")</f>
        <v>—</v>
      </c>
      <c r="J75" s="14" t="str">
        <f>_xll.BDH("GILD US Equity","PCT_IND_DIRECTORS_ON_AUDIT_CMTE","FY 2007","FY 2007","Currency=USD","Period=FQ","BEST_FPERIOD_OVERRIDE=FQ","FILING_STATUS=MR","Sort=A","Dates=H","DateFormat=P","Fill=—","Direction=H","UseDPDF=Y")</f>
        <v>—</v>
      </c>
      <c r="K75" s="14" t="str">
        <f>_xll.BDH("GILD US Equity","PCT_IND_DIRECTORS_ON_AUDIT_CMTE","FY 2008","FY 2008","Currency=USD","Period=FQ","BEST_FPERIOD_OVERRIDE=FQ","FILING_STATUS=MR","Sort=A","Dates=H","DateFormat=P","Fill=—","Direction=H","UseDPDF=Y")</f>
        <v>—</v>
      </c>
      <c r="L75" s="14" t="str">
        <f>_xll.BDH("GILD US Equity","PCT_IND_DIRECTORS_ON_AUDIT_CMTE","FY 2009","FY 2009","Currency=USD","Period=FQ","BEST_FPERIOD_OVERRIDE=FQ","FILING_STATUS=MR","Sort=A","Dates=H","DateFormat=P","Fill=—","Direction=H","UseDPDF=Y")</f>
        <v>—</v>
      </c>
      <c r="M75" s="14" t="str">
        <f>_xll.BDH("GILD US Equity","PCT_IND_DIRECTORS_ON_AUDIT_CMTE","FY 2010","FY 2010","Currency=USD","Period=FQ","BEST_FPERIOD_OVERRIDE=FQ","FILING_STATUS=MR","Sort=A","Dates=H","DateFormat=P","Fill=—","Direction=H","UseDPDF=Y")</f>
        <v>—</v>
      </c>
      <c r="N75" s="14" t="str">
        <f>_xll.BDH("GILD US Equity","PCT_IND_DIRECTORS_ON_AUDIT_CMTE","FY 2011","FY 2011","Currency=USD","Period=FQ","BEST_FPERIOD_OVERRIDE=FQ","FILING_STATUS=MR","Sort=A","Dates=H","DateFormat=P","Fill=—","Direction=H","UseDPDF=Y")</f>
        <v>—</v>
      </c>
      <c r="O75" s="14" t="str">
        <f>_xll.BDH("GILD US Equity","PCT_IND_DIRECTORS_ON_AUDIT_CMTE","FY 2012","FY 2012","Currency=USD","Period=FQ","BEST_FPERIOD_OVERRIDE=FQ","FILING_STATUS=MR","Sort=A","Dates=H","DateFormat=P","Fill=—","Direction=H","UseDPDF=Y")</f>
        <v>—</v>
      </c>
      <c r="P75" s="14" t="str">
        <f>_xll.BDH("GILD US Equity","PCT_IND_DIRECTORS_ON_AUDIT_CMTE","FY 2013","FY 2013","Currency=USD","Period=FQ","BEST_FPERIOD_OVERRIDE=FQ","FILING_STATUS=MR","Sort=A","Dates=H","DateFormat=P","Fill=—","Direction=H","UseDPDF=Y")</f>
        <v>—</v>
      </c>
      <c r="Q75" s="14" t="str">
        <f>_xll.BDH("GILD US Equity","PCT_IND_DIRECTORS_ON_AUDIT_CMTE","FY 2014","FY 2014","Currency=USD","Period=FQ","BEST_FPERIOD_OVERRIDE=FQ","FILING_STATUS=MR","Sort=A","Dates=H","DateFormat=P","Fill=—","Direction=H","UseDPDF=Y")</f>
        <v>—</v>
      </c>
      <c r="R75" s="14" t="str">
        <f>_xll.BDH("GILD US Equity","PCT_IND_DIRECTORS_ON_AUDIT_CMTE","FY 2015","FY 2015","Currency=USD","Period=FQ","BEST_FPERIOD_OVERRIDE=FQ","FILING_STATUS=MR","Sort=A","Dates=H","DateFormat=P","Fill=—","Direction=H","UseDPDF=Y")</f>
        <v>—</v>
      </c>
      <c r="S75" s="14" t="str">
        <f>_xll.BDH("GILD US Equity","PCT_IND_DIRECTORS_ON_AUDIT_CMTE","FY 2016","FY 2016","Currency=USD","Period=FQ","BEST_FPERIOD_OVERRIDE=FQ","FILING_STATUS=MR","Sort=A","Dates=H","DateFormat=P","Fill=—","Direction=H","UseDPDF=Y")</f>
        <v>—</v>
      </c>
      <c r="T75" s="14" t="str">
        <f>_xll.BDH("GILD US Equity","PCT_IND_DIRECTORS_ON_AUDIT_CMTE","FY 2017","FY 2017","Currency=USD","Period=FQ","BEST_FPERIOD_OVERRIDE=FQ","FILING_STATUS=MR","Sort=A","Dates=H","DateFormat=P","Fill=—","Direction=H","UseDPDF=Y")</f>
        <v>—</v>
      </c>
      <c r="U75" s="14" t="str">
        <f>_xll.BDH("GILD US Equity","PCT_IND_DIRECTORS_ON_AUDIT_CMTE","FY 2018","FY 2018","Currency=USD","Period=FQ","BEST_FPERIOD_OVERRIDE=FQ","FILING_STATUS=MR","Sort=A","Dates=H","DateFormat=P","Fill=—","Direction=H","UseDPDF=Y")</f>
        <v>—</v>
      </c>
      <c r="V75" s="14" t="str">
        <f>_xll.BDH("GILD US Equity","PCT_IND_DIRECTORS_ON_AUDIT_CMTE","FY 2019","FY 2019","Currency=USD","Period=FQ","BEST_FPERIOD_OVERRIDE=FQ","FILING_STATUS=MR","Sort=A","Dates=H","DateFormat=P","Fill=—","Direction=H","UseDPDF=Y")</f>
        <v>—</v>
      </c>
      <c r="W75" s="14" t="str">
        <f>_xll.BDH("GILD US Equity","PCT_IND_DIRECTORS_ON_AUDIT_CMTE","FY 2020","FY 2020","Currency=USD","Period=FQ","BEST_FPERIOD_OVERRIDE=FQ","FILING_STATUS=MR","Sort=A","Dates=H","DateFormat=P","Fill=—","Direction=H","UseDPDF=Y")</f>
        <v>—</v>
      </c>
      <c r="X75" s="14" t="str">
        <f>_xll.BDH("GILD US Equity","PCT_IND_DIRECTORS_ON_AUDIT_CMTE","FY 2021","FY 2021","Currency=USD","Period=FQ","BEST_FPERIOD_OVERRIDE=FQ","FILING_STATUS=MR","Sort=A","Dates=H","DateFormat=P","Fill=—","Direction=H","UseDPDF=Y")</f>
        <v>—</v>
      </c>
      <c r="Y75" s="14" t="str">
        <f>_xll.BDH("GILD US Equity","PCT_IND_DIRECTORS_ON_AUDIT_CMTE","FY 2022","FY 2022","Currency=USD","Period=FQ","BEST_FPERIOD_OVERRIDE=FQ","FILING_STATUS=MR","Sort=A","Dates=H","DateFormat=P","Fill=—","Direction=H","UseDPDF=Y")</f>
        <v>—</v>
      </c>
      <c r="Z75" s="14" t="str">
        <f>_xll.BDH("GILD US Equity","PCT_IND_DIRECTORS_ON_AUDIT_CMTE","FY 2023","FY 2023","Currency=USD","Period=FQ","BEST_FPERIOD_OVERRIDE=FQ","FILING_STATUS=MR","Sort=A","Dates=H","DateFormat=P","Fill=—","Direction=H","UseDPDF=Y")</f>
        <v>—</v>
      </c>
      <c r="AA75" s="14" t="str">
        <f>_xll.BDH("GILD US Equity","PCT_IND_DIRECTORS_ON_AUDIT_CMTE","FY 2024","FY 2024","Currency=USD","Period=FQ","BEST_FPERIOD_OVERRIDE=FQ","FILING_STATUS=MR","Sort=A","Dates=H","DateFormat=P","Fill=—","Direction=H","UseDPDF=Y")</f>
        <v>—</v>
      </c>
    </row>
    <row r="76" spans="1:27" x14ac:dyDescent="0.25">
      <c r="A76" s="10" t="s">
        <v>2056</v>
      </c>
      <c r="B76" s="10" t="s">
        <v>2057</v>
      </c>
      <c r="C76" s="14" t="str">
        <f>_xll.BDH("GILD US Equity","AUDIT_COMMITTEE_MTG_ATTEND_PCT","FY 2000","FY 2000","Currency=USD","Period=FQ","BEST_FPERIOD_OVERRIDE=FQ","FILING_STATUS=MR","Sort=A","Dates=H","DateFormat=P","Fill=—","Direction=H","UseDPDF=Y")</f>
        <v>—</v>
      </c>
      <c r="D76" s="14" t="str">
        <f>_xll.BDH("GILD US Equity","AUDIT_COMMITTEE_MTG_ATTEND_PCT","FY 2001","FY 2001","Currency=USD","Period=FQ","BEST_FPERIOD_OVERRIDE=FQ","FILING_STATUS=MR","Sort=A","Dates=H","DateFormat=P","Fill=—","Direction=H","UseDPDF=Y")</f>
        <v>—</v>
      </c>
      <c r="E76" s="14" t="str">
        <f>_xll.BDH("GILD US Equity","AUDIT_COMMITTEE_MTG_ATTEND_PCT","FY 2002","FY 2002","Currency=USD","Period=FQ","BEST_FPERIOD_OVERRIDE=FQ","FILING_STATUS=MR","Sort=A","Dates=H","DateFormat=P","Fill=—","Direction=H","UseDPDF=Y")</f>
        <v>—</v>
      </c>
      <c r="F76" s="14" t="str">
        <f>_xll.BDH("GILD US Equity","AUDIT_COMMITTEE_MTG_ATTEND_PCT","FY 2003","FY 2003","Currency=USD","Period=FQ","BEST_FPERIOD_OVERRIDE=FQ","FILING_STATUS=MR","Sort=A","Dates=H","DateFormat=P","Fill=—","Direction=H","UseDPDF=Y")</f>
        <v>—</v>
      </c>
      <c r="G76" s="14" t="str">
        <f>_xll.BDH("GILD US Equity","AUDIT_COMMITTEE_MTG_ATTEND_PCT","FY 2004","FY 2004","Currency=USD","Period=FQ","BEST_FPERIOD_OVERRIDE=FQ","FILING_STATUS=MR","Sort=A","Dates=H","DateFormat=P","Fill=—","Direction=H","UseDPDF=Y")</f>
        <v>—</v>
      </c>
      <c r="H76" s="14" t="str">
        <f>_xll.BDH("GILD US Equity","AUDIT_COMMITTEE_MTG_ATTEND_PCT","FY 2005","FY 2005","Currency=USD","Period=FQ","BEST_FPERIOD_OVERRIDE=FQ","FILING_STATUS=MR","Sort=A","Dates=H","DateFormat=P","Fill=—","Direction=H","UseDPDF=Y")</f>
        <v>—</v>
      </c>
      <c r="I76" s="14" t="str">
        <f>_xll.BDH("GILD US Equity","AUDIT_COMMITTEE_MTG_ATTEND_PCT","FY 2006","FY 2006","Currency=USD","Period=FQ","BEST_FPERIOD_OVERRIDE=FQ","FILING_STATUS=MR","Sort=A","Dates=H","DateFormat=P","Fill=—","Direction=H","UseDPDF=Y")</f>
        <v>—</v>
      </c>
      <c r="J76" s="14" t="str">
        <f>_xll.BDH("GILD US Equity","AUDIT_COMMITTEE_MTG_ATTEND_PCT","FY 2007","FY 2007","Currency=USD","Period=FQ","BEST_FPERIOD_OVERRIDE=FQ","FILING_STATUS=MR","Sort=A","Dates=H","DateFormat=P","Fill=—","Direction=H","UseDPDF=Y")</f>
        <v>—</v>
      </c>
      <c r="K76" s="14" t="str">
        <f>_xll.BDH("GILD US Equity","AUDIT_COMMITTEE_MTG_ATTEND_PCT","FY 2008","FY 2008","Currency=USD","Period=FQ","BEST_FPERIOD_OVERRIDE=FQ","FILING_STATUS=MR","Sort=A","Dates=H","DateFormat=P","Fill=—","Direction=H","UseDPDF=Y")</f>
        <v>—</v>
      </c>
      <c r="L76" s="14" t="str">
        <f>_xll.BDH("GILD US Equity","AUDIT_COMMITTEE_MTG_ATTEND_PCT","FY 2009","FY 2009","Currency=USD","Period=FQ","BEST_FPERIOD_OVERRIDE=FQ","FILING_STATUS=MR","Sort=A","Dates=H","DateFormat=P","Fill=—","Direction=H","UseDPDF=Y")</f>
        <v>—</v>
      </c>
      <c r="M76" s="14" t="str">
        <f>_xll.BDH("GILD US Equity","AUDIT_COMMITTEE_MTG_ATTEND_PCT","FY 2010","FY 2010","Currency=USD","Period=FQ","BEST_FPERIOD_OVERRIDE=FQ","FILING_STATUS=MR","Sort=A","Dates=H","DateFormat=P","Fill=—","Direction=H","UseDPDF=Y")</f>
        <v>—</v>
      </c>
      <c r="N76" s="14" t="str">
        <f>_xll.BDH("GILD US Equity","AUDIT_COMMITTEE_MTG_ATTEND_PCT","FY 2011","FY 2011","Currency=USD","Period=FQ","BEST_FPERIOD_OVERRIDE=FQ","FILING_STATUS=MR","Sort=A","Dates=H","DateFormat=P","Fill=—","Direction=H","UseDPDF=Y")</f>
        <v>—</v>
      </c>
      <c r="O76" s="14" t="str">
        <f>_xll.BDH("GILD US Equity","AUDIT_COMMITTEE_MTG_ATTEND_PCT","FY 2012","FY 2012","Currency=USD","Period=FQ","BEST_FPERIOD_OVERRIDE=FQ","FILING_STATUS=MR","Sort=A","Dates=H","DateFormat=P","Fill=—","Direction=H","UseDPDF=Y")</f>
        <v>—</v>
      </c>
      <c r="P76" s="14" t="str">
        <f>_xll.BDH("GILD US Equity","AUDIT_COMMITTEE_MTG_ATTEND_PCT","FY 2013","FY 2013","Currency=USD","Period=FQ","BEST_FPERIOD_OVERRIDE=FQ","FILING_STATUS=MR","Sort=A","Dates=H","DateFormat=P","Fill=—","Direction=H","UseDPDF=Y")</f>
        <v>—</v>
      </c>
      <c r="Q76" s="14" t="str">
        <f>_xll.BDH("GILD US Equity","AUDIT_COMMITTEE_MTG_ATTEND_PCT","FY 2014","FY 2014","Currency=USD","Period=FQ","BEST_FPERIOD_OVERRIDE=FQ","FILING_STATUS=MR","Sort=A","Dates=H","DateFormat=P","Fill=—","Direction=H","UseDPDF=Y")</f>
        <v>—</v>
      </c>
      <c r="R76" s="14" t="str">
        <f>_xll.BDH("GILD US Equity","AUDIT_COMMITTEE_MTG_ATTEND_PCT","FY 2015","FY 2015","Currency=USD","Period=FQ","BEST_FPERIOD_OVERRIDE=FQ","FILING_STATUS=MR","Sort=A","Dates=H","DateFormat=P","Fill=—","Direction=H","UseDPDF=Y")</f>
        <v>—</v>
      </c>
      <c r="S76" s="14" t="str">
        <f>_xll.BDH("GILD US Equity","AUDIT_COMMITTEE_MTG_ATTEND_PCT","FY 2016","FY 2016","Currency=USD","Period=FQ","BEST_FPERIOD_OVERRIDE=FQ","FILING_STATUS=MR","Sort=A","Dates=H","DateFormat=P","Fill=—","Direction=H","UseDPDF=Y")</f>
        <v>—</v>
      </c>
      <c r="T76" s="14" t="str">
        <f>_xll.BDH("GILD US Equity","AUDIT_COMMITTEE_MTG_ATTEND_PCT","FY 2017","FY 2017","Currency=USD","Period=FQ","BEST_FPERIOD_OVERRIDE=FQ","FILING_STATUS=MR","Sort=A","Dates=H","DateFormat=P","Fill=—","Direction=H","UseDPDF=Y")</f>
        <v>—</v>
      </c>
      <c r="U76" s="14" t="str">
        <f>_xll.BDH("GILD US Equity","AUDIT_COMMITTEE_MTG_ATTEND_PCT","FY 2018","FY 2018","Currency=USD","Period=FQ","BEST_FPERIOD_OVERRIDE=FQ","FILING_STATUS=MR","Sort=A","Dates=H","DateFormat=P","Fill=—","Direction=H","UseDPDF=Y")</f>
        <v>—</v>
      </c>
      <c r="V76" s="14" t="str">
        <f>_xll.BDH("GILD US Equity","AUDIT_COMMITTEE_MTG_ATTEND_PCT","FY 2019","FY 2019","Currency=USD","Period=FQ","BEST_FPERIOD_OVERRIDE=FQ","FILING_STATUS=MR","Sort=A","Dates=H","DateFormat=P","Fill=—","Direction=H","UseDPDF=Y")</f>
        <v>—</v>
      </c>
      <c r="W76" s="14" t="str">
        <f>_xll.BDH("GILD US Equity","AUDIT_COMMITTEE_MTG_ATTEND_PCT","FY 2020","FY 2020","Currency=USD","Period=FQ","BEST_FPERIOD_OVERRIDE=FQ","FILING_STATUS=MR","Sort=A","Dates=H","DateFormat=P","Fill=—","Direction=H","UseDPDF=Y")</f>
        <v>—</v>
      </c>
      <c r="X76" s="14" t="str">
        <f>_xll.BDH("GILD US Equity","AUDIT_COMMITTEE_MTG_ATTEND_PCT","FY 2021","FY 2021","Currency=USD","Period=FQ","BEST_FPERIOD_OVERRIDE=FQ","FILING_STATUS=MR","Sort=A","Dates=H","DateFormat=P","Fill=—","Direction=H","UseDPDF=Y")</f>
        <v>—</v>
      </c>
      <c r="Y76" s="14" t="str">
        <f>_xll.BDH("GILD US Equity","AUDIT_COMMITTEE_MTG_ATTEND_PCT","FY 2022","FY 2022","Currency=USD","Period=FQ","BEST_FPERIOD_OVERRIDE=FQ","FILING_STATUS=MR","Sort=A","Dates=H","DateFormat=P","Fill=—","Direction=H","UseDPDF=Y")</f>
        <v>—</v>
      </c>
      <c r="Z76" s="14" t="str">
        <f>_xll.BDH("GILD US Equity","AUDIT_COMMITTEE_MTG_ATTEND_PCT","FY 2023","FY 2023","Currency=USD","Period=FQ","BEST_FPERIOD_OVERRIDE=FQ","FILING_STATUS=MR","Sort=A","Dates=H","DateFormat=P","Fill=—","Direction=H","UseDPDF=Y")</f>
        <v>—</v>
      </c>
      <c r="AA76" s="14" t="str">
        <f>_xll.BDH("GILD US Equity","AUDIT_COMMITTEE_MTG_ATTEND_PCT","FY 2024","FY 2024","Currency=USD","Period=FQ","BEST_FPERIOD_OVERRIDE=FQ","FILING_STATUS=MR","Sort=A","Dates=H","DateFormat=P","Fill=—","Direction=H","UseDPDF=Y")</f>
        <v>—</v>
      </c>
    </row>
    <row r="77" spans="1:27" x14ac:dyDescent="0.25">
      <c r="A77" s="10" t="s">
        <v>2058</v>
      </c>
      <c r="B77" s="10" t="s">
        <v>2059</v>
      </c>
      <c r="C77" s="14" t="str">
        <f>_xll.BDH("GILD US Equity","PCT_IND_DIRECTORS_ON_COMP_CMTE","FY 2000","FY 2000","Currency=USD","Period=FQ","BEST_FPERIOD_OVERRIDE=FQ","FILING_STATUS=MR","Sort=A","Dates=H","DateFormat=P","Fill=—","Direction=H","UseDPDF=Y")</f>
        <v>—</v>
      </c>
      <c r="D77" s="14" t="str">
        <f>_xll.BDH("GILD US Equity","PCT_IND_DIRECTORS_ON_COMP_CMTE","FY 2001","FY 2001","Currency=USD","Period=FQ","BEST_FPERIOD_OVERRIDE=FQ","FILING_STATUS=MR","Sort=A","Dates=H","DateFormat=P","Fill=—","Direction=H","UseDPDF=Y")</f>
        <v>—</v>
      </c>
      <c r="E77" s="14" t="str">
        <f>_xll.BDH("GILD US Equity","PCT_IND_DIRECTORS_ON_COMP_CMTE","FY 2002","FY 2002","Currency=USD","Period=FQ","BEST_FPERIOD_OVERRIDE=FQ","FILING_STATUS=MR","Sort=A","Dates=H","DateFormat=P","Fill=—","Direction=H","UseDPDF=Y")</f>
        <v>—</v>
      </c>
      <c r="F77" s="14" t="str">
        <f>_xll.BDH("GILD US Equity","PCT_IND_DIRECTORS_ON_COMP_CMTE","FY 2003","FY 2003","Currency=USD","Period=FQ","BEST_FPERIOD_OVERRIDE=FQ","FILING_STATUS=MR","Sort=A","Dates=H","DateFormat=P","Fill=—","Direction=H","UseDPDF=Y")</f>
        <v>—</v>
      </c>
      <c r="G77" s="14" t="str">
        <f>_xll.BDH("GILD US Equity","PCT_IND_DIRECTORS_ON_COMP_CMTE","FY 2004","FY 2004","Currency=USD","Period=FQ","BEST_FPERIOD_OVERRIDE=FQ","FILING_STATUS=MR","Sort=A","Dates=H","DateFormat=P","Fill=—","Direction=H","UseDPDF=Y")</f>
        <v>—</v>
      </c>
      <c r="H77" s="14" t="str">
        <f>_xll.BDH("GILD US Equity","PCT_IND_DIRECTORS_ON_COMP_CMTE","FY 2005","FY 2005","Currency=USD","Period=FQ","BEST_FPERIOD_OVERRIDE=FQ","FILING_STATUS=MR","Sort=A","Dates=H","DateFormat=P","Fill=—","Direction=H","UseDPDF=Y")</f>
        <v>—</v>
      </c>
      <c r="I77" s="14" t="str">
        <f>_xll.BDH("GILD US Equity","PCT_IND_DIRECTORS_ON_COMP_CMTE","FY 2006","FY 2006","Currency=USD","Period=FQ","BEST_FPERIOD_OVERRIDE=FQ","FILING_STATUS=MR","Sort=A","Dates=H","DateFormat=P","Fill=—","Direction=H","UseDPDF=Y")</f>
        <v>—</v>
      </c>
      <c r="J77" s="14" t="str">
        <f>_xll.BDH("GILD US Equity","PCT_IND_DIRECTORS_ON_COMP_CMTE","FY 2007","FY 2007","Currency=USD","Period=FQ","BEST_FPERIOD_OVERRIDE=FQ","FILING_STATUS=MR","Sort=A","Dates=H","DateFormat=P","Fill=—","Direction=H","UseDPDF=Y")</f>
        <v>—</v>
      </c>
      <c r="K77" s="14" t="str">
        <f>_xll.BDH("GILD US Equity","PCT_IND_DIRECTORS_ON_COMP_CMTE","FY 2008","FY 2008","Currency=USD","Period=FQ","BEST_FPERIOD_OVERRIDE=FQ","FILING_STATUS=MR","Sort=A","Dates=H","DateFormat=P","Fill=—","Direction=H","UseDPDF=Y")</f>
        <v>—</v>
      </c>
      <c r="L77" s="14" t="str">
        <f>_xll.BDH("GILD US Equity","PCT_IND_DIRECTORS_ON_COMP_CMTE","FY 2009","FY 2009","Currency=USD","Period=FQ","BEST_FPERIOD_OVERRIDE=FQ","FILING_STATUS=MR","Sort=A","Dates=H","DateFormat=P","Fill=—","Direction=H","UseDPDF=Y")</f>
        <v>—</v>
      </c>
      <c r="M77" s="14" t="str">
        <f>_xll.BDH("GILD US Equity","PCT_IND_DIRECTORS_ON_COMP_CMTE","FY 2010","FY 2010","Currency=USD","Period=FQ","BEST_FPERIOD_OVERRIDE=FQ","FILING_STATUS=MR","Sort=A","Dates=H","DateFormat=P","Fill=—","Direction=H","UseDPDF=Y")</f>
        <v>—</v>
      </c>
      <c r="N77" s="14" t="str">
        <f>_xll.BDH("GILD US Equity","PCT_IND_DIRECTORS_ON_COMP_CMTE","FY 2011","FY 2011","Currency=USD","Period=FQ","BEST_FPERIOD_OVERRIDE=FQ","FILING_STATUS=MR","Sort=A","Dates=H","DateFormat=P","Fill=—","Direction=H","UseDPDF=Y")</f>
        <v>—</v>
      </c>
      <c r="O77" s="14" t="str">
        <f>_xll.BDH("GILD US Equity","PCT_IND_DIRECTORS_ON_COMP_CMTE","FY 2012","FY 2012","Currency=USD","Period=FQ","BEST_FPERIOD_OVERRIDE=FQ","FILING_STATUS=MR","Sort=A","Dates=H","DateFormat=P","Fill=—","Direction=H","UseDPDF=Y")</f>
        <v>—</v>
      </c>
      <c r="P77" s="14" t="str">
        <f>_xll.BDH("GILD US Equity","PCT_IND_DIRECTORS_ON_COMP_CMTE","FY 2013","FY 2013","Currency=USD","Period=FQ","BEST_FPERIOD_OVERRIDE=FQ","FILING_STATUS=MR","Sort=A","Dates=H","DateFormat=P","Fill=—","Direction=H","UseDPDF=Y")</f>
        <v>—</v>
      </c>
      <c r="Q77" s="14" t="str">
        <f>_xll.BDH("GILD US Equity","PCT_IND_DIRECTORS_ON_COMP_CMTE","FY 2014","FY 2014","Currency=USD","Period=FQ","BEST_FPERIOD_OVERRIDE=FQ","FILING_STATUS=MR","Sort=A","Dates=H","DateFormat=P","Fill=—","Direction=H","UseDPDF=Y")</f>
        <v>—</v>
      </c>
      <c r="R77" s="14" t="str">
        <f>_xll.BDH("GILD US Equity","PCT_IND_DIRECTORS_ON_COMP_CMTE","FY 2015","FY 2015","Currency=USD","Period=FQ","BEST_FPERIOD_OVERRIDE=FQ","FILING_STATUS=MR","Sort=A","Dates=H","DateFormat=P","Fill=—","Direction=H","UseDPDF=Y")</f>
        <v>—</v>
      </c>
      <c r="S77" s="14" t="str">
        <f>_xll.BDH("GILD US Equity","PCT_IND_DIRECTORS_ON_COMP_CMTE","FY 2016","FY 2016","Currency=USD","Period=FQ","BEST_FPERIOD_OVERRIDE=FQ","FILING_STATUS=MR","Sort=A","Dates=H","DateFormat=P","Fill=—","Direction=H","UseDPDF=Y")</f>
        <v>—</v>
      </c>
      <c r="T77" s="14" t="str">
        <f>_xll.BDH("GILD US Equity","PCT_IND_DIRECTORS_ON_COMP_CMTE","FY 2017","FY 2017","Currency=USD","Period=FQ","BEST_FPERIOD_OVERRIDE=FQ","FILING_STATUS=MR","Sort=A","Dates=H","DateFormat=P","Fill=—","Direction=H","UseDPDF=Y")</f>
        <v>—</v>
      </c>
      <c r="U77" s="14" t="str">
        <f>_xll.BDH("GILD US Equity","PCT_IND_DIRECTORS_ON_COMP_CMTE","FY 2018","FY 2018","Currency=USD","Period=FQ","BEST_FPERIOD_OVERRIDE=FQ","FILING_STATUS=MR","Sort=A","Dates=H","DateFormat=P","Fill=—","Direction=H","UseDPDF=Y")</f>
        <v>—</v>
      </c>
      <c r="V77" s="14" t="str">
        <f>_xll.BDH("GILD US Equity","PCT_IND_DIRECTORS_ON_COMP_CMTE","FY 2019","FY 2019","Currency=USD","Period=FQ","BEST_FPERIOD_OVERRIDE=FQ","FILING_STATUS=MR","Sort=A","Dates=H","DateFormat=P","Fill=—","Direction=H","UseDPDF=Y")</f>
        <v>—</v>
      </c>
      <c r="W77" s="14" t="str">
        <f>_xll.BDH("GILD US Equity","PCT_IND_DIRECTORS_ON_COMP_CMTE","FY 2020","FY 2020","Currency=USD","Period=FQ","BEST_FPERIOD_OVERRIDE=FQ","FILING_STATUS=MR","Sort=A","Dates=H","DateFormat=P","Fill=—","Direction=H","UseDPDF=Y")</f>
        <v>—</v>
      </c>
      <c r="X77" s="14" t="str">
        <f>_xll.BDH("GILD US Equity","PCT_IND_DIRECTORS_ON_COMP_CMTE","FY 2021","FY 2021","Currency=USD","Period=FQ","BEST_FPERIOD_OVERRIDE=FQ","FILING_STATUS=MR","Sort=A","Dates=H","DateFormat=P","Fill=—","Direction=H","UseDPDF=Y")</f>
        <v>—</v>
      </c>
      <c r="Y77" s="14" t="str">
        <f>_xll.BDH("GILD US Equity","PCT_IND_DIRECTORS_ON_COMP_CMTE","FY 2022","FY 2022","Currency=USD","Period=FQ","BEST_FPERIOD_OVERRIDE=FQ","FILING_STATUS=MR","Sort=A","Dates=H","DateFormat=P","Fill=—","Direction=H","UseDPDF=Y")</f>
        <v>—</v>
      </c>
      <c r="Z77" s="14" t="str">
        <f>_xll.BDH("GILD US Equity","PCT_IND_DIRECTORS_ON_COMP_CMTE","FY 2023","FY 2023","Currency=USD","Period=FQ","BEST_FPERIOD_OVERRIDE=FQ","FILING_STATUS=MR","Sort=A","Dates=H","DateFormat=P","Fill=—","Direction=H","UseDPDF=Y")</f>
        <v>—</v>
      </c>
      <c r="AA77" s="14" t="str">
        <f>_xll.BDH("GILD US Equity","PCT_IND_DIRECTORS_ON_COMP_CMTE","FY 2024","FY 2024","Currency=USD","Period=FQ","BEST_FPERIOD_OVERRIDE=FQ","FILING_STATUS=MR","Sort=A","Dates=H","DateFormat=P","Fill=—","Direction=H","UseDPDF=Y")</f>
        <v>—</v>
      </c>
    </row>
    <row r="78" spans="1:27" x14ac:dyDescent="0.25">
      <c r="A78" s="10" t="s">
        <v>2060</v>
      </c>
      <c r="B78" s="10" t="s">
        <v>2061</v>
      </c>
      <c r="C78" s="14" t="str">
        <f>_xll.BDH("GILD US Equity","COMPENSATION_CMTE_MTG_ATTEND_PCT","FY 2000","FY 2000","Currency=USD","Period=FQ","BEST_FPERIOD_OVERRIDE=FQ","FILING_STATUS=MR","Sort=A","Dates=H","DateFormat=P","Fill=—","Direction=H","UseDPDF=Y")</f>
        <v>—</v>
      </c>
      <c r="D78" s="14" t="str">
        <f>_xll.BDH("GILD US Equity","COMPENSATION_CMTE_MTG_ATTEND_PCT","FY 2001","FY 2001","Currency=USD","Period=FQ","BEST_FPERIOD_OVERRIDE=FQ","FILING_STATUS=MR","Sort=A","Dates=H","DateFormat=P","Fill=—","Direction=H","UseDPDF=Y")</f>
        <v>—</v>
      </c>
      <c r="E78" s="14" t="str">
        <f>_xll.BDH("GILD US Equity","COMPENSATION_CMTE_MTG_ATTEND_PCT","FY 2002","FY 2002","Currency=USD","Period=FQ","BEST_FPERIOD_OVERRIDE=FQ","FILING_STATUS=MR","Sort=A","Dates=H","DateFormat=P","Fill=—","Direction=H","UseDPDF=Y")</f>
        <v>—</v>
      </c>
      <c r="F78" s="14" t="str">
        <f>_xll.BDH("GILD US Equity","COMPENSATION_CMTE_MTG_ATTEND_PCT","FY 2003","FY 2003","Currency=USD","Period=FQ","BEST_FPERIOD_OVERRIDE=FQ","FILING_STATUS=MR","Sort=A","Dates=H","DateFormat=P","Fill=—","Direction=H","UseDPDF=Y")</f>
        <v>—</v>
      </c>
      <c r="G78" s="14" t="str">
        <f>_xll.BDH("GILD US Equity","COMPENSATION_CMTE_MTG_ATTEND_PCT","FY 2004","FY 2004","Currency=USD","Period=FQ","BEST_FPERIOD_OVERRIDE=FQ","FILING_STATUS=MR","Sort=A","Dates=H","DateFormat=P","Fill=—","Direction=H","UseDPDF=Y")</f>
        <v>—</v>
      </c>
      <c r="H78" s="14" t="str">
        <f>_xll.BDH("GILD US Equity","COMPENSATION_CMTE_MTG_ATTEND_PCT","FY 2005","FY 2005","Currency=USD","Period=FQ","BEST_FPERIOD_OVERRIDE=FQ","FILING_STATUS=MR","Sort=A","Dates=H","DateFormat=P","Fill=—","Direction=H","UseDPDF=Y")</f>
        <v>—</v>
      </c>
      <c r="I78" s="14" t="str">
        <f>_xll.BDH("GILD US Equity","COMPENSATION_CMTE_MTG_ATTEND_PCT","FY 2006","FY 2006","Currency=USD","Period=FQ","BEST_FPERIOD_OVERRIDE=FQ","FILING_STATUS=MR","Sort=A","Dates=H","DateFormat=P","Fill=—","Direction=H","UseDPDF=Y")</f>
        <v>—</v>
      </c>
      <c r="J78" s="14" t="str">
        <f>_xll.BDH("GILD US Equity","COMPENSATION_CMTE_MTG_ATTEND_PCT","FY 2007","FY 2007","Currency=USD","Period=FQ","BEST_FPERIOD_OVERRIDE=FQ","FILING_STATUS=MR","Sort=A","Dates=H","DateFormat=P","Fill=—","Direction=H","UseDPDF=Y")</f>
        <v>—</v>
      </c>
      <c r="K78" s="14" t="str">
        <f>_xll.BDH("GILD US Equity","COMPENSATION_CMTE_MTG_ATTEND_PCT","FY 2008","FY 2008","Currency=USD","Period=FQ","BEST_FPERIOD_OVERRIDE=FQ","FILING_STATUS=MR","Sort=A","Dates=H","DateFormat=P","Fill=—","Direction=H","UseDPDF=Y")</f>
        <v>—</v>
      </c>
      <c r="L78" s="14" t="str">
        <f>_xll.BDH("GILD US Equity","COMPENSATION_CMTE_MTG_ATTEND_PCT","FY 2009","FY 2009","Currency=USD","Period=FQ","BEST_FPERIOD_OVERRIDE=FQ","FILING_STATUS=MR","Sort=A","Dates=H","DateFormat=P","Fill=—","Direction=H","UseDPDF=Y")</f>
        <v>—</v>
      </c>
      <c r="M78" s="14" t="str">
        <f>_xll.BDH("GILD US Equity","COMPENSATION_CMTE_MTG_ATTEND_PCT","FY 2010","FY 2010","Currency=USD","Period=FQ","BEST_FPERIOD_OVERRIDE=FQ","FILING_STATUS=MR","Sort=A","Dates=H","DateFormat=P","Fill=—","Direction=H","UseDPDF=Y")</f>
        <v>—</v>
      </c>
      <c r="N78" s="14" t="str">
        <f>_xll.BDH("GILD US Equity","COMPENSATION_CMTE_MTG_ATTEND_PCT","FY 2011","FY 2011","Currency=USD","Period=FQ","BEST_FPERIOD_OVERRIDE=FQ","FILING_STATUS=MR","Sort=A","Dates=H","DateFormat=P","Fill=—","Direction=H","UseDPDF=Y")</f>
        <v>—</v>
      </c>
      <c r="O78" s="14" t="str">
        <f>_xll.BDH("GILD US Equity","COMPENSATION_CMTE_MTG_ATTEND_PCT","FY 2012","FY 2012","Currency=USD","Period=FQ","BEST_FPERIOD_OVERRIDE=FQ","FILING_STATUS=MR","Sort=A","Dates=H","DateFormat=P","Fill=—","Direction=H","UseDPDF=Y")</f>
        <v>—</v>
      </c>
      <c r="P78" s="14" t="str">
        <f>_xll.BDH("GILD US Equity","COMPENSATION_CMTE_MTG_ATTEND_PCT","FY 2013","FY 2013","Currency=USD","Period=FQ","BEST_FPERIOD_OVERRIDE=FQ","FILING_STATUS=MR","Sort=A","Dates=H","DateFormat=P","Fill=—","Direction=H","UseDPDF=Y")</f>
        <v>—</v>
      </c>
      <c r="Q78" s="14" t="str">
        <f>_xll.BDH("GILD US Equity","COMPENSATION_CMTE_MTG_ATTEND_PCT","FY 2014","FY 2014","Currency=USD","Period=FQ","BEST_FPERIOD_OVERRIDE=FQ","FILING_STATUS=MR","Sort=A","Dates=H","DateFormat=P","Fill=—","Direction=H","UseDPDF=Y")</f>
        <v>—</v>
      </c>
      <c r="R78" s="14" t="str">
        <f>_xll.BDH("GILD US Equity","COMPENSATION_CMTE_MTG_ATTEND_PCT","FY 2015","FY 2015","Currency=USD","Period=FQ","BEST_FPERIOD_OVERRIDE=FQ","FILING_STATUS=MR","Sort=A","Dates=H","DateFormat=P","Fill=—","Direction=H","UseDPDF=Y")</f>
        <v>—</v>
      </c>
      <c r="S78" s="14" t="str">
        <f>_xll.BDH("GILD US Equity","COMPENSATION_CMTE_MTG_ATTEND_PCT","FY 2016","FY 2016","Currency=USD","Period=FQ","BEST_FPERIOD_OVERRIDE=FQ","FILING_STATUS=MR","Sort=A","Dates=H","DateFormat=P","Fill=—","Direction=H","UseDPDF=Y")</f>
        <v>—</v>
      </c>
      <c r="T78" s="14" t="str">
        <f>_xll.BDH("GILD US Equity","COMPENSATION_CMTE_MTG_ATTEND_PCT","FY 2017","FY 2017","Currency=USD","Period=FQ","BEST_FPERIOD_OVERRIDE=FQ","FILING_STATUS=MR","Sort=A","Dates=H","DateFormat=P","Fill=—","Direction=H","UseDPDF=Y")</f>
        <v>—</v>
      </c>
      <c r="U78" s="14" t="str">
        <f>_xll.BDH("GILD US Equity","COMPENSATION_CMTE_MTG_ATTEND_PCT","FY 2018","FY 2018","Currency=USD","Period=FQ","BEST_FPERIOD_OVERRIDE=FQ","FILING_STATUS=MR","Sort=A","Dates=H","DateFormat=P","Fill=—","Direction=H","UseDPDF=Y")</f>
        <v>—</v>
      </c>
      <c r="V78" s="14" t="str">
        <f>_xll.BDH("GILD US Equity","COMPENSATION_CMTE_MTG_ATTEND_PCT","FY 2019","FY 2019","Currency=USD","Period=FQ","BEST_FPERIOD_OVERRIDE=FQ","FILING_STATUS=MR","Sort=A","Dates=H","DateFormat=P","Fill=—","Direction=H","UseDPDF=Y")</f>
        <v>—</v>
      </c>
      <c r="W78" s="14" t="str">
        <f>_xll.BDH("GILD US Equity","COMPENSATION_CMTE_MTG_ATTEND_PCT","FY 2020","FY 2020","Currency=USD","Period=FQ","BEST_FPERIOD_OVERRIDE=FQ","FILING_STATUS=MR","Sort=A","Dates=H","DateFormat=P","Fill=—","Direction=H","UseDPDF=Y")</f>
        <v>—</v>
      </c>
      <c r="X78" s="14" t="str">
        <f>_xll.BDH("GILD US Equity","COMPENSATION_CMTE_MTG_ATTEND_PCT","FY 2021","FY 2021","Currency=USD","Period=FQ","BEST_FPERIOD_OVERRIDE=FQ","FILING_STATUS=MR","Sort=A","Dates=H","DateFormat=P","Fill=—","Direction=H","UseDPDF=Y")</f>
        <v>—</v>
      </c>
      <c r="Y78" s="14" t="str">
        <f>_xll.BDH("GILD US Equity","COMPENSATION_CMTE_MTG_ATTEND_PCT","FY 2022","FY 2022","Currency=USD","Period=FQ","BEST_FPERIOD_OVERRIDE=FQ","FILING_STATUS=MR","Sort=A","Dates=H","DateFormat=P","Fill=—","Direction=H","UseDPDF=Y")</f>
        <v>—</v>
      </c>
      <c r="Z78" s="14" t="str">
        <f>_xll.BDH("GILD US Equity","COMPENSATION_CMTE_MTG_ATTEND_PCT","FY 2023","FY 2023","Currency=USD","Period=FQ","BEST_FPERIOD_OVERRIDE=FQ","FILING_STATUS=MR","Sort=A","Dates=H","DateFormat=P","Fill=—","Direction=H","UseDPDF=Y")</f>
        <v>—</v>
      </c>
      <c r="AA78" s="14" t="str">
        <f>_xll.BDH("GILD US Equity","COMPENSATION_CMTE_MTG_ATTEND_PCT","FY 2024","FY 2024","Currency=USD","Period=FQ","BEST_FPERIOD_OVERRIDE=FQ","FILING_STATUS=MR","Sort=A","Dates=H","DateFormat=P","Fill=—","Direction=H","UseDPDF=Y")</f>
        <v>—</v>
      </c>
    </row>
    <row r="79" spans="1:27" x14ac:dyDescent="0.25">
      <c r="A79" s="10" t="s">
        <v>2062</v>
      </c>
      <c r="B79" s="10" t="s">
        <v>2063</v>
      </c>
      <c r="C79" s="14" t="str">
        <f>_xll.BDH("GILD US Equity","PCT_OF_IND_DIRECTORS_ON_NOM_CMTE","FY 2000","FY 2000","Currency=USD","Period=FQ","BEST_FPERIOD_OVERRIDE=FQ","FILING_STATUS=MR","Sort=A","Dates=H","DateFormat=P","Fill=—","Direction=H","UseDPDF=Y")</f>
        <v>—</v>
      </c>
      <c r="D79" s="14" t="str">
        <f>_xll.BDH("GILD US Equity","PCT_OF_IND_DIRECTORS_ON_NOM_CMTE","FY 2001","FY 2001","Currency=USD","Period=FQ","BEST_FPERIOD_OVERRIDE=FQ","FILING_STATUS=MR","Sort=A","Dates=H","DateFormat=P","Fill=—","Direction=H","UseDPDF=Y")</f>
        <v>—</v>
      </c>
      <c r="E79" s="14" t="str">
        <f>_xll.BDH("GILD US Equity","PCT_OF_IND_DIRECTORS_ON_NOM_CMTE","FY 2002","FY 2002","Currency=USD","Period=FQ","BEST_FPERIOD_OVERRIDE=FQ","FILING_STATUS=MR","Sort=A","Dates=H","DateFormat=P","Fill=—","Direction=H","UseDPDF=Y")</f>
        <v>—</v>
      </c>
      <c r="F79" s="14" t="str">
        <f>_xll.BDH("GILD US Equity","PCT_OF_IND_DIRECTORS_ON_NOM_CMTE","FY 2003","FY 2003","Currency=USD","Period=FQ","BEST_FPERIOD_OVERRIDE=FQ","FILING_STATUS=MR","Sort=A","Dates=H","DateFormat=P","Fill=—","Direction=H","UseDPDF=Y")</f>
        <v>—</v>
      </c>
      <c r="G79" s="14" t="str">
        <f>_xll.BDH("GILD US Equity","PCT_OF_IND_DIRECTORS_ON_NOM_CMTE","FY 2004","FY 2004","Currency=USD","Period=FQ","BEST_FPERIOD_OVERRIDE=FQ","FILING_STATUS=MR","Sort=A","Dates=H","DateFormat=P","Fill=—","Direction=H","UseDPDF=Y")</f>
        <v>—</v>
      </c>
      <c r="H79" s="14" t="str">
        <f>_xll.BDH("GILD US Equity","PCT_OF_IND_DIRECTORS_ON_NOM_CMTE","FY 2005","FY 2005","Currency=USD","Period=FQ","BEST_FPERIOD_OVERRIDE=FQ","FILING_STATUS=MR","Sort=A","Dates=H","DateFormat=P","Fill=—","Direction=H","UseDPDF=Y")</f>
        <v>—</v>
      </c>
      <c r="I79" s="14" t="str">
        <f>_xll.BDH("GILD US Equity","PCT_OF_IND_DIRECTORS_ON_NOM_CMTE","FY 2006","FY 2006","Currency=USD","Period=FQ","BEST_FPERIOD_OVERRIDE=FQ","FILING_STATUS=MR","Sort=A","Dates=H","DateFormat=P","Fill=—","Direction=H","UseDPDF=Y")</f>
        <v>—</v>
      </c>
      <c r="J79" s="14" t="str">
        <f>_xll.BDH("GILD US Equity","PCT_OF_IND_DIRECTORS_ON_NOM_CMTE","FY 2007","FY 2007","Currency=USD","Period=FQ","BEST_FPERIOD_OVERRIDE=FQ","FILING_STATUS=MR","Sort=A","Dates=H","DateFormat=P","Fill=—","Direction=H","UseDPDF=Y")</f>
        <v>—</v>
      </c>
      <c r="K79" s="14" t="str">
        <f>_xll.BDH("GILD US Equity","PCT_OF_IND_DIRECTORS_ON_NOM_CMTE","FY 2008","FY 2008","Currency=USD","Period=FQ","BEST_FPERIOD_OVERRIDE=FQ","FILING_STATUS=MR","Sort=A","Dates=H","DateFormat=P","Fill=—","Direction=H","UseDPDF=Y")</f>
        <v>—</v>
      </c>
      <c r="L79" s="14" t="str">
        <f>_xll.BDH("GILD US Equity","PCT_OF_IND_DIRECTORS_ON_NOM_CMTE","FY 2009","FY 2009","Currency=USD","Period=FQ","BEST_FPERIOD_OVERRIDE=FQ","FILING_STATUS=MR","Sort=A","Dates=H","DateFormat=P","Fill=—","Direction=H","UseDPDF=Y")</f>
        <v>—</v>
      </c>
      <c r="M79" s="14" t="str">
        <f>_xll.BDH("GILD US Equity","PCT_OF_IND_DIRECTORS_ON_NOM_CMTE","FY 2010","FY 2010","Currency=USD","Period=FQ","BEST_FPERIOD_OVERRIDE=FQ","FILING_STATUS=MR","Sort=A","Dates=H","DateFormat=P","Fill=—","Direction=H","UseDPDF=Y")</f>
        <v>—</v>
      </c>
      <c r="N79" s="14" t="str">
        <f>_xll.BDH("GILD US Equity","PCT_OF_IND_DIRECTORS_ON_NOM_CMTE","FY 2011","FY 2011","Currency=USD","Period=FQ","BEST_FPERIOD_OVERRIDE=FQ","FILING_STATUS=MR","Sort=A","Dates=H","DateFormat=P","Fill=—","Direction=H","UseDPDF=Y")</f>
        <v>—</v>
      </c>
      <c r="O79" s="14" t="str">
        <f>_xll.BDH("GILD US Equity","PCT_OF_IND_DIRECTORS_ON_NOM_CMTE","FY 2012","FY 2012","Currency=USD","Period=FQ","BEST_FPERIOD_OVERRIDE=FQ","FILING_STATUS=MR","Sort=A","Dates=H","DateFormat=P","Fill=—","Direction=H","UseDPDF=Y")</f>
        <v>—</v>
      </c>
      <c r="P79" s="14" t="str">
        <f>_xll.BDH("GILD US Equity","PCT_OF_IND_DIRECTORS_ON_NOM_CMTE","FY 2013","FY 2013","Currency=USD","Period=FQ","BEST_FPERIOD_OVERRIDE=FQ","FILING_STATUS=MR","Sort=A","Dates=H","DateFormat=P","Fill=—","Direction=H","UseDPDF=Y")</f>
        <v>—</v>
      </c>
      <c r="Q79" s="14" t="str">
        <f>_xll.BDH("GILD US Equity","PCT_OF_IND_DIRECTORS_ON_NOM_CMTE","FY 2014","FY 2014","Currency=USD","Period=FQ","BEST_FPERIOD_OVERRIDE=FQ","FILING_STATUS=MR","Sort=A","Dates=H","DateFormat=P","Fill=—","Direction=H","UseDPDF=Y")</f>
        <v>—</v>
      </c>
      <c r="R79" s="14" t="str">
        <f>_xll.BDH("GILD US Equity","PCT_OF_IND_DIRECTORS_ON_NOM_CMTE","FY 2015","FY 2015","Currency=USD","Period=FQ","BEST_FPERIOD_OVERRIDE=FQ","FILING_STATUS=MR","Sort=A","Dates=H","DateFormat=P","Fill=—","Direction=H","UseDPDF=Y")</f>
        <v>—</v>
      </c>
      <c r="S79" s="14" t="str">
        <f>_xll.BDH("GILD US Equity","PCT_OF_IND_DIRECTORS_ON_NOM_CMTE","FY 2016","FY 2016","Currency=USD","Period=FQ","BEST_FPERIOD_OVERRIDE=FQ","FILING_STATUS=MR","Sort=A","Dates=H","DateFormat=P","Fill=—","Direction=H","UseDPDF=Y")</f>
        <v>—</v>
      </c>
      <c r="T79" s="14" t="str">
        <f>_xll.BDH("GILD US Equity","PCT_OF_IND_DIRECTORS_ON_NOM_CMTE","FY 2017","FY 2017","Currency=USD","Period=FQ","BEST_FPERIOD_OVERRIDE=FQ","FILING_STATUS=MR","Sort=A","Dates=H","DateFormat=P","Fill=—","Direction=H","UseDPDF=Y")</f>
        <v>—</v>
      </c>
      <c r="U79" s="14" t="str">
        <f>_xll.BDH("GILD US Equity","PCT_OF_IND_DIRECTORS_ON_NOM_CMTE","FY 2018","FY 2018","Currency=USD","Period=FQ","BEST_FPERIOD_OVERRIDE=FQ","FILING_STATUS=MR","Sort=A","Dates=H","DateFormat=P","Fill=—","Direction=H","UseDPDF=Y")</f>
        <v>—</v>
      </c>
      <c r="V79" s="14" t="str">
        <f>_xll.BDH("GILD US Equity","PCT_OF_IND_DIRECTORS_ON_NOM_CMTE","FY 2019","FY 2019","Currency=USD","Period=FQ","BEST_FPERIOD_OVERRIDE=FQ","FILING_STATUS=MR","Sort=A","Dates=H","DateFormat=P","Fill=—","Direction=H","UseDPDF=Y")</f>
        <v>—</v>
      </c>
      <c r="W79" s="14" t="str">
        <f>_xll.BDH("GILD US Equity","PCT_OF_IND_DIRECTORS_ON_NOM_CMTE","FY 2020","FY 2020","Currency=USD","Period=FQ","BEST_FPERIOD_OVERRIDE=FQ","FILING_STATUS=MR","Sort=A","Dates=H","DateFormat=P","Fill=—","Direction=H","UseDPDF=Y")</f>
        <v>—</v>
      </c>
      <c r="X79" s="14" t="str">
        <f>_xll.BDH("GILD US Equity","PCT_OF_IND_DIRECTORS_ON_NOM_CMTE","FY 2021","FY 2021","Currency=USD","Period=FQ","BEST_FPERIOD_OVERRIDE=FQ","FILING_STATUS=MR","Sort=A","Dates=H","DateFormat=P","Fill=—","Direction=H","UseDPDF=Y")</f>
        <v>—</v>
      </c>
      <c r="Y79" s="14" t="str">
        <f>_xll.BDH("GILD US Equity","PCT_OF_IND_DIRECTORS_ON_NOM_CMTE","FY 2022","FY 2022","Currency=USD","Period=FQ","BEST_FPERIOD_OVERRIDE=FQ","FILING_STATUS=MR","Sort=A","Dates=H","DateFormat=P","Fill=—","Direction=H","UseDPDF=Y")</f>
        <v>—</v>
      </c>
      <c r="Z79" s="14" t="str">
        <f>_xll.BDH("GILD US Equity","PCT_OF_IND_DIRECTORS_ON_NOM_CMTE","FY 2023","FY 2023","Currency=USD","Period=FQ","BEST_FPERIOD_OVERRIDE=FQ","FILING_STATUS=MR","Sort=A","Dates=H","DateFormat=P","Fill=—","Direction=H","UseDPDF=Y")</f>
        <v>—</v>
      </c>
      <c r="AA79" s="14" t="str">
        <f>_xll.BDH("GILD US Equity","PCT_OF_IND_DIRECTORS_ON_NOM_CMTE","FY 2024","FY 2024","Currency=USD","Period=FQ","BEST_FPERIOD_OVERRIDE=FQ","FILING_STATUS=MR","Sort=A","Dates=H","DateFormat=P","Fill=—","Direction=H","UseDPDF=Y")</f>
        <v>—</v>
      </c>
    </row>
    <row r="80" spans="1:27" x14ac:dyDescent="0.25">
      <c r="A80" s="10" t="s">
        <v>2064</v>
      </c>
      <c r="B80" s="10" t="s">
        <v>2065</v>
      </c>
      <c r="C80" s="14" t="str">
        <f>_xll.BDH("GILD US Equity","PCT_OWNERSHIP_REQ_SPECIAL_MTG","FY 2000","FY 2000","Currency=USD","Period=FQ","BEST_FPERIOD_OVERRIDE=FQ","FILING_STATUS=MR","Sort=A","Dates=H","DateFormat=P","Fill=—","Direction=H","UseDPDF=Y")</f>
        <v>—</v>
      </c>
      <c r="D80" s="14" t="str">
        <f>_xll.BDH("GILD US Equity","PCT_OWNERSHIP_REQ_SPECIAL_MTG","FY 2001","FY 2001","Currency=USD","Period=FQ","BEST_FPERIOD_OVERRIDE=FQ","FILING_STATUS=MR","Sort=A","Dates=H","DateFormat=P","Fill=—","Direction=H","UseDPDF=Y")</f>
        <v>—</v>
      </c>
      <c r="E80" s="14" t="str">
        <f>_xll.BDH("GILD US Equity","PCT_OWNERSHIP_REQ_SPECIAL_MTG","FY 2002","FY 2002","Currency=USD","Period=FQ","BEST_FPERIOD_OVERRIDE=FQ","FILING_STATUS=MR","Sort=A","Dates=H","DateFormat=P","Fill=—","Direction=H","UseDPDF=Y")</f>
        <v>—</v>
      </c>
      <c r="F80" s="14" t="str">
        <f>_xll.BDH("GILD US Equity","PCT_OWNERSHIP_REQ_SPECIAL_MTG","FY 2003","FY 2003","Currency=USD","Period=FQ","BEST_FPERIOD_OVERRIDE=FQ","FILING_STATUS=MR","Sort=A","Dates=H","DateFormat=P","Fill=—","Direction=H","UseDPDF=Y")</f>
        <v>—</v>
      </c>
      <c r="G80" s="14" t="str">
        <f>_xll.BDH("GILD US Equity","PCT_OWNERSHIP_REQ_SPECIAL_MTG","FY 2004","FY 2004","Currency=USD","Period=FQ","BEST_FPERIOD_OVERRIDE=FQ","FILING_STATUS=MR","Sort=A","Dates=H","DateFormat=P","Fill=—","Direction=H","UseDPDF=Y")</f>
        <v>—</v>
      </c>
      <c r="H80" s="14" t="str">
        <f>_xll.BDH("GILD US Equity","PCT_OWNERSHIP_REQ_SPECIAL_MTG","FY 2005","FY 2005","Currency=USD","Period=FQ","BEST_FPERIOD_OVERRIDE=FQ","FILING_STATUS=MR","Sort=A","Dates=H","DateFormat=P","Fill=—","Direction=H","UseDPDF=Y")</f>
        <v>—</v>
      </c>
      <c r="I80" s="14" t="str">
        <f>_xll.BDH("GILD US Equity","PCT_OWNERSHIP_REQ_SPECIAL_MTG","FY 2006","FY 2006","Currency=USD","Period=FQ","BEST_FPERIOD_OVERRIDE=FQ","FILING_STATUS=MR","Sort=A","Dates=H","DateFormat=P","Fill=—","Direction=H","UseDPDF=Y")</f>
        <v>—</v>
      </c>
      <c r="J80" s="14" t="str">
        <f>_xll.BDH("GILD US Equity","PCT_OWNERSHIP_REQ_SPECIAL_MTG","FY 2007","FY 2007","Currency=USD","Period=FQ","BEST_FPERIOD_OVERRIDE=FQ","FILING_STATUS=MR","Sort=A","Dates=H","DateFormat=P","Fill=—","Direction=H","UseDPDF=Y")</f>
        <v>—</v>
      </c>
      <c r="K80" s="14" t="str">
        <f>_xll.BDH("GILD US Equity","PCT_OWNERSHIP_REQ_SPECIAL_MTG","FY 2008","FY 2008","Currency=USD","Period=FQ","BEST_FPERIOD_OVERRIDE=FQ","FILING_STATUS=MR","Sort=A","Dates=H","DateFormat=P","Fill=—","Direction=H","UseDPDF=Y")</f>
        <v>—</v>
      </c>
      <c r="L80" s="14" t="str">
        <f>_xll.BDH("GILD US Equity","PCT_OWNERSHIP_REQ_SPECIAL_MTG","FY 2009","FY 2009","Currency=USD","Period=FQ","BEST_FPERIOD_OVERRIDE=FQ","FILING_STATUS=MR","Sort=A","Dates=H","DateFormat=P","Fill=—","Direction=H","UseDPDF=Y")</f>
        <v>—</v>
      </c>
      <c r="M80" s="14" t="str">
        <f>_xll.BDH("GILD US Equity","PCT_OWNERSHIP_REQ_SPECIAL_MTG","FY 2010","FY 2010","Currency=USD","Period=FQ","BEST_FPERIOD_OVERRIDE=FQ","FILING_STATUS=MR","Sort=A","Dates=H","DateFormat=P","Fill=—","Direction=H","UseDPDF=Y")</f>
        <v>—</v>
      </c>
      <c r="N80" s="14" t="str">
        <f>_xll.BDH("GILD US Equity","PCT_OWNERSHIP_REQ_SPECIAL_MTG","FY 2011","FY 2011","Currency=USD","Period=FQ","BEST_FPERIOD_OVERRIDE=FQ","FILING_STATUS=MR","Sort=A","Dates=H","DateFormat=P","Fill=—","Direction=H","UseDPDF=Y")</f>
        <v>—</v>
      </c>
      <c r="O80" s="14" t="str">
        <f>_xll.BDH("GILD US Equity","PCT_OWNERSHIP_REQ_SPECIAL_MTG","FY 2012","FY 2012","Currency=USD","Period=FQ","BEST_FPERIOD_OVERRIDE=FQ","FILING_STATUS=MR","Sort=A","Dates=H","DateFormat=P","Fill=—","Direction=H","UseDPDF=Y")</f>
        <v>—</v>
      </c>
      <c r="P80" s="14" t="str">
        <f>_xll.BDH("GILD US Equity","PCT_OWNERSHIP_REQ_SPECIAL_MTG","FY 2013","FY 2013","Currency=USD","Period=FQ","BEST_FPERIOD_OVERRIDE=FQ","FILING_STATUS=MR","Sort=A","Dates=H","DateFormat=P","Fill=—","Direction=H","UseDPDF=Y")</f>
        <v>—</v>
      </c>
      <c r="Q80" s="14" t="str">
        <f>_xll.BDH("GILD US Equity","PCT_OWNERSHIP_REQ_SPECIAL_MTG","FY 2014","FY 2014","Currency=USD","Period=FQ","BEST_FPERIOD_OVERRIDE=FQ","FILING_STATUS=MR","Sort=A","Dates=H","DateFormat=P","Fill=—","Direction=H","UseDPDF=Y")</f>
        <v>—</v>
      </c>
      <c r="R80" s="14" t="str">
        <f>_xll.BDH("GILD US Equity","PCT_OWNERSHIP_REQ_SPECIAL_MTG","FY 2015","FY 2015","Currency=USD","Period=FQ","BEST_FPERIOD_OVERRIDE=FQ","FILING_STATUS=MR","Sort=A","Dates=H","DateFormat=P","Fill=—","Direction=H","UseDPDF=Y")</f>
        <v>—</v>
      </c>
      <c r="S80" s="14" t="str">
        <f>_xll.BDH("GILD US Equity","PCT_OWNERSHIP_REQ_SPECIAL_MTG","FY 2016","FY 2016","Currency=USD","Period=FQ","BEST_FPERIOD_OVERRIDE=FQ","FILING_STATUS=MR","Sort=A","Dates=H","DateFormat=P","Fill=—","Direction=H","UseDPDF=Y")</f>
        <v>—</v>
      </c>
      <c r="T80" s="14" t="str">
        <f>_xll.BDH("GILD US Equity","PCT_OWNERSHIP_REQ_SPECIAL_MTG","FY 2017","FY 2017","Currency=USD","Period=FQ","BEST_FPERIOD_OVERRIDE=FQ","FILING_STATUS=MR","Sort=A","Dates=H","DateFormat=P","Fill=—","Direction=H","UseDPDF=Y")</f>
        <v>—</v>
      </c>
      <c r="U80" s="14" t="str">
        <f>_xll.BDH("GILD US Equity","PCT_OWNERSHIP_REQ_SPECIAL_MTG","FY 2018","FY 2018","Currency=USD","Period=FQ","BEST_FPERIOD_OVERRIDE=FQ","FILING_STATUS=MR","Sort=A","Dates=H","DateFormat=P","Fill=—","Direction=H","UseDPDF=Y")</f>
        <v>—</v>
      </c>
      <c r="V80" s="14" t="str">
        <f>_xll.BDH("GILD US Equity","PCT_OWNERSHIP_REQ_SPECIAL_MTG","FY 2019","FY 2019","Currency=USD","Period=FQ","BEST_FPERIOD_OVERRIDE=FQ","FILING_STATUS=MR","Sort=A","Dates=H","DateFormat=P","Fill=—","Direction=H","UseDPDF=Y")</f>
        <v>—</v>
      </c>
      <c r="W80" s="14" t="str">
        <f>_xll.BDH("GILD US Equity","PCT_OWNERSHIP_REQ_SPECIAL_MTG","FY 2020","FY 2020","Currency=USD","Period=FQ","BEST_FPERIOD_OVERRIDE=FQ","FILING_STATUS=MR","Sort=A","Dates=H","DateFormat=P","Fill=—","Direction=H","UseDPDF=Y")</f>
        <v>—</v>
      </c>
      <c r="X80" s="14" t="str">
        <f>_xll.BDH("GILD US Equity","PCT_OWNERSHIP_REQ_SPECIAL_MTG","FY 2021","FY 2021","Currency=USD","Period=FQ","BEST_FPERIOD_OVERRIDE=FQ","FILING_STATUS=MR","Sort=A","Dates=H","DateFormat=P","Fill=—","Direction=H","UseDPDF=Y")</f>
        <v>—</v>
      </c>
      <c r="Y80" s="14" t="str">
        <f>_xll.BDH("GILD US Equity","PCT_OWNERSHIP_REQ_SPECIAL_MTG","FY 2022","FY 2022","Currency=USD","Period=FQ","BEST_FPERIOD_OVERRIDE=FQ","FILING_STATUS=MR","Sort=A","Dates=H","DateFormat=P","Fill=—","Direction=H","UseDPDF=Y")</f>
        <v>—</v>
      </c>
      <c r="Z80" s="14" t="str">
        <f>_xll.BDH("GILD US Equity","PCT_OWNERSHIP_REQ_SPECIAL_MTG","FY 2023","FY 2023","Currency=USD","Period=FQ","BEST_FPERIOD_OVERRIDE=FQ","FILING_STATUS=MR","Sort=A","Dates=H","DateFormat=P","Fill=—","Direction=H","UseDPDF=Y")</f>
        <v>—</v>
      </c>
      <c r="AA80" s="14" t="str">
        <f>_xll.BDH("GILD US Equity","PCT_OWNERSHIP_REQ_SPECIAL_MTG","FY 2024","FY 2024","Currency=USD","Period=FQ","BEST_FPERIOD_OVERRIDE=FQ","FILING_STATUS=MR","Sort=A","Dates=H","DateFormat=P","Fill=—","Direction=H","UseDPDF=Y")</f>
        <v>—</v>
      </c>
    </row>
    <row r="81" spans="1:27" x14ac:dyDescent="0.25">
      <c r="A81" s="10" t="s">
        <v>2066</v>
      </c>
      <c r="B81" s="10" t="s">
        <v>2067</v>
      </c>
      <c r="C81" s="14" t="str">
        <f>_xll.BDH("GILD US Equity","PCT_POISON_PILL_TRIG_THRESHOLD","FY 2000","FY 2000","Currency=USD","Period=FQ","BEST_FPERIOD_OVERRIDE=FQ","FILING_STATUS=MR","Sort=A","Dates=H","DateFormat=P","Fill=—","Direction=H","UseDPDF=Y")</f>
        <v>—</v>
      </c>
      <c r="D81" s="14" t="str">
        <f>_xll.BDH("GILD US Equity","PCT_POISON_PILL_TRIG_THRESHOLD","FY 2001","FY 2001","Currency=USD","Period=FQ","BEST_FPERIOD_OVERRIDE=FQ","FILING_STATUS=MR","Sort=A","Dates=H","DateFormat=P","Fill=—","Direction=H","UseDPDF=Y")</f>
        <v>—</v>
      </c>
      <c r="E81" s="14" t="str">
        <f>_xll.BDH("GILD US Equity","PCT_POISON_PILL_TRIG_THRESHOLD","FY 2002","FY 2002","Currency=USD","Period=FQ","BEST_FPERIOD_OVERRIDE=FQ","FILING_STATUS=MR","Sort=A","Dates=H","DateFormat=P","Fill=—","Direction=H","UseDPDF=Y")</f>
        <v>—</v>
      </c>
      <c r="F81" s="14" t="str">
        <f>_xll.BDH("GILD US Equity","PCT_POISON_PILL_TRIG_THRESHOLD","FY 2003","FY 2003","Currency=USD","Period=FQ","BEST_FPERIOD_OVERRIDE=FQ","FILING_STATUS=MR","Sort=A","Dates=H","DateFormat=P","Fill=—","Direction=H","UseDPDF=Y")</f>
        <v>—</v>
      </c>
      <c r="G81" s="14" t="str">
        <f>_xll.BDH("GILD US Equity","PCT_POISON_PILL_TRIG_THRESHOLD","FY 2004","FY 2004","Currency=USD","Period=FQ","BEST_FPERIOD_OVERRIDE=FQ","FILING_STATUS=MR","Sort=A","Dates=H","DateFormat=P","Fill=—","Direction=H","UseDPDF=Y")</f>
        <v>—</v>
      </c>
      <c r="H81" s="14" t="str">
        <f>_xll.BDH("GILD US Equity","PCT_POISON_PILL_TRIG_THRESHOLD","FY 2005","FY 2005","Currency=USD","Period=FQ","BEST_FPERIOD_OVERRIDE=FQ","FILING_STATUS=MR","Sort=A","Dates=H","DateFormat=P","Fill=—","Direction=H","UseDPDF=Y")</f>
        <v>—</v>
      </c>
      <c r="I81" s="14" t="str">
        <f>_xll.BDH("GILD US Equity","PCT_POISON_PILL_TRIG_THRESHOLD","FY 2006","FY 2006","Currency=USD","Period=FQ","BEST_FPERIOD_OVERRIDE=FQ","FILING_STATUS=MR","Sort=A","Dates=H","DateFormat=P","Fill=—","Direction=H","UseDPDF=Y")</f>
        <v>—</v>
      </c>
      <c r="J81" s="14" t="str">
        <f>_xll.BDH("GILD US Equity","PCT_POISON_PILL_TRIG_THRESHOLD","FY 2007","FY 2007","Currency=USD","Period=FQ","BEST_FPERIOD_OVERRIDE=FQ","FILING_STATUS=MR","Sort=A","Dates=H","DateFormat=P","Fill=—","Direction=H","UseDPDF=Y")</f>
        <v>—</v>
      </c>
      <c r="K81" s="14" t="str">
        <f>_xll.BDH("GILD US Equity","PCT_POISON_PILL_TRIG_THRESHOLD","FY 2008","FY 2008","Currency=USD","Period=FQ","BEST_FPERIOD_OVERRIDE=FQ","FILING_STATUS=MR","Sort=A","Dates=H","DateFormat=P","Fill=—","Direction=H","UseDPDF=Y")</f>
        <v>—</v>
      </c>
      <c r="L81" s="14" t="str">
        <f>_xll.BDH("GILD US Equity","PCT_POISON_PILL_TRIG_THRESHOLD","FY 2009","FY 2009","Currency=USD","Period=FQ","BEST_FPERIOD_OVERRIDE=FQ","FILING_STATUS=MR","Sort=A","Dates=H","DateFormat=P","Fill=—","Direction=H","UseDPDF=Y")</f>
        <v>—</v>
      </c>
      <c r="M81" s="14" t="str">
        <f>_xll.BDH("GILD US Equity","PCT_POISON_PILL_TRIG_THRESHOLD","FY 2010","FY 2010","Currency=USD","Period=FQ","BEST_FPERIOD_OVERRIDE=FQ","FILING_STATUS=MR","Sort=A","Dates=H","DateFormat=P","Fill=—","Direction=H","UseDPDF=Y")</f>
        <v>—</v>
      </c>
      <c r="N81" s="14" t="str">
        <f>_xll.BDH("GILD US Equity","PCT_POISON_PILL_TRIG_THRESHOLD","FY 2011","FY 2011","Currency=USD","Period=FQ","BEST_FPERIOD_OVERRIDE=FQ","FILING_STATUS=MR","Sort=A","Dates=H","DateFormat=P","Fill=—","Direction=H","UseDPDF=Y")</f>
        <v>—</v>
      </c>
      <c r="O81" s="14" t="str">
        <f>_xll.BDH("GILD US Equity","PCT_POISON_PILL_TRIG_THRESHOLD","FY 2012","FY 2012","Currency=USD","Period=FQ","BEST_FPERIOD_OVERRIDE=FQ","FILING_STATUS=MR","Sort=A","Dates=H","DateFormat=P","Fill=—","Direction=H","UseDPDF=Y")</f>
        <v>—</v>
      </c>
      <c r="P81" s="14" t="str">
        <f>_xll.BDH("GILD US Equity","PCT_POISON_PILL_TRIG_THRESHOLD","FY 2013","FY 2013","Currency=USD","Period=FQ","BEST_FPERIOD_OVERRIDE=FQ","FILING_STATUS=MR","Sort=A","Dates=H","DateFormat=P","Fill=—","Direction=H","UseDPDF=Y")</f>
        <v>—</v>
      </c>
      <c r="Q81" s="14" t="str">
        <f>_xll.BDH("GILD US Equity","PCT_POISON_PILL_TRIG_THRESHOLD","FY 2014","FY 2014","Currency=USD","Period=FQ","BEST_FPERIOD_OVERRIDE=FQ","FILING_STATUS=MR","Sort=A","Dates=H","DateFormat=P","Fill=—","Direction=H","UseDPDF=Y")</f>
        <v>—</v>
      </c>
      <c r="R81" s="14" t="str">
        <f>_xll.BDH("GILD US Equity","PCT_POISON_PILL_TRIG_THRESHOLD","FY 2015","FY 2015","Currency=USD","Period=FQ","BEST_FPERIOD_OVERRIDE=FQ","FILING_STATUS=MR","Sort=A","Dates=H","DateFormat=P","Fill=—","Direction=H","UseDPDF=Y")</f>
        <v>—</v>
      </c>
      <c r="S81" s="14" t="str">
        <f>_xll.BDH("GILD US Equity","PCT_POISON_PILL_TRIG_THRESHOLD","FY 2016","FY 2016","Currency=USD","Period=FQ","BEST_FPERIOD_OVERRIDE=FQ","FILING_STATUS=MR","Sort=A","Dates=H","DateFormat=P","Fill=—","Direction=H","UseDPDF=Y")</f>
        <v>—</v>
      </c>
      <c r="T81" s="14" t="str">
        <f>_xll.BDH("GILD US Equity","PCT_POISON_PILL_TRIG_THRESHOLD","FY 2017","FY 2017","Currency=USD","Period=FQ","BEST_FPERIOD_OVERRIDE=FQ","FILING_STATUS=MR","Sort=A","Dates=H","DateFormat=P","Fill=—","Direction=H","UseDPDF=Y")</f>
        <v>—</v>
      </c>
      <c r="U81" s="14" t="str">
        <f>_xll.BDH("GILD US Equity","PCT_POISON_PILL_TRIG_THRESHOLD","FY 2018","FY 2018","Currency=USD","Period=FQ","BEST_FPERIOD_OVERRIDE=FQ","FILING_STATUS=MR","Sort=A","Dates=H","DateFormat=P","Fill=—","Direction=H","UseDPDF=Y")</f>
        <v>—</v>
      </c>
      <c r="V81" s="14" t="str">
        <f>_xll.BDH("GILD US Equity","PCT_POISON_PILL_TRIG_THRESHOLD","FY 2019","FY 2019","Currency=USD","Period=FQ","BEST_FPERIOD_OVERRIDE=FQ","FILING_STATUS=MR","Sort=A","Dates=H","DateFormat=P","Fill=—","Direction=H","UseDPDF=Y")</f>
        <v>—</v>
      </c>
      <c r="W81" s="14" t="str">
        <f>_xll.BDH("GILD US Equity","PCT_POISON_PILL_TRIG_THRESHOLD","FY 2020","FY 2020","Currency=USD","Period=FQ","BEST_FPERIOD_OVERRIDE=FQ","FILING_STATUS=MR","Sort=A","Dates=H","DateFormat=P","Fill=—","Direction=H","UseDPDF=Y")</f>
        <v>—</v>
      </c>
      <c r="X81" s="14" t="str">
        <f>_xll.BDH("GILD US Equity","PCT_POISON_PILL_TRIG_THRESHOLD","FY 2021","FY 2021","Currency=USD","Period=FQ","BEST_FPERIOD_OVERRIDE=FQ","FILING_STATUS=MR","Sort=A","Dates=H","DateFormat=P","Fill=—","Direction=H","UseDPDF=Y")</f>
        <v>—</v>
      </c>
      <c r="Y81" s="14" t="str">
        <f>_xll.BDH("GILD US Equity","PCT_POISON_PILL_TRIG_THRESHOLD","FY 2022","FY 2022","Currency=USD","Period=FQ","BEST_FPERIOD_OVERRIDE=FQ","FILING_STATUS=MR","Sort=A","Dates=H","DateFormat=P","Fill=—","Direction=H","UseDPDF=Y")</f>
        <v>—</v>
      </c>
      <c r="Z81" s="14" t="str">
        <f>_xll.BDH("GILD US Equity","PCT_POISON_PILL_TRIG_THRESHOLD","FY 2023","FY 2023","Currency=USD","Period=FQ","BEST_FPERIOD_OVERRIDE=FQ","FILING_STATUS=MR","Sort=A","Dates=H","DateFormat=P","Fill=—","Direction=H","UseDPDF=Y")</f>
        <v>—</v>
      </c>
      <c r="AA81" s="14" t="str">
        <f>_xll.BDH("GILD US Equity","PCT_POISON_PILL_TRIG_THRESHOLD","FY 2024","FY 2024","Currency=USD","Period=FQ","BEST_FPERIOD_OVERRIDE=FQ","FILING_STATUS=MR","Sort=A","Dates=H","DateFormat=P","Fill=—","Direction=H","UseDPDF=Y")</f>
        <v>—</v>
      </c>
    </row>
    <row r="82" spans="1:27" x14ac:dyDescent="0.25">
      <c r="A82" s="7" t="s">
        <v>90</v>
      </c>
      <c r="B82" s="7"/>
      <c r="C82" s="7" t="s">
        <v>5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5"/>
  <sheetViews>
    <sheetView workbookViewId="0">
      <selection activeCell="I14" sqref="I14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163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  <c r="O4" s="4" t="s">
        <v>22</v>
      </c>
      <c r="P4" s="4" t="s">
        <v>23</v>
      </c>
      <c r="Q4" s="4" t="s">
        <v>24</v>
      </c>
      <c r="R4" s="4" t="s">
        <v>25</v>
      </c>
      <c r="S4" s="4" t="s">
        <v>26</v>
      </c>
      <c r="T4" s="4" t="s">
        <v>27</v>
      </c>
      <c r="U4" s="4" t="s">
        <v>28</v>
      </c>
      <c r="V4" s="4" t="s">
        <v>29</v>
      </c>
      <c r="W4" s="4" t="s">
        <v>30</v>
      </c>
      <c r="X4" s="4" t="s">
        <v>31</v>
      </c>
      <c r="Y4" s="4" t="s">
        <v>164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36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41</v>
      </c>
      <c r="I5" s="5" t="s">
        <v>42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5" t="s">
        <v>48</v>
      </c>
      <c r="P5" s="5" t="s">
        <v>49</v>
      </c>
      <c r="Q5" s="5" t="s">
        <v>50</v>
      </c>
      <c r="R5" s="5" t="s">
        <v>51</v>
      </c>
      <c r="S5" s="5" t="s">
        <v>52</v>
      </c>
      <c r="T5" s="5" t="s">
        <v>53</v>
      </c>
      <c r="U5" s="5" t="s">
        <v>54</v>
      </c>
      <c r="V5" s="5" t="s">
        <v>55</v>
      </c>
      <c r="W5" s="5" t="s">
        <v>56</v>
      </c>
      <c r="X5" s="5" t="s">
        <v>57</v>
      </c>
      <c r="Y5" s="5" t="s">
        <v>165</v>
      </c>
      <c r="Z5" s="5" t="s">
        <v>58</v>
      </c>
      <c r="AA5" s="5" t="s">
        <v>59</v>
      </c>
    </row>
    <row r="6" spans="1:27" x14ac:dyDescent="0.25">
      <c r="A6" s="6" t="s">
        <v>60</v>
      </c>
      <c r="B6" s="6" t="s">
        <v>61</v>
      </c>
      <c r="C6" s="19">
        <f>_xll.BDH("GILD US Equity","HISTORICAL_MARKET_CAP","FQ3 2019","FQ3 2019","Currency=USD","Period=FQ","BEST_FPERIOD_OVERRIDE=FQ","FILING_STATUS=MR","SCALING_FORMAT=MLN","Sort=A","Dates=H","DateFormat=P","Fill=—","Direction=H","UseDPDF=Y")</f>
        <v>80239.08</v>
      </c>
      <c r="D6" s="19">
        <f>_xll.BDH("GILD US Equity","HISTORICAL_MARKET_CAP","FQ4 2019","FQ4 2019","Currency=USD","Period=FQ","BEST_FPERIOD_OVERRIDE=FQ","FILING_STATUS=MR","SCALING_FORMAT=MLN","Sort=A","Dates=H","DateFormat=P","Fill=—","Direction=H","UseDPDF=Y")</f>
        <v>82264.679999999993</v>
      </c>
      <c r="E6" s="19">
        <f>_xll.BDH("GILD US Equity","HISTORICAL_MARKET_CAP","FQ1 2020","FQ1 2020","Currency=USD","Period=FQ","BEST_FPERIOD_OVERRIDE=FQ","FILING_STATUS=MR","SCALING_FORMAT=MLN","Sort=A","Dates=H","DateFormat=P","Fill=—","Direction=H","UseDPDF=Y")</f>
        <v>93749.04</v>
      </c>
      <c r="F6" s="19">
        <f>_xll.BDH("GILD US Equity","HISTORICAL_MARKET_CAP","FQ2 2020","FQ2 2020","Currency=USD","Period=FQ","BEST_FPERIOD_OVERRIDE=FQ","FILING_STATUS=MR","SCALING_FORMAT=MLN","Sort=A","Dates=H","DateFormat=P","Fill=—","Direction=H","UseDPDF=Y")</f>
        <v>96482.76</v>
      </c>
      <c r="G6" s="19">
        <f>_xll.BDH("GILD US Equity","HISTORICAL_MARKET_CAP","FQ3 2020","FQ3 2020","Currency=USD","Period=FQ","BEST_FPERIOD_OVERRIDE=FQ","FILING_STATUS=MR","SCALING_FORMAT=MLN","Sort=A","Dates=H","DateFormat=P","Fill=—","Direction=H","UseDPDF=Y")</f>
        <v>79177.070000000007</v>
      </c>
      <c r="H6" s="19">
        <f>_xll.BDH("GILD US Equity","HISTORICAL_MARKET_CAP","FQ4 2020","FQ4 2020","Currency=USD","Period=FQ","BEST_FPERIOD_OVERRIDE=FQ","FILING_STATUS=MR","SCALING_FORMAT=MLN","Sort=A","Dates=H","DateFormat=P","Fill=—","Direction=H","UseDPDF=Y")</f>
        <v>73058.039999999994</v>
      </c>
      <c r="I6" s="19">
        <f>_xll.BDH("GILD US Equity","HISTORICAL_MARKET_CAP","FQ1 2021","FQ1 2021","Currency=USD","Period=FQ","BEST_FPERIOD_OVERRIDE=FQ","FILING_STATUS=MR","SCALING_FORMAT=MLN","Sort=A","Dates=H","DateFormat=P","Fill=—","Direction=H","UseDPDF=Y")</f>
        <v>81046.02</v>
      </c>
      <c r="J6" s="19">
        <f>_xll.BDH("GILD US Equity","HISTORICAL_MARKET_CAP","FQ2 2021","FQ2 2021","Currency=USD","Period=FQ","BEST_FPERIOD_OVERRIDE=FQ","FILING_STATUS=MR","SCALING_FORMAT=MLN","Sort=A","Dates=H","DateFormat=P","Fill=—","Direction=H","UseDPDF=Y")</f>
        <v>86350.44</v>
      </c>
      <c r="K6" s="19">
        <f>_xll.BDH("GILD US Equity","HISTORICAL_MARKET_CAP","FQ3 2021","FQ3 2021","Currency=USD","Period=FQ","BEST_FPERIOD_OVERRIDE=FQ","FILING_STATUS=MR","SCALING_FORMAT=MLN","Sort=A","Dates=H","DateFormat=P","Fill=—","Direction=H","UseDPDF=Y")</f>
        <v>87661.75</v>
      </c>
      <c r="L6" s="19">
        <f>_xll.BDH("GILD US Equity","HISTORICAL_MARKET_CAP","FQ4 2021","FQ4 2021","Currency=USD","Period=FQ","BEST_FPERIOD_OVERRIDE=FQ","FILING_STATUS=MR","SCALING_FORMAT=MLN","Sort=A","Dates=H","DateFormat=P","Fill=—","Direction=H","UseDPDF=Y")</f>
        <v>91052.94</v>
      </c>
      <c r="M6" s="19">
        <f>_xll.BDH("GILD US Equity","HISTORICAL_MARKET_CAP","FQ1 2022","FQ1 2022","Currency=USD","Period=FQ","BEST_FPERIOD_OVERRIDE=FQ","FILING_STATUS=MR","SCALING_FORMAT=MLN","Sort=A","Dates=H","DateFormat=P","Fill=—","Direction=H","UseDPDF=Y")</f>
        <v>74609.75</v>
      </c>
      <c r="N6" s="19">
        <f>_xll.BDH("GILD US Equity","HISTORICAL_MARKET_CAP","FQ2 2022","FQ2 2022","Currency=USD","Period=FQ","BEST_FPERIOD_OVERRIDE=FQ","FILING_STATUS=MR","SCALING_FORMAT=MLN","Sort=A","Dates=H","DateFormat=P","Fill=—","Direction=H","UseDPDF=Y")</f>
        <v>77509.740000000005</v>
      </c>
      <c r="O6" s="19">
        <f>_xll.BDH("GILD US Equity","HISTORICAL_MARKET_CAP","FQ3 2022","FQ3 2022","Currency=USD","Period=FQ","BEST_FPERIOD_OVERRIDE=FQ","FILING_STATUS=MR","SCALING_FORMAT=MLN","Sort=A","Dates=H","DateFormat=P","Fill=—","Direction=H","UseDPDF=Y")</f>
        <v>77359.259999999995</v>
      </c>
      <c r="P6" s="19">
        <f>_xll.BDH("GILD US Equity","HISTORICAL_MARKET_CAP","FQ4 2022","FQ4 2022","Currency=USD","Period=FQ","BEST_FPERIOD_OVERRIDE=FQ","FILING_STATUS=MR","SCALING_FORMAT=MLN","Sort=A","Dates=H","DateFormat=P","Fill=—","Direction=H","UseDPDF=Y")</f>
        <v>107054.95</v>
      </c>
      <c r="Q6" s="19">
        <f>_xll.BDH("GILD US Equity","HISTORICAL_MARKET_CAP","FQ1 2023","FQ1 2023","Currency=USD","Period=FQ","BEST_FPERIOD_OVERRIDE=FQ","FILING_STATUS=MR","SCALING_FORMAT=MLN","Sort=A","Dates=H","DateFormat=P","Fill=—","Direction=H","UseDPDF=Y")</f>
        <v>103546.56</v>
      </c>
      <c r="R6" s="19">
        <f>_xll.BDH("GILD US Equity","HISTORICAL_MARKET_CAP","FQ2 2023","FQ2 2023","Currency=USD","Period=FQ","BEST_FPERIOD_OVERRIDE=FQ","FILING_STATUS=MR","SCALING_FORMAT=MLN","Sort=A","Dates=H","DateFormat=P","Fill=—","Direction=H","UseDPDF=Y")</f>
        <v>96106.29</v>
      </c>
      <c r="S6" s="19">
        <f>_xll.BDH("GILD US Equity","HISTORICAL_MARKET_CAP","FQ3 2023","FQ3 2023","Currency=USD","Period=FQ","BEST_FPERIOD_OVERRIDE=FQ","FILING_STATUS=MR","SCALING_FORMAT=MLN","Sort=A","Dates=H","DateFormat=P","Fill=—","Direction=H","UseDPDF=Y")</f>
        <v>93450.18</v>
      </c>
      <c r="T6" s="19">
        <f>_xll.BDH("GILD US Equity","HISTORICAL_MARKET_CAP","FQ4 2023","FQ4 2023","Currency=USD","Period=FQ","BEST_FPERIOD_OVERRIDE=FQ","FILING_STATUS=MR","SCALING_FORMAT=MLN","Sort=A","Dates=H","DateFormat=P","Fill=—","Direction=H","UseDPDF=Y")</f>
        <v>100938.46</v>
      </c>
      <c r="U6" s="19">
        <f>_xll.BDH("GILD US Equity","HISTORICAL_MARKET_CAP","FQ1 2024","FQ1 2024","Currency=USD","Period=FQ","BEST_FPERIOD_OVERRIDE=FQ","FILING_STATUS=MR","SCALING_FORMAT=MLN","Sort=A","Dates=H","DateFormat=P","Fill=—","Direction=H","UseDPDF=Y")</f>
        <v>91269.5</v>
      </c>
      <c r="V6" s="19">
        <f>_xll.BDH("GILD US Equity","HISTORICAL_MARKET_CAP","FQ2 2024","FQ2 2024","Currency=USD","Period=FQ","BEST_FPERIOD_OVERRIDE=FQ","FILING_STATUS=MR","SCALING_FORMAT=MLN","Sort=A","Dates=H","DateFormat=P","Fill=—","Direction=H","UseDPDF=Y")</f>
        <v>85488.06</v>
      </c>
      <c r="W6" s="19">
        <f>_xll.BDH("GILD US Equity","HISTORICAL_MARKET_CAP","FQ3 2024","FQ3 2024","Currency=USD","Period=FQ","BEST_FPERIOD_OVERRIDE=FQ","FILING_STATUS=MR","SCALING_FORMAT=MLN","Sort=A","Dates=H","DateFormat=P","Fill=—","Direction=H","UseDPDF=Y")</f>
        <v>104464.64</v>
      </c>
      <c r="X6" s="19">
        <f>_xll.BDH("GILD US Equity","HISTORICAL_MARKET_CAP","FQ4 2024","FQ4 2024","Currency=USD","Period=FQ","BEST_FPERIOD_OVERRIDE=FQ","FILING_STATUS=MR","SCALING_FORMAT=MLN","Sort=A","Dates=H","DateFormat=P","Fill=—","Direction=H","UseDPDF=Y")</f>
        <v>115093.02</v>
      </c>
      <c r="Y6" s="22">
        <v>139146.94211775</v>
      </c>
      <c r="Z6" s="19"/>
      <c r="AA6" s="19"/>
    </row>
    <row r="7" spans="1:27" x14ac:dyDescent="0.25">
      <c r="A7" s="10" t="s">
        <v>166</v>
      </c>
      <c r="B7" s="10" t="s">
        <v>63</v>
      </c>
      <c r="C7" s="13">
        <f>_xll.BDH("GILD US Equity","CASH_AND_MARKETABLE_SECURITIES","FQ3 2019","FQ3 2019","Currency=USD","Period=FQ","BEST_FPERIOD_OVERRIDE=FQ","FILING_STATUS=MR","SCALING_FORMAT=MLN","Sort=A","Dates=H","DateFormat=P","Fill=—","Direction=H","UseDPDF=Y")</f>
        <v>25051</v>
      </c>
      <c r="D7" s="13">
        <f>_xll.BDH("GILD US Equity","CASH_AND_MARKETABLE_SECURITIES","FQ4 2019","FQ4 2019","Currency=USD","Period=FQ","BEST_FPERIOD_OVERRIDE=FQ","FILING_STATUS=MR","SCALING_FORMAT=MLN","Sort=A","Dates=H","DateFormat=P","Fill=—","Direction=H","UseDPDF=Y")</f>
        <v>25840</v>
      </c>
      <c r="E7" s="13">
        <f>_xll.BDH("GILD US Equity","CASH_AND_MARKETABLE_SECURITIES","FQ1 2020","FQ1 2020","Currency=USD","Period=FQ","BEST_FPERIOD_OVERRIDE=FQ","FILING_STATUS=MR","SCALING_FORMAT=MLN","Sort=A","Dates=H","DateFormat=P","Fill=—","Direction=H","UseDPDF=Y")</f>
        <v>24314</v>
      </c>
      <c r="F7" s="13">
        <f>_xll.BDH("GILD US Equity","CASH_AND_MARKETABLE_SECURITIES","FQ2 2020","FQ2 2020","Currency=USD","Period=FQ","BEST_FPERIOD_OVERRIDE=FQ","FILING_STATUS=MR","SCALING_FORMAT=MLN","Sort=A","Dates=H","DateFormat=P","Fill=—","Direction=H","UseDPDF=Y")</f>
        <v>21190</v>
      </c>
      <c r="G7" s="13">
        <f>_xll.BDH("GILD US Equity","CASH_AND_MARKETABLE_SECURITIES","FQ3 2020","FQ3 2020","Currency=USD","Period=FQ","BEST_FPERIOD_OVERRIDE=FQ","FILING_STATUS=MR","SCALING_FORMAT=MLN","Sort=A","Dates=H","DateFormat=P","Fill=—","Direction=H","UseDPDF=Y")</f>
        <v>26049</v>
      </c>
      <c r="H7" s="13">
        <f>_xll.BDH("GILD US Equity","CASH_AND_MARKETABLE_SECURITIES","FQ4 2020","FQ4 2020","Currency=USD","Period=FQ","BEST_FPERIOD_OVERRIDE=FQ","FILING_STATUS=MR","SCALING_FORMAT=MLN","Sort=A","Dates=H","DateFormat=P","Fill=—","Direction=H","UseDPDF=Y")</f>
        <v>7910</v>
      </c>
      <c r="I7" s="13">
        <f>_xll.BDH("GILD US Equity","CASH_AND_MARKETABLE_SECURITIES","FQ1 2021","FQ1 2021","Currency=USD","Period=FQ","BEST_FPERIOD_OVERRIDE=FQ","FILING_STATUS=MR","SCALING_FORMAT=MLN","Sort=A","Dates=H","DateFormat=P","Fill=—","Direction=H","UseDPDF=Y")</f>
        <v>6245</v>
      </c>
      <c r="J7" s="13">
        <f>_xll.BDH("GILD US Equity","CASH_AND_MARKETABLE_SECURITIES","FQ2 2021","FQ2 2021","Currency=USD","Period=FQ","BEST_FPERIOD_OVERRIDE=FQ","FILING_STATUS=MR","SCALING_FORMAT=MLN","Sort=A","Dates=H","DateFormat=P","Fill=—","Direction=H","UseDPDF=Y")</f>
        <v>7361</v>
      </c>
      <c r="K7" s="13">
        <f>_xll.BDH("GILD US Equity","CASH_AND_MARKETABLE_SECURITIES","FQ3 2021","FQ3 2021","Currency=USD","Period=FQ","BEST_FPERIOD_OVERRIDE=FQ","FILING_STATUS=MR","SCALING_FORMAT=MLN","Sort=A","Dates=H","DateFormat=P","Fill=—","Direction=H","UseDPDF=Y")</f>
        <v>6837</v>
      </c>
      <c r="L7" s="13">
        <f>_xll.BDH("GILD US Equity","CASH_AND_MARKETABLE_SECURITIES","FQ4 2021","FQ4 2021","Currency=USD","Period=FQ","BEST_FPERIOD_OVERRIDE=FQ","FILING_STATUS=MR","SCALING_FORMAT=MLN","Sort=A","Dates=H","DateFormat=P","Fill=—","Direction=H","UseDPDF=Y")</f>
        <v>7829</v>
      </c>
      <c r="M7" s="13">
        <f>_xll.BDH("GILD US Equity","CASH_AND_MARKETABLE_SECURITIES","FQ1 2022","FQ1 2022","Currency=USD","Period=FQ","BEST_FPERIOD_OVERRIDE=FQ","FILING_STATUS=MR","SCALING_FORMAT=MLN","Sort=A","Dates=H","DateFormat=P","Fill=—","Direction=H","UseDPDF=Y")</f>
        <v>6752</v>
      </c>
      <c r="N7" s="13">
        <f>_xll.BDH("GILD US Equity","CASH_AND_MARKETABLE_SECURITIES","FQ2 2022","FQ2 2022","Currency=USD","Period=FQ","BEST_FPERIOD_OVERRIDE=FQ","FILING_STATUS=MR","SCALING_FORMAT=MLN","Sort=A","Dates=H","DateFormat=P","Fill=—","Direction=H","UseDPDF=Y")</f>
        <v>7000</v>
      </c>
      <c r="O7" s="13">
        <f>_xll.BDH("GILD US Equity","CASH_AND_MARKETABLE_SECURITIES","FQ3 2022","FQ3 2022","Currency=USD","Period=FQ","BEST_FPERIOD_OVERRIDE=FQ","FILING_STATUS=MR","SCALING_FORMAT=MLN","Sort=A","Dates=H","DateFormat=P","Fill=—","Direction=H","UseDPDF=Y")</f>
        <v>6942</v>
      </c>
      <c r="P7" s="13">
        <f>_xll.BDH("GILD US Equity","CASH_AND_MARKETABLE_SECURITIES","FQ4 2022","FQ4 2022","Currency=USD","Period=FQ","BEST_FPERIOD_OVERRIDE=FQ","FILING_STATUS=MR","SCALING_FORMAT=MLN","Sort=A","Dates=H","DateFormat=P","Fill=—","Direction=H","UseDPDF=Y")</f>
        <v>7630</v>
      </c>
      <c r="Q7" s="13">
        <f>_xll.BDH("GILD US Equity","CASH_AND_MARKETABLE_SECURITIES","FQ1 2023","FQ1 2023","Currency=USD","Period=FQ","BEST_FPERIOD_OVERRIDE=FQ","FILING_STATUS=MR","SCALING_FORMAT=MLN","Sort=A","Dates=H","DateFormat=P","Fill=—","Direction=H","UseDPDF=Y")</f>
        <v>7199</v>
      </c>
      <c r="R7" s="13">
        <f>_xll.BDH("GILD US Equity","CASH_AND_MARKETABLE_SECURITIES","FQ2 2023","FQ2 2023","Currency=USD","Period=FQ","BEST_FPERIOD_OVERRIDE=FQ","FILING_STATUS=MR","SCALING_FORMAT=MLN","Sort=A","Dates=H","DateFormat=P","Fill=—","Direction=H","UseDPDF=Y")</f>
        <v>8001</v>
      </c>
      <c r="S7" s="13">
        <f>_xll.BDH("GILD US Equity","CASH_AND_MARKETABLE_SECURITIES","FQ3 2023","FQ3 2023","Currency=USD","Period=FQ","BEST_FPERIOD_OVERRIDE=FQ","FILING_STATUS=MR","SCALING_FORMAT=MLN","Sort=A","Dates=H","DateFormat=P","Fill=—","Direction=H","UseDPDF=Y")</f>
        <v>8020</v>
      </c>
      <c r="T7" s="13">
        <f>_xll.BDH("GILD US Equity","CASH_AND_MARKETABLE_SECURITIES","FQ4 2023","FQ4 2023","Currency=USD","Period=FQ","BEST_FPERIOD_OVERRIDE=FQ","FILING_STATUS=MR","SCALING_FORMAT=MLN","Sort=A","Dates=H","DateFormat=P","Fill=—","Direction=H","UseDPDF=Y")</f>
        <v>8427</v>
      </c>
      <c r="U7" s="13">
        <f>_xll.BDH("GILD US Equity","CASH_AND_MARKETABLE_SECURITIES","FQ1 2024","FQ1 2024","Currency=USD","Period=FQ","BEST_FPERIOD_OVERRIDE=FQ","FILING_STATUS=MR","SCALING_FORMAT=MLN","Sort=A","Dates=H","DateFormat=P","Fill=—","Direction=H","UseDPDF=Y")</f>
        <v>4718</v>
      </c>
      <c r="V7" s="13">
        <f>_xll.BDH("GILD US Equity","CASH_AND_MARKETABLE_SECURITIES","FQ2 2024","FQ2 2024","Currency=USD","Period=FQ","BEST_FPERIOD_OVERRIDE=FQ","FILING_STATUS=MR","SCALING_FORMAT=MLN","Sort=A","Dates=H","DateFormat=P","Fill=—","Direction=H","UseDPDF=Y")</f>
        <v>2772</v>
      </c>
      <c r="W7" s="13">
        <f>_xll.BDH("GILD US Equity","CASH_AND_MARKETABLE_SECURITIES","FQ3 2024","FQ3 2024","Currency=USD","Period=FQ","BEST_FPERIOD_OVERRIDE=FQ","FILING_STATUS=MR","SCALING_FORMAT=MLN","Sort=A","Dates=H","DateFormat=P","Fill=—","Direction=H","UseDPDF=Y")</f>
        <v>5037</v>
      </c>
      <c r="X7" s="13">
        <f>_xll.BDH("GILD US Equity","CASH_AND_MARKETABLE_SECURITIES","FQ4 2024","FQ4 2024","Currency=USD","Period=FQ","BEST_FPERIOD_OVERRIDE=FQ","FILING_STATUS=MR","SCALING_FORMAT=MLN","Sort=A","Dates=H","DateFormat=P","Fill=—","Direction=H","UseDPDF=Y")</f>
        <v>9991</v>
      </c>
      <c r="Y7" s="16">
        <v>9991</v>
      </c>
      <c r="Z7" s="13"/>
      <c r="AA7" s="13"/>
    </row>
    <row r="8" spans="1:27" x14ac:dyDescent="0.25">
      <c r="A8" s="10" t="s">
        <v>167</v>
      </c>
      <c r="B8" s="10" t="s">
        <v>168</v>
      </c>
      <c r="C8" s="13">
        <f>_xll.BDH("GILD US Equity","PFD_EQTY_HYBRID_CAPITAL","FQ3 2019","FQ3 2019","Currency=USD","Period=FQ","BEST_FPERIOD_OVERRIDE=FQ","FILING_STATUS=MR","SCALING_FORMAT=MLN","Sort=A","Dates=H","DateFormat=P","Fill=—","Direction=H","UseDPDF=Y")</f>
        <v>0</v>
      </c>
      <c r="D8" s="13">
        <f>_xll.BDH("GILD US Equity","PFD_EQTY_HYBRID_CAPITAL","FQ4 2019","FQ4 2019","Currency=USD","Period=FQ","BEST_FPERIOD_OVERRIDE=FQ","FILING_STATUS=MR","SCALING_FORMAT=MLN","Sort=A","Dates=H","DateFormat=P","Fill=—","Direction=H","UseDPDF=Y")</f>
        <v>0</v>
      </c>
      <c r="E8" s="13">
        <f>_xll.BDH("GILD US Equity","PFD_EQTY_HYBRID_CAPITAL","FQ1 2020","FQ1 2020","Currency=USD","Period=FQ","BEST_FPERIOD_OVERRIDE=FQ","FILING_STATUS=MR","SCALING_FORMAT=MLN","Sort=A","Dates=H","DateFormat=P","Fill=—","Direction=H","UseDPDF=Y")</f>
        <v>0</v>
      </c>
      <c r="F8" s="13">
        <f>_xll.BDH("GILD US Equity","PFD_EQTY_HYBRID_CAPITAL","FQ2 2020","FQ2 2020","Currency=USD","Period=FQ","BEST_FPERIOD_OVERRIDE=FQ","FILING_STATUS=MR","SCALING_FORMAT=MLN","Sort=A","Dates=H","DateFormat=P","Fill=—","Direction=H","UseDPDF=Y")</f>
        <v>0</v>
      </c>
      <c r="G8" s="13">
        <f>_xll.BDH("GILD US Equity","PFD_EQTY_HYBRID_CAPITAL","FQ3 2020","FQ3 2020","Currency=USD","Period=FQ","BEST_FPERIOD_OVERRIDE=FQ","FILING_STATUS=MR","SCALING_FORMAT=MLN","Sort=A","Dates=H","DateFormat=P","Fill=—","Direction=H","UseDPDF=Y")</f>
        <v>0</v>
      </c>
      <c r="H8" s="13">
        <f>_xll.BDH("GILD US Equity","PFD_EQTY_HYBRID_CAPITAL","FQ4 2020","FQ4 2020","Currency=USD","Period=FQ","BEST_FPERIOD_OVERRIDE=FQ","FILING_STATUS=MR","SCALING_FORMAT=MLN","Sort=A","Dates=H","DateFormat=P","Fill=—","Direction=H","UseDPDF=Y")</f>
        <v>0</v>
      </c>
      <c r="I8" s="13">
        <f>_xll.BDH("GILD US Equity","PFD_EQTY_HYBRID_CAPITAL","FQ1 2021","FQ1 2021","Currency=USD","Period=FQ","BEST_FPERIOD_OVERRIDE=FQ","FILING_STATUS=MR","SCALING_FORMAT=MLN","Sort=A","Dates=H","DateFormat=P","Fill=—","Direction=H","UseDPDF=Y")</f>
        <v>0</v>
      </c>
      <c r="J8" s="13">
        <f>_xll.BDH("GILD US Equity","PFD_EQTY_HYBRID_CAPITAL","FQ2 2021","FQ2 2021","Currency=USD","Period=FQ","BEST_FPERIOD_OVERRIDE=FQ","FILING_STATUS=MR","SCALING_FORMAT=MLN","Sort=A","Dates=H","DateFormat=P","Fill=—","Direction=H","UseDPDF=Y")</f>
        <v>0</v>
      </c>
      <c r="K8" s="13">
        <f>_xll.BDH("GILD US Equity","PFD_EQTY_HYBRID_CAPITAL","FQ3 2021","FQ3 2021","Currency=USD","Period=FQ","BEST_FPERIOD_OVERRIDE=FQ","FILING_STATUS=MR","SCALING_FORMAT=MLN","Sort=A","Dates=H","DateFormat=P","Fill=—","Direction=H","UseDPDF=Y")</f>
        <v>0</v>
      </c>
      <c r="L8" s="13">
        <f>_xll.BDH("GILD US Equity","PFD_EQTY_HYBRID_CAPITAL","FQ4 2021","FQ4 2021","Currency=USD","Period=FQ","BEST_FPERIOD_OVERRIDE=FQ","FILING_STATUS=MR","SCALING_FORMAT=MLN","Sort=A","Dates=H","DateFormat=P","Fill=—","Direction=H","UseDPDF=Y")</f>
        <v>0</v>
      </c>
      <c r="M8" s="13">
        <f>_xll.BDH("GILD US Equity","PFD_EQTY_HYBRID_CAPITAL","FQ1 2022","FQ1 2022","Currency=USD","Period=FQ","BEST_FPERIOD_OVERRIDE=FQ","FILING_STATUS=MR","SCALING_FORMAT=MLN","Sort=A","Dates=H","DateFormat=P","Fill=—","Direction=H","UseDPDF=Y")</f>
        <v>0</v>
      </c>
      <c r="N8" s="13">
        <f>_xll.BDH("GILD US Equity","PFD_EQTY_HYBRID_CAPITAL","FQ2 2022","FQ2 2022","Currency=USD","Period=FQ","BEST_FPERIOD_OVERRIDE=FQ","FILING_STATUS=MR","SCALING_FORMAT=MLN","Sort=A","Dates=H","DateFormat=P","Fill=—","Direction=H","UseDPDF=Y")</f>
        <v>0</v>
      </c>
      <c r="O8" s="13">
        <f>_xll.BDH("GILD US Equity","PFD_EQTY_HYBRID_CAPITAL","FQ3 2022","FQ3 2022","Currency=USD","Period=FQ","BEST_FPERIOD_OVERRIDE=FQ","FILING_STATUS=MR","SCALING_FORMAT=MLN","Sort=A","Dates=H","DateFormat=P","Fill=—","Direction=H","UseDPDF=Y")</f>
        <v>0</v>
      </c>
      <c r="P8" s="13">
        <f>_xll.BDH("GILD US Equity","PFD_EQTY_HYBRID_CAPITAL","FQ4 2022","FQ4 2022","Currency=USD","Period=FQ","BEST_FPERIOD_OVERRIDE=FQ","FILING_STATUS=MR","SCALING_FORMAT=MLN","Sort=A","Dates=H","DateFormat=P","Fill=—","Direction=H","UseDPDF=Y")</f>
        <v>0</v>
      </c>
      <c r="Q8" s="13">
        <f>_xll.BDH("GILD US Equity","PFD_EQTY_HYBRID_CAPITAL","FQ1 2023","FQ1 2023","Currency=USD","Period=FQ","BEST_FPERIOD_OVERRIDE=FQ","FILING_STATUS=MR","SCALING_FORMAT=MLN","Sort=A","Dates=H","DateFormat=P","Fill=—","Direction=H","UseDPDF=Y")</f>
        <v>0</v>
      </c>
      <c r="R8" s="13">
        <f>_xll.BDH("GILD US Equity","PFD_EQTY_HYBRID_CAPITAL","FQ2 2023","FQ2 2023","Currency=USD","Period=FQ","BEST_FPERIOD_OVERRIDE=FQ","FILING_STATUS=MR","SCALING_FORMAT=MLN","Sort=A","Dates=H","DateFormat=P","Fill=—","Direction=H","UseDPDF=Y")</f>
        <v>0</v>
      </c>
      <c r="S8" s="13">
        <f>_xll.BDH("GILD US Equity","PFD_EQTY_HYBRID_CAPITAL","FQ3 2023","FQ3 2023","Currency=USD","Period=FQ","BEST_FPERIOD_OVERRIDE=FQ","FILING_STATUS=MR","SCALING_FORMAT=MLN","Sort=A","Dates=H","DateFormat=P","Fill=—","Direction=H","UseDPDF=Y")</f>
        <v>0</v>
      </c>
      <c r="T8" s="13">
        <f>_xll.BDH("GILD US Equity","PFD_EQTY_HYBRID_CAPITAL","FQ4 2023","FQ4 2023","Currency=USD","Period=FQ","BEST_FPERIOD_OVERRIDE=FQ","FILING_STATUS=MR","SCALING_FORMAT=MLN","Sort=A","Dates=H","DateFormat=P","Fill=—","Direction=H","UseDPDF=Y")</f>
        <v>0</v>
      </c>
      <c r="U8" s="13">
        <f>_xll.BDH("GILD US Equity","PFD_EQTY_HYBRID_CAPITAL","FQ1 2024","FQ1 2024","Currency=USD","Period=FQ","BEST_FPERIOD_OVERRIDE=FQ","FILING_STATUS=MR","SCALING_FORMAT=MLN","Sort=A","Dates=H","DateFormat=P","Fill=—","Direction=H","UseDPDF=Y")</f>
        <v>0</v>
      </c>
      <c r="V8" s="13">
        <f>_xll.BDH("GILD US Equity","PFD_EQTY_HYBRID_CAPITAL","FQ2 2024","FQ2 2024","Currency=USD","Period=FQ","BEST_FPERIOD_OVERRIDE=FQ","FILING_STATUS=MR","SCALING_FORMAT=MLN","Sort=A","Dates=H","DateFormat=P","Fill=—","Direction=H","UseDPDF=Y")</f>
        <v>0</v>
      </c>
      <c r="W8" s="13">
        <f>_xll.BDH("GILD US Equity","PFD_EQTY_HYBRID_CAPITAL","FQ3 2024","FQ3 2024","Currency=USD","Period=FQ","BEST_FPERIOD_OVERRIDE=FQ","FILING_STATUS=MR","SCALING_FORMAT=MLN","Sort=A","Dates=H","DateFormat=P","Fill=—","Direction=H","UseDPDF=Y")</f>
        <v>0</v>
      </c>
      <c r="X8" s="13">
        <f>_xll.BDH("GILD US Equity","PFD_EQTY_HYBRID_CAPITAL","FQ4 2024","FQ4 2024","Currency=USD","Period=FQ","BEST_FPERIOD_OVERRIDE=FQ","FILING_STATUS=MR","SCALING_FORMAT=MLN","Sort=A","Dates=H","DateFormat=P","Fill=—","Direction=H","UseDPDF=Y")</f>
        <v>0</v>
      </c>
      <c r="Y8" s="16">
        <v>0</v>
      </c>
      <c r="Z8" s="13"/>
      <c r="AA8" s="13"/>
    </row>
    <row r="9" spans="1:27" x14ac:dyDescent="0.25">
      <c r="A9" s="10" t="s">
        <v>169</v>
      </c>
      <c r="B9" s="10" t="s">
        <v>170</v>
      </c>
      <c r="C9" s="13">
        <f>_xll.BDH("GILD US Equity","MINORITY_NONCONTROLLING_INTEREST","FQ3 2019","FQ3 2019","Currency=USD","Period=FQ","BEST_FPERIOD_OVERRIDE=FQ","FILING_STATUS=MR","SCALING_FORMAT=MLN","Sort=A","Dates=H","DateFormat=P","Fill=—","Direction=H","UseDPDF=Y")</f>
        <v>132</v>
      </c>
      <c r="D9" s="13">
        <f>_xll.BDH("GILD US Equity","MINORITY_NONCONTROLLING_INTEREST","FQ4 2019","FQ4 2019","Currency=USD","Period=FQ","BEST_FPERIOD_OVERRIDE=FQ","FILING_STATUS=MR","SCALING_FORMAT=MLN","Sort=A","Dates=H","DateFormat=P","Fill=—","Direction=H","UseDPDF=Y")</f>
        <v>125</v>
      </c>
      <c r="E9" s="13">
        <f>_xll.BDH("GILD US Equity","MINORITY_NONCONTROLLING_INTEREST","FQ1 2020","FQ1 2020","Currency=USD","Period=FQ","BEST_FPERIOD_OVERRIDE=FQ","FILING_STATUS=MR","SCALING_FORMAT=MLN","Sort=A","Dates=H","DateFormat=P","Fill=—","Direction=H","UseDPDF=Y")</f>
        <v>112</v>
      </c>
      <c r="F9" s="13">
        <f>_xll.BDH("GILD US Equity","MINORITY_NONCONTROLLING_INTEREST","FQ2 2020","FQ2 2020","Currency=USD","Period=FQ","BEST_FPERIOD_OVERRIDE=FQ","FILING_STATUS=MR","SCALING_FORMAT=MLN","Sort=A","Dates=H","DateFormat=P","Fill=—","Direction=H","UseDPDF=Y")</f>
        <v>115</v>
      </c>
      <c r="G9" s="13">
        <f>_xll.BDH("GILD US Equity","MINORITY_NONCONTROLLING_INTEREST","FQ3 2020","FQ3 2020","Currency=USD","Period=FQ","BEST_FPERIOD_OVERRIDE=FQ","FILING_STATUS=MR","SCALING_FORMAT=MLN","Sort=A","Dates=H","DateFormat=P","Fill=—","Direction=H","UseDPDF=Y")</f>
        <v>26</v>
      </c>
      <c r="H9" s="13">
        <f>_xll.BDH("GILD US Equity","MINORITY_NONCONTROLLING_INTEREST","FQ4 2020","FQ4 2020","Currency=USD","Period=FQ","BEST_FPERIOD_OVERRIDE=FQ","FILING_STATUS=MR","SCALING_FORMAT=MLN","Sort=A","Dates=H","DateFormat=P","Fill=—","Direction=H","UseDPDF=Y")</f>
        <v>19</v>
      </c>
      <c r="I9" s="13">
        <f>_xll.BDH("GILD US Equity","MINORITY_NONCONTROLLING_INTEREST","FQ1 2021","FQ1 2021","Currency=USD","Period=FQ","BEST_FPERIOD_OVERRIDE=FQ","FILING_STATUS=MR","SCALING_FORMAT=MLN","Sort=A","Dates=H","DateFormat=P","Fill=—","Direction=H","UseDPDF=Y")</f>
        <v>12</v>
      </c>
      <c r="J9" s="13">
        <f>_xll.BDH("GILD US Equity","MINORITY_NONCONTROLLING_INTEREST","FQ2 2021","FQ2 2021","Currency=USD","Period=FQ","BEST_FPERIOD_OVERRIDE=FQ","FILING_STATUS=MR","SCALING_FORMAT=MLN","Sort=A","Dates=H","DateFormat=P","Fill=—","Direction=H","UseDPDF=Y")</f>
        <v>7</v>
      </c>
      <c r="K9" s="13">
        <f>_xll.BDH("GILD US Equity","MINORITY_NONCONTROLLING_INTEREST","FQ3 2021","FQ3 2021","Currency=USD","Period=FQ","BEST_FPERIOD_OVERRIDE=FQ","FILING_STATUS=MR","SCALING_FORMAT=MLN","Sort=A","Dates=H","DateFormat=P","Fill=—","Direction=H","UseDPDF=Y")</f>
        <v>1</v>
      </c>
      <c r="L9" s="13">
        <f>_xll.BDH("GILD US Equity","MINORITY_NONCONTROLLING_INTEREST","FQ4 2021","FQ4 2021","Currency=USD","Period=FQ","BEST_FPERIOD_OVERRIDE=FQ","FILING_STATUS=MR","SCALING_FORMAT=MLN","Sort=A","Dates=H","DateFormat=P","Fill=—","Direction=H","UseDPDF=Y")</f>
        <v>-5</v>
      </c>
      <c r="M9" s="13">
        <f>_xll.BDH("GILD US Equity","MINORITY_NONCONTROLLING_INTEREST","FQ1 2022","FQ1 2022","Currency=USD","Period=FQ","BEST_FPERIOD_OVERRIDE=FQ","FILING_STATUS=MR","SCALING_FORMAT=MLN","Sort=A","Dates=H","DateFormat=P","Fill=—","Direction=H","UseDPDF=Y")</f>
        <v>-12</v>
      </c>
      <c r="N9" s="13">
        <f>_xll.BDH("GILD US Equity","MINORITY_NONCONTROLLING_INTEREST","FQ2 2022","FQ2 2022","Currency=USD","Period=FQ","BEST_FPERIOD_OVERRIDE=FQ","FILING_STATUS=MR","SCALING_FORMAT=MLN","Sort=A","Dates=H","DateFormat=P","Fill=—","Direction=H","UseDPDF=Y")</f>
        <v>-21</v>
      </c>
      <c r="O9" s="13">
        <f>_xll.BDH("GILD US Equity","MINORITY_NONCONTROLLING_INTEREST","FQ3 2022","FQ3 2022","Currency=USD","Period=FQ","BEST_FPERIOD_OVERRIDE=FQ","FILING_STATUS=MR","SCALING_FORMAT=MLN","Sort=A","Dates=H","DateFormat=P","Fill=—","Direction=H","UseDPDF=Y")</f>
        <v>-24</v>
      </c>
      <c r="P9" s="13">
        <f>_xll.BDH("GILD US Equity","MINORITY_NONCONTROLLING_INTEREST","FQ4 2022","FQ4 2022","Currency=USD","Period=FQ","BEST_FPERIOD_OVERRIDE=FQ","FILING_STATUS=MR","SCALING_FORMAT=MLN","Sort=A","Dates=H","DateFormat=P","Fill=—","Direction=H","UseDPDF=Y")</f>
        <v>-31</v>
      </c>
      <c r="Q9" s="13">
        <f>_xll.BDH("GILD US Equity","MINORITY_NONCONTROLLING_INTEREST","FQ1 2023","FQ1 2023","Currency=USD","Period=FQ","BEST_FPERIOD_OVERRIDE=FQ","FILING_STATUS=MR","SCALING_FORMAT=MLN","Sort=A","Dates=H","DateFormat=P","Fill=—","Direction=H","UseDPDF=Y")</f>
        <v>-58</v>
      </c>
      <c r="R9" s="13">
        <f>_xll.BDH("GILD US Equity","MINORITY_NONCONTROLLING_INTEREST","FQ2 2023","FQ2 2023","Currency=USD","Period=FQ","BEST_FPERIOD_OVERRIDE=FQ","FILING_STATUS=MR","SCALING_FORMAT=MLN","Sort=A","Dates=H","DateFormat=P","Fill=—","Direction=H","UseDPDF=Y")</f>
        <v>-64</v>
      </c>
      <c r="S9" s="13">
        <f>_xll.BDH("GILD US Equity","MINORITY_NONCONTROLLING_INTEREST","FQ3 2023","FQ3 2023","Currency=USD","Period=FQ","BEST_FPERIOD_OVERRIDE=FQ","FILING_STATUS=MR","SCALING_FORMAT=MLN","Sort=A","Dates=H","DateFormat=P","Fill=—","Direction=H","UseDPDF=Y")</f>
        <v>-72</v>
      </c>
      <c r="T9" s="13">
        <f>_xll.BDH("GILD US Equity","MINORITY_NONCONTROLLING_INTEREST","FQ4 2023","FQ4 2023","Currency=USD","Period=FQ","BEST_FPERIOD_OVERRIDE=FQ","FILING_STATUS=MR","SCALING_FORMAT=MLN","Sort=A","Dates=H","DateFormat=P","Fill=—","Direction=H","UseDPDF=Y")</f>
        <v>-84</v>
      </c>
      <c r="U9" s="13">
        <f>_xll.BDH("GILD US Equity","MINORITY_NONCONTROLLING_INTEREST","FQ1 2024","FQ1 2024","Currency=USD","Period=FQ","BEST_FPERIOD_OVERRIDE=FQ","FILING_STATUS=MR","SCALING_FORMAT=MLN","Sort=A","Dates=H","DateFormat=P","Fill=—","Direction=H","UseDPDF=Y")</f>
        <v>-84</v>
      </c>
      <c r="V9" s="13">
        <f>_xll.BDH("GILD US Equity","MINORITY_NONCONTROLLING_INTEREST","FQ2 2024","FQ2 2024","Currency=USD","Period=FQ","BEST_FPERIOD_OVERRIDE=FQ","FILING_STATUS=MR","SCALING_FORMAT=MLN","Sort=A","Dates=H","DateFormat=P","Fill=—","Direction=H","UseDPDF=Y")</f>
        <v>-84</v>
      </c>
      <c r="W9" s="13">
        <f>_xll.BDH("GILD US Equity","MINORITY_NONCONTROLLING_INTEREST","FQ3 2024","FQ3 2024","Currency=USD","Period=FQ","BEST_FPERIOD_OVERRIDE=FQ","FILING_STATUS=MR","SCALING_FORMAT=MLN","Sort=A","Dates=H","DateFormat=P","Fill=—","Direction=H","UseDPDF=Y")</f>
        <v>-84</v>
      </c>
      <c r="X9" s="13">
        <f>_xll.BDH("GILD US Equity","MINORITY_NONCONTROLLING_INTEREST","FQ4 2024","FQ4 2024","Currency=USD","Period=FQ","BEST_FPERIOD_OVERRIDE=FQ","FILING_STATUS=MR","SCALING_FORMAT=MLN","Sort=A","Dates=H","DateFormat=P","Fill=—","Direction=H","UseDPDF=Y")</f>
        <v>-84</v>
      </c>
      <c r="Y9" s="16">
        <v>-84</v>
      </c>
      <c r="Z9" s="13"/>
      <c r="AA9" s="13"/>
    </row>
    <row r="10" spans="1:27" x14ac:dyDescent="0.25">
      <c r="A10" s="10" t="s">
        <v>171</v>
      </c>
      <c r="B10" s="10" t="s">
        <v>67</v>
      </c>
      <c r="C10" s="13">
        <f>_xll.BDH("GILD US Equity","SHORT_AND_LONG_TERM_DEBT","FQ3 2019","FQ3 2019","Currency=USD","Period=FQ","BEST_FPERIOD_OVERRIDE=FQ","FILING_STATUS=MR","SCALING_FORMAT=MLN","Sort=A","Dates=H","DateFormat=P","Fill=—","Direction=H","UseDPDF=Y")</f>
        <v>25300</v>
      </c>
      <c r="D10" s="13">
        <f>_xll.BDH("GILD US Equity","SHORT_AND_LONG_TERM_DEBT","FQ4 2019","FQ4 2019","Currency=USD","Period=FQ","BEST_FPERIOD_OVERRIDE=FQ","FILING_STATUS=MR","SCALING_FORMAT=MLN","Sort=A","Dates=H","DateFormat=P","Fill=—","Direction=H","UseDPDF=Y")</f>
        <v>25318</v>
      </c>
      <c r="E10" s="13">
        <f>_xll.BDH("GILD US Equity","SHORT_AND_LONG_TERM_DEBT","FQ1 2020","FQ1 2020","Currency=USD","Period=FQ","BEST_FPERIOD_OVERRIDE=FQ","FILING_STATUS=MR","SCALING_FORMAT=MLN","Sort=A","Dates=H","DateFormat=P","Fill=—","Direction=H","UseDPDF=Y")</f>
        <v>24097</v>
      </c>
      <c r="F10" s="13">
        <f>_xll.BDH("GILD US Equity","SHORT_AND_LONG_TERM_DEBT","FQ2 2020","FQ2 2020","Currency=USD","Period=FQ","BEST_FPERIOD_OVERRIDE=FQ","FILING_STATUS=MR","SCALING_FORMAT=MLN","Sort=A","Dates=H","DateFormat=P","Fill=—","Direction=H","UseDPDF=Y")</f>
        <v>24102</v>
      </c>
      <c r="G10" s="13">
        <f>_xll.BDH("GILD US Equity","SHORT_AND_LONG_TERM_DEBT","FQ3 2020","FQ3 2020","Currency=USD","Period=FQ","BEST_FPERIOD_OVERRIDE=FQ","FILING_STATUS=MR","SCALING_FORMAT=MLN","Sort=A","Dates=H","DateFormat=P","Fill=—","Direction=H","UseDPDF=Y")</f>
        <v>29290</v>
      </c>
      <c r="H10" s="13">
        <f>_xll.BDH("GILD US Equity","SHORT_AND_LONG_TERM_DEBT","FQ4 2020","FQ4 2020","Currency=USD","Period=FQ","BEST_FPERIOD_OVERRIDE=FQ","FILING_STATUS=MR","SCALING_FORMAT=MLN","Sort=A","Dates=H","DateFormat=P","Fill=—","Direction=H","UseDPDF=Y")</f>
        <v>32117</v>
      </c>
      <c r="I10" s="13">
        <f>_xll.BDH("GILD US Equity","SHORT_AND_LONG_TERM_DEBT","FQ1 2021","FQ1 2021","Currency=USD","Period=FQ","BEST_FPERIOD_OVERRIDE=FQ","FILING_STATUS=MR","SCALING_FORMAT=MLN","Sort=A","Dates=H","DateFormat=P","Fill=—","Direction=H","UseDPDF=Y")</f>
        <v>30166</v>
      </c>
      <c r="J10" s="13">
        <f>_xll.BDH("GILD US Equity","SHORT_AND_LONG_TERM_DEBT","FQ2 2021","FQ2 2021","Currency=USD","Period=FQ","BEST_FPERIOD_OVERRIDE=FQ","FILING_STATUS=MR","SCALING_FORMAT=MLN","Sort=A","Dates=H","DateFormat=P","Fill=—","Direction=H","UseDPDF=Y")</f>
        <v>30175</v>
      </c>
      <c r="K10" s="13">
        <f>_xll.BDH("GILD US Equity","SHORT_AND_LONG_TERM_DEBT","FQ3 2021","FQ3 2021","Currency=USD","Period=FQ","BEST_FPERIOD_OVERRIDE=FQ","FILING_STATUS=MR","SCALING_FORMAT=MLN","Sort=A","Dates=H","DateFormat=P","Fill=—","Direction=H","UseDPDF=Y")</f>
        <v>27686</v>
      </c>
      <c r="L10" s="13">
        <f>_xll.BDH("GILD US Equity","SHORT_AND_LONG_TERM_DEBT","FQ4 2021","FQ4 2021","Currency=USD","Period=FQ","BEST_FPERIOD_OVERRIDE=FQ","FILING_STATUS=MR","SCALING_FORMAT=MLN","Sort=A","Dates=H","DateFormat=P","Fill=—","Direction=H","UseDPDF=Y")</f>
        <v>27285</v>
      </c>
      <c r="M10" s="13">
        <f>_xll.BDH("GILD US Equity","SHORT_AND_LONG_TERM_DEBT","FQ1 2022","FQ1 2022","Currency=USD","Period=FQ","BEST_FPERIOD_OVERRIDE=FQ","FILING_STATUS=MR","SCALING_FORMAT=MLN","Sort=A","Dates=H","DateFormat=P","Fill=—","Direction=H","UseDPDF=Y")</f>
        <v>26208</v>
      </c>
      <c r="N10" s="13">
        <f>_xll.BDH("GILD US Equity","SHORT_AND_LONG_TERM_DEBT","FQ2 2022","FQ2 2022","Currency=USD","Period=FQ","BEST_FPERIOD_OVERRIDE=FQ","FILING_STATUS=MR","SCALING_FORMAT=MLN","Sort=A","Dates=H","DateFormat=P","Fill=—","Direction=H","UseDPDF=Y")</f>
        <v>26216</v>
      </c>
      <c r="O10" s="13">
        <f>_xll.BDH("GILD US Equity","SHORT_AND_LONG_TERM_DEBT","FQ3 2022","FQ3 2022","Currency=USD","Period=FQ","BEST_FPERIOD_OVERRIDE=FQ","FILING_STATUS=MR","SCALING_FORMAT=MLN","Sort=A","Dates=H","DateFormat=P","Fill=—","Direction=H","UseDPDF=Y")</f>
        <v>25223</v>
      </c>
      <c r="P10" s="13">
        <f>_xll.BDH("GILD US Equity","SHORT_AND_LONG_TERM_DEBT","FQ4 2022","FQ4 2022","Currency=USD","Period=FQ","BEST_FPERIOD_OVERRIDE=FQ","FILING_STATUS=MR","SCALING_FORMAT=MLN","Sort=A","Dates=H","DateFormat=P","Fill=—","Direction=H","UseDPDF=Y")</f>
        <v>25808</v>
      </c>
      <c r="Q10" s="13">
        <f>_xll.BDH("GILD US Equity","SHORT_AND_LONG_TERM_DEBT","FQ1 2023","FQ1 2023","Currency=USD","Period=FQ","BEST_FPERIOD_OVERRIDE=FQ","FILING_STATUS=MR","SCALING_FORMAT=MLN","Sort=A","Dates=H","DateFormat=P","Fill=—","Direction=H","UseDPDF=Y")</f>
        <v>25239</v>
      </c>
      <c r="R10" s="13">
        <f>_xll.BDH("GILD US Equity","SHORT_AND_LONG_TERM_DEBT","FQ2 2023","FQ2 2023","Currency=USD","Period=FQ","BEST_FPERIOD_OVERRIDE=FQ","FILING_STATUS=MR","SCALING_FORMAT=MLN","Sort=A","Dates=H","DateFormat=P","Fill=—","Direction=H","UseDPDF=Y")</f>
        <v>25246</v>
      </c>
      <c r="S10" s="13">
        <f>_xll.BDH("GILD US Equity","SHORT_AND_LONG_TERM_DEBT","FQ3 2023","FQ3 2023","Currency=USD","Period=FQ","BEST_FPERIOD_OVERRIDE=FQ","FILING_STATUS=MR","SCALING_FORMAT=MLN","Sort=A","Dates=H","DateFormat=P","Fill=—","Direction=H","UseDPDF=Y")</f>
        <v>24982</v>
      </c>
      <c r="T10" s="13">
        <f>_xll.BDH("GILD US Equity","SHORT_AND_LONG_TERM_DEBT","FQ4 2023","FQ4 2023","Currency=USD","Period=FQ","BEST_FPERIOD_OVERRIDE=FQ","FILING_STATUS=MR","SCALING_FORMAT=MLN","Sort=A","Dates=H","DateFormat=P","Fill=—","Direction=H","UseDPDF=Y")</f>
        <v>25658</v>
      </c>
      <c r="U10" s="13">
        <f>_xll.BDH("GILD US Equity","SHORT_AND_LONG_TERM_DEBT","FQ1 2024","FQ1 2024","Currency=USD","Period=FQ","BEST_FPERIOD_OVERRIDE=FQ","FILING_STATUS=MR","SCALING_FORMAT=MLN","Sort=A","Dates=H","DateFormat=P","Fill=—","Direction=H","UseDPDF=Y")</f>
        <v>25194</v>
      </c>
      <c r="V10" s="13">
        <f>_xll.BDH("GILD US Equity","SHORT_AND_LONG_TERM_DEBT","FQ2 2024","FQ2 2024","Currency=USD","Period=FQ","BEST_FPERIOD_OVERRIDE=FQ","FILING_STATUS=MR","SCALING_FORMAT=MLN","Sort=A","Dates=H","DateFormat=P","Fill=—","Direction=H","UseDPDF=Y")</f>
        <v>23350</v>
      </c>
      <c r="W10" s="13">
        <f>_xll.BDH("GILD US Equity","SHORT_AND_LONG_TERM_DEBT","FQ3 2024","FQ3 2024","Currency=USD","Period=FQ","BEST_FPERIOD_OVERRIDE=FQ","FILING_STATUS=MR","SCALING_FORMAT=MLN","Sort=A","Dates=H","DateFormat=P","Fill=—","Direction=H","UseDPDF=Y")</f>
        <v>23249</v>
      </c>
      <c r="X10" s="13">
        <f>_xll.BDH("GILD US Equity","SHORT_AND_LONG_TERM_DEBT","FQ4 2024","FQ4 2024","Currency=USD","Period=FQ","BEST_FPERIOD_OVERRIDE=FQ","FILING_STATUS=MR","SCALING_FORMAT=MLN","Sort=A","Dates=H","DateFormat=P","Fill=—","Direction=H","UseDPDF=Y")</f>
        <v>27322</v>
      </c>
      <c r="Y10" s="16">
        <v>27322</v>
      </c>
      <c r="Z10" s="13"/>
      <c r="AA10" s="13"/>
    </row>
    <row r="11" spans="1:27" x14ac:dyDescent="0.25">
      <c r="A11" s="6" t="s">
        <v>68</v>
      </c>
      <c r="B11" s="6" t="s">
        <v>69</v>
      </c>
      <c r="C11" s="19">
        <f>_xll.BDH("GILD US Equity","ENTERPRISE_VALUE","FQ3 2019","FQ3 2019","Currency=USD","Period=FQ","BEST_FPERIOD_OVERRIDE=FQ","FILING_STATUS=MR","SCALING_FORMAT=MLN","Sort=A","Dates=H","DateFormat=P","Fill=—","Direction=H","UseDPDF=Y")</f>
        <v>80620.08</v>
      </c>
      <c r="D11" s="19">
        <f>_xll.BDH("GILD US Equity","ENTERPRISE_VALUE","FQ4 2019","FQ4 2019","Currency=USD","Period=FQ","BEST_FPERIOD_OVERRIDE=FQ","FILING_STATUS=MR","SCALING_FORMAT=MLN","Sort=A","Dates=H","DateFormat=P","Fill=—","Direction=H","UseDPDF=Y")</f>
        <v>81867.679999999993</v>
      </c>
      <c r="E11" s="19">
        <f>_xll.BDH("GILD US Equity","ENTERPRISE_VALUE","FQ1 2020","FQ1 2020","Currency=USD","Period=FQ","BEST_FPERIOD_OVERRIDE=FQ","FILING_STATUS=MR","SCALING_FORMAT=MLN","Sort=A","Dates=H","DateFormat=P","Fill=—","Direction=H","UseDPDF=Y")</f>
        <v>93644.04</v>
      </c>
      <c r="F11" s="19">
        <f>_xll.BDH("GILD US Equity","ENTERPRISE_VALUE","FQ2 2020","FQ2 2020","Currency=USD","Period=FQ","BEST_FPERIOD_OVERRIDE=FQ","FILING_STATUS=MR","SCALING_FORMAT=MLN","Sort=A","Dates=H","DateFormat=P","Fill=—","Direction=H","UseDPDF=Y")</f>
        <v>99509.759999999995</v>
      </c>
      <c r="G11" s="19">
        <f>_xll.BDH("GILD US Equity","ENTERPRISE_VALUE","FQ3 2020","FQ3 2020","Currency=USD","Period=FQ","BEST_FPERIOD_OVERRIDE=FQ","FILING_STATUS=MR","SCALING_FORMAT=MLN","Sort=A","Dates=H","DateFormat=P","Fill=—","Direction=H","UseDPDF=Y")</f>
        <v>82444.070000000007</v>
      </c>
      <c r="H11" s="19">
        <f>_xll.BDH("GILD US Equity","ENTERPRISE_VALUE","FQ4 2020","FQ4 2020","Currency=USD","Period=FQ","BEST_FPERIOD_OVERRIDE=FQ","FILING_STATUS=MR","SCALING_FORMAT=MLN","Sort=A","Dates=H","DateFormat=P","Fill=—","Direction=H","UseDPDF=Y")</f>
        <v>97284.04</v>
      </c>
      <c r="I11" s="19">
        <f>_xll.BDH("GILD US Equity","ENTERPRISE_VALUE","FQ1 2021","FQ1 2021","Currency=USD","Period=FQ","BEST_FPERIOD_OVERRIDE=FQ","FILING_STATUS=MR","SCALING_FORMAT=MLN","Sort=A","Dates=H","DateFormat=P","Fill=—","Direction=H","UseDPDF=Y")</f>
        <v>104979.02</v>
      </c>
      <c r="J11" s="19">
        <f>_xll.BDH("GILD US Equity","ENTERPRISE_VALUE","FQ2 2021","FQ2 2021","Currency=USD","Period=FQ","BEST_FPERIOD_OVERRIDE=FQ","FILING_STATUS=MR","SCALING_FORMAT=MLN","Sort=A","Dates=H","DateFormat=P","Fill=—","Direction=H","UseDPDF=Y")</f>
        <v>109171.44</v>
      </c>
      <c r="K11" s="19">
        <f>_xll.BDH("GILD US Equity","ENTERPRISE_VALUE","FQ3 2021","FQ3 2021","Currency=USD","Period=FQ","BEST_FPERIOD_OVERRIDE=FQ","FILING_STATUS=MR","SCALING_FORMAT=MLN","Sort=A","Dates=H","DateFormat=P","Fill=—","Direction=H","UseDPDF=Y")</f>
        <v>108511.75</v>
      </c>
      <c r="L11" s="19">
        <f>_xll.BDH("GILD US Equity","ENTERPRISE_VALUE","FQ4 2021","FQ4 2021","Currency=USD","Period=FQ","BEST_FPERIOD_OVERRIDE=FQ","FILING_STATUS=MR","SCALING_FORMAT=MLN","Sort=A","Dates=H","DateFormat=P","Fill=—","Direction=H","UseDPDF=Y")</f>
        <v>110503.94</v>
      </c>
      <c r="M11" s="19">
        <f>_xll.BDH("GILD US Equity","ENTERPRISE_VALUE","FQ1 2022","FQ1 2022","Currency=USD","Period=FQ","BEST_FPERIOD_OVERRIDE=FQ","FILING_STATUS=MR","SCALING_FORMAT=MLN","Sort=A","Dates=H","DateFormat=P","Fill=—","Direction=H","UseDPDF=Y")</f>
        <v>94053.75</v>
      </c>
      <c r="N11" s="19">
        <f>_xll.BDH("GILD US Equity","ENTERPRISE_VALUE","FQ2 2022","FQ2 2022","Currency=USD","Period=FQ","BEST_FPERIOD_OVERRIDE=FQ","FILING_STATUS=MR","SCALING_FORMAT=MLN","Sort=A","Dates=H","DateFormat=P","Fill=—","Direction=H","UseDPDF=Y")</f>
        <v>96704.74</v>
      </c>
      <c r="O11" s="19">
        <f>_xll.BDH("GILD US Equity","ENTERPRISE_VALUE","FQ3 2022","FQ3 2022","Currency=USD","Period=FQ","BEST_FPERIOD_OVERRIDE=FQ","FILING_STATUS=MR","SCALING_FORMAT=MLN","Sort=A","Dates=H","DateFormat=P","Fill=—","Direction=H","UseDPDF=Y")</f>
        <v>95616.26</v>
      </c>
      <c r="P11" s="19">
        <f>_xll.BDH("GILD US Equity","ENTERPRISE_VALUE","FQ4 2022","FQ4 2022","Currency=USD","Period=FQ","BEST_FPERIOD_OVERRIDE=FQ","FILING_STATUS=MR","SCALING_FORMAT=MLN","Sort=A","Dates=H","DateFormat=P","Fill=—","Direction=H","UseDPDF=Y")</f>
        <v>125201.95</v>
      </c>
      <c r="Q11" s="19">
        <f>_xll.BDH("GILD US Equity","ENTERPRISE_VALUE","FQ1 2023","FQ1 2023","Currency=USD","Period=FQ","BEST_FPERIOD_OVERRIDE=FQ","FILING_STATUS=MR","SCALING_FORMAT=MLN","Sort=A","Dates=H","DateFormat=P","Fill=—","Direction=H","UseDPDF=Y")</f>
        <v>121528.56</v>
      </c>
      <c r="R11" s="19">
        <f>_xll.BDH("GILD US Equity","ENTERPRISE_VALUE","FQ2 2023","FQ2 2023","Currency=USD","Period=FQ","BEST_FPERIOD_OVERRIDE=FQ","FILING_STATUS=MR","SCALING_FORMAT=MLN","Sort=A","Dates=H","DateFormat=P","Fill=—","Direction=H","UseDPDF=Y")</f>
        <v>113287.29</v>
      </c>
      <c r="S11" s="19">
        <f>_xll.BDH("GILD US Equity","ENTERPRISE_VALUE","FQ3 2023","FQ3 2023","Currency=USD","Period=FQ","BEST_FPERIOD_OVERRIDE=FQ","FILING_STATUS=MR","SCALING_FORMAT=MLN","Sort=A","Dates=H","DateFormat=P","Fill=—","Direction=H","UseDPDF=Y")</f>
        <v>110340.18</v>
      </c>
      <c r="T11" s="19">
        <f>_xll.BDH("GILD US Equity","ENTERPRISE_VALUE","FQ4 2023","FQ4 2023","Currency=USD","Period=FQ","BEST_FPERIOD_OVERRIDE=FQ","FILING_STATUS=MR","SCALING_FORMAT=MLN","Sort=A","Dates=H","DateFormat=P","Fill=—","Direction=H","UseDPDF=Y")</f>
        <v>118085.46</v>
      </c>
      <c r="U11" s="19">
        <f>_xll.BDH("GILD US Equity","ENTERPRISE_VALUE","FQ1 2024","FQ1 2024","Currency=USD","Period=FQ","BEST_FPERIOD_OVERRIDE=FQ","FILING_STATUS=MR","SCALING_FORMAT=MLN","Sort=A","Dates=H","DateFormat=P","Fill=—","Direction=H","UseDPDF=Y")</f>
        <v>111661.5</v>
      </c>
      <c r="V11" s="19">
        <f>_xll.BDH("GILD US Equity","ENTERPRISE_VALUE","FQ2 2024","FQ2 2024","Currency=USD","Period=FQ","BEST_FPERIOD_OVERRIDE=FQ","FILING_STATUS=MR","SCALING_FORMAT=MLN","Sort=A","Dates=H","DateFormat=P","Fill=—","Direction=H","UseDPDF=Y")</f>
        <v>105982.06</v>
      </c>
      <c r="W11" s="19">
        <f>_xll.BDH("GILD US Equity","ENTERPRISE_VALUE","FQ3 2024","FQ3 2024","Currency=USD","Period=FQ","BEST_FPERIOD_OVERRIDE=FQ","FILING_STATUS=MR","SCALING_FORMAT=MLN","Sort=A","Dates=H","DateFormat=P","Fill=—","Direction=H","UseDPDF=Y")</f>
        <v>122592.64</v>
      </c>
      <c r="X11" s="19">
        <f>_xll.BDH("GILD US Equity","ENTERPRISE_VALUE","FQ4 2024","FQ4 2024","Currency=USD","Period=FQ","BEST_FPERIOD_OVERRIDE=FQ","FILING_STATUS=MR","SCALING_FORMAT=MLN","Sort=A","Dates=H","DateFormat=P","Fill=—","Direction=H","UseDPDF=Y")</f>
        <v>132340.01999999999</v>
      </c>
      <c r="Y11" s="22">
        <v>156393.94211775</v>
      </c>
      <c r="Z11" s="19"/>
      <c r="AA11" s="19"/>
    </row>
    <row r="12" spans="1:27" x14ac:dyDescent="0.25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21"/>
      <c r="Z12" s="18"/>
      <c r="AA12" s="18"/>
    </row>
    <row r="13" spans="1:27" x14ac:dyDescent="0.25">
      <c r="A13" s="6" t="s">
        <v>172</v>
      </c>
      <c r="B13" s="6" t="s">
        <v>173</v>
      </c>
      <c r="C13" s="19">
        <f>_xll.BDH("GILD US Equity","BS_TOT_CAP","FQ3 2019","FQ3 2019","Currency=USD","Period=FQ","BEST_FPERIOD_OVERRIDE=FQ","FILING_STATUS=MR","SCALING_FORMAT=MLN","Sort=A","Dates=H","DateFormat=P","Fill=—","Direction=H","UseDPDF=Y")</f>
        <v>46036</v>
      </c>
      <c r="D13" s="19">
        <f>_xll.BDH("GILD US Equity","BS_TOT_CAP","FQ4 2019","FQ4 2019","Currency=USD","Period=FQ","BEST_FPERIOD_OVERRIDE=FQ","FILING_STATUS=MR","SCALING_FORMAT=MLN","Sort=A","Dates=H","DateFormat=P","Fill=—","Direction=H","UseDPDF=Y")</f>
        <v>47968</v>
      </c>
      <c r="E13" s="19">
        <f>_xll.BDH("GILD US Equity","BS_TOT_CAP","FQ1 2020","FQ1 2020","Currency=USD","Period=FQ","BEST_FPERIOD_OVERRIDE=FQ","FILING_STATUS=MR","SCALING_FORMAT=MLN","Sort=A","Dates=H","DateFormat=P","Fill=—","Direction=H","UseDPDF=Y")</f>
        <v>46276</v>
      </c>
      <c r="F13" s="19">
        <f>_xll.BDH("GILD US Equity","BS_TOT_CAP","FQ2 2020","FQ2 2020","Currency=USD","Period=FQ","BEST_FPERIOD_OVERRIDE=FQ","FILING_STATUS=MR","SCALING_FORMAT=MLN","Sort=A","Dates=H","DateFormat=P","Fill=—","Direction=H","UseDPDF=Y")</f>
        <v>42244</v>
      </c>
      <c r="G13" s="19">
        <f>_xll.BDH("GILD US Equity","BS_TOT_CAP","FQ3 2020","FQ3 2020","Currency=USD","Period=FQ","BEST_FPERIOD_OVERRIDE=FQ","FILING_STATUS=MR","SCALING_FORMAT=MLN","Sort=A","Dates=H","DateFormat=P","Fill=—","Direction=H","UseDPDF=Y")</f>
        <v>46761</v>
      </c>
      <c r="H13" s="19">
        <f>_xll.BDH("GILD US Equity","BS_TOT_CAP","FQ4 2020","FQ4 2020","Currency=USD","Period=FQ","BEST_FPERIOD_OVERRIDE=FQ","FILING_STATUS=MR","SCALING_FORMAT=MLN","Sort=A","Dates=H","DateFormat=P","Fill=—","Direction=H","UseDPDF=Y")</f>
        <v>50338</v>
      </c>
      <c r="I13" s="19">
        <f>_xll.BDH("GILD US Equity","BS_TOT_CAP","FQ1 2021","FQ1 2021","Currency=USD","Period=FQ","BEST_FPERIOD_OVERRIDE=FQ","FILING_STATUS=MR","SCALING_FORMAT=MLN","Sort=A","Dates=H","DateFormat=P","Fill=—","Direction=H","UseDPDF=Y")</f>
        <v>49130</v>
      </c>
      <c r="J13" s="19">
        <f>_xll.BDH("GILD US Equity","BS_TOT_CAP","FQ2 2021","FQ2 2021","Currency=USD","Period=FQ","BEST_FPERIOD_OVERRIDE=FQ","FILING_STATUS=MR","SCALING_FORMAT=MLN","Sort=A","Dates=H","DateFormat=P","Fill=—","Direction=H","UseDPDF=Y")</f>
        <v>49885</v>
      </c>
      <c r="K13" s="19">
        <f>_xll.BDH("GILD US Equity","BS_TOT_CAP","FQ3 2021","FQ3 2021","Currency=USD","Period=FQ","BEST_FPERIOD_OVERRIDE=FQ","FILING_STATUS=MR","SCALING_FORMAT=MLN","Sort=A","Dates=H","DateFormat=P","Fill=—","Direction=H","UseDPDF=Y")</f>
        <v>49157</v>
      </c>
      <c r="L13" s="19">
        <f>_xll.BDH("GILD US Equity","BS_TOT_CAP","FQ4 2021","FQ4 2021","Currency=USD","Period=FQ","BEST_FPERIOD_OVERRIDE=FQ","FILING_STATUS=MR","SCALING_FORMAT=MLN","Sort=A","Dates=H","DateFormat=P","Fill=—","Direction=H","UseDPDF=Y")</f>
        <v>48349</v>
      </c>
      <c r="M13" s="19">
        <f>_xll.BDH("GILD US Equity","BS_TOT_CAP","FQ1 2022","FQ1 2022","Currency=USD","Period=FQ","BEST_FPERIOD_OVERRIDE=FQ","FILING_STATUS=MR","SCALING_FORMAT=MLN","Sort=A","Dates=H","DateFormat=P","Fill=—","Direction=H","UseDPDF=Y")</f>
        <v>46123</v>
      </c>
      <c r="N13" s="19">
        <f>_xll.BDH("GILD US Equity","BS_TOT_CAP","FQ2 2022","FQ2 2022","Currency=USD","Period=FQ","BEST_FPERIOD_OVERRIDE=FQ","FILING_STATUS=MR","SCALING_FORMAT=MLN","Sort=A","Dates=H","DateFormat=P","Fill=—","Direction=H","UseDPDF=Y")</f>
        <v>46431</v>
      </c>
      <c r="O13" s="19">
        <f>_xll.BDH("GILD US Equity","BS_TOT_CAP","FQ3 2022","FQ3 2022","Currency=USD","Period=FQ","BEST_FPERIOD_OVERRIDE=FQ","FILING_STATUS=MR","SCALING_FORMAT=MLN","Sort=A","Dates=H","DateFormat=P","Fill=—","Direction=H","UseDPDF=Y")</f>
        <v>46280</v>
      </c>
      <c r="P13" s="19">
        <f>_xll.BDH("GILD US Equity","BS_TOT_CAP","FQ4 2022","FQ4 2022","Currency=USD","Period=FQ","BEST_FPERIOD_OVERRIDE=FQ","FILING_STATUS=MR","SCALING_FORMAT=MLN","Sort=A","Dates=H","DateFormat=P","Fill=—","Direction=H","UseDPDF=Y")</f>
        <v>47017</v>
      </c>
      <c r="Q13" s="19">
        <f>_xll.BDH("GILD US Equity","BS_TOT_CAP","FQ1 2023","FQ1 2023","Currency=USD","Period=FQ","BEST_FPERIOD_OVERRIDE=FQ","FILING_STATUS=MR","SCALING_FORMAT=MLN","Sort=A","Dates=H","DateFormat=P","Fill=—","Direction=H","UseDPDF=Y")</f>
        <v>46178</v>
      </c>
      <c r="R13" s="19">
        <f>_xll.BDH("GILD US Equity","BS_TOT_CAP","FQ2 2023","FQ2 2023","Currency=USD","Period=FQ","BEST_FPERIOD_OVERRIDE=FQ","FILING_STATUS=MR","SCALING_FORMAT=MLN","Sort=A","Dates=H","DateFormat=P","Fill=—","Direction=H","UseDPDF=Y")</f>
        <v>46340</v>
      </c>
      <c r="S13" s="19">
        <f>_xll.BDH("GILD US Equity","BS_TOT_CAP","FQ3 2023","FQ3 2023","Currency=USD","Period=FQ","BEST_FPERIOD_OVERRIDE=FQ","FILING_STATUS=MR","SCALING_FORMAT=MLN","Sort=A","Dates=H","DateFormat=P","Fill=—","Direction=H","UseDPDF=Y")</f>
        <v>47225</v>
      </c>
      <c r="T13" s="19">
        <f>_xll.BDH("GILD US Equity","BS_TOT_CAP","FQ4 2023","FQ4 2023","Currency=USD","Period=FQ","BEST_FPERIOD_OVERRIDE=FQ","FILING_STATUS=MR","SCALING_FORMAT=MLN","Sort=A","Dates=H","DateFormat=P","Fill=—","Direction=H","UseDPDF=Y")</f>
        <v>48407</v>
      </c>
      <c r="U13" s="19">
        <f>_xll.BDH("GILD US Equity","BS_TOT_CAP","FQ1 2024","FQ1 2024","Currency=USD","Period=FQ","BEST_FPERIOD_OVERRIDE=FQ","FILING_STATUS=MR","SCALING_FORMAT=MLN","Sort=A","Dates=H","DateFormat=P","Fill=—","Direction=H","UseDPDF=Y")</f>
        <v>42649</v>
      </c>
      <c r="V13" s="19">
        <f>_xll.BDH("GILD US Equity","BS_TOT_CAP","FQ2 2024","FQ2 2024","Currency=USD","Period=FQ","BEST_FPERIOD_OVERRIDE=FQ","FILING_STATUS=MR","SCALING_FORMAT=MLN","Sort=A","Dates=H","DateFormat=P","Fill=—","Direction=H","UseDPDF=Y")</f>
        <v>41547</v>
      </c>
      <c r="W13" s="19">
        <f>_xll.BDH("GILD US Equity","BS_TOT_CAP","FQ3 2024","FQ3 2024","Currency=USD","Period=FQ","BEST_FPERIOD_OVERRIDE=FQ","FILING_STATUS=MR","SCALING_FORMAT=MLN","Sort=A","Dates=H","DateFormat=P","Fill=—","Direction=H","UseDPDF=Y")</f>
        <v>41639</v>
      </c>
      <c r="X13" s="19">
        <f>_xll.BDH("GILD US Equity","BS_TOT_CAP","FQ4 2024","FQ4 2024","Currency=USD","Period=FQ","BEST_FPERIOD_OVERRIDE=FQ","FILING_STATUS=MR","SCALING_FORMAT=MLN","Sort=A","Dates=H","DateFormat=P","Fill=—","Direction=H","UseDPDF=Y")</f>
        <v>46568</v>
      </c>
      <c r="Y13" s="22">
        <v>46568</v>
      </c>
      <c r="Z13" s="19"/>
      <c r="AA13" s="19"/>
    </row>
    <row r="14" spans="1:27" x14ac:dyDescent="0.25">
      <c r="A14" s="10" t="s">
        <v>174</v>
      </c>
      <c r="B14" s="10" t="s">
        <v>175</v>
      </c>
      <c r="C14" s="14">
        <f>_xll.BDH("GILD US Equity","TOT_DEBT_TO_TOT_CAP","FQ3 2019","FQ3 2019","Currency=USD","Period=FQ","BEST_FPERIOD_OVERRIDE=FQ","FILING_STATUS=MR","Sort=A","Dates=H","DateFormat=P","Fill=—","Direction=H","UseDPDF=Y")</f>
        <v>54.957000000000001</v>
      </c>
      <c r="D14" s="14">
        <f>_xll.BDH("GILD US Equity","TOT_DEBT_TO_TOT_CAP","FQ4 2019","FQ4 2019","Currency=USD","Period=FQ","BEST_FPERIOD_OVERRIDE=FQ","FILING_STATUS=MR","Sort=A","Dates=H","DateFormat=P","Fill=—","Direction=H","UseDPDF=Y")</f>
        <v>52.780999999999999</v>
      </c>
      <c r="E14" s="14">
        <f>_xll.BDH("GILD US Equity","TOT_DEBT_TO_TOT_CAP","FQ1 2020","FQ1 2020","Currency=USD","Period=FQ","BEST_FPERIOD_OVERRIDE=FQ","FILING_STATUS=MR","Sort=A","Dates=H","DateFormat=P","Fill=—","Direction=H","UseDPDF=Y")</f>
        <v>52.072299999999998</v>
      </c>
      <c r="F14" s="14">
        <f>_xll.BDH("GILD US Equity","TOT_DEBT_TO_TOT_CAP","FQ2 2020","FQ2 2020","Currency=USD","Period=FQ","BEST_FPERIOD_OVERRIDE=FQ","FILING_STATUS=MR","Sort=A","Dates=H","DateFormat=P","Fill=—","Direction=H","UseDPDF=Y")</f>
        <v>57.054299999999998</v>
      </c>
      <c r="G14" s="14">
        <f>_xll.BDH("GILD US Equity","TOT_DEBT_TO_TOT_CAP","FQ3 2020","FQ3 2020","Currency=USD","Period=FQ","BEST_FPERIOD_OVERRIDE=FQ","FILING_STATUS=MR","Sort=A","Dates=H","DateFormat=P","Fill=—","Direction=H","UseDPDF=Y")</f>
        <v>62.637700000000002</v>
      </c>
      <c r="H14" s="14">
        <f>_xll.BDH("GILD US Equity","TOT_DEBT_TO_TOT_CAP","FQ4 2020","FQ4 2020","Currency=USD","Period=FQ","BEST_FPERIOD_OVERRIDE=FQ","FILING_STATUS=MR","Sort=A","Dates=H","DateFormat=P","Fill=—","Direction=H","UseDPDF=Y")</f>
        <v>63.802700000000002</v>
      </c>
      <c r="I14" s="14">
        <f>_xll.BDH("GILD US Equity","TOT_DEBT_TO_TOT_CAP","FQ1 2021","FQ1 2021","Currency=USD","Period=FQ","BEST_FPERIOD_OVERRIDE=FQ","FILING_STATUS=MR","Sort=A","Dates=H","DateFormat=P","Fill=—","Direction=H","UseDPDF=Y")</f>
        <v>61.400399999999998</v>
      </c>
      <c r="J14" s="14">
        <f>_xll.BDH("GILD US Equity","TOT_DEBT_TO_TOT_CAP","FQ2 2021","FQ2 2021","Currency=USD","Period=FQ","BEST_FPERIOD_OVERRIDE=FQ","FILING_STATUS=MR","Sort=A","Dates=H","DateFormat=P","Fill=—","Direction=H","UseDPDF=Y")</f>
        <v>60.489100000000001</v>
      </c>
      <c r="K14" s="14">
        <f>_xll.BDH("GILD US Equity","TOT_DEBT_TO_TOT_CAP","FQ3 2021","FQ3 2021","Currency=USD","Period=FQ","BEST_FPERIOD_OVERRIDE=FQ","FILING_STATUS=MR","Sort=A","Dates=H","DateFormat=P","Fill=—","Direction=H","UseDPDF=Y")</f>
        <v>56.321599999999997</v>
      </c>
      <c r="L14" s="14">
        <f>_xll.BDH("GILD US Equity","TOT_DEBT_TO_TOT_CAP","FQ4 2021","FQ4 2021","Currency=USD","Period=FQ","BEST_FPERIOD_OVERRIDE=FQ","FILING_STATUS=MR","Sort=A","Dates=H","DateFormat=P","Fill=—","Direction=H","UseDPDF=Y")</f>
        <v>56.433399999999999</v>
      </c>
      <c r="M14" s="14">
        <f>_xll.BDH("GILD US Equity","TOT_DEBT_TO_TOT_CAP","FQ1 2022","FQ1 2022","Currency=USD","Period=FQ","BEST_FPERIOD_OVERRIDE=FQ","FILING_STATUS=MR","Sort=A","Dates=H","DateFormat=P","Fill=—","Direction=H","UseDPDF=Y")</f>
        <v>56.822000000000003</v>
      </c>
      <c r="N14" s="14">
        <f>_xll.BDH("GILD US Equity","TOT_DEBT_TO_TOT_CAP","FQ2 2022","FQ2 2022","Currency=USD","Period=FQ","BEST_FPERIOD_OVERRIDE=FQ","FILING_STATUS=MR","Sort=A","Dates=H","DateFormat=P","Fill=—","Direction=H","UseDPDF=Y")</f>
        <v>56.462299999999999</v>
      </c>
      <c r="O14" s="14">
        <f>_xll.BDH("GILD US Equity","TOT_DEBT_TO_TOT_CAP","FQ3 2022","FQ3 2022","Currency=USD","Period=FQ","BEST_FPERIOD_OVERRIDE=FQ","FILING_STATUS=MR","Sort=A","Dates=H","DateFormat=P","Fill=—","Direction=H","UseDPDF=Y")</f>
        <v>54.500900000000001</v>
      </c>
      <c r="P14" s="14">
        <f>_xll.BDH("GILD US Equity","TOT_DEBT_TO_TOT_CAP","FQ4 2022","FQ4 2022","Currency=USD","Period=FQ","BEST_FPERIOD_OVERRIDE=FQ","FILING_STATUS=MR","Sort=A","Dates=H","DateFormat=P","Fill=—","Direction=H","UseDPDF=Y")</f>
        <v>54.890799999999999</v>
      </c>
      <c r="Q14" s="14">
        <f>_xll.BDH("GILD US Equity","TOT_DEBT_TO_TOT_CAP","FQ1 2023","FQ1 2023","Currency=USD","Period=FQ","BEST_FPERIOD_OVERRIDE=FQ","FILING_STATUS=MR","Sort=A","Dates=H","DateFormat=P","Fill=—","Direction=H","UseDPDF=Y")</f>
        <v>54.655900000000003</v>
      </c>
      <c r="R14" s="14">
        <f>_xll.BDH("GILD US Equity","TOT_DEBT_TO_TOT_CAP","FQ2 2023","FQ2 2023","Currency=USD","Period=FQ","BEST_FPERIOD_OVERRIDE=FQ","FILING_STATUS=MR","Sort=A","Dates=H","DateFormat=P","Fill=—","Direction=H","UseDPDF=Y")</f>
        <v>54.479900000000001</v>
      </c>
      <c r="S14" s="14">
        <f>_xll.BDH("GILD US Equity","TOT_DEBT_TO_TOT_CAP","FQ3 2023","FQ3 2023","Currency=USD","Period=FQ","BEST_FPERIOD_OVERRIDE=FQ","FILING_STATUS=MR","Sort=A","Dates=H","DateFormat=P","Fill=—","Direction=H","UseDPDF=Y")</f>
        <v>52.899900000000002</v>
      </c>
      <c r="T14" s="14">
        <f>_xll.BDH("GILD US Equity","TOT_DEBT_TO_TOT_CAP","FQ4 2023","FQ4 2023","Currency=USD","Period=FQ","BEST_FPERIOD_OVERRIDE=FQ","FILING_STATUS=MR","Sort=A","Dates=H","DateFormat=P","Fill=—","Direction=H","UseDPDF=Y")</f>
        <v>53.0047</v>
      </c>
      <c r="U14" s="14">
        <f>_xll.BDH("GILD US Equity","TOT_DEBT_TO_TOT_CAP","FQ1 2024","FQ1 2024","Currency=USD","Period=FQ","BEST_FPERIOD_OVERRIDE=FQ","FILING_STATUS=MR","Sort=A","Dates=H","DateFormat=P","Fill=—","Direction=H","UseDPDF=Y")</f>
        <v>59.072899999999997</v>
      </c>
      <c r="V14" s="14">
        <f>_xll.BDH("GILD US Equity","TOT_DEBT_TO_TOT_CAP","FQ2 2024","FQ2 2024","Currency=USD","Period=FQ","BEST_FPERIOD_OVERRIDE=FQ","FILING_STATUS=MR","Sort=A","Dates=H","DateFormat=P","Fill=—","Direction=H","UseDPDF=Y")</f>
        <v>56.2014</v>
      </c>
      <c r="W14" s="14">
        <f>_xll.BDH("GILD US Equity","TOT_DEBT_TO_TOT_CAP","FQ3 2024","FQ3 2024","Currency=USD","Period=FQ","BEST_FPERIOD_OVERRIDE=FQ","FILING_STATUS=MR","Sort=A","Dates=H","DateFormat=P","Fill=—","Direction=H","UseDPDF=Y")</f>
        <v>55.834699999999998</v>
      </c>
      <c r="X14" s="14">
        <f>_xll.BDH("GILD US Equity","TOT_DEBT_TO_TOT_CAP","FQ4 2024","FQ4 2024","Currency=USD","Period=FQ","BEST_FPERIOD_OVERRIDE=FQ","FILING_STATUS=MR","Sort=A","Dates=H","DateFormat=P","Fill=—","Direction=H","UseDPDF=Y")</f>
        <v>58.671199999999999</v>
      </c>
      <c r="Y14" s="17">
        <v>58.671190517093301</v>
      </c>
      <c r="Z14" s="14"/>
      <c r="AA14" s="14"/>
    </row>
    <row r="15" spans="1:27" x14ac:dyDescent="0.25">
      <c r="A15" s="10" t="s">
        <v>176</v>
      </c>
      <c r="B15" s="10" t="s">
        <v>177</v>
      </c>
      <c r="C15" s="14">
        <f>_xll.BDH("GILD US Equity","TOTAL_DEBT_TO_EV","FQ3 2019","FQ3 2019","Currency=USD","Period=FQ","BEST_FPERIOD_OVERRIDE=FQ","FILING_STATUS=MR","Sort=A","Dates=H","DateFormat=P","Fill=—","Direction=H","UseDPDF=Y")</f>
        <v>0.31380000000000002</v>
      </c>
      <c r="D15" s="14">
        <f>_xll.BDH("GILD US Equity","TOTAL_DEBT_TO_EV","FQ4 2019","FQ4 2019","Currency=USD","Period=FQ","BEST_FPERIOD_OVERRIDE=FQ","FILING_STATUS=MR","Sort=A","Dates=H","DateFormat=P","Fill=—","Direction=H","UseDPDF=Y")</f>
        <v>0.30930000000000002</v>
      </c>
      <c r="E15" s="14">
        <f>_xll.BDH("GILD US Equity","TOTAL_DEBT_TO_EV","FQ1 2020","FQ1 2020","Currency=USD","Period=FQ","BEST_FPERIOD_OVERRIDE=FQ","FILING_STATUS=MR","Sort=A","Dates=H","DateFormat=P","Fill=—","Direction=H","UseDPDF=Y")</f>
        <v>0.25729999999999997</v>
      </c>
      <c r="F15" s="14">
        <f>_xll.BDH("GILD US Equity","TOTAL_DEBT_TO_EV","FQ2 2020","FQ2 2020","Currency=USD","Period=FQ","BEST_FPERIOD_OVERRIDE=FQ","FILING_STATUS=MR","Sort=A","Dates=H","DateFormat=P","Fill=—","Direction=H","UseDPDF=Y")</f>
        <v>0.2422</v>
      </c>
      <c r="G15" s="14">
        <f>_xll.BDH("GILD US Equity","TOTAL_DEBT_TO_EV","FQ3 2020","FQ3 2020","Currency=USD","Period=FQ","BEST_FPERIOD_OVERRIDE=FQ","FILING_STATUS=MR","Sort=A","Dates=H","DateFormat=P","Fill=—","Direction=H","UseDPDF=Y")</f>
        <v>0.3553</v>
      </c>
      <c r="H15" s="14">
        <f>_xll.BDH("GILD US Equity","TOTAL_DEBT_TO_EV","FQ4 2020","FQ4 2020","Currency=USD","Period=FQ","BEST_FPERIOD_OVERRIDE=FQ","FILING_STATUS=MR","Sort=A","Dates=H","DateFormat=P","Fill=—","Direction=H","UseDPDF=Y")</f>
        <v>0.3301</v>
      </c>
      <c r="I15" s="14">
        <f>_xll.BDH("GILD US Equity","TOTAL_DEBT_TO_EV","FQ1 2021","FQ1 2021","Currency=USD","Period=FQ","BEST_FPERIOD_OVERRIDE=FQ","FILING_STATUS=MR","Sort=A","Dates=H","DateFormat=P","Fill=—","Direction=H","UseDPDF=Y")</f>
        <v>0.28739999999999999</v>
      </c>
      <c r="J15" s="14">
        <f>_xll.BDH("GILD US Equity","TOTAL_DEBT_TO_EV","FQ2 2021","FQ2 2021","Currency=USD","Period=FQ","BEST_FPERIOD_OVERRIDE=FQ","FILING_STATUS=MR","Sort=A","Dates=H","DateFormat=P","Fill=—","Direction=H","UseDPDF=Y")</f>
        <v>0.27639999999999998</v>
      </c>
      <c r="K15" s="14">
        <f>_xll.BDH("GILD US Equity","TOTAL_DEBT_TO_EV","FQ3 2021","FQ3 2021","Currency=USD","Period=FQ","BEST_FPERIOD_OVERRIDE=FQ","FILING_STATUS=MR","Sort=A","Dates=H","DateFormat=P","Fill=—","Direction=H","UseDPDF=Y")</f>
        <v>0.25509999999999999</v>
      </c>
      <c r="L15" s="14">
        <f>_xll.BDH("GILD US Equity","TOTAL_DEBT_TO_EV","FQ4 2021","FQ4 2021","Currency=USD","Period=FQ","BEST_FPERIOD_OVERRIDE=FQ","FILING_STATUS=MR","Sort=A","Dates=H","DateFormat=P","Fill=—","Direction=H","UseDPDF=Y")</f>
        <v>0.24690000000000001</v>
      </c>
      <c r="M15" s="14">
        <f>_xll.BDH("GILD US Equity","TOTAL_DEBT_TO_EV","FQ1 2022","FQ1 2022","Currency=USD","Period=FQ","BEST_FPERIOD_OVERRIDE=FQ","FILING_STATUS=MR","Sort=A","Dates=H","DateFormat=P","Fill=—","Direction=H","UseDPDF=Y")</f>
        <v>0.27860000000000001</v>
      </c>
      <c r="N15" s="14">
        <f>_xll.BDH("GILD US Equity","TOTAL_DEBT_TO_EV","FQ2 2022","FQ2 2022","Currency=USD","Period=FQ","BEST_FPERIOD_OVERRIDE=FQ","FILING_STATUS=MR","Sort=A","Dates=H","DateFormat=P","Fill=—","Direction=H","UseDPDF=Y")</f>
        <v>0.27110000000000001</v>
      </c>
      <c r="O15" s="14">
        <f>_xll.BDH("GILD US Equity","TOTAL_DEBT_TO_EV","FQ3 2022","FQ3 2022","Currency=USD","Period=FQ","BEST_FPERIOD_OVERRIDE=FQ","FILING_STATUS=MR","Sort=A","Dates=H","DateFormat=P","Fill=—","Direction=H","UseDPDF=Y")</f>
        <v>0.26379999999999998</v>
      </c>
      <c r="P15" s="14">
        <f>_xll.BDH("GILD US Equity","TOTAL_DEBT_TO_EV","FQ4 2022","FQ4 2022","Currency=USD","Period=FQ","BEST_FPERIOD_OVERRIDE=FQ","FILING_STATUS=MR","Sort=A","Dates=H","DateFormat=P","Fill=—","Direction=H","UseDPDF=Y")</f>
        <v>0.20610000000000001</v>
      </c>
      <c r="Q15" s="14">
        <f>_xll.BDH("GILD US Equity","TOTAL_DEBT_TO_EV","FQ1 2023","FQ1 2023","Currency=USD","Period=FQ","BEST_FPERIOD_OVERRIDE=FQ","FILING_STATUS=MR","Sort=A","Dates=H","DateFormat=P","Fill=—","Direction=H","UseDPDF=Y")</f>
        <v>0.2077</v>
      </c>
      <c r="R15" s="14">
        <f>_xll.BDH("GILD US Equity","TOTAL_DEBT_TO_EV","FQ2 2023","FQ2 2023","Currency=USD","Period=FQ","BEST_FPERIOD_OVERRIDE=FQ","FILING_STATUS=MR","Sort=A","Dates=H","DateFormat=P","Fill=—","Direction=H","UseDPDF=Y")</f>
        <v>0.2228</v>
      </c>
      <c r="S15" s="14">
        <f>_xll.BDH("GILD US Equity","TOTAL_DEBT_TO_EV","FQ3 2023","FQ3 2023","Currency=USD","Period=FQ","BEST_FPERIOD_OVERRIDE=FQ","FILING_STATUS=MR","Sort=A","Dates=H","DateFormat=P","Fill=—","Direction=H","UseDPDF=Y")</f>
        <v>0.22639999999999999</v>
      </c>
      <c r="T15" s="14">
        <f>_xll.BDH("GILD US Equity","TOTAL_DEBT_TO_EV","FQ4 2023","FQ4 2023","Currency=USD","Period=FQ","BEST_FPERIOD_OVERRIDE=FQ","FILING_STATUS=MR","Sort=A","Dates=H","DateFormat=P","Fill=—","Direction=H","UseDPDF=Y")</f>
        <v>0.21729999999999999</v>
      </c>
      <c r="U15" s="14">
        <f>_xll.BDH("GILD US Equity","TOTAL_DEBT_TO_EV","FQ1 2024","FQ1 2024","Currency=USD","Period=FQ","BEST_FPERIOD_OVERRIDE=FQ","FILING_STATUS=MR","Sort=A","Dates=H","DateFormat=P","Fill=—","Direction=H","UseDPDF=Y")</f>
        <v>0.22559999999999999</v>
      </c>
      <c r="V15" s="14">
        <f>_xll.BDH("GILD US Equity","TOTAL_DEBT_TO_EV","FQ2 2024","FQ2 2024","Currency=USD","Period=FQ","BEST_FPERIOD_OVERRIDE=FQ","FILING_STATUS=MR","Sort=A","Dates=H","DateFormat=P","Fill=—","Direction=H","UseDPDF=Y")</f>
        <v>0.2203</v>
      </c>
      <c r="W15" s="14">
        <f>_xll.BDH("GILD US Equity","TOTAL_DEBT_TO_EV","FQ3 2024","FQ3 2024","Currency=USD","Period=FQ","BEST_FPERIOD_OVERRIDE=FQ","FILING_STATUS=MR","Sort=A","Dates=H","DateFormat=P","Fill=—","Direction=H","UseDPDF=Y")</f>
        <v>0.18959999999999999</v>
      </c>
      <c r="X15" s="14">
        <f>_xll.BDH("GILD US Equity","TOTAL_DEBT_TO_EV","FQ4 2024","FQ4 2024","Currency=USD","Period=FQ","BEST_FPERIOD_OVERRIDE=FQ","FILING_STATUS=MR","Sort=A","Dates=H","DateFormat=P","Fill=—","Direction=H","UseDPDF=Y")</f>
        <v>0.20649999999999999</v>
      </c>
      <c r="Y15" s="17">
        <v>0.174699861324738</v>
      </c>
      <c r="Z15" s="14"/>
      <c r="AA15" s="14"/>
    </row>
    <row r="16" spans="1:27" x14ac:dyDescent="0.25">
      <c r="A16" s="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21"/>
      <c r="Z16" s="18"/>
      <c r="AA16" s="18"/>
    </row>
    <row r="17" spans="1:27" x14ac:dyDescent="0.25">
      <c r="A17" s="6" t="s">
        <v>178</v>
      </c>
      <c r="B17" s="6" t="s">
        <v>179</v>
      </c>
      <c r="C17" s="20">
        <f>_xll.BDH("GILD US Equity","EV_TO_T12M_SALES","FQ3 2019","FQ3 2019","Currency=USD","Period=FQ","BEST_FPERIOD_OVERRIDE=FQ","FILING_STATUS=MR","FA_ADJUSTED=GAAP","Sort=A","Dates=H","DateFormat=P","Fill=—","Direction=H","UseDPDF=Y")</f>
        <v>3.6046999999999998</v>
      </c>
      <c r="D17" s="20">
        <f>_xll.BDH("GILD US Equity","EV_TO_T12M_SALES","FQ4 2019","FQ4 2019","Currency=USD","Period=FQ","BEST_FPERIOD_OVERRIDE=FQ","FILING_STATUS=MR","FA_ADJUSTED=GAAP","Sort=A","Dates=H","DateFormat=P","Fill=—","Direction=H","UseDPDF=Y")</f>
        <v>3.6467999999999998</v>
      </c>
      <c r="E17" s="20">
        <f>_xll.BDH("GILD US Equity","EV_TO_T12M_SALES","FQ1 2020","FQ1 2020","Currency=USD","Period=FQ","BEST_FPERIOD_OVERRIDE=FQ","FILING_STATUS=MR","FA_ADJUSTED=GAAP","Sort=A","Dates=H","DateFormat=P","Fill=—","Direction=H","UseDPDF=Y")</f>
        <v>4.1223999999999998</v>
      </c>
      <c r="F17" s="20">
        <f>_xll.BDH("GILD US Equity","EV_TO_T12M_SALES","FQ2 2020","FQ2 2020","Currency=USD","Period=FQ","BEST_FPERIOD_OVERRIDE=FQ","FILING_STATUS=MR","FA_ADJUSTED=GAAP","Sort=A","Dates=H","DateFormat=P","Fill=—","Direction=H","UseDPDF=Y")</f>
        <v>4.4877000000000002</v>
      </c>
      <c r="G17" s="20">
        <f>_xll.BDH("GILD US Equity","EV_TO_T12M_SALES","FQ3 2020","FQ3 2020","Currency=USD","Period=FQ","BEST_FPERIOD_OVERRIDE=FQ","FILING_STATUS=MR","FA_ADJUSTED=GAAP","Sort=A","Dates=H","DateFormat=P","Fill=—","Direction=H","UseDPDF=Y")</f>
        <v>3.5617999999999999</v>
      </c>
      <c r="H17" s="20">
        <f>_xll.BDH("GILD US Equity","EV_TO_T12M_SALES","FQ4 2020","FQ4 2020","Currency=USD","Period=FQ","BEST_FPERIOD_OVERRIDE=FQ","FILING_STATUS=MR","FA_ADJUSTED=GAAP","Sort=A","Dates=H","DateFormat=P","Fill=—","Direction=H","UseDPDF=Y")</f>
        <v>3.9403999999999999</v>
      </c>
      <c r="I17" s="20">
        <f>_xll.BDH("GILD US Equity","EV_TO_T12M_SALES","FQ1 2021","FQ1 2021","Currency=USD","Period=FQ","BEST_FPERIOD_OVERRIDE=FQ","FILING_STATUS=MR","FA_ADJUSTED=GAAP","Sort=A","Dates=H","DateFormat=P","Fill=—","Direction=H","UseDPDF=Y")</f>
        <v>4.1064999999999996</v>
      </c>
      <c r="J17" s="20">
        <f>_xll.BDH("GILD US Equity","EV_TO_T12M_SALES","FQ2 2021","FQ2 2021","Currency=USD","Period=FQ","BEST_FPERIOD_OVERRIDE=FQ","FILING_STATUS=MR","FA_ADJUSTED=GAAP","Sort=A","Dates=H","DateFormat=P","Fill=—","Direction=H","UseDPDF=Y")</f>
        <v>4.0983000000000001</v>
      </c>
      <c r="K17" s="20">
        <f>_xll.BDH("GILD US Equity","EV_TO_T12M_SALES","FQ3 2021","FQ3 2021","Currency=USD","Period=FQ","BEST_FPERIOD_OVERRIDE=FQ","FILING_STATUS=MR","FA_ADJUSTED=GAAP","Sort=A","Dates=H","DateFormat=P","Fill=—","Direction=H","UseDPDF=Y")</f>
        <v>3.9485000000000001</v>
      </c>
      <c r="L17" s="20">
        <f>_xll.BDH("GILD US Equity","EV_TO_T12M_SALES","FQ4 2021","FQ4 2021","Currency=USD","Period=FQ","BEST_FPERIOD_OVERRIDE=FQ","FILING_STATUS=MR","FA_ADJUSTED=GAAP","Sort=A","Dates=H","DateFormat=P","Fill=—","Direction=H","UseDPDF=Y")</f>
        <v>4.0469999999999997</v>
      </c>
      <c r="M17" s="20">
        <f>_xll.BDH("GILD US Equity","EV_TO_T12M_SALES","FQ1 2022","FQ1 2022","Currency=USD","Period=FQ","BEST_FPERIOD_OVERRIDE=FQ","FILING_STATUS=MR","FA_ADJUSTED=GAAP","Sort=A","Dates=H","DateFormat=P","Fill=—","Direction=H","UseDPDF=Y")</f>
        <v>3.4236</v>
      </c>
      <c r="N17" s="20">
        <f>_xll.BDH("GILD US Equity","EV_TO_T12M_SALES","FQ2 2022","FQ2 2022","Currency=USD","Period=FQ","BEST_FPERIOD_OVERRIDE=FQ","FILING_STATUS=MR","FA_ADJUSTED=GAAP","Sort=A","Dates=H","DateFormat=P","Fill=—","Direction=H","UseDPDF=Y")</f>
        <v>3.5146000000000002</v>
      </c>
      <c r="O17" s="20">
        <f>_xll.BDH("GILD US Equity","EV_TO_T12M_SALES","FQ3 2022","FQ3 2022","Currency=USD","Period=FQ","BEST_FPERIOD_OVERRIDE=FQ","FILING_STATUS=MR","FA_ADJUSTED=GAAP","Sort=A","Dates=H","DateFormat=P","Fill=—","Direction=H","UseDPDF=Y")</f>
        <v>3.5236000000000001</v>
      </c>
      <c r="P17" s="20">
        <f>_xll.BDH("GILD US Equity","EV_TO_T12M_SALES","FQ4 2022","FQ4 2022","Currency=USD","Period=FQ","BEST_FPERIOD_OVERRIDE=FQ","FILING_STATUS=MR","FA_ADJUSTED=GAAP","Sort=A","Dates=H","DateFormat=P","Fill=—","Direction=H","UseDPDF=Y")</f>
        <v>4.5892999999999997</v>
      </c>
      <c r="Q17" s="20">
        <f>_xll.BDH("GILD US Equity","EV_TO_T12M_SALES","FQ1 2023","FQ1 2023","Currency=USD","Period=FQ","BEST_FPERIOD_OVERRIDE=FQ","FILING_STATUS=MR","FA_ADJUSTED=GAAP","Sort=A","Dates=H","DateFormat=P","Fill=—","Direction=H","UseDPDF=Y")</f>
        <v>4.4939</v>
      </c>
      <c r="R17" s="20">
        <f>_xll.BDH("GILD US Equity","EV_TO_T12M_SALES","FQ2 2023","FQ2 2023","Currency=USD","Period=FQ","BEST_FPERIOD_OVERRIDE=FQ","FILING_STATUS=MR","FA_ADJUSTED=GAAP","Sort=A","Dates=H","DateFormat=P","Fill=—","Direction=H","UseDPDF=Y")</f>
        <v>4.1372999999999998</v>
      </c>
      <c r="S17" s="20">
        <f>_xll.BDH("GILD US Equity","EV_TO_T12M_SALES","FQ3 2023","FQ3 2023","Currency=USD","Period=FQ","BEST_FPERIOD_OVERRIDE=FQ","FILING_STATUS=MR","FA_ADJUSTED=GAAP","Sort=A","Dates=H","DateFormat=P","Fill=—","Direction=H","UseDPDF=Y")</f>
        <v>4.0282999999999998</v>
      </c>
      <c r="T17" s="20">
        <f>_xll.BDH("GILD US Equity","EV_TO_T12M_SALES","FQ4 2023","FQ4 2023","Currency=USD","Period=FQ","BEST_FPERIOD_OVERRIDE=FQ","FILING_STATUS=MR","FA_ADJUSTED=GAAP","Sort=A","Dates=H","DateFormat=P","Fill=—","Direction=H","UseDPDF=Y")</f>
        <v>4.3547000000000002</v>
      </c>
      <c r="U17" s="20">
        <f>_xll.BDH("GILD US Equity","EV_TO_T12M_SALES","FQ1 2024","FQ1 2024","Currency=USD","Period=FQ","BEST_FPERIOD_OVERRIDE=FQ","FILING_STATUS=MR","FA_ADJUSTED=GAAP","Sort=A","Dates=H","DateFormat=P","Fill=—","Direction=H","UseDPDF=Y")</f>
        <v>4.0677000000000003</v>
      </c>
      <c r="V17" s="20">
        <f>_xll.BDH("GILD US Equity","EV_TO_T12M_SALES","FQ2 2024","FQ2 2024","Currency=USD","Period=FQ","BEST_FPERIOD_OVERRIDE=FQ","FILING_STATUS=MR","FA_ADJUSTED=GAAP","Sort=A","Dates=H","DateFormat=P","Fill=—","Direction=H","UseDPDF=Y")</f>
        <v>3.8115999999999999</v>
      </c>
      <c r="W17" s="20">
        <f>_xll.BDH("GILD US Equity","EV_TO_T12M_SALES","FQ3 2024","FQ3 2024","Currency=USD","Period=FQ","BEST_FPERIOD_OVERRIDE=FQ","FILING_STATUS=MR","FA_ADJUSTED=GAAP","Sort=A","Dates=H","DateFormat=P","Fill=—","Direction=H","UseDPDF=Y")</f>
        <v>4.3319999999999999</v>
      </c>
      <c r="X17" s="20">
        <f>_xll.BDH("GILD US Equity","EV_TO_T12M_SALES","FQ4 2024","FQ4 2024","Currency=USD","Period=FQ","BEST_FPERIOD_OVERRIDE=FQ","FILING_STATUS=MR","FA_ADJUSTED=GAAP","Sort=A","Dates=H","DateFormat=P","Fill=—","Direction=H","UseDPDF=Y")</f>
        <v>4.6026999999999996</v>
      </c>
      <c r="Y17" s="23">
        <v>5.4390325560878496</v>
      </c>
      <c r="Z17" s="20">
        <v>5.45695183162844</v>
      </c>
      <c r="AA17" s="20">
        <v>5.4477737377299702</v>
      </c>
    </row>
    <row r="18" spans="1:27" x14ac:dyDescent="0.25">
      <c r="A18" s="6" t="s">
        <v>180</v>
      </c>
      <c r="B18" s="6" t="s">
        <v>181</v>
      </c>
      <c r="C18" s="20">
        <f>_xll.BDH("GILD US Equity","EV_TO_T12M_EBITDA","FQ3 2019","FQ3 2019","Currency=USD","Period=FQ","BEST_FPERIOD_OVERRIDE=FQ","FILING_STATUS=MR","FA_ADJUSTED=GAAP","Sort=A","Dates=H","DateFormat=P","Fill=—","Direction=H","UseDPDF=Y")</f>
        <v>13.647500000000001</v>
      </c>
      <c r="D18" s="20">
        <f>_xll.BDH("GILD US Equity","EV_TO_T12M_EBITDA","FQ4 2019","FQ4 2019","Currency=USD","Period=FQ","BEST_FPERIOD_OVERRIDE=FQ","FILING_STATUS=MR","FA_ADJUSTED=GAAP","Sort=A","Dates=H","DateFormat=P","Fill=—","Direction=H","UseDPDF=Y")</f>
        <v>13.987299999999999</v>
      </c>
      <c r="E18" s="20">
        <f>_xll.BDH("GILD US Equity","EV_TO_T12M_EBITDA","FQ1 2020","FQ1 2020","Currency=USD","Period=FQ","BEST_FPERIOD_OVERRIDE=FQ","FILING_STATUS=MR","FA_ADJUSTED=GAAP","Sort=A","Dates=H","DateFormat=P","Fill=—","Direction=H","UseDPDF=Y")</f>
        <v>15.6805</v>
      </c>
      <c r="F18" s="20">
        <f>_xll.BDH("GILD US Equity","EV_TO_T12M_EBITDA","FQ2 2020","FQ2 2020","Currency=USD","Period=FQ","BEST_FPERIOD_OVERRIDE=FQ","FILING_STATUS=MR","FA_ADJUSTED=GAAP","Sort=A","Dates=H","DateFormat=P","Fill=—","Direction=H","UseDPDF=Y")</f>
        <v>190.6317</v>
      </c>
      <c r="G18" s="20">
        <f>_xll.BDH("GILD US Equity","EV_TO_T12M_EBITDA","FQ3 2020","FQ3 2020","Currency=USD","Period=FQ","BEST_FPERIOD_OVERRIDE=FQ","FILING_STATUS=MR","FA_ADJUSTED=GAAP","Sort=A","Dates=H","DateFormat=P","Fill=—","Direction=H","UseDPDF=Y")</f>
        <v>20.819199999999999</v>
      </c>
      <c r="H18" s="20">
        <f>_xll.BDH("GILD US Equity","EV_TO_T12M_EBITDA","FQ4 2020","FQ4 2020","Currency=USD","Period=FQ","BEST_FPERIOD_OVERRIDE=FQ","FILING_STATUS=MR","FA_ADJUSTED=GAAP","Sort=A","Dates=H","DateFormat=P","Fill=—","Direction=H","UseDPDF=Y")</f>
        <v>17.525500000000001</v>
      </c>
      <c r="I18" s="20">
        <f>_xll.BDH("GILD US Equity","EV_TO_T12M_EBITDA","FQ1 2021","FQ1 2021","Currency=USD","Period=FQ","BEST_FPERIOD_OVERRIDE=FQ","FILING_STATUS=MR","FA_ADJUSTED=GAAP","Sort=A","Dates=H","DateFormat=P","Fill=—","Direction=H","UseDPDF=Y")</f>
        <v>17.033799999999999</v>
      </c>
      <c r="J18" s="20">
        <f>_xll.BDH("GILD US Equity","EV_TO_T12M_EBITDA","FQ2 2021","FQ2 2021","Currency=USD","Period=FQ","BEST_FPERIOD_OVERRIDE=FQ","FILING_STATUS=MR","FA_ADJUSTED=GAAP","Sort=A","Dates=H","DateFormat=P","Fill=—","Direction=H","UseDPDF=Y")</f>
        <v>9.4422999999999995</v>
      </c>
      <c r="K18" s="20">
        <f>_xll.BDH("GILD US Equity","EV_TO_T12M_EBITDA","FQ3 2021","FQ3 2021","Currency=USD","Period=FQ","BEST_FPERIOD_OVERRIDE=FQ","FILING_STATUS=MR","FA_ADJUSTED=GAAP","Sort=A","Dates=H","DateFormat=P","Fill=—","Direction=H","UseDPDF=Y")</f>
        <v>7.9958999999999998</v>
      </c>
      <c r="L18" s="20">
        <f>_xll.BDH("GILD US Equity","EV_TO_T12M_EBITDA","FQ4 2021","FQ4 2021","Currency=USD","Period=FQ","BEST_FPERIOD_OVERRIDE=FQ","FILING_STATUS=MR","FA_ADJUSTED=GAAP","Sort=A","Dates=H","DateFormat=P","Fill=—","Direction=H","UseDPDF=Y")</f>
        <v>9.2332999999999998</v>
      </c>
      <c r="M18" s="20">
        <f>_xll.BDH("GILD US Equity","EV_TO_T12M_EBITDA","FQ1 2022","FQ1 2022","Currency=USD","Period=FQ","BEST_FPERIOD_OVERRIDE=FQ","FILING_STATUS=MR","FA_ADJUSTED=GAAP","Sort=A","Dates=H","DateFormat=P","Fill=—","Direction=H","UseDPDF=Y")</f>
        <v>10.084</v>
      </c>
      <c r="N18" s="20">
        <f>_xll.BDH("GILD US Equity","EV_TO_T12M_EBITDA","FQ2 2022","FQ2 2022","Currency=USD","Period=FQ","BEST_FPERIOD_OVERRIDE=FQ","FILING_STATUS=MR","FA_ADJUSTED=GAAP","Sort=A","Dates=H","DateFormat=P","Fill=—","Direction=H","UseDPDF=Y")</f>
        <v>10.6082</v>
      </c>
      <c r="O18" s="20">
        <f>_xll.BDH("GILD US Equity","EV_TO_T12M_EBITDA","FQ3 2022","FQ3 2022","Currency=USD","Period=FQ","BEST_FPERIOD_OVERRIDE=FQ","FILING_STATUS=MR","FA_ADJUSTED=GAAP","Sort=A","Dates=H","DateFormat=P","Fill=—","Direction=H","UseDPDF=Y")</f>
        <v>11.785600000000001</v>
      </c>
      <c r="P18" s="20">
        <f>_xll.BDH("GILD US Equity","EV_TO_T12M_EBITDA","FQ4 2022","FQ4 2022","Currency=USD","Period=FQ","BEST_FPERIOD_OVERRIDE=FQ","FILING_STATUS=MR","FA_ADJUSTED=GAAP","Sort=A","Dates=H","DateFormat=P","Fill=—","Direction=H","UseDPDF=Y")</f>
        <v>13.2728</v>
      </c>
      <c r="Q18" s="20">
        <f>_xll.BDH("GILD US Equity","EV_TO_T12M_EBITDA","FQ1 2023","FQ1 2023","Currency=USD","Period=FQ","BEST_FPERIOD_OVERRIDE=FQ","FILING_STATUS=MR","FA_ADJUSTED=GAAP","Sort=A","Dates=H","DateFormat=P","Fill=—","Direction=H","UseDPDF=Y")</f>
        <v>10.992100000000001</v>
      </c>
      <c r="R18" s="20">
        <f>_xll.BDH("GILD US Equity","EV_TO_T12M_EBITDA","FQ2 2023","FQ2 2023","Currency=USD","Period=FQ","BEST_FPERIOD_OVERRIDE=FQ","FILING_STATUS=MR","FA_ADJUSTED=GAAP","Sort=A","Dates=H","DateFormat=P","Fill=—","Direction=H","UseDPDF=Y")</f>
        <v>10.443099999999999</v>
      </c>
      <c r="S18" s="20">
        <f>_xll.BDH("GILD US Equity","EV_TO_T12M_EBITDA","FQ3 2023","FQ3 2023","Currency=USD","Period=FQ","BEST_FPERIOD_OVERRIDE=FQ","FILING_STATUS=MR","FA_ADJUSTED=GAAP","Sort=A","Dates=H","DateFormat=P","Fill=—","Direction=H","UseDPDF=Y")</f>
        <v>10.2233</v>
      </c>
      <c r="T18" s="20">
        <f>_xll.BDH("GILD US Equity","EV_TO_T12M_EBITDA","FQ4 2023","FQ4 2023","Currency=USD","Period=FQ","BEST_FPERIOD_OVERRIDE=FQ","FILING_STATUS=MR","FA_ADJUSTED=GAAP","Sort=A","Dates=H","DateFormat=P","Fill=—","Direction=H","UseDPDF=Y")</f>
        <v>11.466799999999999</v>
      </c>
      <c r="U18" s="20">
        <f>_xll.BDH("GILD US Equity","EV_TO_T12M_EBITDA","FQ1 2024","FQ1 2024","Currency=USD","Period=FQ","BEST_FPERIOD_OVERRIDE=FQ","FILING_STATUS=MR","FA_ADJUSTED=GAAP","Sort=A","Dates=H","DateFormat=P","Fill=—","Direction=H","UseDPDF=Y")</f>
        <v>25.8416</v>
      </c>
      <c r="V18" s="20">
        <f>_xll.BDH("GILD US Equity","EV_TO_T12M_EBITDA","FQ2 2024","FQ2 2024","Currency=USD","Period=FQ","BEST_FPERIOD_OVERRIDE=FQ","FILING_STATUS=MR","FA_ADJUSTED=GAAP","Sort=A","Dates=H","DateFormat=P","Fill=—","Direction=H","UseDPDF=Y")</f>
        <v>19.947700000000001</v>
      </c>
      <c r="W18" s="20">
        <f>_xll.BDH("GILD US Equity","EV_TO_T12M_EBITDA","FQ3 2024","FQ3 2024","Currency=USD","Period=FQ","BEST_FPERIOD_OVERRIDE=FQ","FILING_STATUS=MR","FA_ADJUSTED=GAAP","Sort=A","Dates=H","DateFormat=P","Fill=—","Direction=H","UseDPDF=Y")</f>
        <v>34.205500000000001</v>
      </c>
      <c r="X18" s="20">
        <f>_xll.BDH("GILD US Equity","EV_TO_T12M_EBITDA","FQ4 2024","FQ4 2024","Currency=USD","Period=FQ","BEST_FPERIOD_OVERRIDE=FQ","FILING_STATUS=MR","FA_ADJUSTED=GAAP","Sort=A","Dates=H","DateFormat=P","Fill=—","Direction=H","UseDPDF=Y")</f>
        <v>29.8871</v>
      </c>
      <c r="Y18" s="23">
        <v>34.057914224248698</v>
      </c>
      <c r="Z18" s="20">
        <v>10.136509223411499</v>
      </c>
      <c r="AA18" s="20">
        <v>9.8134077923714091</v>
      </c>
    </row>
    <row r="19" spans="1:27" x14ac:dyDescent="0.25">
      <c r="A19" s="6" t="s">
        <v>182</v>
      </c>
      <c r="B19" s="6" t="s">
        <v>183</v>
      </c>
      <c r="C19" s="20">
        <f>_xll.BDH("GILD US Equity","EV_TO_T12M_EBIT","FQ3 2019","FQ3 2019","Currency=USD","Period=FQ","BEST_FPERIOD_OVERRIDE=FQ","FILING_STATUS=MR","FA_ADJUSTED=GAAP","Sort=A","Dates=H","DateFormat=P","Fill=—","Direction=H","UseDPDF=Y")</f>
        <v>18.500499999999999</v>
      </c>
      <c r="D19" s="20">
        <f>_xll.BDH("GILD US Equity","EV_TO_T12M_EBIT","FQ4 2019","FQ4 2019","Currency=USD","Period=FQ","BEST_FPERIOD_OVERRIDE=FQ","FILING_STATUS=MR","FA_ADJUSTED=GAAP","Sort=A","Dates=H","DateFormat=P","Fill=—","Direction=H","UseDPDF=Y")</f>
        <v>19.003499999999999</v>
      </c>
      <c r="E19" s="20">
        <f>_xll.BDH("GILD US Equity","EV_TO_T12M_EBIT","FQ1 2020","FQ1 2020","Currency=USD","Period=FQ","BEST_FPERIOD_OVERRIDE=FQ","FILING_STATUS=MR","FA_ADJUSTED=GAAP","Sort=A","Dates=H","DateFormat=P","Fill=—","Direction=H","UseDPDF=Y")</f>
        <v>21.034199999999998</v>
      </c>
      <c r="F19" s="20" t="str">
        <f>_xll.BDH("GILD US Equity","EV_TO_T12M_EBIT","FQ2 2020","FQ2 2020","Currency=USD","Period=FQ","BEST_FPERIOD_OVERRIDE=FQ","FILING_STATUS=MR","FA_ADJUSTED=GAAP","Sort=A","Dates=H","DateFormat=P","Fill=—","Direction=H","UseDPDF=Y")</f>
        <v>—</v>
      </c>
      <c r="G19" s="20">
        <f>_xll.BDH("GILD US Equity","EV_TO_T12M_EBIT","FQ3 2020","FQ3 2020","Currency=USD","Period=FQ","BEST_FPERIOD_OVERRIDE=FQ","FILING_STATUS=MR","FA_ADJUSTED=GAAP","Sort=A","Dates=H","DateFormat=P","Fill=—","Direction=H","UseDPDF=Y")</f>
        <v>32.807000000000002</v>
      </c>
      <c r="H19" s="20">
        <f>_xll.BDH("GILD US Equity","EV_TO_T12M_EBIT","FQ4 2020","FQ4 2020","Currency=USD","Period=FQ","BEST_FPERIOD_OVERRIDE=FQ","FILING_STATUS=MR","FA_ADJUSTED=GAAP","Sort=A","Dates=H","DateFormat=P","Fill=—","Direction=H","UseDPDF=Y")</f>
        <v>23.896799999999999</v>
      </c>
      <c r="I19" s="20">
        <f>_xll.BDH("GILD US Equity","EV_TO_T12M_EBIT","FQ1 2021","FQ1 2021","Currency=USD","Period=FQ","BEST_FPERIOD_OVERRIDE=FQ","FILING_STATUS=MR","FA_ADJUSTED=GAAP","Sort=A","Dates=H","DateFormat=P","Fill=—","Direction=H","UseDPDF=Y")</f>
        <v>23.026800000000001</v>
      </c>
      <c r="J19" s="20">
        <f>_xll.BDH("GILD US Equity","EV_TO_T12M_EBIT","FQ2 2021","FQ2 2021","Currency=USD","Period=FQ","BEST_FPERIOD_OVERRIDE=FQ","FILING_STATUS=MR","FA_ADJUSTED=GAAP","Sort=A","Dates=H","DateFormat=P","Fill=—","Direction=H","UseDPDF=Y")</f>
        <v>11.153600000000001</v>
      </c>
      <c r="K19" s="20">
        <f>_xll.BDH("GILD US Equity","EV_TO_T12M_EBIT","FQ3 2021","FQ3 2021","Currency=USD","Period=FQ","BEST_FPERIOD_OVERRIDE=FQ","FILING_STATUS=MR","FA_ADJUSTED=GAAP","Sort=A","Dates=H","DateFormat=P","Fill=—","Direction=H","UseDPDF=Y")</f>
        <v>9.3310999999999993</v>
      </c>
      <c r="L19" s="20">
        <f>_xll.BDH("GILD US Equity","EV_TO_T12M_EBIT","FQ4 2021","FQ4 2021","Currency=USD","Period=FQ","BEST_FPERIOD_OVERRIDE=FQ","FILING_STATUS=MR","FA_ADJUSTED=GAAP","Sort=A","Dates=H","DateFormat=P","Fill=—","Direction=H","UseDPDF=Y")</f>
        <v>11.1418</v>
      </c>
      <c r="M19" s="20">
        <f>_xll.BDH("GILD US Equity","EV_TO_T12M_EBIT","FQ1 2022","FQ1 2022","Currency=USD","Period=FQ","BEST_FPERIOD_OVERRIDE=FQ","FILING_STATUS=MR","FA_ADJUSTED=GAAP","Sort=A","Dates=H","DateFormat=P","Fill=—","Direction=H","UseDPDF=Y")</f>
        <v>13.017799999999999</v>
      </c>
      <c r="N19" s="20">
        <f>_xll.BDH("GILD US Equity","EV_TO_T12M_EBIT","FQ2 2022","FQ2 2022","Currency=USD","Period=FQ","BEST_FPERIOD_OVERRIDE=FQ","FILING_STATUS=MR","FA_ADJUSTED=GAAP","Sort=A","Dates=H","DateFormat=P","Fill=—","Direction=H","UseDPDF=Y")</f>
        <v>13.799200000000001</v>
      </c>
      <c r="O19" s="20">
        <f>_xll.BDH("GILD US Equity","EV_TO_T12M_EBIT","FQ3 2022","FQ3 2022","Currency=USD","Period=FQ","BEST_FPERIOD_OVERRIDE=FQ","FILING_STATUS=MR","FA_ADJUSTED=GAAP","Sort=A","Dates=H","DateFormat=P","Fill=—","Direction=H","UseDPDF=Y")</f>
        <v>15.928100000000001</v>
      </c>
      <c r="P19" s="20">
        <f>_xll.BDH("GILD US Equity","EV_TO_T12M_EBIT","FQ4 2022","FQ4 2022","Currency=USD","Period=FQ","BEST_FPERIOD_OVERRIDE=FQ","FILING_STATUS=MR","FA_ADJUSTED=GAAP","Sort=A","Dates=H","DateFormat=P","Fill=—","Direction=H","UseDPDF=Y")</f>
        <v>17.0808</v>
      </c>
      <c r="Q19" s="20">
        <f>_xll.BDH("GILD US Equity","EV_TO_T12M_EBIT","FQ1 2023","FQ1 2023","Currency=USD","Period=FQ","BEST_FPERIOD_OVERRIDE=FQ","FILING_STATUS=MR","FA_ADJUSTED=GAAP","Sort=A","Dates=H","DateFormat=P","Fill=—","Direction=H","UseDPDF=Y")</f>
        <v>13.7507</v>
      </c>
      <c r="R19" s="20">
        <f>_xll.BDH("GILD US Equity","EV_TO_T12M_EBIT","FQ2 2023","FQ2 2023","Currency=USD","Period=FQ","BEST_FPERIOD_OVERRIDE=FQ","FILING_STATUS=MR","FA_ADJUSTED=GAAP","Sort=A","Dates=H","DateFormat=P","Fill=—","Direction=H","UseDPDF=Y")</f>
        <v>13.3688</v>
      </c>
      <c r="S19" s="20">
        <f>_xll.BDH("GILD US Equity","EV_TO_T12M_EBIT","FQ3 2023","FQ3 2023","Currency=USD","Period=FQ","BEST_FPERIOD_OVERRIDE=FQ","FILING_STATUS=MR","FA_ADJUSTED=GAAP","Sort=A","Dates=H","DateFormat=P","Fill=—","Direction=H","UseDPDF=Y")</f>
        <v>13.3584</v>
      </c>
      <c r="T19" s="20">
        <f>_xll.BDH("GILD US Equity","EV_TO_T12M_EBIT","FQ4 2023","FQ4 2023","Currency=USD","Period=FQ","BEST_FPERIOD_OVERRIDE=FQ","FILING_STATUS=MR","FA_ADJUSTED=GAAP","Sort=A","Dates=H","DateFormat=P","Fill=—","Direction=H","UseDPDF=Y")</f>
        <v>15.5273</v>
      </c>
      <c r="U19" s="20">
        <f>_xll.BDH("GILD US Equity","EV_TO_T12M_EBIT","FQ1 2024","FQ1 2024","Currency=USD","Period=FQ","BEST_FPERIOD_OVERRIDE=FQ","FILING_STATUS=MR","FA_ADJUSTED=GAAP","Sort=A","Dates=H","DateFormat=P","Fill=—","Direction=H","UseDPDF=Y")</f>
        <v>70.761399999999995</v>
      </c>
      <c r="V19" s="20">
        <f>_xll.BDH("GILD US Equity","EV_TO_T12M_EBIT","FQ2 2024","FQ2 2024","Currency=USD","Period=FQ","BEST_FPERIOD_OVERRIDE=FQ","FILING_STATUS=MR","FA_ADJUSTED=GAAP","Sort=A","Dates=H","DateFormat=P","Fill=—","Direction=H","UseDPDF=Y")</f>
        <v>41.447800000000001</v>
      </c>
      <c r="W19" s="20">
        <f>_xll.BDH("GILD US Equity","EV_TO_T12M_EBIT","FQ3 2024","FQ3 2024","Currency=USD","Period=FQ","BEST_FPERIOD_OVERRIDE=FQ","FILING_STATUS=MR","FA_ADJUSTED=GAAP","Sort=A","Dates=H","DateFormat=P","Fill=—","Direction=H","UseDPDF=Y")</f>
        <v>149.1395</v>
      </c>
      <c r="X19" s="20">
        <f>_xll.BDH("GILD US Equity","EV_TO_T12M_EBIT","FQ4 2024","FQ4 2024","Currency=USD","Period=FQ","BEST_FPERIOD_OVERRIDE=FQ","FILING_STATUS=MR","FA_ADJUSTED=GAAP","Sort=A","Dates=H","DateFormat=P","Fill=—","Direction=H","UseDPDF=Y")</f>
        <v>79.674899999999994</v>
      </c>
      <c r="Y19" s="23">
        <v>92.8924828941133</v>
      </c>
      <c r="Z19" s="20">
        <v>12.1586953212826</v>
      </c>
      <c r="AA19" s="20">
        <v>11.8119002947689</v>
      </c>
    </row>
    <row r="20" spans="1:27" x14ac:dyDescent="0.25">
      <c r="A20" s="6" t="s">
        <v>184</v>
      </c>
      <c r="B20" s="6" t="s">
        <v>185</v>
      </c>
      <c r="C20" s="20">
        <f>_xll.BDH("GILD US Equity","EV_TO_T12M_CASH_FLOW_FIRM","FQ3 2019","FQ3 2019","Currency=USD","Period=FQ","BEST_FPERIOD_OVERRIDE=FQ","FILING_STATUS=MR","FA_ADJUSTED=GAAP","Sort=A","Dates=H","DateFormat=P","Fill=—","Direction=H","UseDPDF=Y")</f>
        <v>8.2853999999999992</v>
      </c>
      <c r="D20" s="20" t="str">
        <f>_xll.BDH("GILD US Equity","EV_TO_T12M_CASH_FLOW_FIRM","FQ4 2019","FQ4 2019","Currency=USD","Period=FQ","BEST_FPERIOD_OVERRIDE=FQ","FILING_STATUS=MR","FA_ADJUSTED=GAAP","Sort=A","Dates=H","DateFormat=P","Fill=—","Direction=H","UseDPDF=Y")</f>
        <v>—</v>
      </c>
      <c r="E20" s="20" t="str">
        <f>_xll.BDH("GILD US Equity","EV_TO_T12M_CASH_FLOW_FIRM","FQ1 2020","FQ1 2020","Currency=USD","Period=FQ","BEST_FPERIOD_OVERRIDE=FQ","FILING_STATUS=MR","FA_ADJUSTED=GAAP","Sort=A","Dates=H","DateFormat=P","Fill=—","Direction=H","UseDPDF=Y")</f>
        <v>—</v>
      </c>
      <c r="F20" s="20" t="str">
        <f>_xll.BDH("GILD US Equity","EV_TO_T12M_CASH_FLOW_FIRM","FQ2 2020","FQ2 2020","Currency=USD","Period=FQ","BEST_FPERIOD_OVERRIDE=FQ","FILING_STATUS=MR","FA_ADJUSTED=GAAP","Sort=A","Dates=H","DateFormat=P","Fill=—","Direction=H","UseDPDF=Y")</f>
        <v>—</v>
      </c>
      <c r="G20" s="20">
        <f>_xll.BDH("GILD US Equity","EV_TO_T12M_CASH_FLOW_FIRM","FQ3 2020","FQ3 2020","Currency=USD","Period=FQ","BEST_FPERIOD_OVERRIDE=FQ","FILING_STATUS=MR","FA_ADJUSTED=GAAP","Sort=A","Dates=H","DateFormat=P","Fill=—","Direction=H","UseDPDF=Y")</f>
        <v>8.6722999999999999</v>
      </c>
      <c r="H20" s="20">
        <f>_xll.BDH("GILD US Equity","EV_TO_T12M_CASH_FLOW_FIRM","FQ4 2020","FQ4 2020","Currency=USD","Period=FQ","BEST_FPERIOD_OVERRIDE=FQ","FILING_STATUS=MR","FA_ADJUSTED=GAAP","Sort=A","Dates=H","DateFormat=P","Fill=—","Direction=H","UseDPDF=Y")</f>
        <v>11.8344</v>
      </c>
      <c r="I20" s="20">
        <f>_xll.BDH("GILD US Equity","EV_TO_T12M_CASH_FLOW_FIRM","FQ1 2021","FQ1 2021","Currency=USD","Period=FQ","BEST_FPERIOD_OVERRIDE=FQ","FILING_STATUS=MR","FA_ADJUSTED=GAAP","Sort=A","Dates=H","DateFormat=P","Fill=—","Direction=H","UseDPDF=Y")</f>
        <v>11.069699999999999</v>
      </c>
      <c r="J20" s="20">
        <f>_xll.BDH("GILD US Equity","EV_TO_T12M_CASH_FLOW_FIRM","FQ2 2021","FQ2 2021","Currency=USD","Period=FQ","BEST_FPERIOD_OVERRIDE=FQ","FILING_STATUS=MR","FA_ADJUSTED=GAAP","Sort=A","Dates=H","DateFormat=P","Fill=—","Direction=H","UseDPDF=Y")</f>
        <v>11.0626</v>
      </c>
      <c r="K20" s="20">
        <f>_xll.BDH("GILD US Equity","EV_TO_T12M_CASH_FLOW_FIRM","FQ3 2021","FQ3 2021","Currency=USD","Period=FQ","BEST_FPERIOD_OVERRIDE=FQ","FILING_STATUS=MR","FA_ADJUSTED=GAAP","Sort=A","Dates=H","DateFormat=P","Fill=—","Direction=H","UseDPDF=Y")</f>
        <v>9.9476999999999993</v>
      </c>
      <c r="L20" s="20">
        <f>_xll.BDH("GILD US Equity","EV_TO_T12M_CASH_FLOW_FIRM","FQ4 2021","FQ4 2021","Currency=USD","Period=FQ","BEST_FPERIOD_OVERRIDE=FQ","FILING_STATUS=MR","FA_ADJUSTED=GAAP","Sort=A","Dates=H","DateFormat=P","Fill=—","Direction=H","UseDPDF=Y")</f>
        <v>9.1071000000000009</v>
      </c>
      <c r="M20" s="20">
        <f>_xll.BDH("GILD US Equity","EV_TO_T12M_CASH_FLOW_FIRM","FQ1 2022","FQ1 2022","Currency=USD","Period=FQ","BEST_FPERIOD_OVERRIDE=FQ","FILING_STATUS=MR","FA_ADJUSTED=GAAP","Sort=A","Dates=H","DateFormat=P","Fill=—","Direction=H","UseDPDF=Y")</f>
        <v>8.2748000000000008</v>
      </c>
      <c r="N20" s="20">
        <f>_xll.BDH("GILD US Equity","EV_TO_T12M_CASH_FLOW_FIRM","FQ2 2022","FQ2 2022","Currency=USD","Period=FQ","BEST_FPERIOD_OVERRIDE=FQ","FILING_STATUS=MR","FA_ADJUSTED=GAAP","Sort=A","Dates=H","DateFormat=P","Fill=—","Direction=H","UseDPDF=Y")</f>
        <v>8.9400999999999993</v>
      </c>
      <c r="O20" s="20">
        <f>_xll.BDH("GILD US Equity","EV_TO_T12M_CASH_FLOW_FIRM","FQ3 2022","FQ3 2022","Currency=USD","Period=FQ","BEST_FPERIOD_OVERRIDE=FQ","FILING_STATUS=MR","FA_ADJUSTED=GAAP","Sort=A","Dates=H","DateFormat=P","Fill=—","Direction=H","UseDPDF=Y")</f>
        <v>9.1938999999999993</v>
      </c>
      <c r="P20" s="20">
        <f>_xll.BDH("GILD US Equity","EV_TO_T12M_CASH_FLOW_FIRM","FQ4 2022","FQ4 2022","Currency=USD","Period=FQ","BEST_FPERIOD_OVERRIDE=FQ","FILING_STATUS=MR","FA_ADJUSTED=GAAP","Sort=A","Dates=H","DateFormat=P","Fill=—","Direction=H","UseDPDF=Y")</f>
        <v>12.766500000000001</v>
      </c>
      <c r="Q20" s="20">
        <f>_xll.BDH("GILD US Equity","EV_TO_T12M_CASH_FLOW_FIRM","FQ1 2023","FQ1 2023","Currency=USD","Period=FQ","BEST_FPERIOD_OVERRIDE=FQ","FILING_STATUS=MR","FA_ADJUSTED=GAAP","Sort=A","Dates=H","DateFormat=P","Fill=—","Direction=H","UseDPDF=Y")</f>
        <v>12.5503</v>
      </c>
      <c r="R20" s="20">
        <f>_xll.BDH("GILD US Equity","EV_TO_T12M_CASH_FLOW_FIRM","FQ2 2023","FQ2 2023","Currency=USD","Period=FQ","BEST_FPERIOD_OVERRIDE=FQ","FILING_STATUS=MR","FA_ADJUSTED=GAAP","Sort=A","Dates=H","DateFormat=P","Fill=—","Direction=H","UseDPDF=Y")</f>
        <v>11.1174</v>
      </c>
      <c r="S20" s="20">
        <f>_xll.BDH("GILD US Equity","EV_TO_T12M_CASH_FLOW_FIRM","FQ3 2023","FQ3 2023","Currency=USD","Period=FQ","BEST_FPERIOD_OVERRIDE=FQ","FILING_STATUS=MR","FA_ADJUSTED=GAAP","Sort=A","Dates=H","DateFormat=P","Fill=—","Direction=H","UseDPDF=Y")</f>
        <v>12.066800000000001</v>
      </c>
      <c r="T20" s="20">
        <f>_xll.BDH("GILD US Equity","EV_TO_T12M_CASH_FLOW_FIRM","FQ4 2023","FQ4 2023","Currency=USD","Period=FQ","BEST_FPERIOD_OVERRIDE=FQ","FILING_STATUS=MR","FA_ADJUSTED=GAAP","Sort=A","Dates=H","DateFormat=P","Fill=—","Direction=H","UseDPDF=Y")</f>
        <v>13.4518</v>
      </c>
      <c r="U20" s="20">
        <f>_xll.BDH("GILD US Equity","EV_TO_T12M_CASH_FLOW_FIRM","FQ1 2024","FQ1 2024","Currency=USD","Period=FQ","BEST_FPERIOD_OVERRIDE=FQ","FILING_STATUS=MR","FA_ADJUSTED=GAAP","Sort=A","Dates=H","DateFormat=P","Fill=—","Direction=H","UseDPDF=Y")</f>
        <v>12.553699999999999</v>
      </c>
      <c r="V20" s="20">
        <f>_xll.BDH("GILD US Equity","EV_TO_T12M_CASH_FLOW_FIRM","FQ2 2024","FQ2 2024","Currency=USD","Period=FQ","BEST_FPERIOD_OVERRIDE=FQ","FILING_STATUS=MR","FA_ADJUSTED=GAAP","Sort=A","Dates=H","DateFormat=P","Fill=—","Direction=H","UseDPDF=Y")</f>
        <v>13.0481</v>
      </c>
      <c r="W20" s="20">
        <f>_xll.BDH("GILD US Equity","EV_TO_T12M_CASH_FLOW_FIRM","FQ3 2024","FQ3 2024","Currency=USD","Period=FQ","BEST_FPERIOD_OVERRIDE=FQ","FILING_STATUS=MR","FA_ADJUSTED=GAAP","Sort=A","Dates=H","DateFormat=P","Fill=—","Direction=H","UseDPDF=Y")</f>
        <v>11.5037</v>
      </c>
      <c r="X20" s="20">
        <f>_xll.BDH("GILD US Equity","EV_TO_T12M_CASH_FLOW_FIRM","FQ4 2024","FQ4 2024","Currency=USD","Period=FQ","BEST_FPERIOD_OVERRIDE=FQ","FILING_STATUS=MR","FA_ADJUSTED=GAAP","Sort=A","Dates=H","DateFormat=P","Fill=—","Direction=H","UseDPDF=Y")</f>
        <v>11.501899999999999</v>
      </c>
      <c r="Y20" s="23">
        <v>13.409784113525699</v>
      </c>
      <c r="Z20" s="20"/>
      <c r="AA20" s="20"/>
    </row>
    <row r="21" spans="1:27" x14ac:dyDescent="0.25">
      <c r="A21" s="6" t="s">
        <v>186</v>
      </c>
      <c r="B21" s="6" t="s">
        <v>187</v>
      </c>
      <c r="C21" s="20">
        <f>_xll.BDH("GILD US Equity","EV_TO_T12M_FREE_CASH_FLOW_FIRM","FQ3 2019","FQ3 2019","Currency=USD","Period=FQ","BEST_FPERIOD_OVERRIDE=FQ","FILING_STATUS=MR","FA_ADJUSTED=GAAP","Sort=A","Dates=H","DateFormat=P","Fill=—","Direction=H","UseDPDF=Y")</f>
        <v>9.0989000000000004</v>
      </c>
      <c r="D21" s="20" t="str">
        <f>_xll.BDH("GILD US Equity","EV_TO_T12M_FREE_CASH_FLOW_FIRM","FQ4 2019","FQ4 2019","Currency=USD","Period=FQ","BEST_FPERIOD_OVERRIDE=FQ","FILING_STATUS=MR","FA_ADJUSTED=GAAP","Sort=A","Dates=H","DateFormat=P","Fill=—","Direction=H","UseDPDF=Y")</f>
        <v>—</v>
      </c>
      <c r="E21" s="20" t="str">
        <f>_xll.BDH("GILD US Equity","EV_TO_T12M_FREE_CASH_FLOW_FIRM","FQ1 2020","FQ1 2020","Currency=USD","Period=FQ","BEST_FPERIOD_OVERRIDE=FQ","FILING_STATUS=MR","FA_ADJUSTED=GAAP","Sort=A","Dates=H","DateFormat=P","Fill=—","Direction=H","UseDPDF=Y")</f>
        <v>—</v>
      </c>
      <c r="F21" s="20" t="str">
        <f>_xll.BDH("GILD US Equity","EV_TO_T12M_FREE_CASH_FLOW_FIRM","FQ2 2020","FQ2 2020","Currency=USD","Period=FQ","BEST_FPERIOD_OVERRIDE=FQ","FILING_STATUS=MR","FA_ADJUSTED=GAAP","Sort=A","Dates=H","DateFormat=P","Fill=—","Direction=H","UseDPDF=Y")</f>
        <v>—</v>
      </c>
      <c r="G21" s="20">
        <f>_xll.BDH("GILD US Equity","EV_TO_T12M_FREE_CASH_FLOW_FIRM","FQ3 2020","FQ3 2020","Currency=USD","Period=FQ","BEST_FPERIOD_OVERRIDE=FQ","FILING_STATUS=MR","FA_ADJUSTED=GAAP","Sort=A","Dates=H","DateFormat=P","Fill=—","Direction=H","UseDPDF=Y")</f>
        <v>9.3318999999999992</v>
      </c>
      <c r="H21" s="20">
        <f>_xll.BDH("GILD US Equity","EV_TO_T12M_FREE_CASH_FLOW_FIRM","FQ4 2020","FQ4 2020","Currency=USD","Period=FQ","BEST_FPERIOD_OVERRIDE=FQ","FILING_STATUS=MR","FA_ADJUSTED=GAAP","Sort=A","Dates=H","DateFormat=P","Fill=—","Direction=H","UseDPDF=Y")</f>
        <v>12.8505</v>
      </c>
      <c r="I21" s="20">
        <f>_xll.BDH("GILD US Equity","EV_TO_T12M_FREE_CASH_FLOW_FIRM","FQ1 2021","FQ1 2021","Currency=USD","Period=FQ","BEST_FPERIOD_OVERRIDE=FQ","FILING_STATUS=MR","FA_ADJUSTED=GAAP","Sort=A","Dates=H","DateFormat=P","Fill=—","Direction=H","UseDPDF=Y")</f>
        <v>11.876200000000001</v>
      </c>
      <c r="J21" s="20">
        <f>_xll.BDH("GILD US Equity","EV_TO_T12M_FREE_CASH_FLOW_FIRM","FQ2 2021","FQ2 2021","Currency=USD","Period=FQ","BEST_FPERIOD_OVERRIDE=FQ","FILING_STATUS=MR","FA_ADJUSTED=GAAP","Sort=A","Dates=H","DateFormat=P","Fill=—","Direction=H","UseDPDF=Y")</f>
        <v>11.8042</v>
      </c>
      <c r="K21" s="20">
        <f>_xll.BDH("GILD US Equity","EV_TO_T12M_FREE_CASH_FLOW_FIRM","FQ3 2021","FQ3 2021","Currency=USD","Period=FQ","BEST_FPERIOD_OVERRIDE=FQ","FILING_STATUS=MR","FA_ADJUSTED=GAAP","Sort=A","Dates=H","DateFormat=P","Fill=—","Direction=H","UseDPDF=Y")</f>
        <v>10.530799999999999</v>
      </c>
      <c r="L21" s="20">
        <f>_xll.BDH("GILD US Equity","EV_TO_T12M_FREE_CASH_FLOW_FIRM","FQ4 2021","FQ4 2021","Currency=USD","Period=FQ","BEST_FPERIOD_OVERRIDE=FQ","FILING_STATUS=MR","FA_ADJUSTED=GAAP","Sort=A","Dates=H","DateFormat=P","Fill=—","Direction=H","UseDPDF=Y")</f>
        <v>9.5633999999999997</v>
      </c>
      <c r="M21" s="20">
        <f>_xll.BDH("GILD US Equity","EV_TO_T12M_FREE_CASH_FLOW_FIRM","FQ1 2022","FQ1 2022","Currency=USD","Period=FQ","BEST_FPERIOD_OVERRIDE=FQ","FILING_STATUS=MR","FA_ADJUSTED=GAAP","Sort=A","Dates=H","DateFormat=P","Fill=—","Direction=H","UseDPDF=Y")</f>
        <v>8.7857000000000003</v>
      </c>
      <c r="N21" s="20">
        <f>_xll.BDH("GILD US Equity","EV_TO_T12M_FREE_CASH_FLOW_FIRM","FQ2 2022","FQ2 2022","Currency=USD","Period=FQ","BEST_FPERIOD_OVERRIDE=FQ","FILING_STATUS=MR","FA_ADJUSTED=GAAP","Sort=A","Dates=H","DateFormat=P","Fill=—","Direction=H","UseDPDF=Y")</f>
        <v>9.5446000000000009</v>
      </c>
      <c r="O21" s="20">
        <f>_xll.BDH("GILD US Equity","EV_TO_T12M_FREE_CASH_FLOW_FIRM","FQ3 2022","FQ3 2022","Currency=USD","Period=FQ","BEST_FPERIOD_OVERRIDE=FQ","FILING_STATUS=MR","FA_ADJUSTED=GAAP","Sort=A","Dates=H","DateFormat=P","Fill=—","Direction=H","UseDPDF=Y")</f>
        <v>9.8605</v>
      </c>
      <c r="P21" s="20">
        <f>_xll.BDH("GILD US Equity","EV_TO_T12M_FREE_CASH_FLOW_FIRM","FQ4 2022","FQ4 2022","Currency=USD","Period=FQ","BEST_FPERIOD_OVERRIDE=FQ","FILING_STATUS=MR","FA_ADJUSTED=GAAP","Sort=A","Dates=H","DateFormat=P","Fill=—","Direction=H","UseDPDF=Y")</f>
        <v>13.7902</v>
      </c>
      <c r="Q21" s="20">
        <f>_xll.BDH("GILD US Equity","EV_TO_T12M_FREE_CASH_FLOW_FIRM","FQ1 2023","FQ1 2023","Currency=USD","Period=FQ","BEST_FPERIOD_OVERRIDE=FQ","FILING_STATUS=MR","FA_ADJUSTED=GAAP","Sort=A","Dates=H","DateFormat=P","Fill=—","Direction=H","UseDPDF=Y")</f>
        <v>13.364599999999999</v>
      </c>
      <c r="R21" s="20">
        <f>_xll.BDH("GILD US Equity","EV_TO_T12M_FREE_CASH_FLOW_FIRM","FQ2 2023","FQ2 2023","Currency=USD","Period=FQ","BEST_FPERIOD_OVERRIDE=FQ","FILING_STATUS=MR","FA_ADJUSTED=GAAP","Sort=A","Dates=H","DateFormat=P","Fill=—","Direction=H","UseDPDF=Y")</f>
        <v>11.7957</v>
      </c>
      <c r="S21" s="20">
        <f>_xll.BDH("GILD US Equity","EV_TO_T12M_FREE_CASH_FLOW_FIRM","FQ3 2023","FQ3 2023","Currency=USD","Period=FQ","BEST_FPERIOD_OVERRIDE=FQ","FILING_STATUS=MR","FA_ADJUSTED=GAAP","Sort=A","Dates=H","DateFormat=P","Fill=—","Direction=H","UseDPDF=Y")</f>
        <v>12.8406</v>
      </c>
      <c r="T21" s="20">
        <f>_xll.BDH("GILD US Equity","EV_TO_T12M_FREE_CASH_FLOW_FIRM","FQ4 2023","FQ4 2023","Currency=USD","Period=FQ","BEST_FPERIOD_OVERRIDE=FQ","FILING_STATUS=MR","FA_ADJUSTED=GAAP","Sort=A","Dates=H","DateFormat=P","Fill=—","Direction=H","UseDPDF=Y")</f>
        <v>14.4123</v>
      </c>
      <c r="U21" s="20">
        <f>_xll.BDH("GILD US Equity","EV_TO_T12M_FREE_CASH_FLOW_FIRM","FQ1 2024","FQ1 2024","Currency=USD","Period=FQ","BEST_FPERIOD_OVERRIDE=FQ","FILING_STATUS=MR","FA_ADJUSTED=GAAP","Sort=A","Dates=H","DateFormat=P","Fill=—","Direction=H","UseDPDF=Y")</f>
        <v>13.430999999999999</v>
      </c>
      <c r="V21" s="20">
        <f>_xll.BDH("GILD US Equity","EV_TO_T12M_FREE_CASH_FLOW_FIRM","FQ2 2024","FQ2 2024","Currency=USD","Period=FQ","BEST_FPERIOD_OVERRIDE=FQ","FILING_STATUS=MR","FA_ADJUSTED=GAAP","Sort=A","Dates=H","DateFormat=P","Fill=—","Direction=H","UseDPDF=Y")</f>
        <v>14.0366</v>
      </c>
      <c r="W21" s="20">
        <f>_xll.BDH("GILD US Equity","EV_TO_T12M_FREE_CASH_FLOW_FIRM","FQ3 2024","FQ3 2024","Currency=USD","Period=FQ","BEST_FPERIOD_OVERRIDE=FQ","FILING_STATUS=MR","FA_ADJUSTED=GAAP","Sort=A","Dates=H","DateFormat=P","Fill=—","Direction=H","UseDPDF=Y")</f>
        <v>12.1792</v>
      </c>
      <c r="X21" s="20">
        <f>_xll.BDH("GILD US Equity","EV_TO_T12M_FREE_CASH_FLOW_FIRM","FQ4 2024","FQ4 2024","Currency=USD","Period=FQ","BEST_FPERIOD_OVERRIDE=FQ","FILING_STATUS=MR","FA_ADJUSTED=GAAP","Sort=A","Dates=H","DateFormat=P","Fill=—","Direction=H","UseDPDF=Y")</f>
        <v>12.0496</v>
      </c>
      <c r="Y21" s="23">
        <v>14.039364208658</v>
      </c>
      <c r="Z21" s="20"/>
      <c r="AA21" s="20"/>
    </row>
    <row r="22" spans="1:27" x14ac:dyDescent="0.25">
      <c r="A22" s="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1"/>
      <c r="Z22" s="18"/>
      <c r="AA22" s="18"/>
    </row>
    <row r="23" spans="1:27" x14ac:dyDescent="0.25">
      <c r="A23" s="6" t="s">
        <v>188</v>
      </c>
      <c r="B23" s="6" t="s">
        <v>189</v>
      </c>
      <c r="C23" s="19">
        <f>_xll.BDH("GILD US Equity","DILUTED_MKT_CAP","FQ3 2019","FQ3 2019","Currency=USD","Period=FQ","BEST_FPERIOD_OVERRIDE=FQ","FILING_STATUS=MR","SCALING_FORMAT=MLN","Sort=A","Dates=H","DateFormat=P","Fill=—","Direction=H","UseDPDF=Y")</f>
        <v>80302.460000000006</v>
      </c>
      <c r="D23" s="19">
        <f>_xll.BDH("GILD US Equity","DILUTED_MKT_CAP","FQ4 2019","FQ4 2019","Currency=USD","Period=FQ","BEST_FPERIOD_OVERRIDE=FQ","FILING_STATUS=MR","SCALING_FORMAT=MLN","Sort=A","Dates=H","DateFormat=P","Fill=—","Direction=H","UseDPDF=Y")</f>
        <v>82719.539999999994</v>
      </c>
      <c r="E23" s="19">
        <f>_xll.BDH("GILD US Equity","DILUTED_MKT_CAP","FQ1 2020","FQ1 2020","Currency=USD","Period=FQ","BEST_FPERIOD_OVERRIDE=FQ","FILING_STATUS=MR","SCALING_FORMAT=MLN","Sort=A","Dates=H","DateFormat=P","Fill=—","Direction=H","UseDPDF=Y")</f>
        <v>94945.2</v>
      </c>
      <c r="F23" s="19">
        <f>_xll.BDH("GILD US Equity","DILUTED_MKT_CAP","FQ2 2020","FQ2 2020","Currency=USD","Period=FQ","BEST_FPERIOD_OVERRIDE=FQ","FILING_STATUS=MR","SCALING_FORMAT=MLN","Sort=A","Dates=H","DateFormat=P","Fill=—","Direction=H","UseDPDF=Y")</f>
        <v>96559.7</v>
      </c>
      <c r="G23" s="19">
        <f>_xll.BDH("GILD US Equity","DILUTED_MKT_CAP","FQ3 2020","FQ3 2020","Currency=USD","Period=FQ","BEST_FPERIOD_OVERRIDE=FQ","FILING_STATUS=MR","SCALING_FORMAT=MLN","Sort=A","Dates=H","DateFormat=P","Fill=—","Direction=H","UseDPDF=Y")</f>
        <v>79682.59</v>
      </c>
      <c r="H23" s="19">
        <f>_xll.BDH("GILD US Equity","DILUTED_MKT_CAP","FQ4 2020","FQ4 2020","Currency=USD","Period=FQ","BEST_FPERIOD_OVERRIDE=FQ","FILING_STATUS=MR","SCALING_FORMAT=MLN","Sort=A","Dates=H","DateFormat=P","Fill=—","Direction=H","UseDPDF=Y")</f>
        <v>73349.34</v>
      </c>
      <c r="I23" s="19">
        <f>_xll.BDH("GILD US Equity","DILUTED_MKT_CAP","FQ1 2021","FQ1 2021","Currency=USD","Period=FQ","BEST_FPERIOD_OVERRIDE=FQ","FILING_STATUS=MR","SCALING_FORMAT=MLN","Sort=A","Dates=H","DateFormat=P","Fill=—","Direction=H","UseDPDF=Y")</f>
        <v>81563.06</v>
      </c>
      <c r="J23" s="19">
        <f>_xll.BDH("GILD US Equity","DILUTED_MKT_CAP","FQ2 2021","FQ2 2021","Currency=USD","Period=FQ","BEST_FPERIOD_OVERRIDE=FQ","FILING_STATUS=MR","SCALING_FORMAT=MLN","Sort=A","Dates=H","DateFormat=P","Fill=—","Direction=H","UseDPDF=Y")</f>
        <v>86763.6</v>
      </c>
      <c r="K23" s="19">
        <f>_xll.BDH("GILD US Equity","DILUTED_MKT_CAP","FQ3 2021","FQ3 2021","Currency=USD","Period=FQ","BEST_FPERIOD_OVERRIDE=FQ","FILING_STATUS=MR","SCALING_FORMAT=MLN","Sort=A","Dates=H","DateFormat=P","Fill=—","Direction=H","UseDPDF=Y")</f>
        <v>88150.7</v>
      </c>
      <c r="L23" s="19">
        <f>_xll.BDH("GILD US Equity","DILUTED_MKT_CAP","FQ4 2021","FQ4 2021","Currency=USD","Period=FQ","BEST_FPERIOD_OVERRIDE=FQ","FILING_STATUS=MR","SCALING_FORMAT=MLN","Sort=A","Dates=H","DateFormat=P","Fill=—","Direction=H","UseDPDF=Y")</f>
        <v>91633.82</v>
      </c>
      <c r="M23" s="19">
        <f>_xll.BDH("GILD US Equity","DILUTED_MKT_CAP","FQ1 2022","FQ1 2022","Currency=USD","Period=FQ","BEST_FPERIOD_OVERRIDE=FQ","FILING_STATUS=MR","SCALING_FORMAT=MLN","Sort=A","Dates=H","DateFormat=P","Fill=—","Direction=H","UseDPDF=Y")</f>
        <v>75025.899999999994</v>
      </c>
      <c r="N23" s="19">
        <f>_xll.BDH("GILD US Equity","DILUTED_MKT_CAP","FQ2 2022","FQ2 2022","Currency=USD","Period=FQ","BEST_FPERIOD_OVERRIDE=FQ","FILING_STATUS=MR","SCALING_FORMAT=MLN","Sort=A","Dates=H","DateFormat=P","Fill=—","Direction=H","UseDPDF=Y")</f>
        <v>77880.600000000006</v>
      </c>
      <c r="O23" s="19">
        <f>_xll.BDH("GILD US Equity","DILUTED_MKT_CAP","FQ3 2022","FQ3 2022","Currency=USD","Period=FQ","BEST_FPERIOD_OVERRIDE=FQ","FILING_STATUS=MR","SCALING_FORMAT=MLN","Sort=A","Dates=H","DateFormat=P","Fill=—","Direction=H","UseDPDF=Y")</f>
        <v>77791.09</v>
      </c>
      <c r="P23" s="19">
        <f>_xll.BDH("GILD US Equity","DILUTED_MKT_CAP","FQ4 2022","FQ4 2022","Currency=USD","Period=FQ","BEST_FPERIOD_OVERRIDE=FQ","FILING_STATUS=MR","SCALING_FORMAT=MLN","Sort=A","Dates=H","DateFormat=P","Fill=—","Direction=H","UseDPDF=Y")</f>
        <v>108514.4</v>
      </c>
      <c r="Q23" s="19">
        <f>_xll.BDH("GILD US Equity","DILUTED_MKT_CAP","FQ1 2023","FQ1 2023","Currency=USD","Period=FQ","BEST_FPERIOD_OVERRIDE=FQ","FILING_STATUS=MR","SCALING_FORMAT=MLN","Sort=A","Dates=H","DateFormat=P","Fill=—","Direction=H","UseDPDF=Y")</f>
        <v>103546.56</v>
      </c>
      <c r="R23" s="19">
        <f>_xll.BDH("GILD US Equity","DILUTED_MKT_CAP","FQ2 2023","FQ2 2023","Currency=USD","Period=FQ","BEST_FPERIOD_OVERRIDE=FQ","FILING_STATUS=MR","SCALING_FORMAT=MLN","Sort=A","Dates=H","DateFormat=P","Fill=—","Direction=H","UseDPDF=Y")</f>
        <v>96954.06</v>
      </c>
      <c r="S23" s="19">
        <f>_xll.BDH("GILD US Equity","DILUTED_MKT_CAP","FQ3 2023","FQ3 2023","Currency=USD","Period=FQ","BEST_FPERIOD_OVERRIDE=FQ","FILING_STATUS=MR","SCALING_FORMAT=MLN","Sort=A","Dates=H","DateFormat=P","Fill=—","Direction=H","UseDPDF=Y")</f>
        <v>94199.58</v>
      </c>
      <c r="T23" s="19">
        <f>_xll.BDH("GILD US Equity","DILUTED_MKT_CAP","FQ4 2023","FQ4 2023","Currency=USD","Period=FQ","BEST_FPERIOD_OVERRIDE=FQ","FILING_STATUS=MR","SCALING_FORMAT=MLN","Sort=A","Dates=H","DateFormat=P","Fill=—","Direction=H","UseDPDF=Y")</f>
        <v>101748.56</v>
      </c>
      <c r="U23" s="19">
        <f>_xll.BDH("GILD US Equity","DILUTED_MKT_CAP","FQ1 2024","FQ1 2024","Currency=USD","Period=FQ","BEST_FPERIOD_OVERRIDE=FQ","FILING_STATUS=MR","SCALING_FORMAT=MLN","Sort=A","Dates=H","DateFormat=P","Fill=—","Direction=H","UseDPDF=Y")</f>
        <v>91342.75</v>
      </c>
      <c r="V23" s="19">
        <f>_xll.BDH("GILD US Equity","DILUTED_MKT_CAP","FQ2 2024","FQ2 2024","Currency=USD","Period=FQ","BEST_FPERIOD_OVERRIDE=FQ","FILING_STATUS=MR","SCALING_FORMAT=MLN","Sort=A","Dates=H","DateFormat=P","Fill=—","Direction=H","UseDPDF=Y")</f>
        <v>85831.11</v>
      </c>
      <c r="W23" s="19">
        <f>_xll.BDH("GILD US Equity","DILUTED_MKT_CAP","FQ3 2024","FQ3 2024","Currency=USD","Period=FQ","BEST_FPERIOD_OVERRIDE=FQ","FILING_STATUS=MR","SCALING_FORMAT=MLN","Sort=A","Dates=H","DateFormat=P","Fill=—","Direction=H","UseDPDF=Y")</f>
        <v>105135.36</v>
      </c>
      <c r="X23" s="19">
        <f>_xll.BDH("GILD US Equity","DILUTED_MKT_CAP","FQ4 2024","FQ4 2024","Currency=USD","Period=FQ","BEST_FPERIOD_OVERRIDE=FQ","FILING_STATUS=MR","SCALING_FORMAT=MLN","Sort=A","Dates=H","DateFormat=P","Fill=—","Direction=H","UseDPDF=Y")</f>
        <v>116293.83</v>
      </c>
      <c r="Y23" s="22">
        <v>140693.25</v>
      </c>
      <c r="Z23" s="19"/>
      <c r="AA23" s="19"/>
    </row>
    <row r="24" spans="1:27" x14ac:dyDescent="0.25">
      <c r="A24" s="6" t="s">
        <v>190</v>
      </c>
      <c r="B24" s="6" t="s">
        <v>191</v>
      </c>
      <c r="C24" s="19">
        <f>_xll.BDH("GILD US Equity","DILUTED_EV","FQ3 2019","FQ3 2019","Currency=USD","Period=FQ","BEST_FPERIOD_OVERRIDE=FQ","FILING_STATUS=MR","SCALING_FORMAT=MLN","Sort=A","Dates=H","DateFormat=P","Fill=—","Direction=H","UseDPDF=Y")</f>
        <v>80620.08</v>
      </c>
      <c r="D24" s="19">
        <f>_xll.BDH("GILD US Equity","DILUTED_EV","FQ4 2019","FQ4 2019","Currency=USD","Period=FQ","BEST_FPERIOD_OVERRIDE=FQ","FILING_STATUS=MR","SCALING_FORMAT=MLN","Sort=A","Dates=H","DateFormat=P","Fill=—","Direction=H","UseDPDF=Y")</f>
        <v>82322.539999999994</v>
      </c>
      <c r="E24" s="19">
        <f>_xll.BDH("GILD US Equity","DILUTED_EV","FQ1 2020","FQ1 2020","Currency=USD","Period=FQ","BEST_FPERIOD_OVERRIDE=FQ","FILING_STATUS=MR","SCALING_FORMAT=MLN","Sort=A","Dates=H","DateFormat=P","Fill=—","Direction=H","UseDPDF=Y")</f>
        <v>94238.328699999998</v>
      </c>
      <c r="F24" s="19">
        <f>_xll.BDH("GILD US Equity","DILUTED_EV","FQ2 2020","FQ2 2020","Currency=USD","Period=FQ","BEST_FPERIOD_OVERRIDE=FQ","FILING_STATUS=MR","SCALING_FORMAT=MLN","Sort=A","Dates=H","DateFormat=P","Fill=—","Direction=H","UseDPDF=Y")</f>
        <v>99509.759999999995</v>
      </c>
      <c r="G24" s="19">
        <f>_xll.BDH("GILD US Equity","DILUTED_EV","FQ3 2020","FQ3 2020","Currency=USD","Period=FQ","BEST_FPERIOD_OVERRIDE=FQ","FILING_STATUS=MR","SCALING_FORMAT=MLN","Sort=A","Dates=H","DateFormat=P","Fill=—","Direction=H","UseDPDF=Y")</f>
        <v>82822.605800000005</v>
      </c>
      <c r="H24" s="19">
        <f>_xll.BDH("GILD US Equity","DILUTED_EV","FQ4 2020","FQ4 2020","Currency=USD","Period=FQ","BEST_FPERIOD_OVERRIDE=FQ","FILING_STATUS=MR","SCALING_FORMAT=MLN","Sort=A","Dates=H","DateFormat=P","Fill=—","Direction=H","UseDPDF=Y")</f>
        <v>97516.8943</v>
      </c>
      <c r="I24" s="19">
        <f>_xll.BDH("GILD US Equity","DILUTED_EV","FQ1 2021","FQ1 2021","Currency=USD","Period=FQ","BEST_FPERIOD_OVERRIDE=FQ","FILING_STATUS=MR","SCALING_FORMAT=MLN","Sort=A","Dates=H","DateFormat=P","Fill=—","Direction=H","UseDPDF=Y")</f>
        <v>105366.1825</v>
      </c>
      <c r="J24" s="19">
        <f>_xll.BDH("GILD US Equity","DILUTED_EV","FQ2 2021","FQ2 2021","Currency=USD","Period=FQ","BEST_FPERIOD_OVERRIDE=FQ","FILING_STATUS=MR","SCALING_FORMAT=MLN","Sort=A","Dates=H","DateFormat=P","Fill=—","Direction=H","UseDPDF=Y")</f>
        <v>109515.4657</v>
      </c>
      <c r="K24" s="19">
        <f>_xll.BDH("GILD US Equity","DILUTED_EV","FQ3 2021","FQ3 2021","Currency=USD","Period=FQ","BEST_FPERIOD_OVERRIDE=FQ","FILING_STATUS=MR","SCALING_FORMAT=MLN","Sort=A","Dates=H","DateFormat=P","Fill=—","Direction=H","UseDPDF=Y")</f>
        <v>108930.5163</v>
      </c>
      <c r="L24" s="19">
        <f>_xll.BDH("GILD US Equity","DILUTED_EV","FQ4 2021","FQ4 2021","Currency=USD","Period=FQ","BEST_FPERIOD_OVERRIDE=FQ","FILING_STATUS=MR","SCALING_FORMAT=MLN","Sort=A","Dates=H","DateFormat=P","Fill=—","Direction=H","UseDPDF=Y")</f>
        <v>110938.9063</v>
      </c>
      <c r="M24" s="19">
        <f>_xll.BDH("GILD US Equity","DILUTED_EV","FQ1 2022","FQ1 2022","Currency=USD","Period=FQ","BEST_FPERIOD_OVERRIDE=FQ","FILING_STATUS=MR","SCALING_FORMAT=MLN","Sort=A","Dates=H","DateFormat=P","Fill=—","Direction=H","UseDPDF=Y")</f>
        <v>94469.9</v>
      </c>
      <c r="N24" s="19">
        <f>_xll.BDH("GILD US Equity","DILUTED_EV","FQ2 2022","FQ2 2022","Currency=USD","Period=FQ","BEST_FPERIOD_OVERRIDE=FQ","FILING_STATUS=MR","SCALING_FORMAT=MLN","Sort=A","Dates=H","DateFormat=P","Fill=—","Direction=H","UseDPDF=Y")</f>
        <v>96951.586299999995</v>
      </c>
      <c r="O24" s="19">
        <f>_xll.BDH("GILD US Equity","DILUTED_EV","FQ3 2022","FQ3 2022","Currency=USD","Period=FQ","BEST_FPERIOD_OVERRIDE=FQ","FILING_STATUS=MR","SCALING_FORMAT=MLN","Sort=A","Dates=H","DateFormat=P","Fill=—","Direction=H","UseDPDF=Y")</f>
        <v>95986.105100000001</v>
      </c>
      <c r="P24" s="19">
        <f>_xll.BDH("GILD US Equity","DILUTED_EV","FQ4 2022","FQ4 2022","Currency=USD","Period=FQ","BEST_FPERIOD_OVERRIDE=FQ","FILING_STATUS=MR","SCALING_FORMAT=MLN","Sort=A","Dates=H","DateFormat=P","Fill=—","Direction=H","UseDPDF=Y")</f>
        <v>126228.0358</v>
      </c>
      <c r="Q24" s="19">
        <f>_xll.BDH("GILD US Equity","DILUTED_EV","FQ1 2023","FQ1 2023","Currency=USD","Period=FQ","BEST_FPERIOD_OVERRIDE=FQ","FILING_STATUS=MR","SCALING_FORMAT=MLN","Sort=A","Dates=H","DateFormat=P","Fill=—","Direction=H","UseDPDF=Y")</f>
        <v>121528.56</v>
      </c>
      <c r="R24" s="19">
        <f>_xll.BDH("GILD US Equity","DILUTED_EV","FQ2 2023","FQ2 2023","Currency=USD","Period=FQ","BEST_FPERIOD_OVERRIDE=FQ","FILING_STATUS=MR","SCALING_FORMAT=MLN","Sort=A","Dates=H","DateFormat=P","Fill=—","Direction=H","UseDPDF=Y")</f>
        <v>113979.80929999999</v>
      </c>
      <c r="S24" s="19">
        <f>_xll.BDH("GILD US Equity","DILUTED_EV","FQ3 2023","FQ3 2023","Currency=USD","Period=FQ","BEST_FPERIOD_OVERRIDE=FQ","FILING_STATUS=MR","SCALING_FORMAT=MLN","Sort=A","Dates=H","DateFormat=P","Fill=—","Direction=H","UseDPDF=Y")</f>
        <v>111014.0996</v>
      </c>
      <c r="T24" s="19">
        <f>_xll.BDH("GILD US Equity","DILUTED_EV","FQ4 2023","FQ4 2023","Currency=USD","Period=FQ","BEST_FPERIOD_OVERRIDE=FQ","FILING_STATUS=MR","SCALING_FORMAT=MLN","Sort=A","Dates=H","DateFormat=P","Fill=—","Direction=H","UseDPDF=Y")</f>
        <v>118732.50139999999</v>
      </c>
      <c r="U24" s="19">
        <f>_xll.BDH("GILD US Equity","DILUTED_EV","FQ1 2024","FQ1 2024","Currency=USD","Period=FQ","BEST_FPERIOD_OVERRIDE=FQ","FILING_STATUS=MR","SCALING_FORMAT=MLN","Sort=A","Dates=H","DateFormat=P","Fill=—","Direction=H","UseDPDF=Y")</f>
        <v>111661.5</v>
      </c>
      <c r="V24" s="19">
        <f>_xll.BDH("GILD US Equity","DILUTED_EV","FQ2 2024","FQ2 2024","Currency=USD","Period=FQ","BEST_FPERIOD_OVERRIDE=FQ","FILING_STATUS=MR","SCALING_FORMAT=MLN","Sort=A","Dates=H","DateFormat=P","Fill=—","Direction=H","UseDPDF=Y")</f>
        <v>106256.27989999999</v>
      </c>
      <c r="W24" s="19">
        <f>_xll.BDH("GILD US Equity","DILUTED_EV","FQ3 2024","FQ3 2024","Currency=USD","Period=FQ","BEST_FPERIOD_OVERRIDE=FQ","FILING_STATUS=MR","SCALING_FORMAT=MLN","Sort=A","Dates=H","DateFormat=P","Fill=—","Direction=H","UseDPDF=Y")</f>
        <v>123179.0494</v>
      </c>
      <c r="X24" s="19">
        <f>_xll.BDH("GILD US Equity","DILUTED_EV","FQ4 2024","FQ4 2024","Currency=USD","Period=FQ","BEST_FPERIOD_OVERRIDE=FQ","FILING_STATUS=MR","SCALING_FORMAT=MLN","Sort=A","Dates=H","DateFormat=P","Fill=—","Direction=H","UseDPDF=Y")</f>
        <v>133354.46170000001</v>
      </c>
      <c r="Y24" s="22">
        <v>157714.78004807699</v>
      </c>
      <c r="Z24" s="19"/>
      <c r="AA24" s="19"/>
    </row>
    <row r="25" spans="1:27" x14ac:dyDescent="0.25">
      <c r="A25" s="6" t="s">
        <v>192</v>
      </c>
      <c r="B25" s="6" t="s">
        <v>193</v>
      </c>
      <c r="C25" s="20">
        <f>_xll.BDH("GILD US Equity","EV_TO_SH_OUT","FQ3 2019","FQ3 2019","Currency=USD","Period=FQ","BEST_FPERIOD_OVERRIDE=FQ","FILING_STATUS=MR","Sort=A","Dates=H","DateFormat=P","Fill=—","Direction=H","UseDPDF=Y")</f>
        <v>63.680900000000001</v>
      </c>
      <c r="D25" s="20">
        <f>_xll.BDH("GILD US Equity","EV_TO_SH_OUT","FQ4 2019","FQ4 2019","Currency=USD","Period=FQ","BEST_FPERIOD_OVERRIDE=FQ","FILING_STATUS=MR","Sort=A","Dates=H","DateFormat=P","Fill=—","Direction=H","UseDPDF=Y")</f>
        <v>64.666399999999996</v>
      </c>
      <c r="E25" s="20">
        <f>_xll.BDH("GILD US Equity","EV_TO_SH_OUT","FQ1 2020","FQ1 2020","Currency=USD","Period=FQ","BEST_FPERIOD_OVERRIDE=FQ","FILING_STATUS=MR","Sort=A","Dates=H","DateFormat=P","Fill=—","Direction=H","UseDPDF=Y")</f>
        <v>74.676299999999998</v>
      </c>
      <c r="F25" s="20">
        <f>_xll.BDH("GILD US Equity","EV_TO_SH_OUT","FQ2 2020","FQ2 2020","Currency=USD","Period=FQ","BEST_FPERIOD_OVERRIDE=FQ","FILING_STATUS=MR","Sort=A","Dates=H","DateFormat=P","Fill=—","Direction=H","UseDPDF=Y")</f>
        <v>79.353899999999996</v>
      </c>
      <c r="G25" s="20">
        <f>_xll.BDH("GILD US Equity","EV_TO_SH_OUT","FQ3 2020","FQ3 2020","Currency=USD","Period=FQ","BEST_FPERIOD_OVERRIDE=FQ","FILING_STATUS=MR","Sort=A","Dates=H","DateFormat=P","Fill=—","Direction=H","UseDPDF=Y")</f>
        <v>65.797300000000007</v>
      </c>
      <c r="H25" s="20">
        <f>_xll.BDH("GILD US Equity","EV_TO_SH_OUT","FQ4 2020","FQ4 2020","Currency=USD","Period=FQ","BEST_FPERIOD_OVERRIDE=FQ","FILING_STATUS=MR","Sort=A","Dates=H","DateFormat=P","Fill=—","Direction=H","UseDPDF=Y")</f>
        <v>77.578999999999994</v>
      </c>
      <c r="I25" s="20">
        <f>_xll.BDH("GILD US Equity","EV_TO_SH_OUT","FQ1 2021","FQ1 2021","Currency=USD","Period=FQ","BEST_FPERIOD_OVERRIDE=FQ","FILING_STATUS=MR","Sort=A","Dates=H","DateFormat=P","Fill=—","Direction=H","UseDPDF=Y")</f>
        <v>83.715299999999999</v>
      </c>
      <c r="J25" s="20">
        <f>_xll.BDH("GILD US Equity","EV_TO_SH_OUT","FQ2 2021","FQ2 2021","Currency=USD","Period=FQ","BEST_FPERIOD_OVERRIDE=FQ","FILING_STATUS=MR","Sort=A","Dates=H","DateFormat=P","Fill=—","Direction=H","UseDPDF=Y")</f>
        <v>87.058599999999998</v>
      </c>
      <c r="K25" s="20">
        <f>_xll.BDH("GILD US Equity","EV_TO_SH_OUT","FQ3 2021","FQ3 2021","Currency=USD","Period=FQ","BEST_FPERIOD_OVERRIDE=FQ","FILING_STATUS=MR","Sort=A","Dates=H","DateFormat=P","Fill=—","Direction=H","UseDPDF=Y")</f>
        <v>86.463499999999996</v>
      </c>
      <c r="L25" s="20">
        <f>_xll.BDH("GILD US Equity","EV_TO_SH_OUT","FQ4 2021","FQ4 2021","Currency=USD","Period=FQ","BEST_FPERIOD_OVERRIDE=FQ","FILING_STATUS=MR","Sort=A","Dates=H","DateFormat=P","Fill=—","Direction=H","UseDPDF=Y")</f>
        <v>88.121200000000002</v>
      </c>
      <c r="M25" s="20">
        <f>_xll.BDH("GILD US Equity","EV_TO_SH_OUT","FQ1 2022","FQ1 2022","Currency=USD","Period=FQ","BEST_FPERIOD_OVERRIDE=FQ","FILING_STATUS=MR","Sort=A","Dates=H","DateFormat=P","Fill=—","Direction=H","UseDPDF=Y")</f>
        <v>74.943200000000004</v>
      </c>
      <c r="N25" s="20">
        <f>_xll.BDH("GILD US Equity","EV_TO_SH_OUT","FQ2 2022","FQ2 2022","Currency=USD","Period=FQ","BEST_FPERIOD_OVERRIDE=FQ","FILING_STATUS=MR","Sort=A","Dates=H","DateFormat=P","Fill=—","Direction=H","UseDPDF=Y")</f>
        <v>77.117000000000004</v>
      </c>
      <c r="O25" s="20">
        <f>_xll.BDH("GILD US Equity","EV_TO_SH_OUT","FQ3 2022","FQ3 2022","Currency=USD","Period=FQ","BEST_FPERIOD_OVERRIDE=FQ","FILING_STATUS=MR","Sort=A","Dates=H","DateFormat=P","Fill=—","Direction=H","UseDPDF=Y")</f>
        <v>76.248999999999995</v>
      </c>
      <c r="P25" s="20">
        <f>_xll.BDH("GILD US Equity","EV_TO_SH_OUT","FQ4 2022","FQ4 2022","Currency=USD","Period=FQ","BEST_FPERIOD_OVERRIDE=FQ","FILING_STATUS=MR","Sort=A","Dates=H","DateFormat=P","Fill=—","Direction=H","UseDPDF=Y")</f>
        <v>100.4025</v>
      </c>
      <c r="Q25" s="20">
        <f>_xll.BDH("GILD US Equity","EV_TO_SH_OUT","FQ1 2023","FQ1 2023","Currency=USD","Period=FQ","BEST_FPERIOD_OVERRIDE=FQ","FILING_STATUS=MR","Sort=A","Dates=H","DateFormat=P","Fill=—","Direction=H","UseDPDF=Y")</f>
        <v>97.378699999999995</v>
      </c>
      <c r="R25" s="20">
        <f>_xll.BDH("GILD US Equity","EV_TO_SH_OUT","FQ2 2023","FQ2 2023","Currency=USD","Period=FQ","BEST_FPERIOD_OVERRIDE=FQ","FILING_STATUS=MR","Sort=A","Dates=H","DateFormat=P","Fill=—","Direction=H","UseDPDF=Y")</f>
        <v>90.847899999999996</v>
      </c>
      <c r="S25" s="20">
        <f>_xll.BDH("GILD US Equity","EV_TO_SH_OUT","FQ3 2023","FQ3 2023","Currency=USD","Period=FQ","BEST_FPERIOD_OVERRIDE=FQ","FILING_STATUS=MR","Sort=A","Dates=H","DateFormat=P","Fill=—","Direction=H","UseDPDF=Y")</f>
        <v>88.484499999999997</v>
      </c>
      <c r="T25" s="20">
        <f>_xll.BDH("GILD US Equity","EV_TO_SH_OUT","FQ4 2023","FQ4 2023","Currency=USD","Period=FQ","BEST_FPERIOD_OVERRIDE=FQ","FILING_STATUS=MR","Sort=A","Dates=H","DateFormat=P","Fill=—","Direction=H","UseDPDF=Y")</f>
        <v>94.771600000000007</v>
      </c>
      <c r="U25" s="20">
        <f>_xll.BDH("GILD US Equity","EV_TO_SH_OUT","FQ1 2024","FQ1 2024","Currency=USD","Period=FQ","BEST_FPERIOD_OVERRIDE=FQ","FILING_STATUS=MR","Sort=A","Dates=H","DateFormat=P","Fill=—","Direction=H","UseDPDF=Y")</f>
        <v>89.616</v>
      </c>
      <c r="V25" s="20">
        <f>_xll.BDH("GILD US Equity","EV_TO_SH_OUT","FQ2 2024","FQ2 2024","Currency=USD","Period=FQ","BEST_FPERIOD_OVERRIDE=FQ","FILING_STATUS=MR","Sort=A","Dates=H","DateFormat=P","Fill=—","Direction=H","UseDPDF=Y")</f>
        <v>85.0578</v>
      </c>
      <c r="W25" s="20">
        <f>_xll.BDH("GILD US Equity","EV_TO_SH_OUT","FQ3 2024","FQ3 2024","Currency=USD","Period=FQ","BEST_FPERIOD_OVERRIDE=FQ","FILING_STATUS=MR","Sort=A","Dates=H","DateFormat=P","Fill=—","Direction=H","UseDPDF=Y")</f>
        <v>98.388999999999996</v>
      </c>
      <c r="X25" s="20">
        <f>_xll.BDH("GILD US Equity","EV_TO_SH_OUT","FQ4 2024","FQ4 2024","Currency=USD","Period=FQ","BEST_FPERIOD_OVERRIDE=FQ","FILING_STATUS=MR","Sort=A","Dates=H","DateFormat=P","Fill=—","Direction=H","UseDPDF=Y")</f>
        <v>106.2119</v>
      </c>
      <c r="Y25" s="23">
        <v>106.21189406099499</v>
      </c>
      <c r="Z25" s="20"/>
      <c r="AA25" s="20"/>
    </row>
    <row r="26" spans="1:27" x14ac:dyDescent="0.25">
      <c r="A26" s="6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21"/>
      <c r="Z26" s="18"/>
      <c r="AA26" s="18"/>
    </row>
    <row r="27" spans="1:27" x14ac:dyDescent="0.25">
      <c r="A27" s="6" t="s">
        <v>4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21"/>
      <c r="Z27" s="18"/>
      <c r="AA27" s="18"/>
    </row>
    <row r="28" spans="1:27" x14ac:dyDescent="0.25">
      <c r="A28" s="11" t="s">
        <v>194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7"/>
      <c r="Z28" s="24"/>
      <c r="AA28" s="24"/>
    </row>
    <row r="29" spans="1:27" x14ac:dyDescent="0.25">
      <c r="A29" s="10" t="s">
        <v>195</v>
      </c>
      <c r="B29" s="10" t="s">
        <v>196</v>
      </c>
      <c r="C29" s="12" t="s">
        <v>197</v>
      </c>
      <c r="D29" s="12" t="s">
        <v>197</v>
      </c>
      <c r="E29" s="12" t="s">
        <v>197</v>
      </c>
      <c r="F29" s="12" t="s">
        <v>197</v>
      </c>
      <c r="G29" s="12" t="s">
        <v>197</v>
      </c>
      <c r="H29" s="12" t="s">
        <v>197</v>
      </c>
      <c r="I29" s="12" t="s">
        <v>197</v>
      </c>
      <c r="J29" s="12" t="s">
        <v>197</v>
      </c>
      <c r="K29" s="12" t="s">
        <v>197</v>
      </c>
      <c r="L29" s="12" t="s">
        <v>197</v>
      </c>
      <c r="M29" s="12" t="s">
        <v>197</v>
      </c>
      <c r="N29" s="12" t="s">
        <v>197</v>
      </c>
      <c r="O29" s="12" t="s">
        <v>197</v>
      </c>
      <c r="P29" s="12" t="s">
        <v>197</v>
      </c>
      <c r="Q29" s="12" t="s">
        <v>197</v>
      </c>
      <c r="R29" s="12" t="s">
        <v>197</v>
      </c>
      <c r="S29" s="12" t="s">
        <v>197</v>
      </c>
      <c r="T29" s="12" t="s">
        <v>197</v>
      </c>
      <c r="U29" s="12" t="s">
        <v>197</v>
      </c>
      <c r="V29" s="12" t="s">
        <v>197</v>
      </c>
      <c r="W29" s="12" t="s">
        <v>197</v>
      </c>
      <c r="X29" s="12" t="s">
        <v>197</v>
      </c>
      <c r="Y29" s="15" t="s">
        <v>197</v>
      </c>
      <c r="Z29" s="12"/>
      <c r="AA29" s="12"/>
    </row>
    <row r="30" spans="1:27" x14ac:dyDescent="0.25">
      <c r="A30" s="10" t="s">
        <v>198</v>
      </c>
      <c r="B30" s="10" t="s">
        <v>199</v>
      </c>
      <c r="C30" s="13">
        <f>_xll.BDH("GILD US Equity","TRAIL_12M_NET_SALES","FQ3 2019","FQ3 2019","Currency=USD","Period=FQ","BEST_FPERIOD_OVERRIDE=FQ","FILING_STATUS=MR","SCALING_FORMAT=MLN","FA_ADJUSTED=GAAP","Sort=A","Dates=H","DateFormat=P","Fill=—","Direction=H","UseDPDF=Y")</f>
        <v>22365</v>
      </c>
      <c r="D30" s="13">
        <f>_xll.BDH("GILD US Equity","TRAIL_12M_NET_SALES","FQ4 2019","FQ4 2019","Currency=USD","Period=FQ","BEST_FPERIOD_OVERRIDE=FQ","FILING_STATUS=MR","SCALING_FORMAT=MLN","FA_ADJUSTED=GAAP","Sort=A","Dates=H","DateFormat=P","Fill=—","Direction=H","UseDPDF=Y")</f>
        <v>22449</v>
      </c>
      <c r="E30" s="13">
        <f>_xll.BDH("GILD US Equity","TRAIL_12M_NET_SALES","FQ1 2020","FQ1 2020","Currency=USD","Period=FQ","BEST_FPERIOD_OVERRIDE=FQ","FILING_STATUS=MR","SCALING_FORMAT=MLN","FA_ADJUSTED=GAAP","Sort=A","Dates=H","DateFormat=P","Fill=—","Direction=H","UseDPDF=Y")</f>
        <v>22716</v>
      </c>
      <c r="F30" s="13">
        <f>_xll.BDH("GILD US Equity","TRAIL_12M_NET_SALES","FQ2 2020","FQ2 2020","Currency=USD","Period=FQ","BEST_FPERIOD_OVERRIDE=FQ","FILING_STATUS=MR","SCALING_FORMAT=MLN","FA_ADJUSTED=GAAP","Sort=A","Dates=H","DateFormat=P","Fill=—","Direction=H","UseDPDF=Y")</f>
        <v>22174</v>
      </c>
      <c r="G30" s="13">
        <f>_xll.BDH("GILD US Equity","TRAIL_12M_NET_SALES","FQ3 2020","FQ3 2020","Currency=USD","Period=FQ","BEST_FPERIOD_OVERRIDE=FQ","FILING_STATUS=MR","SCALING_FORMAT=MLN","FA_ADJUSTED=GAAP","Sort=A","Dates=H","DateFormat=P","Fill=—","Direction=H","UseDPDF=Y")</f>
        <v>23147</v>
      </c>
      <c r="H30" s="13">
        <f>_xll.BDH("GILD US Equity","TRAIL_12M_NET_SALES","FQ4 2020","FQ4 2020","Currency=USD","Period=FQ","BEST_FPERIOD_OVERRIDE=FQ","FILING_STATUS=MR","SCALING_FORMAT=MLN","FA_ADJUSTED=GAAP","Sort=A","Dates=H","DateFormat=P","Fill=—","Direction=H","UseDPDF=Y")</f>
        <v>24689</v>
      </c>
      <c r="I30" s="13">
        <f>_xll.BDH("GILD US Equity","TRAIL_12M_NET_SALES","FQ1 2021","FQ1 2021","Currency=USD","Period=FQ","BEST_FPERIOD_OVERRIDE=FQ","FILING_STATUS=MR","SCALING_FORMAT=MLN","FA_ADJUSTED=GAAP","Sort=A","Dates=H","DateFormat=P","Fill=—","Direction=H","UseDPDF=Y")</f>
        <v>25564</v>
      </c>
      <c r="J30" s="13">
        <f>_xll.BDH("GILD US Equity","TRAIL_12M_NET_SALES","FQ2 2021","FQ2 2021","Currency=USD","Period=FQ","BEST_FPERIOD_OVERRIDE=FQ","FILING_STATUS=MR","SCALING_FORMAT=MLN","FA_ADJUSTED=GAAP","Sort=A","Dates=H","DateFormat=P","Fill=—","Direction=H","UseDPDF=Y")</f>
        <v>26638</v>
      </c>
      <c r="K30" s="13">
        <f>_xll.BDH("GILD US Equity","TRAIL_12M_NET_SALES","FQ3 2021","FQ3 2021","Currency=USD","Period=FQ","BEST_FPERIOD_OVERRIDE=FQ","FILING_STATUS=MR","SCALING_FORMAT=MLN","FA_ADJUSTED=GAAP","Sort=A","Dates=H","DateFormat=P","Fill=—","Direction=H","UseDPDF=Y")</f>
        <v>27482</v>
      </c>
      <c r="L30" s="13">
        <f>_xll.BDH("GILD US Equity","TRAIL_12M_NET_SALES","FQ4 2021","FQ4 2021","Currency=USD","Period=FQ","BEST_FPERIOD_OVERRIDE=FQ","FILING_STATUS=MR","SCALING_FORMAT=MLN","FA_ADJUSTED=GAAP","Sort=A","Dates=H","DateFormat=P","Fill=—","Direction=H","UseDPDF=Y")</f>
        <v>27305</v>
      </c>
      <c r="M30" s="13">
        <f>_xll.BDH("GILD US Equity","TRAIL_12M_NET_SALES","FQ1 2022","FQ1 2022","Currency=USD","Period=FQ","BEST_FPERIOD_OVERRIDE=FQ","FILING_STATUS=MR","SCALING_FORMAT=MLN","FA_ADJUSTED=GAAP","Sort=A","Dates=H","DateFormat=P","Fill=—","Direction=H","UseDPDF=Y")</f>
        <v>27472</v>
      </c>
      <c r="N30" s="13">
        <f>_xll.BDH("GILD US Equity","TRAIL_12M_NET_SALES","FQ2 2022","FQ2 2022","Currency=USD","Period=FQ","BEST_FPERIOD_OVERRIDE=FQ","FILING_STATUS=MR","SCALING_FORMAT=MLN","FA_ADJUSTED=GAAP","Sort=A","Dates=H","DateFormat=P","Fill=—","Direction=H","UseDPDF=Y")</f>
        <v>27515</v>
      </c>
      <c r="O30" s="13">
        <f>_xll.BDH("GILD US Equity","TRAIL_12M_NET_SALES","FQ3 2022","FQ3 2022","Currency=USD","Period=FQ","BEST_FPERIOD_OVERRIDE=FQ","FILING_STATUS=MR","SCALING_FORMAT=MLN","FA_ADJUSTED=GAAP","Sort=A","Dates=H","DateFormat=P","Fill=—","Direction=H","UseDPDF=Y")</f>
        <v>27136</v>
      </c>
      <c r="P30" s="13">
        <f>_xll.BDH("GILD US Equity","TRAIL_12M_NET_SALES","FQ4 2022","FQ4 2022","Currency=USD","Period=FQ","BEST_FPERIOD_OVERRIDE=FQ","FILING_STATUS=MR","SCALING_FORMAT=MLN","FA_ADJUSTED=GAAP","Sort=A","Dates=H","DateFormat=P","Fill=—","Direction=H","UseDPDF=Y")</f>
        <v>27281</v>
      </c>
      <c r="Q30" s="13">
        <f>_xll.BDH("GILD US Equity","TRAIL_12M_NET_SALES","FQ1 2023","FQ1 2023","Currency=USD","Period=FQ","BEST_FPERIOD_OVERRIDE=FQ","FILING_STATUS=MR","SCALING_FORMAT=MLN","FA_ADJUSTED=GAAP","Sort=A","Dates=H","DateFormat=P","Fill=—","Direction=H","UseDPDF=Y")</f>
        <v>27043</v>
      </c>
      <c r="R30" s="13">
        <f>_xll.BDH("GILD US Equity","TRAIL_12M_NET_SALES","FQ2 2023","FQ2 2023","Currency=USD","Period=FQ","BEST_FPERIOD_OVERRIDE=FQ","FILING_STATUS=MR","SCALING_FORMAT=MLN","FA_ADJUSTED=GAAP","Sort=A","Dates=H","DateFormat=P","Fill=—","Direction=H","UseDPDF=Y")</f>
        <v>27382</v>
      </c>
      <c r="S30" s="13">
        <f>_xll.BDH("GILD US Equity","TRAIL_12M_NET_SALES","FQ3 2023","FQ3 2023","Currency=USD","Period=FQ","BEST_FPERIOD_OVERRIDE=FQ","FILING_STATUS=MR","SCALING_FORMAT=MLN","FA_ADJUSTED=GAAP","Sort=A","Dates=H","DateFormat=P","Fill=—","Direction=H","UseDPDF=Y")</f>
        <v>27391</v>
      </c>
      <c r="T30" s="13">
        <f>_xll.BDH("GILD US Equity","TRAIL_12M_NET_SALES","FQ4 2023","FQ4 2023","Currency=USD","Period=FQ","BEST_FPERIOD_OVERRIDE=FQ","FILING_STATUS=MR","SCALING_FORMAT=MLN","FA_ADJUSTED=GAAP","Sort=A","Dates=H","DateFormat=P","Fill=—","Direction=H","UseDPDF=Y")</f>
        <v>27117</v>
      </c>
      <c r="U30" s="13">
        <f>_xll.BDH("GILD US Equity","TRAIL_12M_NET_SALES","FQ1 2024","FQ1 2024","Currency=USD","Period=FQ","BEST_FPERIOD_OVERRIDE=FQ","FILING_STATUS=MR","SCALING_FORMAT=MLN","FA_ADJUSTED=GAAP","Sort=A","Dates=H","DateFormat=P","Fill=—","Direction=H","UseDPDF=Y")</f>
        <v>27451</v>
      </c>
      <c r="V30" s="13">
        <f>_xll.BDH("GILD US Equity","TRAIL_12M_NET_SALES","FQ2 2024","FQ2 2024","Currency=USD","Period=FQ","BEST_FPERIOD_OVERRIDE=FQ","FILING_STATUS=MR","SCALING_FORMAT=MLN","FA_ADJUSTED=GAAP","Sort=A","Dates=H","DateFormat=P","Fill=—","Direction=H","UseDPDF=Y")</f>
        <v>27805</v>
      </c>
      <c r="W30" s="13">
        <f>_xll.BDH("GILD US Equity","TRAIL_12M_NET_SALES","FQ3 2024","FQ3 2024","Currency=USD","Period=FQ","BEST_FPERIOD_OVERRIDE=FQ","FILING_STATUS=MR","SCALING_FORMAT=MLN","FA_ADJUSTED=GAAP","Sort=A","Dates=H","DateFormat=P","Fill=—","Direction=H","UseDPDF=Y")</f>
        <v>28299</v>
      </c>
      <c r="X30" s="13">
        <f>_xll.BDH("GILD US Equity","TRAIL_12M_NET_SALES","FQ4 2024","FQ4 2024","Currency=USD","Period=FQ","BEST_FPERIOD_OVERRIDE=FQ","FILING_STATUS=MR","SCALING_FORMAT=MLN","FA_ADJUSTED=GAAP","Sort=A","Dates=H","DateFormat=P","Fill=—","Direction=H","UseDPDF=Y")</f>
        <v>28753</v>
      </c>
      <c r="Y30" s="16">
        <v>28753</v>
      </c>
      <c r="Z30" s="13">
        <v>28659.579000000002</v>
      </c>
      <c r="AA30" s="13">
        <v>28707.863000000001</v>
      </c>
    </row>
    <row r="31" spans="1:27" x14ac:dyDescent="0.25">
      <c r="A31" s="10" t="s">
        <v>78</v>
      </c>
      <c r="B31" s="10" t="s">
        <v>200</v>
      </c>
      <c r="C31" s="13">
        <f>_xll.BDH("GILD US Equity","TRAIL_12M_EBITDA","FQ3 2019","FQ3 2019","Currency=USD","Period=FQ","BEST_FPERIOD_OVERRIDE=FQ","FILING_STATUS=MR","SCALING_FORMAT=MLN","FA_ADJUSTED=GAAP","Sort=A","Dates=H","DateFormat=P","Fill=—","Direction=H","UseDPDF=Y")</f>
        <v>5868</v>
      </c>
      <c r="D31" s="13">
        <f>_xll.BDH("GILD US Equity","TRAIL_12M_EBITDA","FQ4 2019","FQ4 2019","Currency=USD","Period=FQ","BEST_FPERIOD_OVERRIDE=FQ","FILING_STATUS=MR","SCALING_FORMAT=MLN","FA_ADJUSTED=GAAP","Sort=A","Dates=H","DateFormat=P","Fill=—","Direction=H","UseDPDF=Y")</f>
        <v>5853</v>
      </c>
      <c r="E31" s="13">
        <f>_xll.BDH("GILD US Equity","TRAIL_12M_EBITDA","FQ1 2020","FQ1 2020","Currency=USD","Period=FQ","BEST_FPERIOD_OVERRIDE=FQ","FILING_STATUS=MR","SCALING_FORMAT=MLN","FA_ADJUSTED=GAAP","Sort=A","Dates=H","DateFormat=P","Fill=—","Direction=H","UseDPDF=Y")</f>
        <v>5972</v>
      </c>
      <c r="F31" s="13">
        <f>_xll.BDH("GILD US Equity","TRAIL_12M_EBITDA","FQ2 2020","FQ2 2020","Currency=USD","Period=FQ","BEST_FPERIOD_OVERRIDE=FQ","FILING_STATUS=MR","SCALING_FORMAT=MLN","FA_ADJUSTED=GAAP","Sort=A","Dates=H","DateFormat=P","Fill=—","Direction=H","UseDPDF=Y")</f>
        <v>522</v>
      </c>
      <c r="G31" s="13">
        <f>_xll.BDH("GILD US Equity","TRAIL_12M_EBITDA","FQ3 2020","FQ3 2020","Currency=USD","Period=FQ","BEST_FPERIOD_OVERRIDE=FQ","FILING_STATUS=MR","SCALING_FORMAT=MLN","FA_ADJUSTED=GAAP","Sort=A","Dates=H","DateFormat=P","Fill=—","Direction=H","UseDPDF=Y")</f>
        <v>3960</v>
      </c>
      <c r="H31" s="13">
        <f>_xll.BDH("GILD US Equity","TRAIL_12M_EBITDA","FQ4 2020","FQ4 2020","Currency=USD","Period=FQ","BEST_FPERIOD_OVERRIDE=FQ","FILING_STATUS=MR","SCALING_FORMAT=MLN","FA_ADJUSTED=GAAP","Sort=A","Dates=H","DateFormat=P","Fill=—","Direction=H","UseDPDF=Y")</f>
        <v>5551</v>
      </c>
      <c r="I31" s="13">
        <f>_xll.BDH("GILD US Equity","TRAIL_12M_EBITDA","FQ1 2021","FQ1 2021","Currency=USD","Period=FQ","BEST_FPERIOD_OVERRIDE=FQ","FILING_STATUS=MR","SCALING_FORMAT=MLN","FA_ADJUSTED=GAAP","Sort=A","Dates=H","DateFormat=P","Fill=—","Direction=H","UseDPDF=Y")</f>
        <v>6163</v>
      </c>
      <c r="J31" s="13">
        <f>_xll.BDH("GILD US Equity","TRAIL_12M_EBITDA","FQ2 2021","FQ2 2021","Currency=USD","Period=FQ","BEST_FPERIOD_OVERRIDE=FQ","FILING_STATUS=MR","SCALING_FORMAT=MLN","FA_ADJUSTED=GAAP","Sort=A","Dates=H","DateFormat=P","Fill=—","Direction=H","UseDPDF=Y")</f>
        <v>11562</v>
      </c>
      <c r="K31" s="13">
        <f>_xll.BDH("GILD US Equity","TRAIL_12M_EBITDA","FQ3 2021","FQ3 2021","Currency=USD","Period=FQ","BEST_FPERIOD_OVERRIDE=FQ","FILING_STATUS=MR","SCALING_FORMAT=MLN","FA_ADJUSTED=GAAP","Sort=A","Dates=H","DateFormat=P","Fill=—","Direction=H","UseDPDF=Y")</f>
        <v>13571</v>
      </c>
      <c r="L31" s="13">
        <f>_xll.BDH("GILD US Equity","TRAIL_12M_EBITDA","FQ4 2021","FQ4 2021","Currency=USD","Period=FQ","BEST_FPERIOD_OVERRIDE=FQ","FILING_STATUS=MR","SCALING_FORMAT=MLN","FA_ADJUSTED=GAAP","Sort=A","Dates=H","DateFormat=P","Fill=—","Direction=H","UseDPDF=Y")</f>
        <v>11968</v>
      </c>
      <c r="M31" s="13">
        <f>_xll.BDH("GILD US Equity","TRAIL_12M_EBITDA","FQ1 2022","FQ1 2022","Currency=USD","Period=FQ","BEST_FPERIOD_OVERRIDE=FQ","FILING_STATUS=MR","SCALING_FORMAT=MLN","FA_ADJUSTED=GAAP","Sort=A","Dates=H","DateFormat=P","Fill=—","Direction=H","UseDPDF=Y")</f>
        <v>9327</v>
      </c>
      <c r="N31" s="13">
        <f>_xll.BDH("GILD US Equity","TRAIL_12M_EBITDA","FQ2 2022","FQ2 2022","Currency=USD","Period=FQ","BEST_FPERIOD_OVERRIDE=FQ","FILING_STATUS=MR","SCALING_FORMAT=MLN","FA_ADJUSTED=GAAP","Sort=A","Dates=H","DateFormat=P","Fill=—","Direction=H","UseDPDF=Y")</f>
        <v>9116</v>
      </c>
      <c r="O31" s="13">
        <f>_xll.BDH("GILD US Equity","TRAIL_12M_EBITDA","FQ3 2022","FQ3 2022","Currency=USD","Period=FQ","BEST_FPERIOD_OVERRIDE=FQ","FILING_STATUS=MR","SCALING_FORMAT=MLN","FA_ADJUSTED=GAAP","Sort=A","Dates=H","DateFormat=P","Fill=—","Direction=H","UseDPDF=Y")</f>
        <v>8113</v>
      </c>
      <c r="P31" s="13">
        <f>_xll.BDH("GILD US Equity","TRAIL_12M_EBITDA","FQ4 2022","FQ4 2022","Currency=USD","Period=FQ","BEST_FPERIOD_OVERRIDE=FQ","FILING_STATUS=MR","SCALING_FORMAT=MLN","FA_ADJUSTED=GAAP","Sort=A","Dates=H","DateFormat=P","Fill=—","Direction=H","UseDPDF=Y")</f>
        <v>9433</v>
      </c>
      <c r="Q31" s="13">
        <f>_xll.BDH("GILD US Equity","TRAIL_12M_EBITDA","FQ1 2023","FQ1 2023","Currency=USD","Period=FQ","BEST_FPERIOD_OVERRIDE=FQ","FILING_STATUS=MR","SCALING_FORMAT=MLN","FA_ADJUSTED=GAAP","Sort=A","Dates=H","DateFormat=P","Fill=—","Direction=H","UseDPDF=Y")</f>
        <v>11056</v>
      </c>
      <c r="R31" s="13">
        <f>_xll.BDH("GILD US Equity","TRAIL_12M_EBITDA","FQ2 2023","FQ2 2023","Currency=USD","Period=FQ","BEST_FPERIOD_OVERRIDE=FQ","FILING_STATUS=MR","SCALING_FORMAT=MLN","FA_ADJUSTED=GAAP","Sort=A","Dates=H","DateFormat=P","Fill=—","Direction=H","UseDPDF=Y")</f>
        <v>10848</v>
      </c>
      <c r="S31" s="13">
        <f>_xll.BDH("GILD US Equity","TRAIL_12M_EBITDA","FQ3 2023","FQ3 2023","Currency=USD","Period=FQ","BEST_FPERIOD_OVERRIDE=FQ","FILING_STATUS=MR","SCALING_FORMAT=MLN","FA_ADJUSTED=GAAP","Sort=A","Dates=H","DateFormat=P","Fill=—","Direction=H","UseDPDF=Y")</f>
        <v>10793</v>
      </c>
      <c r="T31" s="13">
        <f>_xll.BDH("GILD US Equity","TRAIL_12M_EBITDA","FQ4 2023","FQ4 2023","Currency=USD","Period=FQ","BEST_FPERIOD_OVERRIDE=FQ","FILING_STATUS=MR","SCALING_FORMAT=MLN","FA_ADJUSTED=GAAP","Sort=A","Dates=H","DateFormat=P","Fill=—","Direction=H","UseDPDF=Y")</f>
        <v>10298</v>
      </c>
      <c r="U31" s="13">
        <f>_xll.BDH("GILD US Equity","TRAIL_12M_EBITDA","FQ1 2024","FQ1 2024","Currency=USD","Period=FQ","BEST_FPERIOD_OVERRIDE=FQ","FILING_STATUS=MR","SCALING_FORMAT=MLN","FA_ADJUSTED=GAAP","Sort=A","Dates=H","DateFormat=P","Fill=—","Direction=H","UseDPDF=Y")</f>
        <v>4321</v>
      </c>
      <c r="V31" s="13">
        <f>_xll.BDH("GILD US Equity","TRAIL_12M_EBITDA","FQ2 2024","FQ2 2024","Currency=USD","Period=FQ","BEST_FPERIOD_OVERRIDE=FQ","FILING_STATUS=MR","SCALING_FORMAT=MLN","FA_ADJUSTED=GAAP","Sort=A","Dates=H","DateFormat=P","Fill=—","Direction=H","UseDPDF=Y")</f>
        <v>5313</v>
      </c>
      <c r="W31" s="13">
        <f>_xll.BDH("GILD US Equity","TRAIL_12M_EBITDA","FQ3 2024","FQ3 2024","Currency=USD","Period=FQ","BEST_FPERIOD_OVERRIDE=FQ","FILING_STATUS=MR","SCALING_FORMAT=MLN","FA_ADJUSTED=GAAP","Sort=A","Dates=H","DateFormat=P","Fill=—","Direction=H","UseDPDF=Y")</f>
        <v>3584</v>
      </c>
      <c r="X31" s="13">
        <f>_xll.BDH("GILD US Equity","TRAIL_12M_EBITDA","FQ4 2024","FQ4 2024","Currency=USD","Period=FQ","BEST_FPERIOD_OVERRIDE=FQ","FILING_STATUS=MR","SCALING_FORMAT=MLN","FA_ADJUSTED=GAAP","Sort=A","Dates=H","DateFormat=P","Fill=—","Direction=H","UseDPDF=Y")</f>
        <v>4428</v>
      </c>
      <c r="Y31" s="16">
        <v>4428</v>
      </c>
      <c r="Z31" s="13">
        <v>15368.5</v>
      </c>
      <c r="AA31" s="13">
        <v>15874.5</v>
      </c>
    </row>
    <row r="32" spans="1:27" x14ac:dyDescent="0.25">
      <c r="A32" s="10" t="s">
        <v>141</v>
      </c>
      <c r="B32" s="10" t="s">
        <v>201</v>
      </c>
      <c r="C32" s="13">
        <f>_xll.BDH("GILD US Equity","TRAIL_12M_OPER_INC","FQ3 2019","FQ3 2019","Currency=USD","Period=FQ","BEST_FPERIOD_OVERRIDE=FQ","FILING_STATUS=MR","SCALING_FORMAT=MLN","FA_ADJUSTED=GAAP","Sort=A","Dates=H","DateFormat=P","Fill=—","Direction=H","UseDPDF=Y")</f>
        <v>4338</v>
      </c>
      <c r="D32" s="13">
        <f>_xll.BDH("GILD US Equity","TRAIL_12M_OPER_INC","FQ4 2019","FQ4 2019","Currency=USD","Period=FQ","BEST_FPERIOD_OVERRIDE=FQ","FILING_STATUS=MR","SCALING_FORMAT=MLN","FA_ADJUSTED=GAAP","Sort=A","Dates=H","DateFormat=P","Fill=—","Direction=H","UseDPDF=Y")</f>
        <v>4287</v>
      </c>
      <c r="E32" s="13">
        <f>_xll.BDH("GILD US Equity","TRAIL_12M_OPER_INC","FQ1 2020","FQ1 2020","Currency=USD","Period=FQ","BEST_FPERIOD_OVERRIDE=FQ","FILING_STATUS=MR","SCALING_FORMAT=MLN","FA_ADJUSTED=GAAP","Sort=A","Dates=H","DateFormat=P","Fill=—","Direction=H","UseDPDF=Y")</f>
        <v>4452</v>
      </c>
      <c r="F32" s="13">
        <f>_xll.BDH("GILD US Equity","TRAIL_12M_OPER_INC","FQ2 2020","FQ2 2020","Currency=USD","Period=FQ","BEST_FPERIOD_OVERRIDE=FQ","FILING_STATUS=MR","SCALING_FORMAT=MLN","FA_ADJUSTED=GAAP","Sort=A","Dates=H","DateFormat=P","Fill=—","Direction=H","UseDPDF=Y")</f>
        <v>-961</v>
      </c>
      <c r="G32" s="13">
        <f>_xll.BDH("GILD US Equity","TRAIL_12M_OPER_INC","FQ3 2020","FQ3 2020","Currency=USD","Period=FQ","BEST_FPERIOD_OVERRIDE=FQ","FILING_STATUS=MR","SCALING_FORMAT=MLN","FA_ADJUSTED=GAAP","Sort=A","Dates=H","DateFormat=P","Fill=—","Direction=H","UseDPDF=Y")</f>
        <v>2513</v>
      </c>
      <c r="H32" s="13">
        <f>_xll.BDH("GILD US Equity","TRAIL_12M_OPER_INC","FQ4 2020","FQ4 2020","Currency=USD","Period=FQ","BEST_FPERIOD_OVERRIDE=FQ","FILING_STATUS=MR","SCALING_FORMAT=MLN","FA_ADJUSTED=GAAP","Sort=A","Dates=H","DateFormat=P","Fill=—","Direction=H","UseDPDF=Y")</f>
        <v>4071</v>
      </c>
      <c r="I32" s="13">
        <f>_xll.BDH("GILD US Equity","TRAIL_12M_OPER_INC","FQ1 2021","FQ1 2021","Currency=USD","Period=FQ","BEST_FPERIOD_OVERRIDE=FQ","FILING_STATUS=MR","SCALING_FORMAT=MLN","FA_ADJUSTED=GAAP","Sort=A","Dates=H","DateFormat=P","Fill=—","Direction=H","UseDPDF=Y")</f>
        <v>4559</v>
      </c>
      <c r="J32" s="13">
        <f>_xll.BDH("GILD US Equity","TRAIL_12M_OPER_INC","FQ2 2021","FQ2 2021","Currency=USD","Period=FQ","BEST_FPERIOD_OVERRIDE=FQ","FILING_STATUS=MR","SCALING_FORMAT=MLN","FA_ADJUSTED=GAAP","Sort=A","Dates=H","DateFormat=P","Fill=—","Direction=H","UseDPDF=Y")</f>
        <v>9788</v>
      </c>
      <c r="K32" s="13">
        <f>_xll.BDH("GILD US Equity","TRAIL_12M_OPER_INC","FQ3 2021","FQ3 2021","Currency=USD","Period=FQ","BEST_FPERIOD_OVERRIDE=FQ","FILING_STATUS=MR","SCALING_FORMAT=MLN","FA_ADJUSTED=GAAP","Sort=A","Dates=H","DateFormat=P","Fill=—","Direction=H","UseDPDF=Y")</f>
        <v>11629</v>
      </c>
      <c r="L32" s="13">
        <f>_xll.BDH("GILD US Equity","TRAIL_12M_OPER_INC","FQ4 2021","FQ4 2021","Currency=USD","Period=FQ","BEST_FPERIOD_OVERRIDE=FQ","FILING_STATUS=MR","SCALING_FORMAT=MLN","FA_ADJUSTED=GAAP","Sort=A","Dates=H","DateFormat=P","Fill=—","Direction=H","UseDPDF=Y")</f>
        <v>9918</v>
      </c>
      <c r="M32" s="13">
        <f>_xll.BDH("GILD US Equity","TRAIL_12M_OPER_INC","FQ1 2022","FQ1 2022","Currency=USD","Period=FQ","BEST_FPERIOD_OVERRIDE=FQ","FILING_STATUS=MR","SCALING_FORMAT=MLN","FA_ADJUSTED=GAAP","Sort=A","Dates=H","DateFormat=P","Fill=—","Direction=H","UseDPDF=Y")</f>
        <v>7225</v>
      </c>
      <c r="N32" s="13">
        <f>_xll.BDH("GILD US Equity","TRAIL_12M_OPER_INC","FQ2 2022","FQ2 2022","Currency=USD","Period=FQ","BEST_FPERIOD_OVERRIDE=FQ","FILING_STATUS=MR","SCALING_FORMAT=MLN","FA_ADJUSTED=GAAP","Sort=A","Dates=H","DateFormat=P","Fill=—","Direction=H","UseDPDF=Y")</f>
        <v>7008</v>
      </c>
      <c r="O32" s="13">
        <f>_xll.BDH("GILD US Equity","TRAIL_12M_OPER_INC","FQ3 2022","FQ3 2022","Currency=USD","Period=FQ","BEST_FPERIOD_OVERRIDE=FQ","FILING_STATUS=MR","SCALING_FORMAT=MLN","FA_ADJUSTED=GAAP","Sort=A","Dates=H","DateFormat=P","Fill=—","Direction=H","UseDPDF=Y")</f>
        <v>6003</v>
      </c>
      <c r="P32" s="13">
        <f>_xll.BDH("GILD US Equity","TRAIL_12M_OPER_INC","FQ4 2022","FQ4 2022","Currency=USD","Period=FQ","BEST_FPERIOD_OVERRIDE=FQ","FILING_STATUS=MR","SCALING_FORMAT=MLN","FA_ADJUSTED=GAAP","Sort=A","Dates=H","DateFormat=P","Fill=—","Direction=H","UseDPDF=Y")</f>
        <v>7330</v>
      </c>
      <c r="Q32" s="13">
        <f>_xll.BDH("GILD US Equity","TRAIL_12M_OPER_INC","FQ1 2023","FQ1 2023","Currency=USD","Period=FQ","BEST_FPERIOD_OVERRIDE=FQ","FILING_STATUS=MR","SCALING_FORMAT=MLN","FA_ADJUSTED=GAAP","Sort=A","Dates=H","DateFormat=P","Fill=—","Direction=H","UseDPDF=Y")</f>
        <v>8838</v>
      </c>
      <c r="R32" s="13">
        <f>_xll.BDH("GILD US Equity","TRAIL_12M_OPER_INC","FQ2 2023","FQ2 2023","Currency=USD","Period=FQ","BEST_FPERIOD_OVERRIDE=FQ","FILING_STATUS=MR","SCALING_FORMAT=MLN","FA_ADJUSTED=GAAP","Sort=A","Dates=H","DateFormat=P","Fill=—","Direction=H","UseDPDF=Y")</f>
        <v>8474</v>
      </c>
      <c r="S32" s="13">
        <f>_xll.BDH("GILD US Equity","TRAIL_12M_OPER_INC","FQ3 2023","FQ3 2023","Currency=USD","Period=FQ","BEST_FPERIOD_OVERRIDE=FQ","FILING_STATUS=MR","SCALING_FORMAT=MLN","FA_ADJUSTED=GAAP","Sort=A","Dates=H","DateFormat=P","Fill=—","Direction=H","UseDPDF=Y")</f>
        <v>8260</v>
      </c>
      <c r="T32" s="13">
        <f>_xll.BDH("GILD US Equity","TRAIL_12M_OPER_INC","FQ4 2023","FQ4 2023","Currency=USD","Period=FQ","BEST_FPERIOD_OVERRIDE=FQ","FILING_STATUS=MR","SCALING_FORMAT=MLN","FA_ADJUSTED=GAAP","Sort=A","Dates=H","DateFormat=P","Fill=—","Direction=H","UseDPDF=Y")</f>
        <v>7605</v>
      </c>
      <c r="U32" s="13">
        <f>_xll.BDH("GILD US Equity","TRAIL_12M_OPER_INC","FQ1 2024","FQ1 2024","Currency=USD","Period=FQ","BEST_FPERIOD_OVERRIDE=FQ","FILING_STATUS=MR","SCALING_FORMAT=MLN","FA_ADJUSTED=GAAP","Sort=A","Dates=H","DateFormat=P","Fill=—","Direction=H","UseDPDF=Y")</f>
        <v>1578</v>
      </c>
      <c r="V32" s="13">
        <f>_xll.BDH("GILD US Equity","TRAIL_12M_OPER_INC","FQ2 2024","FQ2 2024","Currency=USD","Period=FQ","BEST_FPERIOD_OVERRIDE=FQ","FILING_STATUS=MR","SCALING_FORMAT=MLN","FA_ADJUSTED=GAAP","Sort=A","Dates=H","DateFormat=P","Fill=—","Direction=H","UseDPDF=Y")</f>
        <v>2557</v>
      </c>
      <c r="W32" s="13">
        <f>_xll.BDH("GILD US Equity","TRAIL_12M_OPER_INC","FQ3 2024","FQ3 2024","Currency=USD","Period=FQ","BEST_FPERIOD_OVERRIDE=FQ","FILING_STATUS=MR","SCALING_FORMAT=MLN","FA_ADJUSTED=GAAP","Sort=A","Dates=H","DateFormat=P","Fill=—","Direction=H","UseDPDF=Y")</f>
        <v>822</v>
      </c>
      <c r="X32" s="13">
        <f>_xll.BDH("GILD US Equity","TRAIL_12M_OPER_INC","FQ4 2024","FQ4 2024","Currency=USD","Period=FQ","BEST_FPERIOD_OVERRIDE=FQ","FILING_STATUS=MR","SCALING_FORMAT=MLN","FA_ADJUSTED=GAAP","Sort=A","Dates=H","DateFormat=P","Fill=—","Direction=H","UseDPDF=Y")</f>
        <v>1661</v>
      </c>
      <c r="Y32" s="16">
        <v>1661</v>
      </c>
      <c r="Z32" s="13">
        <v>12862.724</v>
      </c>
      <c r="AA32" s="13">
        <v>13240.370999999999</v>
      </c>
    </row>
    <row r="33" spans="1:27" x14ac:dyDescent="0.25">
      <c r="A33" s="10" t="s">
        <v>202</v>
      </c>
      <c r="B33" s="10" t="s">
        <v>203</v>
      </c>
      <c r="C33" s="13">
        <f>_xll.BDH("GILD US Equity","TRAIL_12M_CASH_FLOW_FIRM","FQ3 2019","FQ3 2019","Currency=USD","Period=FQ","BEST_FPERIOD_OVERRIDE=FQ","FILING_STATUS=MR","SCALING_FORMAT=MLN","FA_ADJUSTED=GAAP","Sort=A","Dates=H","DateFormat=P","Fill=—","Direction=H","UseDPDF=Y")</f>
        <v>9662.0705999999991</v>
      </c>
      <c r="D33" s="13" t="str">
        <f>_xll.BDH("GILD US Equity","TRAIL_12M_CASH_FLOW_FIRM","FQ4 2019","FQ4 2019","Currency=USD","Period=FQ","BEST_FPERIOD_OVERRIDE=FQ","FILING_STATUS=MR","SCALING_FORMAT=MLN","FA_ADJUSTED=GAAP","Sort=A","Dates=H","DateFormat=P","Fill=—","Direction=H","UseDPDF=Y")</f>
        <v>—</v>
      </c>
      <c r="E33" s="13" t="str">
        <f>_xll.BDH("GILD US Equity","TRAIL_12M_CASH_FLOW_FIRM","FQ1 2020","FQ1 2020","Currency=USD","Period=FQ","BEST_FPERIOD_OVERRIDE=FQ","FILING_STATUS=MR","SCALING_FORMAT=MLN","FA_ADJUSTED=GAAP","Sort=A","Dates=H","DateFormat=P","Fill=—","Direction=H","UseDPDF=Y")</f>
        <v>—</v>
      </c>
      <c r="F33" s="13" t="str">
        <f>_xll.BDH("GILD US Equity","TRAIL_12M_CASH_FLOW_FIRM","FQ2 2020","FQ2 2020","Currency=USD","Period=FQ","BEST_FPERIOD_OVERRIDE=FQ","FILING_STATUS=MR","SCALING_FORMAT=MLN","FA_ADJUSTED=GAAP","Sort=A","Dates=H","DateFormat=P","Fill=—","Direction=H","UseDPDF=Y")</f>
        <v>—</v>
      </c>
      <c r="G33" s="13">
        <f>_xll.BDH("GILD US Equity","TRAIL_12M_CASH_FLOW_FIRM","FQ3 2020","FQ3 2020","Currency=USD","Period=FQ","BEST_FPERIOD_OVERRIDE=FQ","FILING_STATUS=MR","SCALING_FORMAT=MLN","FA_ADJUSTED=GAAP","Sort=A","Dates=H","DateFormat=P","Fill=—","Direction=H","UseDPDF=Y")</f>
        <v>9506.6241000000009</v>
      </c>
      <c r="H33" s="13">
        <f>_xll.BDH("GILD US Equity","TRAIL_12M_CASH_FLOW_FIRM","FQ4 2020","FQ4 2020","Currency=USD","Period=FQ","BEST_FPERIOD_OVERRIDE=FQ","FILING_STATUS=MR","SCALING_FORMAT=MLN","FA_ADJUSTED=GAAP","Sort=A","Dates=H","DateFormat=P","Fill=—","Direction=H","UseDPDF=Y")</f>
        <v>8220.4721000000009</v>
      </c>
      <c r="I33" s="13">
        <f>_xll.BDH("GILD US Equity","TRAIL_12M_CASH_FLOW_FIRM","FQ1 2021","FQ1 2021","Currency=USD","Period=FQ","BEST_FPERIOD_OVERRIDE=FQ","FILING_STATUS=MR","SCALING_FORMAT=MLN","FA_ADJUSTED=GAAP","Sort=A","Dates=H","DateFormat=P","Fill=—","Direction=H","UseDPDF=Y")</f>
        <v>9483.4508000000005</v>
      </c>
      <c r="J33" s="13">
        <f>_xll.BDH("GILD US Equity","TRAIL_12M_CASH_FLOW_FIRM","FQ2 2021","FQ2 2021","Currency=USD","Period=FQ","BEST_FPERIOD_OVERRIDE=FQ","FILING_STATUS=MR","SCALING_FORMAT=MLN","FA_ADJUSTED=GAAP","Sort=A","Dates=H","DateFormat=P","Fill=—","Direction=H","UseDPDF=Y")</f>
        <v>9868.5143000000007</v>
      </c>
      <c r="K33" s="13">
        <f>_xll.BDH("GILD US Equity","TRAIL_12M_CASH_FLOW_FIRM","FQ3 2021","FQ3 2021","Currency=USD","Period=FQ","BEST_FPERIOD_OVERRIDE=FQ","FILING_STATUS=MR","SCALING_FORMAT=MLN","FA_ADJUSTED=GAAP","Sort=A","Dates=H","DateFormat=P","Fill=—","Direction=H","UseDPDF=Y")</f>
        <v>10908.2508</v>
      </c>
      <c r="L33" s="13">
        <f>_xll.BDH("GILD US Equity","TRAIL_12M_CASH_FLOW_FIRM","FQ4 2021","FQ4 2021","Currency=USD","Period=FQ","BEST_FPERIOD_OVERRIDE=FQ","FILING_STATUS=MR","SCALING_FORMAT=MLN","FA_ADJUSTED=GAAP","Sort=A","Dates=H","DateFormat=P","Fill=—","Direction=H","UseDPDF=Y")</f>
        <v>12133.8431</v>
      </c>
      <c r="M33" s="13">
        <f>_xll.BDH("GILD US Equity","TRAIL_12M_CASH_FLOW_FIRM","FQ1 2022","FQ1 2022","Currency=USD","Period=FQ","BEST_FPERIOD_OVERRIDE=FQ","FILING_STATUS=MR","SCALING_FORMAT=MLN","FA_ADJUSTED=GAAP","Sort=A","Dates=H","DateFormat=P","Fill=—","Direction=H","UseDPDF=Y")</f>
        <v>11366.330599999999</v>
      </c>
      <c r="N33" s="13">
        <f>_xll.BDH("GILD US Equity","TRAIL_12M_CASH_FLOW_FIRM","FQ2 2022","FQ2 2022","Currency=USD","Period=FQ","BEST_FPERIOD_OVERRIDE=FQ","FILING_STATUS=MR","SCALING_FORMAT=MLN","FA_ADJUSTED=GAAP","Sort=A","Dates=H","DateFormat=P","Fill=—","Direction=H","UseDPDF=Y")</f>
        <v>10816.9272</v>
      </c>
      <c r="O33" s="13">
        <f>_xll.BDH("GILD US Equity","TRAIL_12M_CASH_FLOW_FIRM","FQ3 2022","FQ3 2022","Currency=USD","Period=FQ","BEST_FPERIOD_OVERRIDE=FQ","FILING_STATUS=MR","SCALING_FORMAT=MLN","FA_ADJUSTED=GAAP","Sort=A","Dates=H","DateFormat=P","Fill=—","Direction=H","UseDPDF=Y")</f>
        <v>10399.921399999999</v>
      </c>
      <c r="P33" s="13">
        <f>_xll.BDH("GILD US Equity","TRAIL_12M_CASH_FLOW_FIRM","FQ4 2022","FQ4 2022","Currency=USD","Period=FQ","BEST_FPERIOD_OVERRIDE=FQ","FILING_STATUS=MR","SCALING_FORMAT=MLN","FA_ADJUSTED=GAAP","Sort=A","Dates=H","DateFormat=P","Fill=—","Direction=H","UseDPDF=Y")</f>
        <v>9807.0835999999999</v>
      </c>
      <c r="Q33" s="13">
        <f>_xll.BDH("GILD US Equity","TRAIL_12M_CASH_FLOW_FIRM","FQ1 2023","FQ1 2023","Currency=USD","Period=FQ","BEST_FPERIOD_OVERRIDE=FQ","FILING_STATUS=MR","SCALING_FORMAT=MLN","FA_ADJUSTED=GAAP","Sort=A","Dates=H","DateFormat=P","Fill=—","Direction=H","UseDPDF=Y")</f>
        <v>9683.3030999999992</v>
      </c>
      <c r="R33" s="13">
        <f>_xll.BDH("GILD US Equity","TRAIL_12M_CASH_FLOW_FIRM","FQ2 2023","FQ2 2023","Currency=USD","Period=FQ","BEST_FPERIOD_OVERRIDE=FQ","FILING_STATUS=MR","SCALING_FORMAT=MLN","FA_ADJUSTED=GAAP","Sort=A","Dates=H","DateFormat=P","Fill=—","Direction=H","UseDPDF=Y")</f>
        <v>10190.1216</v>
      </c>
      <c r="S33" s="13">
        <f>_xll.BDH("GILD US Equity","TRAIL_12M_CASH_FLOW_FIRM","FQ3 2023","FQ3 2023","Currency=USD","Period=FQ","BEST_FPERIOD_OVERRIDE=FQ","FILING_STATUS=MR","SCALING_FORMAT=MLN","FA_ADJUSTED=GAAP","Sort=A","Dates=H","DateFormat=P","Fill=—","Direction=H","UseDPDF=Y")</f>
        <v>9144.1010000000006</v>
      </c>
      <c r="T33" s="13">
        <f>_xll.BDH("GILD US Equity","TRAIL_12M_CASH_FLOW_FIRM","FQ4 2023","FQ4 2023","Currency=USD","Period=FQ","BEST_FPERIOD_OVERRIDE=FQ","FILING_STATUS=MR","SCALING_FORMAT=MLN","FA_ADJUSTED=GAAP","Sort=A","Dates=H","DateFormat=P","Fill=—","Direction=H","UseDPDF=Y")</f>
        <v>8778.4012000000002</v>
      </c>
      <c r="U33" s="13">
        <f>_xll.BDH("GILD US Equity","TRAIL_12M_CASH_FLOW_FIRM","FQ1 2024","FQ1 2024","Currency=USD","Period=FQ","BEST_FPERIOD_OVERRIDE=FQ","FILING_STATUS=MR","SCALING_FORMAT=MLN","FA_ADJUSTED=GAAP","Sort=A","Dates=H","DateFormat=P","Fill=—","Direction=H","UseDPDF=Y")</f>
        <v>8894.6983</v>
      </c>
      <c r="V33" s="13">
        <f>_xll.BDH("GILD US Equity","TRAIL_12M_CASH_FLOW_FIRM","FQ2 2024","FQ2 2024","Currency=USD","Period=FQ","BEST_FPERIOD_OVERRIDE=FQ","FILING_STATUS=MR","SCALING_FORMAT=MLN","FA_ADJUSTED=GAAP","Sort=A","Dates=H","DateFormat=P","Fill=—","Direction=H","UseDPDF=Y")</f>
        <v>8122.3963999999996</v>
      </c>
      <c r="W33" s="13">
        <f>_xll.BDH("GILD US Equity","TRAIL_12M_CASH_FLOW_FIRM","FQ3 2024","FQ3 2024","Currency=USD","Period=FQ","BEST_FPERIOD_OVERRIDE=FQ","FILING_STATUS=MR","SCALING_FORMAT=MLN","FA_ADJUSTED=GAAP","Sort=A","Dates=H","DateFormat=P","Fill=—","Direction=H","UseDPDF=Y")</f>
        <v>10656.7727</v>
      </c>
      <c r="X33" s="13">
        <f>_xll.BDH("GILD US Equity","TRAIL_12M_CASH_FLOW_FIRM","FQ4 2024","FQ4 2024","Currency=USD","Period=FQ","BEST_FPERIOD_OVERRIDE=FQ","FILING_STATUS=MR","SCALING_FORMAT=MLN","FA_ADJUSTED=GAAP","Sort=A","Dates=H","DateFormat=P","Fill=—","Direction=H","UseDPDF=Y")</f>
        <v>11505.974</v>
      </c>
      <c r="Y33" s="16">
        <v>11505.9739507959</v>
      </c>
      <c r="Z33" s="13"/>
      <c r="AA33" s="13"/>
    </row>
    <row r="34" spans="1:27" x14ac:dyDescent="0.25">
      <c r="A34" s="10" t="s">
        <v>204</v>
      </c>
      <c r="B34" s="10" t="s">
        <v>205</v>
      </c>
      <c r="C34" s="13">
        <f>_xll.BDH("GILD US Equity","TRAIL_12M_FREE_CASH_FLOW_FIRM","FQ3 2019","FQ3 2019","Currency=USD","Period=FQ","BEST_FPERIOD_OVERRIDE=FQ","FILING_STATUS=MR","SCALING_FORMAT=MLN","FA_ADJUSTED=GAAP","Sort=A","Dates=H","DateFormat=P","Fill=—","Direction=H","UseDPDF=Y")</f>
        <v>8792.0705999999991</v>
      </c>
      <c r="D34" s="13" t="str">
        <f>_xll.BDH("GILD US Equity","TRAIL_12M_FREE_CASH_FLOW_FIRM","FQ4 2019","FQ4 2019","Currency=USD","Period=FQ","BEST_FPERIOD_OVERRIDE=FQ","FILING_STATUS=MR","SCALING_FORMAT=MLN","FA_ADJUSTED=GAAP","Sort=A","Dates=H","DateFormat=P","Fill=—","Direction=H","UseDPDF=Y")</f>
        <v>—</v>
      </c>
      <c r="E34" s="13" t="str">
        <f>_xll.BDH("GILD US Equity","TRAIL_12M_FREE_CASH_FLOW_FIRM","FQ1 2020","FQ1 2020","Currency=USD","Period=FQ","BEST_FPERIOD_OVERRIDE=FQ","FILING_STATUS=MR","SCALING_FORMAT=MLN","FA_ADJUSTED=GAAP","Sort=A","Dates=H","DateFormat=P","Fill=—","Direction=H","UseDPDF=Y")</f>
        <v>—</v>
      </c>
      <c r="F34" s="13" t="str">
        <f>_xll.BDH("GILD US Equity","TRAIL_12M_FREE_CASH_FLOW_FIRM","FQ2 2020","FQ2 2020","Currency=USD","Period=FQ","BEST_FPERIOD_OVERRIDE=FQ","FILING_STATUS=MR","SCALING_FORMAT=MLN","FA_ADJUSTED=GAAP","Sort=A","Dates=H","DateFormat=P","Fill=—","Direction=H","UseDPDF=Y")</f>
        <v>—</v>
      </c>
      <c r="G34" s="13">
        <f>_xll.BDH("GILD US Equity","TRAIL_12M_FREE_CASH_FLOW_FIRM","FQ3 2020","FQ3 2020","Currency=USD","Period=FQ","BEST_FPERIOD_OVERRIDE=FQ","FILING_STATUS=MR","SCALING_FORMAT=MLN","FA_ADJUSTED=GAAP","Sort=A","Dates=H","DateFormat=P","Fill=—","Direction=H","UseDPDF=Y")</f>
        <v>8834.6241000000009</v>
      </c>
      <c r="H34" s="13">
        <f>_xll.BDH("GILD US Equity","TRAIL_12M_FREE_CASH_FLOW_FIRM","FQ4 2020","FQ4 2020","Currency=USD","Period=FQ","BEST_FPERIOD_OVERRIDE=FQ","FILING_STATUS=MR","SCALING_FORMAT=MLN","FA_ADJUSTED=GAAP","Sort=A","Dates=H","DateFormat=P","Fill=—","Direction=H","UseDPDF=Y")</f>
        <v>7570.4721</v>
      </c>
      <c r="I34" s="13">
        <f>_xll.BDH("GILD US Equity","TRAIL_12M_FREE_CASH_FLOW_FIRM","FQ1 2021","FQ1 2021","Currency=USD","Period=FQ","BEST_FPERIOD_OVERRIDE=FQ","FILING_STATUS=MR","SCALING_FORMAT=MLN","FA_ADJUSTED=GAAP","Sort=A","Dates=H","DateFormat=P","Fill=—","Direction=H","UseDPDF=Y")</f>
        <v>8839.4508000000005</v>
      </c>
      <c r="J34" s="13">
        <f>_xll.BDH("GILD US Equity","TRAIL_12M_FREE_CASH_FLOW_FIRM","FQ2 2021","FQ2 2021","Currency=USD","Period=FQ","BEST_FPERIOD_OVERRIDE=FQ","FILING_STATUS=MR","SCALING_FORMAT=MLN","FA_ADJUSTED=GAAP","Sort=A","Dates=H","DateFormat=P","Fill=—","Direction=H","UseDPDF=Y")</f>
        <v>9248.5143000000007</v>
      </c>
      <c r="K34" s="13">
        <f>_xll.BDH("GILD US Equity","TRAIL_12M_FREE_CASH_FLOW_FIRM","FQ3 2021","FQ3 2021","Currency=USD","Period=FQ","BEST_FPERIOD_OVERRIDE=FQ","FILING_STATUS=MR","SCALING_FORMAT=MLN","FA_ADJUSTED=GAAP","Sort=A","Dates=H","DateFormat=P","Fill=—","Direction=H","UseDPDF=Y")</f>
        <v>10304.2508</v>
      </c>
      <c r="L34" s="13">
        <f>_xll.BDH("GILD US Equity","TRAIL_12M_FREE_CASH_FLOW_FIRM","FQ4 2021","FQ4 2021","Currency=USD","Period=FQ","BEST_FPERIOD_OVERRIDE=FQ","FILING_STATUS=MR","SCALING_FORMAT=MLN","FA_ADJUSTED=GAAP","Sort=A","Dates=H","DateFormat=P","Fill=—","Direction=H","UseDPDF=Y")</f>
        <v>11554.8431</v>
      </c>
      <c r="M34" s="13">
        <f>_xll.BDH("GILD US Equity","TRAIL_12M_FREE_CASH_FLOW_FIRM","FQ1 2022","FQ1 2022","Currency=USD","Period=FQ","BEST_FPERIOD_OVERRIDE=FQ","FILING_STATUS=MR","SCALING_FORMAT=MLN","FA_ADJUSTED=GAAP","Sort=A","Dates=H","DateFormat=P","Fill=—","Direction=H","UseDPDF=Y")</f>
        <v>10705.330599999999</v>
      </c>
      <c r="N34" s="13">
        <f>_xll.BDH("GILD US Equity","TRAIL_12M_FREE_CASH_FLOW_FIRM","FQ2 2022","FQ2 2022","Currency=USD","Period=FQ","BEST_FPERIOD_OVERRIDE=FQ","FILING_STATUS=MR","SCALING_FORMAT=MLN","FA_ADJUSTED=GAAP","Sort=A","Dates=H","DateFormat=P","Fill=—","Direction=H","UseDPDF=Y")</f>
        <v>10131.9272</v>
      </c>
      <c r="O34" s="13">
        <f>_xll.BDH("GILD US Equity","TRAIL_12M_FREE_CASH_FLOW_FIRM","FQ3 2022","FQ3 2022","Currency=USD","Period=FQ","BEST_FPERIOD_OVERRIDE=FQ","FILING_STATUS=MR","SCALING_FORMAT=MLN","FA_ADJUSTED=GAAP","Sort=A","Dates=H","DateFormat=P","Fill=—","Direction=H","UseDPDF=Y")</f>
        <v>9696.9213999999993</v>
      </c>
      <c r="P34" s="13">
        <f>_xll.BDH("GILD US Equity","TRAIL_12M_FREE_CASH_FLOW_FIRM","FQ4 2022","FQ4 2022","Currency=USD","Period=FQ","BEST_FPERIOD_OVERRIDE=FQ","FILING_STATUS=MR","SCALING_FORMAT=MLN","FA_ADJUSTED=GAAP","Sort=A","Dates=H","DateFormat=P","Fill=—","Direction=H","UseDPDF=Y")</f>
        <v>9079.0835999999999</v>
      </c>
      <c r="Q34" s="13">
        <f>_xll.BDH("GILD US Equity","TRAIL_12M_FREE_CASH_FLOW_FIRM","FQ1 2023","FQ1 2023","Currency=USD","Period=FQ","BEST_FPERIOD_OVERRIDE=FQ","FILING_STATUS=MR","SCALING_FORMAT=MLN","FA_ADJUSTED=GAAP","Sort=A","Dates=H","DateFormat=P","Fill=—","Direction=H","UseDPDF=Y")</f>
        <v>9093.3030999999992</v>
      </c>
      <c r="R34" s="13">
        <f>_xll.BDH("GILD US Equity","TRAIL_12M_FREE_CASH_FLOW_FIRM","FQ2 2023","FQ2 2023","Currency=USD","Period=FQ","BEST_FPERIOD_OVERRIDE=FQ","FILING_STATUS=MR","SCALING_FORMAT=MLN","FA_ADJUSTED=GAAP","Sort=A","Dates=H","DateFormat=P","Fill=—","Direction=H","UseDPDF=Y")</f>
        <v>9604.1216000000004</v>
      </c>
      <c r="S34" s="13">
        <f>_xll.BDH("GILD US Equity","TRAIL_12M_FREE_CASH_FLOW_FIRM","FQ3 2023","FQ3 2023","Currency=USD","Period=FQ","BEST_FPERIOD_OVERRIDE=FQ","FILING_STATUS=MR","SCALING_FORMAT=MLN","FA_ADJUSTED=GAAP","Sort=A","Dates=H","DateFormat=P","Fill=—","Direction=H","UseDPDF=Y")</f>
        <v>8593.1010000000006</v>
      </c>
      <c r="T34" s="13">
        <f>_xll.BDH("GILD US Equity","TRAIL_12M_FREE_CASH_FLOW_FIRM","FQ4 2023","FQ4 2023","Currency=USD","Period=FQ","BEST_FPERIOD_OVERRIDE=FQ","FILING_STATUS=MR","SCALING_FORMAT=MLN","FA_ADJUSTED=GAAP","Sort=A","Dates=H","DateFormat=P","Fill=—","Direction=H","UseDPDF=Y")</f>
        <v>8193.4012000000002</v>
      </c>
      <c r="U34" s="13">
        <f>_xll.BDH("GILD US Equity","TRAIL_12M_FREE_CASH_FLOW_FIRM","FQ1 2024","FQ1 2024","Currency=USD","Period=FQ","BEST_FPERIOD_OVERRIDE=FQ","FILING_STATUS=MR","SCALING_FORMAT=MLN","FA_ADJUSTED=GAAP","Sort=A","Dates=H","DateFormat=P","Fill=—","Direction=H","UseDPDF=Y")</f>
        <v>8313.6983</v>
      </c>
      <c r="V34" s="13">
        <f>_xll.BDH("GILD US Equity","TRAIL_12M_FREE_CASH_FLOW_FIRM","FQ2 2024","FQ2 2024","Currency=USD","Period=FQ","BEST_FPERIOD_OVERRIDE=FQ","FILING_STATUS=MR","SCALING_FORMAT=MLN","FA_ADJUSTED=GAAP","Sort=A","Dates=H","DateFormat=P","Fill=—","Direction=H","UseDPDF=Y")</f>
        <v>7550.3963999999996</v>
      </c>
      <c r="W34" s="13">
        <f>_xll.BDH("GILD US Equity","TRAIL_12M_FREE_CASH_FLOW_FIRM","FQ3 2024","FQ3 2024","Currency=USD","Period=FQ","BEST_FPERIOD_OVERRIDE=FQ","FILING_STATUS=MR","SCALING_FORMAT=MLN","FA_ADJUSTED=GAAP","Sort=A","Dates=H","DateFormat=P","Fill=—","Direction=H","UseDPDF=Y")</f>
        <v>10065.7727</v>
      </c>
      <c r="X34" s="13">
        <f>_xll.BDH("GILD US Equity","TRAIL_12M_FREE_CASH_FLOW_FIRM","FQ4 2024","FQ4 2024","Currency=USD","Period=FQ","BEST_FPERIOD_OVERRIDE=FQ","FILING_STATUS=MR","SCALING_FORMAT=MLN","FA_ADJUSTED=GAAP","Sort=A","Dates=H","DateFormat=P","Fill=—","Direction=H","UseDPDF=Y")</f>
        <v>10982.974</v>
      </c>
      <c r="Y34" s="16">
        <v>10982.9739507959</v>
      </c>
      <c r="Z34" s="13"/>
      <c r="AA34" s="13"/>
    </row>
    <row r="35" spans="1:27" x14ac:dyDescent="0.25">
      <c r="A35" s="7" t="s">
        <v>90</v>
      </c>
      <c r="B35" s="7"/>
      <c r="C35" s="7" t="s">
        <v>5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9"/>
  <sheetViews>
    <sheetView workbookViewId="0">
      <selection activeCell="I16" sqref="A1:XFD1048576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206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  <c r="O4" s="4" t="s">
        <v>22</v>
      </c>
      <c r="P4" s="4" t="s">
        <v>23</v>
      </c>
      <c r="Q4" s="4" t="s">
        <v>24</v>
      </c>
      <c r="R4" s="4" t="s">
        <v>25</v>
      </c>
      <c r="S4" s="4" t="s">
        <v>26</v>
      </c>
      <c r="T4" s="4" t="s">
        <v>27</v>
      </c>
      <c r="U4" s="4" t="s">
        <v>28</v>
      </c>
      <c r="V4" s="4" t="s">
        <v>29</v>
      </c>
      <c r="W4" s="4" t="s">
        <v>30</v>
      </c>
      <c r="X4" s="4" t="s">
        <v>31</v>
      </c>
      <c r="Y4" s="4" t="s">
        <v>164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36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41</v>
      </c>
      <c r="I5" s="5" t="s">
        <v>42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5" t="s">
        <v>48</v>
      </c>
      <c r="P5" s="5" t="s">
        <v>49</v>
      </c>
      <c r="Q5" s="5" t="s">
        <v>50</v>
      </c>
      <c r="R5" s="5" t="s">
        <v>51</v>
      </c>
      <c r="S5" s="5" t="s">
        <v>52</v>
      </c>
      <c r="T5" s="5" t="s">
        <v>53</v>
      </c>
      <c r="U5" s="5" t="s">
        <v>54</v>
      </c>
      <c r="V5" s="5" t="s">
        <v>55</v>
      </c>
      <c r="W5" s="5" t="s">
        <v>56</v>
      </c>
      <c r="X5" s="5" t="s">
        <v>57</v>
      </c>
      <c r="Y5" s="5" t="s">
        <v>165</v>
      </c>
      <c r="Z5" s="5" t="s">
        <v>58</v>
      </c>
      <c r="AA5" s="5" t="s">
        <v>59</v>
      </c>
    </row>
    <row r="6" spans="1:27" x14ac:dyDescent="0.25">
      <c r="A6" s="6" t="s">
        <v>207</v>
      </c>
      <c r="B6" s="6" t="s">
        <v>208</v>
      </c>
      <c r="C6" s="20">
        <f>_xll.BDH("GILD US Equity","PE_RATIO","FQ3 2019","FQ3 2019","Currency=USD","Period=FQ","BEST_FPERIOD_OVERRIDE=FQ","FILING_STATUS=MR","Sort=A","Dates=H","DateFormat=P","Fill=—","Direction=H","UseDPDF=Y")</f>
        <v>11.3971</v>
      </c>
      <c r="D6" s="20">
        <f>_xll.BDH("GILD US Equity","PE_RATIO","FQ4 2019","FQ4 2019","Currency=USD","Period=FQ","BEST_FPERIOD_OVERRIDE=FQ","FILING_STATUS=MR","Sort=A","Dates=H","DateFormat=P","Fill=—","Direction=H","UseDPDF=Y")</f>
        <v>12.146599999999999</v>
      </c>
      <c r="E6" s="20">
        <f>_xll.BDH("GILD US Equity","PE_RATIO","FQ1 2020","FQ1 2020","Currency=USD","Period=FQ","BEST_FPERIOD_OVERRIDE=FQ","FILING_STATUS=MR","Sort=A","Dates=H","DateFormat=P","Fill=—","Direction=H","UseDPDF=Y")</f>
        <v>13.431800000000001</v>
      </c>
      <c r="F6" s="20">
        <f>_xll.BDH("GILD US Equity","PE_RATIO","FQ2 2020","FQ2 2020","Currency=USD","Period=FQ","BEST_FPERIOD_OVERRIDE=FQ","FILING_STATUS=MR","Sort=A","Dates=H","DateFormat=P","Fill=—","Direction=H","UseDPDF=Y")</f>
        <v>15.441000000000001</v>
      </c>
      <c r="G6" s="20">
        <f>_xll.BDH("GILD US Equity","PE_RATIO","FQ3 2020","FQ3 2020","Currency=USD","Period=FQ","BEST_FPERIOD_OVERRIDE=FQ","FILING_STATUS=MR","Sort=A","Dates=H","DateFormat=P","Fill=—","Direction=H","UseDPDF=Y")</f>
        <v>11.5723</v>
      </c>
      <c r="H6" s="20">
        <f>_xll.BDH("GILD US Equity","PE_RATIO","FQ4 2020","FQ4 2020","Currency=USD","Period=FQ","BEST_FPERIOD_OVERRIDE=FQ","FILING_STATUS=MR","Sort=A","Dates=H","DateFormat=P","Fill=—","Direction=H","UseDPDF=Y")</f>
        <v>8.9863999999999997</v>
      </c>
      <c r="I6" s="20">
        <f>_xll.BDH("GILD US Equity","PE_RATIO","FQ1 2021","FQ1 2021","Currency=USD","Period=FQ","BEST_FPERIOD_OVERRIDE=FQ","FILING_STATUS=MR","Sort=A","Dates=H","DateFormat=P","Fill=—","Direction=H","UseDPDF=Y")</f>
        <v>9.3904999999999994</v>
      </c>
      <c r="J6" s="20">
        <f>_xll.BDH("GILD US Equity","PE_RATIO","FQ2 2021","FQ2 2021","Currency=USD","Period=FQ","BEST_FPERIOD_OVERRIDE=FQ","FILING_STATUS=MR","Sort=A","Dates=H","DateFormat=P","Fill=—","Direction=H","UseDPDF=Y")</f>
        <v>9.2293000000000003</v>
      </c>
      <c r="K6" s="20">
        <f>_xll.BDH("GILD US Equity","PE_RATIO","FQ3 2021","FQ3 2021","Currency=USD","Period=FQ","BEST_FPERIOD_OVERRIDE=FQ","FILING_STATUS=MR","Sort=A","Dates=H","DateFormat=P","Fill=—","Direction=H","UseDPDF=Y")</f>
        <v>8.9184999999999999</v>
      </c>
      <c r="L6" s="20">
        <f>_xll.BDH("GILD US Equity","PE_RATIO","FQ4 2021","FQ4 2021","Currency=USD","Period=FQ","BEST_FPERIOD_OVERRIDE=FQ","FILING_STATUS=MR","Sort=A","Dates=H","DateFormat=P","Fill=—","Direction=H","UseDPDF=Y")</f>
        <v>10.912800000000001</v>
      </c>
      <c r="M6" s="20">
        <f>_xll.BDH("GILD US Equity","PE_RATIO","FQ1 2022","FQ1 2022","Currency=USD","Period=FQ","BEST_FPERIOD_OVERRIDE=FQ","FILING_STATUS=MR","Sort=A","Dates=H","DateFormat=P","Fill=—","Direction=H","UseDPDF=Y")</f>
        <v>9.4441000000000006</v>
      </c>
      <c r="N6" s="20">
        <f>_xll.BDH("GILD US Equity","PE_RATIO","FQ2 2022","FQ2 2022","Currency=USD","Period=FQ","BEST_FPERIOD_OVERRIDE=FQ","FILING_STATUS=MR","Sort=A","Dates=H","DateFormat=P","Fill=—","Direction=H","UseDPDF=Y")</f>
        <v>9.9498999999999995</v>
      </c>
      <c r="O6" s="20">
        <f>_xll.BDH("GILD US Equity","PE_RATIO","FQ3 2022","FQ3 2022","Currency=USD","Period=FQ","BEST_FPERIOD_OVERRIDE=FQ","FILING_STATUS=MR","Sort=A","Dates=H","DateFormat=P","Fill=—","Direction=H","UseDPDF=Y")</f>
        <v>10.1364</v>
      </c>
      <c r="P6" s="20">
        <f>_xll.BDH("GILD US Equity","PE_RATIO","FQ4 2022","FQ4 2022","Currency=USD","Period=FQ","BEST_FPERIOD_OVERRIDE=FQ","FILING_STATUS=MR","Sort=A","Dates=H","DateFormat=P","Fill=—","Direction=H","UseDPDF=Y")</f>
        <v>12.5741</v>
      </c>
      <c r="Q6" s="20">
        <f>_xll.BDH("GILD US Equity","PE_RATIO","FQ1 2023","FQ1 2023","Currency=USD","Period=FQ","BEST_FPERIOD_OVERRIDE=FQ","FILING_STATUS=MR","Sort=A","Dates=H","DateFormat=P","Fill=—","Direction=H","UseDPDF=Y")</f>
        <v>12.8788</v>
      </c>
      <c r="R6" s="20">
        <f>_xll.BDH("GILD US Equity","PE_RATIO","FQ2 2023","FQ2 2023","Currency=USD","Period=FQ","BEST_FPERIOD_OVERRIDE=FQ","FILING_STATUS=MR","Sort=A","Dates=H","DateFormat=P","Fill=—","Direction=H","UseDPDF=Y")</f>
        <v>12.497299999999999</v>
      </c>
      <c r="S6" s="20">
        <f>_xll.BDH("GILD US Equity","PE_RATIO","FQ3 2023","FQ3 2023","Currency=USD","Period=FQ","BEST_FPERIOD_OVERRIDE=FQ","FILING_STATUS=MR","Sort=A","Dates=H","DateFormat=P","Fill=—","Direction=H","UseDPDF=Y")</f>
        <v>12.5611</v>
      </c>
      <c r="T6" s="20">
        <f>_xll.BDH("GILD US Equity","PE_RATIO","FQ4 2023","FQ4 2023","Currency=USD","Period=FQ","BEST_FPERIOD_OVERRIDE=FQ","FILING_STATUS=MR","Sort=A","Dates=H","DateFormat=P","Fill=—","Direction=H","UseDPDF=Y")</f>
        <v>13.398199999999999</v>
      </c>
      <c r="U6" s="20">
        <f>_xll.BDH("GILD US Equity","PE_RATIO","FQ1 2024","FQ1 2024","Currency=USD","Period=FQ","BEST_FPERIOD_OVERRIDE=FQ","FILING_STATUS=MR","Sort=A","Dates=H","DateFormat=P","Fill=—","Direction=H","UseDPDF=Y")</f>
        <v>12.989100000000001</v>
      </c>
      <c r="V6" s="20">
        <f>_xll.BDH("GILD US Equity","PE_RATIO","FQ2 2024","FQ2 2024","Currency=USD","Period=FQ","BEST_FPERIOD_OVERRIDE=FQ","FILING_STATUS=MR","Sort=A","Dates=H","DateFormat=P","Fill=—","Direction=H","UseDPDF=Y")</f>
        <v>11.1501</v>
      </c>
      <c r="W6" s="20">
        <f>_xll.BDH("GILD US Equity","PE_RATIO","FQ3 2024","FQ3 2024","Currency=USD","Period=FQ","BEST_FPERIOD_OVERRIDE=FQ","FILING_STATUS=MR","Sort=A","Dates=H","DateFormat=P","Fill=—","Direction=H","UseDPDF=Y")</f>
        <v>13.636900000000001</v>
      </c>
      <c r="X6" s="20">
        <f>_xll.BDH("GILD US Equity","PE_RATIO","FQ4 2024","FQ4 2024","Currency=USD","Period=FQ","BEST_FPERIOD_OVERRIDE=FQ","FILING_STATUS=MR","Sort=A","Dates=H","DateFormat=P","Fill=—","Direction=H","UseDPDF=Y")</f>
        <v>15.129099999999999</v>
      </c>
      <c r="Y6" s="23">
        <v>18.303361135879602</v>
      </c>
      <c r="Z6" s="20">
        <v>14.0902786533855</v>
      </c>
      <c r="AA6" s="20">
        <v>13.8510163609321</v>
      </c>
    </row>
    <row r="7" spans="1:27" x14ac:dyDescent="0.25">
      <c r="A7" s="10" t="s">
        <v>209</v>
      </c>
      <c r="B7" s="10" t="s">
        <v>210</v>
      </c>
      <c r="C7" s="14">
        <f>_xll.BDH("GILD US Equity","AVERAGE_PRICE_EARNINGS_RATIO","FQ3 2019","FQ3 2019","Currency=USD","Period=FQ","BEST_FPERIOD_OVERRIDE=FQ","FILING_STATUS=MR","Sort=A","Dates=H","DateFormat=P","Fill=—","Direction=H","UseDPDF=Y")</f>
        <v>11.706300000000001</v>
      </c>
      <c r="D7" s="14">
        <f>_xll.BDH("GILD US Equity","AVERAGE_PRICE_EARNINGS_RATIO","FQ4 2019","FQ4 2019","Currency=USD","Period=FQ","BEST_FPERIOD_OVERRIDE=FQ","FILING_STATUS=MR","Sort=A","Dates=H","DateFormat=P","Fill=—","Direction=H","UseDPDF=Y")</f>
        <v>11.717499999999999</v>
      </c>
      <c r="E7" s="14">
        <f>_xll.BDH("GILD US Equity","AVERAGE_PRICE_EARNINGS_RATIO","FQ1 2020","FQ1 2020","Currency=USD","Period=FQ","BEST_FPERIOD_OVERRIDE=FQ","FILING_STATUS=MR","Sort=A","Dates=H","DateFormat=P","Fill=—","Direction=H","UseDPDF=Y")</f>
        <v>12.9076</v>
      </c>
      <c r="F7" s="14">
        <f>_xll.BDH("GILD US Equity","AVERAGE_PRICE_EARNINGS_RATIO","FQ2 2020","FQ2 2020","Currency=USD","Period=FQ","BEST_FPERIOD_OVERRIDE=FQ","FILING_STATUS=MR","Sort=A","Dates=H","DateFormat=P","Fill=—","Direction=H","UseDPDF=Y")</f>
        <v>13.794700000000001</v>
      </c>
      <c r="G7" s="14">
        <f>_xll.BDH("GILD US Equity","AVERAGE_PRICE_EARNINGS_RATIO","FQ3 2020","FQ3 2020","Currency=USD","Period=FQ","BEST_FPERIOD_OVERRIDE=FQ","FILING_STATUS=MR","Sort=A","Dates=H","DateFormat=P","Fill=—","Direction=H","UseDPDF=Y")</f>
        <v>13.899699999999999</v>
      </c>
      <c r="H7" s="14">
        <f>_xll.BDH("GILD US Equity","AVERAGE_PRICE_EARNINGS_RATIO","FQ4 2020","FQ4 2020","Currency=USD","Period=FQ","BEST_FPERIOD_OVERRIDE=FQ","FILING_STATUS=MR","Sort=A","Dates=H","DateFormat=P","Fill=—","Direction=H","UseDPDF=Y")</f>
        <v>11.0242</v>
      </c>
      <c r="I7" s="14">
        <f>_xll.BDH("GILD US Equity","AVERAGE_PRICE_EARNINGS_RATIO","FQ1 2021","FQ1 2021","Currency=USD","Period=FQ","BEST_FPERIOD_OVERRIDE=FQ","FILING_STATUS=MR","Sort=A","Dates=H","DateFormat=P","Fill=—","Direction=H","UseDPDF=Y")</f>
        <v>9.9366000000000003</v>
      </c>
      <c r="J7" s="14">
        <f>_xll.BDH("GILD US Equity","AVERAGE_PRICE_EARNINGS_RATIO","FQ2 2021","FQ2 2021","Currency=USD","Period=FQ","BEST_FPERIOD_OVERRIDE=FQ","FILING_STATUS=MR","Sort=A","Dates=H","DateFormat=P","Fill=—","Direction=H","UseDPDF=Y")</f>
        <v>9.6896000000000004</v>
      </c>
      <c r="K7" s="14">
        <f>_xll.BDH("GILD US Equity","AVERAGE_PRICE_EARNINGS_RATIO","FQ3 2021","FQ3 2021","Currency=USD","Period=FQ","BEST_FPERIOD_OVERRIDE=FQ","FILING_STATUS=MR","Sort=A","Dates=H","DateFormat=P","Fill=—","Direction=H","UseDPDF=Y")</f>
        <v>9.4092000000000002</v>
      </c>
      <c r="L7" s="14">
        <f>_xll.BDH("GILD US Equity","AVERAGE_PRICE_EARNINGS_RATIO","FQ4 2021","FQ4 2021","Currency=USD","Period=FQ","BEST_FPERIOD_OVERRIDE=FQ","FILING_STATUS=MR","Sort=A","Dates=H","DateFormat=P","Fill=—","Direction=H","UseDPDF=Y")</f>
        <v>8.8198000000000008</v>
      </c>
      <c r="M7" s="14">
        <f>_xll.BDH("GILD US Equity","AVERAGE_PRICE_EARNINGS_RATIO","FQ1 2022","FQ1 2022","Currency=USD","Period=FQ","BEST_FPERIOD_OVERRIDE=FQ","FILING_STATUS=MR","Sort=A","Dates=H","DateFormat=P","Fill=—","Direction=H","UseDPDF=Y")</f>
        <v>9.6152999999999995</v>
      </c>
      <c r="N7" s="14">
        <f>_xll.BDH("GILD US Equity","AVERAGE_PRICE_EARNINGS_RATIO","FQ2 2022","FQ2 2022","Currency=USD","Period=FQ","BEST_FPERIOD_OVERRIDE=FQ","FILING_STATUS=MR","Sort=A","Dates=H","DateFormat=P","Fill=—","Direction=H","UseDPDF=Y")</f>
        <v>9.8375000000000004</v>
      </c>
      <c r="O7" s="14">
        <f>_xll.BDH("GILD US Equity","AVERAGE_PRICE_EARNINGS_RATIO","FQ3 2022","FQ3 2022","Currency=USD","Period=FQ","BEST_FPERIOD_OVERRIDE=FQ","FILING_STATUS=MR","Sort=A","Dates=H","DateFormat=P","Fill=—","Direction=H","UseDPDF=Y")</f>
        <v>10.1541</v>
      </c>
      <c r="P7" s="14">
        <f>_xll.BDH("GILD US Equity","AVERAGE_PRICE_EARNINGS_RATIO","FQ4 2022","FQ4 2022","Currency=USD","Period=FQ","BEST_FPERIOD_OVERRIDE=FQ","FILING_STATUS=MR","Sort=A","Dates=H","DateFormat=P","Fill=—","Direction=H","UseDPDF=Y")</f>
        <v>12.9876</v>
      </c>
      <c r="Q7" s="14">
        <f>_xll.BDH("GILD US Equity","AVERAGE_PRICE_EARNINGS_RATIO","FQ1 2023","FQ1 2023","Currency=USD","Period=FQ","BEST_FPERIOD_OVERRIDE=FQ","FILING_STATUS=MR","Sort=A","Dates=H","DateFormat=P","Fill=—","Direction=H","UseDPDF=Y")</f>
        <v>12.1427</v>
      </c>
      <c r="R7" s="14">
        <f>_xll.BDH("GILD US Equity","AVERAGE_PRICE_EARNINGS_RATIO","FQ2 2023","FQ2 2023","Currency=USD","Period=FQ","BEST_FPERIOD_OVERRIDE=FQ","FILING_STATUS=MR","Sort=A","Dates=H","DateFormat=P","Fill=—","Direction=H","UseDPDF=Y")</f>
        <v>12.388299999999999</v>
      </c>
      <c r="S7" s="14">
        <f>_xll.BDH("GILD US Equity","AVERAGE_PRICE_EARNINGS_RATIO","FQ3 2023","FQ3 2023","Currency=USD","Period=FQ","BEST_FPERIOD_OVERRIDE=FQ","FILING_STATUS=MR","Sort=A","Dates=H","DateFormat=P","Fill=—","Direction=H","UseDPDF=Y")</f>
        <v>12.478899999999999</v>
      </c>
      <c r="T7" s="14">
        <f>_xll.BDH("GILD US Equity","AVERAGE_PRICE_EARNINGS_RATIO","FQ4 2023","FQ4 2023","Currency=USD","Period=FQ","BEST_FPERIOD_OVERRIDE=FQ","FILING_STATUS=MR","Sort=A","Dates=H","DateFormat=P","Fill=—","Direction=H","UseDPDF=Y")</f>
        <v>13.0406</v>
      </c>
      <c r="U7" s="14">
        <f>_xll.BDH("GILD US Equity","AVERAGE_PRICE_EARNINGS_RATIO","FQ1 2024","FQ1 2024","Currency=USD","Period=FQ","BEST_FPERIOD_OVERRIDE=FQ","FILING_STATUS=MR","Sort=A","Dates=H","DateFormat=P","Fill=—","Direction=H","UseDPDF=Y")</f>
        <v>12.732100000000001</v>
      </c>
      <c r="V7" s="14">
        <f>_xll.BDH("GILD US Equity","AVERAGE_PRICE_EARNINGS_RATIO","FQ2 2024","FQ2 2024","Currency=USD","Period=FQ","BEST_FPERIOD_OVERRIDE=FQ","FILING_STATUS=MR","Sort=A","Dates=H","DateFormat=P","Fill=—","Direction=H","UseDPDF=Y")</f>
        <v>11.817600000000001</v>
      </c>
      <c r="W7" s="14">
        <f>_xll.BDH("GILD US Equity","AVERAGE_PRICE_EARNINGS_RATIO","FQ3 2024","FQ3 2024","Currency=USD","Period=FQ","BEST_FPERIOD_OVERRIDE=FQ","FILING_STATUS=MR","Sort=A","Dates=H","DateFormat=P","Fill=—","Direction=H","UseDPDF=Y")</f>
        <v>12.4008</v>
      </c>
      <c r="X7" s="14">
        <f>_xll.BDH("GILD US Equity","AVERAGE_PRICE_EARNINGS_RATIO","FQ4 2024","FQ4 2024","Currency=USD","Period=FQ","BEST_FPERIOD_OVERRIDE=FQ","FILING_STATUS=MR","Sort=A","Dates=H","DateFormat=P","Fill=—","Direction=H","UseDPDF=Y")</f>
        <v>14.646699999999999</v>
      </c>
      <c r="Y7" s="17"/>
      <c r="Z7" s="14"/>
      <c r="AA7" s="14"/>
    </row>
    <row r="8" spans="1:27" x14ac:dyDescent="0.25">
      <c r="A8" s="10" t="s">
        <v>211</v>
      </c>
      <c r="B8" s="10" t="s">
        <v>212</v>
      </c>
      <c r="C8" s="14">
        <f>_xll.BDH("GILD US Equity","PX_ERN_RATIO_WITH_HIGH_CLOS_PX","FQ3 2019","FQ3 2019","Currency=USD","Period=FQ","BEST_FPERIOD_OVERRIDE=FQ","FILING_STATUS=MR","Sort=A","Dates=H","DateFormat=P","Fill=—","Direction=H","UseDPDF=Y")</f>
        <v>12.355600000000001</v>
      </c>
      <c r="D8" s="14">
        <f>_xll.BDH("GILD US Equity","PX_ERN_RATIO_WITH_HIGH_CLOS_PX","FQ4 2019","FQ4 2019","Currency=USD","Period=FQ","BEST_FPERIOD_OVERRIDE=FQ","FILING_STATUS=MR","Sort=A","Dates=H","DateFormat=P","Fill=—","Direction=H","UseDPDF=Y")</f>
        <v>12.1883</v>
      </c>
      <c r="E8" s="14">
        <f>_xll.BDH("GILD US Equity","PX_ERN_RATIO_WITH_HIGH_CLOS_PX","FQ1 2020","FQ1 2020","Currency=USD","Period=FQ","BEST_FPERIOD_OVERRIDE=FQ","FILING_STATUS=MR","Sort=A","Dates=H","DateFormat=P","Fill=—","Direction=H","UseDPDF=Y")</f>
        <v>14.9954</v>
      </c>
      <c r="F8" s="14">
        <f>_xll.BDH("GILD US Equity","PX_ERN_RATIO_WITH_HIGH_CLOS_PX","FQ2 2020","FQ2 2020","Currency=USD","Period=FQ","BEST_FPERIOD_OVERRIDE=FQ","FILING_STATUS=MR","Sort=A","Dates=H","DateFormat=P","Fill=—","Direction=H","UseDPDF=Y")</f>
        <v>15.441000000000001</v>
      </c>
      <c r="G8" s="14">
        <f>_xll.BDH("GILD US Equity","PX_ERN_RATIO_WITH_HIGH_CLOS_PX","FQ3 2020","FQ3 2020","Currency=USD","Period=FQ","BEST_FPERIOD_OVERRIDE=FQ","FILING_STATUS=MR","Sort=A","Dates=H","DateFormat=P","Fill=—","Direction=H","UseDPDF=Y")</f>
        <v>15.6698</v>
      </c>
      <c r="H8" s="14">
        <f>_xll.BDH("GILD US Equity","PX_ERN_RATIO_WITH_HIGH_CLOS_PX","FQ4 2020","FQ4 2020","Currency=USD","Period=FQ","BEST_FPERIOD_OVERRIDE=FQ","FILING_STATUS=MR","Sort=A","Dates=H","DateFormat=P","Fill=—","Direction=H","UseDPDF=Y")</f>
        <v>11.821300000000001</v>
      </c>
      <c r="I8" s="14">
        <f>_xll.BDH("GILD US Equity","PX_ERN_RATIO_WITH_HIGH_CLOS_PX","FQ1 2021","FQ1 2021","Currency=USD","Period=FQ","BEST_FPERIOD_OVERRIDE=FQ","FILING_STATUS=MR","Sort=A","Dates=H","DateFormat=P","Fill=—","Direction=H","UseDPDF=Y")</f>
        <v>10.559699999999999</v>
      </c>
      <c r="J8" s="14">
        <f>_xll.BDH("GILD US Equity","PX_ERN_RATIO_WITH_HIGH_CLOS_PX","FQ2 2021","FQ2 2021","Currency=USD","Period=FQ","BEST_FPERIOD_OVERRIDE=FQ","FILING_STATUS=MR","Sort=A","Dates=H","DateFormat=P","Fill=—","Direction=H","UseDPDF=Y")</f>
        <v>10.0763</v>
      </c>
      <c r="K8" s="14">
        <f>_xll.BDH("GILD US Equity","PX_ERN_RATIO_WITH_HIGH_CLOS_PX","FQ3 2021","FQ3 2021","Currency=USD","Period=FQ","BEST_FPERIOD_OVERRIDE=FQ","FILING_STATUS=MR","Sort=A","Dates=H","DateFormat=P","Fill=—","Direction=H","UseDPDF=Y")</f>
        <v>9.7881999999999998</v>
      </c>
      <c r="L8" s="14">
        <f>_xll.BDH("GILD US Equity","PX_ERN_RATIO_WITH_HIGH_CLOS_PX","FQ4 2021","FQ4 2021","Currency=USD","Period=FQ","BEST_FPERIOD_OVERRIDE=FQ","FILING_STATUS=MR","Sort=A","Dates=H","DateFormat=P","Fill=—","Direction=H","UseDPDF=Y")</f>
        <v>10.912800000000001</v>
      </c>
      <c r="M8" s="14">
        <f>_xll.BDH("GILD US Equity","PX_ERN_RATIO_WITH_HIGH_CLOS_PX","FQ1 2022","FQ1 2022","Currency=USD","Period=FQ","BEST_FPERIOD_OVERRIDE=FQ","FILING_STATUS=MR","Sort=A","Dates=H","DateFormat=P","Fill=—","Direction=H","UseDPDF=Y")</f>
        <v>10.908300000000001</v>
      </c>
      <c r="N8" s="14">
        <f>_xll.BDH("GILD US Equity","PX_ERN_RATIO_WITH_HIGH_CLOS_PX","FQ2 2022","FQ2 2022","Currency=USD","Period=FQ","BEST_FPERIOD_OVERRIDE=FQ","FILING_STATUS=MR","Sort=A","Dates=H","DateFormat=P","Fill=—","Direction=H","UseDPDF=Y")</f>
        <v>10.327400000000001</v>
      </c>
      <c r="O8" s="14">
        <f>_xll.BDH("GILD US Equity","PX_ERN_RATIO_WITH_HIGH_CLOS_PX","FQ3 2022","FQ3 2022","Currency=USD","Period=FQ","BEST_FPERIOD_OVERRIDE=FQ","FILING_STATUS=MR","Sort=A","Dates=H","DateFormat=P","Fill=—","Direction=H","UseDPDF=Y")</f>
        <v>10.947900000000001</v>
      </c>
      <c r="P8" s="14">
        <f>_xll.BDH("GILD US Equity","PX_ERN_RATIO_WITH_HIGH_CLOS_PX","FQ4 2022","FQ4 2022","Currency=USD","Period=FQ","BEST_FPERIOD_OVERRIDE=FQ","FILING_STATUS=MR","Sort=A","Dates=H","DateFormat=P","Fill=—","Direction=H","UseDPDF=Y")</f>
        <v>14.700900000000001</v>
      </c>
      <c r="Q8" s="14">
        <f>_xll.BDH("GILD US Equity","PX_ERN_RATIO_WITH_HIGH_CLOS_PX","FQ1 2023","FQ1 2023","Currency=USD","Period=FQ","BEST_FPERIOD_OVERRIDE=FQ","FILING_STATUS=MR","Sort=A","Dates=H","DateFormat=P","Fill=—","Direction=H","UseDPDF=Y")</f>
        <v>12.900700000000001</v>
      </c>
      <c r="R8" s="14">
        <f>_xll.BDH("GILD US Equity","PX_ERN_RATIO_WITH_HIGH_CLOS_PX","FQ2 2023","FQ2 2023","Currency=USD","Period=FQ","BEST_FPERIOD_OVERRIDE=FQ","FILING_STATUS=MR","Sort=A","Dates=H","DateFormat=P","Fill=—","Direction=H","UseDPDF=Y")</f>
        <v>13.457800000000001</v>
      </c>
      <c r="S8" s="14">
        <f>_xll.BDH("GILD US Equity","PX_ERN_RATIO_WITH_HIGH_CLOS_PX","FQ3 2023","FQ3 2023","Currency=USD","Period=FQ","BEST_FPERIOD_OVERRIDE=FQ","FILING_STATUS=MR","Sort=A","Dates=H","DateFormat=P","Fill=—","Direction=H","UseDPDF=Y")</f>
        <v>13.081099999999999</v>
      </c>
      <c r="T8" s="14">
        <f>_xll.BDH("GILD US Equity","PX_ERN_RATIO_WITH_HIGH_CLOS_PX","FQ4 2023","FQ4 2023","Currency=USD","Period=FQ","BEST_FPERIOD_OVERRIDE=FQ","FILING_STATUS=MR","Sort=A","Dates=H","DateFormat=P","Fill=—","Direction=H","UseDPDF=Y")</f>
        <v>13.927199999999999</v>
      </c>
      <c r="U8" s="14">
        <f>_xll.BDH("GILD US Equity","PX_ERN_RATIO_WITH_HIGH_CLOS_PX","FQ1 2024","FQ1 2024","Currency=USD","Period=FQ","BEST_FPERIOD_OVERRIDE=FQ","FILING_STATUS=MR","Sort=A","Dates=H","DateFormat=P","Fill=—","Direction=H","UseDPDF=Y")</f>
        <v>14.4368</v>
      </c>
      <c r="V8" s="14">
        <f>_xll.BDH("GILD US Equity","PX_ERN_RATIO_WITH_HIGH_CLOS_PX","FQ2 2024","FQ2 2024","Currency=USD","Period=FQ","BEST_FPERIOD_OVERRIDE=FQ","FILING_STATUS=MR","Sort=A","Dates=H","DateFormat=P","Fill=—","Direction=H","UseDPDF=Y")</f>
        <v>12.923500000000001</v>
      </c>
      <c r="W8" s="14">
        <f>_xll.BDH("GILD US Equity","PX_ERN_RATIO_WITH_HIGH_CLOS_PX","FQ3 2024","FQ3 2024","Currency=USD","Period=FQ","BEST_FPERIOD_OVERRIDE=FQ","FILING_STATUS=MR","Sort=A","Dates=H","DateFormat=P","Fill=—","Direction=H","UseDPDF=Y")</f>
        <v>13.6496</v>
      </c>
      <c r="X8" s="14">
        <f>_xll.BDH("GILD US Equity","PX_ERN_RATIO_WITH_HIGH_CLOS_PX","FQ4 2024","FQ4 2024","Currency=USD","Period=FQ","BEST_FPERIOD_OVERRIDE=FQ","FILING_STATUS=MR","Sort=A","Dates=H","DateFormat=P","Fill=—","Direction=H","UseDPDF=Y")</f>
        <v>15.9238</v>
      </c>
      <c r="Y8" s="17"/>
      <c r="Z8" s="14"/>
      <c r="AA8" s="14"/>
    </row>
    <row r="9" spans="1:27" x14ac:dyDescent="0.25">
      <c r="A9" s="10" t="s">
        <v>213</v>
      </c>
      <c r="B9" s="10" t="s">
        <v>214</v>
      </c>
      <c r="C9" s="14">
        <f>_xll.BDH("GILD US Equity","PX_ERN_RATIO_WITH_LOW_CLOS_PX","FQ3 2019","FQ3 2019","Currency=USD","Period=FQ","BEST_FPERIOD_OVERRIDE=FQ","FILING_STATUS=MR","Sort=A","Dates=H","DateFormat=P","Fill=—","Direction=H","UseDPDF=Y")</f>
        <v>11.1934</v>
      </c>
      <c r="D9" s="14">
        <f>_xll.BDH("GILD US Equity","PX_ERN_RATIO_WITH_LOW_CLOS_PX","FQ4 2019","FQ4 2019","Currency=USD","Period=FQ","BEST_FPERIOD_OVERRIDE=FQ","FILING_STATUS=MR","Sort=A","Dates=H","DateFormat=P","Fill=—","Direction=H","UseDPDF=Y")</f>
        <v>11.0806</v>
      </c>
      <c r="E9" s="14">
        <f>_xll.BDH("GILD US Equity","PX_ERN_RATIO_WITH_LOW_CLOS_PX","FQ1 2020","FQ1 2020","Currency=USD","Period=FQ","BEST_FPERIOD_OVERRIDE=FQ","FILING_STATUS=MR","Sort=A","Dates=H","DateFormat=P","Fill=—","Direction=H","UseDPDF=Y")</f>
        <v>11.7073</v>
      </c>
      <c r="F9" s="14">
        <f>_xll.BDH("GILD US Equity","PX_ERN_RATIO_WITH_LOW_CLOS_PX","FQ2 2020","FQ2 2020","Currency=USD","Period=FQ","BEST_FPERIOD_OVERRIDE=FQ","FILING_STATUS=MR","Sort=A","Dates=H","DateFormat=P","Fill=—","Direction=H","UseDPDF=Y")</f>
        <v>12.997</v>
      </c>
      <c r="G9" s="14">
        <f>_xll.BDH("GILD US Equity","PX_ERN_RATIO_WITH_LOW_CLOS_PX","FQ3 2020","FQ3 2020","Currency=USD","Period=FQ","BEST_FPERIOD_OVERRIDE=FQ","FILING_STATUS=MR","Sort=A","Dates=H","DateFormat=P","Fill=—","Direction=H","UseDPDF=Y")</f>
        <v>11.5723</v>
      </c>
      <c r="H9" s="14">
        <f>_xll.BDH("GILD US Equity","PX_ERN_RATIO_WITH_LOW_CLOS_PX","FQ4 2020","FQ4 2020","Currency=USD","Period=FQ","BEST_FPERIOD_OVERRIDE=FQ","FILING_STATUS=MR","Sort=A","Dates=H","DateFormat=P","Fill=—","Direction=H","UseDPDF=Y")</f>
        <v>8.9863999999999997</v>
      </c>
      <c r="I9" s="14">
        <f>_xll.BDH("GILD US Equity","PX_ERN_RATIO_WITH_LOW_CLOS_PX","FQ1 2021","FQ1 2021","Currency=USD","Period=FQ","BEST_FPERIOD_OVERRIDE=FQ","FILING_STATUS=MR","Sort=A","Dates=H","DateFormat=P","Fill=—","Direction=H","UseDPDF=Y")</f>
        <v>9.2547999999999995</v>
      </c>
      <c r="J9" s="14">
        <f>_xll.BDH("GILD US Equity","PX_ERN_RATIO_WITH_LOW_CLOS_PX","FQ2 2021","FQ2 2021","Currency=USD","Period=FQ","BEST_FPERIOD_OVERRIDE=FQ","FILING_STATUS=MR","Sort=A","Dates=H","DateFormat=P","Fill=—","Direction=H","UseDPDF=Y")</f>
        <v>9.2219999999999995</v>
      </c>
      <c r="K9" s="14">
        <f>_xll.BDH("GILD US Equity","PX_ERN_RATIO_WITH_LOW_CLOS_PX","FQ3 2021","FQ3 2021","Currency=USD","Period=FQ","BEST_FPERIOD_OVERRIDE=FQ","FILING_STATUS=MR","Sort=A","Dates=H","DateFormat=P","Fill=—","Direction=H","UseDPDF=Y")</f>
        <v>8.9184999999999999</v>
      </c>
      <c r="L9" s="14">
        <f>_xll.BDH("GILD US Equity","PX_ERN_RATIO_WITH_LOW_CLOS_PX","FQ4 2021","FQ4 2021","Currency=USD","Period=FQ","BEST_FPERIOD_OVERRIDE=FQ","FILING_STATUS=MR","Sort=A","Dates=H","DateFormat=P","Fill=—","Direction=H","UseDPDF=Y")</f>
        <v>8.2838999999999992</v>
      </c>
      <c r="M9" s="14">
        <f>_xll.BDH("GILD US Equity","PX_ERN_RATIO_WITH_LOW_CLOS_PX","FQ1 2022","FQ1 2022","Currency=USD","Period=FQ","BEST_FPERIOD_OVERRIDE=FQ","FILING_STATUS=MR","Sort=A","Dates=H","DateFormat=P","Fill=—","Direction=H","UseDPDF=Y")</f>
        <v>8.7050000000000001</v>
      </c>
      <c r="N9" s="14">
        <f>_xll.BDH("GILD US Equity","PX_ERN_RATIO_WITH_LOW_CLOS_PX","FQ2 2022","FQ2 2022","Currency=USD","Period=FQ","BEST_FPERIOD_OVERRIDE=FQ","FILING_STATUS=MR","Sort=A","Dates=H","DateFormat=P","Fill=—","Direction=H","UseDPDF=Y")</f>
        <v>9.1692999999999998</v>
      </c>
      <c r="O9" s="14">
        <f>_xll.BDH("GILD US Equity","PX_ERN_RATIO_WITH_LOW_CLOS_PX","FQ3 2022","FQ3 2022","Currency=USD","Period=FQ","BEST_FPERIOD_OVERRIDE=FQ","FILING_STATUS=MR","Sort=A","Dates=H","DateFormat=P","Fill=—","Direction=H","UseDPDF=Y")</f>
        <v>9.5844000000000005</v>
      </c>
      <c r="P9" s="14">
        <f>_xll.BDH("GILD US Equity","PX_ERN_RATIO_WITH_LOW_CLOS_PX","FQ4 2022","FQ4 2022","Currency=USD","Period=FQ","BEST_FPERIOD_OVERRIDE=FQ","FILING_STATUS=MR","Sort=A","Dates=H","DateFormat=P","Fill=—","Direction=H","UseDPDF=Y")</f>
        <v>10.2399</v>
      </c>
      <c r="Q9" s="14">
        <f>_xll.BDH("GILD US Equity","PX_ERN_RATIO_WITH_LOW_CLOS_PX","FQ1 2023","FQ1 2023","Currency=USD","Period=FQ","BEST_FPERIOD_OVERRIDE=FQ","FILING_STATUS=MR","Sort=A","Dates=H","DateFormat=P","Fill=—","Direction=H","UseDPDF=Y")</f>
        <v>11.3232</v>
      </c>
      <c r="R9" s="14">
        <f>_xll.BDH("GILD US Equity","PX_ERN_RATIO_WITH_LOW_CLOS_PX","FQ2 2023","FQ2 2023","Currency=USD","Period=FQ","BEST_FPERIOD_OVERRIDE=FQ","FILING_STATUS=MR","Sort=A","Dates=H","DateFormat=P","Fill=—","Direction=H","UseDPDF=Y")</f>
        <v>11.798500000000001</v>
      </c>
      <c r="S9" s="14">
        <f>_xll.BDH("GILD US Equity","PX_ERN_RATIO_WITH_LOW_CLOS_PX","FQ3 2023","FQ3 2023","Currency=USD","Period=FQ","BEST_FPERIOD_OVERRIDE=FQ","FILING_STATUS=MR","Sort=A","Dates=H","DateFormat=P","Fill=—","Direction=H","UseDPDF=Y")</f>
        <v>11.989800000000001</v>
      </c>
      <c r="T9" s="14">
        <f>_xll.BDH("GILD US Equity","PX_ERN_RATIO_WITH_LOW_CLOS_PX","FQ4 2023","FQ4 2023","Currency=USD","Period=FQ","BEST_FPERIOD_OVERRIDE=FQ","FILING_STATUS=MR","Sort=A","Dates=H","DateFormat=P","Fill=—","Direction=H","UseDPDF=Y")</f>
        <v>12.2812</v>
      </c>
      <c r="U9" s="14">
        <f>_xll.BDH("GILD US Equity","PX_ERN_RATIO_WITH_LOW_CLOS_PX","FQ1 2024","FQ1 2024","Currency=USD","Period=FQ","BEST_FPERIOD_OVERRIDE=FQ","FILING_STATUS=MR","Sort=A","Dates=H","DateFormat=P","Fill=—","Direction=H","UseDPDF=Y")</f>
        <v>11.8385</v>
      </c>
      <c r="V9" s="14">
        <f>_xll.BDH("GILD US Equity","PX_ERN_RATIO_WITH_LOW_CLOS_PX","FQ2 2024","FQ2 2024","Currency=USD","Period=FQ","BEST_FPERIOD_OVERRIDE=FQ","FILING_STATUS=MR","Sort=A","Dates=H","DateFormat=P","Fill=—","Direction=H","UseDPDF=Y")</f>
        <v>11.1501</v>
      </c>
      <c r="W9" s="14">
        <f>_xll.BDH("GILD US Equity","PX_ERN_RATIO_WITH_LOW_CLOS_PX","FQ3 2024","FQ3 2024","Currency=USD","Period=FQ","BEST_FPERIOD_OVERRIDE=FQ","FILING_STATUS=MR","Sort=A","Dates=H","DateFormat=P","Fill=—","Direction=H","UseDPDF=Y")</f>
        <v>10.821899999999999</v>
      </c>
      <c r="X9" s="14">
        <f>_xll.BDH("GILD US Equity","PX_ERN_RATIO_WITH_LOW_CLOS_PX","FQ4 2024","FQ4 2024","Currency=USD","Period=FQ","BEST_FPERIOD_OVERRIDE=FQ","FILING_STATUS=MR","Sort=A","Dates=H","DateFormat=P","Fill=—","Direction=H","UseDPDF=Y")</f>
        <v>13.6532</v>
      </c>
      <c r="Y9" s="17"/>
      <c r="Z9" s="14"/>
      <c r="AA9" s="14"/>
    </row>
    <row r="10" spans="1:27" x14ac:dyDescent="0.25">
      <c r="A10" s="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21"/>
      <c r="Z10" s="18"/>
      <c r="AA10" s="18"/>
    </row>
    <row r="11" spans="1:27" x14ac:dyDescent="0.25">
      <c r="A11" s="6" t="s">
        <v>215</v>
      </c>
      <c r="B11" s="6" t="s">
        <v>216</v>
      </c>
      <c r="C11" s="20">
        <f>_xll.BDH("GILD US Equity","PX_TO_BOOK_RATIO","FQ3 2019","FQ3 2019","Currency=USD","Period=FQ","BEST_FPERIOD_OVERRIDE=FQ","FILING_STATUS=MR","Sort=A","Dates=H","DateFormat=P","Fill=—","Direction=H","UseDPDF=Y")</f>
        <v>3.8942999999999999</v>
      </c>
      <c r="D11" s="20">
        <f>_xll.BDH("GILD US Equity","PX_TO_BOOK_RATIO","FQ4 2019","FQ4 2019","Currency=USD","Period=FQ","BEST_FPERIOD_OVERRIDE=FQ","FILING_STATUS=MR","Sort=A","Dates=H","DateFormat=P","Fill=—","Direction=H","UseDPDF=Y")</f>
        <v>3.6522000000000001</v>
      </c>
      <c r="E11" s="20">
        <f>_xll.BDH("GILD US Equity","PX_TO_BOOK_RATIO","FQ1 2020","FQ1 2020","Currency=USD","Period=FQ","BEST_FPERIOD_OVERRIDE=FQ","FILING_STATUS=MR","Sort=A","Dates=H","DateFormat=P","Fill=—","Direction=H","UseDPDF=Y")</f>
        <v>4.2484000000000002</v>
      </c>
      <c r="F11" s="20">
        <f>_xll.BDH("GILD US Equity","PX_TO_BOOK_RATIO","FQ2 2020","FQ2 2020","Currency=USD","Period=FQ","BEST_FPERIOD_OVERRIDE=FQ","FILING_STATUS=MR","Sort=A","Dates=H","DateFormat=P","Fill=—","Direction=H","UseDPDF=Y")</f>
        <v>5.3521000000000001</v>
      </c>
      <c r="G11" s="20">
        <f>_xll.BDH("GILD US Equity","PX_TO_BOOK_RATIO","FQ3 2020","FQ3 2020","Currency=USD","Period=FQ","BEST_FPERIOD_OVERRIDE=FQ","FILING_STATUS=MR","Sort=A","Dates=H","DateFormat=P","Fill=—","Direction=H","UseDPDF=Y")</f>
        <v>4.5387000000000004</v>
      </c>
      <c r="H11" s="20">
        <f>_xll.BDH("GILD US Equity","PX_TO_BOOK_RATIO","FQ4 2020","FQ4 2020","Currency=USD","Period=FQ","BEST_FPERIOD_OVERRIDE=FQ","FILING_STATUS=MR","Sort=A","Dates=H","DateFormat=P","Fill=—","Direction=H","UseDPDF=Y")</f>
        <v>4.0137</v>
      </c>
      <c r="I11" s="20">
        <f>_xll.BDH("GILD US Equity","PX_TO_BOOK_RATIO","FQ1 2021","FQ1 2021","Currency=USD","Period=FQ","BEST_FPERIOD_OVERRIDE=FQ","FILING_STATUS=MR","Sort=A","Dates=H","DateFormat=P","Fill=—","Direction=H","UseDPDF=Y")</f>
        <v>4.2763999999999998</v>
      </c>
      <c r="J11" s="20">
        <f>_xll.BDH("GILD US Equity","PX_TO_BOOK_RATIO","FQ2 2021","FQ2 2021","Currency=USD","Period=FQ","BEST_FPERIOD_OVERRIDE=FQ","FILING_STATUS=MR","Sort=A","Dates=H","DateFormat=P","Fill=—","Direction=H","UseDPDF=Y")</f>
        <v>4.3826000000000001</v>
      </c>
      <c r="K11" s="20">
        <f>_xll.BDH("GILD US Equity","PX_TO_BOOK_RATIO","FQ3 2021","FQ3 2021","Currency=USD","Period=FQ","BEST_FPERIOD_OVERRIDE=FQ","FILING_STATUS=MR","Sort=A","Dates=H","DateFormat=P","Fill=—","Direction=H","UseDPDF=Y")</f>
        <v>4.0830000000000002</v>
      </c>
      <c r="L11" s="20">
        <f>_xll.BDH("GILD US Equity","PX_TO_BOOK_RATIO","FQ4 2021","FQ4 2021","Currency=USD","Period=FQ","BEST_FPERIOD_OVERRIDE=FQ","FILING_STATUS=MR","Sort=A","Dates=H","DateFormat=P","Fill=—","Direction=H","UseDPDF=Y")</f>
        <v>4.3216999999999999</v>
      </c>
      <c r="M11" s="20">
        <f>_xll.BDH("GILD US Equity","PX_TO_BOOK_RATIO","FQ1 2022","FQ1 2022","Currency=USD","Period=FQ","BEST_FPERIOD_OVERRIDE=FQ","FILING_STATUS=MR","Sort=A","Dates=H","DateFormat=P","Fill=—","Direction=H","UseDPDF=Y")</f>
        <v>3.7442000000000002</v>
      </c>
      <c r="N11" s="20">
        <f>_xll.BDH("GILD US Equity","PX_TO_BOOK_RATIO","FQ2 2022","FQ2 2022","Currency=USD","Period=FQ","BEST_FPERIOD_OVERRIDE=FQ","FILING_STATUS=MR","Sort=A","Dates=H","DateFormat=P","Fill=—","Direction=H","UseDPDF=Y")</f>
        <v>3.8302999999999998</v>
      </c>
      <c r="O11" s="20">
        <f>_xll.BDH("GILD US Equity","PX_TO_BOOK_RATIO","FQ3 2022","FQ3 2022","Currency=USD","Period=FQ","BEST_FPERIOD_OVERRIDE=FQ","FILING_STATUS=MR","Sort=A","Dates=H","DateFormat=P","Fill=—","Direction=H","UseDPDF=Y")</f>
        <v>3.6696</v>
      </c>
      <c r="P11" s="20">
        <f>_xll.BDH("GILD US Equity","PX_TO_BOOK_RATIO","FQ4 2022","FQ4 2022","Currency=USD","Period=FQ","BEST_FPERIOD_OVERRIDE=FQ","FILING_STATUS=MR","Sort=A","Dates=H","DateFormat=P","Fill=—","Direction=H","UseDPDF=Y")</f>
        <v>5.0403000000000002</v>
      </c>
      <c r="Q11" s="20">
        <f>_xll.BDH("GILD US Equity","PX_TO_BOOK_RATIO","FQ1 2023","FQ1 2023","Currency=USD","Period=FQ","BEST_FPERIOD_OVERRIDE=FQ","FILING_STATUS=MR","Sort=A","Dates=H","DateFormat=P","Fill=—","Direction=H","UseDPDF=Y")</f>
        <v>4.9314999999999998</v>
      </c>
      <c r="R11" s="20">
        <f>_xll.BDH("GILD US Equity","PX_TO_BOOK_RATIO","FQ2 2023","FQ2 2023","Currency=USD","Period=FQ","BEST_FPERIOD_OVERRIDE=FQ","FILING_STATUS=MR","Sort=A","Dates=H","DateFormat=P","Fill=—","Direction=H","UseDPDF=Y")</f>
        <v>4.5423</v>
      </c>
      <c r="S11" s="20">
        <f>_xll.BDH("GILD US Equity","PX_TO_BOOK_RATIO","FQ3 2023","FQ3 2023","Currency=USD","Period=FQ","BEST_FPERIOD_OVERRIDE=FQ","FILING_STATUS=MR","Sort=A","Dates=H","DateFormat=P","Fill=—","Direction=H","UseDPDF=Y")</f>
        <v>4.1878000000000002</v>
      </c>
      <c r="T11" s="20">
        <f>_xll.BDH("GILD US Equity","PX_TO_BOOK_RATIO","FQ4 2023","FQ4 2023","Currency=USD","Period=FQ","BEST_FPERIOD_OVERRIDE=FQ","FILING_STATUS=MR","Sort=A","Dates=H","DateFormat=P","Fill=—","Direction=H","UseDPDF=Y")</f>
        <v>4.4207000000000001</v>
      </c>
      <c r="U11" s="20">
        <f>_xll.BDH("GILD US Equity","PX_TO_BOOK_RATIO","FQ1 2024","FQ1 2024","Currency=USD","Period=FQ","BEST_FPERIOD_OVERRIDE=FQ","FILING_STATUS=MR","Sort=A","Dates=H","DateFormat=P","Fill=—","Direction=H","UseDPDF=Y")</f>
        <v>5.2038000000000002</v>
      </c>
      <c r="V11" s="20">
        <f>_xll.BDH("GILD US Equity","PX_TO_BOOK_RATIO","FQ2 2024","FQ2 2024","Currency=USD","Period=FQ","BEST_FPERIOD_OVERRIDE=FQ","FILING_STATUS=MR","Sort=A","Dates=H","DateFormat=P","Fill=—","Direction=H","UseDPDF=Y")</f>
        <v>4.6763000000000003</v>
      </c>
      <c r="W11" s="20">
        <f>_xll.BDH("GILD US Equity","PX_TO_BOOK_RATIO","FQ3 2024","FQ3 2024","Currency=USD","Period=FQ","BEST_FPERIOD_OVERRIDE=FQ","FILING_STATUS=MR","Sort=A","Dates=H","DateFormat=P","Fill=—","Direction=H","UseDPDF=Y")</f>
        <v>5.6547000000000001</v>
      </c>
      <c r="X11" s="20">
        <f>_xll.BDH("GILD US Equity","PX_TO_BOOK_RATIO","FQ4 2024","FQ4 2024","Currency=USD","Period=FQ","BEST_FPERIOD_OVERRIDE=FQ","FILING_STATUS=MR","Sort=A","Dates=H","DateFormat=P","Fill=—","Direction=H","UseDPDF=Y")</f>
        <v>5.9541000000000004</v>
      </c>
      <c r="Y11" s="23">
        <v>7.2033367822038299</v>
      </c>
      <c r="Z11" s="20">
        <v>7.0772640911969598</v>
      </c>
      <c r="AA11" s="20">
        <v>6.7809466019417499</v>
      </c>
    </row>
    <row r="12" spans="1:27" x14ac:dyDescent="0.25">
      <c r="A12" s="10" t="s">
        <v>209</v>
      </c>
      <c r="B12" s="10" t="s">
        <v>217</v>
      </c>
      <c r="C12" s="14">
        <f>_xll.BDH("GILD US Equity","AVERAGE_PRICE_TO_BOOK_RATIO","FQ3 2019","FQ3 2019","Currency=USD","Period=FQ","BEST_FPERIOD_OVERRIDE=FQ","FILING_STATUS=MR","Sort=A","Dates=H","DateFormat=P","Fill=—","Direction=H","UseDPDF=Y")</f>
        <v>3.6675</v>
      </c>
      <c r="D12" s="14">
        <f>_xll.BDH("GILD US Equity","AVERAGE_PRICE_TO_BOOK_RATIO","FQ4 2019","FQ4 2019","Currency=USD","Period=FQ","BEST_FPERIOD_OVERRIDE=FQ","FILING_STATUS=MR","Sort=A","Dates=H","DateFormat=P","Fill=—","Direction=H","UseDPDF=Y")</f>
        <v>3.996</v>
      </c>
      <c r="E12" s="14">
        <f>_xll.BDH("GILD US Equity","AVERAGE_PRICE_TO_BOOK_RATIO","FQ1 2020","FQ1 2020","Currency=USD","Period=FQ","BEST_FPERIOD_OVERRIDE=FQ","FILING_STATUS=MR","Sort=A","Dates=H","DateFormat=P","Fill=—","Direction=H","UseDPDF=Y")</f>
        <v>3.8843999999999999</v>
      </c>
      <c r="F12" s="14">
        <f>_xll.BDH("GILD US Equity","AVERAGE_PRICE_TO_BOOK_RATIO","FQ2 2020","FQ2 2020","Currency=USD","Period=FQ","BEST_FPERIOD_OVERRIDE=FQ","FILING_STATUS=MR","Sort=A","Dates=H","DateFormat=P","Fill=—","Direction=H","UseDPDF=Y")</f>
        <v>4.3705999999999996</v>
      </c>
      <c r="G12" s="14">
        <f>_xll.BDH("GILD US Equity","AVERAGE_PRICE_TO_BOOK_RATIO","FQ3 2020","FQ3 2020","Currency=USD","Period=FQ","BEST_FPERIOD_OVERRIDE=FQ","FILING_STATUS=MR","Sort=A","Dates=H","DateFormat=P","Fill=—","Direction=H","UseDPDF=Y")</f>
        <v>4.8261000000000003</v>
      </c>
      <c r="H12" s="14">
        <f>_xll.BDH("GILD US Equity","AVERAGE_PRICE_TO_BOOK_RATIO","FQ4 2020","FQ4 2020","Currency=USD","Period=FQ","BEST_FPERIOD_OVERRIDE=FQ","FILING_STATUS=MR","Sort=A","Dates=H","DateFormat=P","Fill=—","Direction=H","UseDPDF=Y")</f>
        <v>4.3312999999999997</v>
      </c>
      <c r="I12" s="14">
        <f>_xll.BDH("GILD US Equity","AVERAGE_PRICE_TO_BOOK_RATIO","FQ1 2021","FQ1 2021","Currency=USD","Period=FQ","BEST_FPERIOD_OVERRIDE=FQ","FILING_STATUS=MR","Sort=A","Dates=H","DateFormat=P","Fill=—","Direction=H","UseDPDF=Y")</f>
        <v>4.4394999999999998</v>
      </c>
      <c r="J12" s="14">
        <f>_xll.BDH("GILD US Equity","AVERAGE_PRICE_TO_BOOK_RATIO","FQ2 2021","FQ2 2021","Currency=USD","Period=FQ","BEST_FPERIOD_OVERRIDE=FQ","FILING_STATUS=MR","Sort=A","Dates=H","DateFormat=P","Fill=—","Direction=H","UseDPDF=Y")</f>
        <v>4.4154</v>
      </c>
      <c r="K12" s="14">
        <f>_xll.BDH("GILD US Equity","AVERAGE_PRICE_TO_BOOK_RATIO","FQ3 2021","FQ3 2021","Currency=USD","Period=FQ","BEST_FPERIOD_OVERRIDE=FQ","FILING_STATUS=MR","Sort=A","Dates=H","DateFormat=P","Fill=—","Direction=H","UseDPDF=Y")</f>
        <v>4.4656000000000002</v>
      </c>
      <c r="L12" s="14">
        <f>_xll.BDH("GILD US Equity","AVERAGE_PRICE_TO_BOOK_RATIO","FQ4 2021","FQ4 2021","Currency=USD","Period=FQ","BEST_FPERIOD_OVERRIDE=FQ","FILING_STATUS=MR","Sort=A","Dates=H","DateFormat=P","Fill=—","Direction=H","UseDPDF=Y")</f>
        <v>4.0273000000000003</v>
      </c>
      <c r="M12" s="14">
        <f>_xll.BDH("GILD US Equity","AVERAGE_PRICE_TO_BOOK_RATIO","FQ1 2022","FQ1 2022","Currency=USD","Period=FQ","BEST_FPERIOD_OVERRIDE=FQ","FILING_STATUS=MR","Sort=A","Dates=H","DateFormat=P","Fill=—","Direction=H","UseDPDF=Y")</f>
        <v>3.8079000000000001</v>
      </c>
      <c r="N12" s="14">
        <f>_xll.BDH("GILD US Equity","AVERAGE_PRICE_TO_BOOK_RATIO","FQ2 2022","FQ2 2022","Currency=USD","Period=FQ","BEST_FPERIOD_OVERRIDE=FQ","FILING_STATUS=MR","Sort=A","Dates=H","DateFormat=P","Fill=—","Direction=H","UseDPDF=Y")</f>
        <v>3.8982999999999999</v>
      </c>
      <c r="O12" s="14">
        <f>_xll.BDH("GILD US Equity","AVERAGE_PRICE_TO_BOOK_RATIO","FQ3 2022","FQ3 2022","Currency=USD","Period=FQ","BEST_FPERIOD_OVERRIDE=FQ","FILING_STATUS=MR","Sort=A","Dates=H","DateFormat=P","Fill=—","Direction=H","UseDPDF=Y")</f>
        <v>3.9053</v>
      </c>
      <c r="P12" s="14">
        <f>_xll.BDH("GILD US Equity","AVERAGE_PRICE_TO_BOOK_RATIO","FQ4 2022","FQ4 2022","Currency=USD","Period=FQ","BEST_FPERIOD_OVERRIDE=FQ","FILING_STATUS=MR","Sort=A","Dates=H","DateFormat=P","Fill=—","Direction=H","UseDPDF=Y")</f>
        <v>4.7096</v>
      </c>
      <c r="Q12" s="14">
        <f>_xll.BDH("GILD US Equity","AVERAGE_PRICE_TO_BOOK_RATIO","FQ1 2023","FQ1 2023","Currency=USD","Period=FQ","BEST_FPERIOD_OVERRIDE=FQ","FILING_STATUS=MR","Sort=A","Dates=H","DateFormat=P","Fill=—","Direction=H","UseDPDF=Y")</f>
        <v>4.8635999999999999</v>
      </c>
      <c r="R12" s="14">
        <f>_xll.BDH("GILD US Equity","AVERAGE_PRICE_TO_BOOK_RATIO","FQ2 2023","FQ2 2023","Currency=USD","Period=FQ","BEST_FPERIOD_OVERRIDE=FQ","FILING_STATUS=MR","Sort=A","Dates=H","DateFormat=P","Fill=—","Direction=H","UseDPDF=Y")</f>
        <v>4.7397</v>
      </c>
      <c r="S12" s="14">
        <f>_xll.BDH("GILD US Equity","AVERAGE_PRICE_TO_BOOK_RATIO","FQ3 2023","FQ3 2023","Currency=USD","Period=FQ","BEST_FPERIOD_OVERRIDE=FQ","FILING_STATUS=MR","Sort=A","Dates=H","DateFormat=P","Fill=—","Direction=H","UseDPDF=Y")</f>
        <v>4.5296000000000003</v>
      </c>
      <c r="T12" s="14">
        <f>_xll.BDH("GILD US Equity","AVERAGE_PRICE_TO_BOOK_RATIO","FQ4 2023","FQ4 2023","Currency=USD","Period=FQ","BEST_FPERIOD_OVERRIDE=FQ","FILING_STATUS=MR","Sort=A","Dates=H","DateFormat=P","Fill=—","Direction=H","UseDPDF=Y")</f>
        <v>4.3468999999999998</v>
      </c>
      <c r="U12" s="14">
        <f>_xll.BDH("GILD US Equity","AVERAGE_PRICE_TO_BOOK_RATIO","FQ1 2024","FQ1 2024","Currency=USD","Period=FQ","BEST_FPERIOD_OVERRIDE=FQ","FILING_STATUS=MR","Sort=A","Dates=H","DateFormat=P","Fill=—","Direction=H","UseDPDF=Y")</f>
        <v>4.2160000000000002</v>
      </c>
      <c r="V12" s="14">
        <f>_xll.BDH("GILD US Equity","AVERAGE_PRICE_TO_BOOK_RATIO","FQ2 2024","FQ2 2024","Currency=USD","Period=FQ","BEST_FPERIOD_OVERRIDE=FQ","FILING_STATUS=MR","Sort=A","Dates=H","DateFormat=P","Fill=—","Direction=H","UseDPDF=Y")</f>
        <v>4.7378</v>
      </c>
      <c r="W12" s="14">
        <f>_xll.BDH("GILD US Equity","AVERAGE_PRICE_TO_BOOK_RATIO","FQ3 2024","FQ3 2024","Currency=USD","Period=FQ","BEST_FPERIOD_OVERRIDE=FQ","FILING_STATUS=MR","Sort=A","Dates=H","DateFormat=P","Fill=—","Direction=H","UseDPDF=Y")</f>
        <v>5.1999000000000004</v>
      </c>
      <c r="X12" s="14">
        <f>_xll.BDH("GILD US Equity","AVERAGE_PRICE_TO_BOOK_RATIO","FQ4 2024","FQ4 2024","Currency=USD","Period=FQ","BEST_FPERIOD_OVERRIDE=FQ","FILING_STATUS=MR","Sort=A","Dates=H","DateFormat=P","Fill=—","Direction=H","UseDPDF=Y")</f>
        <v>6.0683999999999996</v>
      </c>
      <c r="Y12" s="17"/>
      <c r="Z12" s="14"/>
      <c r="AA12" s="14"/>
    </row>
    <row r="13" spans="1:27" x14ac:dyDescent="0.25">
      <c r="A13" s="10" t="s">
        <v>211</v>
      </c>
      <c r="B13" s="10" t="s">
        <v>218</v>
      </c>
      <c r="C13" s="14">
        <f>_xll.BDH("GILD US Equity","HIGH_CLOSING_PRICE_TO_BOOK_RATIO","FQ3 2019","FQ3 2019","Currency=USD","Period=FQ","BEST_FPERIOD_OVERRIDE=FQ","FILING_STATUS=MR","Sort=A","Dates=H","DateFormat=P","Fill=—","Direction=H","UseDPDF=Y")</f>
        <v>3.8942999999999999</v>
      </c>
      <c r="D13" s="14">
        <f>_xll.BDH("GILD US Equity","HIGH_CLOSING_PRICE_TO_BOOK_RATIO","FQ4 2019","FQ4 2019","Currency=USD","Period=FQ","BEST_FPERIOD_OVERRIDE=FQ","FILING_STATUS=MR","Sort=A","Dates=H","DateFormat=P","Fill=—","Direction=H","UseDPDF=Y")</f>
        <v>4.1646999999999998</v>
      </c>
      <c r="E13" s="14">
        <f>_xll.BDH("GILD US Equity","HIGH_CLOSING_PRICE_TO_BOOK_RATIO","FQ1 2020","FQ1 2020","Currency=USD","Period=FQ","BEST_FPERIOD_OVERRIDE=FQ","FILING_STATUS=MR","Sort=A","Dates=H","DateFormat=P","Fill=—","Direction=H","UseDPDF=Y")</f>
        <v>4.5087000000000002</v>
      </c>
      <c r="F13" s="14">
        <f>_xll.BDH("GILD US Equity","HIGH_CLOSING_PRICE_TO_BOOK_RATIO","FQ2 2020","FQ2 2020","Currency=USD","Period=FQ","BEST_FPERIOD_OVERRIDE=FQ","FILING_STATUS=MR","Sort=A","Dates=H","DateFormat=P","Fill=—","Direction=H","UseDPDF=Y")</f>
        <v>5.3521000000000001</v>
      </c>
      <c r="G13" s="14">
        <f>_xll.BDH("GILD US Equity","HIGH_CLOSING_PRICE_TO_BOOK_RATIO","FQ3 2020","FQ3 2020","Currency=USD","Period=FQ","BEST_FPERIOD_OVERRIDE=FQ","FILING_STATUS=MR","Sort=A","Dates=H","DateFormat=P","Fill=—","Direction=H","UseDPDF=Y")</f>
        <v>5.4314</v>
      </c>
      <c r="H13" s="14">
        <f>_xll.BDH("GILD US Equity","HIGH_CLOSING_PRICE_TO_BOOK_RATIO","FQ4 2020","FQ4 2020","Currency=USD","Period=FQ","BEST_FPERIOD_OVERRIDE=FQ","FILING_STATUS=MR","Sort=A","Dates=H","DateFormat=P","Fill=—","Direction=H","UseDPDF=Y")</f>
        <v>4.6364000000000001</v>
      </c>
      <c r="I13" s="14">
        <f>_xll.BDH("GILD US Equity","HIGH_CLOSING_PRICE_TO_BOOK_RATIO","FQ1 2021","FQ1 2021","Currency=USD","Period=FQ","BEST_FPERIOD_OVERRIDE=FQ","FILING_STATUS=MR","Sort=A","Dates=H","DateFormat=P","Fill=—","Direction=H","UseDPDF=Y")</f>
        <v>4.7164999999999999</v>
      </c>
      <c r="J13" s="14">
        <f>_xll.BDH("GILD US Equity","HIGH_CLOSING_PRICE_TO_BOOK_RATIO","FQ2 2021","FQ2 2021","Currency=USD","Period=FQ","BEST_FPERIOD_OVERRIDE=FQ","FILING_STATUS=MR","Sort=A","Dates=H","DateFormat=P","Fill=—","Direction=H","UseDPDF=Y")</f>
        <v>4.5887000000000002</v>
      </c>
      <c r="K13" s="14">
        <f>_xll.BDH("GILD US Equity","HIGH_CLOSING_PRICE_TO_BOOK_RATIO","FQ3 2021","FQ3 2021","Currency=USD","Period=FQ","BEST_FPERIOD_OVERRIDE=FQ","FILING_STATUS=MR","Sort=A","Dates=H","DateFormat=P","Fill=—","Direction=H","UseDPDF=Y")</f>
        <v>4.6479999999999997</v>
      </c>
      <c r="L13" s="14">
        <f>_xll.BDH("GILD US Equity","HIGH_CLOSING_PRICE_TO_BOOK_RATIO","FQ4 2021","FQ4 2021","Currency=USD","Period=FQ","BEST_FPERIOD_OVERRIDE=FQ","FILING_STATUS=MR","Sort=A","Dates=H","DateFormat=P","Fill=—","Direction=H","UseDPDF=Y")</f>
        <v>4.3216999999999999</v>
      </c>
      <c r="M13" s="14">
        <f>_xll.BDH("GILD US Equity","HIGH_CLOSING_PRICE_TO_BOOK_RATIO","FQ1 2022","FQ1 2022","Currency=USD","Period=FQ","BEST_FPERIOD_OVERRIDE=FQ","FILING_STATUS=MR","Sort=A","Dates=H","DateFormat=P","Fill=—","Direction=H","UseDPDF=Y")</f>
        <v>4.3198999999999996</v>
      </c>
      <c r="N13" s="14">
        <f>_xll.BDH("GILD US Equity","HIGH_CLOSING_PRICE_TO_BOOK_RATIO","FQ2 2022","FQ2 2022","Currency=USD","Period=FQ","BEST_FPERIOD_OVERRIDE=FQ","FILING_STATUS=MR","Sort=A","Dates=H","DateFormat=P","Fill=—","Direction=H","UseDPDF=Y")</f>
        <v>4.0942999999999996</v>
      </c>
      <c r="O13" s="14">
        <f>_xll.BDH("GILD US Equity","HIGH_CLOSING_PRICE_TO_BOOK_RATIO","FQ3 2022","FQ3 2022","Currency=USD","Period=FQ","BEST_FPERIOD_OVERRIDE=FQ","FILING_STATUS=MR","Sort=A","Dates=H","DateFormat=P","Fill=—","Direction=H","UseDPDF=Y")</f>
        <v>4.2145000000000001</v>
      </c>
      <c r="P13" s="14">
        <f>_xll.BDH("GILD US Equity","HIGH_CLOSING_PRICE_TO_BOOK_RATIO","FQ4 2022","FQ4 2022","Currency=USD","Period=FQ","BEST_FPERIOD_OVERRIDE=FQ","FILING_STATUS=MR","Sort=A","Dates=H","DateFormat=P","Fill=—","Direction=H","UseDPDF=Y")</f>
        <v>5.3220999999999998</v>
      </c>
      <c r="Q13" s="14">
        <f>_xll.BDH("GILD US Equity","HIGH_CLOSING_PRICE_TO_BOOK_RATIO","FQ1 2023","FQ1 2023","Currency=USD","Period=FQ","BEST_FPERIOD_OVERRIDE=FQ","FILING_STATUS=MR","Sort=A","Dates=H","DateFormat=P","Fill=—","Direction=H","UseDPDF=Y")</f>
        <v>5.1711999999999998</v>
      </c>
      <c r="R13" s="14">
        <f>_xll.BDH("GILD US Equity","HIGH_CLOSING_PRICE_TO_BOOK_RATIO","FQ2 2023","FQ2 2023","Currency=USD","Period=FQ","BEST_FPERIOD_OVERRIDE=FQ","FILING_STATUS=MR","Sort=A","Dates=H","DateFormat=P","Fill=—","Direction=H","UseDPDF=Y")</f>
        <v>5.1532</v>
      </c>
      <c r="S13" s="14">
        <f>_xll.BDH("GILD US Equity","HIGH_CLOSING_PRICE_TO_BOOK_RATIO","FQ3 2023","FQ3 2023","Currency=USD","Period=FQ","BEST_FPERIOD_OVERRIDE=FQ","FILING_STATUS=MR","Sort=A","Dates=H","DateFormat=P","Fill=—","Direction=H","UseDPDF=Y")</f>
        <v>4.7545000000000002</v>
      </c>
      <c r="T13" s="14">
        <f>_xll.BDH("GILD US Equity","HIGH_CLOSING_PRICE_TO_BOOK_RATIO","FQ4 2023","FQ4 2023","Currency=USD","Period=FQ","BEST_FPERIOD_OVERRIDE=FQ","FILING_STATUS=MR","Sort=A","Dates=H","DateFormat=P","Fill=—","Direction=H","UseDPDF=Y")</f>
        <v>4.6432000000000002</v>
      </c>
      <c r="U13" s="14">
        <f>_xll.BDH("GILD US Equity","HIGH_CLOSING_PRICE_TO_BOOK_RATIO","FQ1 2024","FQ1 2024","Currency=USD","Period=FQ","BEST_FPERIOD_OVERRIDE=FQ","FILING_STATUS=MR","Sort=A","Dates=H","DateFormat=P","Fill=—","Direction=H","UseDPDF=Y")</f>
        <v>5.2038000000000002</v>
      </c>
      <c r="V13" s="14">
        <f>_xll.BDH("GILD US Equity","HIGH_CLOSING_PRICE_TO_BOOK_RATIO","FQ2 2024","FQ2 2024","Currency=USD","Period=FQ","BEST_FPERIOD_OVERRIDE=FQ","FILING_STATUS=MR","Sort=A","Dates=H","DateFormat=P","Fill=—","Direction=H","UseDPDF=Y")</f>
        <v>5.1775000000000002</v>
      </c>
      <c r="W13" s="14">
        <f>_xll.BDH("GILD US Equity","HIGH_CLOSING_PRICE_TO_BOOK_RATIO","FQ3 2024","FQ3 2024","Currency=USD","Period=FQ","BEST_FPERIOD_OVERRIDE=FQ","FILING_STATUS=MR","Sort=A","Dates=H","DateFormat=P","Fill=—","Direction=H","UseDPDF=Y")</f>
        <v>5.7245999999999997</v>
      </c>
      <c r="X13" s="14">
        <f>_xll.BDH("GILD US Equity","HIGH_CLOSING_PRICE_TO_BOOK_RATIO","FQ4 2024","FQ4 2024","Currency=USD","Period=FQ","BEST_FPERIOD_OVERRIDE=FQ","FILING_STATUS=MR","Sort=A","Dates=H","DateFormat=P","Fill=—","Direction=H","UseDPDF=Y")</f>
        <v>6.6029999999999998</v>
      </c>
      <c r="Y13" s="17"/>
      <c r="Z13" s="14"/>
      <c r="AA13" s="14"/>
    </row>
    <row r="14" spans="1:27" x14ac:dyDescent="0.25">
      <c r="A14" s="10" t="s">
        <v>213</v>
      </c>
      <c r="B14" s="10" t="s">
        <v>219</v>
      </c>
      <c r="C14" s="14">
        <f>_xll.BDH("GILD US Equity","LOW_CLOSING_PRICE_TO_BOOK_RATIO","FQ3 2019","FQ3 2019","Currency=USD","Period=FQ","BEST_FPERIOD_OVERRIDE=FQ","FILING_STATUS=MR","Sort=A","Dates=H","DateFormat=P","Fill=—","Direction=H","UseDPDF=Y")</f>
        <v>3.5019999999999998</v>
      </c>
      <c r="D14" s="14">
        <f>_xll.BDH("GILD US Equity","LOW_CLOSING_PRICE_TO_BOOK_RATIO","FQ4 2019","FQ4 2019","Currency=USD","Period=FQ","BEST_FPERIOD_OVERRIDE=FQ","FILING_STATUS=MR","Sort=A","Dates=H","DateFormat=P","Fill=—","Direction=H","UseDPDF=Y")</f>
        <v>3.6522000000000001</v>
      </c>
      <c r="E14" s="14">
        <f>_xll.BDH("GILD US Equity","LOW_CLOSING_PRICE_TO_BOOK_RATIO","FQ1 2020","FQ1 2020","Currency=USD","Period=FQ","BEST_FPERIOD_OVERRIDE=FQ","FILING_STATUS=MR","Sort=A","Dates=H","DateFormat=P","Fill=—","Direction=H","UseDPDF=Y")</f>
        <v>3.5200999999999998</v>
      </c>
      <c r="F14" s="14">
        <f>_xll.BDH("GILD US Equity","LOW_CLOSING_PRICE_TO_BOOK_RATIO","FQ2 2020","FQ2 2020","Currency=USD","Period=FQ","BEST_FPERIOD_OVERRIDE=FQ","FILING_STATUS=MR","Sort=A","Dates=H","DateFormat=P","Fill=—","Direction=H","UseDPDF=Y")</f>
        <v>4.1109</v>
      </c>
      <c r="G14" s="14">
        <f>_xll.BDH("GILD US Equity","LOW_CLOSING_PRICE_TO_BOOK_RATIO","FQ3 2020","FQ3 2020","Currency=USD","Period=FQ","BEST_FPERIOD_OVERRIDE=FQ","FILING_STATUS=MR","Sort=A","Dates=H","DateFormat=P","Fill=—","Direction=H","UseDPDF=Y")</f>
        <v>4.3197999999999999</v>
      </c>
      <c r="H14" s="14">
        <f>_xll.BDH("GILD US Equity","LOW_CLOSING_PRICE_TO_BOOK_RATIO","FQ4 2020","FQ4 2020","Currency=USD","Period=FQ","BEST_FPERIOD_OVERRIDE=FQ","FILING_STATUS=MR","Sort=A","Dates=H","DateFormat=P","Fill=—","Direction=H","UseDPDF=Y")</f>
        <v>4.0137</v>
      </c>
      <c r="I14" s="14">
        <f>_xll.BDH("GILD US Equity","LOW_CLOSING_PRICE_TO_BOOK_RATIO","FQ1 2021","FQ1 2021","Currency=USD","Period=FQ","BEST_FPERIOD_OVERRIDE=FQ","FILING_STATUS=MR","Sort=A","Dates=H","DateFormat=P","Fill=—","Direction=H","UseDPDF=Y")</f>
        <v>4.1336000000000004</v>
      </c>
      <c r="J14" s="14">
        <f>_xll.BDH("GILD US Equity","LOW_CLOSING_PRICE_TO_BOOK_RATIO","FQ2 2021","FQ2 2021","Currency=USD","Period=FQ","BEST_FPERIOD_OVERRIDE=FQ","FILING_STATUS=MR","Sort=A","Dates=H","DateFormat=P","Fill=—","Direction=H","UseDPDF=Y")</f>
        <v>4.1996000000000002</v>
      </c>
      <c r="K14" s="14">
        <f>_xll.BDH("GILD US Equity","LOW_CLOSING_PRICE_TO_BOOK_RATIO","FQ3 2021","FQ3 2021","Currency=USD","Period=FQ","BEST_FPERIOD_OVERRIDE=FQ","FILING_STATUS=MR","Sort=A","Dates=H","DateFormat=P","Fill=—","Direction=H","UseDPDF=Y")</f>
        <v>4.0830000000000002</v>
      </c>
      <c r="L14" s="14">
        <f>_xll.BDH("GILD US Equity","LOW_CLOSING_PRICE_TO_BOOK_RATIO","FQ4 2021","FQ4 2021","Currency=USD","Period=FQ","BEST_FPERIOD_OVERRIDE=FQ","FILING_STATUS=MR","Sort=A","Dates=H","DateFormat=P","Fill=—","Direction=H","UseDPDF=Y")</f>
        <v>3.7925</v>
      </c>
      <c r="M14" s="14">
        <f>_xll.BDH("GILD US Equity","LOW_CLOSING_PRICE_TO_BOOK_RATIO","FQ1 2022","FQ1 2022","Currency=USD","Period=FQ","BEST_FPERIOD_OVERRIDE=FQ","FILING_STATUS=MR","Sort=A","Dates=H","DateFormat=P","Fill=—","Direction=H","UseDPDF=Y")</f>
        <v>3.4472999999999998</v>
      </c>
      <c r="N14" s="14">
        <f>_xll.BDH("GILD US Equity","LOW_CLOSING_PRICE_TO_BOOK_RATIO","FQ2 2022","FQ2 2022","Currency=USD","Period=FQ","BEST_FPERIOD_OVERRIDE=FQ","FILING_STATUS=MR","Sort=A","Dates=H","DateFormat=P","Fill=—","Direction=H","UseDPDF=Y")</f>
        <v>3.6352000000000002</v>
      </c>
      <c r="O14" s="14">
        <f>_xll.BDH("GILD US Equity","LOW_CLOSING_PRICE_TO_BOOK_RATIO","FQ3 2022","FQ3 2022","Currency=USD","Period=FQ","BEST_FPERIOD_OVERRIDE=FQ","FILING_STATUS=MR","Sort=A","Dates=H","DateFormat=P","Fill=—","Direction=H","UseDPDF=Y")</f>
        <v>3.6696</v>
      </c>
      <c r="P14" s="14">
        <f>_xll.BDH("GILD US Equity","LOW_CLOSING_PRICE_TO_BOOK_RATIO","FQ4 2022","FQ4 2022","Currency=USD","Period=FQ","BEST_FPERIOD_OVERRIDE=FQ","FILING_STATUS=MR","Sort=A","Dates=H","DateFormat=P","Fill=—","Direction=H","UseDPDF=Y")</f>
        <v>3.7071000000000001</v>
      </c>
      <c r="Q14" s="14">
        <f>_xll.BDH("GILD US Equity","LOW_CLOSING_PRICE_TO_BOOK_RATIO","FQ1 2023","FQ1 2023","Currency=USD","Period=FQ","BEST_FPERIOD_OVERRIDE=FQ","FILING_STATUS=MR","Sort=A","Dates=H","DateFormat=P","Fill=—","Direction=H","UseDPDF=Y")</f>
        <v>4.5388999999999999</v>
      </c>
      <c r="R14" s="14">
        <f>_xll.BDH("GILD US Equity","LOW_CLOSING_PRICE_TO_BOOK_RATIO","FQ2 2023","FQ2 2023","Currency=USD","Period=FQ","BEST_FPERIOD_OVERRIDE=FQ","FILING_STATUS=MR","Sort=A","Dates=H","DateFormat=P","Fill=—","Direction=H","UseDPDF=Y")</f>
        <v>4.5178000000000003</v>
      </c>
      <c r="S14" s="14">
        <f>_xll.BDH("GILD US Equity","LOW_CLOSING_PRICE_TO_BOOK_RATIO","FQ3 2023","FQ3 2023","Currency=USD","Period=FQ","BEST_FPERIOD_OVERRIDE=FQ","FILING_STATUS=MR","Sort=A","Dates=H","DateFormat=P","Fill=—","Direction=H","UseDPDF=Y")</f>
        <v>4.1878000000000002</v>
      </c>
      <c r="T14" s="14">
        <f>_xll.BDH("GILD US Equity","LOW_CLOSING_PRICE_TO_BOOK_RATIO","FQ4 2023","FQ4 2023","Currency=USD","Period=FQ","BEST_FPERIOD_OVERRIDE=FQ","FILING_STATUS=MR","Sort=A","Dates=H","DateFormat=P","Fill=—","Direction=H","UseDPDF=Y")</f>
        <v>4.0945</v>
      </c>
      <c r="U14" s="14">
        <f>_xll.BDH("GILD US Equity","LOW_CLOSING_PRICE_TO_BOOK_RATIO","FQ1 2024","FQ1 2024","Currency=USD","Period=FQ","BEST_FPERIOD_OVERRIDE=FQ","FILING_STATUS=MR","Sort=A","Dates=H","DateFormat=P","Fill=—","Direction=H","UseDPDF=Y")</f>
        <v>3.9060999999999999</v>
      </c>
      <c r="V14" s="14">
        <f>_xll.BDH("GILD US Equity","LOW_CLOSING_PRICE_TO_BOOK_RATIO","FQ2 2024","FQ2 2024","Currency=USD","Period=FQ","BEST_FPERIOD_OVERRIDE=FQ","FILING_STATUS=MR","Sort=A","Dates=H","DateFormat=P","Fill=—","Direction=H","UseDPDF=Y")</f>
        <v>4.4863</v>
      </c>
      <c r="W14" s="14">
        <f>_xll.BDH("GILD US Equity","LOW_CLOSING_PRICE_TO_BOOK_RATIO","FQ3 2024","FQ3 2024","Currency=USD","Period=FQ","BEST_FPERIOD_OVERRIDE=FQ","FILING_STATUS=MR","Sort=A","Dates=H","DateFormat=P","Fill=—","Direction=H","UseDPDF=Y")</f>
        <v>4.5387000000000004</v>
      </c>
      <c r="X14" s="14">
        <f>_xll.BDH("GILD US Equity","LOW_CLOSING_PRICE_TO_BOOK_RATIO","FQ4 2024","FQ4 2024","Currency=USD","Period=FQ","BEST_FPERIOD_OVERRIDE=FQ","FILING_STATUS=MR","Sort=A","Dates=H","DateFormat=P","Fill=—","Direction=H","UseDPDF=Y")</f>
        <v>5.6614000000000004</v>
      </c>
      <c r="Y14" s="17"/>
      <c r="Z14" s="14"/>
      <c r="AA14" s="14"/>
    </row>
    <row r="15" spans="1:27" x14ac:dyDescent="0.25">
      <c r="A15" s="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21"/>
      <c r="Z15" s="18"/>
      <c r="AA15" s="18"/>
    </row>
    <row r="16" spans="1:27" x14ac:dyDescent="0.25">
      <c r="A16" s="6" t="s">
        <v>220</v>
      </c>
      <c r="B16" s="6" t="s">
        <v>221</v>
      </c>
      <c r="C16" s="20">
        <f>_xll.BDH("GILD US Equity","PX_TO_TANG_BV_PER_SH","FQ3 2019","FQ3 2019","Currency=USD","Period=FQ","BEST_FPERIOD_OVERRIDE=FQ","FILING_STATUS=MR","Sort=A","Dates=H","DateFormat=P","Fill=—","Direction=H","UseDPDF=Y")</f>
        <v>49.438699999999997</v>
      </c>
      <c r="D16" s="20">
        <f>_xll.BDH("GILD US Equity","PX_TO_TANG_BV_PER_SH","FQ4 2019","FQ4 2019","Currency=USD","Period=FQ","BEST_FPERIOD_OVERRIDE=FQ","FILING_STATUS=MR","Sort=A","Dates=H","DateFormat=P","Fill=—","Direction=H","UseDPDF=Y")</f>
        <v>17.798500000000001</v>
      </c>
      <c r="E16" s="20">
        <f>_xll.BDH("GILD US Equity","PX_TO_TANG_BV_PER_SH","FQ1 2020","FQ1 2020","Currency=USD","Period=FQ","BEST_FPERIOD_OVERRIDE=FQ","FILING_STATUS=MR","Sort=A","Dates=H","DateFormat=P","Fill=—","Direction=H","UseDPDF=Y")</f>
        <v>21.076699999999999</v>
      </c>
      <c r="F16" s="20">
        <f>_xll.BDH("GILD US Equity","PX_TO_TANG_BV_PER_SH","FQ2 2020","FQ2 2020","Currency=USD","Period=FQ","BEST_FPERIOD_OVERRIDE=FQ","FILING_STATUS=MR","Sort=A","Dates=H","DateFormat=P","Fill=—","Direction=H","UseDPDF=Y")</f>
        <v>140.85069999999999</v>
      </c>
      <c r="G16" s="20">
        <f>_xll.BDH("GILD US Equity","PX_TO_TANG_BV_PER_SH","FQ3 2020","FQ3 2020","Currency=USD","Period=FQ","BEST_FPERIOD_OVERRIDE=FQ","FILING_STATUS=MR","Sort=A","Dates=H","DateFormat=P","Fill=—","Direction=H","UseDPDF=Y")</f>
        <v>203.54</v>
      </c>
      <c r="H16" s="20" t="str">
        <f>_xll.BDH("GILD US Equity","PX_TO_TANG_BV_PER_SH","FQ4 2020","FQ4 2020","Currency=USD","Period=FQ","BEST_FPERIOD_OVERRIDE=FQ","FILING_STATUS=MR","Sort=A","Dates=H","DateFormat=P","Fill=—","Direction=H","UseDPDF=Y")</f>
        <v>—</v>
      </c>
      <c r="I16" s="20" t="str">
        <f>_xll.BDH("GILD US Equity","PX_TO_TANG_BV_PER_SH","FQ1 2021","FQ1 2021","Currency=USD","Period=FQ","BEST_FPERIOD_OVERRIDE=FQ","FILING_STATUS=MR","Sort=A","Dates=H","DateFormat=P","Fill=—","Direction=H","UseDPDF=Y")</f>
        <v>—</v>
      </c>
      <c r="J16" s="20" t="str">
        <f>_xll.BDH("GILD US Equity","PX_TO_TANG_BV_PER_SH","FQ2 2021","FQ2 2021","Currency=USD","Period=FQ","BEST_FPERIOD_OVERRIDE=FQ","FILING_STATUS=MR","Sort=A","Dates=H","DateFormat=P","Fill=—","Direction=H","UseDPDF=Y")</f>
        <v>—</v>
      </c>
      <c r="K16" s="20" t="str">
        <f>_xll.BDH("GILD US Equity","PX_TO_TANG_BV_PER_SH","FQ3 2021","FQ3 2021","Currency=USD","Period=FQ","BEST_FPERIOD_OVERRIDE=FQ","FILING_STATUS=MR","Sort=A","Dates=H","DateFormat=P","Fill=—","Direction=H","UseDPDF=Y")</f>
        <v>—</v>
      </c>
      <c r="L16" s="20" t="str">
        <f>_xll.BDH("GILD US Equity","PX_TO_TANG_BV_PER_SH","FQ4 2021","FQ4 2021","Currency=USD","Period=FQ","BEST_FPERIOD_OVERRIDE=FQ","FILING_STATUS=MR","Sort=A","Dates=H","DateFormat=P","Fill=—","Direction=H","UseDPDF=Y")</f>
        <v>—</v>
      </c>
      <c r="M16" s="20" t="str">
        <f>_xll.BDH("GILD US Equity","PX_TO_TANG_BV_PER_SH","FQ1 2022","FQ1 2022","Currency=USD","Period=FQ","BEST_FPERIOD_OVERRIDE=FQ","FILING_STATUS=MR","Sort=A","Dates=H","DateFormat=P","Fill=—","Direction=H","UseDPDF=Y")</f>
        <v>—</v>
      </c>
      <c r="N16" s="20" t="str">
        <f>_xll.BDH("GILD US Equity","PX_TO_TANG_BV_PER_SH","FQ2 2022","FQ2 2022","Currency=USD","Period=FQ","BEST_FPERIOD_OVERRIDE=FQ","FILING_STATUS=MR","Sort=A","Dates=H","DateFormat=P","Fill=—","Direction=H","UseDPDF=Y")</f>
        <v>—</v>
      </c>
      <c r="O16" s="20" t="str">
        <f>_xll.BDH("GILD US Equity","PX_TO_TANG_BV_PER_SH","FQ3 2022","FQ3 2022","Currency=USD","Period=FQ","BEST_FPERIOD_OVERRIDE=FQ","FILING_STATUS=MR","Sort=A","Dates=H","DateFormat=P","Fill=—","Direction=H","UseDPDF=Y")</f>
        <v>—</v>
      </c>
      <c r="P16" s="20" t="str">
        <f>_xll.BDH("GILD US Equity","PX_TO_TANG_BV_PER_SH","FQ4 2022","FQ4 2022","Currency=USD","Period=FQ","BEST_FPERIOD_OVERRIDE=FQ","FILING_STATUS=MR","Sort=A","Dates=H","DateFormat=P","Fill=—","Direction=H","UseDPDF=Y")</f>
        <v>—</v>
      </c>
      <c r="Q16" s="20" t="str">
        <f>_xll.BDH("GILD US Equity","PX_TO_TANG_BV_PER_SH","FQ1 2023","FQ1 2023","Currency=USD","Period=FQ","BEST_FPERIOD_OVERRIDE=FQ","FILING_STATUS=MR","Sort=A","Dates=H","DateFormat=P","Fill=—","Direction=H","UseDPDF=Y")</f>
        <v>—</v>
      </c>
      <c r="R16" s="20" t="str">
        <f>_xll.BDH("GILD US Equity","PX_TO_TANG_BV_PER_SH","FQ2 2023","FQ2 2023","Currency=USD","Period=FQ","BEST_FPERIOD_OVERRIDE=FQ","FILING_STATUS=MR","Sort=A","Dates=H","DateFormat=P","Fill=—","Direction=H","UseDPDF=Y")</f>
        <v>—</v>
      </c>
      <c r="S16" s="20" t="str">
        <f>_xll.BDH("GILD US Equity","PX_TO_TANG_BV_PER_SH","FQ3 2023","FQ3 2023","Currency=USD","Period=FQ","BEST_FPERIOD_OVERRIDE=FQ","FILING_STATUS=MR","Sort=A","Dates=H","DateFormat=P","Fill=—","Direction=H","UseDPDF=Y")</f>
        <v>—</v>
      </c>
      <c r="T16" s="20" t="str">
        <f>_xll.BDH("GILD US Equity","PX_TO_TANG_BV_PER_SH","FQ4 2023","FQ4 2023","Currency=USD","Period=FQ","BEST_FPERIOD_OVERRIDE=FQ","FILING_STATUS=MR","Sort=A","Dates=H","DateFormat=P","Fill=—","Direction=H","UseDPDF=Y")</f>
        <v>—</v>
      </c>
      <c r="U16" s="20" t="str">
        <f>_xll.BDH("GILD US Equity","PX_TO_TANG_BV_PER_SH","FQ1 2024","FQ1 2024","Currency=USD","Period=FQ","BEST_FPERIOD_OVERRIDE=FQ","FILING_STATUS=MR","Sort=A","Dates=H","DateFormat=P","Fill=—","Direction=H","UseDPDF=Y")</f>
        <v>—</v>
      </c>
      <c r="V16" s="20" t="str">
        <f>_xll.BDH("GILD US Equity","PX_TO_TANG_BV_PER_SH","FQ2 2024","FQ2 2024","Currency=USD","Period=FQ","BEST_FPERIOD_OVERRIDE=FQ","FILING_STATUS=MR","Sort=A","Dates=H","DateFormat=P","Fill=—","Direction=H","UseDPDF=Y")</f>
        <v>—</v>
      </c>
      <c r="W16" s="20" t="str">
        <f>_xll.BDH("GILD US Equity","PX_TO_TANG_BV_PER_SH","FQ3 2024","FQ3 2024","Currency=USD","Period=FQ","BEST_FPERIOD_OVERRIDE=FQ","FILING_STATUS=MR","Sort=A","Dates=H","DateFormat=P","Fill=—","Direction=H","UseDPDF=Y")</f>
        <v>—</v>
      </c>
      <c r="X16" s="20" t="str">
        <f>_xll.BDH("GILD US Equity","PX_TO_TANG_BV_PER_SH","FQ4 2024","FQ4 2024","Currency=USD","Period=FQ","BEST_FPERIOD_OVERRIDE=FQ","FILING_STATUS=MR","Sort=A","Dates=H","DateFormat=P","Fill=—","Direction=H","UseDPDF=Y")</f>
        <v>—</v>
      </c>
      <c r="Y16" s="23"/>
      <c r="Z16" s="20"/>
      <c r="AA16" s="20"/>
    </row>
    <row r="17" spans="1:27" x14ac:dyDescent="0.25">
      <c r="A17" s="10" t="s">
        <v>209</v>
      </c>
      <c r="B17" s="10" t="s">
        <v>222</v>
      </c>
      <c r="C17" s="14">
        <f>_xll.BDH("GILD US Equity","AVERAGE_PRICE_TO_TANGIBLE_BPS","FQ3 2019","FQ3 2019","Currency=USD","Period=FQ","BEST_FPERIOD_OVERRIDE=FQ","FILING_STATUS=MR","Sort=A","Dates=H","DateFormat=P","Fill=—","Direction=H","UseDPDF=Y")</f>
        <v>25.1432</v>
      </c>
      <c r="D17" s="14">
        <f>_xll.BDH("GILD US Equity","AVERAGE_PRICE_TO_TANGIBLE_BPS","FQ4 2019","FQ4 2019","Currency=USD","Period=FQ","BEST_FPERIOD_OVERRIDE=FQ","FILING_STATUS=MR","Sort=A","Dates=H","DateFormat=P","Fill=—","Direction=H","UseDPDF=Y")</f>
        <v>50.283499999999997</v>
      </c>
      <c r="E17" s="14">
        <f>_xll.BDH("GILD US Equity","AVERAGE_PRICE_TO_TANGIBLE_BPS","FQ1 2020","FQ1 2020","Currency=USD","Period=FQ","BEST_FPERIOD_OVERRIDE=FQ","FILING_STATUS=MR","Sort=A","Dates=H","DateFormat=P","Fill=—","Direction=H","UseDPDF=Y")</f>
        <v>18.936199999999999</v>
      </c>
      <c r="F17" s="14">
        <f>_xll.BDH("GILD US Equity","AVERAGE_PRICE_TO_TANGIBLE_BPS","FQ2 2020","FQ2 2020","Currency=USD","Period=FQ","BEST_FPERIOD_OVERRIDE=FQ","FILING_STATUS=MR","Sort=A","Dates=H","DateFormat=P","Fill=—","Direction=H","UseDPDF=Y")</f>
        <v>23.497299999999999</v>
      </c>
      <c r="G17" s="14">
        <f>_xll.BDH("GILD US Equity","AVERAGE_PRICE_TO_TANGIBLE_BPS","FQ3 2020","FQ3 2020","Currency=USD","Period=FQ","BEST_FPERIOD_OVERRIDE=FQ","FILING_STATUS=MR","Sort=A","Dates=H","DateFormat=P","Fill=—","Direction=H","UseDPDF=Y")</f>
        <v>128.322</v>
      </c>
      <c r="H17" s="14">
        <f>_xll.BDH("GILD US Equity","AVERAGE_PRICE_TO_TANGIBLE_BPS","FQ4 2020","FQ4 2020","Currency=USD","Period=FQ","BEST_FPERIOD_OVERRIDE=FQ","FILING_STATUS=MR","Sort=A","Dates=H","DateFormat=P","Fill=—","Direction=H","UseDPDF=Y")</f>
        <v>194.46860000000001</v>
      </c>
      <c r="I17" s="14" t="str">
        <f>_xll.BDH("GILD US Equity","AVERAGE_PRICE_TO_TANGIBLE_BPS","FQ1 2021","FQ1 2021","Currency=USD","Period=FQ","BEST_FPERIOD_OVERRIDE=FQ","FILING_STATUS=MR","Sort=A","Dates=H","DateFormat=P","Fill=—","Direction=H","UseDPDF=Y")</f>
        <v>—</v>
      </c>
      <c r="J17" s="14" t="str">
        <f>_xll.BDH("GILD US Equity","AVERAGE_PRICE_TO_TANGIBLE_BPS","FQ2 2021","FQ2 2021","Currency=USD","Period=FQ","BEST_FPERIOD_OVERRIDE=FQ","FILING_STATUS=MR","Sort=A","Dates=H","DateFormat=P","Fill=—","Direction=H","UseDPDF=Y")</f>
        <v>—</v>
      </c>
      <c r="K17" s="14" t="str">
        <f>_xll.BDH("GILD US Equity","AVERAGE_PRICE_TO_TANGIBLE_BPS","FQ3 2021","FQ3 2021","Currency=USD","Period=FQ","BEST_FPERIOD_OVERRIDE=FQ","FILING_STATUS=MR","Sort=A","Dates=H","DateFormat=P","Fill=—","Direction=H","UseDPDF=Y")</f>
        <v>—</v>
      </c>
      <c r="L17" s="14" t="str">
        <f>_xll.BDH("GILD US Equity","AVERAGE_PRICE_TO_TANGIBLE_BPS","FQ4 2021","FQ4 2021","Currency=USD","Period=FQ","BEST_FPERIOD_OVERRIDE=FQ","FILING_STATUS=MR","Sort=A","Dates=H","DateFormat=P","Fill=—","Direction=H","UseDPDF=Y")</f>
        <v>—</v>
      </c>
      <c r="M17" s="14" t="str">
        <f>_xll.BDH("GILD US Equity","AVERAGE_PRICE_TO_TANGIBLE_BPS","FQ1 2022","FQ1 2022","Currency=USD","Period=FQ","BEST_FPERIOD_OVERRIDE=FQ","FILING_STATUS=MR","Sort=A","Dates=H","DateFormat=P","Fill=—","Direction=H","UseDPDF=Y")</f>
        <v>—</v>
      </c>
      <c r="N17" s="14" t="str">
        <f>_xll.BDH("GILD US Equity","AVERAGE_PRICE_TO_TANGIBLE_BPS","FQ2 2022","FQ2 2022","Currency=USD","Period=FQ","BEST_FPERIOD_OVERRIDE=FQ","FILING_STATUS=MR","Sort=A","Dates=H","DateFormat=P","Fill=—","Direction=H","UseDPDF=Y")</f>
        <v>—</v>
      </c>
      <c r="O17" s="14" t="str">
        <f>_xll.BDH("GILD US Equity","AVERAGE_PRICE_TO_TANGIBLE_BPS","FQ3 2022","FQ3 2022","Currency=USD","Period=FQ","BEST_FPERIOD_OVERRIDE=FQ","FILING_STATUS=MR","Sort=A","Dates=H","DateFormat=P","Fill=—","Direction=H","UseDPDF=Y")</f>
        <v>—</v>
      </c>
      <c r="P17" s="14" t="str">
        <f>_xll.BDH("GILD US Equity","AVERAGE_PRICE_TO_TANGIBLE_BPS","FQ4 2022","FQ4 2022","Currency=USD","Period=FQ","BEST_FPERIOD_OVERRIDE=FQ","FILING_STATUS=MR","Sort=A","Dates=H","DateFormat=P","Fill=—","Direction=H","UseDPDF=Y")</f>
        <v>—</v>
      </c>
      <c r="Q17" s="14" t="str">
        <f>_xll.BDH("GILD US Equity","AVERAGE_PRICE_TO_TANGIBLE_BPS","FQ1 2023","FQ1 2023","Currency=USD","Period=FQ","BEST_FPERIOD_OVERRIDE=FQ","FILING_STATUS=MR","Sort=A","Dates=H","DateFormat=P","Fill=—","Direction=H","UseDPDF=Y")</f>
        <v>—</v>
      </c>
      <c r="R17" s="14" t="str">
        <f>_xll.BDH("GILD US Equity","AVERAGE_PRICE_TO_TANGIBLE_BPS","FQ2 2023","FQ2 2023","Currency=USD","Period=FQ","BEST_FPERIOD_OVERRIDE=FQ","FILING_STATUS=MR","Sort=A","Dates=H","DateFormat=P","Fill=—","Direction=H","UseDPDF=Y")</f>
        <v>—</v>
      </c>
      <c r="S17" s="14" t="str">
        <f>_xll.BDH("GILD US Equity","AVERAGE_PRICE_TO_TANGIBLE_BPS","FQ3 2023","FQ3 2023","Currency=USD","Period=FQ","BEST_FPERIOD_OVERRIDE=FQ","FILING_STATUS=MR","Sort=A","Dates=H","DateFormat=P","Fill=—","Direction=H","UseDPDF=Y")</f>
        <v>—</v>
      </c>
      <c r="T17" s="14" t="str">
        <f>_xll.BDH("GILD US Equity","AVERAGE_PRICE_TO_TANGIBLE_BPS","FQ4 2023","FQ4 2023","Currency=USD","Period=FQ","BEST_FPERIOD_OVERRIDE=FQ","FILING_STATUS=MR","Sort=A","Dates=H","DateFormat=P","Fill=—","Direction=H","UseDPDF=Y")</f>
        <v>—</v>
      </c>
      <c r="U17" s="14" t="str">
        <f>_xll.BDH("GILD US Equity","AVERAGE_PRICE_TO_TANGIBLE_BPS","FQ1 2024","FQ1 2024","Currency=USD","Period=FQ","BEST_FPERIOD_OVERRIDE=FQ","FILING_STATUS=MR","Sort=A","Dates=H","DateFormat=P","Fill=—","Direction=H","UseDPDF=Y")</f>
        <v>—</v>
      </c>
      <c r="V17" s="14" t="str">
        <f>_xll.BDH("GILD US Equity","AVERAGE_PRICE_TO_TANGIBLE_BPS","FQ2 2024","FQ2 2024","Currency=USD","Period=FQ","BEST_FPERIOD_OVERRIDE=FQ","FILING_STATUS=MR","Sort=A","Dates=H","DateFormat=P","Fill=—","Direction=H","UseDPDF=Y")</f>
        <v>—</v>
      </c>
      <c r="W17" s="14" t="str">
        <f>_xll.BDH("GILD US Equity","AVERAGE_PRICE_TO_TANGIBLE_BPS","FQ3 2024","FQ3 2024","Currency=USD","Period=FQ","BEST_FPERIOD_OVERRIDE=FQ","FILING_STATUS=MR","Sort=A","Dates=H","DateFormat=P","Fill=—","Direction=H","UseDPDF=Y")</f>
        <v>—</v>
      </c>
      <c r="X17" s="14" t="str">
        <f>_xll.BDH("GILD US Equity","AVERAGE_PRICE_TO_TANGIBLE_BPS","FQ4 2024","FQ4 2024","Currency=USD","Period=FQ","BEST_FPERIOD_OVERRIDE=FQ","FILING_STATUS=MR","Sort=A","Dates=H","DateFormat=P","Fill=—","Direction=H","UseDPDF=Y")</f>
        <v>—</v>
      </c>
      <c r="Y17" s="17"/>
      <c r="Z17" s="14"/>
      <c r="AA17" s="14"/>
    </row>
    <row r="18" spans="1:27" x14ac:dyDescent="0.25">
      <c r="A18" s="10" t="s">
        <v>211</v>
      </c>
      <c r="B18" s="10" t="s">
        <v>223</v>
      </c>
      <c r="C18" s="14">
        <f>_xll.BDH("GILD US Equity","HIGH_PRICE_TO_TANGIBLE_BPS","FQ3 2019","FQ3 2019","Currency=USD","Period=FQ","BEST_FPERIOD_OVERRIDE=FQ","FILING_STATUS=MR","Sort=A","Dates=H","DateFormat=P","Fill=—","Direction=H","UseDPDF=Y")</f>
        <v>49.438699999999997</v>
      </c>
      <c r="D18" s="14">
        <f>_xll.BDH("GILD US Equity","HIGH_PRICE_TO_TANGIBLE_BPS","FQ4 2019","FQ4 2019","Currency=USD","Period=FQ","BEST_FPERIOD_OVERRIDE=FQ","FILING_STATUS=MR","Sort=A","Dates=H","DateFormat=P","Fill=—","Direction=H","UseDPDF=Y")</f>
        <v>52.870899999999999</v>
      </c>
      <c r="E18" s="14">
        <f>_xll.BDH("GILD US Equity","HIGH_PRICE_TO_TANGIBLE_BPS","FQ1 2020","FQ1 2020","Currency=USD","Period=FQ","BEST_FPERIOD_OVERRIDE=FQ","FILING_STATUS=MR","Sort=A","Dates=H","DateFormat=P","Fill=—","Direction=H","UseDPDF=Y")</f>
        <v>21.972899999999999</v>
      </c>
      <c r="F18" s="14">
        <f>_xll.BDH("GILD US Equity","HIGH_PRICE_TO_TANGIBLE_BPS","FQ2 2020","FQ2 2020","Currency=USD","Period=FQ","BEST_FPERIOD_OVERRIDE=FQ","FILING_STATUS=MR","Sort=A","Dates=H","DateFormat=P","Fill=—","Direction=H","UseDPDF=Y")</f>
        <v>140.85069999999999</v>
      </c>
      <c r="G18" s="14">
        <f>_xll.BDH("GILD US Equity","HIGH_PRICE_TO_TANGIBLE_BPS","FQ3 2020","FQ3 2020","Currency=USD","Period=FQ","BEST_FPERIOD_OVERRIDE=FQ","FILING_STATUS=MR","Sort=A","Dates=H","DateFormat=P","Fill=—","Direction=H","UseDPDF=Y")</f>
        <v>203.54</v>
      </c>
      <c r="H18" s="14">
        <f>_xll.BDH("GILD US Equity","HIGH_PRICE_TO_TANGIBLE_BPS","FQ4 2020","FQ4 2020","Currency=USD","Period=FQ","BEST_FPERIOD_OVERRIDE=FQ","FILING_STATUS=MR","Sort=A","Dates=H","DateFormat=P","Fill=—","Direction=H","UseDPDF=Y")</f>
        <v>207.92070000000001</v>
      </c>
      <c r="I18" s="14" t="str">
        <f>_xll.BDH("GILD US Equity","HIGH_PRICE_TO_TANGIBLE_BPS","FQ1 2021","FQ1 2021","Currency=USD","Period=FQ","BEST_FPERIOD_OVERRIDE=FQ","FILING_STATUS=MR","Sort=A","Dates=H","DateFormat=P","Fill=—","Direction=H","UseDPDF=Y")</f>
        <v>—</v>
      </c>
      <c r="J18" s="14" t="str">
        <f>_xll.BDH("GILD US Equity","HIGH_PRICE_TO_TANGIBLE_BPS","FQ2 2021","FQ2 2021","Currency=USD","Period=FQ","BEST_FPERIOD_OVERRIDE=FQ","FILING_STATUS=MR","Sort=A","Dates=H","DateFormat=P","Fill=—","Direction=H","UseDPDF=Y")</f>
        <v>—</v>
      </c>
      <c r="K18" s="14" t="str">
        <f>_xll.BDH("GILD US Equity","HIGH_PRICE_TO_TANGIBLE_BPS","FQ3 2021","FQ3 2021","Currency=USD","Period=FQ","BEST_FPERIOD_OVERRIDE=FQ","FILING_STATUS=MR","Sort=A","Dates=H","DateFormat=P","Fill=—","Direction=H","UseDPDF=Y")</f>
        <v>—</v>
      </c>
      <c r="L18" s="14" t="str">
        <f>_xll.BDH("GILD US Equity","HIGH_PRICE_TO_TANGIBLE_BPS","FQ4 2021","FQ4 2021","Currency=USD","Period=FQ","BEST_FPERIOD_OVERRIDE=FQ","FILING_STATUS=MR","Sort=A","Dates=H","DateFormat=P","Fill=—","Direction=H","UseDPDF=Y")</f>
        <v>—</v>
      </c>
      <c r="M18" s="14" t="str">
        <f>_xll.BDH("GILD US Equity","HIGH_PRICE_TO_TANGIBLE_BPS","FQ1 2022","FQ1 2022","Currency=USD","Period=FQ","BEST_FPERIOD_OVERRIDE=FQ","FILING_STATUS=MR","Sort=A","Dates=H","DateFormat=P","Fill=—","Direction=H","UseDPDF=Y")</f>
        <v>—</v>
      </c>
      <c r="N18" s="14" t="str">
        <f>_xll.BDH("GILD US Equity","HIGH_PRICE_TO_TANGIBLE_BPS","FQ2 2022","FQ2 2022","Currency=USD","Period=FQ","BEST_FPERIOD_OVERRIDE=FQ","FILING_STATUS=MR","Sort=A","Dates=H","DateFormat=P","Fill=—","Direction=H","UseDPDF=Y")</f>
        <v>—</v>
      </c>
      <c r="O18" s="14" t="str">
        <f>_xll.BDH("GILD US Equity","HIGH_PRICE_TO_TANGIBLE_BPS","FQ3 2022","FQ3 2022","Currency=USD","Period=FQ","BEST_FPERIOD_OVERRIDE=FQ","FILING_STATUS=MR","Sort=A","Dates=H","DateFormat=P","Fill=—","Direction=H","UseDPDF=Y")</f>
        <v>—</v>
      </c>
      <c r="P18" s="14" t="str">
        <f>_xll.BDH("GILD US Equity","HIGH_PRICE_TO_TANGIBLE_BPS","FQ4 2022","FQ4 2022","Currency=USD","Period=FQ","BEST_FPERIOD_OVERRIDE=FQ","FILING_STATUS=MR","Sort=A","Dates=H","DateFormat=P","Fill=—","Direction=H","UseDPDF=Y")</f>
        <v>—</v>
      </c>
      <c r="Q18" s="14" t="str">
        <f>_xll.BDH("GILD US Equity","HIGH_PRICE_TO_TANGIBLE_BPS","FQ1 2023","FQ1 2023","Currency=USD","Period=FQ","BEST_FPERIOD_OVERRIDE=FQ","FILING_STATUS=MR","Sort=A","Dates=H","DateFormat=P","Fill=—","Direction=H","UseDPDF=Y")</f>
        <v>—</v>
      </c>
      <c r="R18" s="14" t="str">
        <f>_xll.BDH("GILD US Equity","HIGH_PRICE_TO_TANGIBLE_BPS","FQ2 2023","FQ2 2023","Currency=USD","Period=FQ","BEST_FPERIOD_OVERRIDE=FQ","FILING_STATUS=MR","Sort=A","Dates=H","DateFormat=P","Fill=—","Direction=H","UseDPDF=Y")</f>
        <v>—</v>
      </c>
      <c r="S18" s="14" t="str">
        <f>_xll.BDH("GILD US Equity","HIGH_PRICE_TO_TANGIBLE_BPS","FQ3 2023","FQ3 2023","Currency=USD","Period=FQ","BEST_FPERIOD_OVERRIDE=FQ","FILING_STATUS=MR","Sort=A","Dates=H","DateFormat=P","Fill=—","Direction=H","UseDPDF=Y")</f>
        <v>—</v>
      </c>
      <c r="T18" s="14" t="str">
        <f>_xll.BDH("GILD US Equity","HIGH_PRICE_TO_TANGIBLE_BPS","FQ4 2023","FQ4 2023","Currency=USD","Period=FQ","BEST_FPERIOD_OVERRIDE=FQ","FILING_STATUS=MR","Sort=A","Dates=H","DateFormat=P","Fill=—","Direction=H","UseDPDF=Y")</f>
        <v>—</v>
      </c>
      <c r="U18" s="14" t="str">
        <f>_xll.BDH("GILD US Equity","HIGH_PRICE_TO_TANGIBLE_BPS","FQ1 2024","FQ1 2024","Currency=USD","Period=FQ","BEST_FPERIOD_OVERRIDE=FQ","FILING_STATUS=MR","Sort=A","Dates=H","DateFormat=P","Fill=—","Direction=H","UseDPDF=Y")</f>
        <v>—</v>
      </c>
      <c r="V18" s="14" t="str">
        <f>_xll.BDH("GILD US Equity","HIGH_PRICE_TO_TANGIBLE_BPS","FQ2 2024","FQ2 2024","Currency=USD","Period=FQ","BEST_FPERIOD_OVERRIDE=FQ","FILING_STATUS=MR","Sort=A","Dates=H","DateFormat=P","Fill=—","Direction=H","UseDPDF=Y")</f>
        <v>—</v>
      </c>
      <c r="W18" s="14" t="str">
        <f>_xll.BDH("GILD US Equity","HIGH_PRICE_TO_TANGIBLE_BPS","FQ3 2024","FQ3 2024","Currency=USD","Period=FQ","BEST_FPERIOD_OVERRIDE=FQ","FILING_STATUS=MR","Sort=A","Dates=H","DateFormat=P","Fill=—","Direction=H","UseDPDF=Y")</f>
        <v>—</v>
      </c>
      <c r="X18" s="14" t="str">
        <f>_xll.BDH("GILD US Equity","HIGH_PRICE_TO_TANGIBLE_BPS","FQ4 2024","FQ4 2024","Currency=USD","Period=FQ","BEST_FPERIOD_OVERRIDE=FQ","FILING_STATUS=MR","Sort=A","Dates=H","DateFormat=P","Fill=—","Direction=H","UseDPDF=Y")</f>
        <v>—</v>
      </c>
      <c r="Y18" s="17"/>
      <c r="Z18" s="14"/>
      <c r="AA18" s="14"/>
    </row>
    <row r="19" spans="1:27" x14ac:dyDescent="0.25">
      <c r="A19" s="10" t="s">
        <v>213</v>
      </c>
      <c r="B19" s="10" t="s">
        <v>224</v>
      </c>
      <c r="C19" s="14">
        <f>_xll.BDH("GILD US Equity","LOW_PRICE_TO_TANGIBLE_BPS","FQ3 2019","FQ3 2019","Currency=USD","Period=FQ","BEST_FPERIOD_OVERRIDE=FQ","FILING_STATUS=MR","Sort=A","Dates=H","DateFormat=P","Fill=—","Direction=H","UseDPDF=Y")</f>
        <v>23.663</v>
      </c>
      <c r="D19" s="14">
        <f>_xll.BDH("GILD US Equity","LOW_PRICE_TO_TANGIBLE_BPS","FQ4 2019","FQ4 2019","Currency=USD","Period=FQ","BEST_FPERIOD_OVERRIDE=FQ","FILING_STATUS=MR","Sort=A","Dates=H","DateFormat=P","Fill=—","Direction=H","UseDPDF=Y")</f>
        <v>17.798500000000001</v>
      </c>
      <c r="E19" s="14">
        <f>_xll.BDH("GILD US Equity","LOW_PRICE_TO_TANGIBLE_BPS","FQ1 2020","FQ1 2020","Currency=USD","Period=FQ","BEST_FPERIOD_OVERRIDE=FQ","FILING_STATUS=MR","Sort=A","Dates=H","DateFormat=P","Fill=—","Direction=H","UseDPDF=Y")</f>
        <v>17.154800000000002</v>
      </c>
      <c r="F19" s="14">
        <f>_xll.BDH("GILD US Equity","LOW_PRICE_TO_TANGIBLE_BPS","FQ2 2020","FQ2 2020","Currency=USD","Period=FQ","BEST_FPERIOD_OVERRIDE=FQ","FILING_STATUS=MR","Sort=A","Dates=H","DateFormat=P","Fill=—","Direction=H","UseDPDF=Y")</f>
        <v>20.394400000000001</v>
      </c>
      <c r="G19" s="14">
        <f>_xll.BDH("GILD US Equity","LOW_PRICE_TO_TANGIBLE_BPS","FQ3 2020","FQ3 2020","Currency=USD","Period=FQ","BEST_FPERIOD_OVERRIDE=FQ","FILING_STATUS=MR","Sort=A","Dates=H","DateFormat=P","Fill=—","Direction=H","UseDPDF=Y")</f>
        <v>113.68380000000001</v>
      </c>
      <c r="H19" s="14">
        <f>_xll.BDH("GILD US Equity","LOW_PRICE_TO_TANGIBLE_BPS","FQ4 2020","FQ4 2020","Currency=USD","Period=FQ","BEST_FPERIOD_OVERRIDE=FQ","FILING_STATUS=MR","Sort=A","Dates=H","DateFormat=P","Fill=—","Direction=H","UseDPDF=Y")</f>
        <v>182.4742</v>
      </c>
      <c r="I19" s="14" t="str">
        <f>_xll.BDH("GILD US Equity","LOW_PRICE_TO_TANGIBLE_BPS","FQ1 2021","FQ1 2021","Currency=USD","Period=FQ","BEST_FPERIOD_OVERRIDE=FQ","FILING_STATUS=MR","Sort=A","Dates=H","DateFormat=P","Fill=—","Direction=H","UseDPDF=Y")</f>
        <v>—</v>
      </c>
      <c r="J19" s="14" t="str">
        <f>_xll.BDH("GILD US Equity","LOW_PRICE_TO_TANGIBLE_BPS","FQ2 2021","FQ2 2021","Currency=USD","Period=FQ","BEST_FPERIOD_OVERRIDE=FQ","FILING_STATUS=MR","Sort=A","Dates=H","DateFormat=P","Fill=—","Direction=H","UseDPDF=Y")</f>
        <v>—</v>
      </c>
      <c r="K19" s="14" t="str">
        <f>_xll.BDH("GILD US Equity","LOW_PRICE_TO_TANGIBLE_BPS","FQ3 2021","FQ3 2021","Currency=USD","Period=FQ","BEST_FPERIOD_OVERRIDE=FQ","FILING_STATUS=MR","Sort=A","Dates=H","DateFormat=P","Fill=—","Direction=H","UseDPDF=Y")</f>
        <v>—</v>
      </c>
      <c r="L19" s="14" t="str">
        <f>_xll.BDH("GILD US Equity","LOW_PRICE_TO_TANGIBLE_BPS","FQ4 2021","FQ4 2021","Currency=USD","Period=FQ","BEST_FPERIOD_OVERRIDE=FQ","FILING_STATUS=MR","Sort=A","Dates=H","DateFormat=P","Fill=—","Direction=H","UseDPDF=Y")</f>
        <v>—</v>
      </c>
      <c r="M19" s="14" t="str">
        <f>_xll.BDH("GILD US Equity","LOW_PRICE_TO_TANGIBLE_BPS","FQ1 2022","FQ1 2022","Currency=USD","Period=FQ","BEST_FPERIOD_OVERRIDE=FQ","FILING_STATUS=MR","Sort=A","Dates=H","DateFormat=P","Fill=—","Direction=H","UseDPDF=Y")</f>
        <v>—</v>
      </c>
      <c r="N19" s="14" t="str">
        <f>_xll.BDH("GILD US Equity","LOW_PRICE_TO_TANGIBLE_BPS","FQ2 2022","FQ2 2022","Currency=USD","Period=FQ","BEST_FPERIOD_OVERRIDE=FQ","FILING_STATUS=MR","Sort=A","Dates=H","DateFormat=P","Fill=—","Direction=H","UseDPDF=Y")</f>
        <v>—</v>
      </c>
      <c r="O19" s="14" t="str">
        <f>_xll.BDH("GILD US Equity","LOW_PRICE_TO_TANGIBLE_BPS","FQ3 2022","FQ3 2022","Currency=USD","Period=FQ","BEST_FPERIOD_OVERRIDE=FQ","FILING_STATUS=MR","Sort=A","Dates=H","DateFormat=P","Fill=—","Direction=H","UseDPDF=Y")</f>
        <v>—</v>
      </c>
      <c r="P19" s="14" t="str">
        <f>_xll.BDH("GILD US Equity","LOW_PRICE_TO_TANGIBLE_BPS","FQ4 2022","FQ4 2022","Currency=USD","Period=FQ","BEST_FPERIOD_OVERRIDE=FQ","FILING_STATUS=MR","Sort=A","Dates=H","DateFormat=P","Fill=—","Direction=H","UseDPDF=Y")</f>
        <v>—</v>
      </c>
      <c r="Q19" s="14" t="str">
        <f>_xll.BDH("GILD US Equity","LOW_PRICE_TO_TANGIBLE_BPS","FQ1 2023","FQ1 2023","Currency=USD","Period=FQ","BEST_FPERIOD_OVERRIDE=FQ","FILING_STATUS=MR","Sort=A","Dates=H","DateFormat=P","Fill=—","Direction=H","UseDPDF=Y")</f>
        <v>—</v>
      </c>
      <c r="R19" s="14" t="str">
        <f>_xll.BDH("GILD US Equity","LOW_PRICE_TO_TANGIBLE_BPS","FQ2 2023","FQ2 2023","Currency=USD","Period=FQ","BEST_FPERIOD_OVERRIDE=FQ","FILING_STATUS=MR","Sort=A","Dates=H","DateFormat=P","Fill=—","Direction=H","UseDPDF=Y")</f>
        <v>—</v>
      </c>
      <c r="S19" s="14" t="str">
        <f>_xll.BDH("GILD US Equity","LOW_PRICE_TO_TANGIBLE_BPS","FQ3 2023","FQ3 2023","Currency=USD","Period=FQ","BEST_FPERIOD_OVERRIDE=FQ","FILING_STATUS=MR","Sort=A","Dates=H","DateFormat=P","Fill=—","Direction=H","UseDPDF=Y")</f>
        <v>—</v>
      </c>
      <c r="T19" s="14" t="str">
        <f>_xll.BDH("GILD US Equity","LOW_PRICE_TO_TANGIBLE_BPS","FQ4 2023","FQ4 2023","Currency=USD","Period=FQ","BEST_FPERIOD_OVERRIDE=FQ","FILING_STATUS=MR","Sort=A","Dates=H","DateFormat=P","Fill=—","Direction=H","UseDPDF=Y")</f>
        <v>—</v>
      </c>
      <c r="U19" s="14" t="str">
        <f>_xll.BDH("GILD US Equity","LOW_PRICE_TO_TANGIBLE_BPS","FQ1 2024","FQ1 2024","Currency=USD","Period=FQ","BEST_FPERIOD_OVERRIDE=FQ","FILING_STATUS=MR","Sort=A","Dates=H","DateFormat=P","Fill=—","Direction=H","UseDPDF=Y")</f>
        <v>—</v>
      </c>
      <c r="V19" s="14" t="str">
        <f>_xll.BDH("GILD US Equity","LOW_PRICE_TO_TANGIBLE_BPS","FQ2 2024","FQ2 2024","Currency=USD","Period=FQ","BEST_FPERIOD_OVERRIDE=FQ","FILING_STATUS=MR","Sort=A","Dates=H","DateFormat=P","Fill=—","Direction=H","UseDPDF=Y")</f>
        <v>—</v>
      </c>
      <c r="W19" s="14" t="str">
        <f>_xll.BDH("GILD US Equity","LOW_PRICE_TO_TANGIBLE_BPS","FQ3 2024","FQ3 2024","Currency=USD","Period=FQ","BEST_FPERIOD_OVERRIDE=FQ","FILING_STATUS=MR","Sort=A","Dates=H","DateFormat=P","Fill=—","Direction=H","UseDPDF=Y")</f>
        <v>—</v>
      </c>
      <c r="X19" s="14" t="str">
        <f>_xll.BDH("GILD US Equity","LOW_PRICE_TO_TANGIBLE_BPS","FQ4 2024","FQ4 2024","Currency=USD","Period=FQ","BEST_FPERIOD_OVERRIDE=FQ","FILING_STATUS=MR","Sort=A","Dates=H","DateFormat=P","Fill=—","Direction=H","UseDPDF=Y")</f>
        <v>—</v>
      </c>
      <c r="Y19" s="17"/>
      <c r="Z19" s="14"/>
      <c r="AA19" s="14"/>
    </row>
    <row r="20" spans="1:27" x14ac:dyDescent="0.25">
      <c r="A20" s="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21"/>
      <c r="Z20" s="18"/>
      <c r="AA20" s="18"/>
    </row>
    <row r="21" spans="1:27" x14ac:dyDescent="0.25">
      <c r="A21" s="6" t="s">
        <v>225</v>
      </c>
      <c r="B21" s="6" t="s">
        <v>226</v>
      </c>
      <c r="C21" s="20">
        <f>_xll.BDH("GILD US Equity","PX_TO_SALES_RATIO","FQ3 2019","FQ3 2019","Currency=USD","Period=FQ","BEST_FPERIOD_OVERRIDE=FQ","FILING_STATUS=MR","FA_ADJUSTED=GAAP","Sort=A","Dates=H","DateFormat=P","Fill=—","Direction=H","UseDPDF=Y")</f>
        <v>3.6154000000000002</v>
      </c>
      <c r="D21" s="20">
        <f>_xll.BDH("GILD US Equity","PX_TO_SALES_RATIO","FQ4 2019","FQ4 2019","Currency=USD","Period=FQ","BEST_FPERIOD_OVERRIDE=FQ","FILING_STATUS=MR","FA_ADJUSTED=GAAP","Sort=A","Dates=H","DateFormat=P","Fill=—","Direction=H","UseDPDF=Y")</f>
        <v>3.6749000000000001</v>
      </c>
      <c r="E21" s="20">
        <f>_xll.BDH("GILD US Equity","PX_TO_SALES_RATIO","FQ1 2020","FQ1 2020","Currency=USD","Period=FQ","BEST_FPERIOD_OVERRIDE=FQ","FILING_STATUS=MR","FA_ADJUSTED=GAAP","Sort=A","Dates=H","DateFormat=P","Fill=—","Direction=H","UseDPDF=Y")</f>
        <v>4.1673999999999998</v>
      </c>
      <c r="F21" s="20">
        <f>_xll.BDH("GILD US Equity","PX_TO_SALES_RATIO","FQ2 2020","FQ2 2020","Currency=USD","Period=FQ","BEST_FPERIOD_OVERRIDE=FQ","FILING_STATUS=MR","FA_ADJUSTED=GAAP","Sort=A","Dates=H","DateFormat=P","Fill=—","Direction=H","UseDPDF=Y")</f>
        <v>4.3813000000000004</v>
      </c>
      <c r="G21" s="20">
        <f>_xll.BDH("GILD US Equity","PX_TO_SALES_RATIO","FQ3 2020","FQ3 2020","Currency=USD","Period=FQ","BEST_FPERIOD_OVERRIDE=FQ","FILING_STATUS=MR","FA_ADJUSTED=GAAP","Sort=A","Dates=H","DateFormat=P","Fill=—","Direction=H","UseDPDF=Y")</f>
        <v>3.4382000000000001</v>
      </c>
      <c r="H21" s="20">
        <f>_xll.BDH("GILD US Equity","PX_TO_SALES_RATIO","FQ4 2020","FQ4 2020","Currency=USD","Period=FQ","BEST_FPERIOD_OVERRIDE=FQ","FILING_STATUS=MR","FA_ADJUSTED=GAAP","Sort=A","Dates=H","DateFormat=P","Fill=—","Direction=H","UseDPDF=Y")</f>
        <v>2.9651999999999998</v>
      </c>
      <c r="I21" s="20">
        <f>_xll.BDH("GILD US Equity","PX_TO_SALES_RATIO","FQ1 2021","FQ1 2021","Currency=USD","Period=FQ","BEST_FPERIOD_OVERRIDE=FQ","FILING_STATUS=MR","FA_ADJUSTED=GAAP","Sort=A","Dates=H","DateFormat=P","Fill=—","Direction=H","UseDPDF=Y")</f>
        <v>3.1735000000000002</v>
      </c>
      <c r="J21" s="20">
        <f>_xll.BDH("GILD US Equity","PX_TO_SALES_RATIO","FQ2 2021","FQ2 2021","Currency=USD","Period=FQ","BEST_FPERIOD_OVERRIDE=FQ","FILING_STATUS=MR","FA_ADJUSTED=GAAP","Sort=A","Dates=H","DateFormat=P","Fill=—","Direction=H","UseDPDF=Y")</f>
        <v>3.2448000000000001</v>
      </c>
      <c r="K21" s="20">
        <f>_xll.BDH("GILD US Equity","PX_TO_SALES_RATIO","FQ3 2021","FQ3 2021","Currency=USD","Period=FQ","BEST_FPERIOD_OVERRIDE=FQ","FILING_STATUS=MR","FA_ADJUSTED=GAAP","Sort=A","Dates=H","DateFormat=P","Fill=—","Direction=H","UseDPDF=Y")</f>
        <v>3.1911</v>
      </c>
      <c r="L21" s="20">
        <f>_xll.BDH("GILD US Equity","PX_TO_SALES_RATIO","FQ4 2021","FQ4 2021","Currency=USD","Period=FQ","BEST_FPERIOD_OVERRIDE=FQ","FILING_STATUS=MR","FA_ADJUSTED=GAAP","Sort=A","Dates=H","DateFormat=P","Fill=—","Direction=H","UseDPDF=Y")</f>
        <v>3.3393999999999999</v>
      </c>
      <c r="M21" s="20">
        <f>_xll.BDH("GILD US Equity","PX_TO_SALES_RATIO","FQ1 2022","FQ1 2022","Currency=USD","Period=FQ","BEST_FPERIOD_OVERRIDE=FQ","FILING_STATUS=MR","FA_ADJUSTED=GAAP","Sort=A","Dates=H","DateFormat=P","Fill=—","Direction=H","UseDPDF=Y")</f>
        <v>2.7170000000000001</v>
      </c>
      <c r="N21" s="20">
        <f>_xll.BDH("GILD US Equity","PX_TO_SALES_RATIO","FQ2 2022","FQ2 2022","Currency=USD","Period=FQ","BEST_FPERIOD_OVERRIDE=FQ","FILING_STATUS=MR","FA_ADJUSTED=GAAP","Sort=A","Dates=H","DateFormat=P","Fill=—","Direction=H","UseDPDF=Y")</f>
        <v>2.8210000000000002</v>
      </c>
      <c r="O21" s="20">
        <f>_xll.BDH("GILD US Equity","PX_TO_SALES_RATIO","FQ3 2022","FQ3 2022","Currency=USD","Period=FQ","BEST_FPERIOD_OVERRIDE=FQ","FILING_STATUS=MR","FA_ADJUSTED=GAAP","Sort=A","Dates=H","DateFormat=P","Fill=—","Direction=H","UseDPDF=Y")</f>
        <v>2.8542000000000001</v>
      </c>
      <c r="P21" s="20">
        <f>_xll.BDH("GILD US Equity","PX_TO_SALES_RATIO","FQ4 2022","FQ4 2022","Currency=USD","Period=FQ","BEST_FPERIOD_OVERRIDE=FQ","FILING_STATUS=MR","FA_ADJUSTED=GAAP","Sort=A","Dates=H","DateFormat=P","Fill=—","Direction=H","UseDPDF=Y")</f>
        <v>3.9474999999999998</v>
      </c>
      <c r="Q21" s="20">
        <f>_xll.BDH("GILD US Equity","PX_TO_SALES_RATIO","FQ1 2023","FQ1 2023","Currency=USD","Period=FQ","BEST_FPERIOD_OVERRIDE=FQ","FILING_STATUS=MR","FA_ADJUSTED=GAAP","Sort=A","Dates=H","DateFormat=P","Fill=—","Direction=H","UseDPDF=Y")</f>
        <v>3.8435999999999999</v>
      </c>
      <c r="R21" s="20">
        <f>_xll.BDH("GILD US Equity","PX_TO_SALES_RATIO","FQ2 2023","FQ2 2023","Currency=USD","Period=FQ","BEST_FPERIOD_OVERRIDE=FQ","FILING_STATUS=MR","FA_ADJUSTED=GAAP","Sort=A","Dates=H","DateFormat=P","Fill=—","Direction=H","UseDPDF=Y")</f>
        <v>3.5213999999999999</v>
      </c>
      <c r="S21" s="20">
        <f>_xll.BDH("GILD US Equity","PX_TO_SALES_RATIO","FQ3 2023","FQ3 2023","Currency=USD","Period=FQ","BEST_FPERIOD_OVERRIDE=FQ","FILING_STATUS=MR","FA_ADJUSTED=GAAP","Sort=A","Dates=H","DateFormat=P","Fill=—","Direction=H","UseDPDF=Y")</f>
        <v>3.4180999999999999</v>
      </c>
      <c r="T21" s="20">
        <f>_xll.BDH("GILD US Equity","PX_TO_SALES_RATIO","FQ4 2023","FQ4 2023","Currency=USD","Period=FQ","BEST_FPERIOD_OVERRIDE=FQ","FILING_STATUS=MR","FA_ADJUSTED=GAAP","Sort=A","Dates=H","DateFormat=P","Fill=—","Direction=H","UseDPDF=Y")</f>
        <v>3.7290000000000001</v>
      </c>
      <c r="U21" s="20">
        <f>_xll.BDH("GILD US Equity","PX_TO_SALES_RATIO","FQ1 2024","FQ1 2024","Currency=USD","Period=FQ","BEST_FPERIOD_OVERRIDE=FQ","FILING_STATUS=MR","FA_ADJUSTED=GAAP","Sort=A","Dates=H","DateFormat=P","Fill=—","Direction=H","UseDPDF=Y")</f>
        <v>3.3300999999999998</v>
      </c>
      <c r="V21" s="20">
        <f>_xll.BDH("GILD US Equity","PX_TO_SALES_RATIO","FQ2 2024","FQ2 2024","Currency=USD","Period=FQ","BEST_FPERIOD_OVERRIDE=FQ","FILING_STATUS=MR","FA_ADJUSTED=GAAP","Sort=A","Dates=H","DateFormat=P","Fill=—","Direction=H","UseDPDF=Y")</f>
        <v>3.0783</v>
      </c>
      <c r="W21" s="20">
        <f>_xll.BDH("GILD US Equity","PX_TO_SALES_RATIO","FQ3 2024","FQ3 2024","Currency=USD","Period=FQ","BEST_FPERIOD_OVERRIDE=FQ","FILING_STATUS=MR","FA_ADJUSTED=GAAP","Sort=A","Dates=H","DateFormat=P","Fill=—","Direction=H","UseDPDF=Y")</f>
        <v>3.6951999999999998</v>
      </c>
      <c r="X21" s="20">
        <f>_xll.BDH("GILD US Equity","PX_TO_SALES_RATIO","FQ4 2024","FQ4 2024","Currency=USD","Period=FQ","BEST_FPERIOD_OVERRIDE=FQ","FILING_STATUS=MR","FA_ADJUSTED=GAAP","Sort=A","Dates=H","DateFormat=P","Fill=—","Direction=H","UseDPDF=Y")</f>
        <v>4.0068999999999999</v>
      </c>
      <c r="Y21" s="23">
        <v>4.8475515575448096</v>
      </c>
      <c r="Z21" s="20">
        <v>4.8551635039719203</v>
      </c>
      <c r="AA21" s="20">
        <v>4.8469975630021596</v>
      </c>
    </row>
    <row r="22" spans="1:27" x14ac:dyDescent="0.25">
      <c r="A22" s="10" t="s">
        <v>209</v>
      </c>
      <c r="B22" s="10" t="s">
        <v>227</v>
      </c>
      <c r="C22" s="14">
        <f>_xll.BDH("GILD US Equity","AVERAGE_PRICE_TO_SALES_RATIO","FQ3 2019","FQ3 2019","Currency=USD","Period=FQ","BEST_FPERIOD_OVERRIDE=FQ","FILING_STATUS=MR","FA_ADJUSTED=GAAP","Sort=A","Dates=H","DateFormat=P","Fill=—","Direction=H","UseDPDF=Y")</f>
        <v>3.7511000000000001</v>
      </c>
      <c r="D22" s="14">
        <f>_xll.BDH("GILD US Equity","AVERAGE_PRICE_TO_SALES_RATIO","FQ4 2019","FQ4 2019","Currency=USD","Period=FQ","BEST_FPERIOD_OVERRIDE=FQ","FILING_STATUS=MR","FA_ADJUSTED=GAAP","Sort=A","Dates=H","DateFormat=P","Fill=—","Direction=H","UseDPDF=Y")</f>
        <v>3.7143000000000002</v>
      </c>
      <c r="E22" s="14">
        <f>_xll.BDH("GILD US Equity","AVERAGE_PRICE_TO_SALES_RATIO","FQ1 2020","FQ1 2020","Currency=USD","Period=FQ","BEST_FPERIOD_OVERRIDE=FQ","FILING_STATUS=MR","FA_ADJUSTED=GAAP","Sort=A","Dates=H","DateFormat=P","Fill=—","Direction=H","UseDPDF=Y")</f>
        <v>3.9068999999999998</v>
      </c>
      <c r="F22" s="14">
        <f>_xll.BDH("GILD US Equity","AVERAGE_PRICE_TO_SALES_RATIO","FQ2 2020","FQ2 2020","Currency=USD","Period=FQ","BEST_FPERIOD_OVERRIDE=FQ","FILING_STATUS=MR","FA_ADJUSTED=GAAP","Sort=A","Dates=H","DateFormat=P","Fill=—","Direction=H","UseDPDF=Y")</f>
        <v>4.2735000000000003</v>
      </c>
      <c r="G22" s="14">
        <f>_xll.BDH("GILD US Equity","AVERAGE_PRICE_TO_SALES_RATIO","FQ3 2020","FQ3 2020","Currency=USD","Period=FQ","BEST_FPERIOD_OVERRIDE=FQ","FILING_STATUS=MR","FA_ADJUSTED=GAAP","Sort=A","Dates=H","DateFormat=P","Fill=—","Direction=H","UseDPDF=Y")</f>
        <v>3.9464000000000001</v>
      </c>
      <c r="H22" s="14">
        <f>_xll.BDH("GILD US Equity","AVERAGE_PRICE_TO_SALES_RATIO","FQ4 2020","FQ4 2020","Currency=USD","Period=FQ","BEST_FPERIOD_OVERRIDE=FQ","FILING_STATUS=MR","FA_ADJUSTED=GAAP","Sort=A","Dates=H","DateFormat=P","Fill=—","Direction=H","UseDPDF=Y")</f>
        <v>3.28</v>
      </c>
      <c r="I22" s="14">
        <f>_xll.BDH("GILD US Equity","AVERAGE_PRICE_TO_SALES_RATIO","FQ1 2021","FQ1 2021","Currency=USD","Period=FQ","BEST_FPERIOD_OVERRIDE=FQ","FILING_STATUS=MR","FA_ADJUSTED=GAAP","Sort=A","Dates=H","DateFormat=P","Fill=—","Direction=H","UseDPDF=Y")</f>
        <v>3.2799</v>
      </c>
      <c r="J22" s="14">
        <f>_xll.BDH("GILD US Equity","AVERAGE_PRICE_TO_SALES_RATIO","FQ2 2021","FQ2 2021","Currency=USD","Period=FQ","BEST_FPERIOD_OVERRIDE=FQ","FILING_STATUS=MR","FA_ADJUSTED=GAAP","Sort=A","Dates=H","DateFormat=P","Fill=—","Direction=H","UseDPDF=Y")</f>
        <v>3.2766000000000002</v>
      </c>
      <c r="K22" s="14">
        <f>_xll.BDH("GILD US Equity","AVERAGE_PRICE_TO_SALES_RATIO","FQ3 2021","FQ3 2021","Currency=USD","Period=FQ","BEST_FPERIOD_OVERRIDE=FQ","FILING_STATUS=MR","FA_ADJUSTED=GAAP","Sort=A","Dates=H","DateFormat=P","Fill=—","Direction=H","UseDPDF=Y")</f>
        <v>3.3089</v>
      </c>
      <c r="L22" s="14">
        <f>_xll.BDH("GILD US Equity","AVERAGE_PRICE_TO_SALES_RATIO","FQ4 2021","FQ4 2021","Currency=USD","Period=FQ","BEST_FPERIOD_OVERRIDE=FQ","FILING_STATUS=MR","FA_ADJUSTED=GAAP","Sort=A","Dates=H","DateFormat=P","Fill=—","Direction=H","UseDPDF=Y")</f>
        <v>3.1469</v>
      </c>
      <c r="M22" s="14">
        <f>_xll.BDH("GILD US Equity","AVERAGE_PRICE_TO_SALES_RATIO","FQ1 2022","FQ1 2022","Currency=USD","Period=FQ","BEST_FPERIOD_OVERRIDE=FQ","FILING_STATUS=MR","FA_ADJUSTED=GAAP","Sort=A","Dates=H","DateFormat=P","Fill=—","Direction=H","UseDPDF=Y")</f>
        <v>2.9396</v>
      </c>
      <c r="N22" s="14">
        <f>_xll.BDH("GILD US Equity","AVERAGE_PRICE_TO_SALES_RATIO","FQ2 2022","FQ2 2022","Currency=USD","Period=FQ","BEST_FPERIOD_OVERRIDE=FQ","FILING_STATUS=MR","FA_ADJUSTED=GAAP","Sort=A","Dates=H","DateFormat=P","Fill=—","Direction=H","UseDPDF=Y")</f>
        <v>2.8294999999999999</v>
      </c>
      <c r="O22" s="14">
        <f>_xll.BDH("GILD US Equity","AVERAGE_PRICE_TO_SALES_RATIO","FQ3 2022","FQ3 2022","Currency=USD","Period=FQ","BEST_FPERIOD_OVERRIDE=FQ","FILING_STATUS=MR","FA_ADJUSTED=GAAP","Sort=A","Dates=H","DateFormat=P","Fill=—","Direction=H","UseDPDF=Y")</f>
        <v>2.8784999999999998</v>
      </c>
      <c r="P22" s="14">
        <f>_xll.BDH("GILD US Equity","AVERAGE_PRICE_TO_SALES_RATIO","FQ4 2022","FQ4 2022","Currency=USD","Period=FQ","BEST_FPERIOD_OVERRIDE=FQ","FILING_STATUS=MR","FA_ADJUSTED=GAAP","Sort=A","Dates=H","DateFormat=P","Fill=—","Direction=H","UseDPDF=Y")</f>
        <v>3.6635</v>
      </c>
      <c r="Q22" s="14">
        <f>_xll.BDH("GILD US Equity","AVERAGE_PRICE_TO_SALES_RATIO","FQ1 2023","FQ1 2023","Currency=USD","Period=FQ","BEST_FPERIOD_OVERRIDE=FQ","FILING_STATUS=MR","FA_ADJUSTED=GAAP","Sort=A","Dates=H","DateFormat=P","Fill=—","Direction=H","UseDPDF=Y")</f>
        <v>3.8089</v>
      </c>
      <c r="R22" s="14">
        <f>_xll.BDH("GILD US Equity","AVERAGE_PRICE_TO_SALES_RATIO","FQ2 2023","FQ2 2023","Currency=USD","Period=FQ","BEST_FPERIOD_OVERRIDE=FQ","FILING_STATUS=MR","FA_ADJUSTED=GAAP","Sort=A","Dates=H","DateFormat=P","Fill=—","Direction=H","UseDPDF=Y")</f>
        <v>3.6938</v>
      </c>
      <c r="S22" s="14">
        <f>_xll.BDH("GILD US Equity","AVERAGE_PRICE_TO_SALES_RATIO","FQ3 2023","FQ3 2023","Currency=USD","Period=FQ","BEST_FPERIOD_OVERRIDE=FQ","FILING_STATUS=MR","FA_ADJUSTED=GAAP","Sort=A","Dates=H","DateFormat=P","Fill=—","Direction=H","UseDPDF=Y")</f>
        <v>3.5143</v>
      </c>
      <c r="T22" s="14">
        <f>_xll.BDH("GILD US Equity","AVERAGE_PRICE_TO_SALES_RATIO","FQ4 2023","FQ4 2023","Currency=USD","Period=FQ","BEST_FPERIOD_OVERRIDE=FQ","FILING_STATUS=MR","FA_ADJUSTED=GAAP","Sort=A","Dates=H","DateFormat=P","Fill=—","Direction=H","UseDPDF=Y")</f>
        <v>3.5497999999999998</v>
      </c>
      <c r="U22" s="14">
        <f>_xll.BDH("GILD US Equity","AVERAGE_PRICE_TO_SALES_RATIO","FQ1 2024","FQ1 2024","Currency=USD","Period=FQ","BEST_FPERIOD_OVERRIDE=FQ","FILING_STATUS=MR","FA_ADJUSTED=GAAP","Sort=A","Dates=H","DateFormat=P","Fill=—","Direction=H","UseDPDF=Y")</f>
        <v>3.5390000000000001</v>
      </c>
      <c r="V22" s="14">
        <f>_xll.BDH("GILD US Equity","AVERAGE_PRICE_TO_SALES_RATIO","FQ2 2024","FQ2 2024","Currency=USD","Period=FQ","BEST_FPERIOD_OVERRIDE=FQ","FILING_STATUS=MR","FA_ADJUSTED=GAAP","Sort=A","Dates=H","DateFormat=P","Fill=—","Direction=H","UseDPDF=Y")</f>
        <v>3.0333000000000001</v>
      </c>
      <c r="W22" s="14">
        <f>_xll.BDH("GILD US Equity","AVERAGE_PRICE_TO_SALES_RATIO","FQ3 2024","FQ3 2024","Currency=USD","Period=FQ","BEST_FPERIOD_OVERRIDE=FQ","FILING_STATUS=MR","FA_ADJUSTED=GAAP","Sort=A","Dates=H","DateFormat=P","Fill=—","Direction=H","UseDPDF=Y")</f>
        <v>3.4224999999999999</v>
      </c>
      <c r="X22" s="14">
        <f>_xll.BDH("GILD US Equity","AVERAGE_PRICE_TO_SALES_RATIO","FQ4 2024","FQ4 2024","Currency=USD","Period=FQ","BEST_FPERIOD_OVERRIDE=FQ","FILING_STATUS=MR","FA_ADJUSTED=GAAP","Sort=A","Dates=H","DateFormat=P","Fill=—","Direction=H","UseDPDF=Y")</f>
        <v>3.9672999999999998</v>
      </c>
      <c r="Y22" s="17"/>
      <c r="Z22" s="14"/>
      <c r="AA22" s="14"/>
    </row>
    <row r="23" spans="1:27" x14ac:dyDescent="0.25">
      <c r="A23" s="10" t="s">
        <v>211</v>
      </c>
      <c r="B23" s="10" t="s">
        <v>228</v>
      </c>
      <c r="C23" s="14">
        <f>_xll.BDH("GILD US Equity","HIGH_PX_TO_SALES_RATIO","FQ3 2019","FQ3 2019","Currency=USD","Period=FQ","BEST_FPERIOD_OVERRIDE=FQ","FILING_STATUS=MR","FA_ADJUSTED=GAAP","Sort=A","Dates=H","DateFormat=P","Fill=—","Direction=H","UseDPDF=Y")</f>
        <v>3.9796</v>
      </c>
      <c r="D23" s="14">
        <f>_xll.BDH("GILD US Equity","HIGH_PX_TO_SALES_RATIO","FQ4 2019","FQ4 2019","Currency=USD","Period=FQ","BEST_FPERIOD_OVERRIDE=FQ","FILING_STATUS=MR","FA_ADJUSTED=GAAP","Sort=A","Dates=H","DateFormat=P","Fill=—","Direction=H","UseDPDF=Y")</f>
        <v>3.8881000000000001</v>
      </c>
      <c r="E23" s="14">
        <f>_xll.BDH("GILD US Equity","HIGH_PX_TO_SALES_RATIO","FQ1 2020","FQ1 2020","Currency=USD","Period=FQ","BEST_FPERIOD_OVERRIDE=FQ","FILING_STATUS=MR","FA_ADJUSTED=GAAP","Sort=A","Dates=H","DateFormat=P","Fill=—","Direction=H","UseDPDF=Y")</f>
        <v>4.8620000000000001</v>
      </c>
      <c r="F23" s="14">
        <f>_xll.BDH("GILD US Equity","HIGH_PX_TO_SALES_RATIO","FQ2 2020","FQ2 2020","Currency=USD","Period=FQ","BEST_FPERIOD_OVERRIDE=FQ","FILING_STATUS=MR","FA_ADJUSTED=GAAP","Sort=A","Dates=H","DateFormat=P","Fill=—","Direction=H","UseDPDF=Y")</f>
        <v>4.7821999999999996</v>
      </c>
      <c r="G23" s="14">
        <f>_xll.BDH("GILD US Equity","HIGH_PX_TO_SALES_RATIO","FQ3 2020","FQ3 2020","Currency=USD","Period=FQ","BEST_FPERIOD_OVERRIDE=FQ","FILING_STATUS=MR","FA_ADJUSTED=GAAP","Sort=A","Dates=H","DateFormat=P","Fill=—","Direction=H","UseDPDF=Y")</f>
        <v>4.4951999999999996</v>
      </c>
      <c r="H23" s="14">
        <f>_xll.BDH("GILD US Equity","HIGH_PX_TO_SALES_RATIO","FQ4 2020","FQ4 2020","Currency=USD","Period=FQ","BEST_FPERIOD_OVERRIDE=FQ","FILING_STATUS=MR","FA_ADJUSTED=GAAP","Sort=A","Dates=H","DateFormat=P","Fill=—","Direction=H","UseDPDF=Y")</f>
        <v>3.5362</v>
      </c>
      <c r="I23" s="14">
        <f>_xll.BDH("GILD US Equity","HIGH_PX_TO_SALES_RATIO","FQ1 2021","FQ1 2021","Currency=USD","Period=FQ","BEST_FPERIOD_OVERRIDE=FQ","FILING_STATUS=MR","FA_ADJUSTED=GAAP","Sort=A","Dates=H","DateFormat=P","Fill=—","Direction=H","UseDPDF=Y")</f>
        <v>3.5301</v>
      </c>
      <c r="J23" s="14">
        <f>_xll.BDH("GILD US Equity","HIGH_PX_TO_SALES_RATIO","FQ2 2021","FQ2 2021","Currency=USD","Period=FQ","BEST_FPERIOD_OVERRIDE=FQ","FILING_STATUS=MR","FA_ADJUSTED=GAAP","Sort=A","Dates=H","DateFormat=P","Fill=—","Direction=H","UseDPDF=Y")</f>
        <v>3.4426000000000001</v>
      </c>
      <c r="K23" s="14">
        <f>_xll.BDH("GILD US Equity","HIGH_PX_TO_SALES_RATIO","FQ3 2021","FQ3 2021","Currency=USD","Period=FQ","BEST_FPERIOD_OVERRIDE=FQ","FILING_STATUS=MR","FA_ADJUSTED=GAAP","Sort=A","Dates=H","DateFormat=P","Fill=—","Direction=H","UseDPDF=Y")</f>
        <v>3.4559000000000002</v>
      </c>
      <c r="L23" s="14">
        <f>_xll.BDH("GILD US Equity","HIGH_PX_TO_SALES_RATIO","FQ4 2021","FQ4 2021","Currency=USD","Period=FQ","BEST_FPERIOD_OVERRIDE=FQ","FILING_STATUS=MR","FA_ADJUSTED=GAAP","Sort=A","Dates=H","DateFormat=P","Fill=—","Direction=H","UseDPDF=Y")</f>
        <v>3.3860999999999999</v>
      </c>
      <c r="M23" s="14">
        <f>_xll.BDH("GILD US Equity","HIGH_PX_TO_SALES_RATIO","FQ1 2022","FQ1 2022","Currency=USD","Period=FQ","BEST_FPERIOD_OVERRIDE=FQ","FILING_STATUS=MR","FA_ADJUSTED=GAAP","Sort=A","Dates=H","DateFormat=P","Fill=—","Direction=H","UseDPDF=Y")</f>
        <v>3.3755000000000002</v>
      </c>
      <c r="N23" s="14">
        <f>_xll.BDH("GILD US Equity","HIGH_PX_TO_SALES_RATIO","FQ2 2022","FQ2 2022","Currency=USD","Period=FQ","BEST_FPERIOD_OVERRIDE=FQ","FILING_STATUS=MR","FA_ADJUSTED=GAAP","Sort=A","Dates=H","DateFormat=P","Fill=—","Direction=H","UseDPDF=Y")</f>
        <v>2.9916999999999998</v>
      </c>
      <c r="O23" s="14">
        <f>_xll.BDH("GILD US Equity","HIGH_PX_TO_SALES_RATIO","FQ3 2022","FQ3 2022","Currency=USD","Period=FQ","BEST_FPERIOD_OVERRIDE=FQ","FILING_STATUS=MR","FA_ADJUSTED=GAAP","Sort=A","Dates=H","DateFormat=P","Fill=—","Direction=H","UseDPDF=Y")</f>
        <v>3.1436000000000002</v>
      </c>
      <c r="P23" s="14">
        <f>_xll.BDH("GILD US Equity","HIGH_PX_TO_SALES_RATIO","FQ4 2022","FQ4 2022","Currency=USD","Period=FQ","BEST_FPERIOD_OVERRIDE=FQ","FILING_STATUS=MR","FA_ADJUSTED=GAAP","Sort=A","Dates=H","DateFormat=P","Fill=—","Direction=H","UseDPDF=Y")</f>
        <v>4.1520000000000001</v>
      </c>
      <c r="Q23" s="14">
        <f>_xll.BDH("GILD US Equity","HIGH_PX_TO_SALES_RATIO","FQ1 2023","FQ1 2023","Currency=USD","Period=FQ","BEST_FPERIOD_OVERRIDE=FQ","FILING_STATUS=MR","FA_ADJUSTED=GAAP","Sort=A","Dates=H","DateFormat=P","Fill=—","Direction=H","UseDPDF=Y")</f>
        <v>4.0597000000000003</v>
      </c>
      <c r="R23" s="14">
        <f>_xll.BDH("GILD US Equity","HIGH_PX_TO_SALES_RATIO","FQ2 2023","FQ2 2023","Currency=USD","Period=FQ","BEST_FPERIOD_OVERRIDE=FQ","FILING_STATUS=MR","FA_ADJUSTED=GAAP","Sort=A","Dates=H","DateFormat=P","Fill=—","Direction=H","UseDPDF=Y")</f>
        <v>4.0473999999999997</v>
      </c>
      <c r="S23" s="14">
        <f>_xll.BDH("GILD US Equity","HIGH_PX_TO_SALES_RATIO","FQ3 2023","FQ3 2023","Currency=USD","Period=FQ","BEST_FPERIOD_OVERRIDE=FQ","FILING_STATUS=MR","FA_ADJUSTED=GAAP","Sort=A","Dates=H","DateFormat=P","Fill=—","Direction=H","UseDPDF=Y")</f>
        <v>3.7206000000000001</v>
      </c>
      <c r="T23" s="14">
        <f>_xll.BDH("GILD US Equity","HIGH_PX_TO_SALES_RATIO","FQ4 2023","FQ4 2023","Currency=USD","Period=FQ","BEST_FPERIOD_OVERRIDE=FQ","FILING_STATUS=MR","FA_ADJUSTED=GAAP","Sort=A","Dates=H","DateFormat=P","Fill=—","Direction=H","UseDPDF=Y")</f>
        <v>3.7911000000000001</v>
      </c>
      <c r="U23" s="14">
        <f>_xll.BDH("GILD US Equity","HIGH_PX_TO_SALES_RATIO","FQ1 2024","FQ1 2024","Currency=USD","Period=FQ","BEST_FPERIOD_OVERRIDE=FQ","FILING_STATUS=MR","FA_ADJUSTED=GAAP","Sort=A","Dates=H","DateFormat=P","Fill=—","Direction=H","UseDPDF=Y")</f>
        <v>4.0446</v>
      </c>
      <c r="V23" s="14">
        <f>_xll.BDH("GILD US Equity","HIGH_PX_TO_SALES_RATIO","FQ2 2024","FQ2 2024","Currency=USD","Period=FQ","BEST_FPERIOD_OVERRIDE=FQ","FILING_STATUS=MR","FA_ADJUSTED=GAAP","Sort=A","Dates=H","DateFormat=P","Fill=—","Direction=H","UseDPDF=Y")</f>
        <v>3.3288000000000002</v>
      </c>
      <c r="W23" s="14">
        <f>_xll.BDH("GILD US Equity","HIGH_PX_TO_SALES_RATIO","FQ3 2024","FQ3 2024","Currency=USD","Period=FQ","BEST_FPERIOD_OVERRIDE=FQ","FILING_STATUS=MR","FA_ADJUSTED=GAAP","Sort=A","Dates=H","DateFormat=P","Fill=—","Direction=H","UseDPDF=Y")</f>
        <v>3.8087</v>
      </c>
      <c r="X23" s="14">
        <f>_xll.BDH("GILD US Equity","HIGH_PX_TO_SALES_RATIO","FQ4 2024","FQ4 2024","Currency=USD","Period=FQ","BEST_FPERIOD_OVERRIDE=FQ","FILING_STATUS=MR","FA_ADJUSTED=GAAP","Sort=A","Dates=H","DateFormat=P","Fill=—","Direction=H","UseDPDF=Y")</f>
        <v>4.3589000000000002</v>
      </c>
      <c r="Y23" s="17"/>
      <c r="Z23" s="14"/>
      <c r="AA23" s="14"/>
    </row>
    <row r="24" spans="1:27" x14ac:dyDescent="0.25">
      <c r="A24" s="10" t="s">
        <v>213</v>
      </c>
      <c r="B24" s="10" t="s">
        <v>229</v>
      </c>
      <c r="C24" s="14">
        <f>_xll.BDH("GILD US Equity","LOW_PX_TO_SALES_RATIO","FQ3 2019","FQ3 2019","Currency=USD","Period=FQ","BEST_FPERIOD_OVERRIDE=FQ","FILING_STATUS=MR","FA_ADJUSTED=GAAP","Sort=A","Dates=H","DateFormat=P","Fill=—","Direction=H","UseDPDF=Y")</f>
        <v>3.569</v>
      </c>
      <c r="D24" s="14">
        <f>_xll.BDH("GILD US Equity","LOW_PX_TO_SALES_RATIO","FQ4 2019","FQ4 2019","Currency=USD","Period=FQ","BEST_FPERIOD_OVERRIDE=FQ","FILING_STATUS=MR","FA_ADJUSTED=GAAP","Sort=A","Dates=H","DateFormat=P","Fill=—","Direction=H","UseDPDF=Y")</f>
        <v>3.4733999999999998</v>
      </c>
      <c r="E24" s="14">
        <f>_xll.BDH("GILD US Equity","LOW_PX_TO_SALES_RATIO","FQ1 2020","FQ1 2020","Currency=USD","Period=FQ","BEST_FPERIOD_OVERRIDE=FQ","FILING_STATUS=MR","FA_ADJUSTED=GAAP","Sort=A","Dates=H","DateFormat=P","Fill=—","Direction=H","UseDPDF=Y")</f>
        <v>3.5194000000000001</v>
      </c>
      <c r="F24" s="14">
        <f>_xll.BDH("GILD US Equity","LOW_PX_TO_SALES_RATIO","FQ2 2020","FQ2 2020","Currency=USD","Period=FQ","BEST_FPERIOD_OVERRIDE=FQ","FILING_STATUS=MR","FA_ADJUSTED=GAAP","Sort=A","Dates=H","DateFormat=P","Fill=—","Direction=H","UseDPDF=Y")</f>
        <v>3.9790000000000001</v>
      </c>
      <c r="G24" s="14">
        <f>_xll.BDH("GILD US Equity","LOW_PX_TO_SALES_RATIO","FQ3 2020","FQ3 2020","Currency=USD","Period=FQ","BEST_FPERIOD_OVERRIDE=FQ","FILING_STATUS=MR","FA_ADJUSTED=GAAP","Sort=A","Dates=H","DateFormat=P","Fill=—","Direction=H","UseDPDF=Y")</f>
        <v>3.3795000000000002</v>
      </c>
      <c r="H24" s="14">
        <f>_xll.BDH("GILD US Equity","LOW_PX_TO_SALES_RATIO","FQ4 2020","FQ4 2020","Currency=USD","Period=FQ","BEST_FPERIOD_OVERRIDE=FQ","FILING_STATUS=MR","FA_ADJUSTED=GAAP","Sort=A","Dates=H","DateFormat=P","Fill=—","Direction=H","UseDPDF=Y")</f>
        <v>2.8786999999999998</v>
      </c>
      <c r="I24" s="14">
        <f>_xll.BDH("GILD US Equity","LOW_PX_TO_SALES_RATIO","FQ1 2021","FQ1 2021","Currency=USD","Period=FQ","BEST_FPERIOD_OVERRIDE=FQ","FILING_STATUS=MR","FA_ADJUSTED=GAAP","Sort=A","Dates=H","DateFormat=P","Fill=—","Direction=H","UseDPDF=Y")</f>
        <v>2.9483000000000001</v>
      </c>
      <c r="J24" s="14">
        <f>_xll.BDH("GILD US Equity","LOW_PX_TO_SALES_RATIO","FQ2 2021","FQ2 2021","Currency=USD","Period=FQ","BEST_FPERIOD_OVERRIDE=FQ","FILING_STATUS=MR","FA_ADJUSTED=GAAP","Sort=A","Dates=H","DateFormat=P","Fill=—","Direction=H","UseDPDF=Y")</f>
        <v>3.0415999999999999</v>
      </c>
      <c r="K24" s="14">
        <f>_xll.BDH("GILD US Equity","LOW_PX_TO_SALES_RATIO","FQ3 2021","FQ3 2021","Currency=USD","Period=FQ","BEST_FPERIOD_OVERRIDE=FQ","FILING_STATUS=MR","FA_ADJUSTED=GAAP","Sort=A","Dates=H","DateFormat=P","Fill=—","Direction=H","UseDPDF=Y")</f>
        <v>3.1745999999999999</v>
      </c>
      <c r="L24" s="14">
        <f>_xll.BDH("GILD US Equity","LOW_PX_TO_SALES_RATIO","FQ4 2021","FQ4 2021","Currency=USD","Period=FQ","BEST_FPERIOD_OVERRIDE=FQ","FILING_STATUS=MR","FA_ADJUSTED=GAAP","Sort=A","Dates=H","DateFormat=P","Fill=—","Direction=H","UseDPDF=Y")</f>
        <v>2.9262999999999999</v>
      </c>
      <c r="M24" s="14">
        <f>_xll.BDH("GILD US Equity","LOW_PX_TO_SALES_RATIO","FQ1 2022","FQ1 2022","Currency=USD","Period=FQ","BEST_FPERIOD_OVERRIDE=FQ","FILING_STATUS=MR","FA_ADJUSTED=GAAP","Sort=A","Dates=H","DateFormat=P","Fill=—","Direction=H","UseDPDF=Y")</f>
        <v>2.63</v>
      </c>
      <c r="N24" s="14">
        <f>_xll.BDH("GILD US Equity","LOW_PX_TO_SALES_RATIO","FQ2 2022","FQ2 2022","Currency=USD","Period=FQ","BEST_FPERIOD_OVERRIDE=FQ","FILING_STATUS=MR","FA_ADJUSTED=GAAP","Sort=A","Dates=H","DateFormat=P","Fill=—","Direction=H","UseDPDF=Y")</f>
        <v>2.6126</v>
      </c>
      <c r="O24" s="14">
        <f>_xll.BDH("GILD US Equity","LOW_PX_TO_SALES_RATIO","FQ3 2022","FQ3 2022","Currency=USD","Period=FQ","BEST_FPERIOD_OVERRIDE=FQ","FILING_STATUS=MR","FA_ADJUSTED=GAAP","Sort=A","Dates=H","DateFormat=P","Fill=—","Direction=H","UseDPDF=Y")</f>
        <v>2.7050000000000001</v>
      </c>
      <c r="P24" s="14">
        <f>_xll.BDH("GILD US Equity","LOW_PX_TO_SALES_RATIO","FQ4 2022","FQ4 2022","Currency=USD","Period=FQ","BEST_FPERIOD_OVERRIDE=FQ","FILING_STATUS=MR","FA_ADJUSTED=GAAP","Sort=A","Dates=H","DateFormat=P","Fill=—","Direction=H","UseDPDF=Y")</f>
        <v>2.8429000000000002</v>
      </c>
      <c r="Q24" s="14">
        <f>_xll.BDH("GILD US Equity","LOW_PX_TO_SALES_RATIO","FQ1 2023","FQ1 2023","Currency=USD","Period=FQ","BEST_FPERIOD_OVERRIDE=FQ","FILING_STATUS=MR","FA_ADJUSTED=GAAP","Sort=A","Dates=H","DateFormat=P","Fill=—","Direction=H","UseDPDF=Y")</f>
        <v>3.5186999999999999</v>
      </c>
      <c r="R24" s="14">
        <f>_xll.BDH("GILD US Equity","LOW_PX_TO_SALES_RATIO","FQ2 2023","FQ2 2023","Currency=USD","Period=FQ","BEST_FPERIOD_OVERRIDE=FQ","FILING_STATUS=MR","FA_ADJUSTED=GAAP","Sort=A","Dates=H","DateFormat=P","Fill=—","Direction=H","UseDPDF=Y")</f>
        <v>3.4725000000000001</v>
      </c>
      <c r="S24" s="14">
        <f>_xll.BDH("GILD US Equity","LOW_PX_TO_SALES_RATIO","FQ3 2023","FQ3 2023","Currency=USD","Period=FQ","BEST_FPERIOD_OVERRIDE=FQ","FILING_STATUS=MR","FA_ADJUSTED=GAAP","Sort=A","Dates=H","DateFormat=P","Fill=—","Direction=H","UseDPDF=Y")</f>
        <v>3.3469000000000002</v>
      </c>
      <c r="T24" s="14">
        <f>_xll.BDH("GILD US Equity","LOW_PX_TO_SALES_RATIO","FQ4 2023","FQ4 2023","Currency=USD","Period=FQ","BEST_FPERIOD_OVERRIDE=FQ","FILING_STATUS=MR","FA_ADJUSTED=GAAP","Sort=A","Dates=H","DateFormat=P","Fill=—","Direction=H","UseDPDF=Y")</f>
        <v>3.3235000000000001</v>
      </c>
      <c r="U24" s="14">
        <f>_xll.BDH("GILD US Equity","LOW_PX_TO_SALES_RATIO","FQ1 2024","FQ1 2024","Currency=USD","Period=FQ","BEST_FPERIOD_OVERRIDE=FQ","FILING_STATUS=MR","FA_ADJUSTED=GAAP","Sort=A","Dates=H","DateFormat=P","Fill=—","Direction=H","UseDPDF=Y")</f>
        <v>3.2852999999999999</v>
      </c>
      <c r="V24" s="14">
        <f>_xll.BDH("GILD US Equity","LOW_PX_TO_SALES_RATIO","FQ2 2024","FQ2 2024","Currency=USD","Period=FQ","BEST_FPERIOD_OVERRIDE=FQ","FILING_STATUS=MR","FA_ADJUSTED=GAAP","Sort=A","Dates=H","DateFormat=P","Fill=—","Direction=H","UseDPDF=Y")</f>
        <v>2.8218999999999999</v>
      </c>
      <c r="W24" s="14">
        <f>_xll.BDH("GILD US Equity","LOW_PX_TO_SALES_RATIO","FQ3 2024","FQ3 2024","Currency=USD","Period=FQ","BEST_FPERIOD_OVERRIDE=FQ","FILING_STATUS=MR","FA_ADJUSTED=GAAP","Sort=A","Dates=H","DateFormat=P","Fill=—","Direction=H","UseDPDF=Y")</f>
        <v>2.9615999999999998</v>
      </c>
      <c r="X24" s="14">
        <f>_xll.BDH("GILD US Equity","LOW_PX_TO_SALES_RATIO","FQ4 2024","FQ4 2024","Currency=USD","Period=FQ","BEST_FPERIOD_OVERRIDE=FQ","FILING_STATUS=MR","FA_ADJUSTED=GAAP","Sort=A","Dates=H","DateFormat=P","Fill=—","Direction=H","UseDPDF=Y")</f>
        <v>3.6501999999999999</v>
      </c>
      <c r="Y24" s="17"/>
      <c r="Z24" s="14"/>
      <c r="AA24" s="14"/>
    </row>
    <row r="25" spans="1:27" x14ac:dyDescent="0.25">
      <c r="A25" s="6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21"/>
      <c r="Z25" s="18"/>
      <c r="AA25" s="18"/>
    </row>
    <row r="26" spans="1:27" x14ac:dyDescent="0.25">
      <c r="A26" s="6" t="s">
        <v>230</v>
      </c>
      <c r="B26" s="6" t="s">
        <v>231</v>
      </c>
      <c r="C26" s="20">
        <f>_xll.BDH("GILD US Equity","PX_TO_CASH_FLOW","FQ3 2019","FQ3 2019","Currency=USD","Period=FQ","BEST_FPERIOD_OVERRIDE=FQ","FILING_STATUS=MR","Sort=A","Dates=H","DateFormat=P","Fill=—","Direction=H","UseDPDF=Y")</f>
        <v>8.9498999999999995</v>
      </c>
      <c r="D26" s="20">
        <f>_xll.BDH("GILD US Equity","PX_TO_CASH_FLOW","FQ4 2019","FQ4 2019","Currency=USD","Period=FQ","BEST_FPERIOD_OVERRIDE=FQ","FILING_STATUS=MR","Sort=A","Dates=H","DateFormat=P","Fill=—","Direction=H","UseDPDF=Y")</f>
        <v>8.8992000000000004</v>
      </c>
      <c r="E26" s="20">
        <f>_xll.BDH("GILD US Equity","PX_TO_CASH_FLOW","FQ1 2020","FQ1 2020","Currency=USD","Period=FQ","BEST_FPERIOD_OVERRIDE=FQ","FILING_STATUS=MR","Sort=A","Dates=H","DateFormat=P","Fill=—","Direction=H","UseDPDF=Y")</f>
        <v>10.229900000000001</v>
      </c>
      <c r="F26" s="20">
        <f>_xll.BDH("GILD US Equity","PX_TO_CASH_FLOW","FQ2 2020","FQ2 2020","Currency=USD","Period=FQ","BEST_FPERIOD_OVERRIDE=FQ","FILING_STATUS=MR","Sort=A","Dates=H","DateFormat=P","Fill=—","Direction=H","UseDPDF=Y")</f>
        <v>10.2471</v>
      </c>
      <c r="G26" s="20">
        <f>_xll.BDH("GILD US Equity","PX_TO_CASH_FLOW","FQ3 2020","FQ3 2020","Currency=USD","Period=FQ","BEST_FPERIOD_OVERRIDE=FQ","FILING_STATUS=MR","Sort=A","Dates=H","DateFormat=P","Fill=—","Direction=H","UseDPDF=Y")</f>
        <v>9.0100999999999996</v>
      </c>
      <c r="H26" s="20">
        <f>_xll.BDH("GILD US Equity","PX_TO_CASH_FLOW","FQ4 2020","FQ4 2020","Currency=USD","Period=FQ","BEST_FPERIOD_OVERRIDE=FQ","FILING_STATUS=MR","Sort=A","Dates=H","DateFormat=P","Fill=—","Direction=H","UseDPDF=Y")</f>
        <v>8.9603000000000002</v>
      </c>
      <c r="I26" s="20">
        <f>_xll.BDH("GILD US Equity","PX_TO_CASH_FLOW","FQ1 2021","FQ1 2021","Currency=USD","Period=FQ","BEST_FPERIOD_OVERRIDE=FQ","FILING_STATUS=MR","Sort=A","Dates=H","DateFormat=P","Fill=—","Direction=H","UseDPDF=Y")</f>
        <v>8.6843000000000004</v>
      </c>
      <c r="J26" s="20">
        <f>_xll.BDH("GILD US Equity","PX_TO_CASH_FLOW","FQ2 2021","FQ2 2021","Currency=USD","Period=FQ","BEST_FPERIOD_OVERRIDE=FQ","FILING_STATUS=MR","Sort=A","Dates=H","DateFormat=P","Fill=—","Direction=H","UseDPDF=Y")</f>
        <v>9.5071999999999992</v>
      </c>
      <c r="K26" s="20">
        <f>_xll.BDH("GILD US Equity","PX_TO_CASH_FLOW","FQ3 2021","FQ3 2021","Currency=USD","Period=FQ","BEST_FPERIOD_OVERRIDE=FQ","FILING_STATUS=MR","Sort=A","Dates=H","DateFormat=P","Fill=—","Direction=H","UseDPDF=Y")</f>
        <v>8.6876999999999995</v>
      </c>
      <c r="L26" s="20">
        <f>_xll.BDH("GILD US Equity","PX_TO_CASH_FLOW","FQ4 2021","FQ4 2021","Currency=USD","Period=FQ","BEST_FPERIOD_OVERRIDE=FQ","FILING_STATUS=MR","Sort=A","Dates=H","DateFormat=P","Fill=—","Direction=H","UseDPDF=Y")</f>
        <v>8.0098000000000003</v>
      </c>
      <c r="M26" s="20">
        <f>_xll.BDH("GILD US Equity","PX_TO_CASH_FLOW","FQ1 2022","FQ1 2022","Currency=USD","Period=FQ","BEST_FPERIOD_OVERRIDE=FQ","FILING_STATUS=MR","Sort=A","Dates=H","DateFormat=P","Fill=—","Direction=H","UseDPDF=Y")</f>
        <v>7.0327999999999999</v>
      </c>
      <c r="N26" s="20">
        <f>_xll.BDH("GILD US Equity","PX_TO_CASH_FLOW","FQ2 2022","FQ2 2022","Currency=USD","Period=FQ","BEST_FPERIOD_OVERRIDE=FQ","FILING_STATUS=MR","Sort=A","Dates=H","DateFormat=P","Fill=—","Direction=H","UseDPDF=Y")</f>
        <v>7.6853999999999996</v>
      </c>
      <c r="O26" s="20">
        <f>_xll.BDH("GILD US Equity","PX_TO_CASH_FLOW","FQ3 2022","FQ3 2022","Currency=USD","Period=FQ","BEST_FPERIOD_OVERRIDE=FQ","FILING_STATUS=MR","Sort=A","Dates=H","DateFormat=P","Fill=—","Direction=H","UseDPDF=Y")</f>
        <v>7.9766000000000004</v>
      </c>
      <c r="P26" s="20">
        <f>_xll.BDH("GILD US Equity","PX_TO_CASH_FLOW","FQ4 2022","FQ4 2022","Currency=USD","Period=FQ","BEST_FPERIOD_OVERRIDE=FQ","FILING_STATUS=MR","Sort=A","Dates=H","DateFormat=P","Fill=—","Direction=H","UseDPDF=Y")</f>
        <v>11.870100000000001</v>
      </c>
      <c r="Q26" s="20">
        <f>_xll.BDH("GILD US Equity","PX_TO_CASH_FLOW","FQ1 2023","FQ1 2023","Currency=USD","Period=FQ","BEST_FPERIOD_OVERRIDE=FQ","FILING_STATUS=MR","Sort=A","Dates=H","DateFormat=P","Fill=—","Direction=H","UseDPDF=Y")</f>
        <v>11.581899999999999</v>
      </c>
      <c r="R26" s="20">
        <f>_xll.BDH("GILD US Equity","PX_TO_CASH_FLOW","FQ2 2023","FQ2 2023","Currency=USD","Period=FQ","BEST_FPERIOD_OVERRIDE=FQ","FILING_STATUS=MR","Sort=A","Dates=H","DateFormat=P","Fill=—","Direction=H","UseDPDF=Y")</f>
        <v>10.1396</v>
      </c>
      <c r="S26" s="20">
        <f>_xll.BDH("GILD US Equity","PX_TO_CASH_FLOW","FQ3 2023","FQ3 2023","Currency=USD","Period=FQ","BEST_FPERIOD_OVERRIDE=FQ","FILING_STATUS=MR","Sort=A","Dates=H","DateFormat=P","Fill=—","Direction=H","UseDPDF=Y")</f>
        <v>11.141999999999999</v>
      </c>
      <c r="T26" s="20">
        <f>_xll.BDH("GILD US Equity","PX_TO_CASH_FLOW","FQ4 2023","FQ4 2023","Currency=USD","Period=FQ","BEST_FPERIOD_OVERRIDE=FQ","FILING_STATUS=MR","Sort=A","Dates=H","DateFormat=P","Fill=—","Direction=H","UseDPDF=Y")</f>
        <v>12.631</v>
      </c>
      <c r="U26" s="20">
        <f>_xll.BDH("GILD US Equity","PX_TO_CASH_FLOW","FQ1 2024","FQ1 2024","Currency=USD","Period=FQ","BEST_FPERIOD_OVERRIDE=FQ","FILING_STATUS=MR","Sort=A","Dates=H","DateFormat=P","Fill=—","Direction=H","UseDPDF=Y")</f>
        <v>10.779</v>
      </c>
      <c r="V26" s="20">
        <f>_xll.BDH("GILD US Equity","PX_TO_CASH_FLOW","FQ2 2024","FQ2 2024","Currency=USD","Period=FQ","BEST_FPERIOD_OVERRIDE=FQ","FILING_STATUS=MR","Sort=A","Dates=H","DateFormat=P","Fill=—","Direction=H","UseDPDF=Y")</f>
        <v>11.4613</v>
      </c>
      <c r="W26" s="20">
        <f>_xll.BDH("GILD US Equity","PX_TO_CASH_FLOW","FQ3 2024","FQ3 2024","Currency=USD","Period=FQ","BEST_FPERIOD_OVERRIDE=FQ","FILING_STATUS=MR","Sort=A","Dates=H","DateFormat=P","Fill=—","Direction=H","UseDPDF=Y")</f>
        <v>10.4337</v>
      </c>
      <c r="X26" s="20">
        <f>_xll.BDH("GILD US Equity","PX_TO_CASH_FLOW","FQ4 2024","FQ4 2024","Currency=USD","Period=FQ","BEST_FPERIOD_OVERRIDE=FQ","FILING_STATUS=MR","Sort=A","Dates=H","DateFormat=P","Fill=—","Direction=H","UseDPDF=Y")</f>
        <v>10.6401</v>
      </c>
      <c r="Y26" s="23">
        <v>12.872454334888999</v>
      </c>
      <c r="Z26" s="20">
        <v>5.1880222841225603</v>
      </c>
      <c r="AA26" s="20"/>
    </row>
    <row r="27" spans="1:27" x14ac:dyDescent="0.25">
      <c r="A27" s="10" t="s">
        <v>209</v>
      </c>
      <c r="B27" s="10" t="s">
        <v>232</v>
      </c>
      <c r="C27" s="14">
        <f>_xll.BDH("GILD US Equity","AVERAGE_PRICE_TO_CASH_FLOW","FQ3 2019","FQ3 2019","Currency=USD","Period=FQ","BEST_FPERIOD_OVERRIDE=FQ","FILING_STATUS=MR","Sort=A","Dates=H","DateFormat=P","Fill=—","Direction=H","UseDPDF=Y")</f>
        <v>10.043799999999999</v>
      </c>
      <c r="D27" s="14">
        <f>_xll.BDH("GILD US Equity","AVERAGE_PRICE_TO_CASH_FLOW","FQ4 2019","FQ4 2019","Currency=USD","Period=FQ","BEST_FPERIOD_OVERRIDE=FQ","FILING_STATUS=MR","Sort=A","Dates=H","DateFormat=P","Fill=—","Direction=H","UseDPDF=Y")</f>
        <v>9.1914999999999996</v>
      </c>
      <c r="E27" s="14">
        <f>_xll.BDH("GILD US Equity","AVERAGE_PRICE_TO_CASH_FLOW","FQ1 2020","FQ1 2020","Currency=USD","Period=FQ","BEST_FPERIOD_OVERRIDE=FQ","FILING_STATUS=MR","Sort=A","Dates=H","DateFormat=P","Fill=—","Direction=H","UseDPDF=Y")</f>
        <v>9.4631000000000007</v>
      </c>
      <c r="F27" s="14">
        <f>_xll.BDH("GILD US Equity","AVERAGE_PRICE_TO_CASH_FLOW","FQ2 2020","FQ2 2020","Currency=USD","Period=FQ","BEST_FPERIOD_OVERRIDE=FQ","FILING_STATUS=MR","Sort=A","Dates=H","DateFormat=P","Fill=—","Direction=H","UseDPDF=Y")</f>
        <v>10.4823</v>
      </c>
      <c r="G27" s="14">
        <f>_xll.BDH("GILD US Equity","AVERAGE_PRICE_TO_CASH_FLOW","FQ3 2020","FQ3 2020","Currency=USD","Period=FQ","BEST_FPERIOD_OVERRIDE=FQ","FILING_STATUS=MR","Sort=A","Dates=H","DateFormat=P","Fill=—","Direction=H","UseDPDF=Y")</f>
        <v>9.2449999999999992</v>
      </c>
      <c r="H27" s="14">
        <f>_xll.BDH("GILD US Equity","AVERAGE_PRICE_TO_CASH_FLOW","FQ4 2020","FQ4 2020","Currency=USD","Period=FQ","BEST_FPERIOD_OVERRIDE=FQ","FILING_STATUS=MR","Sort=A","Dates=H","DateFormat=P","Fill=—","Direction=H","UseDPDF=Y")</f>
        <v>8.6140000000000008</v>
      </c>
      <c r="I27" s="14">
        <f>_xll.BDH("GILD US Equity","AVERAGE_PRICE_TO_CASH_FLOW","FQ1 2021","FQ1 2021","Currency=USD","Period=FQ","BEST_FPERIOD_OVERRIDE=FQ","FILING_STATUS=MR","Sort=A","Dates=H","DateFormat=P","Fill=—","Direction=H","UseDPDF=Y")</f>
        <v>9.8964999999999996</v>
      </c>
      <c r="J27" s="14">
        <f>_xll.BDH("GILD US Equity","AVERAGE_PRICE_TO_CASH_FLOW","FQ2 2021","FQ2 2021","Currency=USD","Period=FQ","BEST_FPERIOD_OVERRIDE=FQ","FILING_STATUS=MR","Sort=A","Dates=H","DateFormat=P","Fill=—","Direction=H","UseDPDF=Y")</f>
        <v>8.9763000000000002</v>
      </c>
      <c r="K27" s="14">
        <f>_xll.BDH("GILD US Equity","AVERAGE_PRICE_TO_CASH_FLOW","FQ3 2021","FQ3 2021","Currency=USD","Period=FQ","BEST_FPERIOD_OVERRIDE=FQ","FILING_STATUS=MR","Sort=A","Dates=H","DateFormat=P","Fill=—","Direction=H","UseDPDF=Y")</f>
        <v>9.6845999999999997</v>
      </c>
      <c r="L27" s="14">
        <f>_xll.BDH("GILD US Equity","AVERAGE_PRICE_TO_CASH_FLOW","FQ4 2021","FQ4 2021","Currency=USD","Period=FQ","BEST_FPERIOD_OVERRIDE=FQ","FILING_STATUS=MR","Sort=A","Dates=H","DateFormat=P","Fill=—","Direction=H","UseDPDF=Y")</f>
        <v>8.5505999999999993</v>
      </c>
      <c r="M27" s="14">
        <f>_xll.BDH("GILD US Equity","AVERAGE_PRICE_TO_CASH_FLOW","FQ1 2022","FQ1 2022","Currency=USD","Period=FQ","BEST_FPERIOD_OVERRIDE=FQ","FILING_STATUS=MR","Sort=A","Dates=H","DateFormat=P","Fill=—","Direction=H","UseDPDF=Y")</f>
        <v>7.0590999999999999</v>
      </c>
      <c r="N27" s="14">
        <f>_xll.BDH("GILD US Equity","AVERAGE_PRICE_TO_CASH_FLOW","FQ2 2022","FQ2 2022","Currency=USD","Period=FQ","BEST_FPERIOD_OVERRIDE=FQ","FILING_STATUS=MR","Sort=A","Dates=H","DateFormat=P","Fill=—","Direction=H","UseDPDF=Y")</f>
        <v>7.3301999999999996</v>
      </c>
      <c r="O27" s="14">
        <f>_xll.BDH("GILD US Equity","AVERAGE_PRICE_TO_CASH_FLOW","FQ3 2022","FQ3 2022","Currency=USD","Period=FQ","BEST_FPERIOD_OVERRIDE=FQ","FILING_STATUS=MR","Sort=A","Dates=H","DateFormat=P","Fill=—","Direction=H","UseDPDF=Y")</f>
        <v>7.8453999999999997</v>
      </c>
      <c r="P27" s="14">
        <f>_xll.BDH("GILD US Equity","AVERAGE_PRICE_TO_CASH_FLOW","FQ4 2022","FQ4 2022","Currency=USD","Period=FQ","BEST_FPERIOD_OVERRIDE=FQ","FILING_STATUS=MR","Sort=A","Dates=H","DateFormat=P","Fill=—","Direction=H","UseDPDF=Y")</f>
        <v>10.2516</v>
      </c>
      <c r="Q27" s="14">
        <f>_xll.BDH("GILD US Equity","AVERAGE_PRICE_TO_CASH_FLOW","FQ1 2023","FQ1 2023","Currency=USD","Period=FQ","BEST_FPERIOD_OVERRIDE=FQ","FILING_STATUS=MR","Sort=A","Dates=H","DateFormat=P","Fill=—","Direction=H","UseDPDF=Y")</f>
        <v>11.4536</v>
      </c>
      <c r="R27" s="14">
        <f>_xll.BDH("GILD US Equity","AVERAGE_PRICE_TO_CASH_FLOW","FQ2 2023","FQ2 2023","Currency=USD","Period=FQ","BEST_FPERIOD_OVERRIDE=FQ","FILING_STATUS=MR","Sort=A","Dates=H","DateFormat=P","Fill=—","Direction=H","UseDPDF=Y")</f>
        <v>11.123100000000001</v>
      </c>
      <c r="S27" s="14">
        <f>_xll.BDH("GILD US Equity","AVERAGE_PRICE_TO_CASH_FLOW","FQ3 2023","FQ3 2023","Currency=USD","Period=FQ","BEST_FPERIOD_OVERRIDE=FQ","FILING_STATUS=MR","Sort=A","Dates=H","DateFormat=P","Fill=—","Direction=H","UseDPDF=Y")</f>
        <v>10.139699999999999</v>
      </c>
      <c r="T27" s="14">
        <f>_xll.BDH("GILD US Equity","AVERAGE_PRICE_TO_CASH_FLOW","FQ4 2023","FQ4 2023","Currency=USD","Period=FQ","BEST_FPERIOD_OVERRIDE=FQ","FILING_STATUS=MR","Sort=A","Dates=H","DateFormat=P","Fill=—","Direction=H","UseDPDF=Y")</f>
        <v>11.5792</v>
      </c>
      <c r="U27" s="14">
        <f>_xll.BDH("GILD US Equity","AVERAGE_PRICE_TO_CASH_FLOW","FQ1 2024","FQ1 2024","Currency=USD","Period=FQ","BEST_FPERIOD_OVERRIDE=FQ","FILING_STATUS=MR","Sort=A","Dates=H","DateFormat=P","Fill=—","Direction=H","UseDPDF=Y")</f>
        <v>11.979100000000001</v>
      </c>
      <c r="V27" s="14">
        <f>_xll.BDH("GILD US Equity","AVERAGE_PRICE_TO_CASH_FLOW","FQ2 2024","FQ2 2024","Currency=USD","Period=FQ","BEST_FPERIOD_OVERRIDE=FQ","FILING_STATUS=MR","Sort=A","Dates=H","DateFormat=P","Fill=—","Direction=H","UseDPDF=Y")</f>
        <v>9.8419000000000008</v>
      </c>
      <c r="W27" s="14">
        <f>_xll.BDH("GILD US Equity","AVERAGE_PRICE_TO_CASH_FLOW","FQ3 2024","FQ3 2024","Currency=USD","Period=FQ","BEST_FPERIOD_OVERRIDE=FQ","FILING_STATUS=MR","Sort=A","Dates=H","DateFormat=P","Fill=—","Direction=H","UseDPDF=Y")</f>
        <v>12.690899999999999</v>
      </c>
      <c r="X27" s="14">
        <f>_xll.BDH("GILD US Equity","AVERAGE_PRICE_TO_CASH_FLOW","FQ4 2024","FQ4 2024","Currency=USD","Period=FQ","BEST_FPERIOD_OVERRIDE=FQ","FILING_STATUS=MR","Sort=A","Dates=H","DateFormat=P","Fill=—","Direction=H","UseDPDF=Y")</f>
        <v>11.191700000000001</v>
      </c>
      <c r="Y27" s="17"/>
      <c r="Z27" s="14"/>
      <c r="AA27" s="14"/>
    </row>
    <row r="28" spans="1:27" x14ac:dyDescent="0.25">
      <c r="A28" s="10" t="s">
        <v>211</v>
      </c>
      <c r="B28" s="10" t="s">
        <v>233</v>
      </c>
      <c r="C28" s="14">
        <f>_xll.BDH("GILD US Equity","HIGH_CLOSING_PRICE_TO_CASH_FLOW","FQ3 2019","FQ3 2019","Currency=USD","Period=FQ","BEST_FPERIOD_OVERRIDE=FQ","FILING_STATUS=MR","Sort=A","Dates=H","DateFormat=P","Fill=—","Direction=H","UseDPDF=Y")</f>
        <v>10.614800000000001</v>
      </c>
      <c r="D28" s="14">
        <f>_xll.BDH("GILD US Equity","HIGH_CLOSING_PRICE_TO_CASH_FLOW","FQ4 2019","FQ4 2019","Currency=USD","Period=FQ","BEST_FPERIOD_OVERRIDE=FQ","FILING_STATUS=MR","Sort=A","Dates=H","DateFormat=P","Fill=—","Direction=H","UseDPDF=Y")</f>
        <v>9.5711999999999993</v>
      </c>
      <c r="E28" s="14">
        <f>_xll.BDH("GILD US Equity","HIGH_CLOSING_PRICE_TO_CASH_FLOW","FQ1 2020","FQ1 2020","Currency=USD","Period=FQ","BEST_FPERIOD_OVERRIDE=FQ","FILING_STATUS=MR","Sort=A","Dates=H","DateFormat=P","Fill=—","Direction=H","UseDPDF=Y")</f>
        <v>10.9864</v>
      </c>
      <c r="F28" s="14">
        <f>_xll.BDH("GILD US Equity","HIGH_CLOSING_PRICE_TO_CASH_FLOW","FQ2 2020","FQ2 2020","Currency=USD","Period=FQ","BEST_FPERIOD_OVERRIDE=FQ","FILING_STATUS=MR","Sort=A","Dates=H","DateFormat=P","Fill=—","Direction=H","UseDPDF=Y")</f>
        <v>11.494300000000001</v>
      </c>
      <c r="G28" s="14">
        <f>_xll.BDH("GILD US Equity","HIGH_CLOSING_PRICE_TO_CASH_FLOW","FQ3 2020","FQ3 2020","Currency=USD","Period=FQ","BEST_FPERIOD_OVERRIDE=FQ","FILING_STATUS=MR","Sort=A","Dates=H","DateFormat=P","Fill=—","Direction=H","UseDPDF=Y")</f>
        <v>10.398899999999999</v>
      </c>
      <c r="H28" s="14">
        <f>_xll.BDH("GILD US Equity","HIGH_CLOSING_PRICE_TO_CASH_FLOW","FQ4 2020","FQ4 2020","Currency=USD","Period=FQ","BEST_FPERIOD_OVERRIDE=FQ","FILING_STATUS=MR","Sort=A","Dates=H","DateFormat=P","Fill=—","Direction=H","UseDPDF=Y")</f>
        <v>9.2040000000000006</v>
      </c>
      <c r="I28" s="14">
        <f>_xll.BDH("GILD US Equity","HIGH_CLOSING_PRICE_TO_CASH_FLOW","FQ1 2021","FQ1 2021","Currency=USD","Period=FQ","BEST_FPERIOD_OVERRIDE=FQ","FILING_STATUS=MR","Sort=A","Dates=H","DateFormat=P","Fill=—","Direction=H","UseDPDF=Y")</f>
        <v>10.529</v>
      </c>
      <c r="J28" s="14">
        <f>_xll.BDH("GILD US Equity","HIGH_CLOSING_PRICE_TO_CASH_FLOW","FQ2 2021","FQ2 2021","Currency=USD","Period=FQ","BEST_FPERIOD_OVERRIDE=FQ","FILING_STATUS=MR","Sort=A","Dates=H","DateFormat=P","Fill=—","Direction=H","UseDPDF=Y")</f>
        <v>9.5071999999999992</v>
      </c>
      <c r="K28" s="14">
        <f>_xll.BDH("GILD US Equity","HIGH_CLOSING_PRICE_TO_CASH_FLOW","FQ3 2021","FQ3 2021","Currency=USD","Period=FQ","BEST_FPERIOD_OVERRIDE=FQ","FILING_STATUS=MR","Sort=A","Dates=H","DateFormat=P","Fill=—","Direction=H","UseDPDF=Y")</f>
        <v>10.0829</v>
      </c>
      <c r="L28" s="14">
        <f>_xll.BDH("GILD US Equity","HIGH_CLOSING_PRICE_TO_CASH_FLOW","FQ4 2021","FQ4 2021","Currency=USD","Period=FQ","BEST_FPERIOD_OVERRIDE=FQ","FILING_STATUS=MR","Sort=A","Dates=H","DateFormat=P","Fill=—","Direction=H","UseDPDF=Y")</f>
        <v>9.1591000000000005</v>
      </c>
      <c r="M28" s="14">
        <f>_xll.BDH("GILD US Equity","HIGH_CLOSING_PRICE_TO_CASH_FLOW","FQ1 2022","FQ1 2022","Currency=USD","Period=FQ","BEST_FPERIOD_OVERRIDE=FQ","FILING_STATUS=MR","Sort=A","Dates=H","DateFormat=P","Fill=—","Direction=H","UseDPDF=Y")</f>
        <v>8.0065000000000008</v>
      </c>
      <c r="N28" s="14">
        <f>_xll.BDH("GILD US Equity","HIGH_CLOSING_PRICE_TO_CASH_FLOW","FQ2 2022","FQ2 2022","Currency=USD","Period=FQ","BEST_FPERIOD_OVERRIDE=FQ","FILING_STATUS=MR","Sort=A","Dates=H","DateFormat=P","Fill=—","Direction=H","UseDPDF=Y")</f>
        <v>7.6905000000000001</v>
      </c>
      <c r="O28" s="14">
        <f>_xll.BDH("GILD US Equity","HIGH_CLOSING_PRICE_TO_CASH_FLOW","FQ3 2022","FQ3 2022","Currency=USD","Period=FQ","BEST_FPERIOD_OVERRIDE=FQ","FILING_STATUS=MR","Sort=A","Dates=H","DateFormat=P","Fill=—","Direction=H","UseDPDF=Y")</f>
        <v>8.4563000000000006</v>
      </c>
      <c r="P28" s="14">
        <f>_xll.BDH("GILD US Equity","HIGH_CLOSING_PRICE_TO_CASH_FLOW","FQ4 2022","FQ4 2022","Currency=USD","Period=FQ","BEST_FPERIOD_OVERRIDE=FQ","FILING_STATUS=MR","Sort=A","Dates=H","DateFormat=P","Fill=—","Direction=H","UseDPDF=Y")</f>
        <v>11.870100000000001</v>
      </c>
      <c r="Q28" s="14">
        <f>_xll.BDH("GILD US Equity","HIGH_CLOSING_PRICE_TO_CASH_FLOW","FQ1 2023","FQ1 2023","Currency=USD","Period=FQ","BEST_FPERIOD_OVERRIDE=FQ","FILING_STATUS=MR","Sort=A","Dates=H","DateFormat=P","Fill=—","Direction=H","UseDPDF=Y")</f>
        <v>12.1785</v>
      </c>
      <c r="R28" s="14">
        <f>_xll.BDH("GILD US Equity","HIGH_CLOSING_PRICE_TO_CASH_FLOW","FQ2 2023","FQ2 2023","Currency=USD","Period=FQ","BEST_FPERIOD_OVERRIDE=FQ","FILING_STATUS=MR","Sort=A","Dates=H","DateFormat=P","Fill=—","Direction=H","UseDPDF=Y")</f>
        <v>12.102600000000001</v>
      </c>
      <c r="S28" s="14">
        <f>_xll.BDH("GILD US Equity","HIGH_CLOSING_PRICE_TO_CASH_FLOW","FQ3 2023","FQ3 2023","Currency=USD","Period=FQ","BEST_FPERIOD_OVERRIDE=FQ","FILING_STATUS=MR","Sort=A","Dates=H","DateFormat=P","Fill=—","Direction=H","UseDPDF=Y")</f>
        <v>11.141999999999999</v>
      </c>
      <c r="T28" s="14">
        <f>_xll.BDH("GILD US Equity","HIGH_CLOSING_PRICE_TO_CASH_FLOW","FQ4 2023","FQ4 2023","Currency=USD","Period=FQ","BEST_FPERIOD_OVERRIDE=FQ","FILING_STATUS=MR","Sort=A","Dates=H","DateFormat=P","Fill=—","Direction=H","UseDPDF=Y")</f>
        <v>12.631</v>
      </c>
      <c r="U28" s="14">
        <f>_xll.BDH("GILD US Equity","HIGH_CLOSING_PRICE_TO_CASH_FLOW","FQ1 2024","FQ1 2024","Currency=USD","Period=FQ","BEST_FPERIOD_OVERRIDE=FQ","FILING_STATUS=MR","Sort=A","Dates=H","DateFormat=P","Fill=—","Direction=H","UseDPDF=Y")</f>
        <v>13.610200000000001</v>
      </c>
      <c r="V28" s="14">
        <f>_xll.BDH("GILD US Equity","HIGH_CLOSING_PRICE_TO_CASH_FLOW","FQ2 2024","FQ2 2024","Currency=USD","Period=FQ","BEST_FPERIOD_OVERRIDE=FQ","FILING_STATUS=MR","Sort=A","Dates=H","DateFormat=P","Fill=—","Direction=H","UseDPDF=Y")</f>
        <v>11.4613</v>
      </c>
      <c r="W28" s="14">
        <f>_xll.BDH("GILD US Equity","HIGH_CLOSING_PRICE_TO_CASH_FLOW","FQ3 2024","FQ3 2024","Currency=USD","Period=FQ","BEST_FPERIOD_OVERRIDE=FQ","FILING_STATUS=MR","Sort=A","Dates=H","DateFormat=P","Fill=—","Direction=H","UseDPDF=Y")</f>
        <v>14.0305</v>
      </c>
      <c r="X28" s="14">
        <f>_xll.BDH("GILD US Equity","HIGH_CLOSING_PRICE_TO_CASH_FLOW","FQ4 2024","FQ4 2024","Currency=USD","Period=FQ","BEST_FPERIOD_OVERRIDE=FQ","FILING_STATUS=MR","Sort=A","Dates=H","DateFormat=P","Fill=—","Direction=H","UseDPDF=Y")</f>
        <v>12.183400000000001</v>
      </c>
      <c r="Y28" s="17"/>
      <c r="Z28" s="14"/>
      <c r="AA28" s="14"/>
    </row>
    <row r="29" spans="1:27" x14ac:dyDescent="0.25">
      <c r="A29" s="10" t="s">
        <v>213</v>
      </c>
      <c r="B29" s="10" t="s">
        <v>234</v>
      </c>
      <c r="C29" s="14">
        <f>_xll.BDH("GILD US Equity","LOW_CLOSING_PRICE_TO_CASH_FLOW","FQ3 2019","FQ3 2019","Currency=USD","Period=FQ","BEST_FPERIOD_OVERRIDE=FQ","FILING_STATUS=MR","Sort=A","Dates=H","DateFormat=P","Fill=—","Direction=H","UseDPDF=Y")</f>
        <v>8.9498999999999995</v>
      </c>
      <c r="D29" s="14">
        <f>_xll.BDH("GILD US Equity","LOW_CLOSING_PRICE_TO_CASH_FLOW","FQ4 2019","FQ4 2019","Currency=USD","Period=FQ","BEST_FPERIOD_OVERRIDE=FQ","FILING_STATUS=MR","Sort=A","Dates=H","DateFormat=P","Fill=—","Direction=H","UseDPDF=Y")</f>
        <v>8.7012999999999998</v>
      </c>
      <c r="E29" s="14">
        <f>_xll.BDH("GILD US Equity","LOW_CLOSING_PRICE_TO_CASH_FLOW","FQ1 2020","FQ1 2020","Currency=USD","Period=FQ","BEST_FPERIOD_OVERRIDE=FQ","FILING_STATUS=MR","Sort=A","Dates=H","DateFormat=P","Fill=—","Direction=H","UseDPDF=Y")</f>
        <v>8.5774000000000008</v>
      </c>
      <c r="F29" s="14">
        <f>_xll.BDH("GILD US Equity","LOW_CLOSING_PRICE_TO_CASH_FLOW","FQ2 2020","FQ2 2020","Currency=USD","Period=FQ","BEST_FPERIOD_OVERRIDE=FQ","FILING_STATUS=MR","Sort=A","Dates=H","DateFormat=P","Fill=—","Direction=H","UseDPDF=Y")</f>
        <v>9.8987999999999996</v>
      </c>
      <c r="G29" s="14">
        <f>_xll.BDH("GILD US Equity","LOW_CLOSING_PRICE_TO_CASH_FLOW","FQ3 2020","FQ3 2020","Currency=USD","Period=FQ","BEST_FPERIOD_OVERRIDE=FQ","FILING_STATUS=MR","Sort=A","Dates=H","DateFormat=P","Fill=—","Direction=H","UseDPDF=Y")</f>
        <v>8.2706</v>
      </c>
      <c r="H29" s="14">
        <f>_xll.BDH("GILD US Equity","LOW_CLOSING_PRICE_TO_CASH_FLOW","FQ4 2020","FQ4 2020","Currency=USD","Period=FQ","BEST_FPERIOD_OVERRIDE=FQ","FILING_STATUS=MR","Sort=A","Dates=H","DateFormat=P","Fill=—","Direction=H","UseDPDF=Y")</f>
        <v>8.0776000000000003</v>
      </c>
      <c r="I29" s="14">
        <f>_xll.BDH("GILD US Equity","LOW_CLOSING_PRICE_TO_CASH_FLOW","FQ1 2021","FQ1 2021","Currency=USD","Period=FQ","BEST_FPERIOD_OVERRIDE=FQ","FILING_STATUS=MR","Sort=A","Dates=H","DateFormat=P","Fill=—","Direction=H","UseDPDF=Y")</f>
        <v>8.6843000000000004</v>
      </c>
      <c r="J29" s="14">
        <f>_xll.BDH("GILD US Equity","LOW_CLOSING_PRICE_TO_CASH_FLOW","FQ2 2021","FQ2 2021","Currency=USD","Period=FQ","BEST_FPERIOD_OVERRIDE=FQ","FILING_STATUS=MR","Sort=A","Dates=H","DateFormat=P","Fill=—","Direction=H","UseDPDF=Y")</f>
        <v>8.5283999999999995</v>
      </c>
      <c r="K29" s="14">
        <f>_xll.BDH("GILD US Equity","LOW_CLOSING_PRICE_TO_CASH_FLOW","FQ3 2021","FQ3 2021","Currency=USD","Period=FQ","BEST_FPERIOD_OVERRIDE=FQ","FILING_STATUS=MR","Sort=A","Dates=H","DateFormat=P","Fill=—","Direction=H","UseDPDF=Y")</f>
        <v>8.6876999999999995</v>
      </c>
      <c r="L29" s="14">
        <f>_xll.BDH("GILD US Equity","LOW_CLOSING_PRICE_TO_CASH_FLOW","FQ4 2021","FQ4 2021","Currency=USD","Period=FQ","BEST_FPERIOD_OVERRIDE=FQ","FILING_STATUS=MR","Sort=A","Dates=H","DateFormat=P","Fill=—","Direction=H","UseDPDF=Y")</f>
        <v>8.0098000000000003</v>
      </c>
      <c r="M29" s="14">
        <f>_xll.BDH("GILD US Equity","LOW_CLOSING_PRICE_TO_CASH_FLOW","FQ1 2022","FQ1 2022","Currency=USD","Period=FQ","BEST_FPERIOD_OVERRIDE=FQ","FILING_STATUS=MR","Sort=A","Dates=H","DateFormat=P","Fill=—","Direction=H","UseDPDF=Y")</f>
        <v>6.3893000000000004</v>
      </c>
      <c r="N29" s="14">
        <f>_xll.BDH("GILD US Equity","LOW_CLOSING_PRICE_TO_CASH_FLOW","FQ2 2022","FQ2 2022","Currency=USD","Period=FQ","BEST_FPERIOD_OVERRIDE=FQ","FILING_STATUS=MR","Sort=A","Dates=H","DateFormat=P","Fill=—","Direction=H","UseDPDF=Y")</f>
        <v>6.8281000000000001</v>
      </c>
      <c r="O29" s="14">
        <f>_xll.BDH("GILD US Equity","LOW_CLOSING_PRICE_TO_CASH_FLOW","FQ3 2022","FQ3 2022","Currency=USD","Period=FQ","BEST_FPERIOD_OVERRIDE=FQ","FILING_STATUS=MR","Sort=A","Dates=H","DateFormat=P","Fill=—","Direction=H","UseDPDF=Y")</f>
        <v>7.4031000000000002</v>
      </c>
      <c r="P29" s="14">
        <f>_xll.BDH("GILD US Equity","LOW_CLOSING_PRICE_TO_CASH_FLOW","FQ4 2022","FQ4 2022","Currency=USD","Period=FQ","BEST_FPERIOD_OVERRIDE=FQ","FILING_STATUS=MR","Sort=A","Dates=H","DateFormat=P","Fill=—","Direction=H","UseDPDF=Y")</f>
        <v>8.0580999999999996</v>
      </c>
      <c r="Q29" s="14">
        <f>_xll.BDH("GILD US Equity","LOW_CLOSING_PRICE_TO_CASH_FLOW","FQ1 2023","FQ1 2023","Currency=USD","Period=FQ","BEST_FPERIOD_OVERRIDE=FQ","FILING_STATUS=MR","Sort=A","Dates=H","DateFormat=P","Fill=—","Direction=H","UseDPDF=Y")</f>
        <v>10.689299999999999</v>
      </c>
      <c r="R29" s="14">
        <f>_xll.BDH("GILD US Equity","LOW_CLOSING_PRICE_TO_CASH_FLOW","FQ2 2023","FQ2 2023","Currency=USD","Period=FQ","BEST_FPERIOD_OVERRIDE=FQ","FILING_STATUS=MR","Sort=A","Dates=H","DateFormat=P","Fill=—","Direction=H","UseDPDF=Y")</f>
        <v>10.1396</v>
      </c>
      <c r="S29" s="14">
        <f>_xll.BDH("GILD US Equity","LOW_CLOSING_PRICE_TO_CASH_FLOW","FQ3 2023","FQ3 2023","Currency=USD","Period=FQ","BEST_FPERIOD_OVERRIDE=FQ","FILING_STATUS=MR","Sort=A","Dates=H","DateFormat=P","Fill=—","Direction=H","UseDPDF=Y")</f>
        <v>9.7278000000000002</v>
      </c>
      <c r="T29" s="14">
        <f>_xll.BDH("GILD US Equity","LOW_CLOSING_PRICE_TO_CASH_FLOW","FQ4 2023","FQ4 2023","Currency=USD","Period=FQ","BEST_FPERIOD_OVERRIDE=FQ","FILING_STATUS=MR","Sort=A","Dates=H","DateFormat=P","Fill=—","Direction=H","UseDPDF=Y")</f>
        <v>10.893700000000001</v>
      </c>
      <c r="U29" s="14">
        <f>_xll.BDH("GILD US Equity","LOW_CLOSING_PRICE_TO_CASH_FLOW","FQ1 2024","FQ1 2024","Currency=USD","Period=FQ","BEST_FPERIOD_OVERRIDE=FQ","FILING_STATUS=MR","Sort=A","Dates=H","DateFormat=P","Fill=—","Direction=H","UseDPDF=Y")</f>
        <v>10.779</v>
      </c>
      <c r="V29" s="14">
        <f>_xll.BDH("GILD US Equity","LOW_CLOSING_PRICE_TO_CASH_FLOW","FQ2 2024","FQ2 2024","Currency=USD","Period=FQ","BEST_FPERIOD_OVERRIDE=FQ","FILING_STATUS=MR","Sort=A","Dates=H","DateFormat=P","Fill=—","Direction=H","UseDPDF=Y")</f>
        <v>9.2927999999999997</v>
      </c>
      <c r="W29" s="14">
        <f>_xll.BDH("GILD US Equity","LOW_CLOSING_PRICE_TO_CASH_FLOW","FQ3 2024","FQ3 2024","Currency=USD","Period=FQ","BEST_FPERIOD_OVERRIDE=FQ","FILING_STATUS=MR","Sort=A","Dates=H","DateFormat=P","Fill=—","Direction=H","UseDPDF=Y")</f>
        <v>10.4337</v>
      </c>
      <c r="X29" s="14">
        <f>_xll.BDH("GILD US Equity","LOW_CLOSING_PRICE_TO_CASH_FLOW","FQ4 2024","FQ4 2024","Currency=USD","Period=FQ","BEST_FPERIOD_OVERRIDE=FQ","FILING_STATUS=MR","Sort=A","Dates=H","DateFormat=P","Fill=—","Direction=H","UseDPDF=Y")</f>
        <v>10.446199999999999</v>
      </c>
      <c r="Y29" s="17"/>
      <c r="Z29" s="14"/>
      <c r="AA29" s="14"/>
    </row>
    <row r="30" spans="1:27" x14ac:dyDescent="0.25">
      <c r="A30" s="6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21"/>
      <c r="Z30" s="18"/>
      <c r="AA30" s="18"/>
    </row>
    <row r="31" spans="1:27" x14ac:dyDescent="0.25">
      <c r="A31" s="6" t="s">
        <v>235</v>
      </c>
      <c r="B31" s="6" t="s">
        <v>236</v>
      </c>
      <c r="C31" s="20">
        <f>_xll.BDH("GILD US Equity","PX_TO_FREE_CASH_FLOW","FQ3 2019","FQ3 2019","Currency=USD","Period=FQ","BEST_FPERIOD_OVERRIDE=FQ","FILING_STATUS=MR","Sort=A","Dates=H","DateFormat=P","Fill=—","Direction=H","UseDPDF=Y")</f>
        <v>9.9029000000000007</v>
      </c>
      <c r="D31" s="20">
        <f>_xll.BDH("GILD US Equity","PX_TO_FREE_CASH_FLOW","FQ4 2019","FQ4 2019","Currency=USD","Period=FQ","BEST_FPERIOD_OVERRIDE=FQ","FILING_STATUS=MR","Sort=A","Dates=H","DateFormat=P","Fill=—","Direction=H","UseDPDF=Y")</f>
        <v>9.7683</v>
      </c>
      <c r="E31" s="20">
        <f>_xll.BDH("GILD US Equity","PX_TO_FREE_CASH_FLOW","FQ1 2020","FQ1 2020","Currency=USD","Period=FQ","BEST_FPERIOD_OVERRIDE=FQ","FILING_STATUS=MR","Sort=A","Dates=H","DateFormat=P","Fill=—","Direction=H","UseDPDF=Y")</f>
        <v>11.1439</v>
      </c>
      <c r="F31" s="20">
        <f>_xll.BDH("GILD US Equity","PX_TO_FREE_CASH_FLOW","FQ2 2020","FQ2 2020","Currency=USD","Period=FQ","BEST_FPERIOD_OVERRIDE=FQ","FILING_STATUS=MR","Sort=A","Dates=H","DateFormat=P","Fill=—","Direction=H","UseDPDF=Y")</f>
        <v>11.085100000000001</v>
      </c>
      <c r="G31" s="20">
        <f>_xll.BDH("GILD US Equity","PX_TO_FREE_CASH_FLOW","FQ3 2020","FQ3 2020","Currency=USD","Period=FQ","BEST_FPERIOD_OVERRIDE=FQ","FILING_STATUS=MR","Sort=A","Dates=H","DateFormat=P","Fill=—","Direction=H","UseDPDF=Y")</f>
        <v>9.7515999999999998</v>
      </c>
      <c r="H31" s="20">
        <f>_xll.BDH("GILD US Equity","PX_TO_FREE_CASH_FLOW","FQ4 2020","FQ4 2020","Currency=USD","Period=FQ","BEST_FPERIOD_OVERRIDE=FQ","FILING_STATUS=MR","Sort=A","Dates=H","DateFormat=P","Fill=—","Direction=H","UseDPDF=Y")</f>
        <v>9.7346000000000004</v>
      </c>
      <c r="I31" s="20">
        <f>_xll.BDH("GILD US Equity","PX_TO_FREE_CASH_FLOW","FQ1 2021","FQ1 2021","Currency=USD","Period=FQ","BEST_FPERIOD_OVERRIDE=FQ","FILING_STATUS=MR","Sort=A","Dates=H","DateFormat=P","Fill=—","Direction=H","UseDPDF=Y")</f>
        <v>9.3272999999999993</v>
      </c>
      <c r="J31" s="20">
        <f>_xll.BDH("GILD US Equity","PX_TO_FREE_CASH_FLOW","FQ2 2021","FQ2 2021","Currency=USD","Period=FQ","BEST_FPERIOD_OVERRIDE=FQ","FILING_STATUS=MR","Sort=A","Dates=H","DateFormat=P","Fill=—","Direction=H","UseDPDF=Y")</f>
        <v>10.2029</v>
      </c>
      <c r="K31" s="20">
        <f>_xll.BDH("GILD US Equity","PX_TO_FREE_CASH_FLOW","FQ3 2021","FQ3 2021","Currency=USD","Period=FQ","BEST_FPERIOD_OVERRIDE=FQ","FILING_STATUS=MR","Sort=A","Dates=H","DateFormat=P","Fill=—","Direction=H","UseDPDF=Y")</f>
        <v>9.2406000000000006</v>
      </c>
      <c r="L31" s="20">
        <f>_xll.BDH("GILD US Equity","PX_TO_FREE_CASH_FLOW","FQ4 2021","FQ4 2021","Currency=USD","Period=FQ","BEST_FPERIOD_OVERRIDE=FQ","FILING_STATUS=MR","Sort=A","Dates=H","DateFormat=P","Fill=—","Direction=H","UseDPDF=Y")</f>
        <v>8.4390000000000001</v>
      </c>
      <c r="M31" s="20">
        <f>_xll.BDH("GILD US Equity","PX_TO_FREE_CASH_FLOW","FQ1 2022","FQ1 2022","Currency=USD","Period=FQ","BEST_FPERIOD_OVERRIDE=FQ","FILING_STATUS=MR","Sort=A","Dates=H","DateFormat=P","Fill=—","Direction=H","UseDPDF=Y")</f>
        <v>7.4999000000000002</v>
      </c>
      <c r="N31" s="20">
        <f>_xll.BDH("GILD US Equity","PX_TO_FREE_CASH_FLOW","FQ2 2022","FQ2 2022","Currency=USD","Period=FQ","BEST_FPERIOD_OVERRIDE=FQ","FILING_STATUS=MR","Sort=A","Dates=H","DateFormat=P","Fill=—","Direction=H","UseDPDF=Y")</f>
        <v>8.2446000000000002</v>
      </c>
      <c r="O31" s="20">
        <f>_xll.BDH("GILD US Equity","PX_TO_FREE_CASH_FLOW","FQ3 2022","FQ3 2022","Currency=USD","Period=FQ","BEST_FPERIOD_OVERRIDE=FQ","FILING_STATUS=MR","Sort=A","Dates=H","DateFormat=P","Fill=—","Direction=H","UseDPDF=Y")</f>
        <v>8.5991999999999997</v>
      </c>
      <c r="P31" s="20">
        <f>_xll.BDH("GILD US Equity","PX_TO_FREE_CASH_FLOW","FQ4 2022","FQ4 2022","Currency=USD","Period=FQ","BEST_FPERIOD_OVERRIDE=FQ","FILING_STATUS=MR","Sort=A","Dates=H","DateFormat=P","Fill=—","Direction=H","UseDPDF=Y")</f>
        <v>12.9057</v>
      </c>
      <c r="Q31" s="20">
        <f>_xll.BDH("GILD US Equity","PX_TO_FREE_CASH_FLOW","FQ1 2023","FQ1 2023","Currency=USD","Period=FQ","BEST_FPERIOD_OVERRIDE=FQ","FILING_STATUS=MR","Sort=A","Dates=H","DateFormat=P","Fill=—","Direction=H","UseDPDF=Y")</f>
        <v>12.396800000000001</v>
      </c>
      <c r="R31" s="20">
        <f>_xll.BDH("GILD US Equity","PX_TO_FREE_CASH_FLOW","FQ2 2023","FQ2 2023","Currency=USD","Period=FQ","BEST_FPERIOD_OVERRIDE=FQ","FILING_STATUS=MR","Sort=A","Dates=H","DateFormat=P","Fill=—","Direction=H","UseDPDF=Y")</f>
        <v>10.805300000000001</v>
      </c>
      <c r="S31" s="20">
        <f>_xll.BDH("GILD US Equity","PX_TO_FREE_CASH_FLOW","FQ3 2023","FQ3 2023","Currency=USD","Period=FQ","BEST_FPERIOD_OVERRIDE=FQ","FILING_STATUS=MR","Sort=A","Dates=H","DateFormat=P","Fill=—","Direction=H","UseDPDF=Y")</f>
        <v>11.9237</v>
      </c>
      <c r="T31" s="20">
        <f>_xll.BDH("GILD US Equity","PX_TO_FREE_CASH_FLOW","FQ4 2023","FQ4 2023","Currency=USD","Period=FQ","BEST_FPERIOD_OVERRIDE=FQ","FILING_STATUS=MR","Sort=A","Dates=H","DateFormat=P","Fill=—","Direction=H","UseDPDF=Y")</f>
        <v>13.626799999999999</v>
      </c>
      <c r="U31" s="20">
        <f>_xll.BDH("GILD US Equity","PX_TO_FREE_CASH_FLOW","FQ1 2024","FQ1 2024","Currency=USD","Period=FQ","BEST_FPERIOD_OVERRIDE=FQ","FILING_STATUS=MR","Sort=A","Dates=H","DateFormat=P","Fill=—","Direction=H","UseDPDF=Y")</f>
        <v>11.5717</v>
      </c>
      <c r="V31" s="20">
        <f>_xll.BDH("GILD US Equity","PX_TO_FREE_CASH_FLOW","FQ2 2024","FQ2 2024","Currency=USD","Period=FQ","BEST_FPERIOD_OVERRIDE=FQ","FILING_STATUS=MR","Sort=A","Dates=H","DateFormat=P","Fill=—","Direction=H","UseDPDF=Y")</f>
        <v>12.411899999999999</v>
      </c>
      <c r="W31" s="20">
        <f>_xll.BDH("GILD US Equity","PX_TO_FREE_CASH_FLOW","FQ3 2024","FQ3 2024","Currency=USD","Period=FQ","BEST_FPERIOD_OVERRIDE=FQ","FILING_STATUS=MR","Sort=A","Dates=H","DateFormat=P","Fill=—","Direction=H","UseDPDF=Y")</f>
        <v>11.0875</v>
      </c>
      <c r="X31" s="20">
        <f>_xll.BDH("GILD US Equity","PX_TO_FREE_CASH_FLOW","FQ4 2024","FQ4 2024","Currency=USD","Period=FQ","BEST_FPERIOD_OVERRIDE=FQ","FILING_STATUS=MR","Sort=A","Dates=H","DateFormat=P","Fill=—","Direction=H","UseDPDF=Y")</f>
        <v>11.180099999999999</v>
      </c>
      <c r="Y31" s="23">
        <v>13.525754459623499</v>
      </c>
      <c r="Z31" s="20"/>
      <c r="AA31" s="20"/>
    </row>
    <row r="32" spans="1:27" x14ac:dyDescent="0.25">
      <c r="A32" s="10" t="s">
        <v>209</v>
      </c>
      <c r="B32" s="10" t="s">
        <v>237</v>
      </c>
      <c r="C32" s="14">
        <f>_xll.BDH("GILD US Equity","AVERAGE_PRICE_TO_FREE_CASH_FLOW","FQ3 2019","FQ3 2019","Currency=USD","Period=FQ","BEST_FPERIOD_OVERRIDE=FQ","FILING_STATUS=MR","Sort=A","Dates=H","DateFormat=P","Fill=—","Direction=H","UseDPDF=Y")</f>
        <v>11.1638</v>
      </c>
      <c r="D32" s="14">
        <f>_xll.BDH("GILD US Equity","AVERAGE_PRICE_TO_FREE_CASH_FLOW","FQ4 2019","FQ4 2019","Currency=USD","Period=FQ","BEST_FPERIOD_OVERRIDE=FQ","FILING_STATUS=MR","Sort=A","Dates=H","DateFormat=P","Fill=—","Direction=H","UseDPDF=Y")</f>
        <v>10.169</v>
      </c>
      <c r="E32" s="14">
        <f>_xll.BDH("GILD US Equity","AVERAGE_PRICE_TO_FREE_CASH_FLOW","FQ1 2020","FQ1 2020","Currency=USD","Period=FQ","BEST_FPERIOD_OVERRIDE=FQ","FILING_STATUS=MR","Sort=A","Dates=H","DateFormat=P","Fill=—","Direction=H","UseDPDF=Y")</f>
        <v>10.3858</v>
      </c>
      <c r="F32" s="14">
        <f>_xll.BDH("GILD US Equity","AVERAGE_PRICE_TO_FREE_CASH_FLOW","FQ2 2020","FQ2 2020","Currency=USD","Period=FQ","BEST_FPERIOD_OVERRIDE=FQ","FILING_STATUS=MR","Sort=A","Dates=H","DateFormat=P","Fill=—","Direction=H","UseDPDF=Y")</f>
        <v>11.4176</v>
      </c>
      <c r="G32" s="14">
        <f>_xll.BDH("GILD US Equity","AVERAGE_PRICE_TO_FREE_CASH_FLOW","FQ3 2020","FQ3 2020","Currency=USD","Period=FQ","BEST_FPERIOD_OVERRIDE=FQ","FILING_STATUS=MR","Sort=A","Dates=H","DateFormat=P","Fill=—","Direction=H","UseDPDF=Y")</f>
        <v>10.001099999999999</v>
      </c>
      <c r="H32" s="14">
        <f>_xll.BDH("GILD US Equity","AVERAGE_PRICE_TO_FREE_CASH_FLOW","FQ4 2020","FQ4 2020","Currency=USD","Period=FQ","BEST_FPERIOD_OVERRIDE=FQ","FILING_STATUS=MR","Sort=A","Dates=H","DateFormat=P","Fill=—","Direction=H","UseDPDF=Y")</f>
        <v>9.3234999999999992</v>
      </c>
      <c r="I32" s="14">
        <f>_xll.BDH("GILD US Equity","AVERAGE_PRICE_TO_FREE_CASH_FLOW","FQ1 2021","FQ1 2021","Currency=USD","Period=FQ","BEST_FPERIOD_OVERRIDE=FQ","FILING_STATUS=MR","Sort=A","Dates=H","DateFormat=P","Fill=—","Direction=H","UseDPDF=Y")</f>
        <v>10.75</v>
      </c>
      <c r="J32" s="14">
        <f>_xll.BDH("GILD US Equity","AVERAGE_PRICE_TO_FREE_CASH_FLOW","FQ2 2021","FQ2 2021","Currency=USD","Period=FQ","BEST_FPERIOD_OVERRIDE=FQ","FILING_STATUS=MR","Sort=A","Dates=H","DateFormat=P","Fill=—","Direction=H","UseDPDF=Y")</f>
        <v>9.6408000000000005</v>
      </c>
      <c r="K32" s="14">
        <f>_xll.BDH("GILD US Equity","AVERAGE_PRICE_TO_FREE_CASH_FLOW","FQ3 2021","FQ3 2021","Currency=USD","Period=FQ","BEST_FPERIOD_OVERRIDE=FQ","FILING_STATUS=MR","Sort=A","Dates=H","DateFormat=P","Fill=—","Direction=H","UseDPDF=Y")</f>
        <v>10.392099999999999</v>
      </c>
      <c r="L32" s="14">
        <f>_xll.BDH("GILD US Equity","AVERAGE_PRICE_TO_FREE_CASH_FLOW","FQ4 2021","FQ4 2021","Currency=USD","Period=FQ","BEST_FPERIOD_OVERRIDE=FQ","FILING_STATUS=MR","Sort=A","Dates=H","DateFormat=P","Fill=—","Direction=H","UseDPDF=Y")</f>
        <v>9.0935000000000006</v>
      </c>
      <c r="M32" s="14">
        <f>_xll.BDH("GILD US Equity","AVERAGE_PRICE_TO_FREE_CASH_FLOW","FQ1 2022","FQ1 2022","Currency=USD","Period=FQ","BEST_FPERIOD_OVERRIDE=FQ","FILING_STATUS=MR","Sort=A","Dates=H","DateFormat=P","Fill=—","Direction=H","UseDPDF=Y")</f>
        <v>7.4387999999999996</v>
      </c>
      <c r="N32" s="14">
        <f>_xll.BDH("GILD US Equity","AVERAGE_PRICE_TO_FREE_CASH_FLOW","FQ2 2022","FQ2 2022","Currency=USD","Period=FQ","BEST_FPERIOD_OVERRIDE=FQ","FILING_STATUS=MR","Sort=A","Dates=H","DateFormat=P","Fill=—","Direction=H","UseDPDF=Y")</f>
        <v>7.8178999999999998</v>
      </c>
      <c r="O32" s="14">
        <f>_xll.BDH("GILD US Equity","AVERAGE_PRICE_TO_FREE_CASH_FLOW","FQ3 2022","FQ3 2022","Currency=USD","Period=FQ","BEST_FPERIOD_OVERRIDE=FQ","FILING_STATUS=MR","Sort=A","Dates=H","DateFormat=P","Fill=—","Direction=H","UseDPDF=Y")</f>
        <v>8.4169</v>
      </c>
      <c r="P32" s="14">
        <f>_xll.BDH("GILD US Equity","AVERAGE_PRICE_TO_FREE_CASH_FLOW","FQ4 2022","FQ4 2022","Currency=USD","Period=FQ","BEST_FPERIOD_OVERRIDE=FQ","FILING_STATUS=MR","Sort=A","Dates=H","DateFormat=P","Fill=—","Direction=H","UseDPDF=Y")</f>
        <v>11.053599999999999</v>
      </c>
      <c r="Q32" s="14">
        <f>_xll.BDH("GILD US Equity","AVERAGE_PRICE_TO_FREE_CASH_FLOW","FQ1 2023","FQ1 2023","Currency=USD","Period=FQ","BEST_FPERIOD_OVERRIDE=FQ","FILING_STATUS=MR","Sort=A","Dates=H","DateFormat=P","Fill=—","Direction=H","UseDPDF=Y")</f>
        <v>12.4497</v>
      </c>
      <c r="R32" s="14">
        <f>_xll.BDH("GILD US Equity","AVERAGE_PRICE_TO_FREE_CASH_FLOW","FQ2 2023","FQ2 2023","Currency=USD","Period=FQ","BEST_FPERIOD_OVERRIDE=FQ","FILING_STATUS=MR","Sort=A","Dates=H","DateFormat=P","Fill=—","Direction=H","UseDPDF=Y")</f>
        <v>11.9048</v>
      </c>
      <c r="S32" s="14">
        <f>_xll.BDH("GILD US Equity","AVERAGE_PRICE_TO_FREE_CASH_FLOW","FQ3 2023","FQ3 2023","Currency=USD","Period=FQ","BEST_FPERIOD_OVERRIDE=FQ","FILING_STATUS=MR","Sort=A","Dates=H","DateFormat=P","Fill=—","Direction=H","UseDPDF=Y")</f>
        <v>10.8062</v>
      </c>
      <c r="T32" s="14">
        <f>_xll.BDH("GILD US Equity","AVERAGE_PRICE_TO_FREE_CASH_FLOW","FQ4 2023","FQ4 2023","Currency=USD","Period=FQ","BEST_FPERIOD_OVERRIDE=FQ","FILING_STATUS=MR","Sort=A","Dates=H","DateFormat=P","Fill=—","Direction=H","UseDPDF=Y")</f>
        <v>12.3933</v>
      </c>
      <c r="U32" s="14">
        <f>_xll.BDH("GILD US Equity","AVERAGE_PRICE_TO_FREE_CASH_FLOW","FQ1 2024","FQ1 2024","Currency=USD","Period=FQ","BEST_FPERIOD_OVERRIDE=FQ","FILING_STATUS=MR","Sort=A","Dates=H","DateFormat=P","Fill=—","Direction=H","UseDPDF=Y")</f>
        <v>12.922599999999999</v>
      </c>
      <c r="V32" s="14">
        <f>_xll.BDH("GILD US Equity","AVERAGE_PRICE_TO_FREE_CASH_FLOW","FQ2 2024","FQ2 2024","Currency=USD","Period=FQ","BEST_FPERIOD_OVERRIDE=FQ","FILING_STATUS=MR","Sort=A","Dates=H","DateFormat=P","Fill=—","Direction=H","UseDPDF=Y")</f>
        <v>10.567399999999999</v>
      </c>
      <c r="W32" s="14">
        <f>_xll.BDH("GILD US Equity","AVERAGE_PRICE_TO_FREE_CASH_FLOW","FQ3 2024","FQ3 2024","Currency=USD","Period=FQ","BEST_FPERIOD_OVERRIDE=FQ","FILING_STATUS=MR","Sort=A","Dates=H","DateFormat=P","Fill=—","Direction=H","UseDPDF=Y")</f>
        <v>13.7402</v>
      </c>
      <c r="X32" s="14">
        <f>_xll.BDH("GILD US Equity","AVERAGE_PRICE_TO_FREE_CASH_FLOW","FQ4 2024","FQ4 2024","Currency=USD","Period=FQ","BEST_FPERIOD_OVERRIDE=FQ","FILING_STATUS=MR","Sort=A","Dates=H","DateFormat=P","Fill=—","Direction=H","UseDPDF=Y")</f>
        <v>11.8909</v>
      </c>
      <c r="Y32" s="17"/>
      <c r="Z32" s="14"/>
      <c r="AA32" s="14"/>
    </row>
    <row r="33" spans="1:27" x14ac:dyDescent="0.25">
      <c r="A33" s="10" t="s">
        <v>211</v>
      </c>
      <c r="B33" s="10" t="s">
        <v>238</v>
      </c>
      <c r="C33" s="14">
        <f>_xll.BDH("GILD US Equity","HIGH_PRICE_TO_FREE_CASH_FLOW","FQ3 2019","FQ3 2019","Currency=USD","Period=FQ","BEST_FPERIOD_OVERRIDE=FQ","FILING_STATUS=MR","Sort=A","Dates=H","DateFormat=P","Fill=—","Direction=H","UseDPDF=Y")</f>
        <v>11.799200000000001</v>
      </c>
      <c r="D33" s="14">
        <f>_xll.BDH("GILD US Equity","HIGH_PRICE_TO_FREE_CASH_FLOW","FQ4 2019","FQ4 2019","Currency=USD","Period=FQ","BEST_FPERIOD_OVERRIDE=FQ","FILING_STATUS=MR","Sort=A","Dates=H","DateFormat=P","Fill=—","Direction=H","UseDPDF=Y")</f>
        <v>10.590400000000001</v>
      </c>
      <c r="E33" s="14">
        <f>_xll.BDH("GILD US Equity","HIGH_PRICE_TO_FREE_CASH_FLOW","FQ1 2020","FQ1 2020","Currency=USD","Period=FQ","BEST_FPERIOD_OVERRIDE=FQ","FILING_STATUS=MR","Sort=A","Dates=H","DateFormat=P","Fill=—","Direction=H","UseDPDF=Y")</f>
        <v>12.0593</v>
      </c>
      <c r="F33" s="14">
        <f>_xll.BDH("GILD US Equity","HIGH_PRICE_TO_FREE_CASH_FLOW","FQ2 2020","FQ2 2020","Currency=USD","Period=FQ","BEST_FPERIOD_OVERRIDE=FQ","FILING_STATUS=MR","Sort=A","Dates=H","DateFormat=P","Fill=—","Direction=H","UseDPDF=Y")</f>
        <v>12.5212</v>
      </c>
      <c r="G33" s="14">
        <f>_xll.BDH("GILD US Equity","HIGH_PRICE_TO_FREE_CASH_FLOW","FQ3 2020","FQ3 2020","Currency=USD","Period=FQ","BEST_FPERIOD_OVERRIDE=FQ","FILING_STATUS=MR","Sort=A","Dates=H","DateFormat=P","Fill=—","Direction=H","UseDPDF=Y")</f>
        <v>11.2493</v>
      </c>
      <c r="H33" s="14">
        <f>_xll.BDH("GILD US Equity","HIGH_PRICE_TO_FREE_CASH_FLOW","FQ4 2020","FQ4 2020","Currency=USD","Period=FQ","BEST_FPERIOD_OVERRIDE=FQ","FILING_STATUS=MR","Sort=A","Dates=H","DateFormat=P","Fill=—","Direction=H","UseDPDF=Y")</f>
        <v>9.9614999999999991</v>
      </c>
      <c r="I33" s="14">
        <f>_xll.BDH("GILD US Equity","HIGH_PRICE_TO_FREE_CASH_FLOW","FQ1 2021","FQ1 2021","Currency=USD","Period=FQ","BEST_FPERIOD_OVERRIDE=FQ","FILING_STATUS=MR","Sort=A","Dates=H","DateFormat=P","Fill=—","Direction=H","UseDPDF=Y")</f>
        <v>11.4389</v>
      </c>
      <c r="J33" s="14">
        <f>_xll.BDH("GILD US Equity","HIGH_PRICE_TO_FREE_CASH_FLOW","FQ2 2021","FQ2 2021","Currency=USD","Period=FQ","BEST_FPERIOD_OVERRIDE=FQ","FILING_STATUS=MR","Sort=A","Dates=H","DateFormat=P","Fill=—","Direction=H","UseDPDF=Y")</f>
        <v>10.2029</v>
      </c>
      <c r="K33" s="14">
        <f>_xll.BDH("GILD US Equity","HIGH_PRICE_TO_FREE_CASH_FLOW","FQ3 2021","FQ3 2021","Currency=USD","Period=FQ","BEST_FPERIOD_OVERRIDE=FQ","FILING_STATUS=MR","Sort=A","Dates=H","DateFormat=P","Fill=—","Direction=H","UseDPDF=Y")</f>
        <v>10.8208</v>
      </c>
      <c r="L33" s="14">
        <f>_xll.BDH("GILD US Equity","HIGH_PRICE_TO_FREE_CASH_FLOW","FQ4 2021","FQ4 2021","Currency=USD","Period=FQ","BEST_FPERIOD_OVERRIDE=FQ","FILING_STATUS=MR","Sort=A","Dates=H","DateFormat=P","Fill=—","Direction=H","UseDPDF=Y")</f>
        <v>9.7420000000000009</v>
      </c>
      <c r="M33" s="14">
        <f>_xll.BDH("GILD US Equity","HIGH_PRICE_TO_FREE_CASH_FLOW","FQ1 2022","FQ1 2022","Currency=USD","Period=FQ","BEST_FPERIOD_OVERRIDE=FQ","FILING_STATUS=MR","Sort=A","Dates=H","DateFormat=P","Fill=—","Direction=H","UseDPDF=Y")</f>
        <v>8.4354999999999993</v>
      </c>
      <c r="N33" s="14">
        <f>_xll.BDH("GILD US Equity","HIGH_PRICE_TO_FREE_CASH_FLOW","FQ2 2022","FQ2 2022","Currency=USD","Period=FQ","BEST_FPERIOD_OVERRIDE=FQ","FILING_STATUS=MR","Sort=A","Dates=H","DateFormat=P","Fill=—","Direction=H","UseDPDF=Y")</f>
        <v>8.2446000000000002</v>
      </c>
      <c r="O33" s="14">
        <f>_xll.BDH("GILD US Equity","HIGH_PRICE_TO_FREE_CASH_FLOW","FQ3 2022","FQ3 2022","Currency=USD","Period=FQ","BEST_FPERIOD_OVERRIDE=FQ","FILING_STATUS=MR","Sort=A","Dates=H","DateFormat=P","Fill=—","Direction=H","UseDPDF=Y")</f>
        <v>9.0716000000000001</v>
      </c>
      <c r="P33" s="14">
        <f>_xll.BDH("GILD US Equity","HIGH_PRICE_TO_FREE_CASH_FLOW","FQ4 2022","FQ4 2022","Currency=USD","Period=FQ","BEST_FPERIOD_OVERRIDE=FQ","FILING_STATUS=MR","Sort=A","Dates=H","DateFormat=P","Fill=—","Direction=H","UseDPDF=Y")</f>
        <v>12.9057</v>
      </c>
      <c r="Q33" s="14">
        <f>_xll.BDH("GILD US Equity","HIGH_PRICE_TO_FREE_CASH_FLOW","FQ1 2023","FQ1 2023","Currency=USD","Period=FQ","BEST_FPERIOD_OVERRIDE=FQ","FILING_STATUS=MR","Sort=A","Dates=H","DateFormat=P","Fill=—","Direction=H","UseDPDF=Y")</f>
        <v>13.2409</v>
      </c>
      <c r="R33" s="14">
        <f>_xll.BDH("GILD US Equity","HIGH_PRICE_TO_FREE_CASH_FLOW","FQ2 2023","FQ2 2023","Currency=USD","Period=FQ","BEST_FPERIOD_OVERRIDE=FQ","FILING_STATUS=MR","Sort=A","Dates=H","DateFormat=P","Fill=—","Direction=H","UseDPDF=Y")</f>
        <v>12.9541</v>
      </c>
      <c r="S33" s="14">
        <f>_xll.BDH("GILD US Equity","HIGH_PRICE_TO_FREE_CASH_FLOW","FQ3 2023","FQ3 2023","Currency=USD","Period=FQ","BEST_FPERIOD_OVERRIDE=FQ","FILING_STATUS=MR","Sort=A","Dates=H","DateFormat=P","Fill=—","Direction=H","UseDPDF=Y")</f>
        <v>11.9237</v>
      </c>
      <c r="T33" s="14">
        <f>_xll.BDH("GILD US Equity","HIGH_PRICE_TO_FREE_CASH_FLOW","FQ4 2023","FQ4 2023","Currency=USD","Period=FQ","BEST_FPERIOD_OVERRIDE=FQ","FILING_STATUS=MR","Sort=A","Dates=H","DateFormat=P","Fill=—","Direction=H","UseDPDF=Y")</f>
        <v>13.626799999999999</v>
      </c>
      <c r="U33" s="14">
        <f>_xll.BDH("GILD US Equity","HIGH_PRICE_TO_FREE_CASH_FLOW","FQ1 2024","FQ1 2024","Currency=USD","Period=FQ","BEST_FPERIOD_OVERRIDE=FQ","FILING_STATUS=MR","Sort=A","Dates=H","DateFormat=P","Fill=—","Direction=H","UseDPDF=Y")</f>
        <v>14.683199999999999</v>
      </c>
      <c r="V33" s="14">
        <f>_xll.BDH("GILD US Equity","HIGH_PRICE_TO_FREE_CASH_FLOW","FQ2 2024","FQ2 2024","Currency=USD","Period=FQ","BEST_FPERIOD_OVERRIDE=FQ","FILING_STATUS=MR","Sort=A","Dates=H","DateFormat=P","Fill=—","Direction=H","UseDPDF=Y")</f>
        <v>12.411899999999999</v>
      </c>
      <c r="W33" s="14">
        <f>_xll.BDH("GILD US Equity","HIGH_PRICE_TO_FREE_CASH_FLOW","FQ3 2024","FQ3 2024","Currency=USD","Period=FQ","BEST_FPERIOD_OVERRIDE=FQ","FILING_STATUS=MR","Sort=A","Dates=H","DateFormat=P","Fill=—","Direction=H","UseDPDF=Y")</f>
        <v>15.1942</v>
      </c>
      <c r="X33" s="14">
        <f>_xll.BDH("GILD US Equity","HIGH_PRICE_TO_FREE_CASH_FLOW","FQ4 2024","FQ4 2024","Currency=USD","Period=FQ","BEST_FPERIOD_OVERRIDE=FQ","FILING_STATUS=MR","Sort=A","Dates=H","DateFormat=P","Fill=—","Direction=H","UseDPDF=Y")</f>
        <v>12.9468</v>
      </c>
      <c r="Y33" s="17"/>
      <c r="Z33" s="14"/>
      <c r="AA33" s="14"/>
    </row>
    <row r="34" spans="1:27" x14ac:dyDescent="0.25">
      <c r="A34" s="10" t="s">
        <v>213</v>
      </c>
      <c r="B34" s="10" t="s">
        <v>239</v>
      </c>
      <c r="C34" s="14">
        <f>_xll.BDH("GILD US Equity","LOW_PRICE_TO_FREE_CASH_FLOW","FQ3 2019","FQ3 2019","Currency=USD","Period=FQ","BEST_FPERIOD_OVERRIDE=FQ","FILING_STATUS=MR","Sort=A","Dates=H","DateFormat=P","Fill=—","Direction=H","UseDPDF=Y")</f>
        <v>9.9029000000000007</v>
      </c>
      <c r="D34" s="14">
        <f>_xll.BDH("GILD US Equity","LOW_PRICE_TO_FREE_CASH_FLOW","FQ4 2019","FQ4 2019","Currency=USD","Period=FQ","BEST_FPERIOD_OVERRIDE=FQ","FILING_STATUS=MR","Sort=A","Dates=H","DateFormat=P","Fill=—","Direction=H","UseDPDF=Y")</f>
        <v>9.6279000000000003</v>
      </c>
      <c r="E34" s="14">
        <f>_xll.BDH("GILD US Equity","LOW_PRICE_TO_FREE_CASH_FLOW","FQ1 2020","FQ1 2020","Currency=USD","Period=FQ","BEST_FPERIOD_OVERRIDE=FQ","FILING_STATUS=MR","Sort=A","Dates=H","DateFormat=P","Fill=—","Direction=H","UseDPDF=Y")</f>
        <v>9.4149999999999991</v>
      </c>
      <c r="F34" s="14">
        <f>_xll.BDH("GILD US Equity","LOW_PRICE_TO_FREE_CASH_FLOW","FQ2 2020","FQ2 2020","Currency=USD","Period=FQ","BEST_FPERIOD_OVERRIDE=FQ","FILING_STATUS=MR","Sort=A","Dates=H","DateFormat=P","Fill=—","Direction=H","UseDPDF=Y")</f>
        <v>10.783200000000001</v>
      </c>
      <c r="G34" s="14">
        <f>_xll.BDH("GILD US Equity","LOW_PRICE_TO_FREE_CASH_FLOW","FQ3 2020","FQ3 2020","Currency=USD","Period=FQ","BEST_FPERIOD_OVERRIDE=FQ","FILING_STATUS=MR","Sort=A","Dates=H","DateFormat=P","Fill=—","Direction=H","UseDPDF=Y")</f>
        <v>8.9469999999999992</v>
      </c>
      <c r="H34" s="14">
        <f>_xll.BDH("GILD US Equity","LOW_PRICE_TO_FREE_CASH_FLOW","FQ4 2020","FQ4 2020","Currency=USD","Period=FQ","BEST_FPERIOD_OVERRIDE=FQ","FILING_STATUS=MR","Sort=A","Dates=H","DateFormat=P","Fill=—","Direction=H","UseDPDF=Y")</f>
        <v>8.7423999999999999</v>
      </c>
      <c r="I34" s="14">
        <f>_xll.BDH("GILD US Equity","LOW_PRICE_TO_FREE_CASH_FLOW","FQ1 2021","FQ1 2021","Currency=USD","Period=FQ","BEST_FPERIOD_OVERRIDE=FQ","FILING_STATUS=MR","Sort=A","Dates=H","DateFormat=P","Fill=—","Direction=H","UseDPDF=Y")</f>
        <v>9.3272999999999993</v>
      </c>
      <c r="J34" s="14">
        <f>_xll.BDH("GILD US Equity","LOW_PRICE_TO_FREE_CASH_FLOW","FQ2 2021","FQ2 2021","Currency=USD","Period=FQ","BEST_FPERIOD_OVERRIDE=FQ","FILING_STATUS=MR","Sort=A","Dates=H","DateFormat=P","Fill=—","Direction=H","UseDPDF=Y")</f>
        <v>9.1599000000000004</v>
      </c>
      <c r="K34" s="14">
        <f>_xll.BDH("GILD US Equity","LOW_PRICE_TO_FREE_CASH_FLOW","FQ3 2021","FQ3 2021","Currency=USD","Period=FQ","BEST_FPERIOD_OVERRIDE=FQ","FILING_STATUS=MR","Sort=A","Dates=H","DateFormat=P","Fill=—","Direction=H","UseDPDF=Y")</f>
        <v>9.2406000000000006</v>
      </c>
      <c r="L34" s="14">
        <f>_xll.BDH("GILD US Equity","LOW_PRICE_TO_FREE_CASH_FLOW","FQ4 2021","FQ4 2021","Currency=USD","Period=FQ","BEST_FPERIOD_OVERRIDE=FQ","FILING_STATUS=MR","Sort=A","Dates=H","DateFormat=P","Fill=—","Direction=H","UseDPDF=Y")</f>
        <v>8.4390000000000001</v>
      </c>
      <c r="M34" s="14">
        <f>_xll.BDH("GILD US Equity","LOW_PRICE_TO_FREE_CASH_FLOW","FQ1 2022","FQ1 2022","Currency=USD","Period=FQ","BEST_FPERIOD_OVERRIDE=FQ","FILING_STATUS=MR","Sort=A","Dates=H","DateFormat=P","Fill=—","Direction=H","UseDPDF=Y")</f>
        <v>6.7317</v>
      </c>
      <c r="N34" s="14">
        <f>_xll.BDH("GILD US Equity","LOW_PRICE_TO_FREE_CASH_FLOW","FQ2 2022","FQ2 2022","Currency=USD","Period=FQ","BEST_FPERIOD_OVERRIDE=FQ","FILING_STATUS=MR","Sort=A","Dates=H","DateFormat=P","Fill=—","Direction=H","UseDPDF=Y")</f>
        <v>7.2816999999999998</v>
      </c>
      <c r="O34" s="14">
        <f>_xll.BDH("GILD US Equity","LOW_PRICE_TO_FREE_CASH_FLOW","FQ3 2022","FQ3 2022","Currency=USD","Period=FQ","BEST_FPERIOD_OVERRIDE=FQ","FILING_STATUS=MR","Sort=A","Dates=H","DateFormat=P","Fill=—","Direction=H","UseDPDF=Y")</f>
        <v>7.9417999999999997</v>
      </c>
      <c r="P34" s="14">
        <f>_xll.BDH("GILD US Equity","LOW_PRICE_TO_FREE_CASH_FLOW","FQ4 2022","FQ4 2022","Currency=USD","Period=FQ","BEST_FPERIOD_OVERRIDE=FQ","FILING_STATUS=MR","Sort=A","Dates=H","DateFormat=P","Fill=—","Direction=H","UseDPDF=Y")</f>
        <v>8.6869999999999994</v>
      </c>
      <c r="Q34" s="14">
        <f>_xll.BDH("GILD US Equity","LOW_PRICE_TO_FREE_CASH_FLOW","FQ1 2023","FQ1 2023","Currency=USD","Period=FQ","BEST_FPERIOD_OVERRIDE=FQ","FILING_STATUS=MR","Sort=A","Dates=H","DateFormat=P","Fill=—","Direction=H","UseDPDF=Y")</f>
        <v>11.6219</v>
      </c>
      <c r="R34" s="14">
        <f>_xll.BDH("GILD US Equity","LOW_PRICE_TO_FREE_CASH_FLOW","FQ2 2023","FQ2 2023","Currency=USD","Period=FQ","BEST_FPERIOD_OVERRIDE=FQ","FILING_STATUS=MR","Sort=A","Dates=H","DateFormat=P","Fill=—","Direction=H","UseDPDF=Y")</f>
        <v>10.805300000000001</v>
      </c>
      <c r="S34" s="14">
        <f>_xll.BDH("GILD US Equity","LOW_PRICE_TO_FREE_CASH_FLOW","FQ3 2023","FQ3 2023","Currency=USD","Period=FQ","BEST_FPERIOD_OVERRIDE=FQ","FILING_STATUS=MR","Sort=A","Dates=H","DateFormat=P","Fill=—","Direction=H","UseDPDF=Y")</f>
        <v>10.366400000000001</v>
      </c>
      <c r="T34" s="14">
        <f>_xll.BDH("GILD US Equity","LOW_PRICE_TO_FREE_CASH_FLOW","FQ4 2023","FQ4 2023","Currency=USD","Period=FQ","BEST_FPERIOD_OVERRIDE=FQ","FILING_STATUS=MR","Sort=A","Dates=H","DateFormat=P","Fill=—","Direction=H","UseDPDF=Y")</f>
        <v>11.657999999999999</v>
      </c>
      <c r="U34" s="14">
        <f>_xll.BDH("GILD US Equity","LOW_PRICE_TO_FREE_CASH_FLOW","FQ1 2024","FQ1 2024","Currency=USD","Period=FQ","BEST_FPERIOD_OVERRIDE=FQ","FILING_STATUS=MR","Sort=A","Dates=H","DateFormat=P","Fill=—","Direction=H","UseDPDF=Y")</f>
        <v>11.5717</v>
      </c>
      <c r="V34" s="14">
        <f>_xll.BDH("GILD US Equity","LOW_PRICE_TO_FREE_CASH_FLOW","FQ2 2024","FQ2 2024","Currency=USD","Period=FQ","BEST_FPERIOD_OVERRIDE=FQ","FILING_STATUS=MR","Sort=A","Dates=H","DateFormat=P","Fill=—","Direction=H","UseDPDF=Y")</f>
        <v>9.9762000000000004</v>
      </c>
      <c r="W34" s="14">
        <f>_xll.BDH("GILD US Equity","LOW_PRICE_TO_FREE_CASH_FLOW","FQ3 2024","FQ3 2024","Currency=USD","Period=FQ","BEST_FPERIOD_OVERRIDE=FQ","FILING_STATUS=MR","Sort=A","Dates=H","DateFormat=P","Fill=—","Direction=H","UseDPDF=Y")</f>
        <v>11.0875</v>
      </c>
      <c r="X34" s="14">
        <f>_xll.BDH("GILD US Equity","LOW_PRICE_TO_FREE_CASH_FLOW","FQ4 2024","FQ4 2024","Currency=USD","Period=FQ","BEST_FPERIOD_OVERRIDE=FQ","FILING_STATUS=MR","Sort=A","Dates=H","DateFormat=P","Fill=—","Direction=H","UseDPDF=Y")</f>
        <v>11.1007</v>
      </c>
      <c r="Y34" s="17"/>
      <c r="Z34" s="14"/>
      <c r="AA34" s="14"/>
    </row>
    <row r="35" spans="1:27" x14ac:dyDescent="0.25">
      <c r="A35" s="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21"/>
      <c r="Z35" s="18"/>
      <c r="AA35" s="18"/>
    </row>
    <row r="36" spans="1:27" x14ac:dyDescent="0.25">
      <c r="A36" s="6" t="s">
        <v>178</v>
      </c>
      <c r="B36" s="6" t="s">
        <v>179</v>
      </c>
      <c r="C36" s="20">
        <f>_xll.BDH("GILD US Equity","EV_TO_T12M_SALES","FQ3 2019","FQ3 2019","Currency=USD","Period=FQ","BEST_FPERIOD_OVERRIDE=FQ","FILING_STATUS=MR","FA_ADJUSTED=GAAP","Sort=A","Dates=H","DateFormat=P","Fill=—","Direction=H","UseDPDF=Y")</f>
        <v>3.6046999999999998</v>
      </c>
      <c r="D36" s="20">
        <f>_xll.BDH("GILD US Equity","EV_TO_T12M_SALES","FQ4 2019","FQ4 2019","Currency=USD","Period=FQ","BEST_FPERIOD_OVERRIDE=FQ","FILING_STATUS=MR","FA_ADJUSTED=GAAP","Sort=A","Dates=H","DateFormat=P","Fill=—","Direction=H","UseDPDF=Y")</f>
        <v>3.6467999999999998</v>
      </c>
      <c r="E36" s="20">
        <f>_xll.BDH("GILD US Equity","EV_TO_T12M_SALES","FQ1 2020","FQ1 2020","Currency=USD","Period=FQ","BEST_FPERIOD_OVERRIDE=FQ","FILING_STATUS=MR","FA_ADJUSTED=GAAP","Sort=A","Dates=H","DateFormat=P","Fill=—","Direction=H","UseDPDF=Y")</f>
        <v>4.1223999999999998</v>
      </c>
      <c r="F36" s="20">
        <f>_xll.BDH("GILD US Equity","EV_TO_T12M_SALES","FQ2 2020","FQ2 2020","Currency=USD","Period=FQ","BEST_FPERIOD_OVERRIDE=FQ","FILING_STATUS=MR","FA_ADJUSTED=GAAP","Sort=A","Dates=H","DateFormat=P","Fill=—","Direction=H","UseDPDF=Y")</f>
        <v>4.4877000000000002</v>
      </c>
      <c r="G36" s="20">
        <f>_xll.BDH("GILD US Equity","EV_TO_T12M_SALES","FQ3 2020","FQ3 2020","Currency=USD","Period=FQ","BEST_FPERIOD_OVERRIDE=FQ","FILING_STATUS=MR","FA_ADJUSTED=GAAP","Sort=A","Dates=H","DateFormat=P","Fill=—","Direction=H","UseDPDF=Y")</f>
        <v>3.5617999999999999</v>
      </c>
      <c r="H36" s="20">
        <f>_xll.BDH("GILD US Equity","EV_TO_T12M_SALES","FQ4 2020","FQ4 2020","Currency=USD","Period=FQ","BEST_FPERIOD_OVERRIDE=FQ","FILING_STATUS=MR","FA_ADJUSTED=GAAP","Sort=A","Dates=H","DateFormat=P","Fill=—","Direction=H","UseDPDF=Y")</f>
        <v>3.9403999999999999</v>
      </c>
      <c r="I36" s="20">
        <f>_xll.BDH("GILD US Equity","EV_TO_T12M_SALES","FQ1 2021","FQ1 2021","Currency=USD","Period=FQ","BEST_FPERIOD_OVERRIDE=FQ","FILING_STATUS=MR","FA_ADJUSTED=GAAP","Sort=A","Dates=H","DateFormat=P","Fill=—","Direction=H","UseDPDF=Y")</f>
        <v>4.1064999999999996</v>
      </c>
      <c r="J36" s="20">
        <f>_xll.BDH("GILD US Equity","EV_TO_T12M_SALES","FQ2 2021","FQ2 2021","Currency=USD","Period=FQ","BEST_FPERIOD_OVERRIDE=FQ","FILING_STATUS=MR","FA_ADJUSTED=GAAP","Sort=A","Dates=H","DateFormat=P","Fill=—","Direction=H","UseDPDF=Y")</f>
        <v>4.0983000000000001</v>
      </c>
      <c r="K36" s="20">
        <f>_xll.BDH("GILD US Equity","EV_TO_T12M_SALES","FQ3 2021","FQ3 2021","Currency=USD","Period=FQ","BEST_FPERIOD_OVERRIDE=FQ","FILING_STATUS=MR","FA_ADJUSTED=GAAP","Sort=A","Dates=H","DateFormat=P","Fill=—","Direction=H","UseDPDF=Y")</f>
        <v>3.9485000000000001</v>
      </c>
      <c r="L36" s="20">
        <f>_xll.BDH("GILD US Equity","EV_TO_T12M_SALES","FQ4 2021","FQ4 2021","Currency=USD","Period=FQ","BEST_FPERIOD_OVERRIDE=FQ","FILING_STATUS=MR","FA_ADJUSTED=GAAP","Sort=A","Dates=H","DateFormat=P","Fill=—","Direction=H","UseDPDF=Y")</f>
        <v>4.0469999999999997</v>
      </c>
      <c r="M36" s="20">
        <f>_xll.BDH("GILD US Equity","EV_TO_T12M_SALES","FQ1 2022","FQ1 2022","Currency=USD","Period=FQ","BEST_FPERIOD_OVERRIDE=FQ","FILING_STATUS=MR","FA_ADJUSTED=GAAP","Sort=A","Dates=H","DateFormat=P","Fill=—","Direction=H","UseDPDF=Y")</f>
        <v>3.4236</v>
      </c>
      <c r="N36" s="20">
        <f>_xll.BDH("GILD US Equity","EV_TO_T12M_SALES","FQ2 2022","FQ2 2022","Currency=USD","Period=FQ","BEST_FPERIOD_OVERRIDE=FQ","FILING_STATUS=MR","FA_ADJUSTED=GAAP","Sort=A","Dates=H","DateFormat=P","Fill=—","Direction=H","UseDPDF=Y")</f>
        <v>3.5146000000000002</v>
      </c>
      <c r="O36" s="20">
        <f>_xll.BDH("GILD US Equity","EV_TO_T12M_SALES","FQ3 2022","FQ3 2022","Currency=USD","Period=FQ","BEST_FPERIOD_OVERRIDE=FQ","FILING_STATUS=MR","FA_ADJUSTED=GAAP","Sort=A","Dates=H","DateFormat=P","Fill=—","Direction=H","UseDPDF=Y")</f>
        <v>3.5236000000000001</v>
      </c>
      <c r="P36" s="20">
        <f>_xll.BDH("GILD US Equity","EV_TO_T12M_SALES","FQ4 2022","FQ4 2022","Currency=USD","Period=FQ","BEST_FPERIOD_OVERRIDE=FQ","FILING_STATUS=MR","FA_ADJUSTED=GAAP","Sort=A","Dates=H","DateFormat=P","Fill=—","Direction=H","UseDPDF=Y")</f>
        <v>4.5892999999999997</v>
      </c>
      <c r="Q36" s="20">
        <f>_xll.BDH("GILD US Equity","EV_TO_T12M_SALES","FQ1 2023","FQ1 2023","Currency=USD","Period=FQ","BEST_FPERIOD_OVERRIDE=FQ","FILING_STATUS=MR","FA_ADJUSTED=GAAP","Sort=A","Dates=H","DateFormat=P","Fill=—","Direction=H","UseDPDF=Y")</f>
        <v>4.4939</v>
      </c>
      <c r="R36" s="20">
        <f>_xll.BDH("GILD US Equity","EV_TO_T12M_SALES","FQ2 2023","FQ2 2023","Currency=USD","Period=FQ","BEST_FPERIOD_OVERRIDE=FQ","FILING_STATUS=MR","FA_ADJUSTED=GAAP","Sort=A","Dates=H","DateFormat=P","Fill=—","Direction=H","UseDPDF=Y")</f>
        <v>4.1372999999999998</v>
      </c>
      <c r="S36" s="20">
        <f>_xll.BDH("GILD US Equity","EV_TO_T12M_SALES","FQ3 2023","FQ3 2023","Currency=USD","Period=FQ","BEST_FPERIOD_OVERRIDE=FQ","FILING_STATUS=MR","FA_ADJUSTED=GAAP","Sort=A","Dates=H","DateFormat=P","Fill=—","Direction=H","UseDPDF=Y")</f>
        <v>4.0282999999999998</v>
      </c>
      <c r="T36" s="20">
        <f>_xll.BDH("GILD US Equity","EV_TO_T12M_SALES","FQ4 2023","FQ4 2023","Currency=USD","Period=FQ","BEST_FPERIOD_OVERRIDE=FQ","FILING_STATUS=MR","FA_ADJUSTED=GAAP","Sort=A","Dates=H","DateFormat=P","Fill=—","Direction=H","UseDPDF=Y")</f>
        <v>4.3547000000000002</v>
      </c>
      <c r="U36" s="20">
        <f>_xll.BDH("GILD US Equity","EV_TO_T12M_SALES","FQ1 2024","FQ1 2024","Currency=USD","Period=FQ","BEST_FPERIOD_OVERRIDE=FQ","FILING_STATUS=MR","FA_ADJUSTED=GAAP","Sort=A","Dates=H","DateFormat=P","Fill=—","Direction=H","UseDPDF=Y")</f>
        <v>4.0677000000000003</v>
      </c>
      <c r="V36" s="20">
        <f>_xll.BDH("GILD US Equity","EV_TO_T12M_SALES","FQ2 2024","FQ2 2024","Currency=USD","Period=FQ","BEST_FPERIOD_OVERRIDE=FQ","FILING_STATUS=MR","FA_ADJUSTED=GAAP","Sort=A","Dates=H","DateFormat=P","Fill=—","Direction=H","UseDPDF=Y")</f>
        <v>3.8115999999999999</v>
      </c>
      <c r="W36" s="20">
        <f>_xll.BDH("GILD US Equity","EV_TO_T12M_SALES","FQ3 2024","FQ3 2024","Currency=USD","Period=FQ","BEST_FPERIOD_OVERRIDE=FQ","FILING_STATUS=MR","FA_ADJUSTED=GAAP","Sort=A","Dates=H","DateFormat=P","Fill=—","Direction=H","UseDPDF=Y")</f>
        <v>4.3319999999999999</v>
      </c>
      <c r="X36" s="20">
        <f>_xll.BDH("GILD US Equity","EV_TO_T12M_SALES","FQ4 2024","FQ4 2024","Currency=USD","Period=FQ","BEST_FPERIOD_OVERRIDE=FQ","FILING_STATUS=MR","FA_ADJUSTED=GAAP","Sort=A","Dates=H","DateFormat=P","Fill=—","Direction=H","UseDPDF=Y")</f>
        <v>4.6026999999999996</v>
      </c>
      <c r="Y36" s="23">
        <v>5.4390325560878496</v>
      </c>
      <c r="Z36" s="20">
        <v>5.45695183162844</v>
      </c>
      <c r="AA36" s="20">
        <v>5.4477737377299702</v>
      </c>
    </row>
    <row r="37" spans="1:27" x14ac:dyDescent="0.25">
      <c r="A37" s="10" t="s">
        <v>209</v>
      </c>
      <c r="B37" s="10" t="s">
        <v>240</v>
      </c>
      <c r="C37" s="14">
        <f>_xll.BDH("GILD US Equity","AVERAGE_EV_TO_T12M_SALES","FQ3 2019","FQ3 2019","Currency=USD","Period=FQ","BEST_FPERIOD_OVERRIDE=FQ","FILING_STATUS=MR","FA_ADJUSTED=GAAP","Sort=A","Dates=H","DateFormat=P","Fill=—","Direction=H","UseDPDF=Y")</f>
        <v>3.5558000000000001</v>
      </c>
      <c r="D37" s="14">
        <f>_xll.BDH("GILD US Equity","AVERAGE_EV_TO_T12M_SALES","FQ4 2019","FQ4 2019","Currency=USD","Period=FQ","BEST_FPERIOD_OVERRIDE=FQ","FILING_STATUS=MR","FA_ADJUSTED=GAAP","Sort=A","Dates=H","DateFormat=P","Fill=—","Direction=H","UseDPDF=Y")</f>
        <v>3.7014999999999998</v>
      </c>
      <c r="E37" s="14">
        <f>_xll.BDH("GILD US Equity","AVERAGE_EV_TO_T12M_SALES","FQ1 2020","FQ1 2020","Currency=USD","Period=FQ","BEST_FPERIOD_OVERRIDE=FQ","FILING_STATUS=MR","FA_ADJUSTED=GAAP","Sort=A","Dates=H","DateFormat=P","Fill=—","Direction=H","UseDPDF=Y")</f>
        <v>3.8738999999999999</v>
      </c>
      <c r="F37" s="14">
        <f>_xll.BDH("GILD US Equity","AVERAGE_EV_TO_T12M_SALES","FQ2 2020","FQ2 2020","Currency=USD","Period=FQ","BEST_FPERIOD_OVERRIDE=FQ","FILING_STATUS=MR","FA_ADJUSTED=GAAP","Sort=A","Dates=H","DateFormat=P","Fill=—","Direction=H","UseDPDF=Y")</f>
        <v>4.2363999999999997</v>
      </c>
      <c r="G37" s="14">
        <f>_xll.BDH("GILD US Equity","AVERAGE_EV_TO_T12M_SALES","FQ3 2020","FQ3 2020","Currency=USD","Period=FQ","BEST_FPERIOD_OVERRIDE=FQ","FILING_STATUS=MR","FA_ADJUSTED=GAAP","Sort=A","Dates=H","DateFormat=P","Fill=—","Direction=H","UseDPDF=Y")</f>
        <v>4.0559000000000003</v>
      </c>
      <c r="H37" s="14">
        <f>_xll.BDH("GILD US Equity","AVERAGE_EV_TO_T12M_SALES","FQ4 2020","FQ4 2020","Currency=USD","Period=FQ","BEST_FPERIOD_OVERRIDE=FQ","FILING_STATUS=MR","FA_ADJUSTED=GAAP","Sort=A","Dates=H","DateFormat=P","Fill=—","Direction=H","UseDPDF=Y")</f>
        <v>3.419</v>
      </c>
      <c r="I37" s="14">
        <f>_xll.BDH("GILD US Equity","AVERAGE_EV_TO_T12M_SALES","FQ1 2021","FQ1 2021","Currency=USD","Period=FQ","BEST_FPERIOD_OVERRIDE=FQ","FILING_STATUS=MR","FA_ADJUSTED=GAAP","Sort=A","Dates=H","DateFormat=P","Fill=—","Direction=H","UseDPDF=Y")</f>
        <v>4.2557</v>
      </c>
      <c r="J37" s="14">
        <f>_xll.BDH("GILD US Equity","AVERAGE_EV_TO_T12M_SALES","FQ2 2021","FQ2 2021","Currency=USD","Period=FQ","BEST_FPERIOD_OVERRIDE=FQ","FILING_STATUS=MR","FA_ADJUSTED=GAAP","Sort=A","Dates=H","DateFormat=P","Fill=—","Direction=H","UseDPDF=Y")</f>
        <v>4.2106000000000003</v>
      </c>
      <c r="K37" s="14">
        <f>_xll.BDH("GILD US Equity","AVERAGE_EV_TO_T12M_SALES","FQ3 2021","FQ3 2021","Currency=USD","Period=FQ","BEST_FPERIOD_OVERRIDE=FQ","FILING_STATUS=MR","FA_ADJUSTED=GAAP","Sort=A","Dates=H","DateFormat=P","Fill=—","Direction=H","UseDPDF=Y")</f>
        <v>4.1607000000000003</v>
      </c>
      <c r="L37" s="14">
        <f>_xll.BDH("GILD US Equity","AVERAGE_EV_TO_T12M_SALES","FQ4 2021","FQ4 2021","Currency=USD","Period=FQ","BEST_FPERIOD_OVERRIDE=FQ","FILING_STATUS=MR","FA_ADJUSTED=GAAP","Sort=A","Dates=H","DateFormat=P","Fill=—","Direction=H","UseDPDF=Y")</f>
        <v>3.9016999999999999</v>
      </c>
      <c r="M37" s="14">
        <f>_xll.BDH("GILD US Equity","AVERAGE_EV_TO_T12M_SALES","FQ1 2022","FQ1 2022","Currency=USD","Period=FQ","BEST_FPERIOD_OVERRIDE=FQ","FILING_STATUS=MR","FA_ADJUSTED=GAAP","Sort=A","Dates=H","DateFormat=P","Fill=—","Direction=H","UseDPDF=Y")</f>
        <v>3.6478999999999999</v>
      </c>
      <c r="N37" s="14">
        <f>_xll.BDH("GILD US Equity","AVERAGE_EV_TO_T12M_SALES","FQ2 2022","FQ2 2022","Currency=USD","Period=FQ","BEST_FPERIOD_OVERRIDE=FQ","FILING_STATUS=MR","FA_ADJUSTED=GAAP","Sort=A","Dates=H","DateFormat=P","Fill=—","Direction=H","UseDPDF=Y")</f>
        <v>3.5341</v>
      </c>
      <c r="O37" s="14">
        <f>_xll.BDH("GILD US Equity","AVERAGE_EV_TO_T12M_SALES","FQ3 2022","FQ3 2022","Currency=USD","Period=FQ","BEST_FPERIOD_OVERRIDE=FQ","FILING_STATUS=MR","FA_ADJUSTED=GAAP","Sort=A","Dates=H","DateFormat=P","Fill=—","Direction=H","UseDPDF=Y")</f>
        <v>3.5710999999999999</v>
      </c>
      <c r="P37" s="14">
        <f>_xll.BDH("GILD US Equity","AVERAGE_EV_TO_T12M_SALES","FQ4 2022","FQ4 2022","Currency=USD","Period=FQ","BEST_FPERIOD_OVERRIDE=FQ","FILING_STATUS=MR","FA_ADJUSTED=GAAP","Sort=A","Dates=H","DateFormat=P","Fill=—","Direction=H","UseDPDF=Y")</f>
        <v>4.3319000000000001</v>
      </c>
      <c r="Q37" s="14">
        <f>_xll.BDH("GILD US Equity","AVERAGE_EV_TO_T12M_SALES","FQ1 2023","FQ1 2023","Currency=USD","Period=FQ","BEST_FPERIOD_OVERRIDE=FQ","FILING_STATUS=MR","FA_ADJUSTED=GAAP","Sort=A","Dates=H","DateFormat=P","Fill=—","Direction=H","UseDPDF=Y")</f>
        <v>4.4645999999999999</v>
      </c>
      <c r="R37" s="14">
        <f>_xll.BDH("GILD US Equity","AVERAGE_EV_TO_T12M_SALES","FQ2 2023","FQ2 2023","Currency=USD","Period=FQ","BEST_FPERIOD_OVERRIDE=FQ","FILING_STATUS=MR","FA_ADJUSTED=GAAP","Sort=A","Dates=H","DateFormat=P","Fill=—","Direction=H","UseDPDF=Y")</f>
        <v>4.3463000000000003</v>
      </c>
      <c r="S37" s="14">
        <f>_xll.BDH("GILD US Equity","AVERAGE_EV_TO_T12M_SALES","FQ3 2023","FQ3 2023","Currency=USD","Period=FQ","BEST_FPERIOD_OVERRIDE=FQ","FILING_STATUS=MR","FA_ADJUSTED=GAAP","Sort=A","Dates=H","DateFormat=P","Fill=—","Direction=H","UseDPDF=Y")</f>
        <v>4.1302000000000003</v>
      </c>
      <c r="T37" s="14">
        <f>_xll.BDH("GILD US Equity","AVERAGE_EV_TO_T12M_SALES","FQ4 2023","FQ4 2023","Currency=USD","Period=FQ","BEST_FPERIOD_OVERRIDE=FQ","FILING_STATUS=MR","FA_ADJUSTED=GAAP","Sort=A","Dates=H","DateFormat=P","Fill=—","Direction=H","UseDPDF=Y")</f>
        <v>4.1574</v>
      </c>
      <c r="U37" s="14">
        <f>_xll.BDH("GILD US Equity","AVERAGE_EV_TO_T12M_SALES","FQ1 2024","FQ1 2024","Currency=USD","Period=FQ","BEST_FPERIOD_OVERRIDE=FQ","FILING_STATUS=MR","FA_ADJUSTED=GAAP","Sort=A","Dates=H","DateFormat=P","Fill=—","Direction=H","UseDPDF=Y")</f>
        <v>4.1664000000000003</v>
      </c>
      <c r="V37" s="14">
        <f>_xll.BDH("GILD US Equity","AVERAGE_EV_TO_T12M_SALES","FQ2 2024","FQ2 2024","Currency=USD","Period=FQ","BEST_FPERIOD_OVERRIDE=FQ","FILING_STATUS=MR","FA_ADJUSTED=GAAP","Sort=A","Dates=H","DateFormat=P","Fill=—","Direction=H","UseDPDF=Y")</f>
        <v>3.7719999999999998</v>
      </c>
      <c r="W37" s="14">
        <f>_xll.BDH("GILD US Equity","AVERAGE_EV_TO_T12M_SALES","FQ3 2024","FQ3 2024","Currency=USD","Period=FQ","BEST_FPERIOD_OVERRIDE=FQ","FILING_STATUS=MR","FA_ADJUSTED=GAAP","Sort=A","Dates=H","DateFormat=P","Fill=—","Direction=H","UseDPDF=Y")</f>
        <v>4.1520999999999999</v>
      </c>
      <c r="X37" s="14">
        <f>_xll.BDH("GILD US Equity","AVERAGE_EV_TO_T12M_SALES","FQ4 2024","FQ4 2024","Currency=USD","Period=FQ","BEST_FPERIOD_OVERRIDE=FQ","FILING_STATUS=MR","FA_ADJUSTED=GAAP","Sort=A","Dates=H","DateFormat=P","Fill=—","Direction=H","UseDPDF=Y")</f>
        <v>4.6022999999999996</v>
      </c>
      <c r="Y37" s="17"/>
      <c r="Z37" s="14"/>
      <c r="AA37" s="14"/>
    </row>
    <row r="38" spans="1:27" x14ac:dyDescent="0.25">
      <c r="A38" s="10" t="s">
        <v>211</v>
      </c>
      <c r="B38" s="10" t="s">
        <v>241</v>
      </c>
      <c r="C38" s="14">
        <f>_xll.BDH("GILD US Equity","HIGH_EV_TO_T12M_SALES","FQ3 2019","FQ3 2019","Currency=USD","Period=FQ","BEST_FPERIOD_OVERRIDE=FQ","FILING_STATUS=MR","FA_ADJUSTED=GAAP","Sort=A","Dates=H","DateFormat=P","Fill=—","Direction=H","UseDPDF=Y")</f>
        <v>3.7694999999999999</v>
      </c>
      <c r="D38" s="14">
        <f>_xll.BDH("GILD US Equity","HIGH_EV_TO_T12M_SALES","FQ4 2019","FQ4 2019","Currency=USD","Period=FQ","BEST_FPERIOD_OVERRIDE=FQ","FILING_STATUS=MR","FA_ADJUSTED=GAAP","Sort=A","Dates=H","DateFormat=P","Fill=—","Direction=H","UseDPDF=Y")</f>
        <v>3.8512</v>
      </c>
      <c r="E38" s="14">
        <f>_xll.BDH("GILD US Equity","HIGH_EV_TO_T12M_SALES","FQ1 2020","FQ1 2020","Currency=USD","Period=FQ","BEST_FPERIOD_OVERRIDE=FQ","FILING_STATUS=MR","FA_ADJUSTED=GAAP","Sort=A","Dates=H","DateFormat=P","Fill=—","Direction=H","UseDPDF=Y")</f>
        <v>4.4977999999999998</v>
      </c>
      <c r="F38" s="14">
        <f>_xll.BDH("GILD US Equity","HIGH_EV_TO_T12M_SALES","FQ2 2020","FQ2 2020","Currency=USD","Period=FQ","BEST_FPERIOD_OVERRIDE=FQ","FILING_STATUS=MR","FA_ADJUSTED=GAAP","Sort=A","Dates=H","DateFormat=P","Fill=—","Direction=H","UseDPDF=Y")</f>
        <v>4.6509999999999998</v>
      </c>
      <c r="G38" s="14">
        <f>_xll.BDH("GILD US Equity","HIGH_EV_TO_T12M_SALES","FQ3 2020","FQ3 2020","Currency=USD","Period=FQ","BEST_FPERIOD_OVERRIDE=FQ","FILING_STATUS=MR","FA_ADJUSTED=GAAP","Sort=A","Dates=H","DateFormat=P","Fill=—","Direction=H","UseDPDF=Y")</f>
        <v>4.5534999999999997</v>
      </c>
      <c r="H38" s="14">
        <f>_xll.BDH("GILD US Equity","HIGH_EV_TO_T12M_SALES","FQ4 2020","FQ4 2020","Currency=USD","Period=FQ","BEST_FPERIOD_OVERRIDE=FQ","FILING_STATUS=MR","FA_ADJUSTED=GAAP","Sort=A","Dates=H","DateFormat=P","Fill=—","Direction=H","UseDPDF=Y")</f>
        <v>3.9392999999999998</v>
      </c>
      <c r="I38" s="14">
        <f>_xll.BDH("GILD US Equity","HIGH_EV_TO_T12M_SALES","FQ1 2021","FQ1 2021","Currency=USD","Period=FQ","BEST_FPERIOD_OVERRIDE=FQ","FILING_STATUS=MR","FA_ADJUSTED=GAAP","Sort=A","Dates=H","DateFormat=P","Fill=—","Direction=H","UseDPDF=Y")</f>
        <v>4.4570999999999996</v>
      </c>
      <c r="J38" s="14">
        <f>_xll.BDH("GILD US Equity","HIGH_EV_TO_T12M_SALES","FQ2 2021","FQ2 2021","Currency=USD","Period=FQ","BEST_FPERIOD_OVERRIDE=FQ","FILING_STATUS=MR","FA_ADJUSTED=GAAP","Sort=A","Dates=H","DateFormat=P","Fill=—","Direction=H","UseDPDF=Y")</f>
        <v>4.3384999999999998</v>
      </c>
      <c r="K38" s="14">
        <f>_xll.BDH("GILD US Equity","HIGH_EV_TO_T12M_SALES","FQ3 2021","FQ3 2021","Currency=USD","Period=FQ","BEST_FPERIOD_OVERRIDE=FQ","FILING_STATUS=MR","FA_ADJUSTED=GAAP","Sort=A","Dates=H","DateFormat=P","Fill=—","Direction=H","UseDPDF=Y")</f>
        <v>4.2941000000000003</v>
      </c>
      <c r="L38" s="14">
        <f>_xll.BDH("GILD US Equity","HIGH_EV_TO_T12M_SALES","FQ4 2021","FQ4 2021","Currency=USD","Period=FQ","BEST_FPERIOD_OVERRIDE=FQ","FILING_STATUS=MR","FA_ADJUSTED=GAAP","Sort=A","Dates=H","DateFormat=P","Fill=—","Direction=H","UseDPDF=Y")</f>
        <v>4.1199000000000003</v>
      </c>
      <c r="M38" s="14">
        <f>_xll.BDH("GILD US Equity","HIGH_EV_TO_T12M_SALES","FQ1 2022","FQ1 2022","Currency=USD","Period=FQ","BEST_FPERIOD_OVERRIDE=FQ","FILING_STATUS=MR","FA_ADJUSTED=GAAP","Sort=A","Dates=H","DateFormat=P","Fill=—","Direction=H","UseDPDF=Y")</f>
        <v>4.0467000000000004</v>
      </c>
      <c r="N38" s="14">
        <f>_xll.BDH("GILD US Equity","HIGH_EV_TO_T12M_SALES","FQ2 2022","FQ2 2022","Currency=USD","Period=FQ","BEST_FPERIOD_OVERRIDE=FQ","FILING_STATUS=MR","FA_ADJUSTED=GAAP","Sort=A","Dates=H","DateFormat=P","Fill=—","Direction=H","UseDPDF=Y")</f>
        <v>3.6760000000000002</v>
      </c>
      <c r="O38" s="14">
        <f>_xll.BDH("GILD US Equity","HIGH_EV_TO_T12M_SALES","FQ3 2022","FQ3 2022","Currency=USD","Period=FQ","BEST_FPERIOD_OVERRIDE=FQ","FILING_STATUS=MR","FA_ADJUSTED=GAAP","Sort=A","Dates=H","DateFormat=P","Fill=—","Direction=H","UseDPDF=Y")</f>
        <v>3.7955999999999999</v>
      </c>
      <c r="P38" s="14">
        <f>_xll.BDH("GILD US Equity","HIGH_EV_TO_T12M_SALES","FQ4 2022","FQ4 2022","Currency=USD","Period=FQ","BEST_FPERIOD_OVERRIDE=FQ","FILING_STATUS=MR","FA_ADJUSTED=GAAP","Sort=A","Dates=H","DateFormat=P","Fill=—","Direction=H","UseDPDF=Y")</f>
        <v>4.8082000000000003</v>
      </c>
      <c r="Q38" s="14">
        <f>_xll.BDH("GILD US Equity","HIGH_EV_TO_T12M_SALES","FQ1 2023","FQ1 2023","Currency=USD","Period=FQ","BEST_FPERIOD_OVERRIDE=FQ","FILING_STATUS=MR","FA_ADJUSTED=GAAP","Sort=A","Dates=H","DateFormat=P","Fill=—","Direction=H","UseDPDF=Y")</f>
        <v>4.7146999999999997</v>
      </c>
      <c r="R38" s="14">
        <f>_xll.BDH("GILD US Equity","HIGH_EV_TO_T12M_SALES","FQ2 2023","FQ2 2023","Currency=USD","Period=FQ","BEST_FPERIOD_OVERRIDE=FQ","FILING_STATUS=MR","FA_ADJUSTED=GAAP","Sort=A","Dates=H","DateFormat=P","Fill=—","Direction=H","UseDPDF=Y")</f>
        <v>4.6687000000000003</v>
      </c>
      <c r="S38" s="14">
        <f>_xll.BDH("GILD US Equity","HIGH_EV_TO_T12M_SALES","FQ3 2023","FQ3 2023","Currency=USD","Period=FQ","BEST_FPERIOD_OVERRIDE=FQ","FILING_STATUS=MR","FA_ADJUSTED=GAAP","Sort=A","Dates=H","DateFormat=P","Fill=—","Direction=H","UseDPDF=Y")</f>
        <v>4.3052000000000001</v>
      </c>
      <c r="T38" s="14">
        <f>_xll.BDH("GILD US Equity","HIGH_EV_TO_T12M_SALES","FQ4 2023","FQ4 2023","Currency=USD","Period=FQ","BEST_FPERIOD_OVERRIDE=FQ","FILING_STATUS=MR","FA_ADJUSTED=GAAP","Sort=A","Dates=H","DateFormat=P","Fill=—","Direction=H","UseDPDF=Y")</f>
        <v>4.3964999999999996</v>
      </c>
      <c r="U38" s="14">
        <f>_xll.BDH("GILD US Equity","HIGH_EV_TO_T12M_SALES","FQ1 2024","FQ1 2024","Currency=USD","Period=FQ","BEST_FPERIOD_OVERRIDE=FQ","FILING_STATUS=MR","FA_ADJUSTED=GAAP","Sort=A","Dates=H","DateFormat=P","Fill=—","Direction=H","UseDPDF=Y")</f>
        <v>4.6433999999999997</v>
      </c>
      <c r="V38" s="14">
        <f>_xll.BDH("GILD US Equity","HIGH_EV_TO_T12M_SALES","FQ2 2024","FQ2 2024","Currency=USD","Period=FQ","BEST_FPERIOD_OVERRIDE=FQ","FILING_STATUS=MR","FA_ADJUSTED=GAAP","Sort=A","Dates=H","DateFormat=P","Fill=—","Direction=H","UseDPDF=Y")</f>
        <v>4.0533999999999999</v>
      </c>
      <c r="W38" s="14">
        <f>_xll.BDH("GILD US Equity","HIGH_EV_TO_T12M_SALES","FQ3 2024","FQ3 2024","Currency=USD","Period=FQ","BEST_FPERIOD_OVERRIDE=FQ","FILING_STATUS=MR","FA_ADJUSTED=GAAP","Sort=A","Dates=H","DateFormat=P","Fill=—","Direction=H","UseDPDF=Y")</f>
        <v>4.4977999999999998</v>
      </c>
      <c r="X38" s="14">
        <f>_xll.BDH("GILD US Equity","HIGH_EV_TO_T12M_SALES","FQ4 2024","FQ4 2024","Currency=USD","Period=FQ","BEST_FPERIOD_OVERRIDE=FQ","FILING_STATUS=MR","FA_ADJUSTED=GAAP","Sort=A","Dates=H","DateFormat=P","Fill=—","Direction=H","UseDPDF=Y")</f>
        <v>4.9476000000000004</v>
      </c>
      <c r="Y38" s="17"/>
      <c r="Z38" s="14"/>
      <c r="AA38" s="14"/>
    </row>
    <row r="39" spans="1:27" x14ac:dyDescent="0.25">
      <c r="A39" s="10" t="s">
        <v>213</v>
      </c>
      <c r="B39" s="10" t="s">
        <v>242</v>
      </c>
      <c r="C39" s="14">
        <f>_xll.BDH("GILD US Equity","LOW_EV_TO_T12M_SALES","FQ3 2019","FQ3 2019","Currency=USD","Period=FQ","BEST_FPERIOD_OVERRIDE=FQ","FILING_STATUS=MR","FA_ADJUSTED=GAAP","Sort=A","Dates=H","DateFormat=P","Fill=—","Direction=H","UseDPDF=Y")</f>
        <v>3.3860999999999999</v>
      </c>
      <c r="D39" s="14">
        <f>_xll.BDH("GILD US Equity","LOW_EV_TO_T12M_SALES","FQ4 2019","FQ4 2019","Currency=USD","Period=FQ","BEST_FPERIOD_OVERRIDE=FQ","FILING_STATUS=MR","FA_ADJUSTED=GAAP","Sort=A","Dates=H","DateFormat=P","Fill=—","Direction=H","UseDPDF=Y")</f>
        <v>3.5064000000000002</v>
      </c>
      <c r="E39" s="14">
        <f>_xll.BDH("GILD US Equity","LOW_EV_TO_T12M_SALES","FQ1 2020","FQ1 2020","Currency=USD","Period=FQ","BEST_FPERIOD_OVERRIDE=FQ","FILING_STATUS=MR","FA_ADJUSTED=GAAP","Sort=A","Dates=H","DateFormat=P","Fill=—","Direction=H","UseDPDF=Y")</f>
        <v>3.5118999999999998</v>
      </c>
      <c r="F39" s="14">
        <f>_xll.BDH("GILD US Equity","LOW_EV_TO_T12M_SALES","FQ2 2020","FQ2 2020","Currency=USD","Period=FQ","BEST_FPERIOD_OVERRIDE=FQ","FILING_STATUS=MR","FA_ADJUSTED=GAAP","Sort=A","Dates=H","DateFormat=P","Fill=—","Direction=H","UseDPDF=Y")</f>
        <v>3.99</v>
      </c>
      <c r="G39" s="14">
        <f>_xll.BDH("GILD US Equity","LOW_EV_TO_T12M_SALES","FQ3 2020","FQ3 2020","Currency=USD","Period=FQ","BEST_FPERIOD_OVERRIDE=FQ","FILING_STATUS=MR","FA_ADJUSTED=GAAP","Sort=A","Dates=H","DateFormat=P","Fill=—","Direction=H","UseDPDF=Y")</f>
        <v>3.5636999999999999</v>
      </c>
      <c r="H39" s="14">
        <f>_xll.BDH("GILD US Equity","LOW_EV_TO_T12M_SALES","FQ4 2020","FQ4 2020","Currency=USD","Period=FQ","BEST_FPERIOD_OVERRIDE=FQ","FILING_STATUS=MR","FA_ADJUSTED=GAAP","Sort=A","Dates=H","DateFormat=P","Fill=—","Direction=H","UseDPDF=Y")</f>
        <v>3.2090000000000001</v>
      </c>
      <c r="I39" s="14">
        <f>_xll.BDH("GILD US Equity","LOW_EV_TO_T12M_SALES","FQ1 2021","FQ1 2021","Currency=USD","Period=FQ","BEST_FPERIOD_OVERRIDE=FQ","FILING_STATUS=MR","FA_ADJUSTED=GAAP","Sort=A","Dates=H","DateFormat=P","Fill=—","Direction=H","UseDPDF=Y")</f>
        <v>4.0275999999999996</v>
      </c>
      <c r="J39" s="14">
        <f>_xll.BDH("GILD US Equity","LOW_EV_TO_T12M_SALES","FQ2 2021","FQ2 2021","Currency=USD","Period=FQ","BEST_FPERIOD_OVERRIDE=FQ","FILING_STATUS=MR","FA_ADJUSTED=GAAP","Sort=A","Dates=H","DateFormat=P","Fill=—","Direction=H","UseDPDF=Y")</f>
        <v>4.0495999999999999</v>
      </c>
      <c r="K39" s="14">
        <f>_xll.BDH("GILD US Equity","LOW_EV_TO_T12M_SALES","FQ3 2021","FQ3 2021","Currency=USD","Period=FQ","BEST_FPERIOD_OVERRIDE=FQ","FILING_STATUS=MR","FA_ADJUSTED=GAAP","Sort=A","Dates=H","DateFormat=P","Fill=—","Direction=H","UseDPDF=Y")</f>
        <v>3.9453999999999998</v>
      </c>
      <c r="L39" s="14">
        <f>_xll.BDH("GILD US Equity","LOW_EV_TO_T12M_SALES","FQ4 2021","FQ4 2021","Currency=USD","Period=FQ","BEST_FPERIOD_OVERRIDE=FQ","FILING_STATUS=MR","FA_ADJUSTED=GAAP","Sort=A","Dates=H","DateFormat=P","Fill=—","Direction=H","UseDPDF=Y")</f>
        <v>3.7214999999999998</v>
      </c>
      <c r="M39" s="14">
        <f>_xll.BDH("GILD US Equity","LOW_EV_TO_T12M_SALES","FQ1 2022","FQ1 2022","Currency=USD","Period=FQ","BEST_FPERIOD_OVERRIDE=FQ","FILING_STATUS=MR","FA_ADJUSTED=GAAP","Sort=A","Dates=H","DateFormat=P","Fill=—","Direction=H","UseDPDF=Y")</f>
        <v>3.3721000000000001</v>
      </c>
      <c r="N39" s="14">
        <f>_xll.BDH("GILD US Equity","LOW_EV_TO_T12M_SALES","FQ2 2022","FQ2 2022","Currency=USD","Period=FQ","BEST_FPERIOD_OVERRIDE=FQ","FILING_STATUS=MR","FA_ADJUSTED=GAAP","Sort=A","Dates=H","DateFormat=P","Fill=—","Direction=H","UseDPDF=Y")</f>
        <v>3.3431000000000002</v>
      </c>
      <c r="O39" s="14">
        <f>_xll.BDH("GILD US Equity","LOW_EV_TO_T12M_SALES","FQ3 2022","FQ3 2022","Currency=USD","Period=FQ","BEST_FPERIOD_OVERRIDE=FQ","FILING_STATUS=MR","FA_ADJUSTED=GAAP","Sort=A","Dates=H","DateFormat=P","Fill=—","Direction=H","UseDPDF=Y")</f>
        <v>3.4117999999999999</v>
      </c>
      <c r="P39" s="14">
        <f>_xll.BDH("GILD US Equity","LOW_EV_TO_T12M_SALES","FQ4 2022","FQ4 2022","Currency=USD","Period=FQ","BEST_FPERIOD_OVERRIDE=FQ","FILING_STATUS=MR","FA_ADJUSTED=GAAP","Sort=A","Dates=H","DateFormat=P","Fill=—","Direction=H","UseDPDF=Y")</f>
        <v>3.5512999999999999</v>
      </c>
      <c r="Q39" s="14">
        <f>_xll.BDH("GILD US Equity","LOW_EV_TO_T12M_SALES","FQ1 2023","FQ1 2023","Currency=USD","Period=FQ","BEST_FPERIOD_OVERRIDE=FQ","FILING_STATUS=MR","FA_ADJUSTED=GAAP","Sort=A","Dates=H","DateFormat=P","Fill=—","Direction=H","UseDPDF=Y")</f>
        <v>4.1993</v>
      </c>
      <c r="R39" s="14">
        <f>_xll.BDH("GILD US Equity","LOW_EV_TO_T12M_SALES","FQ2 2023","FQ2 2023","Currency=USD","Period=FQ","BEST_FPERIOD_OVERRIDE=FQ","FILING_STATUS=MR","FA_ADJUSTED=GAAP","Sort=A","Dates=H","DateFormat=P","Fill=—","Direction=H","UseDPDF=Y")</f>
        <v>4.1424000000000003</v>
      </c>
      <c r="S39" s="14">
        <f>_xll.BDH("GILD US Equity","LOW_EV_TO_T12M_SALES","FQ3 2023","FQ3 2023","Currency=USD","Period=FQ","BEST_FPERIOD_OVERRIDE=FQ","FILING_STATUS=MR","FA_ADJUSTED=GAAP","Sort=A","Dates=H","DateFormat=P","Fill=—","Direction=H","UseDPDF=Y")</f>
        <v>3.9921000000000002</v>
      </c>
      <c r="T39" s="14">
        <f>_xll.BDH("GILD US Equity","LOW_EV_TO_T12M_SALES","FQ4 2023","FQ4 2023","Currency=USD","Period=FQ","BEST_FPERIOD_OVERRIDE=FQ","FILING_STATUS=MR","FA_ADJUSTED=GAAP","Sort=A","Dates=H","DateFormat=P","Fill=—","Direction=H","UseDPDF=Y")</f>
        <v>3.9497</v>
      </c>
      <c r="U39" s="14">
        <f>_xll.BDH("GILD US Equity","LOW_EV_TO_T12M_SALES","FQ1 2024","FQ1 2024","Currency=USD","Period=FQ","BEST_FPERIOD_OVERRIDE=FQ","FILING_STATUS=MR","FA_ADJUSTED=GAAP","Sort=A","Dates=H","DateFormat=P","Fill=—","Direction=H","UseDPDF=Y")</f>
        <v>3.9215</v>
      </c>
      <c r="V39" s="14">
        <f>_xll.BDH("GILD US Equity","LOW_EV_TO_T12M_SALES","FQ2 2024","FQ2 2024","Currency=USD","Period=FQ","BEST_FPERIOD_OVERRIDE=FQ","FILING_STATUS=MR","FA_ADJUSTED=GAAP","Sort=A","Dates=H","DateFormat=P","Fill=—","Direction=H","UseDPDF=Y")</f>
        <v>3.6089000000000002</v>
      </c>
      <c r="W39" s="14">
        <f>_xll.BDH("GILD US Equity","LOW_EV_TO_T12M_SALES","FQ3 2024","FQ3 2024","Currency=USD","Period=FQ","BEST_FPERIOD_OVERRIDE=FQ","FILING_STATUS=MR","FA_ADJUSTED=GAAP","Sort=A","Dates=H","DateFormat=P","Fill=—","Direction=H","UseDPDF=Y")</f>
        <v>3.7206999999999999</v>
      </c>
      <c r="X39" s="14">
        <f>_xll.BDH("GILD US Equity","LOW_EV_TO_T12M_SALES","FQ4 2024","FQ4 2024","Currency=USD","Period=FQ","BEST_FPERIOD_OVERRIDE=FQ","FILING_STATUS=MR","FA_ADJUSTED=GAAP","Sort=A","Dates=H","DateFormat=P","Fill=—","Direction=H","UseDPDF=Y")</f>
        <v>4.3334999999999999</v>
      </c>
      <c r="Y39" s="17"/>
      <c r="Z39" s="14"/>
      <c r="AA39" s="14"/>
    </row>
    <row r="40" spans="1:27" x14ac:dyDescent="0.25">
      <c r="A40" s="6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21"/>
      <c r="Z40" s="18"/>
      <c r="AA40" s="18"/>
    </row>
    <row r="41" spans="1:27" x14ac:dyDescent="0.25">
      <c r="A41" s="6" t="s">
        <v>180</v>
      </c>
      <c r="B41" s="6" t="s">
        <v>181</v>
      </c>
      <c r="C41" s="20">
        <f>_xll.BDH("GILD US Equity","EV_TO_T12M_EBITDA","FQ3 2019","FQ3 2019","Currency=USD","Period=FQ","BEST_FPERIOD_OVERRIDE=FQ","FILING_STATUS=MR","FA_ADJUSTED=GAAP","Sort=A","Dates=H","DateFormat=P","Fill=—","Direction=H","UseDPDF=Y")</f>
        <v>13.647500000000001</v>
      </c>
      <c r="D41" s="20">
        <f>_xll.BDH("GILD US Equity","EV_TO_T12M_EBITDA","FQ4 2019","FQ4 2019","Currency=USD","Period=FQ","BEST_FPERIOD_OVERRIDE=FQ","FILING_STATUS=MR","FA_ADJUSTED=GAAP","Sort=A","Dates=H","DateFormat=P","Fill=—","Direction=H","UseDPDF=Y")</f>
        <v>13.987299999999999</v>
      </c>
      <c r="E41" s="20">
        <f>_xll.BDH("GILD US Equity","EV_TO_T12M_EBITDA","FQ1 2020","FQ1 2020","Currency=USD","Period=FQ","BEST_FPERIOD_OVERRIDE=FQ","FILING_STATUS=MR","FA_ADJUSTED=GAAP","Sort=A","Dates=H","DateFormat=P","Fill=—","Direction=H","UseDPDF=Y")</f>
        <v>15.6805</v>
      </c>
      <c r="F41" s="20">
        <f>_xll.BDH("GILD US Equity","EV_TO_T12M_EBITDA","FQ2 2020","FQ2 2020","Currency=USD","Period=FQ","BEST_FPERIOD_OVERRIDE=FQ","FILING_STATUS=MR","FA_ADJUSTED=GAAP","Sort=A","Dates=H","DateFormat=P","Fill=—","Direction=H","UseDPDF=Y")</f>
        <v>190.6317</v>
      </c>
      <c r="G41" s="20">
        <f>_xll.BDH("GILD US Equity","EV_TO_T12M_EBITDA","FQ3 2020","FQ3 2020","Currency=USD","Period=FQ","BEST_FPERIOD_OVERRIDE=FQ","FILING_STATUS=MR","FA_ADJUSTED=GAAP","Sort=A","Dates=H","DateFormat=P","Fill=—","Direction=H","UseDPDF=Y")</f>
        <v>20.819199999999999</v>
      </c>
      <c r="H41" s="20">
        <f>_xll.BDH("GILD US Equity","EV_TO_T12M_EBITDA","FQ4 2020","FQ4 2020","Currency=USD","Period=FQ","BEST_FPERIOD_OVERRIDE=FQ","FILING_STATUS=MR","FA_ADJUSTED=GAAP","Sort=A","Dates=H","DateFormat=P","Fill=—","Direction=H","UseDPDF=Y")</f>
        <v>17.525500000000001</v>
      </c>
      <c r="I41" s="20">
        <f>_xll.BDH("GILD US Equity","EV_TO_T12M_EBITDA","FQ1 2021","FQ1 2021","Currency=USD","Period=FQ","BEST_FPERIOD_OVERRIDE=FQ","FILING_STATUS=MR","FA_ADJUSTED=GAAP","Sort=A","Dates=H","DateFormat=P","Fill=—","Direction=H","UseDPDF=Y")</f>
        <v>17.033799999999999</v>
      </c>
      <c r="J41" s="20">
        <f>_xll.BDH("GILD US Equity","EV_TO_T12M_EBITDA","FQ2 2021","FQ2 2021","Currency=USD","Period=FQ","BEST_FPERIOD_OVERRIDE=FQ","FILING_STATUS=MR","FA_ADJUSTED=GAAP","Sort=A","Dates=H","DateFormat=P","Fill=—","Direction=H","UseDPDF=Y")</f>
        <v>9.4422999999999995</v>
      </c>
      <c r="K41" s="20">
        <f>_xll.BDH("GILD US Equity","EV_TO_T12M_EBITDA","FQ3 2021","FQ3 2021","Currency=USD","Period=FQ","BEST_FPERIOD_OVERRIDE=FQ","FILING_STATUS=MR","FA_ADJUSTED=GAAP","Sort=A","Dates=H","DateFormat=P","Fill=—","Direction=H","UseDPDF=Y")</f>
        <v>7.9958999999999998</v>
      </c>
      <c r="L41" s="20">
        <f>_xll.BDH("GILD US Equity","EV_TO_T12M_EBITDA","FQ4 2021","FQ4 2021","Currency=USD","Period=FQ","BEST_FPERIOD_OVERRIDE=FQ","FILING_STATUS=MR","FA_ADJUSTED=GAAP","Sort=A","Dates=H","DateFormat=P","Fill=—","Direction=H","UseDPDF=Y")</f>
        <v>9.2332999999999998</v>
      </c>
      <c r="M41" s="20">
        <f>_xll.BDH("GILD US Equity","EV_TO_T12M_EBITDA","FQ1 2022","FQ1 2022","Currency=USD","Period=FQ","BEST_FPERIOD_OVERRIDE=FQ","FILING_STATUS=MR","FA_ADJUSTED=GAAP","Sort=A","Dates=H","DateFormat=P","Fill=—","Direction=H","UseDPDF=Y")</f>
        <v>10.084</v>
      </c>
      <c r="N41" s="20">
        <f>_xll.BDH("GILD US Equity","EV_TO_T12M_EBITDA","FQ2 2022","FQ2 2022","Currency=USD","Period=FQ","BEST_FPERIOD_OVERRIDE=FQ","FILING_STATUS=MR","FA_ADJUSTED=GAAP","Sort=A","Dates=H","DateFormat=P","Fill=—","Direction=H","UseDPDF=Y")</f>
        <v>10.6082</v>
      </c>
      <c r="O41" s="20">
        <f>_xll.BDH("GILD US Equity","EV_TO_T12M_EBITDA","FQ3 2022","FQ3 2022","Currency=USD","Period=FQ","BEST_FPERIOD_OVERRIDE=FQ","FILING_STATUS=MR","FA_ADJUSTED=GAAP","Sort=A","Dates=H","DateFormat=P","Fill=—","Direction=H","UseDPDF=Y")</f>
        <v>11.785600000000001</v>
      </c>
      <c r="P41" s="20">
        <f>_xll.BDH("GILD US Equity","EV_TO_T12M_EBITDA","FQ4 2022","FQ4 2022","Currency=USD","Period=FQ","BEST_FPERIOD_OVERRIDE=FQ","FILING_STATUS=MR","FA_ADJUSTED=GAAP","Sort=A","Dates=H","DateFormat=P","Fill=—","Direction=H","UseDPDF=Y")</f>
        <v>13.2728</v>
      </c>
      <c r="Q41" s="20">
        <f>_xll.BDH("GILD US Equity","EV_TO_T12M_EBITDA","FQ1 2023","FQ1 2023","Currency=USD","Period=FQ","BEST_FPERIOD_OVERRIDE=FQ","FILING_STATUS=MR","FA_ADJUSTED=GAAP","Sort=A","Dates=H","DateFormat=P","Fill=—","Direction=H","UseDPDF=Y")</f>
        <v>10.992100000000001</v>
      </c>
      <c r="R41" s="20">
        <f>_xll.BDH("GILD US Equity","EV_TO_T12M_EBITDA","FQ2 2023","FQ2 2023","Currency=USD","Period=FQ","BEST_FPERIOD_OVERRIDE=FQ","FILING_STATUS=MR","FA_ADJUSTED=GAAP","Sort=A","Dates=H","DateFormat=P","Fill=—","Direction=H","UseDPDF=Y")</f>
        <v>10.443099999999999</v>
      </c>
      <c r="S41" s="20">
        <f>_xll.BDH("GILD US Equity","EV_TO_T12M_EBITDA","FQ3 2023","FQ3 2023","Currency=USD","Period=FQ","BEST_FPERIOD_OVERRIDE=FQ","FILING_STATUS=MR","FA_ADJUSTED=GAAP","Sort=A","Dates=H","DateFormat=P","Fill=—","Direction=H","UseDPDF=Y")</f>
        <v>10.2233</v>
      </c>
      <c r="T41" s="20">
        <f>_xll.BDH("GILD US Equity","EV_TO_T12M_EBITDA","FQ4 2023","FQ4 2023","Currency=USD","Period=FQ","BEST_FPERIOD_OVERRIDE=FQ","FILING_STATUS=MR","FA_ADJUSTED=GAAP","Sort=A","Dates=H","DateFormat=P","Fill=—","Direction=H","UseDPDF=Y")</f>
        <v>11.466799999999999</v>
      </c>
      <c r="U41" s="20">
        <f>_xll.BDH("GILD US Equity","EV_TO_T12M_EBITDA","FQ1 2024","FQ1 2024","Currency=USD","Period=FQ","BEST_FPERIOD_OVERRIDE=FQ","FILING_STATUS=MR","FA_ADJUSTED=GAAP","Sort=A","Dates=H","DateFormat=P","Fill=—","Direction=H","UseDPDF=Y")</f>
        <v>25.8416</v>
      </c>
      <c r="V41" s="20">
        <f>_xll.BDH("GILD US Equity","EV_TO_T12M_EBITDA","FQ2 2024","FQ2 2024","Currency=USD","Period=FQ","BEST_FPERIOD_OVERRIDE=FQ","FILING_STATUS=MR","FA_ADJUSTED=GAAP","Sort=A","Dates=H","DateFormat=P","Fill=—","Direction=H","UseDPDF=Y")</f>
        <v>19.947700000000001</v>
      </c>
      <c r="W41" s="20">
        <f>_xll.BDH("GILD US Equity","EV_TO_T12M_EBITDA","FQ3 2024","FQ3 2024","Currency=USD","Period=FQ","BEST_FPERIOD_OVERRIDE=FQ","FILING_STATUS=MR","FA_ADJUSTED=GAAP","Sort=A","Dates=H","DateFormat=P","Fill=—","Direction=H","UseDPDF=Y")</f>
        <v>34.205500000000001</v>
      </c>
      <c r="X41" s="20">
        <f>_xll.BDH("GILD US Equity","EV_TO_T12M_EBITDA","FQ4 2024","FQ4 2024","Currency=USD","Period=FQ","BEST_FPERIOD_OVERRIDE=FQ","FILING_STATUS=MR","FA_ADJUSTED=GAAP","Sort=A","Dates=H","DateFormat=P","Fill=—","Direction=H","UseDPDF=Y")</f>
        <v>29.8871</v>
      </c>
      <c r="Y41" s="23">
        <v>34.057914224248698</v>
      </c>
      <c r="Z41" s="20">
        <v>10.136509223411499</v>
      </c>
      <c r="AA41" s="20">
        <v>9.8134077923714091</v>
      </c>
    </row>
    <row r="42" spans="1:27" x14ac:dyDescent="0.25">
      <c r="A42" s="10" t="s">
        <v>209</v>
      </c>
      <c r="B42" s="10" t="s">
        <v>243</v>
      </c>
      <c r="C42" s="14">
        <f>_xll.BDH("GILD US Equity","AVG_EV_TO_T12M_EBITDA","FQ3 2019","FQ3 2019","Currency=USD","Period=FQ","BEST_FPERIOD_OVERRIDE=FQ","FILING_STATUS=MR","FA_ADJUSTED=GAAP","Sort=A","Dates=H","DateFormat=P","Fill=—","Direction=H","UseDPDF=Y")</f>
        <v>8.0330999999999992</v>
      </c>
      <c r="D42" s="14">
        <f>_xll.BDH("GILD US Equity","AVG_EV_TO_T12M_EBITDA","FQ4 2019","FQ4 2019","Currency=USD","Period=FQ","BEST_FPERIOD_OVERRIDE=FQ","FILING_STATUS=MR","FA_ADJUSTED=GAAP","Sort=A","Dates=H","DateFormat=P","Fill=—","Direction=H","UseDPDF=Y")</f>
        <v>14.016500000000001</v>
      </c>
      <c r="E42" s="14">
        <f>_xll.BDH("GILD US Equity","AVG_EV_TO_T12M_EBITDA","FQ1 2020","FQ1 2020","Currency=USD","Period=FQ","BEST_FPERIOD_OVERRIDE=FQ","FILING_STATUS=MR","FA_ADJUSTED=GAAP","Sort=A","Dates=H","DateFormat=P","Fill=—","Direction=H","UseDPDF=Y")</f>
        <v>14.856</v>
      </c>
      <c r="F42" s="14">
        <f>_xll.BDH("GILD US Equity","AVG_EV_TO_T12M_EBITDA","FQ2 2020","FQ2 2020","Currency=USD","Period=FQ","BEST_FPERIOD_OVERRIDE=FQ","FILING_STATUS=MR","FA_ADJUSTED=GAAP","Sort=A","Dates=H","DateFormat=P","Fill=—","Direction=H","UseDPDF=Y")</f>
        <v>18.87</v>
      </c>
      <c r="G42" s="14">
        <f>_xll.BDH("GILD US Equity","AVG_EV_TO_T12M_EBITDA","FQ3 2020","FQ3 2020","Currency=USD","Period=FQ","BEST_FPERIOD_OVERRIDE=FQ","FILING_STATUS=MR","FA_ADJUSTED=GAAP","Sort=A","Dates=H","DateFormat=P","Fill=—","Direction=H","UseDPDF=Y")</f>
        <v>170.24940000000001</v>
      </c>
      <c r="H42" s="14">
        <f>_xll.BDH("GILD US Equity","AVG_EV_TO_T12M_EBITDA","FQ4 2020","FQ4 2020","Currency=USD","Period=FQ","BEST_FPERIOD_OVERRIDE=FQ","FILING_STATUS=MR","FA_ADJUSTED=GAAP","Sort=A","Dates=H","DateFormat=P","Fill=—","Direction=H","UseDPDF=Y")</f>
        <v>19.898900000000001</v>
      </c>
      <c r="I42" s="14">
        <f>_xll.BDH("GILD US Equity","AVG_EV_TO_T12M_EBITDA","FQ1 2021","FQ1 2021","Currency=USD","Period=FQ","BEST_FPERIOD_OVERRIDE=FQ","FILING_STATUS=MR","FA_ADJUSTED=GAAP","Sort=A","Dates=H","DateFormat=P","Fill=—","Direction=H","UseDPDF=Y")</f>
        <v>18.907599999999999</v>
      </c>
      <c r="J42" s="14">
        <f>_xll.BDH("GILD US Equity","AVG_EV_TO_T12M_EBITDA","FQ2 2021","FQ2 2021","Currency=USD","Period=FQ","BEST_FPERIOD_OVERRIDE=FQ","FILING_STATUS=MR","FA_ADJUSTED=GAAP","Sort=A","Dates=H","DateFormat=P","Fill=—","Direction=H","UseDPDF=Y")</f>
        <v>17.345700000000001</v>
      </c>
      <c r="K42" s="14">
        <f>_xll.BDH("GILD US Equity","AVG_EV_TO_T12M_EBITDA","FQ3 2021","FQ3 2021","Currency=USD","Period=FQ","BEST_FPERIOD_OVERRIDE=FQ","FILING_STATUS=MR","FA_ADJUSTED=GAAP","Sort=A","Dates=H","DateFormat=P","Fill=—","Direction=H","UseDPDF=Y")</f>
        <v>9.5686999999999998</v>
      </c>
      <c r="L42" s="14">
        <f>_xll.BDH("GILD US Equity","AVG_EV_TO_T12M_EBITDA","FQ4 2021","FQ4 2021","Currency=USD","Period=FQ","BEST_FPERIOD_OVERRIDE=FQ","FILING_STATUS=MR","FA_ADJUSTED=GAAP","Sort=A","Dates=H","DateFormat=P","Fill=—","Direction=H","UseDPDF=Y")</f>
        <v>7.9173</v>
      </c>
      <c r="M42" s="14">
        <f>_xll.BDH("GILD US Equity","AVG_EV_TO_T12M_EBITDA","FQ1 2022","FQ1 2022","Currency=USD","Period=FQ","BEST_FPERIOD_OVERRIDE=FQ","FILING_STATUS=MR","FA_ADJUSTED=GAAP","Sort=A","Dates=H","DateFormat=P","Fill=—","Direction=H","UseDPDF=Y")</f>
        <v>8.3594000000000008</v>
      </c>
      <c r="N42" s="14">
        <f>_xll.BDH("GILD US Equity","AVG_EV_TO_T12M_EBITDA","FQ2 2022","FQ2 2022","Currency=USD","Period=FQ","BEST_FPERIOD_OVERRIDE=FQ","FILING_STATUS=MR","FA_ADJUSTED=GAAP","Sort=A","Dates=H","DateFormat=P","Fill=—","Direction=H","UseDPDF=Y")</f>
        <v>10.4137</v>
      </c>
      <c r="O42" s="14">
        <f>_xll.BDH("GILD US Equity","AVG_EV_TO_T12M_EBITDA","FQ3 2022","FQ3 2022","Currency=USD","Period=FQ","BEST_FPERIOD_OVERRIDE=FQ","FILING_STATUS=MR","FA_ADJUSTED=GAAP","Sort=A","Dates=H","DateFormat=P","Fill=—","Direction=H","UseDPDF=Y")</f>
        <v>10.796799999999999</v>
      </c>
      <c r="P42" s="14">
        <f>_xll.BDH("GILD US Equity","AVG_EV_TO_T12M_EBITDA","FQ4 2022","FQ4 2022","Currency=USD","Period=FQ","BEST_FPERIOD_OVERRIDE=FQ","FILING_STATUS=MR","FA_ADJUSTED=GAAP","Sort=A","Dates=H","DateFormat=P","Fill=—","Direction=H","UseDPDF=Y")</f>
        <v>14.456</v>
      </c>
      <c r="Q42" s="14">
        <f>_xll.BDH("GILD US Equity","AVG_EV_TO_T12M_EBITDA","FQ1 2023","FQ1 2023","Currency=USD","Period=FQ","BEST_FPERIOD_OVERRIDE=FQ","FILING_STATUS=MR","FA_ADJUSTED=GAAP","Sort=A","Dates=H","DateFormat=P","Fill=—","Direction=H","UseDPDF=Y")</f>
        <v>12.8797</v>
      </c>
      <c r="R42" s="14">
        <f>_xll.BDH("GILD US Equity","AVG_EV_TO_T12M_EBITDA","FQ2 2023","FQ2 2023","Currency=USD","Period=FQ","BEST_FPERIOD_OVERRIDE=FQ","FILING_STATUS=MR","FA_ADJUSTED=GAAP","Sort=A","Dates=H","DateFormat=P","Fill=—","Direction=H","UseDPDF=Y")</f>
        <v>10.6364</v>
      </c>
      <c r="S42" s="14">
        <f>_xll.BDH("GILD US Equity","AVG_EV_TO_T12M_EBITDA","FQ3 2023","FQ3 2023","Currency=USD","Period=FQ","BEST_FPERIOD_OVERRIDE=FQ","FILING_STATUS=MR","FA_ADJUSTED=GAAP","Sort=A","Dates=H","DateFormat=P","Fill=—","Direction=H","UseDPDF=Y")</f>
        <v>10.4262</v>
      </c>
      <c r="T42" s="14">
        <f>_xll.BDH("GILD US Equity","AVG_EV_TO_T12M_EBITDA","FQ4 2023","FQ4 2023","Currency=USD","Period=FQ","BEST_FPERIOD_OVERRIDE=FQ","FILING_STATUS=MR","FA_ADJUSTED=GAAP","Sort=A","Dates=H","DateFormat=P","Fill=—","Direction=H","UseDPDF=Y")</f>
        <v>10.557499999999999</v>
      </c>
      <c r="U42" s="14">
        <f>_xll.BDH("GILD US Equity","AVG_EV_TO_T12M_EBITDA","FQ1 2024","FQ1 2024","Currency=USD","Period=FQ","BEST_FPERIOD_OVERRIDE=FQ","FILING_STATUS=MR","FA_ADJUSTED=GAAP","Sort=A","Dates=H","DateFormat=P","Fill=—","Direction=H","UseDPDF=Y")</f>
        <v>11.2189</v>
      </c>
      <c r="V42" s="14">
        <f>_xll.BDH("GILD US Equity","AVG_EV_TO_T12M_EBITDA","FQ2 2024","FQ2 2024","Currency=USD","Period=FQ","BEST_FPERIOD_OVERRIDE=FQ","FILING_STATUS=MR","FA_ADJUSTED=GAAP","Sort=A","Dates=H","DateFormat=P","Fill=—","Direction=H","UseDPDF=Y")</f>
        <v>23.895700000000001</v>
      </c>
      <c r="W42" s="14">
        <f>_xll.BDH("GILD US Equity","AVG_EV_TO_T12M_EBITDA","FQ3 2024","FQ3 2024","Currency=USD","Period=FQ","BEST_FPERIOD_OVERRIDE=FQ","FILING_STATUS=MR","FA_ADJUSTED=GAAP","Sort=A","Dates=H","DateFormat=P","Fill=—","Direction=H","UseDPDF=Y")</f>
        <v>21.909600000000001</v>
      </c>
      <c r="X42" s="14">
        <f>_xll.BDH("GILD US Equity","AVG_EV_TO_T12M_EBITDA","FQ4 2024","FQ4 2024","Currency=USD","Period=FQ","BEST_FPERIOD_OVERRIDE=FQ","FILING_STATUS=MR","FA_ADJUSTED=GAAP","Sort=A","Dates=H","DateFormat=P","Fill=—","Direction=H","UseDPDF=Y")</f>
        <v>36.238500000000002</v>
      </c>
      <c r="Y42" s="17"/>
      <c r="Z42" s="14"/>
      <c r="AA42" s="14"/>
    </row>
    <row r="43" spans="1:27" x14ac:dyDescent="0.25">
      <c r="A43" s="10" t="s">
        <v>211</v>
      </c>
      <c r="B43" s="10" t="s">
        <v>244</v>
      </c>
      <c r="C43" s="14">
        <f>_xll.BDH("GILD US Equity","HIGH_EV_TO_T12M_EBITDA","FQ3 2019","FQ3 2019","Currency=USD","Period=FQ","BEST_FPERIOD_OVERRIDE=FQ","FILING_STATUS=MR","FA_ADJUSTED=GAAP","Sort=A","Dates=H","DateFormat=P","Fill=—","Direction=H","UseDPDF=Y")</f>
        <v>13.6523</v>
      </c>
      <c r="D43" s="14">
        <f>_xll.BDH("GILD US Equity","HIGH_EV_TO_T12M_EBITDA","FQ4 2019","FQ4 2019","Currency=USD","Period=FQ","BEST_FPERIOD_OVERRIDE=FQ","FILING_STATUS=MR","FA_ADJUSTED=GAAP","Sort=A","Dates=H","DateFormat=P","Fill=—","Direction=H","UseDPDF=Y")</f>
        <v>14.5806</v>
      </c>
      <c r="E43" s="14">
        <f>_xll.BDH("GILD US Equity","HIGH_EV_TO_T12M_EBITDA","FQ1 2020","FQ1 2020","Currency=USD","Period=FQ","BEST_FPERIOD_OVERRIDE=FQ","FILING_STATUS=MR","FA_ADJUSTED=GAAP","Sort=A","Dates=H","DateFormat=P","Fill=—","Direction=H","UseDPDF=Y")</f>
        <v>17.251300000000001</v>
      </c>
      <c r="F43" s="14">
        <f>_xll.BDH("GILD US Equity","HIGH_EV_TO_T12M_EBITDA","FQ2 2020","FQ2 2020","Currency=USD","Period=FQ","BEST_FPERIOD_OVERRIDE=FQ","FILING_STATUS=MR","FA_ADJUSTED=GAAP","Sort=A","Dates=H","DateFormat=P","Fill=—","Direction=H","UseDPDF=Y")</f>
        <v>190.68680000000001</v>
      </c>
      <c r="G43" s="14">
        <f>_xll.BDH("GILD US Equity","HIGH_EV_TO_T12M_EBITDA","FQ3 2020","FQ3 2020","Currency=USD","Period=FQ","BEST_FPERIOD_OVERRIDE=FQ","FILING_STATUS=MR","FA_ADJUSTED=GAAP","Sort=A","Dates=H","DateFormat=P","Fill=—","Direction=H","UseDPDF=Y")</f>
        <v>193.42619999999999</v>
      </c>
      <c r="H43" s="14">
        <f>_xll.BDH("GILD US Equity","HIGH_EV_TO_T12M_EBITDA","FQ4 2020","FQ4 2020","Currency=USD","Period=FQ","BEST_FPERIOD_OVERRIDE=FQ","FILING_STATUS=MR","FA_ADJUSTED=GAAP","Sort=A","Dates=H","DateFormat=P","Fill=—","Direction=H","UseDPDF=Y")</f>
        <v>21.261299999999999</v>
      </c>
      <c r="I43" s="14">
        <f>_xll.BDH("GILD US Equity","HIGH_EV_TO_T12M_EBITDA","FQ1 2021","FQ1 2021","Currency=USD","Period=FQ","BEST_FPERIOD_OVERRIDE=FQ","FILING_STATUS=MR","FA_ADJUSTED=GAAP","Sort=A","Dates=H","DateFormat=P","Fill=—","Direction=H","UseDPDF=Y")</f>
        <v>19.823899999999998</v>
      </c>
      <c r="J43" s="14">
        <f>_xll.BDH("GILD US Equity","HIGH_EV_TO_T12M_EBITDA","FQ2 2021","FQ2 2021","Currency=USD","Period=FQ","BEST_FPERIOD_OVERRIDE=FQ","FILING_STATUS=MR","FA_ADJUSTED=GAAP","Sort=A","Dates=H","DateFormat=P","Fill=—","Direction=H","UseDPDF=Y")</f>
        <v>17.996099999999998</v>
      </c>
      <c r="K43" s="14">
        <f>_xll.BDH("GILD US Equity","HIGH_EV_TO_T12M_EBITDA","FQ3 2021","FQ3 2021","Currency=USD","Period=FQ","BEST_FPERIOD_OVERRIDE=FQ","FILING_STATUS=MR","FA_ADJUSTED=GAAP","Sort=A","Dates=H","DateFormat=P","Fill=—","Direction=H","UseDPDF=Y")</f>
        <v>9.8933</v>
      </c>
      <c r="L43" s="14">
        <f>_xll.BDH("GILD US Equity","HIGH_EV_TO_T12M_EBITDA","FQ4 2021","FQ4 2021","Currency=USD","Period=FQ","BEST_FPERIOD_OVERRIDE=FQ","FILING_STATUS=MR","FA_ADJUSTED=GAAP","Sort=A","Dates=H","DateFormat=P","Fill=—","Direction=H","UseDPDF=Y")</f>
        <v>9.2355999999999998</v>
      </c>
      <c r="M43" s="14">
        <f>_xll.BDH("GILD US Equity","HIGH_EV_TO_T12M_EBITDA","FQ1 2022","FQ1 2022","Currency=USD","Period=FQ","BEST_FPERIOD_OVERRIDE=FQ","FILING_STATUS=MR","FA_ADJUSTED=GAAP","Sort=A","Dates=H","DateFormat=P","Fill=—","Direction=H","UseDPDF=Y")</f>
        <v>10.0769</v>
      </c>
      <c r="N43" s="14">
        <f>_xll.BDH("GILD US Equity","HIGH_EV_TO_T12M_EBITDA","FQ2 2022","FQ2 2022","Currency=USD","Period=FQ","BEST_FPERIOD_OVERRIDE=FQ","FILING_STATUS=MR","FA_ADJUSTED=GAAP","Sort=A","Dates=H","DateFormat=P","Fill=—","Direction=H","UseDPDF=Y")</f>
        <v>10.827400000000001</v>
      </c>
      <c r="O43" s="14">
        <f>_xll.BDH("GILD US Equity","HIGH_EV_TO_T12M_EBITDA","FQ3 2022","FQ3 2022","Currency=USD","Period=FQ","BEST_FPERIOD_OVERRIDE=FQ","FILING_STATUS=MR","FA_ADJUSTED=GAAP","Sort=A","Dates=H","DateFormat=P","Fill=—","Direction=H","UseDPDF=Y")</f>
        <v>11.780799999999999</v>
      </c>
      <c r="P43" s="14">
        <f>_xll.BDH("GILD US Equity","HIGH_EV_TO_T12M_EBITDA","FQ4 2022","FQ4 2022","Currency=USD","Period=FQ","BEST_FPERIOD_OVERRIDE=FQ","FILING_STATUS=MR","FA_ADJUSTED=GAAP","Sort=A","Dates=H","DateFormat=P","Fill=—","Direction=H","UseDPDF=Y")</f>
        <v>16.082100000000001</v>
      </c>
      <c r="Q43" s="14">
        <f>_xll.BDH("GILD US Equity","HIGH_EV_TO_T12M_EBITDA","FQ1 2023","FQ1 2023","Currency=USD","Period=FQ","BEST_FPERIOD_OVERRIDE=FQ","FILING_STATUS=MR","FA_ADJUSTED=GAAP","Sort=A","Dates=H","DateFormat=P","Fill=—","Direction=H","UseDPDF=Y")</f>
        <v>13.635199999999999</v>
      </c>
      <c r="R43" s="14">
        <f>_xll.BDH("GILD US Equity","HIGH_EV_TO_T12M_EBITDA","FQ2 2023","FQ2 2023","Currency=USD","Period=FQ","BEST_FPERIOD_OVERRIDE=FQ","FILING_STATUS=MR","FA_ADJUSTED=GAAP","Sort=A","Dates=H","DateFormat=P","Fill=—","Direction=H","UseDPDF=Y")</f>
        <v>11.419499999999999</v>
      </c>
      <c r="S43" s="14">
        <f>_xll.BDH("GILD US Equity","HIGH_EV_TO_T12M_EBITDA","FQ3 2023","FQ3 2023","Currency=USD","Period=FQ","BEST_FPERIOD_OVERRIDE=FQ","FILING_STATUS=MR","FA_ADJUSTED=GAAP","Sort=A","Dates=H","DateFormat=P","Fill=—","Direction=H","UseDPDF=Y")</f>
        <v>10.867000000000001</v>
      </c>
      <c r="T43" s="14">
        <f>_xll.BDH("GILD US Equity","HIGH_EV_TO_T12M_EBITDA","FQ4 2023","FQ4 2023","Currency=USD","Period=FQ","BEST_FPERIOD_OVERRIDE=FQ","FILING_STATUS=MR","FA_ADJUSTED=GAAP","Sort=A","Dates=H","DateFormat=P","Fill=—","Direction=H","UseDPDF=Y")</f>
        <v>11.4672</v>
      </c>
      <c r="U43" s="14">
        <f>_xll.BDH("GILD US Equity","HIGH_EV_TO_T12M_EBITDA","FQ1 2024","FQ1 2024","Currency=USD","Period=FQ","BEST_FPERIOD_OVERRIDE=FQ","FILING_STATUS=MR","FA_ADJUSTED=GAAP","Sort=A","Dates=H","DateFormat=P","Fill=—","Direction=H","UseDPDF=Y")</f>
        <v>25.825900000000001</v>
      </c>
      <c r="V43" s="14">
        <f>_xll.BDH("GILD US Equity","HIGH_EV_TO_T12M_EBITDA","FQ2 2024","FQ2 2024","Currency=USD","Period=FQ","BEST_FPERIOD_OVERRIDE=FQ","FILING_STATUS=MR","FA_ADJUSTED=GAAP","Sort=A","Dates=H","DateFormat=P","Fill=—","Direction=H","UseDPDF=Y")</f>
        <v>25.751200000000001</v>
      </c>
      <c r="W43" s="14">
        <f>_xll.BDH("GILD US Equity","HIGH_EV_TO_T12M_EBITDA","FQ3 2024","FQ3 2024","Currency=USD","Period=FQ","BEST_FPERIOD_OVERRIDE=FQ","FILING_STATUS=MR","FA_ADJUSTED=GAAP","Sort=A","Dates=H","DateFormat=P","Fill=—","Direction=H","UseDPDF=Y")</f>
        <v>34.182000000000002</v>
      </c>
      <c r="X43" s="14">
        <f>_xll.BDH("GILD US Equity","HIGH_EV_TO_T12M_EBITDA","FQ4 2024","FQ4 2024","Currency=USD","Period=FQ","BEST_FPERIOD_OVERRIDE=FQ","FILING_STATUS=MR","FA_ADJUSTED=GAAP","Sort=A","Dates=H","DateFormat=P","Fill=—","Direction=H","UseDPDF=Y")</f>
        <v>39.066099999999999</v>
      </c>
      <c r="Y43" s="17"/>
      <c r="Z43" s="14"/>
      <c r="AA43" s="14"/>
    </row>
    <row r="44" spans="1:27" x14ac:dyDescent="0.25">
      <c r="A44" s="10" t="s">
        <v>213</v>
      </c>
      <c r="B44" s="10" t="s">
        <v>245</v>
      </c>
      <c r="C44" s="14">
        <f>_xll.BDH("GILD US Equity","LOW_EV_TO_T12M_EBITDA","FQ3 2019","FQ3 2019","Currency=USD","Period=FQ","BEST_FPERIOD_OVERRIDE=FQ","FILING_STATUS=MR","FA_ADJUSTED=GAAP","Sort=A","Dates=H","DateFormat=P","Fill=—","Direction=H","UseDPDF=Y")</f>
        <v>7.5666000000000002</v>
      </c>
      <c r="D44" s="14">
        <f>_xll.BDH("GILD US Equity","LOW_EV_TO_T12M_EBITDA","FQ4 2019","FQ4 2019","Currency=USD","Period=FQ","BEST_FPERIOD_OVERRIDE=FQ","FILING_STATUS=MR","FA_ADJUSTED=GAAP","Sort=A","Dates=H","DateFormat=P","Fill=—","Direction=H","UseDPDF=Y")</f>
        <v>13.275</v>
      </c>
      <c r="E44" s="14">
        <f>_xll.BDH("GILD US Equity","LOW_EV_TO_T12M_EBITDA","FQ1 2020","FQ1 2020","Currency=USD","Period=FQ","BEST_FPERIOD_OVERRIDE=FQ","FILING_STATUS=MR","FA_ADJUSTED=GAAP","Sort=A","Dates=H","DateFormat=P","Fill=—","Direction=H","UseDPDF=Y")</f>
        <v>13.469900000000001</v>
      </c>
      <c r="F44" s="14">
        <f>_xll.BDH("GILD US Equity","LOW_EV_TO_T12M_EBITDA","FQ2 2020","FQ2 2020","Currency=USD","Period=FQ","BEST_FPERIOD_OVERRIDE=FQ","FILING_STATUS=MR","FA_ADJUSTED=GAAP","Sort=A","Dates=H","DateFormat=P","Fill=—","Direction=H","UseDPDF=Y")</f>
        <v>15.1769</v>
      </c>
      <c r="G44" s="14">
        <f>_xll.BDH("GILD US Equity","LOW_EV_TO_T12M_EBITDA","FQ3 2020","FQ3 2020","Currency=USD","Period=FQ","BEST_FPERIOD_OVERRIDE=FQ","FILING_STATUS=MR","FA_ADJUSTED=GAAP","Sort=A","Dates=H","DateFormat=P","Fill=—","Direction=H","UseDPDF=Y")</f>
        <v>20.8308</v>
      </c>
      <c r="H44" s="14">
        <f>_xll.BDH("GILD US Equity","LOW_EV_TO_T12M_EBITDA","FQ4 2020","FQ4 2020","Currency=USD","Period=FQ","BEST_FPERIOD_OVERRIDE=FQ","FILING_STATUS=MR","FA_ADJUSTED=GAAP","Sort=A","Dates=H","DateFormat=P","Fill=—","Direction=H","UseDPDF=Y")</f>
        <v>17.520499999999998</v>
      </c>
      <c r="I44" s="14">
        <f>_xll.BDH("GILD US Equity","LOW_EV_TO_T12M_EBITDA","FQ1 2021","FQ1 2021","Currency=USD","Period=FQ","BEST_FPERIOD_OVERRIDE=FQ","FILING_STATUS=MR","FA_ADJUSTED=GAAP","Sort=A","Dates=H","DateFormat=P","Fill=—","Direction=H","UseDPDF=Y")</f>
        <v>17.0611</v>
      </c>
      <c r="J44" s="14">
        <f>_xll.BDH("GILD US Equity","LOW_EV_TO_T12M_EBITDA","FQ2 2021","FQ2 2021","Currency=USD","Period=FQ","BEST_FPERIOD_OVERRIDE=FQ","FILING_STATUS=MR","FA_ADJUSTED=GAAP","Sort=A","Dates=H","DateFormat=P","Fill=—","Direction=H","UseDPDF=Y")</f>
        <v>9.4433000000000007</v>
      </c>
      <c r="K44" s="14">
        <f>_xll.BDH("GILD US Equity","LOW_EV_TO_T12M_EBITDA","FQ3 2021","FQ3 2021","Currency=USD","Period=FQ","BEST_FPERIOD_OVERRIDE=FQ","FILING_STATUS=MR","FA_ADJUSTED=GAAP","Sort=A","Dates=H","DateFormat=P","Fill=—","Direction=H","UseDPDF=Y")</f>
        <v>7.9897</v>
      </c>
      <c r="L44" s="14">
        <f>_xll.BDH("GILD US Equity","LOW_EV_TO_T12M_EBITDA","FQ4 2021","FQ4 2021","Currency=USD","Period=FQ","BEST_FPERIOD_OVERRIDE=FQ","FILING_STATUS=MR","FA_ADJUSTED=GAAP","Sort=A","Dates=H","DateFormat=P","Fill=—","Direction=H","UseDPDF=Y")</f>
        <v>7.5362</v>
      </c>
      <c r="M44" s="14">
        <f>_xll.BDH("GILD US Equity","LOW_EV_TO_T12M_EBITDA","FQ1 2022","FQ1 2022","Currency=USD","Period=FQ","BEST_FPERIOD_OVERRIDE=FQ","FILING_STATUS=MR","FA_ADJUSTED=GAAP","Sort=A","Dates=H","DateFormat=P","Fill=—","Direction=H","UseDPDF=Y")</f>
        <v>7.6935000000000002</v>
      </c>
      <c r="N44" s="14">
        <f>_xll.BDH("GILD US Equity","LOW_EV_TO_T12M_EBITDA","FQ2 2022","FQ2 2022","Currency=USD","Period=FQ","BEST_FPERIOD_OVERRIDE=FQ","FILING_STATUS=MR","FA_ADJUSTED=GAAP","Sort=A","Dates=H","DateFormat=P","Fill=—","Direction=H","UseDPDF=Y")</f>
        <v>9.8469999999999995</v>
      </c>
      <c r="O44" s="14">
        <f>_xll.BDH("GILD US Equity","LOW_EV_TO_T12M_EBITDA","FQ3 2022","FQ3 2022","Currency=USD","Period=FQ","BEST_FPERIOD_OVERRIDE=FQ","FILING_STATUS=MR","FA_ADJUSTED=GAAP","Sort=A","Dates=H","DateFormat=P","Fill=—","Direction=H","UseDPDF=Y")</f>
        <v>10.298</v>
      </c>
      <c r="P44" s="14">
        <f>_xll.BDH("GILD US Equity","LOW_EV_TO_T12M_EBITDA","FQ4 2022","FQ4 2022","Currency=USD","Period=FQ","BEST_FPERIOD_OVERRIDE=FQ","FILING_STATUS=MR","FA_ADJUSTED=GAAP","Sort=A","Dates=H","DateFormat=P","Fill=—","Direction=H","UseDPDF=Y")</f>
        <v>11.8781</v>
      </c>
      <c r="Q44" s="14">
        <f>_xll.BDH("GILD US Equity","LOW_EV_TO_T12M_EBITDA","FQ1 2023","FQ1 2023","Currency=USD","Period=FQ","BEST_FPERIOD_OVERRIDE=FQ","FILING_STATUS=MR","FA_ADJUSTED=GAAP","Sort=A","Dates=H","DateFormat=P","Fill=—","Direction=H","UseDPDF=Y")</f>
        <v>10.998200000000001</v>
      </c>
      <c r="R44" s="14">
        <f>_xll.BDH("GILD US Equity","LOW_EV_TO_T12M_EBITDA","FQ2 2023","FQ2 2023","Currency=USD","Period=FQ","BEST_FPERIOD_OVERRIDE=FQ","FILING_STATUS=MR","FA_ADJUSTED=GAAP","Sort=A","Dates=H","DateFormat=P","Fill=—","Direction=H","UseDPDF=Y")</f>
        <v>10.2121</v>
      </c>
      <c r="S44" s="14">
        <f>_xll.BDH("GILD US Equity","LOW_EV_TO_T12M_EBITDA","FQ3 2023","FQ3 2023","Currency=USD","Period=FQ","BEST_FPERIOD_OVERRIDE=FQ","FILING_STATUS=MR","FA_ADJUSTED=GAAP","Sort=A","Dates=H","DateFormat=P","Fill=—","Direction=H","UseDPDF=Y")</f>
        <v>10.076599999999999</v>
      </c>
      <c r="T44" s="14">
        <f>_xll.BDH("GILD US Equity","LOW_EV_TO_T12M_EBITDA","FQ4 2023","FQ4 2023","Currency=USD","Period=FQ","BEST_FPERIOD_OVERRIDE=FQ","FILING_STATUS=MR","FA_ADJUSTED=GAAP","Sort=A","Dates=H","DateFormat=P","Fill=—","Direction=H","UseDPDF=Y")</f>
        <v>10.0237</v>
      </c>
      <c r="U44" s="14">
        <f>_xll.BDH("GILD US Equity","LOW_EV_TO_T12M_EBITDA","FQ1 2024","FQ1 2024","Currency=USD","Period=FQ","BEST_FPERIOD_OVERRIDE=FQ","FILING_STATUS=MR","FA_ADJUSTED=GAAP","Sort=A","Dates=H","DateFormat=P","Fill=—","Direction=H","UseDPDF=Y")</f>
        <v>10.3261</v>
      </c>
      <c r="V44" s="14">
        <f>_xll.BDH("GILD US Equity","LOW_EV_TO_T12M_EBITDA","FQ2 2024","FQ2 2024","Currency=USD","Period=FQ","BEST_FPERIOD_OVERRIDE=FQ","FILING_STATUS=MR","FA_ADJUSTED=GAAP","Sort=A","Dates=H","DateFormat=P","Fill=—","Direction=H","UseDPDF=Y")</f>
        <v>19.945799999999998</v>
      </c>
      <c r="W44" s="14">
        <f>_xll.BDH("GILD US Equity","LOW_EV_TO_T12M_EBITDA","FQ3 2024","FQ3 2024","Currency=USD","Period=FQ","BEST_FPERIOD_OVERRIDE=FQ","FILING_STATUS=MR","FA_ADJUSTED=GAAP","Sort=A","Dates=H","DateFormat=P","Fill=—","Direction=H","UseDPDF=Y")</f>
        <v>19.472100000000001</v>
      </c>
      <c r="X44" s="14">
        <f>_xll.BDH("GILD US Equity","LOW_EV_TO_T12M_EBITDA","FQ4 2024","FQ4 2024","Currency=USD","Period=FQ","BEST_FPERIOD_OVERRIDE=FQ","FILING_STATUS=MR","FA_ADJUSTED=GAAP","Sort=A","Dates=H","DateFormat=P","Fill=—","Direction=H","UseDPDF=Y")</f>
        <v>29.892600000000002</v>
      </c>
      <c r="Y44" s="17"/>
      <c r="Z44" s="14"/>
      <c r="AA44" s="14"/>
    </row>
    <row r="45" spans="1:27" x14ac:dyDescent="0.25">
      <c r="A45" s="6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21"/>
      <c r="Z45" s="18"/>
      <c r="AA45" s="18"/>
    </row>
    <row r="46" spans="1:27" x14ac:dyDescent="0.25">
      <c r="A46" s="6" t="s">
        <v>182</v>
      </c>
      <c r="B46" s="6" t="s">
        <v>183</v>
      </c>
      <c r="C46" s="20">
        <f>_xll.BDH("GILD US Equity","EV_TO_T12M_EBIT","FQ3 2019","FQ3 2019","Currency=USD","Period=FQ","BEST_FPERIOD_OVERRIDE=FQ","FILING_STATUS=MR","FA_ADJUSTED=GAAP","Sort=A","Dates=H","DateFormat=P","Fill=—","Direction=H","UseDPDF=Y")</f>
        <v>18.500499999999999</v>
      </c>
      <c r="D46" s="20">
        <f>_xll.BDH("GILD US Equity","EV_TO_T12M_EBIT","FQ4 2019","FQ4 2019","Currency=USD","Period=FQ","BEST_FPERIOD_OVERRIDE=FQ","FILING_STATUS=MR","FA_ADJUSTED=GAAP","Sort=A","Dates=H","DateFormat=P","Fill=—","Direction=H","UseDPDF=Y")</f>
        <v>19.003499999999999</v>
      </c>
      <c r="E46" s="20">
        <f>_xll.BDH("GILD US Equity","EV_TO_T12M_EBIT","FQ1 2020","FQ1 2020","Currency=USD","Period=FQ","BEST_FPERIOD_OVERRIDE=FQ","FILING_STATUS=MR","FA_ADJUSTED=GAAP","Sort=A","Dates=H","DateFormat=P","Fill=—","Direction=H","UseDPDF=Y")</f>
        <v>21.034199999999998</v>
      </c>
      <c r="F46" s="20" t="str">
        <f>_xll.BDH("GILD US Equity","EV_TO_T12M_EBIT","FQ2 2020","FQ2 2020","Currency=USD","Period=FQ","BEST_FPERIOD_OVERRIDE=FQ","FILING_STATUS=MR","FA_ADJUSTED=GAAP","Sort=A","Dates=H","DateFormat=P","Fill=—","Direction=H","UseDPDF=Y")</f>
        <v>—</v>
      </c>
      <c r="G46" s="20">
        <f>_xll.BDH("GILD US Equity","EV_TO_T12M_EBIT","FQ3 2020","FQ3 2020","Currency=USD","Period=FQ","BEST_FPERIOD_OVERRIDE=FQ","FILING_STATUS=MR","FA_ADJUSTED=GAAP","Sort=A","Dates=H","DateFormat=P","Fill=—","Direction=H","UseDPDF=Y")</f>
        <v>32.807000000000002</v>
      </c>
      <c r="H46" s="20">
        <f>_xll.BDH("GILD US Equity","EV_TO_T12M_EBIT","FQ4 2020","FQ4 2020","Currency=USD","Period=FQ","BEST_FPERIOD_OVERRIDE=FQ","FILING_STATUS=MR","FA_ADJUSTED=GAAP","Sort=A","Dates=H","DateFormat=P","Fill=—","Direction=H","UseDPDF=Y")</f>
        <v>23.896799999999999</v>
      </c>
      <c r="I46" s="20">
        <f>_xll.BDH("GILD US Equity","EV_TO_T12M_EBIT","FQ1 2021","FQ1 2021","Currency=USD","Period=FQ","BEST_FPERIOD_OVERRIDE=FQ","FILING_STATUS=MR","FA_ADJUSTED=GAAP","Sort=A","Dates=H","DateFormat=P","Fill=—","Direction=H","UseDPDF=Y")</f>
        <v>23.026800000000001</v>
      </c>
      <c r="J46" s="20">
        <f>_xll.BDH("GILD US Equity","EV_TO_T12M_EBIT","FQ2 2021","FQ2 2021","Currency=USD","Period=FQ","BEST_FPERIOD_OVERRIDE=FQ","FILING_STATUS=MR","FA_ADJUSTED=GAAP","Sort=A","Dates=H","DateFormat=P","Fill=—","Direction=H","UseDPDF=Y")</f>
        <v>11.153600000000001</v>
      </c>
      <c r="K46" s="20">
        <f>_xll.BDH("GILD US Equity","EV_TO_T12M_EBIT","FQ3 2021","FQ3 2021","Currency=USD","Period=FQ","BEST_FPERIOD_OVERRIDE=FQ","FILING_STATUS=MR","FA_ADJUSTED=GAAP","Sort=A","Dates=H","DateFormat=P","Fill=—","Direction=H","UseDPDF=Y")</f>
        <v>9.3310999999999993</v>
      </c>
      <c r="L46" s="20">
        <f>_xll.BDH("GILD US Equity","EV_TO_T12M_EBIT","FQ4 2021","FQ4 2021","Currency=USD","Period=FQ","BEST_FPERIOD_OVERRIDE=FQ","FILING_STATUS=MR","FA_ADJUSTED=GAAP","Sort=A","Dates=H","DateFormat=P","Fill=—","Direction=H","UseDPDF=Y")</f>
        <v>11.1418</v>
      </c>
      <c r="M46" s="20">
        <f>_xll.BDH("GILD US Equity","EV_TO_T12M_EBIT","FQ1 2022","FQ1 2022","Currency=USD","Period=FQ","BEST_FPERIOD_OVERRIDE=FQ","FILING_STATUS=MR","FA_ADJUSTED=GAAP","Sort=A","Dates=H","DateFormat=P","Fill=—","Direction=H","UseDPDF=Y")</f>
        <v>13.017799999999999</v>
      </c>
      <c r="N46" s="20">
        <f>_xll.BDH("GILD US Equity","EV_TO_T12M_EBIT","FQ2 2022","FQ2 2022","Currency=USD","Period=FQ","BEST_FPERIOD_OVERRIDE=FQ","FILING_STATUS=MR","FA_ADJUSTED=GAAP","Sort=A","Dates=H","DateFormat=P","Fill=—","Direction=H","UseDPDF=Y")</f>
        <v>13.799200000000001</v>
      </c>
      <c r="O46" s="20">
        <f>_xll.BDH("GILD US Equity","EV_TO_T12M_EBIT","FQ3 2022","FQ3 2022","Currency=USD","Period=FQ","BEST_FPERIOD_OVERRIDE=FQ","FILING_STATUS=MR","FA_ADJUSTED=GAAP","Sort=A","Dates=H","DateFormat=P","Fill=—","Direction=H","UseDPDF=Y")</f>
        <v>15.928100000000001</v>
      </c>
      <c r="P46" s="20">
        <f>_xll.BDH("GILD US Equity","EV_TO_T12M_EBIT","FQ4 2022","FQ4 2022","Currency=USD","Period=FQ","BEST_FPERIOD_OVERRIDE=FQ","FILING_STATUS=MR","FA_ADJUSTED=GAAP","Sort=A","Dates=H","DateFormat=P","Fill=—","Direction=H","UseDPDF=Y")</f>
        <v>17.0808</v>
      </c>
      <c r="Q46" s="20">
        <f>_xll.BDH("GILD US Equity","EV_TO_T12M_EBIT","FQ1 2023","FQ1 2023","Currency=USD","Period=FQ","BEST_FPERIOD_OVERRIDE=FQ","FILING_STATUS=MR","FA_ADJUSTED=GAAP","Sort=A","Dates=H","DateFormat=P","Fill=—","Direction=H","UseDPDF=Y")</f>
        <v>13.7507</v>
      </c>
      <c r="R46" s="20">
        <f>_xll.BDH("GILD US Equity","EV_TO_T12M_EBIT","FQ2 2023","FQ2 2023","Currency=USD","Period=FQ","BEST_FPERIOD_OVERRIDE=FQ","FILING_STATUS=MR","FA_ADJUSTED=GAAP","Sort=A","Dates=H","DateFormat=P","Fill=—","Direction=H","UseDPDF=Y")</f>
        <v>13.3688</v>
      </c>
      <c r="S46" s="20">
        <f>_xll.BDH("GILD US Equity","EV_TO_T12M_EBIT","FQ3 2023","FQ3 2023","Currency=USD","Period=FQ","BEST_FPERIOD_OVERRIDE=FQ","FILING_STATUS=MR","FA_ADJUSTED=GAAP","Sort=A","Dates=H","DateFormat=P","Fill=—","Direction=H","UseDPDF=Y")</f>
        <v>13.3584</v>
      </c>
      <c r="T46" s="20">
        <f>_xll.BDH("GILD US Equity","EV_TO_T12M_EBIT","FQ4 2023","FQ4 2023","Currency=USD","Period=FQ","BEST_FPERIOD_OVERRIDE=FQ","FILING_STATUS=MR","FA_ADJUSTED=GAAP","Sort=A","Dates=H","DateFormat=P","Fill=—","Direction=H","UseDPDF=Y")</f>
        <v>15.5273</v>
      </c>
      <c r="U46" s="20">
        <f>_xll.BDH("GILD US Equity","EV_TO_T12M_EBIT","FQ1 2024","FQ1 2024","Currency=USD","Period=FQ","BEST_FPERIOD_OVERRIDE=FQ","FILING_STATUS=MR","FA_ADJUSTED=GAAP","Sort=A","Dates=H","DateFormat=P","Fill=—","Direction=H","UseDPDF=Y")</f>
        <v>70.761399999999995</v>
      </c>
      <c r="V46" s="20">
        <f>_xll.BDH("GILD US Equity","EV_TO_T12M_EBIT","FQ2 2024","FQ2 2024","Currency=USD","Period=FQ","BEST_FPERIOD_OVERRIDE=FQ","FILING_STATUS=MR","FA_ADJUSTED=GAAP","Sort=A","Dates=H","DateFormat=P","Fill=—","Direction=H","UseDPDF=Y")</f>
        <v>41.447800000000001</v>
      </c>
      <c r="W46" s="20">
        <f>_xll.BDH("GILD US Equity","EV_TO_T12M_EBIT","FQ3 2024","FQ3 2024","Currency=USD","Period=FQ","BEST_FPERIOD_OVERRIDE=FQ","FILING_STATUS=MR","FA_ADJUSTED=GAAP","Sort=A","Dates=H","DateFormat=P","Fill=—","Direction=H","UseDPDF=Y")</f>
        <v>149.1395</v>
      </c>
      <c r="X46" s="20">
        <f>_xll.BDH("GILD US Equity","EV_TO_T12M_EBIT","FQ4 2024","FQ4 2024","Currency=USD","Period=FQ","BEST_FPERIOD_OVERRIDE=FQ","FILING_STATUS=MR","FA_ADJUSTED=GAAP","Sort=A","Dates=H","DateFormat=P","Fill=—","Direction=H","UseDPDF=Y")</f>
        <v>79.674899999999994</v>
      </c>
      <c r="Y46" s="23">
        <v>92.8924828941133</v>
      </c>
      <c r="Z46" s="20">
        <v>12.1586953212826</v>
      </c>
      <c r="AA46" s="20">
        <v>11.8119002947689</v>
      </c>
    </row>
    <row r="47" spans="1:27" x14ac:dyDescent="0.25">
      <c r="A47" s="10" t="s">
        <v>209</v>
      </c>
      <c r="B47" s="10" t="s">
        <v>246</v>
      </c>
      <c r="C47" s="14">
        <f>_xll.BDH("GILD US Equity","AVERAGE_EV_TO_T12M_EBIT","FQ3 2019","FQ3 2019","Currency=USD","Period=FQ","BEST_FPERIOD_OVERRIDE=FQ","FILING_STATUS=MR","FA_ADJUSTED=GAAP","Sort=A","Dates=H","DateFormat=P","Fill=—","Direction=H","UseDPDF=Y")</f>
        <v>9.5450999999999997</v>
      </c>
      <c r="D47" s="14">
        <f>_xll.BDH("GILD US Equity","AVERAGE_EV_TO_T12M_EBIT","FQ4 2019","FQ4 2019","Currency=USD","Period=FQ","BEST_FPERIOD_OVERRIDE=FQ","FILING_STATUS=MR","FA_ADJUSTED=GAAP","Sort=A","Dates=H","DateFormat=P","Fill=—","Direction=H","UseDPDF=Y")</f>
        <v>19.0014</v>
      </c>
      <c r="E47" s="14">
        <f>_xll.BDH("GILD US Equity","AVERAGE_EV_TO_T12M_EBIT","FQ1 2020","FQ1 2020","Currency=USD","Period=FQ","BEST_FPERIOD_OVERRIDE=FQ","FILING_STATUS=MR","FA_ADJUSTED=GAAP","Sort=A","Dates=H","DateFormat=P","Fill=—","Direction=H","UseDPDF=Y")</f>
        <v>20.179300000000001</v>
      </c>
      <c r="F47" s="14">
        <f>_xll.BDH("GILD US Equity","AVERAGE_EV_TO_T12M_EBIT","FQ2 2020","FQ2 2020","Currency=USD","Period=FQ","BEST_FPERIOD_OVERRIDE=FQ","FILING_STATUS=MR","FA_ADJUSTED=GAAP","Sort=A","Dates=H","DateFormat=P","Fill=—","Direction=H","UseDPDF=Y")</f>
        <v>21.595199999999998</v>
      </c>
      <c r="G47" s="14">
        <f>_xll.BDH("GILD US Equity","AVERAGE_EV_TO_T12M_EBIT","FQ3 2020","FQ3 2020","Currency=USD","Period=FQ","BEST_FPERIOD_OVERRIDE=FQ","FILING_STATUS=MR","FA_ADJUSTED=GAAP","Sort=A","Dates=H","DateFormat=P","Fill=—","Direction=H","UseDPDF=Y")</f>
        <v>32.825200000000002</v>
      </c>
      <c r="H47" s="14">
        <f>_xll.BDH("GILD US Equity","AVERAGE_EV_TO_T12M_EBIT","FQ4 2020","FQ4 2020","Currency=USD","Period=FQ","BEST_FPERIOD_OVERRIDE=FQ","FILING_STATUS=MR","FA_ADJUSTED=GAAP","Sort=A","Dates=H","DateFormat=P","Fill=—","Direction=H","UseDPDF=Y")</f>
        <v>31.2987</v>
      </c>
      <c r="I47" s="14">
        <f>_xll.BDH("GILD US Equity","AVERAGE_EV_TO_T12M_EBIT","FQ1 2021","FQ1 2021","Currency=USD","Period=FQ","BEST_FPERIOD_OVERRIDE=FQ","FILING_STATUS=MR","FA_ADJUSTED=GAAP","Sort=A","Dates=H","DateFormat=P","Fill=—","Direction=H","UseDPDF=Y")</f>
        <v>25.778199999999998</v>
      </c>
      <c r="J47" s="14">
        <f>_xll.BDH("GILD US Equity","AVERAGE_EV_TO_T12M_EBIT","FQ2 2021","FQ2 2021","Currency=USD","Period=FQ","BEST_FPERIOD_OVERRIDE=FQ","FILING_STATUS=MR","FA_ADJUSTED=GAAP","Sort=A","Dates=H","DateFormat=P","Fill=—","Direction=H","UseDPDF=Y")</f>
        <v>23.422799999999999</v>
      </c>
      <c r="K47" s="14">
        <f>_xll.BDH("GILD US Equity","AVERAGE_EV_TO_T12M_EBIT","FQ3 2021","FQ3 2021","Currency=USD","Period=FQ","BEST_FPERIOD_OVERRIDE=FQ","FILING_STATUS=MR","FA_ADJUSTED=GAAP","Sort=A","Dates=H","DateFormat=P","Fill=—","Direction=H","UseDPDF=Y")</f>
        <v>11.3011</v>
      </c>
      <c r="L47" s="14">
        <f>_xll.BDH("GILD US Equity","AVERAGE_EV_TO_T12M_EBIT","FQ4 2021","FQ4 2021","Currency=USD","Period=FQ","BEST_FPERIOD_OVERRIDE=FQ","FILING_STATUS=MR","FA_ADJUSTED=GAAP","Sort=A","Dates=H","DateFormat=P","Fill=—","Direction=H","UseDPDF=Y")</f>
        <v>9.2452000000000005</v>
      </c>
      <c r="M47" s="14">
        <f>_xll.BDH("GILD US Equity","AVERAGE_EV_TO_T12M_EBIT","FQ1 2022","FQ1 2022","Currency=USD","Period=FQ","BEST_FPERIOD_OVERRIDE=FQ","FILING_STATUS=MR","FA_ADJUSTED=GAAP","Sort=A","Dates=H","DateFormat=P","Fill=—","Direction=H","UseDPDF=Y")</f>
        <v>10.100899999999999</v>
      </c>
      <c r="N47" s="14">
        <f>_xll.BDH("GILD US Equity","AVERAGE_EV_TO_T12M_EBIT","FQ2 2022","FQ2 2022","Currency=USD","Period=FQ","BEST_FPERIOD_OVERRIDE=FQ","FILING_STATUS=MR","FA_ADJUSTED=GAAP","Sort=A","Dates=H","DateFormat=P","Fill=—","Direction=H","UseDPDF=Y")</f>
        <v>13.4451</v>
      </c>
      <c r="O47" s="14">
        <f>_xll.BDH("GILD US Equity","AVERAGE_EV_TO_T12M_EBIT","FQ3 2022","FQ3 2022","Currency=USD","Period=FQ","BEST_FPERIOD_OVERRIDE=FQ","FILING_STATUS=MR","FA_ADJUSTED=GAAP","Sort=A","Dates=H","DateFormat=P","Fill=—","Direction=H","UseDPDF=Y")</f>
        <v>14.053800000000001</v>
      </c>
      <c r="P47" s="14">
        <f>_xll.BDH("GILD US Equity","AVERAGE_EV_TO_T12M_EBIT","FQ4 2022","FQ4 2022","Currency=USD","Period=FQ","BEST_FPERIOD_OVERRIDE=FQ","FILING_STATUS=MR","FA_ADJUSTED=GAAP","Sort=A","Dates=H","DateFormat=P","Fill=—","Direction=H","UseDPDF=Y")</f>
        <v>19.523499999999999</v>
      </c>
      <c r="Q47" s="14">
        <f>_xll.BDH("GILD US Equity","AVERAGE_EV_TO_T12M_EBIT","FQ1 2023","FQ1 2023","Currency=USD","Period=FQ","BEST_FPERIOD_OVERRIDE=FQ","FILING_STATUS=MR","FA_ADJUSTED=GAAP","Sort=A","Dates=H","DateFormat=P","Fill=—","Direction=H","UseDPDF=Y")</f>
        <v>16.5685</v>
      </c>
      <c r="R47" s="14">
        <f>_xll.BDH("GILD US Equity","AVERAGE_EV_TO_T12M_EBIT","FQ2 2023","FQ2 2023","Currency=USD","Period=FQ","BEST_FPERIOD_OVERRIDE=FQ","FILING_STATUS=MR","FA_ADJUSTED=GAAP","Sort=A","Dates=H","DateFormat=P","Fill=—","Direction=H","UseDPDF=Y")</f>
        <v>13.310600000000001</v>
      </c>
      <c r="S47" s="14">
        <f>_xll.BDH("GILD US Equity","AVERAGE_EV_TO_T12M_EBIT","FQ3 2023","FQ3 2023","Currency=USD","Period=FQ","BEST_FPERIOD_OVERRIDE=FQ","FILING_STATUS=MR","FA_ADJUSTED=GAAP","Sort=A","Dates=H","DateFormat=P","Fill=—","Direction=H","UseDPDF=Y")</f>
        <v>13.3514</v>
      </c>
      <c r="T47" s="14">
        <f>_xll.BDH("GILD US Equity","AVERAGE_EV_TO_T12M_EBIT","FQ4 2023","FQ4 2023","Currency=USD","Period=FQ","BEST_FPERIOD_OVERRIDE=FQ","FILING_STATUS=MR","FA_ADJUSTED=GAAP","Sort=A","Dates=H","DateFormat=P","Fill=—","Direction=H","UseDPDF=Y")</f>
        <v>13.803699999999999</v>
      </c>
      <c r="U47" s="14">
        <f>_xll.BDH("GILD US Equity","AVERAGE_EV_TO_T12M_EBIT","FQ1 2024","FQ1 2024","Currency=USD","Period=FQ","BEST_FPERIOD_OVERRIDE=FQ","FILING_STATUS=MR","FA_ADJUSTED=GAAP","Sort=A","Dates=H","DateFormat=P","Fill=—","Direction=H","UseDPDF=Y")</f>
        <v>15.7776</v>
      </c>
      <c r="V47" s="14">
        <f>_xll.BDH("GILD US Equity","AVERAGE_EV_TO_T12M_EBIT","FQ2 2024","FQ2 2024","Currency=USD","Period=FQ","BEST_FPERIOD_OVERRIDE=FQ","FILING_STATUS=MR","FA_ADJUSTED=GAAP","Sort=A","Dates=H","DateFormat=P","Fill=—","Direction=H","UseDPDF=Y")</f>
        <v>65.223799999999997</v>
      </c>
      <c r="W47" s="14">
        <f>_xll.BDH("GILD US Equity","AVERAGE_EV_TO_T12M_EBIT","FQ3 2024","FQ3 2024","Currency=USD","Period=FQ","BEST_FPERIOD_OVERRIDE=FQ","FILING_STATUS=MR","FA_ADJUSTED=GAAP","Sort=A","Dates=H","DateFormat=P","Fill=—","Direction=H","UseDPDF=Y")</f>
        <v>46.743299999999998</v>
      </c>
      <c r="X47" s="14">
        <f>_xll.BDH("GILD US Equity","AVERAGE_EV_TO_T12M_EBIT","FQ4 2024","FQ4 2024","Currency=USD","Period=FQ","BEST_FPERIOD_OVERRIDE=FQ","FILING_STATUS=MR","FA_ADJUSTED=GAAP","Sort=A","Dates=H","DateFormat=P","Fill=—","Direction=H","UseDPDF=Y")</f>
        <v>157.21199999999999</v>
      </c>
      <c r="Y47" s="17"/>
      <c r="Z47" s="14"/>
      <c r="AA47" s="14"/>
    </row>
    <row r="48" spans="1:27" x14ac:dyDescent="0.25">
      <c r="A48" s="10" t="s">
        <v>211</v>
      </c>
      <c r="B48" s="10" t="s">
        <v>247</v>
      </c>
      <c r="C48" s="14">
        <f>_xll.BDH("GILD US Equity","HIGH_EV_TO_T12M_EBIT","FQ3 2019","FQ3 2019","Currency=USD","Period=FQ","BEST_FPERIOD_OVERRIDE=FQ","FILING_STATUS=MR","FA_ADJUSTED=GAAP","Sort=A","Dates=H","DateFormat=P","Fill=—","Direction=H","UseDPDF=Y")</f>
        <v>18.507100000000001</v>
      </c>
      <c r="D48" s="14">
        <f>_xll.BDH("GILD US Equity","HIGH_EV_TO_T12M_EBIT","FQ4 2019","FQ4 2019","Currency=USD","Period=FQ","BEST_FPERIOD_OVERRIDE=FQ","FILING_STATUS=MR","FA_ADJUSTED=GAAP","Sort=A","Dates=H","DateFormat=P","Fill=—","Direction=H","UseDPDF=Y")</f>
        <v>19.7654</v>
      </c>
      <c r="E48" s="14">
        <f>_xll.BDH("GILD US Equity","HIGH_EV_TO_T12M_EBIT","FQ1 2020","FQ1 2020","Currency=USD","Period=FQ","BEST_FPERIOD_OVERRIDE=FQ","FILING_STATUS=MR","FA_ADJUSTED=GAAP","Sort=A","Dates=H","DateFormat=P","Fill=—","Direction=H","UseDPDF=Y")</f>
        <v>23.438099999999999</v>
      </c>
      <c r="F48" s="14">
        <f>_xll.BDH("GILD US Equity","HIGH_EV_TO_T12M_EBIT","FQ2 2020","FQ2 2020","Currency=USD","Period=FQ","BEST_FPERIOD_OVERRIDE=FQ","FILING_STATUS=MR","FA_ADJUSTED=GAAP","Sort=A","Dates=H","DateFormat=P","Fill=—","Direction=H","UseDPDF=Y")</f>
        <v>23.731400000000001</v>
      </c>
      <c r="G48" s="14">
        <f>_xll.BDH("GILD US Equity","HIGH_EV_TO_T12M_EBIT","FQ3 2020","FQ3 2020","Currency=USD","Period=FQ","BEST_FPERIOD_OVERRIDE=FQ","FILING_STATUS=MR","FA_ADJUSTED=GAAP","Sort=A","Dates=H","DateFormat=P","Fill=—","Direction=H","UseDPDF=Y")</f>
        <v>32.825200000000002</v>
      </c>
      <c r="H48" s="14">
        <f>_xll.BDH("GILD US Equity","HIGH_EV_TO_T12M_EBIT","FQ4 2020","FQ4 2020","Currency=USD","Period=FQ","BEST_FPERIOD_OVERRIDE=FQ","FILING_STATUS=MR","FA_ADJUSTED=GAAP","Sort=A","Dates=H","DateFormat=P","Fill=—","Direction=H","UseDPDF=Y")</f>
        <v>33.503700000000002</v>
      </c>
      <c r="I48" s="14">
        <f>_xll.BDH("GILD US Equity","HIGH_EV_TO_T12M_EBIT","FQ1 2021","FQ1 2021","Currency=USD","Period=FQ","BEST_FPERIOD_OVERRIDE=FQ","FILING_STATUS=MR","FA_ADJUSTED=GAAP","Sort=A","Dates=H","DateFormat=P","Fill=—","Direction=H","UseDPDF=Y")</f>
        <v>27.030799999999999</v>
      </c>
      <c r="J48" s="14">
        <f>_xll.BDH("GILD US Equity","HIGH_EV_TO_T12M_EBIT","FQ2 2021","FQ2 2021","Currency=USD","Period=FQ","BEST_FPERIOD_OVERRIDE=FQ","FILING_STATUS=MR","FA_ADJUSTED=GAAP","Sort=A","Dates=H","DateFormat=P","Fill=—","Direction=H","UseDPDF=Y")</f>
        <v>24.3278</v>
      </c>
      <c r="K48" s="14">
        <f>_xll.BDH("GILD US Equity","HIGH_EV_TO_T12M_EBIT","FQ3 2021","FQ3 2021","Currency=USD","Period=FQ","BEST_FPERIOD_OVERRIDE=FQ","FILING_STATUS=MR","FA_ADJUSTED=GAAP","Sort=A","Dates=H","DateFormat=P","Fill=—","Direction=H","UseDPDF=Y")</f>
        <v>11.686400000000001</v>
      </c>
      <c r="L48" s="14">
        <f>_xll.BDH("GILD US Equity","HIGH_EV_TO_T12M_EBIT","FQ4 2021","FQ4 2021","Currency=USD","Period=FQ","BEST_FPERIOD_OVERRIDE=FQ","FILING_STATUS=MR","FA_ADJUSTED=GAAP","Sort=A","Dates=H","DateFormat=P","Fill=—","Direction=H","UseDPDF=Y")</f>
        <v>11.144600000000001</v>
      </c>
      <c r="M48" s="14">
        <f>_xll.BDH("GILD US Equity","HIGH_EV_TO_T12M_EBIT","FQ1 2022","FQ1 2022","Currency=USD","Period=FQ","BEST_FPERIOD_OVERRIDE=FQ","FILING_STATUS=MR","FA_ADJUSTED=GAAP","Sort=A","Dates=H","DateFormat=P","Fill=—","Direction=H","UseDPDF=Y")</f>
        <v>13.008699999999999</v>
      </c>
      <c r="N48" s="14">
        <f>_xll.BDH("GILD US Equity","HIGH_EV_TO_T12M_EBIT","FQ2 2022","FQ2 2022","Currency=USD","Period=FQ","BEST_FPERIOD_OVERRIDE=FQ","FILING_STATUS=MR","FA_ADJUSTED=GAAP","Sort=A","Dates=H","DateFormat=P","Fill=—","Direction=H","UseDPDF=Y")</f>
        <v>13.977399999999999</v>
      </c>
      <c r="O48" s="14">
        <f>_xll.BDH("GILD US Equity","HIGH_EV_TO_T12M_EBIT","FQ3 2022","FQ3 2022","Currency=USD","Period=FQ","BEST_FPERIOD_OVERRIDE=FQ","FILING_STATUS=MR","FA_ADJUSTED=GAAP","Sort=A","Dates=H","DateFormat=P","Fill=—","Direction=H","UseDPDF=Y")</f>
        <v>15.9216</v>
      </c>
      <c r="P48" s="14">
        <f>_xll.BDH("GILD US Equity","HIGH_EV_TO_T12M_EBIT","FQ4 2022","FQ4 2022","Currency=USD","Period=FQ","BEST_FPERIOD_OVERRIDE=FQ","FILING_STATUS=MR","FA_ADJUSTED=GAAP","Sort=A","Dates=H","DateFormat=P","Fill=—","Direction=H","UseDPDF=Y")</f>
        <v>21.7348</v>
      </c>
      <c r="Q48" s="14">
        <f>_xll.BDH("GILD US Equity","HIGH_EV_TO_T12M_EBIT","FQ1 2023","FQ1 2023","Currency=USD","Period=FQ","BEST_FPERIOD_OVERRIDE=FQ","FILING_STATUS=MR","FA_ADJUSTED=GAAP","Sort=A","Dates=H","DateFormat=P","Fill=—","Direction=H","UseDPDF=Y")</f>
        <v>17.5472</v>
      </c>
      <c r="R48" s="14">
        <f>_xll.BDH("GILD US Equity","HIGH_EV_TO_T12M_EBIT","FQ2 2023","FQ2 2023","Currency=USD","Period=FQ","BEST_FPERIOD_OVERRIDE=FQ","FILING_STATUS=MR","FA_ADJUSTED=GAAP","Sort=A","Dates=H","DateFormat=P","Fill=—","Direction=H","UseDPDF=Y")</f>
        <v>14.285399999999999</v>
      </c>
      <c r="S48" s="14">
        <f>_xll.BDH("GILD US Equity","HIGH_EV_TO_T12M_EBIT","FQ3 2023","FQ3 2023","Currency=USD","Period=FQ","BEST_FPERIOD_OVERRIDE=FQ","FILING_STATUS=MR","FA_ADJUSTED=GAAP","Sort=A","Dates=H","DateFormat=P","Fill=—","Direction=H","UseDPDF=Y")</f>
        <v>13.9114</v>
      </c>
      <c r="T48" s="14">
        <f>_xll.BDH("GILD US Equity","HIGH_EV_TO_T12M_EBIT","FQ4 2023","FQ4 2023","Currency=USD","Period=FQ","BEST_FPERIOD_OVERRIDE=FQ","FILING_STATUS=MR","FA_ADJUSTED=GAAP","Sort=A","Dates=H","DateFormat=P","Fill=—","Direction=H","UseDPDF=Y")</f>
        <v>15.527799999999999</v>
      </c>
      <c r="U48" s="14">
        <f>_xll.BDH("GILD US Equity","HIGH_EV_TO_T12M_EBIT","FQ1 2024","FQ1 2024","Currency=USD","Period=FQ","BEST_FPERIOD_OVERRIDE=FQ","FILING_STATUS=MR","FA_ADJUSTED=GAAP","Sort=A","Dates=H","DateFormat=P","Fill=—","Direction=H","UseDPDF=Y")</f>
        <v>70.718599999999995</v>
      </c>
      <c r="V48" s="14">
        <f>_xll.BDH("GILD US Equity","HIGH_EV_TO_T12M_EBIT","FQ2 2024","FQ2 2024","Currency=USD","Period=FQ","BEST_FPERIOD_OVERRIDE=FQ","FILING_STATUS=MR","FA_ADJUSTED=GAAP","Sort=A","Dates=H","DateFormat=P","Fill=—","Direction=H","UseDPDF=Y")</f>
        <v>70.513999999999996</v>
      </c>
      <c r="W48" s="14">
        <f>_xll.BDH("GILD US Equity","HIGH_EV_TO_T12M_EBIT","FQ3 2024","FQ3 2024","Currency=USD","Period=FQ","BEST_FPERIOD_OVERRIDE=FQ","FILING_STATUS=MR","FA_ADJUSTED=GAAP","Sort=A","Dates=H","DateFormat=P","Fill=—","Direction=H","UseDPDF=Y")</f>
        <v>149.0367</v>
      </c>
      <c r="X48" s="14">
        <f>_xll.BDH("GILD US Equity","HIGH_EV_TO_T12M_EBIT","FQ4 2024","FQ4 2024","Currency=USD","Period=FQ","BEST_FPERIOD_OVERRIDE=FQ","FILING_STATUS=MR","FA_ADJUSTED=GAAP","Sort=A","Dates=H","DateFormat=P","Fill=—","Direction=H","UseDPDF=Y")</f>
        <v>170.33179999999999</v>
      </c>
      <c r="Y48" s="17"/>
      <c r="Z48" s="14"/>
      <c r="AA48" s="14"/>
    </row>
    <row r="49" spans="1:27" x14ac:dyDescent="0.25">
      <c r="A49" s="10" t="s">
        <v>213</v>
      </c>
      <c r="B49" s="10" t="s">
        <v>248</v>
      </c>
      <c r="C49" s="14">
        <f>_xll.BDH("GILD US Equity","LOW_EV_TO_T12M_EBIT","FQ3 2019","FQ3 2019","Currency=USD","Period=FQ","BEST_FPERIOD_OVERRIDE=FQ","FILING_STATUS=MR","FA_ADJUSTED=GAAP","Sort=A","Dates=H","DateFormat=P","Fill=—","Direction=H","UseDPDF=Y")</f>
        <v>8.9563000000000006</v>
      </c>
      <c r="D49" s="14">
        <f>_xll.BDH("GILD US Equity","LOW_EV_TO_T12M_EBIT","FQ4 2019","FQ4 2019","Currency=USD","Period=FQ","BEST_FPERIOD_OVERRIDE=FQ","FILING_STATUS=MR","FA_ADJUSTED=GAAP","Sort=A","Dates=H","DateFormat=P","Fill=—","Direction=H","UseDPDF=Y")</f>
        <v>17.9956</v>
      </c>
      <c r="E49" s="14">
        <f>_xll.BDH("GILD US Equity","LOW_EV_TO_T12M_EBIT","FQ1 2020","FQ1 2020","Currency=USD","Period=FQ","BEST_FPERIOD_OVERRIDE=FQ","FILING_STATUS=MR","FA_ADJUSTED=GAAP","Sort=A","Dates=H","DateFormat=P","Fill=—","Direction=H","UseDPDF=Y")</f>
        <v>18.3005</v>
      </c>
      <c r="F49" s="14">
        <f>_xll.BDH("GILD US Equity","LOW_EV_TO_T12M_EBIT","FQ2 2020","FQ2 2020","Currency=USD","Period=FQ","BEST_FPERIOD_OVERRIDE=FQ","FILING_STATUS=MR","FA_ADJUSTED=GAAP","Sort=A","Dates=H","DateFormat=P","Fill=—","Direction=H","UseDPDF=Y")</f>
        <v>20.358599999999999</v>
      </c>
      <c r="G49" s="14">
        <f>_xll.BDH("GILD US Equity","LOW_EV_TO_T12M_EBIT","FQ3 2020","FQ3 2020","Currency=USD","Period=FQ","BEST_FPERIOD_OVERRIDE=FQ","FILING_STATUS=MR","FA_ADJUSTED=GAAP","Sort=A","Dates=H","DateFormat=P","Fill=—","Direction=H","UseDPDF=Y")</f>
        <v>32.825200000000002</v>
      </c>
      <c r="H49" s="14">
        <f>_xll.BDH("GILD US Equity","LOW_EV_TO_T12M_EBIT","FQ4 2020","FQ4 2020","Currency=USD","Period=FQ","BEST_FPERIOD_OVERRIDE=FQ","FILING_STATUS=MR","FA_ADJUSTED=GAAP","Sort=A","Dates=H","DateFormat=P","Fill=—","Direction=H","UseDPDF=Y")</f>
        <v>23.8901</v>
      </c>
      <c r="I49" s="14">
        <f>_xll.BDH("GILD US Equity","LOW_EV_TO_T12M_EBIT","FQ1 2021","FQ1 2021","Currency=USD","Period=FQ","BEST_FPERIOD_OVERRIDE=FQ","FILING_STATUS=MR","FA_ADJUSTED=GAAP","Sort=A","Dates=H","DateFormat=P","Fill=—","Direction=H","UseDPDF=Y")</f>
        <v>23.063700000000001</v>
      </c>
      <c r="J49" s="14">
        <f>_xll.BDH("GILD US Equity","LOW_EV_TO_T12M_EBIT","FQ2 2021","FQ2 2021","Currency=USD","Period=FQ","BEST_FPERIOD_OVERRIDE=FQ","FILING_STATUS=MR","FA_ADJUSTED=GAAP","Sort=A","Dates=H","DateFormat=P","Fill=—","Direction=H","UseDPDF=Y")</f>
        <v>11.1549</v>
      </c>
      <c r="K49" s="14">
        <f>_xll.BDH("GILD US Equity","LOW_EV_TO_T12M_EBIT","FQ3 2021","FQ3 2021","Currency=USD","Period=FQ","BEST_FPERIOD_OVERRIDE=FQ","FILING_STATUS=MR","FA_ADJUSTED=GAAP","Sort=A","Dates=H","DateFormat=P","Fill=—","Direction=H","UseDPDF=Y")</f>
        <v>9.3239999999999998</v>
      </c>
      <c r="L49" s="14">
        <f>_xll.BDH("GILD US Equity","LOW_EV_TO_T12M_EBIT","FQ4 2021","FQ4 2021","Currency=USD","Period=FQ","BEST_FPERIOD_OVERRIDE=FQ","FILING_STATUS=MR","FA_ADJUSTED=GAAP","Sort=A","Dates=H","DateFormat=P","Fill=—","Direction=H","UseDPDF=Y")</f>
        <v>8.7948000000000004</v>
      </c>
      <c r="M49" s="14">
        <f>_xll.BDH("GILD US Equity","LOW_EV_TO_T12M_EBIT","FQ1 2022","FQ1 2022","Currency=USD","Period=FQ","BEST_FPERIOD_OVERRIDE=FQ","FILING_STATUS=MR","FA_ADJUSTED=GAAP","Sort=A","Dates=H","DateFormat=P","Fill=—","Direction=H","UseDPDF=Y")</f>
        <v>9.2836999999999996</v>
      </c>
      <c r="N49" s="14">
        <f>_xll.BDH("GILD US Equity","LOW_EV_TO_T12M_EBIT","FQ2 2022","FQ2 2022","Currency=USD","Period=FQ","BEST_FPERIOD_OVERRIDE=FQ","FILING_STATUS=MR","FA_ADJUSTED=GAAP","Sort=A","Dates=H","DateFormat=P","Fill=—","Direction=H","UseDPDF=Y")</f>
        <v>12.7118</v>
      </c>
      <c r="O49" s="14">
        <f>_xll.BDH("GILD US Equity","LOW_EV_TO_T12M_EBIT","FQ3 2022","FQ3 2022","Currency=USD","Period=FQ","BEST_FPERIOD_OVERRIDE=FQ","FILING_STATUS=MR","FA_ADJUSTED=GAAP","Sort=A","Dates=H","DateFormat=P","Fill=—","Direction=H","UseDPDF=Y")</f>
        <v>13.3957</v>
      </c>
      <c r="P49" s="14">
        <f>_xll.BDH("GILD US Equity","LOW_EV_TO_T12M_EBIT","FQ4 2022","FQ4 2022","Currency=USD","Period=FQ","BEST_FPERIOD_OVERRIDE=FQ","FILING_STATUS=MR","FA_ADJUSTED=GAAP","Sort=A","Dates=H","DateFormat=P","Fill=—","Direction=H","UseDPDF=Y")</f>
        <v>16.053100000000001</v>
      </c>
      <c r="Q49" s="14">
        <f>_xll.BDH("GILD US Equity","LOW_EV_TO_T12M_EBIT","FQ1 2023","FQ1 2023","Currency=USD","Period=FQ","BEST_FPERIOD_OVERRIDE=FQ","FILING_STATUS=MR","FA_ADJUSTED=GAAP","Sort=A","Dates=H","DateFormat=P","Fill=—","Direction=H","UseDPDF=Y")</f>
        <v>13.7583</v>
      </c>
      <c r="R49" s="14">
        <f>_xll.BDH("GILD US Equity","LOW_EV_TO_T12M_EBIT","FQ2 2023","FQ2 2023","Currency=USD","Period=FQ","BEST_FPERIOD_OVERRIDE=FQ","FILING_STATUS=MR","FA_ADJUSTED=GAAP","Sort=A","Dates=H","DateFormat=P","Fill=—","Direction=H","UseDPDF=Y")</f>
        <v>12.774900000000001</v>
      </c>
      <c r="S49" s="14">
        <f>_xll.BDH("GILD US Equity","LOW_EV_TO_T12M_EBIT","FQ3 2023","FQ3 2023","Currency=USD","Period=FQ","BEST_FPERIOD_OVERRIDE=FQ","FILING_STATUS=MR","FA_ADJUSTED=GAAP","Sort=A","Dates=H","DateFormat=P","Fill=—","Direction=H","UseDPDF=Y")</f>
        <v>12.8996</v>
      </c>
      <c r="T49" s="14">
        <f>_xll.BDH("GILD US Equity","LOW_EV_TO_T12M_EBIT","FQ4 2023","FQ4 2023","Currency=USD","Period=FQ","BEST_FPERIOD_OVERRIDE=FQ","FILING_STATUS=MR","FA_ADJUSTED=GAAP","Sort=A","Dates=H","DateFormat=P","Fill=—","Direction=H","UseDPDF=Y")</f>
        <v>13.0975</v>
      </c>
      <c r="U49" s="14">
        <f>_xll.BDH("GILD US Equity","LOW_EV_TO_T12M_EBIT","FQ1 2024","FQ1 2024","Currency=USD","Period=FQ","BEST_FPERIOD_OVERRIDE=FQ","FILING_STATUS=MR","FA_ADJUSTED=GAAP","Sort=A","Dates=H","DateFormat=P","Fill=—","Direction=H","UseDPDF=Y")</f>
        <v>13.982699999999999</v>
      </c>
      <c r="V49" s="14">
        <f>_xll.BDH("GILD US Equity","LOW_EV_TO_T12M_EBIT","FQ2 2024","FQ2 2024","Currency=USD","Period=FQ","BEST_FPERIOD_OVERRIDE=FQ","FILING_STATUS=MR","FA_ADJUSTED=GAAP","Sort=A","Dates=H","DateFormat=P","Fill=—","Direction=H","UseDPDF=Y")</f>
        <v>41.443899999999999</v>
      </c>
      <c r="W49" s="14">
        <f>_xll.BDH("GILD US Equity","LOW_EV_TO_T12M_EBIT","FQ3 2024","FQ3 2024","Currency=USD","Period=FQ","BEST_FPERIOD_OVERRIDE=FQ","FILING_STATUS=MR","FA_ADJUSTED=GAAP","Sort=A","Dates=H","DateFormat=P","Fill=—","Direction=H","UseDPDF=Y")</f>
        <v>40.459699999999998</v>
      </c>
      <c r="X49" s="14">
        <f>_xll.BDH("GILD US Equity","LOW_EV_TO_T12M_EBIT","FQ4 2024","FQ4 2024","Currency=USD","Period=FQ","BEST_FPERIOD_OVERRIDE=FQ","FILING_STATUS=MR","FA_ADJUSTED=GAAP","Sort=A","Dates=H","DateFormat=P","Fill=—","Direction=H","UseDPDF=Y")</f>
        <v>79.689700000000002</v>
      </c>
      <c r="Y49" s="17"/>
      <c r="Z49" s="14"/>
      <c r="AA49" s="14"/>
    </row>
    <row r="50" spans="1:27" x14ac:dyDescent="0.25">
      <c r="A50" s="6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21"/>
      <c r="Z50" s="18"/>
      <c r="AA50" s="18"/>
    </row>
    <row r="51" spans="1:27" x14ac:dyDescent="0.25">
      <c r="A51" s="6" t="s">
        <v>249</v>
      </c>
      <c r="B51" s="6" t="s">
        <v>250</v>
      </c>
      <c r="C51" s="20">
        <f>_xll.BDH("GILD US Equity","PX_LAST","FQ3 2019","FQ3 2019","Currency=USD","Period=FQ","BEST_FPERIOD_OVERRIDE=FQ","FILING_STATUS=MR","Sort=A","Dates=H","DateFormat=P","Fill=—","Direction=H","UseDPDF=Y")</f>
        <v>63.38</v>
      </c>
      <c r="D51" s="20">
        <f>_xll.BDH("GILD US Equity","PX_LAST","FQ4 2019","FQ4 2019","Currency=USD","Period=FQ","BEST_FPERIOD_OVERRIDE=FQ","FILING_STATUS=MR","Sort=A","Dates=H","DateFormat=P","Fill=—","Direction=H","UseDPDF=Y")</f>
        <v>64.98</v>
      </c>
      <c r="E51" s="20">
        <f>_xll.BDH("GILD US Equity","PX_LAST","FQ1 2020","FQ1 2020","Currency=USD","Period=FQ","BEST_FPERIOD_OVERRIDE=FQ","FILING_STATUS=MR","Sort=A","Dates=H","DateFormat=P","Fill=—","Direction=H","UseDPDF=Y")</f>
        <v>74.760000000000005</v>
      </c>
      <c r="F51" s="20">
        <f>_xll.BDH("GILD US Equity","PX_LAST","FQ2 2020","FQ2 2020","Currency=USD","Period=FQ","BEST_FPERIOD_OVERRIDE=FQ","FILING_STATUS=MR","Sort=A","Dates=H","DateFormat=P","Fill=—","Direction=H","UseDPDF=Y")</f>
        <v>76.94</v>
      </c>
      <c r="G51" s="20">
        <f>_xll.BDH("GILD US Equity","PX_LAST","FQ3 2020","FQ3 2020","Currency=USD","Period=FQ","BEST_FPERIOD_OVERRIDE=FQ","FILING_STATUS=MR","Sort=A","Dates=H","DateFormat=P","Fill=—","Direction=H","UseDPDF=Y")</f>
        <v>63.19</v>
      </c>
      <c r="H51" s="20">
        <f>_xll.BDH("GILD US Equity","PX_LAST","FQ4 2020","FQ4 2020","Currency=USD","Period=FQ","BEST_FPERIOD_OVERRIDE=FQ","FILING_STATUS=MR","Sort=A","Dates=H","DateFormat=P","Fill=—","Direction=H","UseDPDF=Y")</f>
        <v>58.26</v>
      </c>
      <c r="I51" s="20">
        <f>_xll.BDH("GILD US Equity","PX_LAST","FQ1 2021","FQ1 2021","Currency=USD","Period=FQ","BEST_FPERIOD_OVERRIDE=FQ","FILING_STATUS=MR","Sort=A","Dates=H","DateFormat=P","Fill=—","Direction=H","UseDPDF=Y")</f>
        <v>64.63</v>
      </c>
      <c r="J51" s="20">
        <f>_xll.BDH("GILD US Equity","PX_LAST","FQ2 2021","FQ2 2021","Currency=USD","Period=FQ","BEST_FPERIOD_OVERRIDE=FQ","FILING_STATUS=MR","Sort=A","Dates=H","DateFormat=P","Fill=—","Direction=H","UseDPDF=Y")</f>
        <v>68.86</v>
      </c>
      <c r="K51" s="20">
        <f>_xll.BDH("GILD US Equity","PX_LAST","FQ3 2021","FQ3 2021","Currency=USD","Period=FQ","BEST_FPERIOD_OVERRIDE=FQ","FILING_STATUS=MR","Sort=A","Dates=H","DateFormat=P","Fill=—","Direction=H","UseDPDF=Y")</f>
        <v>69.849999999999994</v>
      </c>
      <c r="L51" s="20">
        <f>_xll.BDH("GILD US Equity","PX_LAST","FQ4 2021","FQ4 2021","Currency=USD","Period=FQ","BEST_FPERIOD_OVERRIDE=FQ","FILING_STATUS=MR","Sort=A","Dates=H","DateFormat=P","Fill=—","Direction=H","UseDPDF=Y")</f>
        <v>72.61</v>
      </c>
      <c r="M51" s="20">
        <f>_xll.BDH("GILD US Equity","PX_LAST","FQ1 2022","FQ1 2022","Currency=USD","Period=FQ","BEST_FPERIOD_OVERRIDE=FQ","FILING_STATUS=MR","Sort=A","Dates=H","DateFormat=P","Fill=—","Direction=H","UseDPDF=Y")</f>
        <v>59.45</v>
      </c>
      <c r="N51" s="20">
        <f>_xll.BDH("GILD US Equity","PX_LAST","FQ2 2022","FQ2 2022","Currency=USD","Period=FQ","BEST_FPERIOD_OVERRIDE=FQ","FILING_STATUS=MR","Sort=A","Dates=H","DateFormat=P","Fill=—","Direction=H","UseDPDF=Y")</f>
        <v>61.81</v>
      </c>
      <c r="O51" s="20">
        <f>_xll.BDH("GILD US Equity","PX_LAST","FQ3 2022","FQ3 2022","Currency=USD","Period=FQ","BEST_FPERIOD_OVERRIDE=FQ","FILING_STATUS=MR","Sort=A","Dates=H","DateFormat=P","Fill=—","Direction=H","UseDPDF=Y")</f>
        <v>61.69</v>
      </c>
      <c r="P51" s="20">
        <f>_xll.BDH("GILD US Equity","PX_LAST","FQ4 2022","FQ4 2022","Currency=USD","Period=FQ","BEST_FPERIOD_OVERRIDE=FQ","FILING_STATUS=MR","Sort=A","Dates=H","DateFormat=P","Fill=—","Direction=H","UseDPDF=Y")</f>
        <v>85.85</v>
      </c>
      <c r="Q51" s="20">
        <f>_xll.BDH("GILD US Equity","PX_LAST","FQ1 2023","FQ1 2023","Currency=USD","Period=FQ","BEST_FPERIOD_OVERRIDE=FQ","FILING_STATUS=MR","Sort=A","Dates=H","DateFormat=P","Fill=—","Direction=H","UseDPDF=Y")</f>
        <v>82.97</v>
      </c>
      <c r="R51" s="20">
        <f>_xll.BDH("GILD US Equity","PX_LAST","FQ2 2023","FQ2 2023","Currency=USD","Period=FQ","BEST_FPERIOD_OVERRIDE=FQ","FILING_STATUS=MR","Sort=A","Dates=H","DateFormat=P","Fill=—","Direction=H","UseDPDF=Y")</f>
        <v>77.069999999999993</v>
      </c>
      <c r="S51" s="20">
        <f>_xll.BDH("GILD US Equity","PX_LAST","FQ3 2023","FQ3 2023","Currency=USD","Period=FQ","BEST_FPERIOD_OVERRIDE=FQ","FILING_STATUS=MR","Sort=A","Dates=H","DateFormat=P","Fill=—","Direction=H","UseDPDF=Y")</f>
        <v>74.94</v>
      </c>
      <c r="T51" s="20">
        <f>_xll.BDH("GILD US Equity","PX_LAST","FQ4 2023","FQ4 2023","Currency=USD","Period=FQ","BEST_FPERIOD_OVERRIDE=FQ","FILING_STATUS=MR","Sort=A","Dates=H","DateFormat=P","Fill=—","Direction=H","UseDPDF=Y")</f>
        <v>81.010000000000005</v>
      </c>
      <c r="U51" s="20">
        <f>_xll.BDH("GILD US Equity","PX_LAST","FQ1 2024","FQ1 2024","Currency=USD","Period=FQ","BEST_FPERIOD_OVERRIDE=FQ","FILING_STATUS=MR","Sort=A","Dates=H","DateFormat=P","Fill=—","Direction=H","UseDPDF=Y")</f>
        <v>73.25</v>
      </c>
      <c r="V51" s="20">
        <f>_xll.BDH("GILD US Equity","PX_LAST","FQ2 2024","FQ2 2024","Currency=USD","Period=FQ","BEST_FPERIOD_OVERRIDE=FQ","FILING_STATUS=MR","Sort=A","Dates=H","DateFormat=P","Fill=—","Direction=H","UseDPDF=Y")</f>
        <v>68.61</v>
      </c>
      <c r="W51" s="20">
        <f>_xll.BDH("GILD US Equity","PX_LAST","FQ3 2024","FQ3 2024","Currency=USD","Period=FQ","BEST_FPERIOD_OVERRIDE=FQ","FILING_STATUS=MR","Sort=A","Dates=H","DateFormat=P","Fill=—","Direction=H","UseDPDF=Y")</f>
        <v>83.84</v>
      </c>
      <c r="X51" s="20">
        <f>_xll.BDH("GILD US Equity","PX_LAST","FQ4 2024","FQ4 2024","Currency=USD","Period=FQ","BEST_FPERIOD_OVERRIDE=FQ","FILING_STATUS=MR","Sort=A","Dates=H","DateFormat=P","Fill=—","Direction=H","UseDPDF=Y")</f>
        <v>92.37</v>
      </c>
      <c r="Y51" s="23">
        <v>111.75</v>
      </c>
      <c r="Z51" s="20"/>
      <c r="AA51" s="20"/>
    </row>
    <row r="52" spans="1:27" x14ac:dyDescent="0.25">
      <c r="A52" s="10" t="s">
        <v>211</v>
      </c>
      <c r="B52" s="10" t="s">
        <v>251</v>
      </c>
      <c r="C52" s="14">
        <f>_xll.BDH("GILD US Equity","PX_HIGH","FQ3 2019","FQ3 2019","Currency=USD","Period=FQ","BEST_FPERIOD_OVERRIDE=FQ","FILING_STATUS=MR","Sort=A","Dates=H","DateFormat=P","Fill=—","Direction=H","UseDPDF=Y")</f>
        <v>69.344999999999999</v>
      </c>
      <c r="D52" s="14">
        <f>_xll.BDH("GILD US Equity","PX_HIGH","FQ4 2019","FQ4 2019","Currency=USD","Period=FQ","BEST_FPERIOD_OVERRIDE=FQ","FILING_STATUS=MR","Sort=A","Dates=H","DateFormat=P","Fill=—","Direction=H","UseDPDF=Y")</f>
        <v>68.16</v>
      </c>
      <c r="E52" s="14">
        <f>_xll.BDH("GILD US Equity","PX_HIGH","FQ1 2020","FQ1 2020","Currency=USD","Period=FQ","BEST_FPERIOD_OVERRIDE=FQ","FILING_STATUS=MR","Sort=A","Dates=H","DateFormat=P","Fill=—","Direction=H","UseDPDF=Y")</f>
        <v>85.97</v>
      </c>
      <c r="F52" s="14">
        <f>_xll.BDH("GILD US Equity","PX_HIGH","FQ2 2020","FQ2 2020","Currency=USD","Period=FQ","BEST_FPERIOD_OVERRIDE=FQ","FILING_STATUS=MR","Sort=A","Dates=H","DateFormat=P","Fill=—","Direction=H","UseDPDF=Y")</f>
        <v>85.79</v>
      </c>
      <c r="G52" s="14">
        <f>_xll.BDH("GILD US Equity","PX_HIGH","FQ3 2020","FQ3 2020","Currency=USD","Period=FQ","BEST_FPERIOD_OVERRIDE=FQ","FILING_STATUS=MR","Sort=A","Dates=H","DateFormat=P","Fill=—","Direction=H","UseDPDF=Y")</f>
        <v>78.94</v>
      </c>
      <c r="H52" s="14">
        <f>_xll.BDH("GILD US Equity","PX_HIGH","FQ4 2020","FQ4 2020","Currency=USD","Period=FQ","BEST_FPERIOD_OVERRIDE=FQ","FILING_STATUS=MR","Sort=A","Dates=H","DateFormat=P","Fill=—","Direction=H","UseDPDF=Y")</f>
        <v>64.989999999999995</v>
      </c>
      <c r="I52" s="14">
        <f>_xll.BDH("GILD US Equity","PX_HIGH","FQ1 2021","FQ1 2021","Currency=USD","Period=FQ","BEST_FPERIOD_OVERRIDE=FQ","FILING_STATUS=MR","Sort=A","Dates=H","DateFormat=P","Fill=—","Direction=H","UseDPDF=Y")</f>
        <v>69.36</v>
      </c>
      <c r="J52" s="14">
        <f>_xll.BDH("GILD US Equity","PX_HIGH","FQ2 2021","FQ2 2021","Currency=USD","Period=FQ","BEST_FPERIOD_OVERRIDE=FQ","FILING_STATUS=MR","Sort=A","Dates=H","DateFormat=P","Fill=—","Direction=H","UseDPDF=Y")</f>
        <v>70.11</v>
      </c>
      <c r="K52" s="14">
        <f>_xll.BDH("GILD US Equity","PX_HIGH","FQ3 2021","FQ3 2021","Currency=USD","Period=FQ","BEST_FPERIOD_OVERRIDE=FQ","FILING_STATUS=MR","Sort=A","Dates=H","DateFormat=P","Fill=—","Direction=H","UseDPDF=Y")</f>
        <v>73.3399</v>
      </c>
      <c r="L52" s="14">
        <f>_xll.BDH("GILD US Equity","PX_HIGH","FQ4 2021","FQ4 2021","Currency=USD","Period=FQ","BEST_FPERIOD_OVERRIDE=FQ","FILING_STATUS=MR","Sort=A","Dates=H","DateFormat=P","Fill=—","Direction=H","UseDPDF=Y")</f>
        <v>74.12</v>
      </c>
      <c r="M52" s="14">
        <f>_xll.BDH("GILD US Equity","PX_HIGH","FQ1 2022","FQ1 2022","Currency=USD","Period=FQ","BEST_FPERIOD_OVERRIDE=FQ","FILING_STATUS=MR","Sort=A","Dates=H","DateFormat=P","Fill=—","Direction=H","UseDPDF=Y")</f>
        <v>73.394999999999996</v>
      </c>
      <c r="N52" s="14">
        <f>_xll.BDH("GILD US Equity","PX_HIGH","FQ2 2022","FQ2 2022","Currency=USD","Period=FQ","BEST_FPERIOD_OVERRIDE=FQ","FILING_STATUS=MR","Sort=A","Dates=H","DateFormat=P","Fill=—","Direction=H","UseDPDF=Y")</f>
        <v>65.459999999999994</v>
      </c>
      <c r="O52" s="14">
        <f>_xll.BDH("GILD US Equity","PX_HIGH","FQ3 2022","FQ3 2022","Currency=USD","Period=FQ","BEST_FPERIOD_OVERRIDE=FQ","FILING_STATUS=MR","Sort=A","Dates=H","DateFormat=P","Fill=—","Direction=H","UseDPDF=Y")</f>
        <v>68.88</v>
      </c>
      <c r="P52" s="14">
        <f>_xll.BDH("GILD US Equity","PX_HIGH","FQ4 2022","FQ4 2022","Currency=USD","Period=FQ","BEST_FPERIOD_OVERRIDE=FQ","FILING_STATUS=MR","Sort=A","Dates=H","DateFormat=P","Fill=—","Direction=H","UseDPDF=Y")</f>
        <v>89.74</v>
      </c>
      <c r="Q52" s="14">
        <f>_xll.BDH("GILD US Equity","PX_HIGH","FQ1 2023","FQ1 2023","Currency=USD","Period=FQ","BEST_FPERIOD_OVERRIDE=FQ","FILING_STATUS=MR","Sort=A","Dates=H","DateFormat=P","Fill=—","Direction=H","UseDPDF=Y")</f>
        <v>88.29</v>
      </c>
      <c r="R52" s="14">
        <f>_xll.BDH("GILD US Equity","PX_HIGH","FQ2 2023","FQ2 2023","Currency=USD","Period=FQ","BEST_FPERIOD_OVERRIDE=FQ","FILING_STATUS=MR","Sort=A","Dates=H","DateFormat=P","Fill=—","Direction=H","UseDPDF=Y")</f>
        <v>87.37</v>
      </c>
      <c r="S52" s="14">
        <f>_xll.BDH("GILD US Equity","PX_HIGH","FQ3 2023","FQ3 2023","Currency=USD","Period=FQ","BEST_FPERIOD_OVERRIDE=FQ","FILING_STATUS=MR","Sort=A","Dates=H","DateFormat=P","Fill=—","Direction=H","UseDPDF=Y")</f>
        <v>81.430000000000007</v>
      </c>
      <c r="T52" s="14">
        <f>_xll.BDH("GILD US Equity","PX_HIGH","FQ4 2023","FQ4 2023","Currency=USD","Period=FQ","BEST_FPERIOD_OVERRIDE=FQ","FILING_STATUS=MR","Sort=A","Dates=H","DateFormat=P","Fill=—","Direction=H","UseDPDF=Y")</f>
        <v>83.12</v>
      </c>
      <c r="U52" s="14">
        <f>_xll.BDH("GILD US Equity","PX_HIGH","FQ1 2024","FQ1 2024","Currency=USD","Period=FQ","BEST_FPERIOD_OVERRIDE=FQ","FILING_STATUS=MR","Sort=A","Dates=H","DateFormat=P","Fill=—","Direction=H","UseDPDF=Y")</f>
        <v>87.864999999999995</v>
      </c>
      <c r="V52" s="14">
        <f>_xll.BDH("GILD US Equity","PX_HIGH","FQ2 2024","FQ2 2024","Currency=USD","Period=FQ","BEST_FPERIOD_OVERRIDE=FQ","FILING_STATUS=MR","Sort=A","Dates=H","DateFormat=P","Fill=—","Direction=H","UseDPDF=Y")</f>
        <v>73.22</v>
      </c>
      <c r="W52" s="14">
        <f>_xll.BDH("GILD US Equity","PX_HIGH","FQ3 2024","FQ3 2024","Currency=USD","Period=FQ","BEST_FPERIOD_OVERRIDE=FQ","FILING_STATUS=MR","Sort=A","Dates=H","DateFormat=P","Fill=—","Direction=H","UseDPDF=Y")</f>
        <v>84.89</v>
      </c>
      <c r="X52" s="14">
        <f>_xll.BDH("GILD US Equity","PX_HIGH","FQ4 2024","FQ4 2024","Currency=USD","Period=FQ","BEST_FPERIOD_OVERRIDE=FQ","FILING_STATUS=MR","Sort=A","Dates=H","DateFormat=P","Fill=—","Direction=H","UseDPDF=Y")</f>
        <v>98.9</v>
      </c>
      <c r="Y52" s="17">
        <v>111.970001220703</v>
      </c>
      <c r="Z52" s="14"/>
      <c r="AA52" s="14"/>
    </row>
    <row r="53" spans="1:27" x14ac:dyDescent="0.25">
      <c r="A53" s="10" t="s">
        <v>213</v>
      </c>
      <c r="B53" s="10" t="s">
        <v>252</v>
      </c>
      <c r="C53" s="14">
        <f>_xll.BDH("GILD US Equity","PX_LOW","FQ3 2019","FQ3 2019","Currency=USD","Period=FQ","BEST_FPERIOD_OVERRIDE=FQ","FILING_STATUS=MR","Sort=A","Dates=H","DateFormat=P","Fill=—","Direction=H","UseDPDF=Y")</f>
        <v>62.19</v>
      </c>
      <c r="D53" s="14">
        <f>_xll.BDH("GILD US Equity","PX_LOW","FQ4 2019","FQ4 2019","Currency=USD","Period=FQ","BEST_FPERIOD_OVERRIDE=FQ","FILING_STATUS=MR","Sort=A","Dates=H","DateFormat=P","Fill=—","Direction=H","UseDPDF=Y")</f>
        <v>60.89</v>
      </c>
      <c r="E53" s="14">
        <f>_xll.BDH("GILD US Equity","PX_LOW","FQ1 2020","FQ1 2020","Currency=USD","Period=FQ","BEST_FPERIOD_OVERRIDE=FQ","FILING_STATUS=MR","Sort=A","Dates=H","DateFormat=P","Fill=—","Direction=H","UseDPDF=Y")</f>
        <v>62.23</v>
      </c>
      <c r="F53" s="14">
        <f>_xll.BDH("GILD US Equity","PX_LOW","FQ2 2020","FQ2 2020","Currency=USD","Period=FQ","BEST_FPERIOD_OVERRIDE=FQ","FILING_STATUS=MR","Sort=A","Dates=H","DateFormat=P","Fill=—","Direction=H","UseDPDF=Y")</f>
        <v>71.38</v>
      </c>
      <c r="G53" s="14">
        <f>_xll.BDH("GILD US Equity","PX_LOW","FQ3 2020","FQ3 2020","Currency=USD","Period=FQ","BEST_FPERIOD_OVERRIDE=FQ","FILING_STATUS=MR","Sort=A","Dates=H","DateFormat=P","Fill=—","Direction=H","UseDPDF=Y")</f>
        <v>61.645000000000003</v>
      </c>
      <c r="H53" s="14">
        <f>_xll.BDH("GILD US Equity","PX_LOW","FQ4 2020","FQ4 2020","Currency=USD","Period=FQ","BEST_FPERIOD_OVERRIDE=FQ","FILING_STATUS=MR","Sort=A","Dates=H","DateFormat=P","Fill=—","Direction=H","UseDPDF=Y")</f>
        <v>56.56</v>
      </c>
      <c r="I53" s="14">
        <f>_xll.BDH("GILD US Equity","PX_LOW","FQ1 2021","FQ1 2021","Currency=USD","Period=FQ","BEST_FPERIOD_OVERRIDE=FQ","FILING_STATUS=MR","Sort=A","Dates=H","DateFormat=P","Fill=—","Direction=H","UseDPDF=Y")</f>
        <v>57.929099999999998</v>
      </c>
      <c r="J53" s="14">
        <f>_xll.BDH("GILD US Equity","PX_LOW","FQ2 2021","FQ2 2021","Currency=USD","Period=FQ","BEST_FPERIOD_OVERRIDE=FQ","FILING_STATUS=MR","Sort=A","Dates=H","DateFormat=P","Fill=—","Direction=H","UseDPDF=Y")</f>
        <v>61.945</v>
      </c>
      <c r="K53" s="14">
        <f>_xll.BDH("GILD US Equity","PX_LOW","FQ3 2021","FQ3 2021","Currency=USD","Period=FQ","BEST_FPERIOD_OVERRIDE=FQ","FILING_STATUS=MR","Sort=A","Dates=H","DateFormat=P","Fill=—","Direction=H","UseDPDF=Y")</f>
        <v>67.37</v>
      </c>
      <c r="L53" s="14">
        <f>_xll.BDH("GILD US Equity","PX_LOW","FQ4 2021","FQ4 2021","Currency=USD","Period=FQ","BEST_FPERIOD_OVERRIDE=FQ","FILING_STATUS=MR","Sort=A","Dates=H","DateFormat=P","Fill=—","Direction=H","UseDPDF=Y")</f>
        <v>64.055000000000007</v>
      </c>
      <c r="M53" s="14">
        <f>_xll.BDH("GILD US Equity","PX_LOW","FQ1 2022","FQ1 2022","Currency=USD","Period=FQ","BEST_FPERIOD_OVERRIDE=FQ","FILING_STATUS=MR","Sort=A","Dates=H","DateFormat=P","Fill=—","Direction=H","UseDPDF=Y")</f>
        <v>57.185000000000002</v>
      </c>
      <c r="N53" s="14">
        <f>_xll.BDH("GILD US Equity","PX_LOW","FQ2 2022","FQ2 2022","Currency=USD","Period=FQ","BEST_FPERIOD_OVERRIDE=FQ","FILING_STATUS=MR","Sort=A","Dates=H","DateFormat=P","Fill=—","Direction=H","UseDPDF=Y")</f>
        <v>57.164999999999999</v>
      </c>
      <c r="O53" s="14">
        <f>_xll.BDH("GILD US Equity","PX_LOW","FQ3 2022","FQ3 2022","Currency=USD","Period=FQ","BEST_FPERIOD_OVERRIDE=FQ","FILING_STATUS=MR","Sort=A","Dates=H","DateFormat=P","Fill=—","Direction=H","UseDPDF=Y")</f>
        <v>59.27</v>
      </c>
      <c r="P53" s="14">
        <f>_xll.BDH("GILD US Equity","PX_LOW","FQ4 2022","FQ4 2022","Currency=USD","Period=FQ","BEST_FPERIOD_OVERRIDE=FQ","FILING_STATUS=MR","Sort=A","Dates=H","DateFormat=P","Fill=—","Direction=H","UseDPDF=Y")</f>
        <v>61.445</v>
      </c>
      <c r="Q53" s="14">
        <f>_xll.BDH("GILD US Equity","PX_LOW","FQ1 2023","FQ1 2023","Currency=USD","Period=FQ","BEST_FPERIOD_OVERRIDE=FQ","FILING_STATUS=MR","Sort=A","Dates=H","DateFormat=P","Fill=—","Direction=H","UseDPDF=Y")</f>
        <v>76.525000000000006</v>
      </c>
      <c r="R53" s="14">
        <f>_xll.BDH("GILD US Equity","PX_LOW","FQ2 2023","FQ2 2023","Currency=USD","Period=FQ","BEST_FPERIOD_OVERRIDE=FQ","FILING_STATUS=MR","Sort=A","Dates=H","DateFormat=P","Fill=—","Direction=H","UseDPDF=Y")</f>
        <v>74.959999999999994</v>
      </c>
      <c r="S53" s="14">
        <f>_xll.BDH("GILD US Equity","PX_LOW","FQ3 2023","FQ3 2023","Currency=USD","Period=FQ","BEST_FPERIOD_OVERRIDE=FQ","FILING_STATUS=MR","Sort=A","Dates=H","DateFormat=P","Fill=—","Direction=H","UseDPDF=Y")</f>
        <v>73.25</v>
      </c>
      <c r="T53" s="14">
        <f>_xll.BDH("GILD US Equity","PX_LOW","FQ4 2023","FQ4 2023","Currency=USD","Period=FQ","BEST_FPERIOD_OVERRIDE=FQ","FILING_STATUS=MR","Sort=A","Dates=H","DateFormat=P","Fill=—","Direction=H","UseDPDF=Y")</f>
        <v>72.865899999999996</v>
      </c>
      <c r="U53" s="14">
        <f>_xll.BDH("GILD US Equity","PX_LOW","FQ1 2024","FQ1 2024","Currency=USD","Period=FQ","BEST_FPERIOD_OVERRIDE=FQ","FILING_STATUS=MR","Sort=A","Dates=H","DateFormat=P","Fill=—","Direction=H","UseDPDF=Y")</f>
        <v>71.37</v>
      </c>
      <c r="V53" s="14">
        <f>_xll.BDH("GILD US Equity","PX_LOW","FQ2 2024","FQ2 2024","Currency=USD","Period=FQ","BEST_FPERIOD_OVERRIDE=FQ","FILING_STATUS=MR","Sort=A","Dates=H","DateFormat=P","Fill=—","Direction=H","UseDPDF=Y")</f>
        <v>62.07</v>
      </c>
      <c r="W53" s="14">
        <f>_xll.BDH("GILD US Equity","PX_LOW","FQ3 2024","FQ3 2024","Currency=USD","Period=FQ","BEST_FPERIOD_OVERRIDE=FQ","FILING_STATUS=MR","Sort=A","Dates=H","DateFormat=P","Fill=—","Direction=H","UseDPDF=Y")</f>
        <v>66.010000000000005</v>
      </c>
      <c r="X53" s="14">
        <f>_xll.BDH("GILD US Equity","PX_LOW","FQ4 2024","FQ4 2024","Currency=USD","Period=FQ","BEST_FPERIOD_OVERRIDE=FQ","FILING_STATUS=MR","Sort=A","Dates=H","DateFormat=P","Fill=—","Direction=H","UseDPDF=Y")</f>
        <v>82.82</v>
      </c>
      <c r="Y53" s="17">
        <v>109.64499664306599</v>
      </c>
      <c r="Z53" s="14"/>
      <c r="AA53" s="14"/>
    </row>
    <row r="54" spans="1:27" x14ac:dyDescent="0.25">
      <c r="A54" s="6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21"/>
      <c r="Z54" s="18"/>
      <c r="AA54" s="18"/>
    </row>
    <row r="55" spans="1:27" x14ac:dyDescent="0.25">
      <c r="A55" s="6" t="s">
        <v>68</v>
      </c>
      <c r="B55" s="6" t="s">
        <v>69</v>
      </c>
      <c r="C55" s="19">
        <f>_xll.BDH("GILD US Equity","ENTERPRISE_VALUE","FQ3 2019","FQ3 2019","Currency=USD","Period=FQ","BEST_FPERIOD_OVERRIDE=FQ","FILING_STATUS=MR","SCALING_FORMAT=MLN","Sort=A","Dates=H","DateFormat=P","Fill=—","Direction=H","UseDPDF=Y")</f>
        <v>80620.08</v>
      </c>
      <c r="D55" s="19">
        <f>_xll.BDH("GILD US Equity","ENTERPRISE_VALUE","FQ4 2019","FQ4 2019","Currency=USD","Period=FQ","BEST_FPERIOD_OVERRIDE=FQ","FILING_STATUS=MR","SCALING_FORMAT=MLN","Sort=A","Dates=H","DateFormat=P","Fill=—","Direction=H","UseDPDF=Y")</f>
        <v>81867.679999999993</v>
      </c>
      <c r="E55" s="19">
        <f>_xll.BDH("GILD US Equity","ENTERPRISE_VALUE","FQ1 2020","FQ1 2020","Currency=USD","Period=FQ","BEST_FPERIOD_OVERRIDE=FQ","FILING_STATUS=MR","SCALING_FORMAT=MLN","Sort=A","Dates=H","DateFormat=P","Fill=—","Direction=H","UseDPDF=Y")</f>
        <v>93644.04</v>
      </c>
      <c r="F55" s="19">
        <f>_xll.BDH("GILD US Equity","ENTERPRISE_VALUE","FQ2 2020","FQ2 2020","Currency=USD","Period=FQ","BEST_FPERIOD_OVERRIDE=FQ","FILING_STATUS=MR","SCALING_FORMAT=MLN","Sort=A","Dates=H","DateFormat=P","Fill=—","Direction=H","UseDPDF=Y")</f>
        <v>99509.759999999995</v>
      </c>
      <c r="G55" s="19">
        <f>_xll.BDH("GILD US Equity","ENTERPRISE_VALUE","FQ3 2020","FQ3 2020","Currency=USD","Period=FQ","BEST_FPERIOD_OVERRIDE=FQ","FILING_STATUS=MR","SCALING_FORMAT=MLN","Sort=A","Dates=H","DateFormat=P","Fill=—","Direction=H","UseDPDF=Y")</f>
        <v>82444.070000000007</v>
      </c>
      <c r="H55" s="19">
        <f>_xll.BDH("GILD US Equity","ENTERPRISE_VALUE","FQ4 2020","FQ4 2020","Currency=USD","Period=FQ","BEST_FPERIOD_OVERRIDE=FQ","FILING_STATUS=MR","SCALING_FORMAT=MLN","Sort=A","Dates=H","DateFormat=P","Fill=—","Direction=H","UseDPDF=Y")</f>
        <v>97284.04</v>
      </c>
      <c r="I55" s="19">
        <f>_xll.BDH("GILD US Equity","ENTERPRISE_VALUE","FQ1 2021","FQ1 2021","Currency=USD","Period=FQ","BEST_FPERIOD_OVERRIDE=FQ","FILING_STATUS=MR","SCALING_FORMAT=MLN","Sort=A","Dates=H","DateFormat=P","Fill=—","Direction=H","UseDPDF=Y")</f>
        <v>104979.02</v>
      </c>
      <c r="J55" s="19">
        <f>_xll.BDH("GILD US Equity","ENTERPRISE_VALUE","FQ2 2021","FQ2 2021","Currency=USD","Period=FQ","BEST_FPERIOD_OVERRIDE=FQ","FILING_STATUS=MR","SCALING_FORMAT=MLN","Sort=A","Dates=H","DateFormat=P","Fill=—","Direction=H","UseDPDF=Y")</f>
        <v>109171.44</v>
      </c>
      <c r="K55" s="19">
        <f>_xll.BDH("GILD US Equity","ENTERPRISE_VALUE","FQ3 2021","FQ3 2021","Currency=USD","Period=FQ","BEST_FPERIOD_OVERRIDE=FQ","FILING_STATUS=MR","SCALING_FORMAT=MLN","Sort=A","Dates=H","DateFormat=P","Fill=—","Direction=H","UseDPDF=Y")</f>
        <v>108511.75</v>
      </c>
      <c r="L55" s="19">
        <f>_xll.BDH("GILD US Equity","ENTERPRISE_VALUE","FQ4 2021","FQ4 2021","Currency=USD","Period=FQ","BEST_FPERIOD_OVERRIDE=FQ","FILING_STATUS=MR","SCALING_FORMAT=MLN","Sort=A","Dates=H","DateFormat=P","Fill=—","Direction=H","UseDPDF=Y")</f>
        <v>110503.94</v>
      </c>
      <c r="M55" s="19">
        <f>_xll.BDH("GILD US Equity","ENTERPRISE_VALUE","FQ1 2022","FQ1 2022","Currency=USD","Period=FQ","BEST_FPERIOD_OVERRIDE=FQ","FILING_STATUS=MR","SCALING_FORMAT=MLN","Sort=A","Dates=H","DateFormat=P","Fill=—","Direction=H","UseDPDF=Y")</f>
        <v>94053.75</v>
      </c>
      <c r="N55" s="19">
        <f>_xll.BDH("GILD US Equity","ENTERPRISE_VALUE","FQ2 2022","FQ2 2022","Currency=USD","Period=FQ","BEST_FPERIOD_OVERRIDE=FQ","FILING_STATUS=MR","SCALING_FORMAT=MLN","Sort=A","Dates=H","DateFormat=P","Fill=—","Direction=H","UseDPDF=Y")</f>
        <v>96704.74</v>
      </c>
      <c r="O55" s="19">
        <f>_xll.BDH("GILD US Equity","ENTERPRISE_VALUE","FQ3 2022","FQ3 2022","Currency=USD","Period=FQ","BEST_FPERIOD_OVERRIDE=FQ","FILING_STATUS=MR","SCALING_FORMAT=MLN","Sort=A","Dates=H","DateFormat=P","Fill=—","Direction=H","UseDPDF=Y")</f>
        <v>95616.26</v>
      </c>
      <c r="P55" s="19">
        <f>_xll.BDH("GILD US Equity","ENTERPRISE_VALUE","FQ4 2022","FQ4 2022","Currency=USD","Period=FQ","BEST_FPERIOD_OVERRIDE=FQ","FILING_STATUS=MR","SCALING_FORMAT=MLN","Sort=A","Dates=H","DateFormat=P","Fill=—","Direction=H","UseDPDF=Y")</f>
        <v>125201.95</v>
      </c>
      <c r="Q55" s="19">
        <f>_xll.BDH("GILD US Equity","ENTERPRISE_VALUE","FQ1 2023","FQ1 2023","Currency=USD","Period=FQ","BEST_FPERIOD_OVERRIDE=FQ","FILING_STATUS=MR","SCALING_FORMAT=MLN","Sort=A","Dates=H","DateFormat=P","Fill=—","Direction=H","UseDPDF=Y")</f>
        <v>121528.56</v>
      </c>
      <c r="R55" s="19">
        <f>_xll.BDH("GILD US Equity","ENTERPRISE_VALUE","FQ2 2023","FQ2 2023","Currency=USD","Period=FQ","BEST_FPERIOD_OVERRIDE=FQ","FILING_STATUS=MR","SCALING_FORMAT=MLN","Sort=A","Dates=H","DateFormat=P","Fill=—","Direction=H","UseDPDF=Y")</f>
        <v>113287.29</v>
      </c>
      <c r="S55" s="19">
        <f>_xll.BDH("GILD US Equity","ENTERPRISE_VALUE","FQ3 2023","FQ3 2023","Currency=USD","Period=FQ","BEST_FPERIOD_OVERRIDE=FQ","FILING_STATUS=MR","SCALING_FORMAT=MLN","Sort=A","Dates=H","DateFormat=P","Fill=—","Direction=H","UseDPDF=Y")</f>
        <v>110340.18</v>
      </c>
      <c r="T55" s="19">
        <f>_xll.BDH("GILD US Equity","ENTERPRISE_VALUE","FQ4 2023","FQ4 2023","Currency=USD","Period=FQ","BEST_FPERIOD_OVERRIDE=FQ","FILING_STATUS=MR","SCALING_FORMAT=MLN","Sort=A","Dates=H","DateFormat=P","Fill=—","Direction=H","UseDPDF=Y")</f>
        <v>118085.46</v>
      </c>
      <c r="U55" s="19">
        <f>_xll.BDH("GILD US Equity","ENTERPRISE_VALUE","FQ1 2024","FQ1 2024","Currency=USD","Period=FQ","BEST_FPERIOD_OVERRIDE=FQ","FILING_STATUS=MR","SCALING_FORMAT=MLN","Sort=A","Dates=H","DateFormat=P","Fill=—","Direction=H","UseDPDF=Y")</f>
        <v>111661.5</v>
      </c>
      <c r="V55" s="19">
        <f>_xll.BDH("GILD US Equity","ENTERPRISE_VALUE","FQ2 2024","FQ2 2024","Currency=USD","Period=FQ","BEST_FPERIOD_OVERRIDE=FQ","FILING_STATUS=MR","SCALING_FORMAT=MLN","Sort=A","Dates=H","DateFormat=P","Fill=—","Direction=H","UseDPDF=Y")</f>
        <v>105982.06</v>
      </c>
      <c r="W55" s="19">
        <f>_xll.BDH("GILD US Equity","ENTERPRISE_VALUE","FQ3 2024","FQ3 2024","Currency=USD","Period=FQ","BEST_FPERIOD_OVERRIDE=FQ","FILING_STATUS=MR","SCALING_FORMAT=MLN","Sort=A","Dates=H","DateFormat=P","Fill=—","Direction=H","UseDPDF=Y")</f>
        <v>122592.64</v>
      </c>
      <c r="X55" s="19">
        <f>_xll.BDH("GILD US Equity","ENTERPRISE_VALUE","FQ4 2024","FQ4 2024","Currency=USD","Period=FQ","BEST_FPERIOD_OVERRIDE=FQ","FILING_STATUS=MR","SCALING_FORMAT=MLN","Sort=A","Dates=H","DateFormat=P","Fill=—","Direction=H","UseDPDF=Y")</f>
        <v>132340.01999999999</v>
      </c>
      <c r="Y55" s="22">
        <v>156393.94211775</v>
      </c>
      <c r="Z55" s="19"/>
      <c r="AA55" s="19"/>
    </row>
    <row r="56" spans="1:27" x14ac:dyDescent="0.25">
      <c r="A56" s="10" t="s">
        <v>209</v>
      </c>
      <c r="B56" s="10" t="s">
        <v>253</v>
      </c>
      <c r="C56" s="13">
        <f>_xll.BDH("GILD US Equity","AVERAGE_ENTERPRISE_VALUE","FQ3 2019","FQ3 2019","Currency=USD","Period=FQ","BEST_FPERIOD_OVERRIDE=FQ","FILING_STATUS=MR","SCALING_FORMAT=MLN","Sort=A","Dates=H","DateFormat=P","Fill=—","Direction=H","UseDPDF=Y")</f>
        <v>79497.232099999994</v>
      </c>
      <c r="D56" s="13">
        <f>_xll.BDH("GILD US Equity","AVERAGE_ENTERPRISE_VALUE","FQ4 2019","FQ4 2019","Currency=USD","Period=FQ","BEST_FPERIOD_OVERRIDE=FQ","FILING_STATUS=MR","SCALING_FORMAT=MLN","Sort=A","Dates=H","DateFormat=P","Fill=—","Direction=H","UseDPDF=Y")</f>
        <v>82788.176800000001</v>
      </c>
      <c r="E56" s="13">
        <f>_xll.BDH("GILD US Equity","AVERAGE_ENTERPRISE_VALUE","FQ1 2020","FQ1 2020","Currency=USD","Period=FQ","BEST_FPERIOD_OVERRIDE=FQ","FILING_STATUS=MR","SCALING_FORMAT=MLN","Sort=A","Dates=H","DateFormat=P","Fill=—","Direction=H","UseDPDF=Y")</f>
        <v>86982.287899999996</v>
      </c>
      <c r="F56" s="13">
        <f>_xll.BDH("GILD US Equity","AVERAGE_ENTERPRISE_VALUE","FQ2 2020","FQ2 2020","Currency=USD","Period=FQ","BEST_FPERIOD_OVERRIDE=FQ","FILING_STATUS=MR","SCALING_FORMAT=MLN","Sort=A","Dates=H","DateFormat=P","Fill=—","Direction=H","UseDPDF=Y")</f>
        <v>96195.797699999996</v>
      </c>
      <c r="G56" s="13">
        <f>_xll.BDH("GILD US Equity","AVERAGE_ENTERPRISE_VALUE","FQ3 2020","FQ3 2020","Currency=USD","Period=FQ","BEST_FPERIOD_OVERRIDE=FQ","FILING_STATUS=MR","SCALING_FORMAT=MLN","Sort=A","Dates=H","DateFormat=P","Fill=—","Direction=H","UseDPDF=Y")</f>
        <v>89989.176999999996</v>
      </c>
      <c r="H56" s="13">
        <f>_xll.BDH("GILD US Equity","AVERAGE_ENTERPRISE_VALUE","FQ4 2020","FQ4 2020","Currency=USD","Period=FQ","BEST_FPERIOD_OVERRIDE=FQ","FILING_STATUS=MR","SCALING_FORMAT=MLN","Sort=A","Dates=H","DateFormat=P","Fill=—","Direction=H","UseDPDF=Y")</f>
        <v>79235.128200000006</v>
      </c>
      <c r="I56" s="13">
        <f>_xll.BDH("GILD US Equity","AVERAGE_ENTERPRISE_VALUE","FQ1 2021","FQ1 2021","Currency=USD","Period=FQ","BEST_FPERIOD_OVERRIDE=FQ","FILING_STATUS=MR","SCALING_FORMAT=MLN","Sort=A","Dates=H","DateFormat=P","Fill=—","Direction=H","UseDPDF=Y")</f>
        <v>105127.4785</v>
      </c>
      <c r="J56" s="13">
        <f>_xll.BDH("GILD US Equity","AVERAGE_ENTERPRISE_VALUE","FQ2 2021","FQ2 2021","Currency=USD","Period=FQ","BEST_FPERIOD_OVERRIDE=FQ","FILING_STATUS=MR","SCALING_FORMAT=MLN","Sort=A","Dates=H","DateFormat=P","Fill=—","Direction=H","UseDPDF=Y")</f>
        <v>107710.5469</v>
      </c>
      <c r="K56" s="13">
        <f>_xll.BDH("GILD US Equity","AVERAGE_ENTERPRISE_VALUE","FQ3 2021","FQ3 2021","Currency=USD","Period=FQ","BEST_FPERIOD_OVERRIDE=FQ","FILING_STATUS=MR","SCALING_FORMAT=MLN","Sort=A","Dates=H","DateFormat=P","Fill=—","Direction=H","UseDPDF=Y")</f>
        <v>110883.5554</v>
      </c>
      <c r="L56" s="13">
        <f>_xll.BDH("GILD US Equity","AVERAGE_ENTERPRISE_VALUE","FQ4 2021","FQ4 2021","Currency=USD","Period=FQ","BEST_FPERIOD_OVERRIDE=FQ","FILING_STATUS=MR","SCALING_FORMAT=MLN","Sort=A","Dates=H","DateFormat=P","Fill=—","Direction=H","UseDPDF=Y")</f>
        <v>107214.9651</v>
      </c>
      <c r="M56" s="13">
        <f>_xll.BDH("GILD US Equity","AVERAGE_ENTERPRISE_VALUE","FQ1 2022","FQ1 2022","Currency=USD","Period=FQ","BEST_FPERIOD_OVERRIDE=FQ","FILING_STATUS=MR","SCALING_FORMAT=MLN","Sort=A","Dates=H","DateFormat=P","Fill=—","Direction=H","UseDPDF=Y")</f>
        <v>99615.7745</v>
      </c>
      <c r="N56" s="13">
        <f>_xll.BDH("GILD US Equity","AVERAGE_ENTERPRISE_VALUE","FQ2 2022","FQ2 2022","Currency=USD","Period=FQ","BEST_FPERIOD_OVERRIDE=FQ","FILING_STATUS=MR","SCALING_FORMAT=MLN","Sort=A","Dates=H","DateFormat=P","Fill=—","Direction=H","UseDPDF=Y")</f>
        <v>97092.494399999996</v>
      </c>
      <c r="O56" s="13">
        <f>_xll.BDH("GILD US Equity","AVERAGE_ENTERPRISE_VALUE","FQ3 2022","FQ3 2022","Currency=USD","Period=FQ","BEST_FPERIOD_OVERRIDE=FQ","FILING_STATUS=MR","SCALING_FORMAT=MLN","Sort=A","Dates=H","DateFormat=P","Fill=—","Direction=H","UseDPDF=Y")</f>
        <v>98238.664999999994</v>
      </c>
      <c r="P56" s="13">
        <f>_xll.BDH("GILD US Equity","AVERAGE_ENTERPRISE_VALUE","FQ4 2022","FQ4 2022","Currency=USD","Period=FQ","BEST_FPERIOD_OVERRIDE=FQ","FILING_STATUS=MR","SCALING_FORMAT=MLN","Sort=A","Dates=H","DateFormat=P","Fill=—","Direction=H","UseDPDF=Y")</f>
        <v>117560.92630000001</v>
      </c>
      <c r="Q56" s="13">
        <f>_xll.BDH("GILD US Equity","AVERAGE_ENTERPRISE_VALUE","FQ1 2023","FQ1 2023","Currency=USD","Period=FQ","BEST_FPERIOD_OVERRIDE=FQ","FILING_STATUS=MR","SCALING_FORMAT=MLN","Sort=A","Dates=H","DateFormat=P","Fill=—","Direction=H","UseDPDF=Y")</f>
        <v>121781.9034</v>
      </c>
      <c r="R56" s="13">
        <f>_xll.BDH("GILD US Equity","AVERAGE_ENTERPRISE_VALUE","FQ2 2023","FQ2 2023","Currency=USD","Period=FQ","BEST_FPERIOD_OVERRIDE=FQ","FILING_STATUS=MR","SCALING_FORMAT=MLN","Sort=A","Dates=H","DateFormat=P","Fill=—","Direction=H","UseDPDF=Y")</f>
        <v>117560.5576</v>
      </c>
      <c r="S56" s="13">
        <f>_xll.BDH("GILD US Equity","AVERAGE_ENTERPRISE_VALUE","FQ3 2023","FQ3 2023","Currency=USD","Period=FQ","BEST_FPERIOD_OVERRIDE=FQ","FILING_STATUS=MR","SCALING_FORMAT=MLN","Sort=A","Dates=H","DateFormat=P","Fill=—","Direction=H","UseDPDF=Y")</f>
        <v>113094.0883</v>
      </c>
      <c r="T56" s="13">
        <f>_xll.BDH("GILD US Equity","AVERAGE_ENTERPRISE_VALUE","FQ4 2023","FQ4 2023","Currency=USD","Period=FQ","BEST_FPERIOD_OVERRIDE=FQ","FILING_STATUS=MR","SCALING_FORMAT=MLN","Sort=A","Dates=H","DateFormat=P","Fill=—","Direction=H","UseDPDF=Y")</f>
        <v>113857.2101</v>
      </c>
      <c r="U56" s="13">
        <f>_xll.BDH("GILD US Equity","AVERAGE_ENTERPRISE_VALUE","FQ1 2024","FQ1 2024","Currency=USD","Period=FQ","BEST_FPERIOD_OVERRIDE=FQ","FILING_STATUS=MR","SCALING_FORMAT=MLN","Sort=A","Dates=H","DateFormat=P","Fill=—","Direction=H","UseDPDF=Y")</f>
        <v>113001.60309999999</v>
      </c>
      <c r="V56" s="13">
        <f>_xll.BDH("GILD US Equity","AVERAGE_ENTERPRISE_VALUE","FQ2 2024","FQ2 2024","Currency=USD","Period=FQ","BEST_FPERIOD_OVERRIDE=FQ","FILING_STATUS=MR","SCALING_FORMAT=MLN","Sort=A","Dates=H","DateFormat=P","Fill=—","Direction=H","UseDPDF=Y")</f>
        <v>103567.2475</v>
      </c>
      <c r="W56" s="13">
        <f>_xll.BDH("GILD US Equity","AVERAGE_ENTERPRISE_VALUE","FQ3 2024","FQ3 2024","Currency=USD","Period=FQ","BEST_FPERIOD_OVERRIDE=FQ","FILING_STATUS=MR","SCALING_FORMAT=MLN","Sort=A","Dates=H","DateFormat=P","Fill=—","Direction=H","UseDPDF=Y")</f>
        <v>115482.2602</v>
      </c>
      <c r="X56" s="13">
        <f>_xll.BDH("GILD US Equity","AVERAGE_ENTERPRISE_VALUE","FQ4 2024","FQ4 2024","Currency=USD","Period=FQ","BEST_FPERIOD_OVERRIDE=FQ","FILING_STATUS=MR","SCALING_FORMAT=MLN","Sort=A","Dates=H","DateFormat=P","Fill=—","Direction=H","UseDPDF=Y")</f>
        <v>130272.9234</v>
      </c>
      <c r="Y56" s="16"/>
      <c r="Z56" s="13"/>
      <c r="AA56" s="13"/>
    </row>
    <row r="57" spans="1:27" x14ac:dyDescent="0.25">
      <c r="A57" s="10" t="s">
        <v>211</v>
      </c>
      <c r="B57" s="10" t="s">
        <v>254</v>
      </c>
      <c r="C57" s="13">
        <f>_xll.BDH("GILD US Equity","HIGH_ENTERPRISE_VALUE","FQ3 2019","FQ3 2019","Currency=USD","Period=FQ","BEST_FPERIOD_OVERRIDE=FQ","FILING_STATUS=MR","SCALING_FORMAT=MLN","Sort=A","Dates=H","DateFormat=P","Fill=—","Direction=H","UseDPDF=Y")</f>
        <v>84275.272400000002</v>
      </c>
      <c r="D57" s="13">
        <f>_xll.BDH("GILD US Equity","HIGH_ENTERPRISE_VALUE","FQ4 2019","FQ4 2019","Currency=USD","Period=FQ","BEST_FPERIOD_OVERRIDE=FQ","FILING_STATUS=MR","SCALING_FORMAT=MLN","Sort=A","Dates=H","DateFormat=P","Fill=—","Direction=H","UseDPDF=Y")</f>
        <v>86132.569600000003</v>
      </c>
      <c r="E57" s="13">
        <f>_xll.BDH("GILD US Equity","HIGH_ENTERPRISE_VALUE","FQ1 2020","FQ1 2020","Currency=USD","Period=FQ","BEST_FPERIOD_OVERRIDE=FQ","FILING_STATUS=MR","SCALING_FORMAT=MLN","Sort=A","Dates=H","DateFormat=P","Fill=—","Direction=H","UseDPDF=Y")</f>
        <v>100971.9325</v>
      </c>
      <c r="F57" s="13">
        <f>_xll.BDH("GILD US Equity","HIGH_ENTERPRISE_VALUE","FQ2 2020","FQ2 2020","Currency=USD","Period=FQ","BEST_FPERIOD_OVERRIDE=FQ","FILING_STATUS=MR","SCALING_FORMAT=MLN","Sort=A","Dates=H","DateFormat=P","Fill=—","Direction=H","UseDPDF=Y")</f>
        <v>105652.2743</v>
      </c>
      <c r="G57" s="13">
        <f>_xll.BDH("GILD US Equity","HIGH_ENTERPRISE_VALUE","FQ3 2020","FQ3 2020","Currency=USD","Period=FQ","BEST_FPERIOD_OVERRIDE=FQ","FILING_STATUS=MR","SCALING_FORMAT=MLN","Sort=A","Dates=H","DateFormat=P","Fill=—","Direction=H","UseDPDF=Y")</f>
        <v>100968.4751</v>
      </c>
      <c r="H57" s="13">
        <f>_xll.BDH("GILD US Equity","HIGH_ENTERPRISE_VALUE","FQ4 2020","FQ4 2020","Currency=USD","Period=FQ","BEST_FPERIOD_OVERRIDE=FQ","FILING_STATUS=MR","SCALING_FORMAT=MLN","Sort=A","Dates=H","DateFormat=P","Fill=—","Direction=H","UseDPDF=Y")</f>
        <v>97256.55</v>
      </c>
      <c r="I57" s="13">
        <f>_xll.BDH("GILD US Equity","HIGH_ENTERPRISE_VALUE","FQ1 2021","FQ1 2021","Currency=USD","Period=FQ","BEST_FPERIOD_OVERRIDE=FQ","FILING_STATUS=MR","SCALING_FORMAT=MLN","Sort=A","Dates=H","DateFormat=P","Fill=—","Direction=H","UseDPDF=Y")</f>
        <v>110042.5371</v>
      </c>
      <c r="J57" s="13">
        <f>_xll.BDH("GILD US Equity","HIGH_ENTERPRISE_VALUE","FQ2 2021","FQ2 2021","Currency=USD","Period=FQ","BEST_FPERIOD_OVERRIDE=FQ","FILING_STATUS=MR","SCALING_FORMAT=MLN","Sort=A","Dates=H","DateFormat=P","Fill=—","Direction=H","UseDPDF=Y")</f>
        <v>110910.2558</v>
      </c>
      <c r="K57" s="13">
        <f>_xll.BDH("GILD US Equity","HIGH_ENTERPRISE_VALUE","FQ3 2021","FQ3 2021","Currency=USD","Period=FQ","BEST_FPERIOD_OVERRIDE=FQ","FILING_STATUS=MR","SCALING_FORMAT=MLN","Sort=A","Dates=H","DateFormat=P","Fill=—","Direction=H","UseDPDF=Y")</f>
        <v>114386.7034</v>
      </c>
      <c r="L57" s="13">
        <f>_xll.BDH("GILD US Equity","HIGH_ENTERPRISE_VALUE","FQ4 2021","FQ4 2021","Currency=USD","Period=FQ","BEST_FPERIOD_OVERRIDE=FQ","FILING_STATUS=MR","SCALING_FORMAT=MLN","Sort=A","Dates=H","DateFormat=P","Fill=—","Direction=H","UseDPDF=Y")</f>
        <v>113222.8026</v>
      </c>
      <c r="M57" s="13">
        <f>_xll.BDH("GILD US Equity","HIGH_ENTERPRISE_VALUE","FQ1 2022","FQ1 2022","Currency=USD","Period=FQ","BEST_FPERIOD_OVERRIDE=FQ","FILING_STATUS=MR","SCALING_FORMAT=MLN","Sort=A","Dates=H","DateFormat=P","Fill=—","Direction=H","UseDPDF=Y")</f>
        <v>110494.156</v>
      </c>
      <c r="N57" s="13">
        <f>_xll.BDH("GILD US Equity","HIGH_ENTERPRISE_VALUE","FQ2 2022","FQ2 2022","Currency=USD","Period=FQ","BEST_FPERIOD_OVERRIDE=FQ","FILING_STATUS=MR","SCALING_FORMAT=MLN","Sort=A","Dates=H","DateFormat=P","Fill=—","Direction=H","UseDPDF=Y")</f>
        <v>100986.9173</v>
      </c>
      <c r="O57" s="13">
        <f>_xll.BDH("GILD US Equity","HIGH_ENTERPRISE_VALUE","FQ3 2022","FQ3 2022","Currency=USD","Period=FQ","BEST_FPERIOD_OVERRIDE=FQ","FILING_STATUS=MR","SCALING_FORMAT=MLN","Sort=A","Dates=H","DateFormat=P","Fill=—","Direction=H","UseDPDF=Y")</f>
        <v>104436.5165</v>
      </c>
      <c r="P57" s="13">
        <f>_xll.BDH("GILD US Equity","HIGH_ENTERPRISE_VALUE","FQ4 2022","FQ4 2022","Currency=USD","Period=FQ","BEST_FPERIOD_OVERRIDE=FQ","FILING_STATUS=MR","SCALING_FORMAT=MLN","Sort=A","Dates=H","DateFormat=P","Fill=—","Direction=H","UseDPDF=Y")</f>
        <v>130474.19680000001</v>
      </c>
      <c r="Q57" s="13">
        <f>_xll.BDH("GILD US Equity","HIGH_ENTERPRISE_VALUE","FQ1 2023","FQ1 2023","Currency=USD","Period=FQ","BEST_FPERIOD_OVERRIDE=FQ","FILING_STATUS=MR","SCALING_FORMAT=MLN","Sort=A","Dates=H","DateFormat=P","Fill=—","Direction=H","UseDPDF=Y")</f>
        <v>128620.79790000001</v>
      </c>
      <c r="R57" s="13">
        <f>_xll.BDH("GILD US Equity","HIGH_ENTERPRISE_VALUE","FQ2 2023","FQ2 2023","Currency=USD","Period=FQ","BEST_FPERIOD_OVERRIDE=FQ","FILING_STATUS=MR","SCALING_FORMAT=MLN","Sort=A","Dates=H","DateFormat=P","Fill=—","Direction=H","UseDPDF=Y")</f>
        <v>126254.3518</v>
      </c>
      <c r="S57" s="13">
        <f>_xll.BDH("GILD US Equity","HIGH_ENTERPRISE_VALUE","FQ3 2023","FQ3 2023","Currency=USD","Period=FQ","BEST_FPERIOD_OVERRIDE=FQ","FILING_STATUS=MR","SCALING_FORMAT=MLN","Sort=A","Dates=H","DateFormat=P","Fill=—","Direction=H","UseDPDF=Y")</f>
        <v>117885.52650000001</v>
      </c>
      <c r="T57" s="13">
        <f>_xll.BDH("GILD US Equity","HIGH_ENTERPRISE_VALUE","FQ4 2023","FQ4 2023","Currency=USD","Period=FQ","BEST_FPERIOD_OVERRIDE=FQ","FILING_STATUS=MR","SCALING_FORMAT=MLN","Sort=A","Dates=H","DateFormat=P","Fill=—","Direction=H","UseDPDF=Y")</f>
        <v>120423.6211</v>
      </c>
      <c r="U57" s="13">
        <f>_xll.BDH("GILD US Equity","HIGH_ENTERPRISE_VALUE","FQ1 2024","FQ1 2024","Currency=USD","Period=FQ","BEST_FPERIOD_OVERRIDE=FQ","FILING_STATUS=MR","SCALING_FORMAT=MLN","Sort=A","Dates=H","DateFormat=P","Fill=—","Direction=H","UseDPDF=Y")</f>
        <v>125913.997</v>
      </c>
      <c r="V57" s="13">
        <f>_xll.BDH("GILD US Equity","HIGH_ENTERPRISE_VALUE","FQ2 2024","FQ2 2024","Currency=USD","Period=FQ","BEST_FPERIOD_OVERRIDE=FQ","FILING_STATUS=MR","SCALING_FORMAT=MLN","Sort=A","Dates=H","DateFormat=P","Fill=—","Direction=H","UseDPDF=Y")</f>
        <v>111271.1228</v>
      </c>
      <c r="W57" s="13">
        <f>_xll.BDH("GILD US Equity","HIGH_ENTERPRISE_VALUE","FQ3 2024","FQ3 2024","Currency=USD","Period=FQ","BEST_FPERIOD_OVERRIDE=FQ","FILING_STATUS=MR","SCALING_FORMAT=MLN","Sort=A","Dates=H","DateFormat=P","Fill=—","Direction=H","UseDPDF=Y")</f>
        <v>125060.8849</v>
      </c>
      <c r="X57" s="13">
        <f>_xll.BDH("GILD US Equity","HIGH_ENTERPRISE_VALUE","FQ4 2024","FQ4 2024","Currency=USD","Period=FQ","BEST_FPERIOD_OVERRIDE=FQ","FILING_STATUS=MR","SCALING_FORMAT=MLN","Sort=A","Dates=H","DateFormat=P","Fill=—","Direction=H","UseDPDF=Y")</f>
        <v>140012.72469999999</v>
      </c>
      <c r="Y57" s="16"/>
      <c r="Z57" s="13"/>
      <c r="AA57" s="13"/>
    </row>
    <row r="58" spans="1:27" x14ac:dyDescent="0.25">
      <c r="A58" s="10" t="s">
        <v>213</v>
      </c>
      <c r="B58" s="10" t="s">
        <v>255</v>
      </c>
      <c r="C58" s="13">
        <f>_xll.BDH("GILD US Equity","LOW_ENTERPRISE_VALUE","FQ3 2019","FQ3 2019","Currency=USD","Period=FQ","BEST_FPERIOD_OVERRIDE=FQ","FILING_STATUS=MR","SCALING_FORMAT=MLN","Sort=A","Dates=H","DateFormat=P","Fill=—","Direction=H","UseDPDF=Y")</f>
        <v>75704.132100000003</v>
      </c>
      <c r="D58" s="13">
        <f>_xll.BDH("GILD US Equity","LOW_ENTERPRISE_VALUE","FQ4 2019","FQ4 2019","Currency=USD","Period=FQ","BEST_FPERIOD_OVERRIDE=FQ","FILING_STATUS=MR","SCALING_FORMAT=MLN","Sort=A","Dates=H","DateFormat=P","Fill=—","Direction=H","UseDPDF=Y")</f>
        <v>78419.986699999994</v>
      </c>
      <c r="E58" s="13">
        <f>_xll.BDH("GILD US Equity","LOW_ENTERPRISE_VALUE","FQ1 2020","FQ1 2020","Currency=USD","Period=FQ","BEST_FPERIOD_OVERRIDE=FQ","FILING_STATUS=MR","SCALING_FORMAT=MLN","Sort=A","Dates=H","DateFormat=P","Fill=—","Direction=H","UseDPDF=Y")</f>
        <v>78839.069699999993</v>
      </c>
      <c r="F58" s="13">
        <f>_xll.BDH("GILD US Equity","LOW_ENTERPRISE_VALUE","FQ2 2020","FQ2 2020","Currency=USD","Period=FQ","BEST_FPERIOD_OVERRIDE=FQ","FILING_STATUS=MR","SCALING_FORMAT=MLN","Sort=A","Dates=H","DateFormat=P","Fill=—","Direction=H","UseDPDF=Y")</f>
        <v>90636.371799999994</v>
      </c>
      <c r="G58" s="13">
        <f>_xll.BDH("GILD US Equity","LOW_ENTERPRISE_VALUE","FQ3 2020","FQ3 2020","Currency=USD","Period=FQ","BEST_FPERIOD_OVERRIDE=FQ","FILING_STATUS=MR","SCALING_FORMAT=MLN","Sort=A","Dates=H","DateFormat=P","Fill=—","Direction=H","UseDPDF=Y")</f>
        <v>80883.2834</v>
      </c>
      <c r="H58" s="13">
        <f>_xll.BDH("GILD US Equity","LOW_ENTERPRISE_VALUE","FQ4 2020","FQ4 2020","Currency=USD","Period=FQ","BEST_FPERIOD_OVERRIDE=FQ","FILING_STATUS=MR","SCALING_FORMAT=MLN","Sort=A","Dates=H","DateFormat=P","Fill=—","Direction=H","UseDPDF=Y")</f>
        <v>74279.369600000005</v>
      </c>
      <c r="I58" s="13">
        <f>_xll.BDH("GILD US Equity","LOW_ENTERPRISE_VALUE","FQ1 2021","FQ1 2021","Currency=USD","Period=FQ","BEST_FPERIOD_OVERRIDE=FQ","FILING_STATUS=MR","SCALING_FORMAT=MLN","Sort=A","Dates=H","DateFormat=P","Fill=—","Direction=H","UseDPDF=Y")</f>
        <v>99437.688899999994</v>
      </c>
      <c r="J58" s="13">
        <f>_xll.BDH("GILD US Equity","LOW_ENTERPRISE_VALUE","FQ2 2021","FQ2 2021","Currency=USD","Period=FQ","BEST_FPERIOD_OVERRIDE=FQ","FILING_STATUS=MR","SCALING_FORMAT=MLN","Sort=A","Dates=H","DateFormat=P","Fill=—","Direction=H","UseDPDF=Y")</f>
        <v>103524.38</v>
      </c>
      <c r="K58" s="13">
        <f>_xll.BDH("GILD US Equity","LOW_ENTERPRISE_VALUE","FQ3 2021","FQ3 2021","Currency=USD","Period=FQ","BEST_FPERIOD_OVERRIDE=FQ","FILING_STATUS=MR","SCALING_FORMAT=MLN","Sort=A","Dates=H","DateFormat=P","Fill=—","Direction=H","UseDPDF=Y")</f>
        <v>107716.3201</v>
      </c>
      <c r="L58" s="13">
        <f>_xll.BDH("GILD US Equity","LOW_ENTERPRISE_VALUE","FQ4 2021","FQ4 2021","Currency=USD","Period=FQ","BEST_FPERIOD_OVERRIDE=FQ","FILING_STATUS=MR","SCALING_FORMAT=MLN","Sort=A","Dates=H","DateFormat=P","Fill=—","Direction=H","UseDPDF=Y")</f>
        <v>102274.4</v>
      </c>
      <c r="M58" s="13">
        <f>_xll.BDH("GILD US Equity","LOW_ENTERPRISE_VALUE","FQ1 2022","FQ1 2022","Currency=USD","Period=FQ","BEST_FPERIOD_OVERRIDE=FQ","FILING_STATUS=MR","SCALING_FORMAT=MLN","Sort=A","Dates=H","DateFormat=P","Fill=—","Direction=H","UseDPDF=Y")</f>
        <v>92076.119099999996</v>
      </c>
      <c r="N58" s="13">
        <f>_xll.BDH("GILD US Equity","LOW_ENTERPRISE_VALUE","FQ2 2022","FQ2 2022","Currency=USD","Period=FQ","BEST_FPERIOD_OVERRIDE=FQ","FILING_STATUS=MR","SCALING_FORMAT=MLN","Sort=A","Dates=H","DateFormat=P","Fill=—","Direction=H","UseDPDF=Y")</f>
        <v>91842.972200000004</v>
      </c>
      <c r="O58" s="13">
        <f>_xll.BDH("GILD US Equity","LOW_ENTERPRISE_VALUE","FQ3 2022","FQ3 2022","Currency=USD","Period=FQ","BEST_FPERIOD_OVERRIDE=FQ","FILING_STATUS=MR","SCALING_FORMAT=MLN","Sort=A","Dates=H","DateFormat=P","Fill=—","Direction=H","UseDPDF=Y")</f>
        <v>93876.822700000004</v>
      </c>
      <c r="P58" s="13">
        <f>_xll.BDH("GILD US Equity","LOW_ENTERPRISE_VALUE","FQ4 2022","FQ4 2022","Currency=USD","Period=FQ","BEST_FPERIOD_OVERRIDE=FQ","FILING_STATUS=MR","SCALING_FORMAT=MLN","Sort=A","Dates=H","DateFormat=P","Fill=—","Direction=H","UseDPDF=Y")</f>
        <v>96366.856</v>
      </c>
      <c r="Q58" s="13">
        <f>_xll.BDH("GILD US Equity","LOW_ENTERPRISE_VALUE","FQ1 2023","FQ1 2023","Currency=USD","Period=FQ","BEST_FPERIOD_OVERRIDE=FQ","FILING_STATUS=MR","SCALING_FORMAT=MLN","Sort=A","Dates=H","DateFormat=P","Fill=—","Direction=H","UseDPDF=Y")</f>
        <v>114560.6995</v>
      </c>
      <c r="R58" s="13">
        <f>_xll.BDH("GILD US Equity","LOW_ENTERPRISE_VALUE","FQ2 2023","FQ2 2023","Currency=USD","Period=FQ","BEST_FPERIOD_OVERRIDE=FQ","FILING_STATUS=MR","SCALING_FORMAT=MLN","Sort=A","Dates=H","DateFormat=P","Fill=—","Direction=H","UseDPDF=Y")</f>
        <v>112904.5082</v>
      </c>
      <c r="S58" s="13">
        <f>_xll.BDH("GILD US Equity","LOW_ENTERPRISE_VALUE","FQ3 2023","FQ3 2023","Currency=USD","Period=FQ","BEST_FPERIOD_OVERRIDE=FQ","FILING_STATUS=MR","SCALING_FORMAT=MLN","Sort=A","Dates=H","DateFormat=P","Fill=—","Direction=H","UseDPDF=Y")</f>
        <v>109311.30130000001</v>
      </c>
      <c r="T58" s="13">
        <f>_xll.BDH("GILD US Equity","LOW_ENTERPRISE_VALUE","FQ4 2023","FQ4 2023","Currency=USD","Period=FQ","BEST_FPERIOD_OVERRIDE=FQ","FILING_STATUS=MR","SCALING_FORMAT=MLN","Sort=A","Dates=H","DateFormat=P","Fill=—","Direction=H","UseDPDF=Y")</f>
        <v>108185.4716</v>
      </c>
      <c r="U58" s="13">
        <f>_xll.BDH("GILD US Equity","LOW_ENTERPRISE_VALUE","FQ1 2024","FQ1 2024","Currency=USD","Period=FQ","BEST_FPERIOD_OVERRIDE=FQ","FILING_STATUS=MR","SCALING_FORMAT=MLN","Sort=A","Dates=H","DateFormat=P","Fill=—","Direction=H","UseDPDF=Y")</f>
        <v>106338.67879999999</v>
      </c>
      <c r="V58" s="13">
        <f>_xll.BDH("GILD US Equity","LOW_ENTERPRISE_VALUE","FQ2 2024","FQ2 2024","Currency=USD","Period=FQ","BEST_FPERIOD_OVERRIDE=FQ","FILING_STATUS=MR","SCALING_FORMAT=MLN","Sort=A","Dates=H","DateFormat=P","Fill=—","Direction=H","UseDPDF=Y")</f>
        <v>99067.630099999995</v>
      </c>
      <c r="W58" s="13">
        <f>_xll.BDH("GILD US Equity","LOW_ENTERPRISE_VALUE","FQ3 2024","FQ3 2024","Currency=USD","Period=FQ","BEST_FPERIOD_OVERRIDE=FQ","FILING_STATUS=MR","SCALING_FORMAT=MLN","Sort=A","Dates=H","DateFormat=P","Fill=—","Direction=H","UseDPDF=Y")</f>
        <v>103455.3652</v>
      </c>
      <c r="X58" s="13">
        <f>_xll.BDH("GILD US Equity","LOW_ENTERPRISE_VALUE","FQ4 2024","FQ4 2024","Currency=USD","Period=FQ","BEST_FPERIOD_OVERRIDE=FQ","FILING_STATUS=MR","SCALING_FORMAT=MLN","Sort=A","Dates=H","DateFormat=P","Fill=—","Direction=H","UseDPDF=Y")</f>
        <v>122632.63529999999</v>
      </c>
      <c r="Y58" s="16"/>
      <c r="Z58" s="13"/>
      <c r="AA58" s="13"/>
    </row>
    <row r="59" spans="1:27" x14ac:dyDescent="0.25">
      <c r="A59" s="7" t="s">
        <v>90</v>
      </c>
      <c r="B59" s="7"/>
      <c r="C59" s="7" t="s">
        <v>5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8"/>
  <sheetViews>
    <sheetView workbookViewId="0">
      <selection activeCell="H16" sqref="A1:XFD1048576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256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10" t="s">
        <v>257</v>
      </c>
      <c r="B6" s="10" t="s">
        <v>121</v>
      </c>
      <c r="C6" s="13">
        <f>_xll.BDH("GILD US Equity","BS_SH_OUT","FQ2 2019","FQ2 2019","Currency=USD","Period=FQ","BEST_FPERIOD_OVERRIDE=FQ","FILING_STATUS=MR","Sort=A","Dates=H","DateFormat=P","Fill=—","Direction=H","UseDPDF=Y")</f>
        <v>1267</v>
      </c>
      <c r="D6" s="13">
        <f>_xll.BDH("GILD US Equity","BS_SH_OUT","FQ3 2019","FQ3 2019","Currency=USD","Period=FQ","BEST_FPERIOD_OVERRIDE=FQ","FILING_STATUS=MR","Sort=A","Dates=H","DateFormat=P","Fill=—","Direction=H","UseDPDF=Y")</f>
        <v>1266</v>
      </c>
      <c r="E6" s="13">
        <f>_xll.BDH("GILD US Equity","BS_SH_OUT","FQ4 2019","FQ4 2019","Currency=USD","Period=FQ","BEST_FPERIOD_OVERRIDE=FQ","FILING_STATUS=MR","Sort=A","Dates=H","DateFormat=P","Fill=—","Direction=H","UseDPDF=Y")</f>
        <v>1266</v>
      </c>
      <c r="F6" s="13">
        <f>_xll.BDH("GILD US Equity","BS_SH_OUT","FQ1 2020","FQ1 2020","Currency=USD","Period=FQ","BEST_FPERIOD_OVERRIDE=FQ","FILING_STATUS=MR","Sort=A","Dates=H","DateFormat=P","Fill=—","Direction=H","UseDPDF=Y")</f>
        <v>1254</v>
      </c>
      <c r="G6" s="13">
        <f>_xll.BDH("GILD US Equity","BS_SH_OUT","FQ2 2020","FQ2 2020","Currency=USD","Period=FQ","BEST_FPERIOD_OVERRIDE=FQ","FILING_STATUS=MR","Sort=A","Dates=H","DateFormat=P","Fill=—","Direction=H","UseDPDF=Y")</f>
        <v>1254</v>
      </c>
      <c r="H6" s="13">
        <f>_xll.BDH("GILD US Equity","BS_SH_OUT","FQ3 2020","FQ3 2020","Currency=USD","Period=FQ","BEST_FPERIOD_OVERRIDE=FQ","FILING_STATUS=MR","Sort=A","Dates=H","DateFormat=P","Fill=—","Direction=H","UseDPDF=Y")</f>
        <v>1253</v>
      </c>
      <c r="I6" s="13">
        <f>_xll.BDH("GILD US Equity","BS_SH_OUT","FQ4 2020","FQ4 2020","Currency=USD","Period=FQ","BEST_FPERIOD_OVERRIDE=FQ","FILING_STATUS=MR","Sort=A","Dates=H","DateFormat=P","Fill=—","Direction=H","UseDPDF=Y")</f>
        <v>1254</v>
      </c>
      <c r="J6" s="13">
        <f>_xll.BDH("GILD US Equity","BS_SH_OUT","FQ1 2021","FQ1 2021","Currency=USD","Period=FQ","BEST_FPERIOD_OVERRIDE=FQ","FILING_STATUS=MR","Sort=A","Dates=H","DateFormat=P","Fill=—","Direction=H","UseDPDF=Y")</f>
        <v>1254</v>
      </c>
      <c r="K6" s="13">
        <f>_xll.BDH("GILD US Equity","BS_SH_OUT","FQ2 2021","FQ2 2021","Currency=USD","Period=FQ","BEST_FPERIOD_OVERRIDE=FQ","FILING_STATUS=MR","Sort=A","Dates=H","DateFormat=P","Fill=—","Direction=H","UseDPDF=Y")</f>
        <v>1254</v>
      </c>
      <c r="L6" s="13">
        <f>_xll.BDH("GILD US Equity","BS_SH_OUT","FQ3 2021","FQ3 2021","Currency=USD","Period=FQ","BEST_FPERIOD_OVERRIDE=FQ","FILING_STATUS=MR","Sort=A","Dates=H","DateFormat=P","Fill=—","Direction=H","UseDPDF=Y")</f>
        <v>1255</v>
      </c>
      <c r="M6" s="13">
        <f>_xll.BDH("GILD US Equity","BS_SH_OUT","FQ4 2021","FQ4 2021","Currency=USD","Period=FQ","BEST_FPERIOD_OVERRIDE=FQ","FILING_STATUS=MR","Sort=A","Dates=H","DateFormat=P","Fill=—","Direction=H","UseDPDF=Y")</f>
        <v>1254</v>
      </c>
      <c r="N6" s="13">
        <f>_xll.BDH("GILD US Equity","BS_SH_OUT","FQ1 2022","FQ1 2022","Currency=USD","Period=FQ","BEST_FPERIOD_OVERRIDE=FQ","FILING_STATUS=MR","Sort=A","Dates=H","DateFormat=P","Fill=—","Direction=H","UseDPDF=Y")</f>
        <v>1255</v>
      </c>
      <c r="O6" s="13">
        <f>_xll.BDH("GILD US Equity","BS_SH_OUT","FQ2 2022","FQ2 2022","Currency=USD","Period=FQ","BEST_FPERIOD_OVERRIDE=FQ","FILING_STATUS=MR","Sort=A","Dates=H","DateFormat=P","Fill=—","Direction=H","UseDPDF=Y")</f>
        <v>1254</v>
      </c>
      <c r="P6" s="13">
        <f>_xll.BDH("GILD US Equity","BS_SH_OUT","FQ3 2022","FQ3 2022","Currency=USD","Period=FQ","BEST_FPERIOD_OVERRIDE=FQ","FILING_STATUS=MR","Sort=A","Dates=H","DateFormat=P","Fill=—","Direction=H","UseDPDF=Y")</f>
        <v>1254</v>
      </c>
      <c r="Q6" s="13">
        <f>_xll.BDH("GILD US Equity","BS_SH_OUT","FQ4 2022","FQ4 2022","Currency=USD","Period=FQ","BEST_FPERIOD_OVERRIDE=FQ","FILING_STATUS=MR","Sort=A","Dates=H","DateFormat=P","Fill=—","Direction=H","UseDPDF=Y")</f>
        <v>1247</v>
      </c>
      <c r="R6" s="13">
        <f>_xll.BDH("GILD US Equity","BS_SH_OUT","FQ1 2023","FQ1 2023","Currency=USD","Period=FQ","BEST_FPERIOD_OVERRIDE=FQ","FILING_STATUS=MR","Sort=A","Dates=H","DateFormat=P","Fill=—","Direction=H","UseDPDF=Y")</f>
        <v>1248</v>
      </c>
      <c r="S6" s="13">
        <f>_xll.BDH("GILD US Equity","BS_SH_OUT","FQ2 2023","FQ2 2023","Currency=USD","Period=FQ","BEST_FPERIOD_OVERRIDE=FQ","FILING_STATUS=MR","Sort=A","Dates=H","DateFormat=P","Fill=—","Direction=H","UseDPDF=Y")</f>
        <v>1247</v>
      </c>
      <c r="T6" s="13">
        <f>_xll.BDH("GILD US Equity","BS_SH_OUT","FQ3 2023","FQ3 2023","Currency=USD","Period=FQ","BEST_FPERIOD_OVERRIDE=FQ","FILING_STATUS=MR","Sort=A","Dates=H","DateFormat=P","Fill=—","Direction=H","UseDPDF=Y")</f>
        <v>1247</v>
      </c>
      <c r="U6" s="13">
        <f>_xll.BDH("GILD US Equity","BS_SH_OUT","FQ4 2023","FQ4 2023","Currency=USD","Period=FQ","BEST_FPERIOD_OVERRIDE=FQ","FILING_STATUS=MR","Sort=A","Dates=H","DateFormat=P","Fill=—","Direction=H","UseDPDF=Y")</f>
        <v>1246</v>
      </c>
      <c r="V6" s="13">
        <f>_xll.BDH("GILD US Equity","BS_SH_OUT","FQ1 2024","FQ1 2024","Currency=USD","Period=FQ","BEST_FPERIOD_OVERRIDE=FQ","FILING_STATUS=MR","Sort=A","Dates=H","DateFormat=P","Fill=—","Direction=H","UseDPDF=Y")</f>
        <v>1246</v>
      </c>
      <c r="W6" s="13">
        <f>_xll.BDH("GILD US Equity","BS_SH_OUT","FQ2 2024","FQ2 2024","Currency=USD","Period=FQ","BEST_FPERIOD_OVERRIDE=FQ","FILING_STATUS=MR","Sort=A","Dates=H","DateFormat=P","Fill=—","Direction=H","UseDPDF=Y")</f>
        <v>1246</v>
      </c>
      <c r="X6" s="13">
        <f>_xll.BDH("GILD US Equity","BS_SH_OUT","FQ3 2024","FQ3 2024","Currency=USD","Period=FQ","BEST_FPERIOD_OVERRIDE=FQ","FILING_STATUS=MR","Sort=A","Dates=H","DateFormat=P","Fill=—","Direction=H","UseDPDF=Y")</f>
        <v>1246</v>
      </c>
      <c r="Y6" s="13">
        <f>_xll.BDH("GILD US Equity","BS_SH_OUT","FQ4 2024","FQ4 2024","Currency=USD","Period=FQ","BEST_FPERIOD_OVERRIDE=FQ","FILING_STATUS=MR","Sort=A","Dates=H","DateFormat=P","Fill=—","Direction=H","UseDPDF=Y")</f>
        <v>1246</v>
      </c>
      <c r="Z6" s="13"/>
      <c r="AA6" s="13"/>
    </row>
    <row r="7" spans="1:27" x14ac:dyDescent="0.25">
      <c r="A7" s="10" t="s">
        <v>258</v>
      </c>
      <c r="B7" s="10" t="s">
        <v>108</v>
      </c>
      <c r="C7" s="13">
        <f>_xll.BDH("GILD US Equity","IS_SH_FOR_DILUTED_EPS","FQ2 2019","FQ2 2019","Currency=USD","Period=FQ","BEST_FPERIOD_OVERRIDE=FQ","FILING_STATUS=MR","Sort=A","Dates=H","DateFormat=P","Fill=—","Direction=H","UseDPDF=Y")</f>
        <v>1277</v>
      </c>
      <c r="D7" s="13">
        <f>_xll.BDH("GILD US Equity","IS_SH_FOR_DILUTED_EPS","FQ3 2019","FQ3 2019","Currency=USD","Period=FQ","BEST_FPERIOD_OVERRIDE=FQ","FILING_STATUS=MR","Sort=A","Dates=H","DateFormat=P","Fill=—","Direction=H","UseDPDF=Y")</f>
        <v>1267</v>
      </c>
      <c r="E7" s="13">
        <f>_xll.BDH("GILD US Equity","IS_SH_FOR_DILUTED_EPS","FQ4 2019","FQ4 2019","Currency=USD","Period=FQ","BEST_FPERIOD_OVERRIDE=FQ","FILING_STATUS=MR","Sort=A","Dates=H","DateFormat=P","Fill=—","Direction=H","UseDPDF=Y")</f>
        <v>1273</v>
      </c>
      <c r="F7" s="13">
        <f>_xll.BDH("GILD US Equity","IS_SH_FOR_DILUTED_EPS","FQ1 2020","FQ1 2020","Currency=USD","Period=FQ","BEST_FPERIOD_OVERRIDE=FQ","FILING_STATUS=MR","Sort=A","Dates=H","DateFormat=P","Fill=—","Direction=H","UseDPDF=Y")</f>
        <v>1270</v>
      </c>
      <c r="G7" s="13">
        <f>_xll.BDH("GILD US Equity","IS_SH_FOR_DILUTED_EPS","FQ2 2020","FQ2 2020","Currency=USD","Period=FQ","BEST_FPERIOD_OVERRIDE=FQ","FILING_STATUS=MR","Sort=A","Dates=H","DateFormat=P","Fill=—","Direction=H","UseDPDF=Y")</f>
        <v>1255</v>
      </c>
      <c r="H7" s="13">
        <f>_xll.BDH("GILD US Equity","IS_SH_FOR_DILUTED_EPS","FQ3 2020","FQ3 2020","Currency=USD","Period=FQ","BEST_FPERIOD_OVERRIDE=FQ","FILING_STATUS=MR","Sort=A","Dates=H","DateFormat=P","Fill=—","Direction=H","UseDPDF=Y")</f>
        <v>1261</v>
      </c>
      <c r="I7" s="13">
        <f>_xll.BDH("GILD US Equity","IS_SH_FOR_DILUTED_EPS","FQ4 2020","FQ4 2020","Currency=USD","Period=FQ","BEST_FPERIOD_OVERRIDE=FQ","FILING_STATUS=MR","Sort=A","Dates=H","DateFormat=P","Fill=—","Direction=H","UseDPDF=Y")</f>
        <v>1259</v>
      </c>
      <c r="J7" s="13">
        <f>_xll.BDH("GILD US Equity","IS_SH_FOR_DILUTED_EPS","FQ1 2021","FQ1 2021","Currency=USD","Period=FQ","BEST_FPERIOD_OVERRIDE=FQ","FILING_STATUS=MR","Sort=A","Dates=H","DateFormat=P","Fill=—","Direction=H","UseDPDF=Y")</f>
        <v>1262</v>
      </c>
      <c r="K7" s="13">
        <f>_xll.BDH("GILD US Equity","IS_SH_FOR_DILUTED_EPS","FQ2 2021","FQ2 2021","Currency=USD","Period=FQ","BEST_FPERIOD_OVERRIDE=FQ","FILING_STATUS=MR","Sort=A","Dates=H","DateFormat=P","Fill=—","Direction=H","UseDPDF=Y")</f>
        <v>1260</v>
      </c>
      <c r="L7" s="13">
        <f>_xll.BDH("GILD US Equity","IS_SH_FOR_DILUTED_EPS","FQ3 2021","FQ3 2021","Currency=USD","Period=FQ","BEST_FPERIOD_OVERRIDE=FQ","FILING_STATUS=MR","Sort=A","Dates=H","DateFormat=P","Fill=—","Direction=H","UseDPDF=Y")</f>
        <v>1262</v>
      </c>
      <c r="M7" s="13">
        <f>_xll.BDH("GILD US Equity","IS_SH_FOR_DILUTED_EPS","FQ4 2021","FQ4 2021","Currency=USD","Period=FQ","BEST_FPERIOD_OVERRIDE=FQ","FILING_STATUS=MR","Sort=A","Dates=H","DateFormat=P","Fill=—","Direction=H","UseDPDF=Y")</f>
        <v>1262</v>
      </c>
      <c r="N7" s="13">
        <f>_xll.BDH("GILD US Equity","IS_SH_FOR_DILUTED_EPS","FQ1 2022","FQ1 2022","Currency=USD","Period=FQ","BEST_FPERIOD_OVERRIDE=FQ","FILING_STATUS=MR","Sort=A","Dates=H","DateFormat=P","Fill=—","Direction=H","UseDPDF=Y")</f>
        <v>1262</v>
      </c>
      <c r="O7" s="13">
        <f>_xll.BDH("GILD US Equity","IS_SH_FOR_DILUTED_EPS","FQ2 2022","FQ2 2022","Currency=USD","Period=FQ","BEST_FPERIOD_OVERRIDE=FQ","FILING_STATUS=MR","Sort=A","Dates=H","DateFormat=P","Fill=—","Direction=H","UseDPDF=Y")</f>
        <v>1260</v>
      </c>
      <c r="P7" s="13">
        <f>_xll.BDH("GILD US Equity","IS_SH_FOR_DILUTED_EPS","FQ3 2022","FQ3 2022","Currency=USD","Period=FQ","BEST_FPERIOD_OVERRIDE=FQ","FILING_STATUS=MR","Sort=A","Dates=H","DateFormat=P","Fill=—","Direction=H","UseDPDF=Y")</f>
        <v>1261</v>
      </c>
      <c r="Q7" s="13">
        <f>_xll.BDH("GILD US Equity","IS_SH_FOR_DILUTED_EPS","FQ4 2022","FQ4 2022","Currency=USD","Period=FQ","BEST_FPERIOD_OVERRIDE=FQ","FILING_STATUS=MR","Sort=A","Dates=H","DateFormat=P","Fill=—","Direction=H","UseDPDF=Y")</f>
        <v>1264</v>
      </c>
      <c r="R7" s="13">
        <f>_xll.BDH("GILD US Equity","IS_SH_FOR_DILUTED_EPS","FQ1 2023","FQ1 2023","Currency=USD","Period=FQ","BEST_FPERIOD_OVERRIDE=FQ","FILING_STATUS=MR","Sort=A","Dates=H","DateFormat=P","Fill=—","Direction=H","UseDPDF=Y")</f>
        <v>1248</v>
      </c>
      <c r="S7" s="13">
        <f>_xll.BDH("GILD US Equity","IS_SH_FOR_DILUTED_EPS","FQ2 2023","FQ2 2023","Currency=USD","Period=FQ","BEST_FPERIOD_OVERRIDE=FQ","FILING_STATUS=MR","Sort=A","Dates=H","DateFormat=P","Fill=—","Direction=H","UseDPDF=Y")</f>
        <v>1258</v>
      </c>
      <c r="T7" s="13">
        <f>_xll.BDH("GILD US Equity","IS_SH_FOR_DILUTED_EPS","FQ3 2023","FQ3 2023","Currency=USD","Period=FQ","BEST_FPERIOD_OVERRIDE=FQ","FILING_STATUS=MR","Sort=A","Dates=H","DateFormat=P","Fill=—","Direction=H","UseDPDF=Y")</f>
        <v>1257</v>
      </c>
      <c r="U7" s="13">
        <f>_xll.BDH("GILD US Equity","IS_SH_FOR_DILUTED_EPS","FQ4 2023","FQ4 2023","Currency=USD","Period=FQ","BEST_FPERIOD_OVERRIDE=FQ","FILING_STATUS=MR","Sort=A","Dates=H","DateFormat=P","Fill=—","Direction=H","UseDPDF=Y")</f>
        <v>1256</v>
      </c>
      <c r="V7" s="13">
        <f>_xll.BDH("GILD US Equity","IS_SH_FOR_DILUTED_EPS","FQ1 2024","FQ1 2024","Currency=USD","Period=FQ","BEST_FPERIOD_OVERRIDE=FQ","FILING_STATUS=MR","Sort=A","Dates=H","DateFormat=P","Fill=—","Direction=H","UseDPDF=Y")</f>
        <v>1247</v>
      </c>
      <c r="W7" s="13">
        <f>_xll.BDH("GILD US Equity","IS_SH_FOR_DILUTED_EPS","FQ2 2024","FQ2 2024","Currency=USD","Period=FQ","BEST_FPERIOD_OVERRIDE=FQ","FILING_STATUS=MR","Sort=A","Dates=H","DateFormat=P","Fill=—","Direction=H","UseDPDF=Y")</f>
        <v>1251</v>
      </c>
      <c r="X7" s="13">
        <f>_xll.BDH("GILD US Equity","IS_SH_FOR_DILUTED_EPS","FQ3 2024","FQ3 2024","Currency=USD","Period=FQ","BEST_FPERIOD_OVERRIDE=FQ","FILING_STATUS=MR","Sort=A","Dates=H","DateFormat=P","Fill=—","Direction=H","UseDPDF=Y")</f>
        <v>1254</v>
      </c>
      <c r="Y7" s="13">
        <f>_xll.BDH("GILD US Equity","IS_SH_FOR_DILUTED_EPS","FQ4 2024","FQ4 2024","Currency=USD","Period=FQ","BEST_FPERIOD_OVERRIDE=FQ","FILING_STATUS=MR","Sort=A","Dates=H","DateFormat=P","Fill=—","Direction=H","UseDPDF=Y")</f>
        <v>1259</v>
      </c>
      <c r="Z7" s="13"/>
      <c r="AA7" s="13"/>
    </row>
    <row r="8" spans="1:27" x14ac:dyDescent="0.25">
      <c r="A8" s="10" t="s">
        <v>259</v>
      </c>
      <c r="B8" s="10" t="s">
        <v>106</v>
      </c>
      <c r="C8" s="13">
        <f>_xll.BDH("GILD US Equity","IS_AVG_NUM_SH_FOR_EPS","FQ2 2019","FQ2 2019","Currency=USD","Period=FQ","BEST_FPERIOD_OVERRIDE=FQ","FILING_STATUS=MR","Sort=A","Dates=H","DateFormat=P","Fill=—","Direction=H","UseDPDF=Y")</f>
        <v>1270</v>
      </c>
      <c r="D8" s="13">
        <f>_xll.BDH("GILD US Equity","IS_AVG_NUM_SH_FOR_EPS","FQ3 2019","FQ3 2019","Currency=USD","Period=FQ","BEST_FPERIOD_OVERRIDE=FQ","FILING_STATUS=MR","Sort=A","Dates=H","DateFormat=P","Fill=—","Direction=H","UseDPDF=Y")</f>
        <v>1267</v>
      </c>
      <c r="E8" s="13">
        <f>_xll.BDH("GILD US Equity","IS_AVG_NUM_SH_FOR_EPS","FQ4 2019","FQ4 2019","Currency=USD","Period=FQ","BEST_FPERIOD_OVERRIDE=FQ","FILING_STATUS=MR","Sort=A","Dates=H","DateFormat=P","Fill=—","Direction=H","UseDPDF=Y")</f>
        <v>1266</v>
      </c>
      <c r="F8" s="13">
        <f>_xll.BDH("GILD US Equity","IS_AVG_NUM_SH_FOR_EPS","FQ1 2020","FQ1 2020","Currency=USD","Period=FQ","BEST_FPERIOD_OVERRIDE=FQ","FILING_STATUS=MR","Sort=A","Dates=H","DateFormat=P","Fill=—","Direction=H","UseDPDF=Y")</f>
        <v>1262</v>
      </c>
      <c r="G8" s="13">
        <f>_xll.BDH("GILD US Equity","IS_AVG_NUM_SH_FOR_EPS","FQ2 2020","FQ2 2020","Currency=USD","Period=FQ","BEST_FPERIOD_OVERRIDE=FQ","FILING_STATUS=MR","Sort=A","Dates=H","DateFormat=P","Fill=—","Direction=H","UseDPDF=Y")</f>
        <v>1255</v>
      </c>
      <c r="H8" s="13">
        <f>_xll.BDH("GILD US Equity","IS_AVG_NUM_SH_FOR_EPS","FQ3 2020","FQ3 2020","Currency=USD","Period=FQ","BEST_FPERIOD_OVERRIDE=FQ","FILING_STATUS=MR","Sort=A","Dates=H","DateFormat=P","Fill=—","Direction=H","UseDPDF=Y")</f>
        <v>1255</v>
      </c>
      <c r="I8" s="13">
        <f>_xll.BDH("GILD US Equity","IS_AVG_NUM_SH_FOR_EPS","FQ4 2020","FQ4 2020","Currency=USD","Period=FQ","BEST_FPERIOD_OVERRIDE=FQ","FILING_STATUS=MR","Sort=A","Dates=H","DateFormat=P","Fill=—","Direction=H","UseDPDF=Y")</f>
        <v>1255</v>
      </c>
      <c r="J8" s="13">
        <f>_xll.BDH("GILD US Equity","IS_AVG_NUM_SH_FOR_EPS","FQ1 2021","FQ1 2021","Currency=USD","Period=FQ","BEST_FPERIOD_OVERRIDE=FQ","FILING_STATUS=MR","Sort=A","Dates=H","DateFormat=P","Fill=—","Direction=H","UseDPDF=Y")</f>
        <v>1256</v>
      </c>
      <c r="K8" s="13">
        <f>_xll.BDH("GILD US Equity","IS_AVG_NUM_SH_FOR_EPS","FQ2 2021","FQ2 2021","Currency=USD","Period=FQ","BEST_FPERIOD_OVERRIDE=FQ","FILING_STATUS=MR","Sort=A","Dates=H","DateFormat=P","Fill=—","Direction=H","UseDPDF=Y")</f>
        <v>1255</v>
      </c>
      <c r="L8" s="13">
        <f>_xll.BDH("GILD US Equity","IS_AVG_NUM_SH_FOR_EPS","FQ3 2021","FQ3 2021","Currency=USD","Period=FQ","BEST_FPERIOD_OVERRIDE=FQ","FILING_STATUS=MR","Sort=A","Dates=H","DateFormat=P","Fill=—","Direction=H","UseDPDF=Y")</f>
        <v>1256</v>
      </c>
      <c r="M8" s="13">
        <f>_xll.BDH("GILD US Equity","IS_AVG_NUM_SH_FOR_EPS","FQ4 2021","FQ4 2021","Currency=USD","Period=FQ","BEST_FPERIOD_OVERRIDE=FQ","FILING_STATUS=MR","Sort=A","Dates=H","DateFormat=P","Fill=—","Direction=H","UseDPDF=Y")</f>
        <v>1256</v>
      </c>
      <c r="N8" s="13">
        <f>_xll.BDH("GILD US Equity","IS_AVG_NUM_SH_FOR_EPS","FQ1 2022","FQ1 2022","Currency=USD","Period=FQ","BEST_FPERIOD_OVERRIDE=FQ","FILING_STATUS=MR","Sort=A","Dates=H","DateFormat=P","Fill=—","Direction=H","UseDPDF=Y")</f>
        <v>1255</v>
      </c>
      <c r="O8" s="13">
        <f>_xll.BDH("GILD US Equity","IS_AVG_NUM_SH_FOR_EPS","FQ2 2022","FQ2 2022","Currency=USD","Period=FQ","BEST_FPERIOD_OVERRIDE=FQ","FILING_STATUS=MR","Sort=A","Dates=H","DateFormat=P","Fill=—","Direction=H","UseDPDF=Y")</f>
        <v>1256</v>
      </c>
      <c r="P8" s="13">
        <f>_xll.BDH("GILD US Equity","IS_AVG_NUM_SH_FOR_EPS","FQ3 2022","FQ3 2022","Currency=USD","Period=FQ","BEST_FPERIOD_OVERRIDE=FQ","FILING_STATUS=MR","Sort=A","Dates=H","DateFormat=P","Fill=—","Direction=H","UseDPDF=Y")</f>
        <v>1255</v>
      </c>
      <c r="Q8" s="13">
        <f>_xll.BDH("GILD US Equity","IS_AVG_NUM_SH_FOR_EPS","FQ4 2022","FQ4 2022","Currency=USD","Period=FQ","BEST_FPERIOD_OVERRIDE=FQ","FILING_STATUS=MR","Sort=A","Dates=H","DateFormat=P","Fill=—","Direction=H","UseDPDF=Y")</f>
        <v>1252</v>
      </c>
      <c r="R8" s="13">
        <f>_xll.BDH("GILD US Equity","IS_AVG_NUM_SH_FOR_EPS","FQ1 2023","FQ1 2023","Currency=USD","Period=FQ","BEST_FPERIOD_OVERRIDE=FQ","FILING_STATUS=MR","Sort=A","Dates=H","DateFormat=P","Fill=—","Direction=H","UseDPDF=Y")</f>
        <v>1248</v>
      </c>
      <c r="S8" s="13">
        <f>_xll.BDH("GILD US Equity","IS_AVG_NUM_SH_FOR_EPS","FQ2 2023","FQ2 2023","Currency=USD","Period=FQ","BEST_FPERIOD_OVERRIDE=FQ","FILING_STATUS=MR","Sort=A","Dates=H","DateFormat=P","Fill=—","Direction=H","UseDPDF=Y")</f>
        <v>1249</v>
      </c>
      <c r="T8" s="13">
        <f>_xll.BDH("GILD US Equity","IS_AVG_NUM_SH_FOR_EPS","FQ3 2023","FQ3 2023","Currency=USD","Period=FQ","BEST_FPERIOD_OVERRIDE=FQ","FILING_STATUS=MR","Sort=A","Dates=H","DateFormat=P","Fill=—","Direction=H","UseDPDF=Y")</f>
        <v>1248</v>
      </c>
      <c r="U8" s="13">
        <f>_xll.BDH("GILD US Equity","IS_AVG_NUM_SH_FOR_EPS","FQ4 2023","FQ4 2023","Currency=USD","Period=FQ","BEST_FPERIOD_OVERRIDE=FQ","FILING_STATUS=MR","Sort=A","Dates=H","DateFormat=P","Fill=—","Direction=H","UseDPDF=Y")</f>
        <v>1248</v>
      </c>
      <c r="V8" s="13">
        <f>_xll.BDH("GILD US Equity","IS_AVG_NUM_SH_FOR_EPS","FQ1 2024","FQ1 2024","Currency=USD","Period=FQ","BEST_FPERIOD_OVERRIDE=FQ","FILING_STATUS=MR","Sort=A","Dates=H","DateFormat=P","Fill=—","Direction=H","UseDPDF=Y")</f>
        <v>1247</v>
      </c>
      <c r="W8" s="13">
        <f>_xll.BDH("GILD US Equity","IS_AVG_NUM_SH_FOR_EPS","FQ2 2024","FQ2 2024","Currency=USD","Period=FQ","BEST_FPERIOD_OVERRIDE=FQ","FILING_STATUS=MR","Sort=A","Dates=H","DateFormat=P","Fill=—","Direction=H","UseDPDF=Y")</f>
        <v>1247</v>
      </c>
      <c r="X8" s="13">
        <f>_xll.BDH("GILD US Equity","IS_AVG_NUM_SH_FOR_EPS","FQ3 2024","FQ3 2024","Currency=USD","Period=FQ","BEST_FPERIOD_OVERRIDE=FQ","FILING_STATUS=MR","Sort=A","Dates=H","DateFormat=P","Fill=—","Direction=H","UseDPDF=Y")</f>
        <v>1247</v>
      </c>
      <c r="Y8" s="13">
        <f>_xll.BDH("GILD US Equity","IS_AVG_NUM_SH_FOR_EPS","FQ4 2024","FQ4 2024","Currency=USD","Period=FQ","BEST_FPERIOD_OVERRIDE=FQ","FILING_STATUS=MR","Sort=A","Dates=H","DateFormat=P","Fill=—","Direction=H","UseDPDF=Y")</f>
        <v>1248</v>
      </c>
      <c r="Z8" s="13"/>
      <c r="AA8" s="13"/>
    </row>
    <row r="9" spans="1:27" x14ac:dyDescent="0.25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25">
      <c r="A10" s="6" t="s">
        <v>260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x14ac:dyDescent="0.25">
      <c r="A11" s="10" t="s">
        <v>0</v>
      </c>
      <c r="B11" s="10" t="s">
        <v>261</v>
      </c>
      <c r="C11" s="14">
        <f>_xll.BDH("GILD US Equity","REVENUE_PER_SH","FQ2 2019","FQ2 2019","Currency=USD","Period=FQ","BEST_FPERIOD_OVERRIDE=FQ","FILING_STATUS=MR","FA_ADJUSTED=GAAP","Sort=A","Dates=H","DateFormat=P","Fill=—","Direction=H","UseDPDF=Y")</f>
        <v>4.4763999999999999</v>
      </c>
      <c r="D11" s="14">
        <f>_xll.BDH("GILD US Equity","REVENUE_PER_SH","FQ3 2019","FQ3 2019","Currency=USD","Period=FQ","BEST_FPERIOD_OVERRIDE=FQ","FILING_STATUS=MR","FA_ADJUSTED=GAAP","Sort=A","Dates=H","DateFormat=P","Fill=—","Direction=H","UseDPDF=Y")</f>
        <v>4.423</v>
      </c>
      <c r="E11" s="14">
        <f>_xll.BDH("GILD US Equity","REVENUE_PER_SH","FQ4 2019","FQ4 2019","Currency=USD","Period=FQ","BEST_FPERIOD_OVERRIDE=FQ","FILING_STATUS=MR","FA_ADJUSTED=GAAP","Sort=A","Dates=H","DateFormat=P","Fill=—","Direction=H","UseDPDF=Y")</f>
        <v>4.6437999999999997</v>
      </c>
      <c r="F11" s="14">
        <f>_xll.BDH("GILD US Equity","REVENUE_PER_SH","FQ1 2020","FQ1 2020","Currency=USD","Period=FQ","BEST_FPERIOD_OVERRIDE=FQ","FILING_STATUS=MR","FA_ADJUSTED=GAAP","Sort=A","Dates=H","DateFormat=P","Fill=—","Direction=H","UseDPDF=Y")</f>
        <v>4.3962000000000003</v>
      </c>
      <c r="G11" s="14">
        <f>_xll.BDH("GILD US Equity","REVENUE_PER_SH","FQ2 2020","FQ2 2020","Currency=USD","Period=FQ","BEST_FPERIOD_OVERRIDE=FQ","FILING_STATUS=MR","FA_ADJUSTED=GAAP","Sort=A","Dates=H","DateFormat=P","Fill=—","Direction=H","UseDPDF=Y")</f>
        <v>4.0979999999999999</v>
      </c>
      <c r="H11" s="14">
        <f>_xll.BDH("GILD US Equity","REVENUE_PER_SH","FQ3 2020","FQ3 2020","Currency=USD","Period=FQ","BEST_FPERIOD_OVERRIDE=FQ","FILING_STATUS=MR","FA_ADJUSTED=GAAP","Sort=A","Dates=H","DateFormat=P","Fill=—","Direction=H","UseDPDF=Y")</f>
        <v>5.2405999999999997</v>
      </c>
      <c r="I11" s="14">
        <f>_xll.BDH("GILD US Equity","REVENUE_PER_SH","FQ4 2020","FQ4 2020","Currency=USD","Period=FQ","BEST_FPERIOD_OVERRIDE=FQ","FILING_STATUS=MR","FA_ADJUSTED=GAAP","Sort=A","Dates=H","DateFormat=P","Fill=—","Direction=H","UseDPDF=Y")</f>
        <v>5.9131</v>
      </c>
      <c r="J11" s="14">
        <f>_xll.BDH("GILD US Equity","REVENUE_PER_SH","FQ1 2021","FQ1 2021","Currency=USD","Period=FQ","BEST_FPERIOD_OVERRIDE=FQ","FILING_STATUS=MR","FA_ADJUSTED=GAAP","Sort=A","Dates=H","DateFormat=P","Fill=—","Direction=H","UseDPDF=Y")</f>
        <v>5.1139000000000001</v>
      </c>
      <c r="K11" s="14">
        <f>_xll.BDH("GILD US Equity","REVENUE_PER_SH","FQ2 2021","FQ2 2021","Currency=USD","Period=FQ","BEST_FPERIOD_OVERRIDE=FQ","FILING_STATUS=MR","FA_ADJUSTED=GAAP","Sort=A","Dates=H","DateFormat=P","Fill=—","Direction=H","UseDPDF=Y")</f>
        <v>4.9538000000000002</v>
      </c>
      <c r="L11" s="14">
        <f>_xll.BDH("GILD US Equity","REVENUE_PER_SH","FQ3 2021","FQ3 2021","Currency=USD","Period=FQ","BEST_FPERIOD_OVERRIDE=FQ","FILING_STATUS=MR","FA_ADJUSTED=GAAP","Sort=A","Dates=H","DateFormat=P","Fill=—","Direction=H","UseDPDF=Y")</f>
        <v>5.9084000000000003</v>
      </c>
      <c r="M11" s="14">
        <f>_xll.BDH("GILD US Equity","REVENUE_PER_SH","FQ4 2021","FQ4 2021","Currency=USD","Period=FQ","BEST_FPERIOD_OVERRIDE=FQ","FILING_STATUS=MR","FA_ADJUSTED=GAAP","Sort=A","Dates=H","DateFormat=P","Fill=—","Direction=H","UseDPDF=Y")</f>
        <v>5.7675000000000001</v>
      </c>
      <c r="N11" s="14">
        <f>_xll.BDH("GILD US Equity","REVENUE_PER_SH","FQ1 2022","FQ1 2022","Currency=USD","Period=FQ","BEST_FPERIOD_OVERRIDE=FQ","FILING_STATUS=MR","FA_ADJUSTED=GAAP","Sort=A","Dates=H","DateFormat=P","Fill=—","Direction=H","UseDPDF=Y")</f>
        <v>5.2510000000000003</v>
      </c>
      <c r="O11" s="14">
        <f>_xll.BDH("GILD US Equity","REVENUE_PER_SH","FQ2 2022","FQ2 2022","Currency=USD","Period=FQ","BEST_FPERIOD_OVERRIDE=FQ","FILING_STATUS=MR","FA_ADJUSTED=GAAP","Sort=A","Dates=H","DateFormat=P","Fill=—","Direction=H","UseDPDF=Y")</f>
        <v>4.9840999999999998</v>
      </c>
      <c r="P11" s="14">
        <f>_xll.BDH("GILD US Equity","REVENUE_PER_SH","FQ3 2022","FQ3 2022","Currency=USD","Period=FQ","BEST_FPERIOD_OVERRIDE=FQ","FILING_STATUS=MR","FA_ADJUSTED=GAAP","Sort=A","Dates=H","DateFormat=P","Fill=—","Direction=H","UseDPDF=Y")</f>
        <v>5.6112000000000002</v>
      </c>
      <c r="Q11" s="14">
        <f>_xll.BDH("GILD US Equity","REVENUE_PER_SH","FQ4 2022","FQ4 2022","Currency=USD","Period=FQ","BEST_FPERIOD_OVERRIDE=FQ","FILING_STATUS=MR","FA_ADJUSTED=GAAP","Sort=A","Dates=H","DateFormat=P","Fill=—","Direction=H","UseDPDF=Y")</f>
        <v>5.9017999999999997</v>
      </c>
      <c r="R11" s="14">
        <f>_xll.BDH("GILD US Equity","REVENUE_PER_SH","FQ1 2023","FQ1 2023","Currency=USD","Period=FQ","BEST_FPERIOD_OVERRIDE=FQ","FILING_STATUS=MR","FA_ADJUSTED=GAAP","Sort=A","Dates=H","DateFormat=P","Fill=—","Direction=H","UseDPDF=Y")</f>
        <v>5.0896999999999997</v>
      </c>
      <c r="S11" s="14">
        <f>_xll.BDH("GILD US Equity","REVENUE_PER_SH","FQ2 2023","FQ2 2023","Currency=USD","Period=FQ","BEST_FPERIOD_OVERRIDE=FQ","FILING_STATUS=MR","FA_ADJUSTED=GAAP","Sort=A","Dates=H","DateFormat=P","Fill=—","Direction=H","UseDPDF=Y")</f>
        <v>5.2834000000000003</v>
      </c>
      <c r="T11" s="14">
        <f>_xll.BDH("GILD US Equity","REVENUE_PER_SH","FQ3 2023","FQ3 2023","Currency=USD","Period=FQ","BEST_FPERIOD_OVERRIDE=FQ","FILING_STATUS=MR","FA_ADJUSTED=GAAP","Sort=A","Dates=H","DateFormat=P","Fill=—","Direction=H","UseDPDF=Y")</f>
        <v>5.6497999999999999</v>
      </c>
      <c r="U11" s="14">
        <f>_xll.BDH("GILD US Equity","REVENUE_PER_SH","FQ4 2023","FQ4 2023","Currency=USD","Period=FQ","BEST_FPERIOD_OVERRIDE=FQ","FILING_STATUS=MR","FA_ADJUSTED=GAAP","Sort=A","Dates=H","DateFormat=P","Fill=—","Direction=H","UseDPDF=Y")</f>
        <v>5.7011000000000003</v>
      </c>
      <c r="V11" s="14">
        <f>_xll.BDH("GILD US Equity","REVENUE_PER_SH","FQ1 2024","FQ1 2024","Currency=USD","Period=FQ","BEST_FPERIOD_OVERRIDE=FQ","FILING_STATUS=MR","FA_ADJUSTED=GAAP","Sort=A","Dates=H","DateFormat=P","Fill=—","Direction=H","UseDPDF=Y")</f>
        <v>5.3616999999999999</v>
      </c>
      <c r="W11" s="14">
        <f>_xll.BDH("GILD US Equity","REVENUE_PER_SH","FQ2 2024","FQ2 2024","Currency=USD","Period=FQ","BEST_FPERIOD_OVERRIDE=FQ","FILING_STATUS=MR","FA_ADJUSTED=GAAP","Sort=A","Dates=H","DateFormat=P","Fill=—","Direction=H","UseDPDF=Y")</f>
        <v>5.5758000000000001</v>
      </c>
      <c r="X11" s="14">
        <f>_xll.BDH("GILD US Equity","REVENUE_PER_SH","FQ3 2024","FQ3 2024","Currency=USD","Period=FQ","BEST_FPERIOD_OVERRIDE=FQ","FILING_STATUS=MR","FA_ADJUSTED=GAAP","Sort=A","Dates=H","DateFormat=P","Fill=—","Direction=H","UseDPDF=Y")</f>
        <v>6.0505000000000004</v>
      </c>
      <c r="Y11" s="14">
        <f>_xll.BDH("GILD US Equity","REVENUE_PER_SH","FQ4 2024","FQ4 2024","Currency=USD","Period=FQ","BEST_FPERIOD_OVERRIDE=FQ","FILING_STATUS=MR","FA_ADJUSTED=GAAP","Sort=A","Dates=H","DateFormat=P","Fill=—","Direction=H","UseDPDF=Y")</f>
        <v>6.0648999999999997</v>
      </c>
      <c r="Z11" s="14"/>
      <c r="AA11" s="14"/>
    </row>
    <row r="12" spans="1:27" x14ac:dyDescent="0.25">
      <c r="A12" s="10" t="s">
        <v>78</v>
      </c>
      <c r="B12" s="10" t="s">
        <v>262</v>
      </c>
      <c r="C12" s="14">
        <f>_xll.BDH("GILD US Equity","EBITDA_PER_SH","FQ2 2019","FQ2 2019","Currency=USD","Period=FQ","BEST_FPERIOD_OVERRIDE=FQ","FILING_STATUS=MR","FA_ADJUSTED=GAAP","Sort=A","Dates=H","DateFormat=P","Fill=—","Direction=H","UseDPDF=Y")</f>
        <v>2.2172999999999998</v>
      </c>
      <c r="D12" s="14">
        <f>_xll.BDH("GILD US Equity","EBITDA_PER_SH","FQ3 2019","FQ3 2019","Currency=USD","Period=FQ","BEST_FPERIOD_OVERRIDE=FQ","FILING_STATUS=MR","FA_ADJUSTED=GAAP","Sort=A","Dates=H","DateFormat=P","Fill=—","Direction=H","UseDPDF=Y")</f>
        <v>-0.85399999999999998</v>
      </c>
      <c r="E12" s="14">
        <f>_xll.BDH("GILD US Equity","EBITDA_PER_SH","FQ4 2019","FQ4 2019","Currency=USD","Period=FQ","BEST_FPERIOD_OVERRIDE=FQ","FILING_STATUS=MR","FA_ADJUSTED=GAAP","Sort=A","Dates=H","DateFormat=P","Fill=—","Direction=H","UseDPDF=Y")</f>
        <v>1.1746000000000001</v>
      </c>
      <c r="F12" s="14">
        <f>_xll.BDH("GILD US Equity","EBITDA_PER_SH","FQ1 2020","FQ1 2020","Currency=USD","Period=FQ","BEST_FPERIOD_OVERRIDE=FQ","FILING_STATUS=MR","FA_ADJUSTED=GAAP","Sort=A","Dates=H","DateFormat=P","Fill=—","Direction=H","UseDPDF=Y")</f>
        <v>2.1798999999999999</v>
      </c>
      <c r="G12" s="14">
        <f>_xll.BDH("GILD US Equity","EBITDA_PER_SH","FQ2 2020","FQ2 2020","Currency=USD","Period=FQ","BEST_FPERIOD_OVERRIDE=FQ","FILING_STATUS=MR","FA_ADJUSTED=GAAP","Sort=A","Dates=H","DateFormat=P","Fill=—","Direction=H","UseDPDF=Y")</f>
        <v>-2.0988000000000002</v>
      </c>
      <c r="H12" s="14">
        <f>_xll.BDH("GILD US Equity","EBITDA_PER_SH","FQ3 2020","FQ3 2020","Currency=USD","Period=FQ","BEST_FPERIOD_OVERRIDE=FQ","FILING_STATUS=MR","FA_ADJUSTED=GAAP","Sort=A","Dates=H","DateFormat=P","Fill=—","Direction=H","UseDPDF=Y")</f>
        <v>1.8773</v>
      </c>
      <c r="I12" s="14">
        <f>_xll.BDH("GILD US Equity","EBITDA_PER_SH","FQ4 2020","FQ4 2020","Currency=USD","Period=FQ","BEST_FPERIOD_OVERRIDE=FQ","FILING_STATUS=MR","FA_ADJUSTED=GAAP","Sort=A","Dates=H","DateFormat=P","Fill=—","Direction=H","UseDPDF=Y")</f>
        <v>2.4525999999999999</v>
      </c>
      <c r="J12" s="14">
        <f>_xll.BDH("GILD US Equity","EBITDA_PER_SH","FQ1 2021","FQ1 2021","Currency=USD","Period=FQ","BEST_FPERIOD_OVERRIDE=FQ","FILING_STATUS=MR","FA_ADJUSTED=GAAP","Sort=A","Dates=H","DateFormat=P","Fill=—","Direction=H","UseDPDF=Y")</f>
        <v>2.6775000000000002</v>
      </c>
      <c r="K12" s="14">
        <f>_xll.BDH("GILD US Equity","EBITDA_PER_SH","FQ2 2021","FQ2 2021","Currency=USD","Period=FQ","BEST_FPERIOD_OVERRIDE=FQ","FILING_STATUS=MR","FA_ADJUSTED=GAAP","Sort=A","Dates=H","DateFormat=P","Fill=—","Direction=H","UseDPDF=Y")</f>
        <v>2.2031999999999998</v>
      </c>
      <c r="L12" s="14">
        <f>_xll.BDH("GILD US Equity","EBITDA_PER_SH","FQ3 2021","FQ3 2021","Currency=USD","Period=FQ","BEST_FPERIOD_OVERRIDE=FQ","FILING_STATUS=MR","FA_ADJUSTED=GAAP","Sort=A","Dates=H","DateFormat=P","Fill=—","Direction=H","UseDPDF=Y")</f>
        <v>3.4752999999999998</v>
      </c>
      <c r="M12" s="14">
        <f>_xll.BDH("GILD US Equity","EBITDA_PER_SH","FQ4 2021","FQ4 2021","Currency=USD","Period=FQ","BEST_FPERIOD_OVERRIDE=FQ","FILING_STATUS=MR","FA_ADJUSTED=GAAP","Sort=A","Dates=H","DateFormat=P","Fill=—","Direction=H","UseDPDF=Y")</f>
        <v>1.1744000000000001</v>
      </c>
      <c r="N12" s="14">
        <f>_xll.BDH("GILD US Equity","EBITDA_PER_SH","FQ1 2022","FQ1 2022","Currency=USD","Period=FQ","BEST_FPERIOD_OVERRIDE=FQ","FILING_STATUS=MR","FA_ADJUSTED=GAAP","Sort=A","Dates=H","DateFormat=P","Fill=—","Direction=H","UseDPDF=Y")</f>
        <v>0.57530000000000003</v>
      </c>
      <c r="O12" s="14">
        <f>_xll.BDH("GILD US Equity","EBITDA_PER_SH","FQ2 2022","FQ2 2022","Currency=USD","Period=FQ","BEST_FPERIOD_OVERRIDE=FQ","FILING_STATUS=MR","FA_ADJUSTED=GAAP","Sort=A","Dates=H","DateFormat=P","Fill=—","Direction=H","UseDPDF=Y")</f>
        <v>2.0333999999999999</v>
      </c>
      <c r="P12" s="14">
        <f>_xll.BDH("GILD US Equity","EBITDA_PER_SH","FQ3 2022","FQ3 2022","Currency=USD","Period=FQ","BEST_FPERIOD_OVERRIDE=FQ","FILING_STATUS=MR","FA_ADJUSTED=GAAP","Sort=A","Dates=H","DateFormat=P","Fill=—","Direction=H","UseDPDF=Y")</f>
        <v>2.6789000000000001</v>
      </c>
      <c r="Q12" s="14">
        <f>_xll.BDH("GILD US Equity","EBITDA_PER_SH","FQ4 2022","FQ4 2022","Currency=USD","Period=FQ","BEST_FPERIOD_OVERRIDE=FQ","FILING_STATUS=MR","FA_ADJUSTED=GAAP","Sort=A","Dates=H","DateFormat=P","Fill=—","Direction=H","UseDPDF=Y")</f>
        <v>2.2324000000000002</v>
      </c>
      <c r="R12" s="14">
        <f>_xll.BDH("GILD US Equity","EBITDA_PER_SH","FQ1 2023","FQ1 2023","Currency=USD","Period=FQ","BEST_FPERIOD_OVERRIDE=FQ","FILING_STATUS=MR","FA_ADJUSTED=GAAP","Sort=A","Dates=H","DateFormat=P","Fill=—","Direction=H","UseDPDF=Y")</f>
        <v>1.879</v>
      </c>
      <c r="S12" s="14">
        <f>_xll.BDH("GILD US Equity","EBITDA_PER_SH","FQ2 2023","FQ2 2023","Currency=USD","Period=FQ","BEST_FPERIOD_OVERRIDE=FQ","FILING_STATUS=MR","FA_ADJUSTED=GAAP","Sort=A","Dates=H","DateFormat=P","Fill=—","Direction=H","UseDPDF=Y")</f>
        <v>1.8783000000000001</v>
      </c>
      <c r="T12" s="14">
        <f>_xll.BDH("GILD US Equity","EBITDA_PER_SH","FQ3 2023","FQ3 2023","Currency=USD","Period=FQ","BEST_FPERIOD_OVERRIDE=FQ","FILING_STATUS=MR","FA_ADJUSTED=GAAP","Sort=A","Dates=H","DateFormat=P","Fill=—","Direction=H","UseDPDF=Y")</f>
        <v>2.6497999999999999</v>
      </c>
      <c r="U12" s="14">
        <f>_xll.BDH("GILD US Equity","EBITDA_PER_SH","FQ4 2023","FQ4 2023","Currency=USD","Period=FQ","BEST_FPERIOD_OVERRIDE=FQ","FILING_STATUS=MR","FA_ADJUSTED=GAAP","Sort=A","Dates=H","DateFormat=P","Fill=—","Direction=H","UseDPDF=Y")</f>
        <v>1.8429</v>
      </c>
      <c r="V12" s="14">
        <f>_xll.BDH("GILD US Equity","EBITDA_PER_SH","FQ1 2024","FQ1 2024","Currency=USD","Period=FQ","BEST_FPERIOD_OVERRIDE=FQ","FILING_STATUS=MR","FA_ADJUSTED=GAAP","Sort=A","Dates=H","DateFormat=P","Fill=—","Direction=H","UseDPDF=Y")</f>
        <v>-2.9125999999999999</v>
      </c>
      <c r="W12" s="14">
        <f>_xll.BDH("GILD US Equity","EBITDA_PER_SH","FQ2 2024","FQ2 2024","Currency=USD","Period=FQ","BEST_FPERIOD_OVERRIDE=FQ","FILING_STATUS=MR","FA_ADJUSTED=GAAP","Sort=A","Dates=H","DateFormat=P","Fill=—","Direction=H","UseDPDF=Y")</f>
        <v>2.6768000000000001</v>
      </c>
      <c r="X12" s="14">
        <f>_xll.BDH("GILD US Equity","EBITDA_PER_SH","FQ3 2024","FQ3 2024","Currency=USD","Period=FQ","BEST_FPERIOD_OVERRIDE=FQ","FILING_STATUS=MR","FA_ADJUSTED=GAAP","Sort=A","Dates=H","DateFormat=P","Fill=—","Direction=H","UseDPDF=Y")</f>
        <v>1.2654000000000001</v>
      </c>
      <c r="Y12" s="14">
        <f>_xll.BDH("GILD US Equity","EBITDA_PER_SH","FQ4 2024","FQ4 2024","Currency=USD","Period=FQ","BEST_FPERIOD_OVERRIDE=FQ","FILING_STATUS=MR","FA_ADJUSTED=GAAP","Sort=A","Dates=H","DateFormat=P","Fill=—","Direction=H","UseDPDF=Y")</f>
        <v>2.5192000000000001</v>
      </c>
      <c r="Z12" s="14"/>
      <c r="AA12" s="14"/>
    </row>
    <row r="13" spans="1:27" x14ac:dyDescent="0.25">
      <c r="A13" s="10" t="s">
        <v>98</v>
      </c>
      <c r="B13" s="10" t="s">
        <v>263</v>
      </c>
      <c r="C13" s="14">
        <f>_xll.BDH("GILD US Equity","OPER_INC_PER_SH","FQ2 2019","FQ2 2019","Currency=USD","Period=FQ","BEST_FPERIOD_OVERRIDE=FQ","FILING_STATUS=MR","FA_ADJUSTED=GAAP","Sort=A","Dates=H","DateFormat=P","Fill=—","Direction=H","UseDPDF=Y")</f>
        <v>1.9134</v>
      </c>
      <c r="D13" s="14">
        <f>_xll.BDH("GILD US Equity","OPER_INC_PER_SH","FQ3 2019","FQ3 2019","Currency=USD","Period=FQ","BEST_FPERIOD_OVERRIDE=FQ","FILING_STATUS=MR","FA_ADJUSTED=GAAP","Sort=A","Dates=H","DateFormat=P","Fill=—","Direction=H","UseDPDF=Y")</f>
        <v>-1.1626000000000001</v>
      </c>
      <c r="E13" s="14">
        <f>_xll.BDH("GILD US Equity","OPER_INC_PER_SH","FQ4 2019","FQ4 2019","Currency=USD","Period=FQ","BEST_FPERIOD_OVERRIDE=FQ","FILING_STATUS=MR","FA_ADJUSTED=GAAP","Sort=A","Dates=H","DateFormat=P","Fill=—","Direction=H","UseDPDF=Y")</f>
        <v>0.86329999999999996</v>
      </c>
      <c r="F13" s="14">
        <f>_xll.BDH("GILD US Equity","OPER_INC_PER_SH","FQ1 2020","FQ1 2020","Currency=USD","Period=FQ","BEST_FPERIOD_OVERRIDE=FQ","FILING_STATUS=MR","FA_ADJUSTED=GAAP","Sort=A","Dates=H","DateFormat=P","Fill=—","Direction=H","UseDPDF=Y")</f>
        <v>1.9033</v>
      </c>
      <c r="G13" s="14">
        <f>_xll.BDH("GILD US Equity","OPER_INC_PER_SH","FQ2 2020","FQ2 2020","Currency=USD","Period=FQ","BEST_FPERIOD_OVERRIDE=FQ","FILING_STATUS=MR","FA_ADJUSTED=GAAP","Sort=A","Dates=H","DateFormat=P","Fill=—","Direction=H","UseDPDF=Y")</f>
        <v>-2.3769</v>
      </c>
      <c r="H13" s="14">
        <f>_xll.BDH("GILD US Equity","OPER_INC_PER_SH","FQ3 2020","FQ3 2020","Currency=USD","Period=FQ","BEST_FPERIOD_OVERRIDE=FQ","FILING_STATUS=MR","FA_ADJUSTED=GAAP","Sort=A","Dates=H","DateFormat=P","Fill=—","Direction=H","UseDPDF=Y")</f>
        <v>1.5944</v>
      </c>
      <c r="I13" s="14">
        <f>_xll.BDH("GILD US Equity","OPER_INC_PER_SH","FQ4 2020","FQ4 2020","Currency=USD","Period=FQ","BEST_FPERIOD_OVERRIDE=FQ","FILING_STATUS=MR","FA_ADJUSTED=GAAP","Sort=A","Dates=H","DateFormat=P","Fill=—","Direction=H","UseDPDF=Y")</f>
        <v>2.1124000000000001</v>
      </c>
      <c r="J13" s="14">
        <f>_xll.BDH("GILD US Equity","OPER_INC_PER_SH","FQ1 2021","FQ1 2021","Currency=USD","Period=FQ","BEST_FPERIOD_OVERRIDE=FQ","FILING_STATUS=MR","FA_ADJUSTED=GAAP","Sort=A","Dates=H","DateFormat=P","Fill=—","Direction=H","UseDPDF=Y")</f>
        <v>2.3010000000000002</v>
      </c>
      <c r="K13" s="14">
        <f>_xll.BDH("GILD US Equity","OPER_INC_PER_SH","FQ2 2021","FQ2 2021","Currency=USD","Period=FQ","BEST_FPERIOD_OVERRIDE=FQ","FILING_STATUS=MR","FA_ADJUSTED=GAAP","Sort=A","Dates=H","DateFormat=P","Fill=—","Direction=H","UseDPDF=Y")</f>
        <v>1.7896000000000001</v>
      </c>
      <c r="L13" s="14">
        <f>_xll.BDH("GILD US Equity","OPER_INC_PER_SH","FQ3 2021","FQ3 2021","Currency=USD","Period=FQ","BEST_FPERIOD_OVERRIDE=FQ","FILING_STATUS=MR","FA_ADJUSTED=GAAP","Sort=A","Dates=H","DateFormat=P","Fill=—","Direction=H","UseDPDF=Y")</f>
        <v>3.0589</v>
      </c>
      <c r="M13" s="14">
        <f>_xll.BDH("GILD US Equity","OPER_INC_PER_SH","FQ4 2021","FQ4 2021","Currency=USD","Period=FQ","BEST_FPERIOD_OVERRIDE=FQ","FILING_STATUS=MR","FA_ADJUSTED=GAAP","Sort=A","Dates=H","DateFormat=P","Fill=—","Direction=H","UseDPDF=Y")</f>
        <v>0.74839999999999995</v>
      </c>
      <c r="N13" s="14">
        <f>_xll.BDH("GILD US Equity","OPER_INC_PER_SH","FQ1 2022","FQ1 2022","Currency=USD","Period=FQ","BEST_FPERIOD_OVERRIDE=FQ","FILING_STATUS=MR","FA_ADJUSTED=GAAP","Sort=A","Dates=H","DateFormat=P","Fill=—","Direction=H","UseDPDF=Y")</f>
        <v>0.157</v>
      </c>
      <c r="O13" s="14">
        <f>_xll.BDH("GILD US Equity","OPER_INC_PER_SH","FQ2 2022","FQ2 2022","Currency=USD","Period=FQ","BEST_FPERIOD_OVERRIDE=FQ","FILING_STATUS=MR","FA_ADJUSTED=GAAP","Sort=A","Dates=H","DateFormat=P","Fill=—","Direction=H","UseDPDF=Y")</f>
        <v>1.6153999999999999</v>
      </c>
      <c r="P13" s="14">
        <f>_xll.BDH("GILD US Equity","OPER_INC_PER_SH","FQ3 2022","FQ3 2022","Currency=USD","Period=FQ","BEST_FPERIOD_OVERRIDE=FQ","FILING_STATUS=MR","FA_ADJUSTED=GAAP","Sort=A","Dates=H","DateFormat=P","Fill=—","Direction=H","UseDPDF=Y")</f>
        <v>2.2606000000000002</v>
      </c>
      <c r="Q13" s="14">
        <f>_xll.BDH("GILD US Equity","OPER_INC_PER_SH","FQ4 2022","FQ4 2022","Currency=USD","Period=FQ","BEST_FPERIOD_OVERRIDE=FQ","FILING_STATUS=MR","FA_ADJUSTED=GAAP","Sort=A","Dates=H","DateFormat=P","Fill=—","Direction=H","UseDPDF=Y")</f>
        <v>1.8107</v>
      </c>
      <c r="R13" s="14">
        <f>_xll.BDH("GILD US Equity","OPER_INC_PER_SH","FQ1 2023","FQ1 2023","Currency=USD","Period=FQ","BEST_FPERIOD_OVERRIDE=FQ","FILING_STATUS=MR","FA_ADJUSTED=GAAP","Sort=A","Dates=H","DateFormat=P","Fill=—","Direction=H","UseDPDF=Y")</f>
        <v>1.3662000000000001</v>
      </c>
      <c r="S13" s="14">
        <f>_xll.BDH("GILD US Equity","OPER_INC_PER_SH","FQ2 2023","FQ2 2023","Currency=USD","Period=FQ","BEST_FPERIOD_OVERRIDE=FQ","FILING_STATUS=MR","FA_ADJUSTED=GAAP","Sort=A","Dates=H","DateFormat=P","Fill=—","Direction=H","UseDPDF=Y")</f>
        <v>1.3331</v>
      </c>
      <c r="T13" s="14">
        <f>_xll.BDH("GILD US Equity","OPER_INC_PER_SH","FQ3 2023","FQ3 2023","Currency=USD","Period=FQ","BEST_FPERIOD_OVERRIDE=FQ","FILING_STATUS=MR","FA_ADJUSTED=GAAP","Sort=A","Dates=H","DateFormat=P","Fill=—","Direction=H","UseDPDF=Y")</f>
        <v>2.1017999999999999</v>
      </c>
      <c r="U13" s="14">
        <f>_xll.BDH("GILD US Equity","OPER_INC_PER_SH","FQ4 2023","FQ4 2023","Currency=USD","Period=FQ","BEST_FPERIOD_OVERRIDE=FQ","FILING_STATUS=MR","FA_ADJUSTED=GAAP","Sort=A","Dates=H","DateFormat=P","Fill=—","Direction=H","UseDPDF=Y")</f>
        <v>1.2917000000000001</v>
      </c>
      <c r="V13" s="14">
        <f>_xll.BDH("GILD US Equity","OPER_INC_PER_SH","FQ1 2024","FQ1 2024","Currency=USD","Period=FQ","BEST_FPERIOD_OVERRIDE=FQ","FILING_STATUS=MR","FA_ADJUSTED=GAAP","Sort=A","Dates=H","DateFormat=P","Fill=—","Direction=H","UseDPDF=Y")</f>
        <v>-3.4659</v>
      </c>
      <c r="W13" s="14">
        <f>_xll.BDH("GILD US Equity","OPER_INC_PER_SH","FQ2 2024","FQ2 2024","Currency=USD","Period=FQ","BEST_FPERIOD_OVERRIDE=FQ","FILING_STATUS=MR","FA_ADJUSTED=GAAP","Sort=A","Dates=H","DateFormat=P","Fill=—","Direction=H","UseDPDF=Y")</f>
        <v>2.1202999999999999</v>
      </c>
      <c r="X13" s="14">
        <f>_xll.BDH("GILD US Equity","OPER_INC_PER_SH","FQ3 2024","FQ3 2024","Currency=USD","Period=FQ","BEST_FPERIOD_OVERRIDE=FQ","FILING_STATUS=MR","FA_ADJUSTED=GAAP","Sort=A","Dates=H","DateFormat=P","Fill=—","Direction=H","UseDPDF=Y")</f>
        <v>0.71209999999999996</v>
      </c>
      <c r="Y13" s="14">
        <f>_xll.BDH("GILD US Equity","OPER_INC_PER_SH","FQ4 2024","FQ4 2024","Currency=USD","Period=FQ","BEST_FPERIOD_OVERRIDE=FQ","FILING_STATUS=MR","FA_ADJUSTED=GAAP","Sort=A","Dates=H","DateFormat=P","Fill=—","Direction=H","UseDPDF=Y")</f>
        <v>1.9639</v>
      </c>
      <c r="Z13" s="14"/>
      <c r="AA13" s="14"/>
    </row>
    <row r="14" spans="1:27" x14ac:dyDescent="0.25">
      <c r="A14" s="10" t="s">
        <v>264</v>
      </c>
      <c r="B14" s="10" t="s">
        <v>102</v>
      </c>
      <c r="C14" s="14">
        <f>_xll.BDH("GILD US Equity","IS_EPS","FQ2 2019","FQ2 2019","Currency=USD","Period=FQ","BEST_FPERIOD_OVERRIDE=FQ","FILING_STATUS=MR","FA_ADJUSTED=GAAP","Sort=A","Dates=H","DateFormat=P","Fill=—","Direction=H","UseDPDF=Y")</f>
        <v>1.48</v>
      </c>
      <c r="D14" s="14">
        <f>_xll.BDH("GILD US Equity","IS_EPS","FQ3 2019","FQ3 2019","Currency=USD","Period=FQ","BEST_FPERIOD_OVERRIDE=FQ","FILING_STATUS=MR","FA_ADJUSTED=GAAP","Sort=A","Dates=H","DateFormat=P","Fill=—","Direction=H","UseDPDF=Y")</f>
        <v>-0.92</v>
      </c>
      <c r="E14" s="14">
        <f>_xll.BDH("GILD US Equity","IS_EPS","FQ4 2019","FQ4 2019","Currency=USD","Period=FQ","BEST_FPERIOD_OVERRIDE=FQ","FILING_STATUS=MR","FA_ADJUSTED=GAAP","Sort=A","Dates=H","DateFormat=P","Fill=—","Direction=H","UseDPDF=Y")</f>
        <v>2.13</v>
      </c>
      <c r="F14" s="14">
        <f>_xll.BDH("GILD US Equity","IS_EPS","FQ1 2020","FQ1 2020","Currency=USD","Period=FQ","BEST_FPERIOD_OVERRIDE=FQ","FILING_STATUS=MR","FA_ADJUSTED=GAAP","Sort=A","Dates=H","DateFormat=P","Fill=—","Direction=H","UseDPDF=Y")</f>
        <v>1.23</v>
      </c>
      <c r="G14" s="14">
        <f>_xll.BDH("GILD US Equity","IS_EPS","FQ2 2020","FQ2 2020","Currency=USD","Period=FQ","BEST_FPERIOD_OVERRIDE=FQ","FILING_STATUS=MR","FA_ADJUSTED=GAAP","Sort=A","Dates=H","DateFormat=P","Fill=—","Direction=H","UseDPDF=Y")</f>
        <v>-2.66</v>
      </c>
      <c r="H14" s="14">
        <f>_xll.BDH("GILD US Equity","IS_EPS","FQ3 2020","FQ3 2020","Currency=USD","Period=FQ","BEST_FPERIOD_OVERRIDE=FQ","FILING_STATUS=MR","FA_ADJUSTED=GAAP","Sort=A","Dates=H","DateFormat=P","Fill=—","Direction=H","UseDPDF=Y")</f>
        <v>0.28999999999999998</v>
      </c>
      <c r="I14" s="14">
        <f>_xll.BDH("GILD US Equity","IS_EPS","FQ4 2020","FQ4 2020","Currency=USD","Period=FQ","BEST_FPERIOD_OVERRIDE=FQ","FILING_STATUS=MR","FA_ADJUSTED=GAAP","Sort=A","Dates=H","DateFormat=P","Fill=—","Direction=H","UseDPDF=Y")</f>
        <v>1.24</v>
      </c>
      <c r="J14" s="14">
        <f>_xll.BDH("GILD US Equity","IS_EPS","FQ1 2021","FQ1 2021","Currency=USD","Period=FQ","BEST_FPERIOD_OVERRIDE=FQ","FILING_STATUS=MR","FA_ADJUSTED=GAAP","Sort=A","Dates=H","DateFormat=P","Fill=—","Direction=H","UseDPDF=Y")</f>
        <v>1.38</v>
      </c>
      <c r="K14" s="14">
        <f>_xll.BDH("GILD US Equity","IS_EPS","FQ2 2021","FQ2 2021","Currency=USD","Period=FQ","BEST_FPERIOD_OVERRIDE=FQ","FILING_STATUS=MR","FA_ADJUSTED=GAAP","Sort=A","Dates=H","DateFormat=P","Fill=—","Direction=H","UseDPDF=Y")</f>
        <v>1.21</v>
      </c>
      <c r="L14" s="14">
        <f>_xll.BDH("GILD US Equity","IS_EPS","FQ3 2021","FQ3 2021","Currency=USD","Period=FQ","BEST_FPERIOD_OVERRIDE=FQ","FILING_STATUS=MR","FA_ADJUSTED=GAAP","Sort=A","Dates=H","DateFormat=P","Fill=—","Direction=H","UseDPDF=Y")</f>
        <v>2.06</v>
      </c>
      <c r="M14" s="14">
        <f>_xll.BDH("GILD US Equity","IS_EPS","FQ4 2021","FQ4 2021","Currency=USD","Period=FQ","BEST_FPERIOD_OVERRIDE=FQ","FILING_STATUS=MR","FA_ADJUSTED=GAAP","Sort=A","Dates=H","DateFormat=P","Fill=—","Direction=H","UseDPDF=Y")</f>
        <v>0.3</v>
      </c>
      <c r="N14" s="14">
        <f>_xll.BDH("GILD US Equity","IS_EPS","FQ1 2022","FQ1 2022","Currency=USD","Period=FQ","BEST_FPERIOD_OVERRIDE=FQ","FILING_STATUS=MR","FA_ADJUSTED=GAAP","Sort=A","Dates=H","DateFormat=P","Fill=—","Direction=H","UseDPDF=Y")</f>
        <v>0.02</v>
      </c>
      <c r="O14" s="14">
        <f>_xll.BDH("GILD US Equity","IS_EPS","FQ2 2022","FQ2 2022","Currency=USD","Period=FQ","BEST_FPERIOD_OVERRIDE=FQ","FILING_STATUS=MR","FA_ADJUSTED=GAAP","Sort=A","Dates=H","DateFormat=P","Fill=—","Direction=H","UseDPDF=Y")</f>
        <v>0.91</v>
      </c>
      <c r="P14" s="14">
        <f>_xll.BDH("GILD US Equity","IS_EPS","FQ3 2022","FQ3 2022","Currency=USD","Period=FQ","BEST_FPERIOD_OVERRIDE=FQ","FILING_STATUS=MR","FA_ADJUSTED=GAAP","Sort=A","Dates=H","DateFormat=P","Fill=—","Direction=H","UseDPDF=Y")</f>
        <v>1.43</v>
      </c>
      <c r="Q14" s="14">
        <f>_xll.BDH("GILD US Equity","IS_EPS","FQ4 2022","FQ4 2022","Currency=USD","Period=FQ","BEST_FPERIOD_OVERRIDE=FQ","FILING_STATUS=MR","FA_ADJUSTED=GAAP","Sort=A","Dates=H","DateFormat=P","Fill=—","Direction=H","UseDPDF=Y")</f>
        <v>1.31</v>
      </c>
      <c r="R14" s="14">
        <f>_xll.BDH("GILD US Equity","IS_EPS","FQ1 2023","FQ1 2023","Currency=USD","Period=FQ","BEST_FPERIOD_OVERRIDE=FQ","FILING_STATUS=MR","FA_ADJUSTED=GAAP","Sort=A","Dates=H","DateFormat=P","Fill=—","Direction=H","UseDPDF=Y")</f>
        <v>0.81</v>
      </c>
      <c r="S14" s="14">
        <f>_xll.BDH("GILD US Equity","IS_EPS","FQ2 2023","FQ2 2023","Currency=USD","Period=FQ","BEST_FPERIOD_OVERRIDE=FQ","FILING_STATUS=MR","FA_ADJUSTED=GAAP","Sort=A","Dates=H","DateFormat=P","Fill=—","Direction=H","UseDPDF=Y")</f>
        <v>0.84</v>
      </c>
      <c r="T14" s="14">
        <f>_xll.BDH("GILD US Equity","IS_EPS","FQ3 2023","FQ3 2023","Currency=USD","Period=FQ","BEST_FPERIOD_OVERRIDE=FQ","FILING_STATUS=MR","FA_ADJUSTED=GAAP","Sort=A","Dates=H","DateFormat=P","Fill=—","Direction=H","UseDPDF=Y")</f>
        <v>1.75</v>
      </c>
      <c r="U14" s="14">
        <f>_xll.BDH("GILD US Equity","IS_EPS","FQ4 2023","FQ4 2023","Currency=USD","Period=FQ","BEST_FPERIOD_OVERRIDE=FQ","FILING_STATUS=MR","FA_ADJUSTED=GAAP","Sort=A","Dates=H","DateFormat=P","Fill=—","Direction=H","UseDPDF=Y")</f>
        <v>1.1499999999999999</v>
      </c>
      <c r="V14" s="14">
        <f>_xll.BDH("GILD US Equity","IS_EPS","FQ1 2024","FQ1 2024","Currency=USD","Period=FQ","BEST_FPERIOD_OVERRIDE=FQ","FILING_STATUS=MR","FA_ADJUSTED=GAAP","Sort=A","Dates=H","DateFormat=P","Fill=—","Direction=H","UseDPDF=Y")</f>
        <v>-3.34</v>
      </c>
      <c r="W14" s="14">
        <f>_xll.BDH("GILD US Equity","IS_EPS","FQ2 2024","FQ2 2024","Currency=USD","Period=FQ","BEST_FPERIOD_OVERRIDE=FQ","FILING_STATUS=MR","FA_ADJUSTED=GAAP","Sort=A","Dates=H","DateFormat=P","Fill=—","Direction=H","UseDPDF=Y")</f>
        <v>1.29</v>
      </c>
      <c r="X14" s="14">
        <f>_xll.BDH("GILD US Equity","IS_EPS","FQ3 2024","FQ3 2024","Currency=USD","Period=FQ","BEST_FPERIOD_OVERRIDE=FQ","FILING_STATUS=MR","FA_ADJUSTED=GAAP","Sort=A","Dates=H","DateFormat=P","Fill=—","Direction=H","UseDPDF=Y")</f>
        <v>1</v>
      </c>
      <c r="Y14" s="14">
        <f>_xll.BDH("GILD US Equity","IS_EPS","FQ4 2024","FQ4 2024","Currency=USD","Period=FQ","BEST_FPERIOD_OVERRIDE=FQ","FILING_STATUS=MR","FA_ADJUSTED=GAAP","Sort=A","Dates=H","DateFormat=P","Fill=—","Direction=H","UseDPDF=Y")</f>
        <v>1.43</v>
      </c>
      <c r="Z14" s="14">
        <v>1.2609999999999999</v>
      </c>
      <c r="AA14" s="14">
        <v>1.4650000000000001</v>
      </c>
    </row>
    <row r="15" spans="1:27" x14ac:dyDescent="0.25">
      <c r="A15" s="10" t="s">
        <v>265</v>
      </c>
      <c r="B15" s="10" t="s">
        <v>266</v>
      </c>
      <c r="C15" s="14">
        <f>_xll.BDH("GILD US Equity","IS_EARN_BEF_XO_ITEMS_PER_SH","FQ2 2019","FQ2 2019","Currency=USD","Period=FQ","BEST_FPERIOD_OVERRIDE=FQ","FILING_STATUS=MR","Sort=A","Dates=H","DateFormat=P","Fill=—","Direction=H","UseDPDF=Y")</f>
        <v>1.48</v>
      </c>
      <c r="D15" s="14">
        <f>_xll.BDH("GILD US Equity","IS_EARN_BEF_XO_ITEMS_PER_SH","FQ3 2019","FQ3 2019","Currency=USD","Period=FQ","BEST_FPERIOD_OVERRIDE=FQ","FILING_STATUS=MR","Sort=A","Dates=H","DateFormat=P","Fill=—","Direction=H","UseDPDF=Y")</f>
        <v>-0.92</v>
      </c>
      <c r="E15" s="14">
        <f>_xll.BDH("GILD US Equity","IS_EARN_BEF_XO_ITEMS_PER_SH","FQ4 2019","FQ4 2019","Currency=USD","Period=FQ","BEST_FPERIOD_OVERRIDE=FQ","FILING_STATUS=MR","Sort=A","Dates=H","DateFormat=P","Fill=—","Direction=H","UseDPDF=Y")</f>
        <v>2.13</v>
      </c>
      <c r="F15" s="14">
        <f>_xll.BDH("GILD US Equity","IS_EARN_BEF_XO_ITEMS_PER_SH","FQ1 2020","FQ1 2020","Currency=USD","Period=FQ","BEST_FPERIOD_OVERRIDE=FQ","FILING_STATUS=MR","Sort=A","Dates=H","DateFormat=P","Fill=—","Direction=H","UseDPDF=Y")</f>
        <v>1.23</v>
      </c>
      <c r="G15" s="14">
        <f>_xll.BDH("GILD US Equity","IS_EARN_BEF_XO_ITEMS_PER_SH","FQ2 2020","FQ2 2020","Currency=USD","Period=FQ","BEST_FPERIOD_OVERRIDE=FQ","FILING_STATUS=MR","Sort=A","Dates=H","DateFormat=P","Fill=—","Direction=H","UseDPDF=Y")</f>
        <v>-2.66</v>
      </c>
      <c r="H15" s="14">
        <f>_xll.BDH("GILD US Equity","IS_EARN_BEF_XO_ITEMS_PER_SH","FQ3 2020","FQ3 2020","Currency=USD","Period=FQ","BEST_FPERIOD_OVERRIDE=FQ","FILING_STATUS=MR","Sort=A","Dates=H","DateFormat=P","Fill=—","Direction=H","UseDPDF=Y")</f>
        <v>0.28999999999999998</v>
      </c>
      <c r="I15" s="14">
        <f>_xll.BDH("GILD US Equity","IS_EARN_BEF_XO_ITEMS_PER_SH","FQ4 2020","FQ4 2020","Currency=USD","Period=FQ","BEST_FPERIOD_OVERRIDE=FQ","FILING_STATUS=MR","Sort=A","Dates=H","DateFormat=P","Fill=—","Direction=H","UseDPDF=Y")</f>
        <v>1.24</v>
      </c>
      <c r="J15" s="14">
        <f>_xll.BDH("GILD US Equity","IS_EARN_BEF_XO_ITEMS_PER_SH","FQ1 2021","FQ1 2021","Currency=USD","Period=FQ","BEST_FPERIOD_OVERRIDE=FQ","FILING_STATUS=MR","Sort=A","Dates=H","DateFormat=P","Fill=—","Direction=H","UseDPDF=Y")</f>
        <v>1.38</v>
      </c>
      <c r="K15" s="14">
        <f>_xll.BDH("GILD US Equity","IS_EARN_BEF_XO_ITEMS_PER_SH","FQ2 2021","FQ2 2021","Currency=USD","Period=FQ","BEST_FPERIOD_OVERRIDE=FQ","FILING_STATUS=MR","Sort=A","Dates=H","DateFormat=P","Fill=—","Direction=H","UseDPDF=Y")</f>
        <v>1.21</v>
      </c>
      <c r="L15" s="14">
        <f>_xll.BDH("GILD US Equity","IS_EARN_BEF_XO_ITEMS_PER_SH","FQ3 2021","FQ3 2021","Currency=USD","Period=FQ","BEST_FPERIOD_OVERRIDE=FQ","FILING_STATUS=MR","Sort=A","Dates=H","DateFormat=P","Fill=—","Direction=H","UseDPDF=Y")</f>
        <v>2.06</v>
      </c>
      <c r="M15" s="14">
        <f>_xll.BDH("GILD US Equity","IS_EARN_BEF_XO_ITEMS_PER_SH","FQ4 2021","FQ4 2021","Currency=USD","Period=FQ","BEST_FPERIOD_OVERRIDE=FQ","FILING_STATUS=MR","Sort=A","Dates=H","DateFormat=P","Fill=—","Direction=H","UseDPDF=Y")</f>
        <v>0.3</v>
      </c>
      <c r="N15" s="14">
        <f>_xll.BDH("GILD US Equity","IS_EARN_BEF_XO_ITEMS_PER_SH","FQ1 2022","FQ1 2022","Currency=USD","Period=FQ","BEST_FPERIOD_OVERRIDE=FQ","FILING_STATUS=MR","Sort=A","Dates=H","DateFormat=P","Fill=—","Direction=H","UseDPDF=Y")</f>
        <v>0.02</v>
      </c>
      <c r="O15" s="14">
        <f>_xll.BDH("GILD US Equity","IS_EARN_BEF_XO_ITEMS_PER_SH","FQ2 2022","FQ2 2022","Currency=USD","Period=FQ","BEST_FPERIOD_OVERRIDE=FQ","FILING_STATUS=MR","Sort=A","Dates=H","DateFormat=P","Fill=—","Direction=H","UseDPDF=Y")</f>
        <v>0.91</v>
      </c>
      <c r="P15" s="14">
        <f>_xll.BDH("GILD US Equity","IS_EARN_BEF_XO_ITEMS_PER_SH","FQ3 2022","FQ3 2022","Currency=USD","Period=FQ","BEST_FPERIOD_OVERRIDE=FQ","FILING_STATUS=MR","Sort=A","Dates=H","DateFormat=P","Fill=—","Direction=H","UseDPDF=Y")</f>
        <v>1.43</v>
      </c>
      <c r="Q15" s="14">
        <f>_xll.BDH("GILD US Equity","IS_EARN_BEF_XO_ITEMS_PER_SH","FQ4 2022","FQ4 2022","Currency=USD","Period=FQ","BEST_FPERIOD_OVERRIDE=FQ","FILING_STATUS=MR","Sort=A","Dates=H","DateFormat=P","Fill=—","Direction=H","UseDPDF=Y")</f>
        <v>1.31</v>
      </c>
      <c r="R15" s="14">
        <f>_xll.BDH("GILD US Equity","IS_EARN_BEF_XO_ITEMS_PER_SH","FQ1 2023","FQ1 2023","Currency=USD","Period=FQ","BEST_FPERIOD_OVERRIDE=FQ","FILING_STATUS=MR","Sort=A","Dates=H","DateFormat=P","Fill=—","Direction=H","UseDPDF=Y")</f>
        <v>0.81</v>
      </c>
      <c r="S15" s="14">
        <f>_xll.BDH("GILD US Equity","IS_EARN_BEF_XO_ITEMS_PER_SH","FQ2 2023","FQ2 2023","Currency=USD","Period=FQ","BEST_FPERIOD_OVERRIDE=FQ","FILING_STATUS=MR","Sort=A","Dates=H","DateFormat=P","Fill=—","Direction=H","UseDPDF=Y")</f>
        <v>0.84</v>
      </c>
      <c r="T15" s="14">
        <f>_xll.BDH("GILD US Equity","IS_EARN_BEF_XO_ITEMS_PER_SH","FQ3 2023","FQ3 2023","Currency=USD","Period=FQ","BEST_FPERIOD_OVERRIDE=FQ","FILING_STATUS=MR","Sort=A","Dates=H","DateFormat=P","Fill=—","Direction=H","UseDPDF=Y")</f>
        <v>1.75</v>
      </c>
      <c r="U15" s="14">
        <f>_xll.BDH("GILD US Equity","IS_EARN_BEF_XO_ITEMS_PER_SH","FQ4 2023","FQ4 2023","Currency=USD","Period=FQ","BEST_FPERIOD_OVERRIDE=FQ","FILING_STATUS=MR","Sort=A","Dates=H","DateFormat=P","Fill=—","Direction=H","UseDPDF=Y")</f>
        <v>1.1499999999999999</v>
      </c>
      <c r="V15" s="14">
        <f>_xll.BDH("GILD US Equity","IS_EARN_BEF_XO_ITEMS_PER_SH","FQ1 2024","FQ1 2024","Currency=USD","Period=FQ","BEST_FPERIOD_OVERRIDE=FQ","FILING_STATUS=MR","Sort=A","Dates=H","DateFormat=P","Fill=—","Direction=H","UseDPDF=Y")</f>
        <v>-3.34</v>
      </c>
      <c r="W15" s="14">
        <f>_xll.BDH("GILD US Equity","IS_EARN_BEF_XO_ITEMS_PER_SH","FQ2 2024","FQ2 2024","Currency=USD","Period=FQ","BEST_FPERIOD_OVERRIDE=FQ","FILING_STATUS=MR","Sort=A","Dates=H","DateFormat=P","Fill=—","Direction=H","UseDPDF=Y")</f>
        <v>1.29</v>
      </c>
      <c r="X15" s="14">
        <f>_xll.BDH("GILD US Equity","IS_EARN_BEF_XO_ITEMS_PER_SH","FQ3 2024","FQ3 2024","Currency=USD","Period=FQ","BEST_FPERIOD_OVERRIDE=FQ","FILING_STATUS=MR","Sort=A","Dates=H","DateFormat=P","Fill=—","Direction=H","UseDPDF=Y")</f>
        <v>1</v>
      </c>
      <c r="Y15" s="14">
        <f>_xll.BDH("GILD US Equity","IS_EARN_BEF_XO_ITEMS_PER_SH","FQ4 2024","FQ4 2024","Currency=USD","Period=FQ","BEST_FPERIOD_OVERRIDE=FQ","FILING_STATUS=MR","Sort=A","Dates=H","DateFormat=P","Fill=—","Direction=H","UseDPDF=Y")</f>
        <v>1.43</v>
      </c>
      <c r="Z15" s="14">
        <v>1.2609999999999999</v>
      </c>
      <c r="AA15" s="14">
        <v>1.4650000000000001</v>
      </c>
    </row>
    <row r="16" spans="1:27" x14ac:dyDescent="0.25">
      <c r="A16" s="10" t="s">
        <v>267</v>
      </c>
      <c r="B16" s="10" t="s">
        <v>268</v>
      </c>
      <c r="C16" s="14">
        <f>_xll.BDH("GILD US Equity","IS_BASIC_EPS_CONT_OPS","FQ2 2019","FQ2 2019","Currency=USD","Period=FQ","BEST_FPERIOD_OVERRIDE=FQ","FILING_STATUS=MR","Sort=A","Dates=H","DateFormat=P","Fill=—","Direction=H","UseDPDF=Y")</f>
        <v>1.5306999999999999</v>
      </c>
      <c r="D16" s="14">
        <f>_xll.BDH("GILD US Equity","IS_BASIC_EPS_CONT_OPS","FQ3 2019","FQ3 2019","Currency=USD","Period=FQ","BEST_FPERIOD_OVERRIDE=FQ","FILING_STATUS=MR","Sort=A","Dates=H","DateFormat=P","Fill=—","Direction=H","UseDPDF=Y")</f>
        <v>1.4554</v>
      </c>
      <c r="E16" s="14">
        <f>_xll.BDH("GILD US Equity","IS_BASIC_EPS_CONT_OPS","FQ4 2019","FQ4 2019","Currency=USD","Period=FQ","BEST_FPERIOD_OVERRIDE=FQ","FILING_STATUS=MR","Sort=A","Dates=H","DateFormat=P","Fill=—","Direction=H","UseDPDF=Y")</f>
        <v>0.91069999999999995</v>
      </c>
      <c r="F16" s="14">
        <f>_xll.BDH("GILD US Equity","IS_BASIC_EPS_CONT_OPS","FQ1 2020","FQ1 2020","Currency=USD","Period=FQ","BEST_FPERIOD_OVERRIDE=FQ","FILING_STATUS=MR","Sort=A","Dates=H","DateFormat=P","Fill=—","Direction=H","UseDPDF=Y")</f>
        <v>1.6949000000000001</v>
      </c>
      <c r="G16" s="14">
        <f>_xll.BDH("GILD US Equity","IS_BASIC_EPS_CONT_OPS","FQ2 2020","FQ2 2020","Currency=USD","Period=FQ","BEST_FPERIOD_OVERRIDE=FQ","FILING_STATUS=MR","Sort=A","Dates=H","DateFormat=P","Fill=—","Direction=H","UseDPDF=Y")</f>
        <v>0.93710000000000004</v>
      </c>
      <c r="H16" s="14">
        <f>_xll.BDH("GILD US Equity","IS_BASIC_EPS_CONT_OPS","FQ3 2020","FQ3 2020","Currency=USD","Period=FQ","BEST_FPERIOD_OVERRIDE=FQ","FILING_STATUS=MR","Sort=A","Dates=H","DateFormat=P","Fill=—","Direction=H","UseDPDF=Y")</f>
        <v>1.9372</v>
      </c>
      <c r="I16" s="14">
        <f>_xll.BDH("GILD US Equity","IS_BASIC_EPS_CONT_OPS","FQ4 2020","FQ4 2020","Currency=USD","Period=FQ","BEST_FPERIOD_OVERRIDE=FQ","FILING_STATUS=MR","Sort=A","Dates=H","DateFormat=P","Fill=—","Direction=H","UseDPDF=Y")</f>
        <v>1.9386000000000001</v>
      </c>
      <c r="J16" s="14">
        <f>_xll.BDH("GILD US Equity","IS_BASIC_EPS_CONT_OPS","FQ1 2021","FQ1 2021","Currency=USD","Period=FQ","BEST_FPERIOD_OVERRIDE=FQ","FILING_STATUS=MR","Sort=A","Dates=H","DateFormat=P","Fill=—","Direction=H","UseDPDF=Y")</f>
        <v>2.0924</v>
      </c>
      <c r="K16" s="14">
        <f>_xll.BDH("GILD US Equity","IS_BASIC_EPS_CONT_OPS","FQ2 2021","FQ2 2021","Currency=USD","Period=FQ","BEST_FPERIOD_OVERRIDE=FQ","FILING_STATUS=MR","Sort=A","Dates=H","DateFormat=P","Fill=—","Direction=H","UseDPDF=Y")</f>
        <v>1.5195000000000001</v>
      </c>
      <c r="L16" s="14">
        <f>_xll.BDH("GILD US Equity","IS_BASIC_EPS_CONT_OPS","FQ3 2021","FQ3 2021","Currency=USD","Period=FQ","BEST_FPERIOD_OVERRIDE=FQ","FILING_STATUS=MR","Sort=A","Dates=H","DateFormat=P","Fill=—","Direction=H","UseDPDF=Y")</f>
        <v>2.3184999999999998</v>
      </c>
      <c r="M16" s="14">
        <f>_xll.BDH("GILD US Equity","IS_BASIC_EPS_CONT_OPS","FQ4 2021","FQ4 2021","Currency=USD","Period=FQ","BEST_FPERIOD_OVERRIDE=FQ","FILING_STATUS=MR","Sort=A","Dates=H","DateFormat=P","Fill=—","Direction=H","UseDPDF=Y")</f>
        <v>0.75849999999999995</v>
      </c>
      <c r="N16" s="14">
        <f>_xll.BDH("GILD US Equity","IS_BASIC_EPS_CONT_OPS","FQ1 2022","FQ1 2022","Currency=USD","Period=FQ","BEST_FPERIOD_OVERRIDE=FQ","FILING_STATUS=MR","Sort=A","Dates=H","DateFormat=P","Fill=—","Direction=H","UseDPDF=Y")</f>
        <v>1.7282999999999999</v>
      </c>
      <c r="O16" s="14">
        <f>_xll.BDH("GILD US Equity","IS_BASIC_EPS_CONT_OPS","FQ2 2022","FQ2 2022","Currency=USD","Period=FQ","BEST_FPERIOD_OVERRIDE=FQ","FILING_STATUS=MR","Sort=A","Dates=H","DateFormat=P","Fill=—","Direction=H","UseDPDF=Y")</f>
        <v>1.4353</v>
      </c>
      <c r="P16" s="14">
        <f>_xll.BDH("GILD US Equity","IS_BASIC_EPS_CONT_OPS","FQ3 2022","FQ3 2022","Currency=USD","Period=FQ","BEST_FPERIOD_OVERRIDE=FQ","FILING_STATUS=MR","Sort=A","Dates=H","DateFormat=P","Fill=—","Direction=H","UseDPDF=Y")</f>
        <v>2.1865999999999999</v>
      </c>
      <c r="Q16" s="14">
        <f>_xll.BDH("GILD US Equity","IS_BASIC_EPS_CONT_OPS","FQ4 2022","FQ4 2022","Currency=USD","Period=FQ","BEST_FPERIOD_OVERRIDE=FQ","FILING_STATUS=MR","Sort=A","Dates=H","DateFormat=P","Fill=—","Direction=H","UseDPDF=Y")</f>
        <v>1.5054000000000001</v>
      </c>
      <c r="R16" s="14">
        <f>_xll.BDH("GILD US Equity","IS_BASIC_EPS_CONT_OPS","FQ1 2023","FQ1 2023","Currency=USD","Period=FQ","BEST_FPERIOD_OVERRIDE=FQ","FILING_STATUS=MR","Sort=A","Dates=H","DateFormat=P","Fill=—","Direction=H","UseDPDF=Y")</f>
        <v>1.3476999999999999</v>
      </c>
      <c r="S16" s="14">
        <f>_xll.BDH("GILD US Equity","IS_BASIC_EPS_CONT_OPS","FQ2 2023","FQ2 2023","Currency=USD","Period=FQ","BEST_FPERIOD_OVERRIDE=FQ","FILING_STATUS=MR","Sort=A","Dates=H","DateFormat=P","Fill=—","Direction=H","UseDPDF=Y")</f>
        <v>1.1664000000000001</v>
      </c>
      <c r="T16" s="14">
        <f>_xll.BDH("GILD US Equity","IS_BASIC_EPS_CONT_OPS","FQ3 2023","FQ3 2023","Currency=USD","Period=FQ","BEST_FPERIOD_OVERRIDE=FQ","FILING_STATUS=MR","Sort=A","Dates=H","DateFormat=P","Fill=—","Direction=H","UseDPDF=Y")</f>
        <v>1.9951000000000001</v>
      </c>
      <c r="U16" s="14">
        <f>_xll.BDH("GILD US Equity","IS_BASIC_EPS_CONT_OPS","FQ4 2023","FQ4 2023","Currency=USD","Period=FQ","BEST_FPERIOD_OVERRIDE=FQ","FILING_STATUS=MR","Sort=A","Dates=H","DateFormat=P","Fill=—","Direction=H","UseDPDF=Y")</f>
        <v>1.5818000000000001</v>
      </c>
      <c r="V16" s="14">
        <f>_xll.BDH("GILD US Equity","IS_BASIC_EPS_CONT_OPS","FQ1 2024","FQ1 2024","Currency=USD","Period=FQ","BEST_FPERIOD_OVERRIDE=FQ","FILING_STATUS=MR","Sort=A","Dates=H","DateFormat=P","Fill=—","Direction=H","UseDPDF=Y")</f>
        <v>0.93140000000000001</v>
      </c>
      <c r="W16" s="14">
        <f>_xll.BDH("GILD US Equity","IS_BASIC_EPS_CONT_OPS","FQ2 2024","FQ2 2024","Currency=USD","Period=FQ","BEST_FPERIOD_OVERRIDE=FQ","FILING_STATUS=MR","Sort=A","Dates=H","DateFormat=P","Fill=—","Direction=H","UseDPDF=Y")</f>
        <v>1.6768000000000001</v>
      </c>
      <c r="X16" s="14">
        <f>_xll.BDH("GILD US Equity","IS_BASIC_EPS_CONT_OPS","FQ3 2024","FQ3 2024","Currency=USD","Period=FQ","BEST_FPERIOD_OVERRIDE=FQ","FILING_STATUS=MR","Sort=A","Dates=H","DateFormat=P","Fill=—","Direction=H","UseDPDF=Y")</f>
        <v>1.9815</v>
      </c>
      <c r="Y16" s="14">
        <f>_xll.BDH("GILD US Equity","IS_BASIC_EPS_CONT_OPS","FQ4 2024","FQ4 2024","Currency=USD","Period=FQ","BEST_FPERIOD_OVERRIDE=FQ","FILING_STATUS=MR","Sort=A","Dates=H","DateFormat=P","Fill=—","Direction=H","UseDPDF=Y")</f>
        <v>1.5410999999999999</v>
      </c>
      <c r="Z16" s="14">
        <v>1.7589999999999999</v>
      </c>
      <c r="AA16" s="14">
        <v>1.94</v>
      </c>
    </row>
    <row r="17" spans="1:27" x14ac:dyDescent="0.25">
      <c r="A17" s="10" t="s">
        <v>269</v>
      </c>
      <c r="B17" s="10" t="s">
        <v>104</v>
      </c>
      <c r="C17" s="14">
        <f>_xll.BDH("GILD US Equity","IS_DILUTED_EPS","FQ2 2019","FQ2 2019","Currency=USD","Period=FQ","BEST_FPERIOD_OVERRIDE=FQ","FILING_STATUS=MR","FA_ADJUSTED=GAAP","Sort=A","Dates=H","DateFormat=P","Fill=—","Direction=H","UseDPDF=Y")</f>
        <v>1.47</v>
      </c>
      <c r="D17" s="14">
        <f>_xll.BDH("GILD US Equity","IS_DILUTED_EPS","FQ3 2019","FQ3 2019","Currency=USD","Period=FQ","BEST_FPERIOD_OVERRIDE=FQ","FILING_STATUS=MR","FA_ADJUSTED=GAAP","Sort=A","Dates=H","DateFormat=P","Fill=—","Direction=H","UseDPDF=Y")</f>
        <v>-0.92</v>
      </c>
      <c r="E17" s="14">
        <f>_xll.BDH("GILD US Equity","IS_DILUTED_EPS","FQ4 2019","FQ4 2019","Currency=USD","Period=FQ","BEST_FPERIOD_OVERRIDE=FQ","FILING_STATUS=MR","FA_ADJUSTED=GAAP","Sort=A","Dates=H","DateFormat=P","Fill=—","Direction=H","UseDPDF=Y")</f>
        <v>2.12</v>
      </c>
      <c r="F17" s="14">
        <f>_xll.BDH("GILD US Equity","IS_DILUTED_EPS","FQ1 2020","FQ1 2020","Currency=USD","Period=FQ","BEST_FPERIOD_OVERRIDE=FQ","FILING_STATUS=MR","FA_ADJUSTED=GAAP","Sort=A","Dates=H","DateFormat=P","Fill=—","Direction=H","UseDPDF=Y")</f>
        <v>1.22</v>
      </c>
      <c r="G17" s="14">
        <f>_xll.BDH("GILD US Equity","IS_DILUTED_EPS","FQ2 2020","FQ2 2020","Currency=USD","Period=FQ","BEST_FPERIOD_OVERRIDE=FQ","FILING_STATUS=MR","FA_ADJUSTED=GAAP","Sort=A","Dates=H","DateFormat=P","Fill=—","Direction=H","UseDPDF=Y")</f>
        <v>-2.66</v>
      </c>
      <c r="H17" s="14">
        <f>_xll.BDH("GILD US Equity","IS_DILUTED_EPS","FQ3 2020","FQ3 2020","Currency=USD","Period=FQ","BEST_FPERIOD_OVERRIDE=FQ","FILING_STATUS=MR","FA_ADJUSTED=GAAP","Sort=A","Dates=H","DateFormat=P","Fill=—","Direction=H","UseDPDF=Y")</f>
        <v>0.28999999999999998</v>
      </c>
      <c r="I17" s="14">
        <f>_xll.BDH("GILD US Equity","IS_DILUTED_EPS","FQ4 2020","FQ4 2020","Currency=USD","Period=FQ","BEST_FPERIOD_OVERRIDE=FQ","FILING_STATUS=MR","FA_ADJUSTED=GAAP","Sort=A","Dates=H","DateFormat=P","Fill=—","Direction=H","UseDPDF=Y")</f>
        <v>1.23</v>
      </c>
      <c r="J17" s="14">
        <f>_xll.BDH("GILD US Equity","IS_DILUTED_EPS","FQ1 2021","FQ1 2021","Currency=USD","Period=FQ","BEST_FPERIOD_OVERRIDE=FQ","FILING_STATUS=MR","FA_ADJUSTED=GAAP","Sort=A","Dates=H","DateFormat=P","Fill=—","Direction=H","UseDPDF=Y")</f>
        <v>1.37</v>
      </c>
      <c r="K17" s="14">
        <f>_xll.BDH("GILD US Equity","IS_DILUTED_EPS","FQ2 2021","FQ2 2021","Currency=USD","Period=FQ","BEST_FPERIOD_OVERRIDE=FQ","FILING_STATUS=MR","FA_ADJUSTED=GAAP","Sort=A","Dates=H","DateFormat=P","Fill=—","Direction=H","UseDPDF=Y")</f>
        <v>1.21</v>
      </c>
      <c r="L17" s="14">
        <f>_xll.BDH("GILD US Equity","IS_DILUTED_EPS","FQ3 2021","FQ3 2021","Currency=USD","Period=FQ","BEST_FPERIOD_OVERRIDE=FQ","FILING_STATUS=MR","FA_ADJUSTED=GAAP","Sort=A","Dates=H","DateFormat=P","Fill=—","Direction=H","UseDPDF=Y")</f>
        <v>2.0499999999999998</v>
      </c>
      <c r="M17" s="14">
        <f>_xll.BDH("GILD US Equity","IS_DILUTED_EPS","FQ4 2021","FQ4 2021","Currency=USD","Period=FQ","BEST_FPERIOD_OVERRIDE=FQ","FILING_STATUS=MR","FA_ADJUSTED=GAAP","Sort=A","Dates=H","DateFormat=P","Fill=—","Direction=H","UseDPDF=Y")</f>
        <v>0.3</v>
      </c>
      <c r="N17" s="14">
        <f>_xll.BDH("GILD US Equity","IS_DILUTED_EPS","FQ1 2022","FQ1 2022","Currency=USD","Period=FQ","BEST_FPERIOD_OVERRIDE=FQ","FILING_STATUS=MR","FA_ADJUSTED=GAAP","Sort=A","Dates=H","DateFormat=P","Fill=—","Direction=H","UseDPDF=Y")</f>
        <v>0.02</v>
      </c>
      <c r="O17" s="14">
        <f>_xll.BDH("GILD US Equity","IS_DILUTED_EPS","FQ2 2022","FQ2 2022","Currency=USD","Period=FQ","BEST_FPERIOD_OVERRIDE=FQ","FILING_STATUS=MR","FA_ADJUSTED=GAAP","Sort=A","Dates=H","DateFormat=P","Fill=—","Direction=H","UseDPDF=Y")</f>
        <v>0.91</v>
      </c>
      <c r="P17" s="14">
        <f>_xll.BDH("GILD US Equity","IS_DILUTED_EPS","FQ3 2022","FQ3 2022","Currency=USD","Period=FQ","BEST_FPERIOD_OVERRIDE=FQ","FILING_STATUS=MR","FA_ADJUSTED=GAAP","Sort=A","Dates=H","DateFormat=P","Fill=—","Direction=H","UseDPDF=Y")</f>
        <v>1.42</v>
      </c>
      <c r="Q17" s="14">
        <f>_xll.BDH("GILD US Equity","IS_DILUTED_EPS","FQ4 2022","FQ4 2022","Currency=USD","Period=FQ","BEST_FPERIOD_OVERRIDE=FQ","FILING_STATUS=MR","FA_ADJUSTED=GAAP","Sort=A","Dates=H","DateFormat=P","Fill=—","Direction=H","UseDPDF=Y")</f>
        <v>1.3</v>
      </c>
      <c r="R17" s="14">
        <f>_xll.BDH("GILD US Equity","IS_DILUTED_EPS","FQ1 2023","FQ1 2023","Currency=USD","Period=FQ","BEST_FPERIOD_OVERRIDE=FQ","FILING_STATUS=MR","FA_ADJUSTED=GAAP","Sort=A","Dates=H","DateFormat=P","Fill=—","Direction=H","UseDPDF=Y")</f>
        <v>0.8</v>
      </c>
      <c r="S17" s="14">
        <f>_xll.BDH("GILD US Equity","IS_DILUTED_EPS","FQ2 2023","FQ2 2023","Currency=USD","Period=FQ","BEST_FPERIOD_OVERRIDE=FQ","FILING_STATUS=MR","FA_ADJUSTED=GAAP","Sort=A","Dates=H","DateFormat=P","Fill=—","Direction=H","UseDPDF=Y")</f>
        <v>0.83</v>
      </c>
      <c r="T17" s="14">
        <f>_xll.BDH("GILD US Equity","IS_DILUTED_EPS","FQ3 2023","FQ3 2023","Currency=USD","Period=FQ","BEST_FPERIOD_OVERRIDE=FQ","FILING_STATUS=MR","FA_ADJUSTED=GAAP","Sort=A","Dates=H","DateFormat=P","Fill=—","Direction=H","UseDPDF=Y")</f>
        <v>1.73</v>
      </c>
      <c r="U17" s="14">
        <f>_xll.BDH("GILD US Equity","IS_DILUTED_EPS","FQ4 2023","FQ4 2023","Currency=USD","Period=FQ","BEST_FPERIOD_OVERRIDE=FQ","FILING_STATUS=MR","FA_ADJUSTED=GAAP","Sort=A","Dates=H","DateFormat=P","Fill=—","Direction=H","UseDPDF=Y")</f>
        <v>1.1399999999999999</v>
      </c>
      <c r="V17" s="14">
        <f>_xll.BDH("GILD US Equity","IS_DILUTED_EPS","FQ1 2024","FQ1 2024","Currency=USD","Period=FQ","BEST_FPERIOD_OVERRIDE=FQ","FILING_STATUS=MR","FA_ADJUSTED=GAAP","Sort=A","Dates=H","DateFormat=P","Fill=—","Direction=H","UseDPDF=Y")</f>
        <v>-3.34</v>
      </c>
      <c r="W17" s="14">
        <f>_xll.BDH("GILD US Equity","IS_DILUTED_EPS","FQ2 2024","FQ2 2024","Currency=USD","Period=FQ","BEST_FPERIOD_OVERRIDE=FQ","FILING_STATUS=MR","FA_ADJUSTED=GAAP","Sort=A","Dates=H","DateFormat=P","Fill=—","Direction=H","UseDPDF=Y")</f>
        <v>1.29</v>
      </c>
      <c r="X17" s="14">
        <f>_xll.BDH("GILD US Equity","IS_DILUTED_EPS","FQ3 2024","FQ3 2024","Currency=USD","Period=FQ","BEST_FPERIOD_OVERRIDE=FQ","FILING_STATUS=MR","FA_ADJUSTED=GAAP","Sort=A","Dates=H","DateFormat=P","Fill=—","Direction=H","UseDPDF=Y")</f>
        <v>1</v>
      </c>
      <c r="Y17" s="14">
        <f>_xll.BDH("GILD US Equity","IS_DILUTED_EPS","FQ4 2024","FQ4 2024","Currency=USD","Period=FQ","BEST_FPERIOD_OVERRIDE=FQ","FILING_STATUS=MR","FA_ADJUSTED=GAAP","Sort=A","Dates=H","DateFormat=P","Fill=—","Direction=H","UseDPDF=Y")</f>
        <v>1.42</v>
      </c>
      <c r="Z17" s="14">
        <v>1.2609999999999999</v>
      </c>
      <c r="AA17" s="14">
        <v>1.4650000000000001</v>
      </c>
    </row>
    <row r="18" spans="1:27" x14ac:dyDescent="0.25">
      <c r="A18" s="10" t="s">
        <v>270</v>
      </c>
      <c r="B18" s="10" t="s">
        <v>271</v>
      </c>
      <c r="C18" s="14">
        <f>_xll.BDH("GILD US Equity","IS_DIL_EPS_BEF_XO","FQ2 2019","FQ2 2019","Currency=USD","Period=FQ","BEST_FPERIOD_OVERRIDE=FQ","FILING_STATUS=MR","Sort=A","Dates=H","DateFormat=P","Fill=—","Direction=H","UseDPDF=Y")</f>
        <v>1.47</v>
      </c>
      <c r="D18" s="14">
        <f>_xll.BDH("GILD US Equity","IS_DIL_EPS_BEF_XO","FQ3 2019","FQ3 2019","Currency=USD","Period=FQ","BEST_FPERIOD_OVERRIDE=FQ","FILING_STATUS=MR","Sort=A","Dates=H","DateFormat=P","Fill=—","Direction=H","UseDPDF=Y")</f>
        <v>-0.92</v>
      </c>
      <c r="E18" s="14">
        <f>_xll.BDH("GILD US Equity","IS_DIL_EPS_BEF_XO","FQ4 2019","FQ4 2019","Currency=USD","Period=FQ","BEST_FPERIOD_OVERRIDE=FQ","FILING_STATUS=MR","Sort=A","Dates=H","DateFormat=P","Fill=—","Direction=H","UseDPDF=Y")</f>
        <v>2.12</v>
      </c>
      <c r="F18" s="14">
        <f>_xll.BDH("GILD US Equity","IS_DIL_EPS_BEF_XO","FQ1 2020","FQ1 2020","Currency=USD","Period=FQ","BEST_FPERIOD_OVERRIDE=FQ","FILING_STATUS=MR","Sort=A","Dates=H","DateFormat=P","Fill=—","Direction=H","UseDPDF=Y")</f>
        <v>1.22</v>
      </c>
      <c r="G18" s="14">
        <f>_xll.BDH("GILD US Equity","IS_DIL_EPS_BEF_XO","FQ2 2020","FQ2 2020","Currency=USD","Period=FQ","BEST_FPERIOD_OVERRIDE=FQ","FILING_STATUS=MR","Sort=A","Dates=H","DateFormat=P","Fill=—","Direction=H","UseDPDF=Y")</f>
        <v>-2.66</v>
      </c>
      <c r="H18" s="14">
        <f>_xll.BDH("GILD US Equity","IS_DIL_EPS_BEF_XO","FQ3 2020","FQ3 2020","Currency=USD","Period=FQ","BEST_FPERIOD_OVERRIDE=FQ","FILING_STATUS=MR","Sort=A","Dates=H","DateFormat=P","Fill=—","Direction=H","UseDPDF=Y")</f>
        <v>0.28999999999999998</v>
      </c>
      <c r="I18" s="14">
        <f>_xll.BDH("GILD US Equity","IS_DIL_EPS_BEF_XO","FQ4 2020","FQ4 2020","Currency=USD","Period=FQ","BEST_FPERIOD_OVERRIDE=FQ","FILING_STATUS=MR","Sort=A","Dates=H","DateFormat=P","Fill=—","Direction=H","UseDPDF=Y")</f>
        <v>1.23</v>
      </c>
      <c r="J18" s="14">
        <f>_xll.BDH("GILD US Equity","IS_DIL_EPS_BEF_XO","FQ1 2021","FQ1 2021","Currency=USD","Period=FQ","BEST_FPERIOD_OVERRIDE=FQ","FILING_STATUS=MR","Sort=A","Dates=H","DateFormat=P","Fill=—","Direction=H","UseDPDF=Y")</f>
        <v>1.37</v>
      </c>
      <c r="K18" s="14">
        <f>_xll.BDH("GILD US Equity","IS_DIL_EPS_BEF_XO","FQ2 2021","FQ2 2021","Currency=USD","Period=FQ","BEST_FPERIOD_OVERRIDE=FQ","FILING_STATUS=MR","Sort=A","Dates=H","DateFormat=P","Fill=—","Direction=H","UseDPDF=Y")</f>
        <v>1.21</v>
      </c>
      <c r="L18" s="14">
        <f>_xll.BDH("GILD US Equity","IS_DIL_EPS_BEF_XO","FQ3 2021","FQ3 2021","Currency=USD","Period=FQ","BEST_FPERIOD_OVERRIDE=FQ","FILING_STATUS=MR","Sort=A","Dates=H","DateFormat=P","Fill=—","Direction=H","UseDPDF=Y")</f>
        <v>2.0499999999999998</v>
      </c>
      <c r="M18" s="14">
        <f>_xll.BDH("GILD US Equity","IS_DIL_EPS_BEF_XO","FQ4 2021","FQ4 2021","Currency=USD","Period=FQ","BEST_FPERIOD_OVERRIDE=FQ","FILING_STATUS=MR","Sort=A","Dates=H","DateFormat=P","Fill=—","Direction=H","UseDPDF=Y")</f>
        <v>0.3</v>
      </c>
      <c r="N18" s="14">
        <f>_xll.BDH("GILD US Equity","IS_DIL_EPS_BEF_XO","FQ1 2022","FQ1 2022","Currency=USD","Period=FQ","BEST_FPERIOD_OVERRIDE=FQ","FILING_STATUS=MR","Sort=A","Dates=H","DateFormat=P","Fill=—","Direction=H","UseDPDF=Y")</f>
        <v>0.02</v>
      </c>
      <c r="O18" s="14">
        <f>_xll.BDH("GILD US Equity","IS_DIL_EPS_BEF_XO","FQ2 2022","FQ2 2022","Currency=USD","Period=FQ","BEST_FPERIOD_OVERRIDE=FQ","FILING_STATUS=MR","Sort=A","Dates=H","DateFormat=P","Fill=—","Direction=H","UseDPDF=Y")</f>
        <v>0.91</v>
      </c>
      <c r="P18" s="14">
        <f>_xll.BDH("GILD US Equity","IS_DIL_EPS_BEF_XO","FQ3 2022","FQ3 2022","Currency=USD","Period=FQ","BEST_FPERIOD_OVERRIDE=FQ","FILING_STATUS=MR","Sort=A","Dates=H","DateFormat=P","Fill=—","Direction=H","UseDPDF=Y")</f>
        <v>1.42</v>
      </c>
      <c r="Q18" s="14">
        <f>_xll.BDH("GILD US Equity","IS_DIL_EPS_BEF_XO","FQ4 2022","FQ4 2022","Currency=USD","Period=FQ","BEST_FPERIOD_OVERRIDE=FQ","FILING_STATUS=MR","Sort=A","Dates=H","DateFormat=P","Fill=—","Direction=H","UseDPDF=Y")</f>
        <v>1.3</v>
      </c>
      <c r="R18" s="14">
        <f>_xll.BDH("GILD US Equity","IS_DIL_EPS_BEF_XO","FQ1 2023","FQ1 2023","Currency=USD","Period=FQ","BEST_FPERIOD_OVERRIDE=FQ","FILING_STATUS=MR","Sort=A","Dates=H","DateFormat=P","Fill=—","Direction=H","UseDPDF=Y")</f>
        <v>0.8</v>
      </c>
      <c r="S18" s="14">
        <f>_xll.BDH("GILD US Equity","IS_DIL_EPS_BEF_XO","FQ2 2023","FQ2 2023","Currency=USD","Period=FQ","BEST_FPERIOD_OVERRIDE=FQ","FILING_STATUS=MR","Sort=A","Dates=H","DateFormat=P","Fill=—","Direction=H","UseDPDF=Y")</f>
        <v>0.83</v>
      </c>
      <c r="T18" s="14">
        <f>_xll.BDH("GILD US Equity","IS_DIL_EPS_BEF_XO","FQ3 2023","FQ3 2023","Currency=USD","Period=FQ","BEST_FPERIOD_OVERRIDE=FQ","FILING_STATUS=MR","Sort=A","Dates=H","DateFormat=P","Fill=—","Direction=H","UseDPDF=Y")</f>
        <v>1.73</v>
      </c>
      <c r="U18" s="14">
        <f>_xll.BDH("GILD US Equity","IS_DIL_EPS_BEF_XO","FQ4 2023","FQ4 2023","Currency=USD","Period=FQ","BEST_FPERIOD_OVERRIDE=FQ","FILING_STATUS=MR","Sort=A","Dates=H","DateFormat=P","Fill=—","Direction=H","UseDPDF=Y")</f>
        <v>1.1399999999999999</v>
      </c>
      <c r="V18" s="14">
        <f>_xll.BDH("GILD US Equity","IS_DIL_EPS_BEF_XO","FQ1 2024","FQ1 2024","Currency=USD","Period=FQ","BEST_FPERIOD_OVERRIDE=FQ","FILING_STATUS=MR","Sort=A","Dates=H","DateFormat=P","Fill=—","Direction=H","UseDPDF=Y")</f>
        <v>-3.34</v>
      </c>
      <c r="W18" s="14">
        <f>_xll.BDH("GILD US Equity","IS_DIL_EPS_BEF_XO","FQ2 2024","FQ2 2024","Currency=USD","Period=FQ","BEST_FPERIOD_OVERRIDE=FQ","FILING_STATUS=MR","Sort=A","Dates=H","DateFormat=P","Fill=—","Direction=H","UseDPDF=Y")</f>
        <v>1.29</v>
      </c>
      <c r="X18" s="14">
        <f>_xll.BDH("GILD US Equity","IS_DIL_EPS_BEF_XO","FQ3 2024","FQ3 2024","Currency=USD","Period=FQ","BEST_FPERIOD_OVERRIDE=FQ","FILING_STATUS=MR","Sort=A","Dates=H","DateFormat=P","Fill=—","Direction=H","UseDPDF=Y")</f>
        <v>1</v>
      </c>
      <c r="Y18" s="14">
        <f>_xll.BDH("GILD US Equity","IS_DIL_EPS_BEF_XO","FQ4 2024","FQ4 2024","Currency=USD","Period=FQ","BEST_FPERIOD_OVERRIDE=FQ","FILING_STATUS=MR","Sort=A","Dates=H","DateFormat=P","Fill=—","Direction=H","UseDPDF=Y")</f>
        <v>1.42</v>
      </c>
      <c r="Z18" s="14">
        <v>1.2609999999999999</v>
      </c>
      <c r="AA18" s="14">
        <v>1.4650000000000001</v>
      </c>
    </row>
    <row r="19" spans="1:27" x14ac:dyDescent="0.25">
      <c r="A19" s="10" t="s">
        <v>272</v>
      </c>
      <c r="B19" s="10" t="s">
        <v>82</v>
      </c>
      <c r="C19" s="14">
        <f>_xll.BDH("GILD US Equity","IS_DIL_EPS_CONT_OPS","FQ2 2019","FQ2 2019","Currency=USD","Period=FQ","BEST_FPERIOD_OVERRIDE=FQ","FILING_STATUS=MR","Sort=A","Dates=H","DateFormat=P","Fill=—","Direction=H","UseDPDF=Y")</f>
        <v>1.5201</v>
      </c>
      <c r="D19" s="14">
        <f>_xll.BDH("GILD US Equity","IS_DIL_EPS_CONT_OPS","FQ3 2019","FQ3 2019","Currency=USD","Period=FQ","BEST_FPERIOD_OVERRIDE=FQ","FILING_STATUS=MR","Sort=A","Dates=H","DateFormat=P","Fill=—","Direction=H","UseDPDF=Y")</f>
        <v>1.4549000000000001</v>
      </c>
      <c r="E19" s="14">
        <f>_xll.BDH("GILD US Equity","IS_DIL_EPS_CONT_OPS","FQ4 2019","FQ4 2019","Currency=USD","Period=FQ","BEST_FPERIOD_OVERRIDE=FQ","FILING_STATUS=MR","Sort=A","Dates=H","DateFormat=P","Fill=—","Direction=H","UseDPDF=Y")</f>
        <v>0.90790000000000004</v>
      </c>
      <c r="F19" s="14">
        <f>_xll.BDH("GILD US Equity","IS_DIL_EPS_CONT_OPS","FQ1 2020","FQ1 2020","Currency=USD","Period=FQ","BEST_FPERIOD_OVERRIDE=FQ","FILING_STATUS=MR","Sort=A","Dates=H","DateFormat=P","Fill=—","Direction=H","UseDPDF=Y")</f>
        <v>1.6830000000000001</v>
      </c>
      <c r="G19" s="14">
        <f>_xll.BDH("GILD US Equity","IS_DIL_EPS_CONT_OPS","FQ2 2020","FQ2 2020","Currency=USD","Period=FQ","BEST_FPERIOD_OVERRIDE=FQ","FILING_STATUS=MR","Sort=A","Dates=H","DateFormat=P","Fill=—","Direction=H","UseDPDF=Y")</f>
        <v>0.93710000000000004</v>
      </c>
      <c r="H19" s="14">
        <f>_xll.BDH("GILD US Equity","IS_DIL_EPS_CONT_OPS","FQ3 2020","FQ3 2020","Currency=USD","Period=FQ","BEST_FPERIOD_OVERRIDE=FQ","FILING_STATUS=MR","Sort=A","Dates=H","DateFormat=P","Fill=—","Direction=H","UseDPDF=Y")</f>
        <v>1.9325000000000001</v>
      </c>
      <c r="I19" s="14">
        <f>_xll.BDH("GILD US Equity","IS_DIL_EPS_CONT_OPS","FQ4 2020","FQ4 2020","Currency=USD","Period=FQ","BEST_FPERIOD_OVERRIDE=FQ","FILING_STATUS=MR","Sort=A","Dates=H","DateFormat=P","Fill=—","Direction=H","UseDPDF=Y")</f>
        <v>1.9306000000000001</v>
      </c>
      <c r="J19" s="14">
        <f>_xll.BDH("GILD US Equity","IS_DIL_EPS_CONT_OPS","FQ1 2021","FQ1 2021","Currency=USD","Period=FQ","BEST_FPERIOD_OVERRIDE=FQ","FILING_STATUS=MR","Sort=A","Dates=H","DateFormat=P","Fill=—","Direction=H","UseDPDF=Y")</f>
        <v>2.0823999999999998</v>
      </c>
      <c r="K19" s="14">
        <f>_xll.BDH("GILD US Equity","IS_DIL_EPS_CONT_OPS","FQ2 2021","FQ2 2021","Currency=USD","Period=FQ","BEST_FPERIOD_OVERRIDE=FQ","FILING_STATUS=MR","Sort=A","Dates=H","DateFormat=P","Fill=—","Direction=H","UseDPDF=Y")</f>
        <v>1.5156000000000001</v>
      </c>
      <c r="L19" s="14">
        <f>_xll.BDH("GILD US Equity","IS_DIL_EPS_CONT_OPS","FQ3 2021","FQ3 2021","Currency=USD","Period=FQ","BEST_FPERIOD_OVERRIDE=FQ","FILING_STATUS=MR","Sort=A","Dates=H","DateFormat=P","Fill=—","Direction=H","UseDPDF=Y")</f>
        <v>2.3035999999999999</v>
      </c>
      <c r="M19" s="14">
        <f>_xll.BDH("GILD US Equity","IS_DIL_EPS_CONT_OPS","FQ4 2021","FQ4 2021","Currency=USD","Period=FQ","BEST_FPERIOD_OVERRIDE=FQ","FILING_STATUS=MR","Sort=A","Dates=H","DateFormat=P","Fill=—","Direction=H","UseDPDF=Y")</f>
        <v>0.75219999999999998</v>
      </c>
      <c r="N19" s="14">
        <f>_xll.BDH("GILD US Equity","IS_DIL_EPS_CONT_OPS","FQ1 2022","FQ1 2022","Currency=USD","Period=FQ","BEST_FPERIOD_OVERRIDE=FQ","FILING_STATUS=MR","Sort=A","Dates=H","DateFormat=P","Fill=—","Direction=H","UseDPDF=Y")</f>
        <v>1.7236</v>
      </c>
      <c r="O19" s="14">
        <f>_xll.BDH("GILD US Equity","IS_DIL_EPS_CONT_OPS","FQ2 2022","FQ2 2022","Currency=USD","Period=FQ","BEST_FPERIOD_OVERRIDE=FQ","FILING_STATUS=MR","Sort=A","Dates=H","DateFormat=P","Fill=—","Direction=H","UseDPDF=Y")</f>
        <v>1.4328000000000001</v>
      </c>
      <c r="P19" s="14">
        <f>_xll.BDH("GILD US Equity","IS_DIL_EPS_CONT_OPS","FQ3 2022","FQ3 2022","Currency=USD","Period=FQ","BEST_FPERIOD_OVERRIDE=FQ","FILING_STATUS=MR","Sort=A","Dates=H","DateFormat=P","Fill=—","Direction=H","UseDPDF=Y")</f>
        <v>2.1774</v>
      </c>
      <c r="Q19" s="14">
        <f>_xll.BDH("GILD US Equity","IS_DIL_EPS_CONT_OPS","FQ4 2022","FQ4 2022","Currency=USD","Period=FQ","BEST_FPERIOD_OVERRIDE=FQ","FILING_STATUS=MR","Sort=A","Dates=H","DateFormat=P","Fill=—","Direction=H","UseDPDF=Y")</f>
        <v>1.4937</v>
      </c>
      <c r="R19" s="14">
        <f>_xll.BDH("GILD US Equity","IS_DIL_EPS_CONT_OPS","FQ1 2023","FQ1 2023","Currency=USD","Period=FQ","BEST_FPERIOD_OVERRIDE=FQ","FILING_STATUS=MR","Sort=A","Dates=H","DateFormat=P","Fill=—","Direction=H","UseDPDF=Y")</f>
        <v>1.3385</v>
      </c>
      <c r="S19" s="14">
        <f>_xll.BDH("GILD US Equity","IS_DIL_EPS_CONT_OPS","FQ2 2023","FQ2 2023","Currency=USD","Period=FQ","BEST_FPERIOD_OVERRIDE=FQ","FILING_STATUS=MR","Sort=A","Dates=H","DateFormat=P","Fill=—","Direction=H","UseDPDF=Y")</f>
        <v>1.1574</v>
      </c>
      <c r="T19" s="14">
        <f>_xll.BDH("GILD US Equity","IS_DIL_EPS_CONT_OPS","FQ3 2023","FQ3 2023","Currency=USD","Period=FQ","BEST_FPERIOD_OVERRIDE=FQ","FILING_STATUS=MR","Sort=A","Dates=H","DateFormat=P","Fill=—","Direction=H","UseDPDF=Y")</f>
        <v>1.9764999999999999</v>
      </c>
      <c r="U19" s="14">
        <f>_xll.BDH("GILD US Equity","IS_DIL_EPS_CONT_OPS","FQ4 2023","FQ4 2023","Currency=USD","Period=FQ","BEST_FPERIOD_OVERRIDE=FQ","FILING_STATUS=MR","Sort=A","Dates=H","DateFormat=P","Fill=—","Direction=H","UseDPDF=Y")</f>
        <v>1.5740000000000001</v>
      </c>
      <c r="V19" s="14">
        <f>_xll.BDH("GILD US Equity","IS_DIL_EPS_CONT_OPS","FQ1 2024","FQ1 2024","Currency=USD","Period=FQ","BEST_FPERIOD_OVERRIDE=FQ","FILING_STATUS=MR","Sort=A","Dates=H","DateFormat=P","Fill=—","Direction=H","UseDPDF=Y")</f>
        <v>0.93140000000000001</v>
      </c>
      <c r="W19" s="14">
        <f>_xll.BDH("GILD US Equity","IS_DIL_EPS_CONT_OPS","FQ2 2024","FQ2 2024","Currency=USD","Period=FQ","BEST_FPERIOD_OVERRIDE=FQ","FILING_STATUS=MR","Sort=A","Dates=H","DateFormat=P","Fill=—","Direction=H","UseDPDF=Y")</f>
        <v>1.6713</v>
      </c>
      <c r="X19" s="14">
        <f>_xll.BDH("GILD US Equity","IS_DIL_EPS_CONT_OPS","FQ3 2024","FQ3 2024","Currency=USD","Period=FQ","BEST_FPERIOD_OVERRIDE=FQ","FILING_STATUS=MR","Sort=A","Dates=H","DateFormat=P","Fill=—","Direction=H","UseDPDF=Y")</f>
        <v>1.9713000000000001</v>
      </c>
      <c r="Y19" s="14">
        <f>_xll.BDH("GILD US Equity","IS_DIL_EPS_CONT_OPS","FQ4 2024","FQ4 2024","Currency=USD","Period=FQ","BEST_FPERIOD_OVERRIDE=FQ","FILING_STATUS=MR","Sort=A","Dates=H","DateFormat=P","Fill=—","Direction=H","UseDPDF=Y")</f>
        <v>1.5314000000000001</v>
      </c>
      <c r="Z19" s="14">
        <v>1.7589999999999999</v>
      </c>
      <c r="AA19" s="14">
        <v>1.94</v>
      </c>
    </row>
    <row r="20" spans="1:27" x14ac:dyDescent="0.25">
      <c r="A20" s="10" t="s">
        <v>273</v>
      </c>
      <c r="B20" s="10" t="s">
        <v>274</v>
      </c>
      <c r="C20" s="14">
        <f>_xll.BDH("GILD US Equity","EQY_DPS","FQ2 2019","FQ2 2019","Currency=USD","Period=FQ","BEST_FPERIOD_OVERRIDE=FQ","FILING_STATUS=MR","Sort=A","Dates=H","DateFormat=P","Fill=—","Direction=H","UseDPDF=Y")</f>
        <v>0.63</v>
      </c>
      <c r="D20" s="14">
        <f>_xll.BDH("GILD US Equity","EQY_DPS","FQ3 2019","FQ3 2019","Currency=USD","Period=FQ","BEST_FPERIOD_OVERRIDE=FQ","FILING_STATUS=MR","Sort=A","Dates=H","DateFormat=P","Fill=—","Direction=H","UseDPDF=Y")</f>
        <v>0.63</v>
      </c>
      <c r="E20" s="14">
        <f>_xll.BDH("GILD US Equity","EQY_DPS","FQ4 2019","FQ4 2019","Currency=USD","Period=FQ","BEST_FPERIOD_OVERRIDE=FQ","FILING_STATUS=MR","Sort=A","Dates=H","DateFormat=P","Fill=—","Direction=H","UseDPDF=Y")</f>
        <v>0.63</v>
      </c>
      <c r="F20" s="14">
        <f>_xll.BDH("GILD US Equity","EQY_DPS","FQ1 2020","FQ1 2020","Currency=USD","Period=FQ","BEST_FPERIOD_OVERRIDE=FQ","FILING_STATUS=MR","Sort=A","Dates=H","DateFormat=P","Fill=—","Direction=H","UseDPDF=Y")</f>
        <v>0.68</v>
      </c>
      <c r="G20" s="14">
        <f>_xll.BDH("GILD US Equity","EQY_DPS","FQ2 2020","FQ2 2020","Currency=USD","Period=FQ","BEST_FPERIOD_OVERRIDE=FQ","FILING_STATUS=MR","Sort=A","Dates=H","DateFormat=P","Fill=—","Direction=H","UseDPDF=Y")</f>
        <v>0.68</v>
      </c>
      <c r="H20" s="14">
        <f>_xll.BDH("GILD US Equity","EQY_DPS","FQ3 2020","FQ3 2020","Currency=USD","Period=FQ","BEST_FPERIOD_OVERRIDE=FQ","FILING_STATUS=MR","Sort=A","Dates=H","DateFormat=P","Fill=—","Direction=H","UseDPDF=Y")</f>
        <v>0.68</v>
      </c>
      <c r="I20" s="14">
        <f>_xll.BDH("GILD US Equity","EQY_DPS","FQ4 2020","FQ4 2020","Currency=USD","Period=FQ","BEST_FPERIOD_OVERRIDE=FQ","FILING_STATUS=MR","Sort=A","Dates=H","DateFormat=P","Fill=—","Direction=H","UseDPDF=Y")</f>
        <v>0.68</v>
      </c>
      <c r="J20" s="14">
        <f>_xll.BDH("GILD US Equity","EQY_DPS","FQ1 2021","FQ1 2021","Currency=USD","Period=FQ","BEST_FPERIOD_OVERRIDE=FQ","FILING_STATUS=MR","Sort=A","Dates=H","DateFormat=P","Fill=—","Direction=H","UseDPDF=Y")</f>
        <v>0.71</v>
      </c>
      <c r="K20" s="14">
        <f>_xll.BDH("GILD US Equity","EQY_DPS","FQ2 2021","FQ2 2021","Currency=USD","Period=FQ","BEST_FPERIOD_OVERRIDE=FQ","FILING_STATUS=MR","Sort=A","Dates=H","DateFormat=P","Fill=—","Direction=H","UseDPDF=Y")</f>
        <v>0.71</v>
      </c>
      <c r="L20" s="14">
        <f>_xll.BDH("GILD US Equity","EQY_DPS","FQ3 2021","FQ3 2021","Currency=USD","Period=FQ","BEST_FPERIOD_OVERRIDE=FQ","FILING_STATUS=MR","Sort=A","Dates=H","DateFormat=P","Fill=—","Direction=H","UseDPDF=Y")</f>
        <v>0.71</v>
      </c>
      <c r="M20" s="14">
        <f>_xll.BDH("GILD US Equity","EQY_DPS","FQ4 2021","FQ4 2021","Currency=USD","Period=FQ","BEST_FPERIOD_OVERRIDE=FQ","FILING_STATUS=MR","Sort=A","Dates=H","DateFormat=P","Fill=—","Direction=H","UseDPDF=Y")</f>
        <v>0.71</v>
      </c>
      <c r="N20" s="14">
        <f>_xll.BDH("GILD US Equity","EQY_DPS","FQ1 2022","FQ1 2022","Currency=USD","Period=FQ","BEST_FPERIOD_OVERRIDE=FQ","FILING_STATUS=MR","Sort=A","Dates=H","DateFormat=P","Fill=—","Direction=H","UseDPDF=Y")</f>
        <v>0.73</v>
      </c>
      <c r="O20" s="14">
        <f>_xll.BDH("GILD US Equity","EQY_DPS","FQ2 2022","FQ2 2022","Currency=USD","Period=FQ","BEST_FPERIOD_OVERRIDE=FQ","FILING_STATUS=MR","Sort=A","Dates=H","DateFormat=P","Fill=—","Direction=H","UseDPDF=Y")</f>
        <v>0.73</v>
      </c>
      <c r="P20" s="14">
        <f>_xll.BDH("GILD US Equity","EQY_DPS","FQ3 2022","FQ3 2022","Currency=USD","Period=FQ","BEST_FPERIOD_OVERRIDE=FQ","FILING_STATUS=MR","Sort=A","Dates=H","DateFormat=P","Fill=—","Direction=H","UseDPDF=Y")</f>
        <v>0.73</v>
      </c>
      <c r="Q20" s="14">
        <f>_xll.BDH("GILD US Equity","EQY_DPS","FQ4 2022","FQ4 2022","Currency=USD","Period=FQ","BEST_FPERIOD_OVERRIDE=FQ","FILING_STATUS=MR","Sort=A","Dates=H","DateFormat=P","Fill=—","Direction=H","UseDPDF=Y")</f>
        <v>0.73</v>
      </c>
      <c r="R20" s="14">
        <f>_xll.BDH("GILD US Equity","EQY_DPS","FQ1 2023","FQ1 2023","Currency=USD","Period=FQ","BEST_FPERIOD_OVERRIDE=FQ","FILING_STATUS=MR","Sort=A","Dates=H","DateFormat=P","Fill=—","Direction=H","UseDPDF=Y")</f>
        <v>0.75</v>
      </c>
      <c r="S20" s="14">
        <f>_xll.BDH("GILD US Equity","EQY_DPS","FQ2 2023","FQ2 2023","Currency=USD","Period=FQ","BEST_FPERIOD_OVERRIDE=FQ","FILING_STATUS=MR","Sort=A","Dates=H","DateFormat=P","Fill=—","Direction=H","UseDPDF=Y")</f>
        <v>0.75</v>
      </c>
      <c r="T20" s="14">
        <f>_xll.BDH("GILD US Equity","EQY_DPS","FQ3 2023","FQ3 2023","Currency=USD","Period=FQ","BEST_FPERIOD_OVERRIDE=FQ","FILING_STATUS=MR","Sort=A","Dates=H","DateFormat=P","Fill=—","Direction=H","UseDPDF=Y")</f>
        <v>0.75</v>
      </c>
      <c r="U20" s="14">
        <f>_xll.BDH("GILD US Equity","EQY_DPS","FQ4 2023","FQ4 2023","Currency=USD","Period=FQ","BEST_FPERIOD_OVERRIDE=FQ","FILING_STATUS=MR","Sort=A","Dates=H","DateFormat=P","Fill=—","Direction=H","UseDPDF=Y")</f>
        <v>0.75</v>
      </c>
      <c r="V20" s="14">
        <f>_xll.BDH("GILD US Equity","EQY_DPS","FQ1 2024","FQ1 2024","Currency=USD","Period=FQ","BEST_FPERIOD_OVERRIDE=FQ","FILING_STATUS=MR","Sort=A","Dates=H","DateFormat=P","Fill=—","Direction=H","UseDPDF=Y")</f>
        <v>0.77</v>
      </c>
      <c r="W20" s="14">
        <f>_xll.BDH("GILD US Equity","EQY_DPS","FQ2 2024","FQ2 2024","Currency=USD","Period=FQ","BEST_FPERIOD_OVERRIDE=FQ","FILING_STATUS=MR","Sort=A","Dates=H","DateFormat=P","Fill=—","Direction=H","UseDPDF=Y")</f>
        <v>0.77</v>
      </c>
      <c r="X20" s="14">
        <f>_xll.BDH("GILD US Equity","EQY_DPS","FQ3 2024","FQ3 2024","Currency=USD","Period=FQ","BEST_FPERIOD_OVERRIDE=FQ","FILING_STATUS=MR","Sort=A","Dates=H","DateFormat=P","Fill=—","Direction=H","UseDPDF=Y")</f>
        <v>0.77</v>
      </c>
      <c r="Y20" s="14">
        <f>_xll.BDH("GILD US Equity","EQY_DPS","FQ4 2024","FQ4 2024","Currency=USD","Period=FQ","BEST_FPERIOD_OVERRIDE=FQ","FILING_STATUS=MR","Sort=A","Dates=H","DateFormat=P","Fill=—","Direction=H","UseDPDF=Y")</f>
        <v>0.77</v>
      </c>
      <c r="Z20" s="14">
        <v>0.77900000000000003</v>
      </c>
      <c r="AA20" s="14">
        <v>0.78100000000000003</v>
      </c>
    </row>
    <row r="21" spans="1:27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10" t="s">
        <v>275</v>
      </c>
      <c r="B22" s="10" t="s">
        <v>276</v>
      </c>
      <c r="C22" s="14">
        <f>_xll.BDH("GILD US Equity","CASH_FLOW_PER_SH","FQ2 2019","FQ2 2019","Currency=USD","Period=FQ","BEST_FPERIOD_OVERRIDE=FQ","FILING_STATUS=MR","Sort=A","Dates=H","DateFormat=P","Fill=—","Direction=H","UseDPDF=Y")</f>
        <v>1.8441000000000001</v>
      </c>
      <c r="D22" s="14">
        <f>_xll.BDH("GILD US Equity","CASH_FLOW_PER_SH","FQ3 2019","FQ3 2019","Currency=USD","Period=FQ","BEST_FPERIOD_OVERRIDE=FQ","FILING_STATUS=MR","Sort=A","Dates=H","DateFormat=P","Fill=—","Direction=H","UseDPDF=Y")</f>
        <v>2.2881</v>
      </c>
      <c r="E22" s="14">
        <f>_xll.BDH("GILD US Equity","CASH_FLOW_PER_SH","FQ4 2019","FQ4 2019","Currency=USD","Period=FQ","BEST_FPERIOD_OVERRIDE=FQ","FILING_STATUS=MR","Sort=A","Dates=H","DateFormat=P","Fill=—","Direction=H","UseDPDF=Y")</f>
        <v>2.0379</v>
      </c>
      <c r="F22" s="14">
        <f>_xll.BDH("GILD US Equity","CASH_FLOW_PER_SH","FQ1 2020","FQ1 2020","Currency=USD","Period=FQ","BEST_FPERIOD_OVERRIDE=FQ","FILING_STATUS=MR","Sort=A","Dates=H","DateFormat=P","Fill=—","Direction=H","UseDPDF=Y")</f>
        <v>1.1378999999999999</v>
      </c>
      <c r="G22" s="14">
        <f>_xll.BDH("GILD US Equity","CASH_FLOW_PER_SH","FQ2 2020","FQ2 2020","Currency=USD","Period=FQ","BEST_FPERIOD_OVERRIDE=FQ","FILING_STATUS=MR","Sort=A","Dates=H","DateFormat=P","Fill=—","Direction=H","UseDPDF=Y")</f>
        <v>2.0446</v>
      </c>
      <c r="H22" s="14">
        <f>_xll.BDH("GILD US Equity","CASH_FLOW_PER_SH","FQ3 2020","FQ3 2020","Currency=USD","Period=FQ","BEST_FPERIOD_OVERRIDE=FQ","FILING_STATUS=MR","Sort=A","Dates=H","DateFormat=P","Fill=—","Direction=H","UseDPDF=Y")</f>
        <v>1.7927999999999999</v>
      </c>
      <c r="I22" s="14">
        <f>_xll.BDH("GILD US Equity","CASH_FLOW_PER_SH","FQ4 2020","FQ4 2020","Currency=USD","Period=FQ","BEST_FPERIOD_OVERRIDE=FQ","FILING_STATUS=MR","Sort=A","Dates=H","DateFormat=P","Fill=—","Direction=H","UseDPDF=Y")</f>
        <v>1.5266999999999999</v>
      </c>
      <c r="J22" s="14">
        <f>_xll.BDH("GILD US Equity","CASH_FLOW_PER_SH","FQ1 2021","FQ1 2021","Currency=USD","Period=FQ","BEST_FPERIOD_OVERRIDE=FQ","FILING_STATUS=MR","Sort=A","Dates=H","DateFormat=P","Fill=—","Direction=H","UseDPDF=Y")</f>
        <v>2.0779999999999998</v>
      </c>
      <c r="K22" s="14">
        <f>_xll.BDH("GILD US Equity","CASH_FLOW_PER_SH","FQ2 2021","FQ2 2021","Currency=USD","Period=FQ","BEST_FPERIOD_OVERRIDE=FQ","FILING_STATUS=MR","Sort=A","Dates=H","DateFormat=P","Fill=—","Direction=H","UseDPDF=Y")</f>
        <v>1.8453999999999999</v>
      </c>
      <c r="L22" s="14">
        <f>_xll.BDH("GILD US Equity","CASH_FLOW_PER_SH","FQ3 2021","FQ3 2021","Currency=USD","Period=FQ","BEST_FPERIOD_OVERRIDE=FQ","FILING_STATUS=MR","Sort=A","Dates=H","DateFormat=P","Fill=—","Direction=H","UseDPDF=Y")</f>
        <v>2.59</v>
      </c>
      <c r="M22" s="14">
        <f>_xll.BDH("GILD US Equity","CASH_FLOW_PER_SH","FQ4 2021","FQ4 2021","Currency=USD","Period=FQ","BEST_FPERIOD_OVERRIDE=FQ","FILING_STATUS=MR","Sort=A","Dates=H","DateFormat=P","Fill=—","Direction=H","UseDPDF=Y")</f>
        <v>2.5518000000000001</v>
      </c>
      <c r="N22" s="14">
        <f>_xll.BDH("GILD US Equity","CASH_FLOW_PER_SH","FQ1 2022","FQ1 2022","Currency=USD","Period=FQ","BEST_FPERIOD_OVERRIDE=FQ","FILING_STATUS=MR","Sort=A","Dates=H","DateFormat=P","Fill=—","Direction=H","UseDPDF=Y")</f>
        <v>1.4661</v>
      </c>
      <c r="O22" s="14">
        <f>_xll.BDH("GILD US Equity","CASH_FLOW_PER_SH","FQ2 2022","FQ2 2022","Currency=USD","Period=FQ","BEST_FPERIOD_OVERRIDE=FQ","FILING_STATUS=MR","Sort=A","Dates=H","DateFormat=P","Fill=—","Direction=H","UseDPDF=Y")</f>
        <v>1.4347000000000001</v>
      </c>
      <c r="P22" s="14">
        <f>_xll.BDH("GILD US Equity","CASH_FLOW_PER_SH","FQ3 2022","FQ3 2022","Currency=USD","Period=FQ","BEST_FPERIOD_OVERRIDE=FQ","FILING_STATUS=MR","Sort=A","Dates=H","DateFormat=P","Fill=—","Direction=H","UseDPDF=Y")</f>
        <v>2.2812999999999999</v>
      </c>
      <c r="Q22" s="14">
        <f>_xll.BDH("GILD US Equity","CASH_FLOW_PER_SH","FQ4 2022","FQ4 2022","Currency=USD","Period=FQ","BEST_FPERIOD_OVERRIDE=FQ","FILING_STATUS=MR","Sort=A","Dates=H","DateFormat=P","Fill=—","Direction=H","UseDPDF=Y")</f>
        <v>2.0503</v>
      </c>
      <c r="R22" s="14">
        <f>_xll.BDH("GILD US Equity","CASH_FLOW_PER_SH","FQ1 2023","FQ1 2023","Currency=USD","Period=FQ","BEST_FPERIOD_OVERRIDE=FQ","FILING_STATUS=MR","Sort=A","Dates=H","DateFormat=P","Fill=—","Direction=H","UseDPDF=Y")</f>
        <v>1.3974</v>
      </c>
      <c r="S22" s="14">
        <f>_xll.BDH("GILD US Equity","CASH_FLOW_PER_SH","FQ2 2023","FQ2 2023","Currency=USD","Period=FQ","BEST_FPERIOD_OVERRIDE=FQ","FILING_STATUS=MR","Sort=A","Dates=H","DateFormat=P","Fill=—","Direction=H","UseDPDF=Y")</f>
        <v>1.8718999999999999</v>
      </c>
      <c r="T22" s="14">
        <f>_xll.BDH("GILD US Equity","CASH_FLOW_PER_SH","FQ3 2023","FQ3 2023","Currency=USD","Period=FQ","BEST_FPERIOD_OVERRIDE=FQ","FILING_STATUS=MR","Sort=A","Dates=H","DateFormat=P","Fill=—","Direction=H","UseDPDF=Y")</f>
        <v>1.4063000000000001</v>
      </c>
      <c r="U22" s="14">
        <f>_xll.BDH("GILD US Equity","CASH_FLOW_PER_SH","FQ4 2023","FQ4 2023","Currency=USD","Period=FQ","BEST_FPERIOD_OVERRIDE=FQ","FILING_STATUS=MR","Sort=A","Dates=H","DateFormat=P","Fill=—","Direction=H","UseDPDF=Y")</f>
        <v>1.738</v>
      </c>
      <c r="V22" s="14">
        <f>_xll.BDH("GILD US Equity","CASH_FLOW_PER_SH","FQ1 2024","FQ1 2024","Currency=USD","Period=FQ","BEST_FPERIOD_OVERRIDE=FQ","FILING_STATUS=MR","Sort=A","Dates=H","DateFormat=P","Fill=—","Direction=H","UseDPDF=Y")</f>
        <v>1.7795000000000001</v>
      </c>
      <c r="W22" s="14">
        <f>_xll.BDH("GILD US Equity","CASH_FLOW_PER_SH","FQ2 2024","FQ2 2024","Currency=USD","Period=FQ","BEST_FPERIOD_OVERRIDE=FQ","FILING_STATUS=MR","Sort=A","Dates=H","DateFormat=P","Fill=—","Direction=H","UseDPDF=Y")</f>
        <v>1.0626</v>
      </c>
      <c r="X22" s="14">
        <f>_xll.BDH("GILD US Equity","CASH_FLOW_PER_SH","FQ3 2024","FQ3 2024","Currency=USD","Period=FQ","BEST_FPERIOD_OVERRIDE=FQ","FILING_STATUS=MR","Sort=A","Dates=H","DateFormat=P","Fill=—","Direction=H","UseDPDF=Y")</f>
        <v>3.4554999999999998</v>
      </c>
      <c r="Y22" s="14">
        <f>_xll.BDH("GILD US Equity","CASH_FLOW_PER_SH","FQ4 2024","FQ4 2024","Currency=USD","Period=FQ","BEST_FPERIOD_OVERRIDE=FQ","FILING_STATUS=MR","Sort=A","Dates=H","DateFormat=P","Fill=—","Direction=H","UseDPDF=Y")</f>
        <v>2.3837999999999999</v>
      </c>
      <c r="Z22" s="14">
        <v>2.1</v>
      </c>
      <c r="AA22" s="14">
        <v>4.18</v>
      </c>
    </row>
    <row r="23" spans="1:27" x14ac:dyDescent="0.25">
      <c r="A23" s="10" t="s">
        <v>88</v>
      </c>
      <c r="B23" s="10" t="s">
        <v>277</v>
      </c>
      <c r="C23" s="14">
        <f>_xll.BDH("GILD US Equity","FREE_CASH_FLOW_PER_SH","FQ2 2019","FQ2 2019","Currency=USD","Period=FQ","BEST_FPERIOD_OVERRIDE=FQ","FILING_STATUS=MR","Sort=A","Dates=H","DateFormat=P","Fill=—","Direction=H","UseDPDF=Y")</f>
        <v>1.6983999999999999</v>
      </c>
      <c r="D23" s="14">
        <f>_xll.BDH("GILD US Equity","FREE_CASH_FLOW_PER_SH","FQ3 2019","FQ3 2019","Currency=USD","Period=FQ","BEST_FPERIOD_OVERRIDE=FQ","FILING_STATUS=MR","Sort=A","Dates=H","DateFormat=P","Fill=—","Direction=H","UseDPDF=Y")</f>
        <v>2.1301999999999999</v>
      </c>
      <c r="E23" s="14">
        <f>_xll.BDH("GILD US Equity","FREE_CASH_FLOW_PER_SH","FQ4 2019","FQ4 2019","Currency=USD","Period=FQ","BEST_FPERIOD_OVERRIDE=FQ","FILING_STATUS=MR","Sort=A","Dates=H","DateFormat=P","Fill=—","Direction=H","UseDPDF=Y")</f>
        <v>1.8775999999999999</v>
      </c>
      <c r="F23" s="14">
        <f>_xll.BDH("GILD US Equity","FREE_CASH_FLOW_PER_SH","FQ1 2020","FQ1 2020","Currency=USD","Period=FQ","BEST_FPERIOD_OVERRIDE=FQ","FILING_STATUS=MR","Sort=A","Dates=H","DateFormat=P","Fill=—","Direction=H","UseDPDF=Y")</f>
        <v>1.0024</v>
      </c>
      <c r="G23" s="14">
        <f>_xll.BDH("GILD US Equity","FREE_CASH_FLOW_PER_SH","FQ2 2020","FQ2 2020","Currency=USD","Period=FQ","BEST_FPERIOD_OVERRIDE=FQ","FILING_STATUS=MR","Sort=A","Dates=H","DateFormat=P","Fill=—","Direction=H","UseDPDF=Y")</f>
        <v>1.9307000000000001</v>
      </c>
      <c r="H23" s="14">
        <f>_xll.BDH("GILD US Equity","FREE_CASH_FLOW_PER_SH","FQ3 2020","FQ3 2020","Currency=USD","Period=FQ","BEST_FPERIOD_OVERRIDE=FQ","FILING_STATUS=MR","Sort=A","Dates=H","DateFormat=P","Fill=—","Direction=H","UseDPDF=Y")</f>
        <v>1.6693</v>
      </c>
      <c r="I23" s="14">
        <f>_xll.BDH("GILD US Equity","FREE_CASH_FLOW_PER_SH","FQ4 2020","FQ4 2020","Currency=USD","Period=FQ","BEST_FPERIOD_OVERRIDE=FQ","FILING_STATUS=MR","Sort=A","Dates=H","DateFormat=P","Fill=—","Direction=H","UseDPDF=Y")</f>
        <v>1.3825000000000001</v>
      </c>
      <c r="J23" s="14">
        <f>_xll.BDH("GILD US Equity","FREE_CASH_FLOW_PER_SH","FQ1 2021","FQ1 2021","Currency=USD","Period=FQ","BEST_FPERIOD_OVERRIDE=FQ","FILING_STATUS=MR","Sort=A","Dates=H","DateFormat=P","Fill=—","Direction=H","UseDPDF=Y")</f>
        <v>1.9467000000000001</v>
      </c>
      <c r="K23" s="14">
        <f>_xll.BDH("GILD US Equity","FREE_CASH_FLOW_PER_SH","FQ2 2021","FQ2 2021","Currency=USD","Period=FQ","BEST_FPERIOD_OVERRIDE=FQ","FILING_STATUS=MR","Sort=A","Dates=H","DateFormat=P","Fill=—","Direction=H","UseDPDF=Y")</f>
        <v>1.7505999999999999</v>
      </c>
      <c r="L23" s="14">
        <f>_xll.BDH("GILD US Equity","FREE_CASH_FLOW_PER_SH","FQ3 2021","FQ3 2021","Currency=USD","Period=FQ","BEST_FPERIOD_OVERRIDE=FQ","FILING_STATUS=MR","Sort=A","Dates=H","DateFormat=P","Fill=—","Direction=H","UseDPDF=Y")</f>
        <v>2.4792999999999998</v>
      </c>
      <c r="M23" s="14">
        <f>_xll.BDH("GILD US Equity","FREE_CASH_FLOW_PER_SH","FQ4 2021","FQ4 2021","Currency=USD","Period=FQ","BEST_FPERIOD_OVERRIDE=FQ","FILING_STATUS=MR","Sort=A","Dates=H","DateFormat=P","Fill=—","Direction=H","UseDPDF=Y")</f>
        <v>2.4275000000000002</v>
      </c>
      <c r="N23" s="14">
        <f>_xll.BDH("GILD US Equity","FREE_CASH_FLOW_PER_SH","FQ1 2022","FQ1 2022","Currency=USD","Period=FQ","BEST_FPERIOD_OVERRIDE=FQ","FILING_STATUS=MR","Sort=A","Dates=H","DateFormat=P","Fill=—","Direction=H","UseDPDF=Y")</f>
        <v>1.2693000000000001</v>
      </c>
      <c r="O23" s="14">
        <f>_xll.BDH("GILD US Equity","FREE_CASH_FLOW_PER_SH","FQ2 2022","FQ2 2022","Currency=USD","Period=FQ","BEST_FPERIOD_OVERRIDE=FQ","FILING_STATUS=MR","Sort=A","Dates=H","DateFormat=P","Fill=—","Direction=H","UseDPDF=Y")</f>
        <v>1.3209</v>
      </c>
      <c r="P23" s="14">
        <f>_xll.BDH("GILD US Equity","FREE_CASH_FLOW_PER_SH","FQ3 2022","FQ3 2022","Currency=USD","Period=FQ","BEST_FPERIOD_OVERRIDE=FQ","FILING_STATUS=MR","Sort=A","Dates=H","DateFormat=P","Fill=—","Direction=H","UseDPDF=Y")</f>
        <v>2.1562000000000001</v>
      </c>
      <c r="Q23" s="14">
        <f>_xll.BDH("GILD US Equity","FREE_CASH_FLOW_PER_SH","FQ4 2022","FQ4 2022","Currency=USD","Period=FQ","BEST_FPERIOD_OVERRIDE=FQ","FILING_STATUS=MR","Sort=A","Dates=H","DateFormat=P","Fill=—","Direction=H","UseDPDF=Y")</f>
        <v>1.9057999999999999</v>
      </c>
      <c r="R23" s="14">
        <f>_xll.BDH("GILD US Equity","FREE_CASH_FLOW_PER_SH","FQ1 2023","FQ1 2023","Currency=USD","Period=FQ","BEST_FPERIOD_OVERRIDE=FQ","FILING_STATUS=MR","Sort=A","Dates=H","DateFormat=P","Fill=—","Direction=H","UseDPDF=Y")</f>
        <v>1.3101</v>
      </c>
      <c r="S23" s="14">
        <f>_xll.BDH("GILD US Equity","FREE_CASH_FLOW_PER_SH","FQ2 2023","FQ2 2023","Currency=USD","Period=FQ","BEST_FPERIOD_OVERRIDE=FQ","FILING_STATUS=MR","Sort=A","Dates=H","DateFormat=P","Fill=—","Direction=H","UseDPDF=Y")</f>
        <v>1.7605999999999999</v>
      </c>
      <c r="T23" s="14">
        <f>_xll.BDH("GILD US Equity","FREE_CASH_FLOW_PER_SH","FQ3 2023","FQ3 2023","Currency=USD","Period=FQ","BEST_FPERIOD_OVERRIDE=FQ","FILING_STATUS=MR","Sort=A","Dates=H","DateFormat=P","Fill=—","Direction=H","UseDPDF=Y")</f>
        <v>1.3085</v>
      </c>
      <c r="U23" s="14">
        <f>_xll.BDH("GILD US Equity","FREE_CASH_FLOW_PER_SH","FQ4 2023","FQ4 2023","Currency=USD","Period=FQ","BEST_FPERIOD_OVERRIDE=FQ","FILING_STATUS=MR","Sort=A","Dates=H","DateFormat=P","Fill=—","Direction=H","UseDPDF=Y")</f>
        <v>1.5657000000000001</v>
      </c>
      <c r="V23" s="14">
        <f>_xll.BDH("GILD US Equity","FREE_CASH_FLOW_PER_SH","FQ1 2024","FQ1 2024","Currency=USD","Period=FQ","BEST_FPERIOD_OVERRIDE=FQ","FILING_STATUS=MR","Sort=A","Dates=H","DateFormat=P","Fill=—","Direction=H","UseDPDF=Y")</f>
        <v>1.6953</v>
      </c>
      <c r="W23" s="14">
        <f>_xll.BDH("GILD US Equity","FREE_CASH_FLOW_PER_SH","FQ2 2024","FQ2 2024","Currency=USD","Period=FQ","BEST_FPERIOD_OVERRIDE=FQ","FILING_STATUS=MR","Sort=A","Dates=H","DateFormat=P","Fill=—","Direction=H","UseDPDF=Y")</f>
        <v>0.95830000000000004</v>
      </c>
      <c r="X23" s="14">
        <f>_xll.BDH("GILD US Equity","FREE_CASH_FLOW_PER_SH","FQ3 2024","FQ3 2024","Currency=USD","Period=FQ","BEST_FPERIOD_OVERRIDE=FQ","FILING_STATUS=MR","Sort=A","Dates=H","DateFormat=P","Fill=—","Direction=H","UseDPDF=Y")</f>
        <v>3.3424</v>
      </c>
      <c r="Y23" s="14">
        <f>_xll.BDH("GILD US Equity","FREE_CASH_FLOW_PER_SH","FQ4 2024","FQ4 2024","Currency=USD","Period=FQ","BEST_FPERIOD_OVERRIDE=FQ","FILING_STATUS=MR","Sort=A","Dates=H","DateFormat=P","Fill=—","Direction=H","UseDPDF=Y")</f>
        <v>2.266</v>
      </c>
      <c r="Z23" s="14"/>
      <c r="AA23" s="14"/>
    </row>
    <row r="24" spans="1:27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10" t="s">
        <v>3</v>
      </c>
      <c r="B25" s="10" t="s">
        <v>278</v>
      </c>
      <c r="C25" s="14">
        <f>_xll.BDH("GILD US Equity","CASH_ST_INVESTMENTS_PER_SH","FQ2 2019","FQ2 2019","Currency=USD","Period=FQ","BEST_FPERIOD_OVERRIDE=FQ","FILING_STATUS=MR","Sort=A","Dates=H","DateFormat=P","Fill=—","Direction=H","UseDPDF=Y")</f>
        <v>21.454599999999999</v>
      </c>
      <c r="D25" s="14">
        <f>_xll.BDH("GILD US Equity","CASH_ST_INVESTMENTS_PER_SH","FQ3 2019","FQ3 2019","Currency=USD","Period=FQ","BEST_FPERIOD_OVERRIDE=FQ","FILING_STATUS=MR","Sort=A","Dates=H","DateFormat=P","Fill=—","Direction=H","UseDPDF=Y")</f>
        <v>18.053699999999999</v>
      </c>
      <c r="E25" s="14">
        <f>_xll.BDH("GILD US Equity","CASH_ST_INVESTMENTS_PER_SH","FQ4 2019","FQ4 2019","Currency=USD","Period=FQ","BEST_FPERIOD_OVERRIDE=FQ","FILING_STATUS=MR","Sort=A","Dates=H","DateFormat=P","Fill=—","Direction=H","UseDPDF=Y")</f>
        <v>19.235399999999998</v>
      </c>
      <c r="F25" s="14">
        <f>_xll.BDH("GILD US Equity","CASH_ST_INVESTMENTS_PER_SH","FQ1 2020","FQ1 2020","Currency=USD","Period=FQ","BEST_FPERIOD_OVERRIDE=FQ","FILING_STATUS=MR","Sort=A","Dates=H","DateFormat=P","Fill=—","Direction=H","UseDPDF=Y")</f>
        <v>16.574999999999999</v>
      </c>
      <c r="G25" s="14">
        <f>_xll.BDH("GILD US Equity","CASH_ST_INVESTMENTS_PER_SH","FQ2 2020","FQ2 2020","Currency=USD","Period=FQ","BEST_FPERIOD_OVERRIDE=FQ","FILING_STATUS=MR","Sort=A","Dates=H","DateFormat=P","Fill=—","Direction=H","UseDPDF=Y")</f>
        <v>15.0829</v>
      </c>
      <c r="H25" s="14">
        <f>_xll.BDH("GILD US Equity","CASH_ST_INVESTMENTS_PER_SH","FQ3 2020","FQ3 2020","Currency=USD","Period=FQ","BEST_FPERIOD_OVERRIDE=FQ","FILING_STATUS=MR","Sort=A","Dates=H","DateFormat=P","Fill=—","Direction=H","UseDPDF=Y")</f>
        <v>19.1341</v>
      </c>
      <c r="I25" s="14">
        <f>_xll.BDH("GILD US Equity","CASH_ST_INVESTMENTS_PER_SH","FQ4 2020","FQ4 2020","Currency=USD","Period=FQ","BEST_FPERIOD_OVERRIDE=FQ","FILING_STATUS=MR","Sort=A","Dates=H","DateFormat=P","Fill=—","Direction=H","UseDPDF=Y")</f>
        <v>5.9074999999999998</v>
      </c>
      <c r="J25" s="14">
        <f>_xll.BDH("GILD US Equity","CASH_ST_INVESTMENTS_PER_SH","FQ1 2021","FQ1 2021","Currency=USD","Period=FQ","BEST_FPERIOD_OVERRIDE=FQ","FILING_STATUS=MR","Sort=A","Dates=H","DateFormat=P","Fill=—","Direction=H","UseDPDF=Y")</f>
        <v>4.5183</v>
      </c>
      <c r="K25" s="14">
        <f>_xll.BDH("GILD US Equity","CASH_ST_INVESTMENTS_PER_SH","FQ2 2021","FQ2 2021","Currency=USD","Period=FQ","BEST_FPERIOD_OVERRIDE=FQ","FILING_STATUS=MR","Sort=A","Dates=H","DateFormat=P","Fill=—","Direction=H","UseDPDF=Y")</f>
        <v>5.2032999999999996</v>
      </c>
      <c r="L25" s="14">
        <f>_xll.BDH("GILD US Equity","CASH_ST_INVESTMENTS_PER_SH","FQ3 2021","FQ3 2021","Currency=USD","Period=FQ","BEST_FPERIOD_OVERRIDE=FQ","FILING_STATUS=MR","Sort=A","Dates=H","DateFormat=P","Fill=—","Direction=H","UseDPDF=Y")</f>
        <v>4.5720999999999998</v>
      </c>
      <c r="M25" s="14">
        <f>_xll.BDH("GILD US Equity","CASH_ST_INVESTMENTS_PER_SH","FQ4 2021","FQ4 2021","Currency=USD","Period=FQ","BEST_FPERIOD_OVERRIDE=FQ","FILING_STATUS=MR","Sort=A","Dates=H","DateFormat=P","Fill=—","Direction=H","UseDPDF=Y")</f>
        <v>5.1993999999999998</v>
      </c>
      <c r="N25" s="14">
        <f>_xll.BDH("GILD US Equity","CASH_ST_INVESTMENTS_PER_SH","FQ1 2022","FQ1 2022","Currency=USD","Period=FQ","BEST_FPERIOD_OVERRIDE=FQ","FILING_STATUS=MR","Sort=A","Dates=H","DateFormat=P","Fill=—","Direction=H","UseDPDF=Y")</f>
        <v>4.2430000000000003</v>
      </c>
      <c r="O25" s="14">
        <f>_xll.BDH("GILD US Equity","CASH_ST_INVESTMENTS_PER_SH","FQ2 2022","FQ2 2022","Currency=USD","Period=FQ","BEST_FPERIOD_OVERRIDE=FQ","FILING_STATUS=MR","Sort=A","Dates=H","DateFormat=P","Fill=—","Direction=H","UseDPDF=Y")</f>
        <v>4.5159000000000002</v>
      </c>
      <c r="P25" s="14">
        <f>_xll.BDH("GILD US Equity","CASH_ST_INVESTMENTS_PER_SH","FQ3 2022","FQ3 2022","Currency=USD","Period=FQ","BEST_FPERIOD_OVERRIDE=FQ","FILING_STATUS=MR","Sort=A","Dates=H","DateFormat=P","Fill=—","Direction=H","UseDPDF=Y")</f>
        <v>4.5136000000000003</v>
      </c>
      <c r="Q25" s="14">
        <f>_xll.BDH("GILD US Equity","CASH_ST_INVESTMENTS_PER_SH","FQ4 2022","FQ4 2022","Currency=USD","Period=FQ","BEST_FPERIOD_OVERRIDE=FQ","FILING_STATUS=MR","Sort=A","Dates=H","DateFormat=P","Fill=—","Direction=H","UseDPDF=Y")</f>
        <v>5.1203000000000003</v>
      </c>
      <c r="R25" s="14">
        <f>_xll.BDH("GILD US Equity","CASH_ST_INVESTMENTS_PER_SH","FQ1 2023","FQ1 2023","Currency=USD","Period=FQ","BEST_FPERIOD_OVERRIDE=FQ","FILING_STATUS=MR","Sort=A","Dates=H","DateFormat=P","Fill=—","Direction=H","UseDPDF=Y")</f>
        <v>4.7050999999999998</v>
      </c>
      <c r="S25" s="14">
        <f>_xll.BDH("GILD US Equity","CASH_ST_INVESTMENTS_PER_SH","FQ2 2023","FQ2 2023","Currency=USD","Period=FQ","BEST_FPERIOD_OVERRIDE=FQ","FILING_STATUS=MR","Sort=A","Dates=H","DateFormat=P","Fill=—","Direction=H","UseDPDF=Y")</f>
        <v>5.3464</v>
      </c>
      <c r="T25" s="14">
        <f>_xll.BDH("GILD US Equity","CASH_ST_INVESTMENTS_PER_SH","FQ3 2023","FQ3 2023","Currency=USD","Period=FQ","BEST_FPERIOD_OVERRIDE=FQ","FILING_STATUS=MR","Sort=A","Dates=H","DateFormat=P","Fill=—","Direction=H","UseDPDF=Y")</f>
        <v>5.5044000000000004</v>
      </c>
      <c r="U25" s="14">
        <f>_xll.BDH("GILD US Equity","CASH_ST_INVESTMENTS_PER_SH","FQ4 2023","FQ4 2023","Currency=USD","Period=FQ","BEST_FPERIOD_OVERRIDE=FQ","FILING_STATUS=MR","Sort=A","Dates=H","DateFormat=P","Fill=—","Direction=H","UseDPDF=Y")</f>
        <v>5.8299000000000003</v>
      </c>
      <c r="V25" s="14">
        <f>_xll.BDH("GILD US Equity","CASH_ST_INVESTMENTS_PER_SH","FQ1 2024","FQ1 2024","Currency=USD","Period=FQ","BEST_FPERIOD_OVERRIDE=FQ","FILING_STATUS=MR","Sort=A","Dates=H","DateFormat=P","Fill=—","Direction=H","UseDPDF=Y")</f>
        <v>3.7865000000000002</v>
      </c>
      <c r="W25" s="14">
        <f>_xll.BDH("GILD US Equity","CASH_ST_INVESTMENTS_PER_SH","FQ2 2024","FQ2 2024","Currency=USD","Period=FQ","BEST_FPERIOD_OVERRIDE=FQ","FILING_STATUS=MR","Sort=A","Dates=H","DateFormat=P","Fill=—","Direction=H","UseDPDF=Y")</f>
        <v>2.2246999999999999</v>
      </c>
      <c r="X25" s="14">
        <f>_xll.BDH("GILD US Equity","CASH_ST_INVESTMENTS_PER_SH","FQ3 2024","FQ3 2024","Currency=USD","Period=FQ","BEST_FPERIOD_OVERRIDE=FQ","FILING_STATUS=MR","Sort=A","Dates=H","DateFormat=P","Fill=—","Direction=H","UseDPDF=Y")</f>
        <v>4.0425000000000004</v>
      </c>
      <c r="Y25" s="14">
        <f>_xll.BDH("GILD US Equity","CASH_ST_INVESTMENTS_PER_SH","FQ4 2024","FQ4 2024","Currency=USD","Period=FQ","BEST_FPERIOD_OVERRIDE=FQ","FILING_STATUS=MR","Sort=A","Dates=H","DateFormat=P","Fill=—","Direction=H","UseDPDF=Y")</f>
        <v>8.0184999999999995</v>
      </c>
      <c r="Z25" s="14"/>
      <c r="AA25" s="14"/>
    </row>
    <row r="26" spans="1:27" x14ac:dyDescent="0.25">
      <c r="A26" s="10" t="s">
        <v>279</v>
      </c>
      <c r="B26" s="10" t="s">
        <v>280</v>
      </c>
      <c r="C26" s="14">
        <f>_xll.BDH("GILD US Equity","BOOK_VAL_PER_SH","FQ2 2019","FQ2 2019","Currency=USD","Period=FQ","BEST_FPERIOD_OVERRIDE=FQ","FILING_STATUS=MR","Sort=A","Dates=H","DateFormat=P","Fill=—","Direction=H","UseDPDF=Y")</f>
        <v>17.850000000000001</v>
      </c>
      <c r="D26" s="14">
        <f>_xll.BDH("GILD US Equity","BOOK_VAL_PER_SH","FQ3 2019","FQ3 2019","Currency=USD","Period=FQ","BEST_FPERIOD_OVERRIDE=FQ","FILING_STATUS=MR","Sort=A","Dates=H","DateFormat=P","Fill=—","Direction=H","UseDPDF=Y")</f>
        <v>16.274899999999999</v>
      </c>
      <c r="E26" s="14">
        <f>_xll.BDH("GILD US Equity","BOOK_VAL_PER_SH","FQ4 2019","FQ4 2019","Currency=USD","Period=FQ","BEST_FPERIOD_OVERRIDE=FQ","FILING_STATUS=MR","Sort=A","Dates=H","DateFormat=P","Fill=—","Direction=H","UseDPDF=Y")</f>
        <v>17.792300000000001</v>
      </c>
      <c r="F26" s="14">
        <f>_xll.BDH("GILD US Equity","BOOK_VAL_PER_SH","FQ1 2020","FQ1 2020","Currency=USD","Period=FQ","BEST_FPERIOD_OVERRIDE=FQ","FILING_STATUS=MR","Sort=A","Dates=H","DateFormat=P","Fill=—","Direction=H","UseDPDF=Y")</f>
        <v>17.597300000000001</v>
      </c>
      <c r="G26" s="14">
        <f>_xll.BDH("GILD US Equity","BOOK_VAL_PER_SH","FQ2 2020","FQ2 2020","Currency=USD","Period=FQ","BEST_FPERIOD_OVERRIDE=FQ","FILING_STATUS=MR","Sort=A","Dates=H","DateFormat=P","Fill=—","Direction=H","UseDPDF=Y")</f>
        <v>14.3756</v>
      </c>
      <c r="H26" s="14">
        <f>_xll.BDH("GILD US Equity","BOOK_VAL_PER_SH","FQ3 2020","FQ3 2020","Currency=USD","Period=FQ","BEST_FPERIOD_OVERRIDE=FQ","FILING_STATUS=MR","Sort=A","Dates=H","DateFormat=P","Fill=—","Direction=H","UseDPDF=Y")</f>
        <v>13.922599999999999</v>
      </c>
      <c r="I26" s="14">
        <f>_xll.BDH("GILD US Equity","BOOK_VAL_PER_SH","FQ4 2020","FQ4 2020","Currency=USD","Period=FQ","BEST_FPERIOD_OVERRIDE=FQ","FILING_STATUS=MR","Sort=A","Dates=H","DateFormat=P","Fill=—","Direction=H","UseDPDF=Y")</f>
        <v>14.5152</v>
      </c>
      <c r="J26" s="14">
        <f>_xll.BDH("GILD US Equity","BOOK_VAL_PER_SH","FQ1 2021","FQ1 2021","Currency=USD","Period=FQ","BEST_FPERIOD_OVERRIDE=FQ","FILING_STATUS=MR","Sort=A","Dates=H","DateFormat=P","Fill=—","Direction=H","UseDPDF=Y")</f>
        <v>15.113200000000001</v>
      </c>
      <c r="K26" s="14">
        <f>_xll.BDH("GILD US Equity","BOOK_VAL_PER_SH","FQ2 2021","FQ2 2021","Currency=USD","Period=FQ","BEST_FPERIOD_OVERRIDE=FQ","FILING_STATUS=MR","Sort=A","Dates=H","DateFormat=P","Fill=—","Direction=H","UseDPDF=Y")</f>
        <v>15.7121</v>
      </c>
      <c r="L26" s="14">
        <f>_xll.BDH("GILD US Equity","BOOK_VAL_PER_SH","FQ3 2021","FQ3 2021","Currency=USD","Period=FQ","BEST_FPERIOD_OVERRIDE=FQ","FILING_STATUS=MR","Sort=A","Dates=H","DateFormat=P","Fill=—","Direction=H","UseDPDF=Y")</f>
        <v>17.107600000000001</v>
      </c>
      <c r="M26" s="14">
        <f>_xll.BDH("GILD US Equity","BOOK_VAL_PER_SH","FQ4 2021","FQ4 2021","Currency=USD","Period=FQ","BEST_FPERIOD_OVERRIDE=FQ","FILING_STATUS=MR","Sort=A","Dates=H","DateFormat=P","Fill=—","Direction=H","UseDPDF=Y")</f>
        <v>16.801400000000001</v>
      </c>
      <c r="N26" s="14">
        <f>_xll.BDH("GILD US Equity","BOOK_VAL_PER_SH","FQ1 2022","FQ1 2022","Currency=USD","Period=FQ","BEST_FPERIOD_OVERRIDE=FQ","FILING_STATUS=MR","Sort=A","Dates=H","DateFormat=P","Fill=—","Direction=H","UseDPDF=Y")</f>
        <v>15.8781</v>
      </c>
      <c r="O26" s="14">
        <f>_xll.BDH("GILD US Equity","BOOK_VAL_PER_SH","FQ2 2022","FQ2 2022","Currency=USD","Period=FQ","BEST_FPERIOD_OVERRIDE=FQ","FILING_STATUS=MR","Sort=A","Dates=H","DateFormat=P","Fill=—","Direction=H","UseDPDF=Y")</f>
        <v>16.1372</v>
      </c>
      <c r="P26" s="14">
        <f>_xll.BDH("GILD US Equity","BOOK_VAL_PER_SH","FQ3 2022","FQ3 2022","Currency=USD","Period=FQ","BEST_FPERIOD_OVERRIDE=FQ","FILING_STATUS=MR","Sort=A","Dates=H","DateFormat=P","Fill=—","Direction=H","UseDPDF=Y")</f>
        <v>16.811</v>
      </c>
      <c r="Q26" s="14">
        <f>_xll.BDH("GILD US Equity","BOOK_VAL_PER_SH","FQ4 2022","FQ4 2022","Currency=USD","Period=FQ","BEST_FPERIOD_OVERRIDE=FQ","FILING_STATUS=MR","Sort=A","Dates=H","DateFormat=P","Fill=—","Direction=H","UseDPDF=Y")</f>
        <v>17.032900000000001</v>
      </c>
      <c r="R26" s="14">
        <f>_xll.BDH("GILD US Equity","BOOK_VAL_PER_SH","FQ1 2023","FQ1 2023","Currency=USD","Period=FQ","BEST_FPERIOD_OVERRIDE=FQ","FILING_STATUS=MR","Sort=A","Dates=H","DateFormat=P","Fill=—","Direction=H","UseDPDF=Y")</f>
        <v>16.8245</v>
      </c>
      <c r="S26" s="14">
        <f>_xll.BDH("GILD US Equity","BOOK_VAL_PER_SH","FQ2 2023","FQ2 2023","Currency=USD","Period=FQ","BEST_FPERIOD_OVERRIDE=FQ","FILING_STATUS=MR","Sort=A","Dates=H","DateFormat=P","Fill=—","Direction=H","UseDPDF=Y")</f>
        <v>16.967099999999999</v>
      </c>
      <c r="T26" s="14">
        <f>_xll.BDH("GILD US Equity","BOOK_VAL_PER_SH","FQ3 2023","FQ3 2023","Currency=USD","Period=FQ","BEST_FPERIOD_OVERRIDE=FQ","FILING_STATUS=MR","Sort=A","Dates=H","DateFormat=P","Fill=—","Direction=H","UseDPDF=Y")</f>
        <v>17.8949</v>
      </c>
      <c r="U26" s="14">
        <f>_xll.BDH("GILD US Equity","BOOK_VAL_PER_SH","FQ4 2023","FQ4 2023","Currency=USD","Period=FQ","BEST_FPERIOD_OVERRIDE=FQ","FILING_STATUS=MR","Sort=A","Dates=H","DateFormat=P","Fill=—","Direction=H","UseDPDF=Y")</f>
        <v>18.324999999999999</v>
      </c>
      <c r="V26" s="14">
        <f>_xll.BDH("GILD US Equity","BOOK_VAL_PER_SH","FQ1 2024","FQ1 2024","Currency=USD","Period=FQ","BEST_FPERIOD_OVERRIDE=FQ","FILING_STATUS=MR","Sort=A","Dates=H","DateFormat=P","Fill=—","Direction=H","UseDPDF=Y")</f>
        <v>14.0762</v>
      </c>
      <c r="W26" s="14">
        <f>_xll.BDH("GILD US Equity","BOOK_VAL_PER_SH","FQ2 2024","FQ2 2024","Currency=USD","Period=FQ","BEST_FPERIOD_OVERRIDE=FQ","FILING_STATUS=MR","Sort=A","Dates=H","DateFormat=P","Fill=—","Direction=H","UseDPDF=Y")</f>
        <v>14.6717</v>
      </c>
      <c r="X26" s="14">
        <f>_xll.BDH("GILD US Equity","BOOK_VAL_PER_SH","FQ3 2024","FQ3 2024","Currency=USD","Period=FQ","BEST_FPERIOD_OVERRIDE=FQ","FILING_STATUS=MR","Sort=A","Dates=H","DateFormat=P","Fill=—","Direction=H","UseDPDF=Y")</f>
        <v>14.826599999999999</v>
      </c>
      <c r="Y26" s="14">
        <f>_xll.BDH("GILD US Equity","BOOK_VAL_PER_SH","FQ4 2024","FQ4 2024","Currency=USD","Period=FQ","BEST_FPERIOD_OVERRIDE=FQ","FILING_STATUS=MR","Sort=A","Dates=H","DateFormat=P","Fill=—","Direction=H","UseDPDF=Y")</f>
        <v>15.5136</v>
      </c>
      <c r="Z26" s="14">
        <v>15.79</v>
      </c>
      <c r="AA26" s="14">
        <v>16.48</v>
      </c>
    </row>
    <row r="27" spans="1:27" x14ac:dyDescent="0.25">
      <c r="A27" s="10" t="s">
        <v>281</v>
      </c>
      <c r="B27" s="10" t="s">
        <v>282</v>
      </c>
      <c r="C27" s="14">
        <f>_xll.BDH("GILD US Equity","TANG_BOOK_VAL_PER_SH","FQ2 2019","FQ2 2019","Currency=USD","Period=FQ","BEST_FPERIOD_OVERRIDE=FQ","FILING_STATUS=MR","Sort=A","Dates=H","DateFormat=P","Fill=—","Direction=H","UseDPDF=Y")</f>
        <v>2.6417000000000002</v>
      </c>
      <c r="D27" s="14">
        <f>_xll.BDH("GILD US Equity","TANG_BOOK_VAL_PER_SH","FQ3 2019","FQ3 2019","Currency=USD","Period=FQ","BEST_FPERIOD_OVERRIDE=FQ","FILING_STATUS=MR","Sort=A","Dates=H","DateFormat=P","Fill=—","Direction=H","UseDPDF=Y")</f>
        <v>1.282</v>
      </c>
      <c r="E27" s="14">
        <f>_xll.BDH("GILD US Equity","TANG_BOOK_VAL_PER_SH","FQ4 2019","FQ4 2019","Currency=USD","Period=FQ","BEST_FPERIOD_OVERRIDE=FQ","FILING_STATUS=MR","Sort=A","Dates=H","DateFormat=P","Fill=—","Direction=H","UseDPDF=Y")</f>
        <v>3.6509</v>
      </c>
      <c r="F27" s="14">
        <f>_xll.BDH("GILD US Equity","TANG_BOOK_VAL_PER_SH","FQ1 2020","FQ1 2020","Currency=USD","Period=FQ","BEST_FPERIOD_OVERRIDE=FQ","FILING_STATUS=MR","Sort=A","Dates=H","DateFormat=P","Fill=—","Direction=H","UseDPDF=Y")</f>
        <v>3.5470000000000002</v>
      </c>
      <c r="G27" s="14">
        <f>_xll.BDH("GILD US Equity","TANG_BOOK_VAL_PER_SH","FQ2 2020","FQ2 2020","Currency=USD","Period=FQ","BEST_FPERIOD_OVERRIDE=FQ","FILING_STATUS=MR","Sort=A","Dates=H","DateFormat=P","Fill=—","Direction=H","UseDPDF=Y")</f>
        <v>0.54630000000000001</v>
      </c>
      <c r="H27" s="14">
        <f>_xll.BDH("GILD US Equity","TANG_BOOK_VAL_PER_SH","FQ3 2020","FQ3 2020","Currency=USD","Period=FQ","BEST_FPERIOD_OVERRIDE=FQ","FILING_STATUS=MR","Sort=A","Dates=H","DateFormat=P","Fill=—","Direction=H","UseDPDF=Y")</f>
        <v>0.3105</v>
      </c>
      <c r="I27" s="14">
        <f>_xll.BDH("GILD US Equity","TANG_BOOK_VAL_PER_SH","FQ4 2020","FQ4 2020","Currency=USD","Period=FQ","BEST_FPERIOD_OVERRIDE=FQ","FILING_STATUS=MR","Sort=A","Dates=H","DateFormat=P","Fill=—","Direction=H","UseDPDF=Y")</f>
        <v>-18.366800000000001</v>
      </c>
      <c r="J27" s="14">
        <f>_xll.BDH("GILD US Equity","TANG_BOOK_VAL_PER_SH","FQ1 2021","FQ1 2021","Currency=USD","Period=FQ","BEST_FPERIOD_OVERRIDE=FQ","FILING_STATUS=MR","Sort=A","Dates=H","DateFormat=P","Fill=—","Direction=H","UseDPDF=Y")</f>
        <v>-19.268699999999999</v>
      </c>
      <c r="K27" s="14">
        <f>_xll.BDH("GILD US Equity","TANG_BOOK_VAL_PER_SH","FQ2 2021","FQ2 2021","Currency=USD","Period=FQ","BEST_FPERIOD_OVERRIDE=FQ","FILING_STATUS=MR","Sort=A","Dates=H","DateFormat=P","Fill=—","Direction=H","UseDPDF=Y")</f>
        <v>-18.318999999999999</v>
      </c>
      <c r="L27" s="14">
        <f>_xll.BDH("GILD US Equity","TANG_BOOK_VAL_PER_SH","FQ3 2021","FQ3 2021","Currency=USD","Period=FQ","BEST_FPERIOD_OVERRIDE=FQ","FILING_STATUS=MR","Sort=A","Dates=H","DateFormat=P","Fill=—","Direction=H","UseDPDF=Y")</f>
        <v>-16.543399999999998</v>
      </c>
      <c r="M27" s="14">
        <f>_xll.BDH("GILD US Equity","TANG_BOOK_VAL_PER_SH","FQ4 2021","FQ4 2021","Currency=USD","Period=FQ","BEST_FPERIOD_OVERRIDE=FQ","FILING_STATUS=MR","Sort=A","Dates=H","DateFormat=P","Fill=—","Direction=H","UseDPDF=Y")</f>
        <v>-16.5215</v>
      </c>
      <c r="N27" s="14">
        <f>_xll.BDH("GILD US Equity","TANG_BOOK_VAL_PER_SH","FQ1 2022","FQ1 2022","Currency=USD","Period=FQ","BEST_FPERIOD_OVERRIDE=FQ","FILING_STATUS=MR","Sort=A","Dates=H","DateFormat=P","Fill=—","Direction=H","UseDPDF=Y")</f>
        <v>-14.9147</v>
      </c>
      <c r="O27" s="14">
        <f>_xll.BDH("GILD US Equity","TANG_BOOK_VAL_PER_SH","FQ2 2022","FQ2 2022","Currency=USD","Period=FQ","BEST_FPERIOD_OVERRIDE=FQ","FILING_STATUS=MR","Sort=A","Dates=H","DateFormat=P","Fill=—","Direction=H","UseDPDF=Y")</f>
        <v>-14.3246</v>
      </c>
      <c r="P27" s="14">
        <f>_xll.BDH("GILD US Equity","TANG_BOOK_VAL_PER_SH","FQ3 2022","FQ3 2022","Currency=USD","Period=FQ","BEST_FPERIOD_OVERRIDE=FQ","FILING_STATUS=MR","Sort=A","Dates=H","DateFormat=P","Fill=—","Direction=H","UseDPDF=Y")</f>
        <v>-13.2959</v>
      </c>
      <c r="Q27" s="14">
        <f>_xll.BDH("GILD US Equity","TANG_BOOK_VAL_PER_SH","FQ4 2022","FQ4 2022","Currency=USD","Period=FQ","BEST_FPERIOD_OVERRIDE=FQ","FILING_STATUS=MR","Sort=A","Dates=H","DateFormat=P","Fill=—","Direction=H","UseDPDF=Y")</f>
        <v>-12.805099999999999</v>
      </c>
      <c r="R27" s="14">
        <f>_xll.BDH("GILD US Equity","TANG_BOOK_VAL_PER_SH","FQ1 2023","FQ1 2023","Currency=USD","Period=FQ","BEST_FPERIOD_OVERRIDE=FQ","FILING_STATUS=MR","Sort=A","Dates=H","DateFormat=P","Fill=—","Direction=H","UseDPDF=Y")</f>
        <v>-12.552099999999999</v>
      </c>
      <c r="S27" s="14">
        <f>_xll.BDH("GILD US Equity","TANG_BOOK_VAL_PER_SH","FQ2 2023","FQ2 2023","Currency=USD","Period=FQ","BEST_FPERIOD_OVERRIDE=FQ","FILING_STATUS=MR","Sort=A","Dates=H","DateFormat=P","Fill=—","Direction=H","UseDPDF=Y")</f>
        <v>-11.9535</v>
      </c>
      <c r="T27" s="14">
        <f>_xll.BDH("GILD US Equity","TANG_BOOK_VAL_PER_SH","FQ3 2023","FQ3 2023","Currency=USD","Period=FQ","BEST_FPERIOD_OVERRIDE=FQ","FILING_STATUS=MR","Sort=A","Dates=H","DateFormat=P","Fill=—","Direction=H","UseDPDF=Y")</f>
        <v>-10.546099999999999</v>
      </c>
      <c r="U27" s="14">
        <f>_xll.BDH("GILD US Equity","TANG_BOOK_VAL_PER_SH","FQ4 2023","FQ4 2023","Currency=USD","Period=FQ","BEST_FPERIOD_OVERRIDE=FQ","FILING_STATUS=MR","Sort=A","Dates=H","DateFormat=P","Fill=—","Direction=H","UseDPDF=Y")</f>
        <v>-9.5786999999999995</v>
      </c>
      <c r="V27" s="14">
        <f>_xll.BDH("GILD US Equity","TANG_BOOK_VAL_PER_SH","FQ1 2024","FQ1 2024","Currency=USD","Period=FQ","BEST_FPERIOD_OVERRIDE=FQ","FILING_STATUS=MR","Sort=A","Dates=H","DateFormat=P","Fill=—","Direction=H","UseDPDF=Y")</f>
        <v>-11.398899999999999</v>
      </c>
      <c r="W27" s="14">
        <f>_xll.BDH("GILD US Equity","TANG_BOOK_VAL_PER_SH","FQ2 2024","FQ2 2024","Currency=USD","Period=FQ","BEST_FPERIOD_OVERRIDE=FQ","FILING_STATUS=MR","Sort=A","Dates=H","DateFormat=P","Fill=—","Direction=H","UseDPDF=Y")</f>
        <v>-10.324999999999999</v>
      </c>
      <c r="X27" s="14">
        <f>_xll.BDH("GILD US Equity","TANG_BOOK_VAL_PER_SH","FQ3 2024","FQ3 2024","Currency=USD","Period=FQ","BEST_FPERIOD_OVERRIDE=FQ","FILING_STATUS=MR","Sort=A","Dates=H","DateFormat=P","Fill=—","Direction=H","UseDPDF=Y")</f>
        <v>-8.3354999999999997</v>
      </c>
      <c r="Y27" s="14">
        <f>_xll.BDH("GILD US Equity","TANG_BOOK_VAL_PER_SH","FQ4 2024","FQ4 2024","Currency=USD","Period=FQ","BEST_FPERIOD_OVERRIDE=FQ","FILING_STATUS=MR","Sort=A","Dates=H","DateFormat=P","Fill=—","Direction=H","UseDPDF=Y")</f>
        <v>-7.1684999999999999</v>
      </c>
      <c r="Z27" s="14"/>
      <c r="AA27" s="14"/>
    </row>
    <row r="28" spans="1:27" x14ac:dyDescent="0.25">
      <c r="A28" s="7" t="s">
        <v>90</v>
      </c>
      <c r="B28" s="7"/>
      <c r="C28" s="7" t="s">
        <v>5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5"/>
  <sheetViews>
    <sheetView workbookViewId="0">
      <selection activeCell="J11" sqref="J11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283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94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31</v>
      </c>
      <c r="AA4" s="4" t="s">
        <v>164</v>
      </c>
    </row>
    <row r="5" spans="1:27" x14ac:dyDescent="0.25">
      <c r="A5" s="9" t="s">
        <v>34</v>
      </c>
      <c r="B5" s="9"/>
      <c r="C5" s="5" t="s">
        <v>96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5" t="s">
        <v>41</v>
      </c>
      <c r="K5" s="5" t="s">
        <v>42</v>
      </c>
      <c r="L5" s="5" t="s">
        <v>43</v>
      </c>
      <c r="M5" s="5" t="s">
        <v>44</v>
      </c>
      <c r="N5" s="5" t="s">
        <v>45</v>
      </c>
      <c r="O5" s="5" t="s">
        <v>46</v>
      </c>
      <c r="P5" s="5" t="s">
        <v>47</v>
      </c>
      <c r="Q5" s="5" t="s">
        <v>48</v>
      </c>
      <c r="R5" s="5" t="s">
        <v>49</v>
      </c>
      <c r="S5" s="5" t="s">
        <v>50</v>
      </c>
      <c r="T5" s="5" t="s">
        <v>51</v>
      </c>
      <c r="U5" s="5" t="s">
        <v>52</v>
      </c>
      <c r="V5" s="5" t="s">
        <v>53</v>
      </c>
      <c r="W5" s="5" t="s">
        <v>54</v>
      </c>
      <c r="X5" s="5" t="s">
        <v>55</v>
      </c>
      <c r="Y5" s="5" t="s">
        <v>56</v>
      </c>
      <c r="Z5" s="5" t="s">
        <v>57</v>
      </c>
      <c r="AA5" s="5" t="s">
        <v>165</v>
      </c>
    </row>
    <row r="6" spans="1:27" x14ac:dyDescent="0.25">
      <c r="A6" s="6" t="s">
        <v>284</v>
      </c>
      <c r="B6" s="6" t="s">
        <v>250</v>
      </c>
      <c r="C6" s="20">
        <f>_xll.BDH("GILD US Equity","PX_LAST","FQ1 2019","FQ1 2019","Currency=USD","Period=FQ","BEST_FPERIOD_OVERRIDE=FQ","FILING_STATUS=MR","Sort=A","Dates=H","DateFormat=P","Fill=—","Direction=H","UseDPDF=Y")</f>
        <v>65.010000000000005</v>
      </c>
      <c r="D6" s="20">
        <f>_xll.BDH("GILD US Equity","PX_LAST","FQ2 2019","FQ2 2019","Currency=USD","Period=FQ","BEST_FPERIOD_OVERRIDE=FQ","FILING_STATUS=MR","Sort=A","Dates=H","DateFormat=P","Fill=—","Direction=H","UseDPDF=Y")</f>
        <v>67.56</v>
      </c>
      <c r="E6" s="20">
        <f>_xll.BDH("GILD US Equity","PX_LAST","FQ3 2019","FQ3 2019","Currency=USD","Period=FQ","BEST_FPERIOD_OVERRIDE=FQ","FILING_STATUS=MR","Sort=A","Dates=H","DateFormat=P","Fill=—","Direction=H","UseDPDF=Y")</f>
        <v>63.38</v>
      </c>
      <c r="F6" s="20">
        <f>_xll.BDH("GILD US Equity","PX_LAST","FQ4 2019","FQ4 2019","Currency=USD","Period=FQ","BEST_FPERIOD_OVERRIDE=FQ","FILING_STATUS=MR","Sort=A","Dates=H","DateFormat=P","Fill=—","Direction=H","UseDPDF=Y")</f>
        <v>64.98</v>
      </c>
      <c r="G6" s="20">
        <f>_xll.BDH("GILD US Equity","PX_LAST","FQ1 2020","FQ1 2020","Currency=USD","Period=FQ","BEST_FPERIOD_OVERRIDE=FQ","FILING_STATUS=MR","Sort=A","Dates=H","DateFormat=P","Fill=—","Direction=H","UseDPDF=Y")</f>
        <v>74.760000000000005</v>
      </c>
      <c r="H6" s="20">
        <f>_xll.BDH("GILD US Equity","PX_LAST","FQ2 2020","FQ2 2020","Currency=USD","Period=FQ","BEST_FPERIOD_OVERRIDE=FQ","FILING_STATUS=MR","Sort=A","Dates=H","DateFormat=P","Fill=—","Direction=H","UseDPDF=Y")</f>
        <v>76.94</v>
      </c>
      <c r="I6" s="20">
        <f>_xll.BDH("GILD US Equity","PX_LAST","FQ3 2020","FQ3 2020","Currency=USD","Period=FQ","BEST_FPERIOD_OVERRIDE=FQ","FILING_STATUS=MR","Sort=A","Dates=H","DateFormat=P","Fill=—","Direction=H","UseDPDF=Y")</f>
        <v>63.19</v>
      </c>
      <c r="J6" s="20">
        <f>_xll.BDH("GILD US Equity","PX_LAST","FQ4 2020","FQ4 2020","Currency=USD","Period=FQ","BEST_FPERIOD_OVERRIDE=FQ","FILING_STATUS=MR","Sort=A","Dates=H","DateFormat=P","Fill=—","Direction=H","UseDPDF=Y")</f>
        <v>58.26</v>
      </c>
      <c r="K6" s="20">
        <f>_xll.BDH("GILD US Equity","PX_LAST","FQ1 2021","FQ1 2021","Currency=USD","Period=FQ","BEST_FPERIOD_OVERRIDE=FQ","FILING_STATUS=MR","Sort=A","Dates=H","DateFormat=P","Fill=—","Direction=H","UseDPDF=Y")</f>
        <v>64.63</v>
      </c>
      <c r="L6" s="20">
        <f>_xll.BDH("GILD US Equity","PX_LAST","FQ2 2021","FQ2 2021","Currency=USD","Period=FQ","BEST_FPERIOD_OVERRIDE=FQ","FILING_STATUS=MR","Sort=A","Dates=H","DateFormat=P","Fill=—","Direction=H","UseDPDF=Y")</f>
        <v>68.86</v>
      </c>
      <c r="M6" s="20">
        <f>_xll.BDH("GILD US Equity","PX_LAST","FQ3 2021","FQ3 2021","Currency=USD","Period=FQ","BEST_FPERIOD_OVERRIDE=FQ","FILING_STATUS=MR","Sort=A","Dates=H","DateFormat=P","Fill=—","Direction=H","UseDPDF=Y")</f>
        <v>69.849999999999994</v>
      </c>
      <c r="N6" s="20">
        <f>_xll.BDH("GILD US Equity","PX_LAST","FQ4 2021","FQ4 2021","Currency=USD","Period=FQ","BEST_FPERIOD_OVERRIDE=FQ","FILING_STATUS=MR","Sort=A","Dates=H","DateFormat=P","Fill=—","Direction=H","UseDPDF=Y")</f>
        <v>72.61</v>
      </c>
      <c r="O6" s="20">
        <f>_xll.BDH("GILD US Equity","PX_LAST","FQ1 2022","FQ1 2022","Currency=USD","Period=FQ","BEST_FPERIOD_OVERRIDE=FQ","FILING_STATUS=MR","Sort=A","Dates=H","DateFormat=P","Fill=—","Direction=H","UseDPDF=Y")</f>
        <v>59.45</v>
      </c>
      <c r="P6" s="20">
        <f>_xll.BDH("GILD US Equity","PX_LAST","FQ2 2022","FQ2 2022","Currency=USD","Period=FQ","BEST_FPERIOD_OVERRIDE=FQ","FILING_STATUS=MR","Sort=A","Dates=H","DateFormat=P","Fill=—","Direction=H","UseDPDF=Y")</f>
        <v>61.81</v>
      </c>
      <c r="Q6" s="20">
        <f>_xll.BDH("GILD US Equity","PX_LAST","FQ3 2022","FQ3 2022","Currency=USD","Period=FQ","BEST_FPERIOD_OVERRIDE=FQ","FILING_STATUS=MR","Sort=A","Dates=H","DateFormat=P","Fill=—","Direction=H","UseDPDF=Y")</f>
        <v>61.69</v>
      </c>
      <c r="R6" s="20">
        <f>_xll.BDH("GILD US Equity","PX_LAST","FQ4 2022","FQ4 2022","Currency=USD","Period=FQ","BEST_FPERIOD_OVERRIDE=FQ","FILING_STATUS=MR","Sort=A","Dates=H","DateFormat=P","Fill=—","Direction=H","UseDPDF=Y")</f>
        <v>85.85</v>
      </c>
      <c r="S6" s="20">
        <f>_xll.BDH("GILD US Equity","PX_LAST","FQ1 2023","FQ1 2023","Currency=USD","Period=FQ","BEST_FPERIOD_OVERRIDE=FQ","FILING_STATUS=MR","Sort=A","Dates=H","DateFormat=P","Fill=—","Direction=H","UseDPDF=Y")</f>
        <v>82.97</v>
      </c>
      <c r="T6" s="20">
        <f>_xll.BDH("GILD US Equity","PX_LAST","FQ2 2023","FQ2 2023","Currency=USD","Period=FQ","BEST_FPERIOD_OVERRIDE=FQ","FILING_STATUS=MR","Sort=A","Dates=H","DateFormat=P","Fill=—","Direction=H","UseDPDF=Y")</f>
        <v>77.069999999999993</v>
      </c>
      <c r="U6" s="20">
        <f>_xll.BDH("GILD US Equity","PX_LAST","FQ3 2023","FQ3 2023","Currency=USD","Period=FQ","BEST_FPERIOD_OVERRIDE=FQ","FILING_STATUS=MR","Sort=A","Dates=H","DateFormat=P","Fill=—","Direction=H","UseDPDF=Y")</f>
        <v>74.94</v>
      </c>
      <c r="V6" s="20">
        <f>_xll.BDH("GILD US Equity","PX_LAST","FQ4 2023","FQ4 2023","Currency=USD","Period=FQ","BEST_FPERIOD_OVERRIDE=FQ","FILING_STATUS=MR","Sort=A","Dates=H","DateFormat=P","Fill=—","Direction=H","UseDPDF=Y")</f>
        <v>81.010000000000005</v>
      </c>
      <c r="W6" s="20">
        <f>_xll.BDH("GILD US Equity","PX_LAST","FQ1 2024","FQ1 2024","Currency=USD","Period=FQ","BEST_FPERIOD_OVERRIDE=FQ","FILING_STATUS=MR","Sort=A","Dates=H","DateFormat=P","Fill=—","Direction=H","UseDPDF=Y")</f>
        <v>73.25</v>
      </c>
      <c r="X6" s="20">
        <f>_xll.BDH("GILD US Equity","PX_LAST","FQ2 2024","FQ2 2024","Currency=USD","Period=FQ","BEST_FPERIOD_OVERRIDE=FQ","FILING_STATUS=MR","Sort=A","Dates=H","DateFormat=P","Fill=—","Direction=H","UseDPDF=Y")</f>
        <v>68.61</v>
      </c>
      <c r="Y6" s="20">
        <f>_xll.BDH("GILD US Equity","PX_LAST","FQ3 2024","FQ3 2024","Currency=USD","Period=FQ","BEST_FPERIOD_OVERRIDE=FQ","FILING_STATUS=MR","Sort=A","Dates=H","DateFormat=P","Fill=—","Direction=H","UseDPDF=Y")</f>
        <v>83.84</v>
      </c>
      <c r="Z6" s="20">
        <f>_xll.BDH("GILD US Equity","PX_LAST","FQ4 2024","FQ4 2024","Currency=USD","Period=FQ","BEST_FPERIOD_OVERRIDE=FQ","FILING_STATUS=MR","Sort=A","Dates=H","DateFormat=P","Fill=—","Direction=H","UseDPDF=Y")</f>
        <v>92.37</v>
      </c>
      <c r="AA6" s="23">
        <v>111.75</v>
      </c>
    </row>
    <row r="7" spans="1:27" x14ac:dyDescent="0.25">
      <c r="A7" s="11" t="s">
        <v>285</v>
      </c>
      <c r="B7" s="11" t="s">
        <v>286</v>
      </c>
      <c r="C7" s="26">
        <f>_xll.BDH("GILD US Equity","CHG_PCT_PERIOD","FQ1 2019","FQ1 2019","Currency=USD","Period=FQ","BEST_FPERIOD_OVERRIDE=FQ","FILING_STATUS=MR","Sort=A","Dates=H","DateFormat=P","Fill=—","Direction=H","UseDPDF=Y")</f>
        <v>3.9329000000000001</v>
      </c>
      <c r="D7" s="26">
        <f>_xll.BDH("GILD US Equity","CHG_PCT_PERIOD","FQ2 2019","FQ2 2019","Currency=USD","Period=FQ","BEST_FPERIOD_OVERRIDE=FQ","FILING_STATUS=MR","Sort=A","Dates=H","DateFormat=P","Fill=—","Direction=H","UseDPDF=Y")</f>
        <v>3.9224999999999999</v>
      </c>
      <c r="E7" s="26" t="str">
        <f>_xll.BDH("GILD US Equity","CHG_PCT_PERIOD","FQ3 2019","FQ3 2019","Currency=USD","Period=FQ","BEST_FPERIOD_OVERRIDE=FQ","FILING_STATUS=MR","Sort=A","Dates=H","DateFormat=P","Fill=—","Direction=H","UseDPDF=Y")</f>
        <v>—</v>
      </c>
      <c r="F7" s="26">
        <f>_xll.BDH("GILD US Equity","CHG_PCT_PERIOD","FQ4 2019","FQ4 2019","Currency=USD","Period=FQ","BEST_FPERIOD_OVERRIDE=FQ","FILING_STATUS=MR","Sort=A","Dates=H","DateFormat=P","Fill=—","Direction=H","UseDPDF=Y")</f>
        <v>2.5245000000000002</v>
      </c>
      <c r="G7" s="26">
        <f>_xll.BDH("GILD US Equity","CHG_PCT_PERIOD","FQ1 2020","FQ1 2020","Currency=USD","Period=FQ","BEST_FPERIOD_OVERRIDE=FQ","FILING_STATUS=MR","Sort=A","Dates=H","DateFormat=P","Fill=—","Direction=H","UseDPDF=Y")</f>
        <v>15.050800000000001</v>
      </c>
      <c r="H7" s="26">
        <f>_xll.BDH("GILD US Equity","CHG_PCT_PERIOD","FQ2 2020","FQ2 2020","Currency=USD","Period=FQ","BEST_FPERIOD_OVERRIDE=FQ","FILING_STATUS=MR","Sort=A","Dates=H","DateFormat=P","Fill=—","Direction=H","UseDPDF=Y")</f>
        <v>2.9159999999999999</v>
      </c>
      <c r="I7" s="26">
        <f>_xll.BDH("GILD US Equity","CHG_PCT_PERIOD","FQ3 2020","FQ3 2020","Currency=USD","Period=FQ","BEST_FPERIOD_OVERRIDE=FQ","FILING_STATUS=MR","Sort=A","Dates=H","DateFormat=P","Fill=—","Direction=H","UseDPDF=Y")</f>
        <v>-17.871099999999998</v>
      </c>
      <c r="J7" s="26">
        <f>_xll.BDH("GILD US Equity","CHG_PCT_PERIOD","FQ4 2020","FQ4 2020","Currency=USD","Period=FQ","BEST_FPERIOD_OVERRIDE=FQ","FILING_STATUS=MR","Sort=A","Dates=H","DateFormat=P","Fill=—","Direction=H","UseDPDF=Y")</f>
        <v>-7.8018999999999998</v>
      </c>
      <c r="K7" s="26">
        <f>_xll.BDH("GILD US Equity","CHG_PCT_PERIOD","FQ1 2021","FQ1 2021","Currency=USD","Period=FQ","BEST_FPERIOD_OVERRIDE=FQ","FILING_STATUS=MR","Sort=A","Dates=H","DateFormat=P","Fill=—","Direction=H","UseDPDF=Y")</f>
        <v>10.9337</v>
      </c>
      <c r="L7" s="26">
        <f>_xll.BDH("GILD US Equity","CHG_PCT_PERIOD","FQ2 2021","FQ2 2021","Currency=USD","Period=FQ","BEST_FPERIOD_OVERRIDE=FQ","FILING_STATUS=MR","Sort=A","Dates=H","DateFormat=P","Fill=—","Direction=H","UseDPDF=Y")</f>
        <v>6.5449000000000002</v>
      </c>
      <c r="M7" s="26">
        <f>_xll.BDH("GILD US Equity","CHG_PCT_PERIOD","FQ3 2021","FQ3 2021","Currency=USD","Period=FQ","BEST_FPERIOD_OVERRIDE=FQ","FILING_STATUS=MR","Sort=A","Dates=H","DateFormat=P","Fill=—","Direction=H","UseDPDF=Y")</f>
        <v>1.4377</v>
      </c>
      <c r="N7" s="26">
        <f>_xll.BDH("GILD US Equity","CHG_PCT_PERIOD","FQ4 2021","FQ4 2021","Currency=USD","Period=FQ","BEST_FPERIOD_OVERRIDE=FQ","FILING_STATUS=MR","Sort=A","Dates=H","DateFormat=P","Fill=—","Direction=H","UseDPDF=Y")</f>
        <v>3.9512999999999998</v>
      </c>
      <c r="O7" s="26">
        <f>_xll.BDH("GILD US Equity","CHG_PCT_PERIOD","FQ1 2022","FQ1 2022","Currency=USD","Period=FQ","BEST_FPERIOD_OVERRIDE=FQ","FILING_STATUS=MR","Sort=A","Dates=H","DateFormat=P","Fill=—","Direction=H","UseDPDF=Y")</f>
        <v>-18.124199999999998</v>
      </c>
      <c r="P7" s="26">
        <f>_xll.BDH("GILD US Equity","CHG_PCT_PERIOD","FQ2 2022","FQ2 2022","Currency=USD","Period=FQ","BEST_FPERIOD_OVERRIDE=FQ","FILING_STATUS=MR","Sort=A","Dates=H","DateFormat=P","Fill=—","Direction=H","UseDPDF=Y")</f>
        <v>3.9697</v>
      </c>
      <c r="Q7" s="26">
        <f>_xll.BDH("GILD US Equity","CHG_PCT_PERIOD","FQ3 2022","FQ3 2022","Currency=USD","Period=FQ","BEST_FPERIOD_OVERRIDE=FQ","FILING_STATUS=MR","Sort=A","Dates=H","DateFormat=P","Fill=—","Direction=H","UseDPDF=Y")</f>
        <v>-0.19409999999999999</v>
      </c>
      <c r="R7" s="26">
        <f>_xll.BDH("GILD US Equity","CHG_PCT_PERIOD","FQ4 2022","FQ4 2022","Currency=USD","Period=FQ","BEST_FPERIOD_OVERRIDE=FQ","FILING_STATUS=MR","Sort=A","Dates=H","DateFormat=P","Fill=—","Direction=H","UseDPDF=Y")</f>
        <v>39.163600000000002</v>
      </c>
      <c r="S7" s="26">
        <f>_xll.BDH("GILD US Equity","CHG_PCT_PERIOD","FQ1 2023","FQ1 2023","Currency=USD","Period=FQ","BEST_FPERIOD_OVERRIDE=FQ","FILING_STATUS=MR","Sort=A","Dates=H","DateFormat=P","Fill=—","Direction=H","UseDPDF=Y")</f>
        <v>-3.3546999999999998</v>
      </c>
      <c r="T7" s="26">
        <f>_xll.BDH("GILD US Equity","CHG_PCT_PERIOD","FQ2 2023","FQ2 2023","Currency=USD","Period=FQ","BEST_FPERIOD_OVERRIDE=FQ","FILING_STATUS=MR","Sort=A","Dates=H","DateFormat=P","Fill=—","Direction=H","UseDPDF=Y")</f>
        <v>-7.1109999999999998</v>
      </c>
      <c r="U7" s="26">
        <f>_xll.BDH("GILD US Equity","CHG_PCT_PERIOD","FQ3 2023","FQ3 2023","Currency=USD","Period=FQ","BEST_FPERIOD_OVERRIDE=FQ","FILING_STATUS=MR","Sort=A","Dates=H","DateFormat=P","Fill=—","Direction=H","UseDPDF=Y")</f>
        <v>-2.7637</v>
      </c>
      <c r="V7" s="26">
        <f>_xll.BDH("GILD US Equity","CHG_PCT_PERIOD","FQ4 2023","FQ4 2023","Currency=USD","Period=FQ","BEST_FPERIOD_OVERRIDE=FQ","FILING_STATUS=MR","Sort=A","Dates=H","DateFormat=P","Fill=—","Direction=H","UseDPDF=Y")</f>
        <v>8.0998000000000001</v>
      </c>
      <c r="W7" s="26">
        <f>_xll.BDH("GILD US Equity","CHG_PCT_PERIOD","FQ1 2024","FQ1 2024","Currency=USD","Period=FQ","BEST_FPERIOD_OVERRIDE=FQ","FILING_STATUS=MR","Sort=A","Dates=H","DateFormat=P","Fill=—","Direction=H","UseDPDF=Y")</f>
        <v>-9.5791000000000004</v>
      </c>
      <c r="X7" s="26" t="str">
        <f>_xll.BDH("GILD US Equity","CHG_PCT_PERIOD","FQ2 2024","FQ2 2024","Currency=USD","Period=FQ","BEST_FPERIOD_OVERRIDE=FQ","FILING_STATUS=MR","Sort=A","Dates=H","DateFormat=P","Fill=—","Direction=H","UseDPDF=Y")</f>
        <v>—</v>
      </c>
      <c r="Y7" s="26" t="str">
        <f>_xll.BDH("GILD US Equity","CHG_PCT_PERIOD","FQ3 2024","FQ3 2024","Currency=USD","Period=FQ","BEST_FPERIOD_OVERRIDE=FQ","FILING_STATUS=MR","Sort=A","Dates=H","DateFormat=P","Fill=—","Direction=H","UseDPDF=Y")</f>
        <v>—</v>
      </c>
      <c r="Z7" s="26">
        <f>_xll.BDH("GILD US Equity","CHG_PCT_PERIOD","FQ4 2024","FQ4 2024","Currency=USD","Period=FQ","BEST_FPERIOD_OVERRIDE=FQ","FILING_STATUS=MR","Sort=A","Dates=H","DateFormat=P","Fill=—","Direction=H","UseDPDF=Y")</f>
        <v>10.174099999999999</v>
      </c>
      <c r="AA7" s="29"/>
    </row>
    <row r="8" spans="1:27" x14ac:dyDescent="0.25">
      <c r="A8" s="10" t="s">
        <v>287</v>
      </c>
      <c r="B8" s="10" t="s">
        <v>288</v>
      </c>
      <c r="C8" s="14">
        <f>_xll.BDH("GILD US Equity","PX_OPEN","FQ1 2019","FQ1 2019","Currency=USD","Period=FQ","BEST_FPERIOD_OVERRIDE=FQ","FILING_STATUS=MR","Sort=A","Dates=H","DateFormat=P","Fill=—","Direction=H","UseDPDF=Y")</f>
        <v>61.76</v>
      </c>
      <c r="D8" s="14">
        <f>_xll.BDH("GILD US Equity","PX_OPEN","FQ2 2019","FQ2 2019","Currency=USD","Period=FQ","BEST_FPERIOD_OVERRIDE=FQ","FILING_STATUS=MR","Sort=A","Dates=H","DateFormat=P","Fill=—","Direction=H","UseDPDF=Y")</f>
        <v>65.540000000000006</v>
      </c>
      <c r="E8" s="14">
        <f>_xll.BDH("GILD US Equity","PX_OPEN","FQ3 2019","FQ3 2019","Currency=USD","Period=FQ","BEST_FPERIOD_OVERRIDE=FQ","FILING_STATUS=MR","Sort=A","Dates=H","DateFormat=P","Fill=—","Direction=H","UseDPDF=Y")</f>
        <v>68</v>
      </c>
      <c r="F8" s="14">
        <f>_xll.BDH("GILD US Equity","PX_OPEN","FQ4 2019","FQ4 2019","Currency=USD","Period=FQ","BEST_FPERIOD_OVERRIDE=FQ","FILING_STATUS=MR","Sort=A","Dates=H","DateFormat=P","Fill=—","Direction=H","UseDPDF=Y")</f>
        <v>63.6</v>
      </c>
      <c r="G8" s="14">
        <f>_xll.BDH("GILD US Equity","PX_OPEN","FQ1 2020","FQ1 2020","Currency=USD","Period=FQ","BEST_FPERIOD_OVERRIDE=FQ","FILING_STATUS=MR","Sort=A","Dates=H","DateFormat=P","Fill=—","Direction=H","UseDPDF=Y")</f>
        <v>65.53</v>
      </c>
      <c r="H8" s="14">
        <f>_xll.BDH("GILD US Equity","PX_OPEN","FQ2 2020","FQ2 2020","Currency=USD","Period=FQ","BEST_FPERIOD_OVERRIDE=FQ","FILING_STATUS=MR","Sort=A","Dates=H","DateFormat=P","Fill=—","Direction=H","UseDPDF=Y")</f>
        <v>74.319999999999993</v>
      </c>
      <c r="I8" s="14">
        <f>_xll.BDH("GILD US Equity","PX_OPEN","FQ3 2020","FQ3 2020","Currency=USD","Period=FQ","BEST_FPERIOD_OVERRIDE=FQ","FILING_STATUS=MR","Sort=A","Dates=H","DateFormat=P","Fill=—","Direction=H","UseDPDF=Y")</f>
        <v>77.099999999999994</v>
      </c>
      <c r="J8" s="14">
        <f>_xll.BDH("GILD US Equity","PX_OPEN","FQ4 2020","FQ4 2020","Currency=USD","Period=FQ","BEST_FPERIOD_OVERRIDE=FQ","FILING_STATUS=MR","Sort=A","Dates=H","DateFormat=P","Fill=—","Direction=H","UseDPDF=Y")</f>
        <v>63.33</v>
      </c>
      <c r="K8" s="14">
        <f>_xll.BDH("GILD US Equity","PX_OPEN","FQ1 2021","FQ1 2021","Currency=USD","Period=FQ","BEST_FPERIOD_OVERRIDE=FQ","FILING_STATUS=MR","Sort=A","Dates=H","DateFormat=P","Fill=—","Direction=H","UseDPDF=Y")</f>
        <v>58.67</v>
      </c>
      <c r="L8" s="14">
        <f>_xll.BDH("GILD US Equity","PX_OPEN","FQ2 2021","FQ2 2021","Currency=USD","Period=FQ","BEST_FPERIOD_OVERRIDE=FQ","FILING_STATUS=MR","Sort=A","Dates=H","DateFormat=P","Fill=—","Direction=H","UseDPDF=Y")</f>
        <v>65.75</v>
      </c>
      <c r="M8" s="14">
        <f>_xll.BDH("GILD US Equity","PX_OPEN","FQ3 2021","FQ3 2021","Currency=USD","Period=FQ","BEST_FPERIOD_OVERRIDE=FQ","FILING_STATUS=MR","Sort=A","Dates=H","DateFormat=P","Fill=—","Direction=H","UseDPDF=Y")</f>
        <v>68.75</v>
      </c>
      <c r="N8" s="14">
        <f>_xll.BDH("GILD US Equity","PX_OPEN","FQ4 2021","FQ4 2021","Currency=USD","Period=FQ","BEST_FPERIOD_OVERRIDE=FQ","FILING_STATUS=MR","Sort=A","Dates=H","DateFormat=P","Fill=—","Direction=H","UseDPDF=Y")</f>
        <v>68.603499999999997</v>
      </c>
      <c r="O8" s="14">
        <f>_xll.BDH("GILD US Equity","PX_OPEN","FQ1 2022","FQ1 2022","Currency=USD","Period=FQ","BEST_FPERIOD_OVERRIDE=FQ","FILING_STATUS=MR","Sort=A","Dates=H","DateFormat=P","Fill=—","Direction=H","UseDPDF=Y")</f>
        <v>72.27</v>
      </c>
      <c r="P8" s="14">
        <f>_xll.BDH("GILD US Equity","PX_OPEN","FQ2 2022","FQ2 2022","Currency=USD","Period=FQ","BEST_FPERIOD_OVERRIDE=FQ","FILING_STATUS=MR","Sort=A","Dates=H","DateFormat=P","Fill=—","Direction=H","UseDPDF=Y")</f>
        <v>59.44</v>
      </c>
      <c r="Q8" s="14">
        <f>_xll.BDH("GILD US Equity","PX_OPEN","FQ3 2022","FQ3 2022","Currency=USD","Period=FQ","BEST_FPERIOD_OVERRIDE=FQ","FILING_STATUS=MR","Sort=A","Dates=H","DateFormat=P","Fill=—","Direction=H","UseDPDF=Y")</f>
        <v>61.47</v>
      </c>
      <c r="R8" s="14">
        <f>_xll.BDH("GILD US Equity","PX_OPEN","FQ4 2022","FQ4 2022","Currency=USD","Period=FQ","BEST_FPERIOD_OVERRIDE=FQ","FILING_STATUS=MR","Sort=A","Dates=H","DateFormat=P","Fill=—","Direction=H","UseDPDF=Y")</f>
        <v>62.4</v>
      </c>
      <c r="S8" s="14">
        <f>_xll.BDH("GILD US Equity","PX_OPEN","FQ1 2023","FQ1 2023","Currency=USD","Period=FQ","BEST_FPERIOD_OVERRIDE=FQ","FILING_STATUS=MR","Sort=A","Dates=H","DateFormat=P","Fill=—","Direction=H","UseDPDF=Y")</f>
        <v>85.08</v>
      </c>
      <c r="T8" s="14">
        <f>_xll.BDH("GILD US Equity","PX_OPEN","FQ2 2023","FQ2 2023","Currency=USD","Period=FQ","BEST_FPERIOD_OVERRIDE=FQ","FILING_STATUS=MR","Sort=A","Dates=H","DateFormat=P","Fill=—","Direction=H","UseDPDF=Y")</f>
        <v>82.935000000000002</v>
      </c>
      <c r="U8" s="14">
        <f>_xll.BDH("GILD US Equity","PX_OPEN","FQ3 2023","FQ3 2023","Currency=USD","Period=FQ","BEST_FPERIOD_OVERRIDE=FQ","FILING_STATUS=MR","Sort=A","Dates=H","DateFormat=P","Fill=—","Direction=H","UseDPDF=Y")</f>
        <v>76.254999999999995</v>
      </c>
      <c r="V8" s="14">
        <f>_xll.BDH("GILD US Equity","PX_OPEN","FQ4 2023","FQ4 2023","Currency=USD","Period=FQ","BEST_FPERIOD_OVERRIDE=FQ","FILING_STATUS=MR","Sort=A","Dates=H","DateFormat=P","Fill=—","Direction=H","UseDPDF=Y")</f>
        <v>75</v>
      </c>
      <c r="W8" s="14">
        <f>_xll.BDH("GILD US Equity","PX_OPEN","FQ1 2024","FQ1 2024","Currency=USD","Period=FQ","BEST_FPERIOD_OVERRIDE=FQ","FILING_STATUS=MR","Sort=A","Dates=H","DateFormat=P","Fill=—","Direction=H","UseDPDF=Y")</f>
        <v>80.91</v>
      </c>
      <c r="X8" s="14">
        <f>_xll.BDH("GILD US Equity","PX_OPEN","FQ2 2024","FQ2 2024","Currency=USD","Period=FQ","BEST_FPERIOD_OVERRIDE=FQ","FILING_STATUS=MR","Sort=A","Dates=H","DateFormat=P","Fill=—","Direction=H","UseDPDF=Y")</f>
        <v>73.22</v>
      </c>
      <c r="Y8" s="14">
        <f>_xll.BDH("GILD US Equity","PX_OPEN","FQ3 2024","FQ3 2024","Currency=USD","Period=FQ","BEST_FPERIOD_OVERRIDE=FQ","FILING_STATUS=MR","Sort=A","Dates=H","DateFormat=P","Fill=—","Direction=H","UseDPDF=Y")</f>
        <v>68.63</v>
      </c>
      <c r="Z8" s="14">
        <f>_xll.BDH("GILD US Equity","PX_OPEN","FQ4 2024","FQ4 2024","Currency=USD","Period=FQ","BEST_FPERIOD_OVERRIDE=FQ","FILING_STATUS=MR","Sort=A","Dates=H","DateFormat=P","Fill=—","Direction=H","UseDPDF=Y")</f>
        <v>83.82</v>
      </c>
      <c r="AA8" s="17">
        <v>111.15000152587901</v>
      </c>
    </row>
    <row r="9" spans="1:27" x14ac:dyDescent="0.25">
      <c r="A9" s="10" t="s">
        <v>289</v>
      </c>
      <c r="B9" s="10" t="s">
        <v>251</v>
      </c>
      <c r="C9" s="14">
        <f>_xll.BDH("GILD US Equity","PX_HIGH","FQ1 2019","FQ1 2019","Currency=USD","Period=FQ","BEST_FPERIOD_OVERRIDE=FQ","FILING_STATUS=MR","Sort=A","Dates=H","DateFormat=P","Fill=—","Direction=H","UseDPDF=Y")</f>
        <v>70.5</v>
      </c>
      <c r="D9" s="14">
        <f>_xll.BDH("GILD US Equity","PX_HIGH","FQ2 2019","FQ2 2019","Currency=USD","Period=FQ","BEST_FPERIOD_OVERRIDE=FQ","FILING_STATUS=MR","Sort=A","Dates=H","DateFormat=P","Fill=—","Direction=H","UseDPDF=Y")</f>
        <v>69.98</v>
      </c>
      <c r="E9" s="14">
        <f>_xll.BDH("GILD US Equity","PX_HIGH","FQ3 2019","FQ3 2019","Currency=USD","Period=FQ","BEST_FPERIOD_OVERRIDE=FQ","FILING_STATUS=MR","Sort=A","Dates=H","DateFormat=P","Fill=—","Direction=H","UseDPDF=Y")</f>
        <v>69.344999999999999</v>
      </c>
      <c r="F9" s="14">
        <f>_xll.BDH("GILD US Equity","PX_HIGH","FQ4 2019","FQ4 2019","Currency=USD","Period=FQ","BEST_FPERIOD_OVERRIDE=FQ","FILING_STATUS=MR","Sort=A","Dates=H","DateFormat=P","Fill=—","Direction=H","UseDPDF=Y")</f>
        <v>68.16</v>
      </c>
      <c r="G9" s="14">
        <f>_xll.BDH("GILD US Equity","PX_HIGH","FQ1 2020","FQ1 2020","Currency=USD","Period=FQ","BEST_FPERIOD_OVERRIDE=FQ","FILING_STATUS=MR","Sort=A","Dates=H","DateFormat=P","Fill=—","Direction=H","UseDPDF=Y")</f>
        <v>85.97</v>
      </c>
      <c r="H9" s="14">
        <f>_xll.BDH("GILD US Equity","PX_HIGH","FQ2 2020","FQ2 2020","Currency=USD","Period=FQ","BEST_FPERIOD_OVERRIDE=FQ","FILING_STATUS=MR","Sort=A","Dates=H","DateFormat=P","Fill=—","Direction=H","UseDPDF=Y")</f>
        <v>85.79</v>
      </c>
      <c r="I9" s="14">
        <f>_xll.BDH("GILD US Equity","PX_HIGH","FQ3 2020","FQ3 2020","Currency=USD","Period=FQ","BEST_FPERIOD_OVERRIDE=FQ","FILING_STATUS=MR","Sort=A","Dates=H","DateFormat=P","Fill=—","Direction=H","UseDPDF=Y")</f>
        <v>78.94</v>
      </c>
      <c r="J9" s="14">
        <f>_xll.BDH("GILD US Equity","PX_HIGH","FQ4 2020","FQ4 2020","Currency=USD","Period=FQ","BEST_FPERIOD_OVERRIDE=FQ","FILING_STATUS=MR","Sort=A","Dates=H","DateFormat=P","Fill=—","Direction=H","UseDPDF=Y")</f>
        <v>64.989999999999995</v>
      </c>
      <c r="K9" s="14">
        <f>_xll.BDH("GILD US Equity","PX_HIGH","FQ1 2021","FQ1 2021","Currency=USD","Period=FQ","BEST_FPERIOD_OVERRIDE=FQ","FILING_STATUS=MR","Sort=A","Dates=H","DateFormat=P","Fill=—","Direction=H","UseDPDF=Y")</f>
        <v>69.36</v>
      </c>
      <c r="L9" s="14">
        <f>_xll.BDH("GILD US Equity","PX_HIGH","FQ2 2021","FQ2 2021","Currency=USD","Period=FQ","BEST_FPERIOD_OVERRIDE=FQ","FILING_STATUS=MR","Sort=A","Dates=H","DateFormat=P","Fill=—","Direction=H","UseDPDF=Y")</f>
        <v>70.11</v>
      </c>
      <c r="M9" s="14">
        <f>_xll.BDH("GILD US Equity","PX_HIGH","FQ3 2021","FQ3 2021","Currency=USD","Period=FQ","BEST_FPERIOD_OVERRIDE=FQ","FILING_STATUS=MR","Sort=A","Dates=H","DateFormat=P","Fill=—","Direction=H","UseDPDF=Y")</f>
        <v>73.3399</v>
      </c>
      <c r="N9" s="14">
        <f>_xll.BDH("GILD US Equity","PX_HIGH","FQ4 2021","FQ4 2021","Currency=USD","Period=FQ","BEST_FPERIOD_OVERRIDE=FQ","FILING_STATUS=MR","Sort=A","Dates=H","DateFormat=P","Fill=—","Direction=H","UseDPDF=Y")</f>
        <v>74.12</v>
      </c>
      <c r="O9" s="14">
        <f>_xll.BDH("GILD US Equity","PX_HIGH","FQ1 2022","FQ1 2022","Currency=USD","Period=FQ","BEST_FPERIOD_OVERRIDE=FQ","FILING_STATUS=MR","Sort=A","Dates=H","DateFormat=P","Fill=—","Direction=H","UseDPDF=Y")</f>
        <v>73.394999999999996</v>
      </c>
      <c r="P9" s="14">
        <f>_xll.BDH("GILD US Equity","PX_HIGH","FQ2 2022","FQ2 2022","Currency=USD","Period=FQ","BEST_FPERIOD_OVERRIDE=FQ","FILING_STATUS=MR","Sort=A","Dates=H","DateFormat=P","Fill=—","Direction=H","UseDPDF=Y")</f>
        <v>65.459999999999994</v>
      </c>
      <c r="Q9" s="14">
        <f>_xll.BDH("GILD US Equity","PX_HIGH","FQ3 2022","FQ3 2022","Currency=USD","Period=FQ","BEST_FPERIOD_OVERRIDE=FQ","FILING_STATUS=MR","Sort=A","Dates=H","DateFormat=P","Fill=—","Direction=H","UseDPDF=Y")</f>
        <v>68.88</v>
      </c>
      <c r="R9" s="14">
        <f>_xll.BDH("GILD US Equity","PX_HIGH","FQ4 2022","FQ4 2022","Currency=USD","Period=FQ","BEST_FPERIOD_OVERRIDE=FQ","FILING_STATUS=MR","Sort=A","Dates=H","DateFormat=P","Fill=—","Direction=H","UseDPDF=Y")</f>
        <v>89.74</v>
      </c>
      <c r="S9" s="14">
        <f>_xll.BDH("GILD US Equity","PX_HIGH","FQ1 2023","FQ1 2023","Currency=USD","Period=FQ","BEST_FPERIOD_OVERRIDE=FQ","FILING_STATUS=MR","Sort=A","Dates=H","DateFormat=P","Fill=—","Direction=H","UseDPDF=Y")</f>
        <v>88.29</v>
      </c>
      <c r="T9" s="14">
        <f>_xll.BDH("GILD US Equity","PX_HIGH","FQ2 2023","FQ2 2023","Currency=USD","Period=FQ","BEST_FPERIOD_OVERRIDE=FQ","FILING_STATUS=MR","Sort=A","Dates=H","DateFormat=P","Fill=—","Direction=H","UseDPDF=Y")</f>
        <v>87.37</v>
      </c>
      <c r="U9" s="14">
        <f>_xll.BDH("GILD US Equity","PX_HIGH","FQ3 2023","FQ3 2023","Currency=USD","Period=FQ","BEST_FPERIOD_OVERRIDE=FQ","FILING_STATUS=MR","Sort=A","Dates=H","DateFormat=P","Fill=—","Direction=H","UseDPDF=Y")</f>
        <v>81.430000000000007</v>
      </c>
      <c r="V9" s="14">
        <f>_xll.BDH("GILD US Equity","PX_HIGH","FQ4 2023","FQ4 2023","Currency=USD","Period=FQ","BEST_FPERIOD_OVERRIDE=FQ","FILING_STATUS=MR","Sort=A","Dates=H","DateFormat=P","Fill=—","Direction=H","UseDPDF=Y")</f>
        <v>83.12</v>
      </c>
      <c r="W9" s="14">
        <f>_xll.BDH("GILD US Equity","PX_HIGH","FQ1 2024","FQ1 2024","Currency=USD","Period=FQ","BEST_FPERIOD_OVERRIDE=FQ","FILING_STATUS=MR","Sort=A","Dates=H","DateFormat=P","Fill=—","Direction=H","UseDPDF=Y")</f>
        <v>87.864999999999995</v>
      </c>
      <c r="X9" s="14">
        <f>_xll.BDH("GILD US Equity","PX_HIGH","FQ2 2024","FQ2 2024","Currency=USD","Period=FQ","BEST_FPERIOD_OVERRIDE=FQ","FILING_STATUS=MR","Sort=A","Dates=H","DateFormat=P","Fill=—","Direction=H","UseDPDF=Y")</f>
        <v>73.22</v>
      </c>
      <c r="Y9" s="14">
        <f>_xll.BDH("GILD US Equity","PX_HIGH","FQ3 2024","FQ3 2024","Currency=USD","Period=FQ","BEST_FPERIOD_OVERRIDE=FQ","FILING_STATUS=MR","Sort=A","Dates=H","DateFormat=P","Fill=—","Direction=H","UseDPDF=Y")</f>
        <v>84.89</v>
      </c>
      <c r="Z9" s="14">
        <f>_xll.BDH("GILD US Equity","PX_HIGH","FQ4 2024","FQ4 2024","Currency=USD","Period=FQ","BEST_FPERIOD_OVERRIDE=FQ","FILING_STATUS=MR","Sort=A","Dates=H","DateFormat=P","Fill=—","Direction=H","UseDPDF=Y")</f>
        <v>98.9</v>
      </c>
      <c r="AA9" s="17">
        <v>111.970001220703</v>
      </c>
    </row>
    <row r="10" spans="1:27" x14ac:dyDescent="0.25">
      <c r="A10" s="10" t="s">
        <v>290</v>
      </c>
      <c r="B10" s="10" t="s">
        <v>252</v>
      </c>
      <c r="C10" s="14">
        <f>_xll.BDH("GILD US Equity","PX_LOW","FQ1 2019","FQ1 2019","Currency=USD","Period=FQ","BEST_FPERIOD_OVERRIDE=FQ","FILING_STATUS=MR","Sort=A","Dates=H","DateFormat=P","Fill=—","Direction=H","UseDPDF=Y")</f>
        <v>61.5</v>
      </c>
      <c r="D10" s="14">
        <f>_xll.BDH("GILD US Equity","PX_LOW","FQ2 2019","FQ2 2019","Currency=USD","Period=FQ","BEST_FPERIOD_OVERRIDE=FQ","FILING_STATUS=MR","Sort=A","Dates=H","DateFormat=P","Fill=—","Direction=H","UseDPDF=Y")</f>
        <v>61.55</v>
      </c>
      <c r="E10" s="14">
        <f>_xll.BDH("GILD US Equity","PX_LOW","FQ3 2019","FQ3 2019","Currency=USD","Period=FQ","BEST_FPERIOD_OVERRIDE=FQ","FILING_STATUS=MR","Sort=A","Dates=H","DateFormat=P","Fill=—","Direction=H","UseDPDF=Y")</f>
        <v>62.19</v>
      </c>
      <c r="F10" s="14">
        <f>_xll.BDH("GILD US Equity","PX_LOW","FQ4 2019","FQ4 2019","Currency=USD","Period=FQ","BEST_FPERIOD_OVERRIDE=FQ","FILING_STATUS=MR","Sort=A","Dates=H","DateFormat=P","Fill=—","Direction=H","UseDPDF=Y")</f>
        <v>60.89</v>
      </c>
      <c r="G10" s="14">
        <f>_xll.BDH("GILD US Equity","PX_LOW","FQ1 2020","FQ1 2020","Currency=USD","Period=FQ","BEST_FPERIOD_OVERRIDE=FQ","FILING_STATUS=MR","Sort=A","Dates=H","DateFormat=P","Fill=—","Direction=H","UseDPDF=Y")</f>
        <v>62.23</v>
      </c>
      <c r="H10" s="14">
        <f>_xll.BDH("GILD US Equity","PX_LOW","FQ2 2020","FQ2 2020","Currency=USD","Period=FQ","BEST_FPERIOD_OVERRIDE=FQ","FILING_STATUS=MR","Sort=A","Dates=H","DateFormat=P","Fill=—","Direction=H","UseDPDF=Y")</f>
        <v>71.38</v>
      </c>
      <c r="I10" s="14">
        <f>_xll.BDH("GILD US Equity","PX_LOW","FQ3 2020","FQ3 2020","Currency=USD","Period=FQ","BEST_FPERIOD_OVERRIDE=FQ","FILING_STATUS=MR","Sort=A","Dates=H","DateFormat=P","Fill=—","Direction=H","UseDPDF=Y")</f>
        <v>61.645000000000003</v>
      </c>
      <c r="J10" s="14">
        <f>_xll.BDH("GILD US Equity","PX_LOW","FQ4 2020","FQ4 2020","Currency=USD","Period=FQ","BEST_FPERIOD_OVERRIDE=FQ","FILING_STATUS=MR","Sort=A","Dates=H","DateFormat=P","Fill=—","Direction=H","UseDPDF=Y")</f>
        <v>56.56</v>
      </c>
      <c r="K10" s="14">
        <f>_xll.BDH("GILD US Equity","PX_LOW","FQ1 2021","FQ1 2021","Currency=USD","Period=FQ","BEST_FPERIOD_OVERRIDE=FQ","FILING_STATUS=MR","Sort=A","Dates=H","DateFormat=P","Fill=—","Direction=H","UseDPDF=Y")</f>
        <v>57.929099999999998</v>
      </c>
      <c r="L10" s="14">
        <f>_xll.BDH("GILD US Equity","PX_LOW","FQ2 2021","FQ2 2021","Currency=USD","Period=FQ","BEST_FPERIOD_OVERRIDE=FQ","FILING_STATUS=MR","Sort=A","Dates=H","DateFormat=P","Fill=—","Direction=H","UseDPDF=Y")</f>
        <v>61.945</v>
      </c>
      <c r="M10" s="14">
        <f>_xll.BDH("GILD US Equity","PX_LOW","FQ3 2021","FQ3 2021","Currency=USD","Period=FQ","BEST_FPERIOD_OVERRIDE=FQ","FILING_STATUS=MR","Sort=A","Dates=H","DateFormat=P","Fill=—","Direction=H","UseDPDF=Y")</f>
        <v>67.37</v>
      </c>
      <c r="N10" s="14">
        <f>_xll.BDH("GILD US Equity","PX_LOW","FQ4 2021","FQ4 2021","Currency=USD","Period=FQ","BEST_FPERIOD_OVERRIDE=FQ","FILING_STATUS=MR","Sort=A","Dates=H","DateFormat=P","Fill=—","Direction=H","UseDPDF=Y")</f>
        <v>64.055000000000007</v>
      </c>
      <c r="O10" s="14">
        <f>_xll.BDH("GILD US Equity","PX_LOW","FQ1 2022","FQ1 2022","Currency=USD","Period=FQ","BEST_FPERIOD_OVERRIDE=FQ","FILING_STATUS=MR","Sort=A","Dates=H","DateFormat=P","Fill=—","Direction=H","UseDPDF=Y")</f>
        <v>57.185000000000002</v>
      </c>
      <c r="P10" s="14">
        <f>_xll.BDH("GILD US Equity","PX_LOW","FQ2 2022","FQ2 2022","Currency=USD","Period=FQ","BEST_FPERIOD_OVERRIDE=FQ","FILING_STATUS=MR","Sort=A","Dates=H","DateFormat=P","Fill=—","Direction=H","UseDPDF=Y")</f>
        <v>57.164999999999999</v>
      </c>
      <c r="Q10" s="14">
        <f>_xll.BDH("GILD US Equity","PX_LOW","FQ3 2022","FQ3 2022","Currency=USD","Period=FQ","BEST_FPERIOD_OVERRIDE=FQ","FILING_STATUS=MR","Sort=A","Dates=H","DateFormat=P","Fill=—","Direction=H","UseDPDF=Y")</f>
        <v>59.27</v>
      </c>
      <c r="R10" s="14">
        <f>_xll.BDH("GILD US Equity","PX_LOW","FQ4 2022","FQ4 2022","Currency=USD","Period=FQ","BEST_FPERIOD_OVERRIDE=FQ","FILING_STATUS=MR","Sort=A","Dates=H","DateFormat=P","Fill=—","Direction=H","UseDPDF=Y")</f>
        <v>61.445</v>
      </c>
      <c r="S10" s="14">
        <f>_xll.BDH("GILD US Equity","PX_LOW","FQ1 2023","FQ1 2023","Currency=USD","Period=FQ","BEST_FPERIOD_OVERRIDE=FQ","FILING_STATUS=MR","Sort=A","Dates=H","DateFormat=P","Fill=—","Direction=H","UseDPDF=Y")</f>
        <v>76.525000000000006</v>
      </c>
      <c r="T10" s="14">
        <f>_xll.BDH("GILD US Equity","PX_LOW","FQ2 2023","FQ2 2023","Currency=USD","Period=FQ","BEST_FPERIOD_OVERRIDE=FQ","FILING_STATUS=MR","Sort=A","Dates=H","DateFormat=P","Fill=—","Direction=H","UseDPDF=Y")</f>
        <v>74.959999999999994</v>
      </c>
      <c r="U10" s="14">
        <f>_xll.BDH("GILD US Equity","PX_LOW","FQ3 2023","FQ3 2023","Currency=USD","Period=FQ","BEST_FPERIOD_OVERRIDE=FQ","FILING_STATUS=MR","Sort=A","Dates=H","DateFormat=P","Fill=—","Direction=H","UseDPDF=Y")</f>
        <v>73.25</v>
      </c>
      <c r="V10" s="14">
        <f>_xll.BDH("GILD US Equity","PX_LOW","FQ4 2023","FQ4 2023","Currency=USD","Period=FQ","BEST_FPERIOD_OVERRIDE=FQ","FILING_STATUS=MR","Sort=A","Dates=H","DateFormat=P","Fill=—","Direction=H","UseDPDF=Y")</f>
        <v>72.865899999999996</v>
      </c>
      <c r="W10" s="14">
        <f>_xll.BDH("GILD US Equity","PX_LOW","FQ1 2024","FQ1 2024","Currency=USD","Period=FQ","BEST_FPERIOD_OVERRIDE=FQ","FILING_STATUS=MR","Sort=A","Dates=H","DateFormat=P","Fill=—","Direction=H","UseDPDF=Y")</f>
        <v>71.37</v>
      </c>
      <c r="X10" s="14">
        <f>_xll.BDH("GILD US Equity","PX_LOW","FQ2 2024","FQ2 2024","Currency=USD","Period=FQ","BEST_FPERIOD_OVERRIDE=FQ","FILING_STATUS=MR","Sort=A","Dates=H","DateFormat=P","Fill=—","Direction=H","UseDPDF=Y")</f>
        <v>62.07</v>
      </c>
      <c r="Y10" s="14">
        <f>_xll.BDH("GILD US Equity","PX_LOW","FQ3 2024","FQ3 2024","Currency=USD","Period=FQ","BEST_FPERIOD_OVERRIDE=FQ","FILING_STATUS=MR","Sort=A","Dates=H","DateFormat=P","Fill=—","Direction=H","UseDPDF=Y")</f>
        <v>66.010000000000005</v>
      </c>
      <c r="Z10" s="14">
        <f>_xll.BDH("GILD US Equity","PX_LOW","FQ4 2024","FQ4 2024","Currency=USD","Period=FQ","BEST_FPERIOD_OVERRIDE=FQ","FILING_STATUS=MR","Sort=A","Dates=H","DateFormat=P","Fill=—","Direction=H","UseDPDF=Y")</f>
        <v>82.82</v>
      </c>
      <c r="AA10" s="17">
        <v>109.64499664306599</v>
      </c>
    </row>
    <row r="11" spans="1:27" x14ac:dyDescent="0.25">
      <c r="A11" s="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21"/>
    </row>
    <row r="12" spans="1:27" x14ac:dyDescent="0.25">
      <c r="A12" s="6" t="s">
        <v>60</v>
      </c>
      <c r="B12" s="6" t="s">
        <v>61</v>
      </c>
      <c r="C12" s="19">
        <f>_xll.BDH("GILD US Equity","HISTORICAL_MARKET_CAP","FQ1 2019","FQ1 2019","Currency=USD","Period=FQ","BEST_FPERIOD_OVERRIDE=FQ","FILING_STATUS=MR","SCALING_FORMAT=MLN","Sort=A","Dates=H","DateFormat=P","Fill=—","Direction=H","UseDPDF=Y")</f>
        <v>82822.740000000005</v>
      </c>
      <c r="D12" s="19">
        <f>_xll.BDH("GILD US Equity","HISTORICAL_MARKET_CAP","FQ2 2019","FQ2 2019","Currency=USD","Period=FQ","BEST_FPERIOD_OVERRIDE=FQ","FILING_STATUS=MR","SCALING_FORMAT=MLN","Sort=A","Dates=H","DateFormat=P","Fill=—","Direction=H","UseDPDF=Y")</f>
        <v>85598.52</v>
      </c>
      <c r="E12" s="19">
        <f>_xll.BDH("GILD US Equity","HISTORICAL_MARKET_CAP","FQ3 2019","FQ3 2019","Currency=USD","Period=FQ","BEST_FPERIOD_OVERRIDE=FQ","FILING_STATUS=MR","SCALING_FORMAT=MLN","Sort=A","Dates=H","DateFormat=P","Fill=—","Direction=H","UseDPDF=Y")</f>
        <v>80239.08</v>
      </c>
      <c r="F12" s="19">
        <f>_xll.BDH("GILD US Equity","HISTORICAL_MARKET_CAP","FQ4 2019","FQ4 2019","Currency=USD","Period=FQ","BEST_FPERIOD_OVERRIDE=FQ","FILING_STATUS=MR","SCALING_FORMAT=MLN","Sort=A","Dates=H","DateFormat=P","Fill=—","Direction=H","UseDPDF=Y")</f>
        <v>82264.679999999993</v>
      </c>
      <c r="G12" s="19">
        <f>_xll.BDH("GILD US Equity","HISTORICAL_MARKET_CAP","FQ1 2020","FQ1 2020","Currency=USD","Period=FQ","BEST_FPERIOD_OVERRIDE=FQ","FILING_STATUS=MR","SCALING_FORMAT=MLN","Sort=A","Dates=H","DateFormat=P","Fill=—","Direction=H","UseDPDF=Y")</f>
        <v>93749.04</v>
      </c>
      <c r="H12" s="19">
        <f>_xll.BDH("GILD US Equity","HISTORICAL_MARKET_CAP","FQ2 2020","FQ2 2020","Currency=USD","Period=FQ","BEST_FPERIOD_OVERRIDE=FQ","FILING_STATUS=MR","SCALING_FORMAT=MLN","Sort=A","Dates=H","DateFormat=P","Fill=—","Direction=H","UseDPDF=Y")</f>
        <v>96482.76</v>
      </c>
      <c r="I12" s="19">
        <f>_xll.BDH("GILD US Equity","HISTORICAL_MARKET_CAP","FQ3 2020","FQ3 2020","Currency=USD","Period=FQ","BEST_FPERIOD_OVERRIDE=FQ","FILING_STATUS=MR","SCALING_FORMAT=MLN","Sort=A","Dates=H","DateFormat=P","Fill=—","Direction=H","UseDPDF=Y")</f>
        <v>79177.070000000007</v>
      </c>
      <c r="J12" s="19">
        <f>_xll.BDH("GILD US Equity","HISTORICAL_MARKET_CAP","FQ4 2020","FQ4 2020","Currency=USD","Period=FQ","BEST_FPERIOD_OVERRIDE=FQ","FILING_STATUS=MR","SCALING_FORMAT=MLN","Sort=A","Dates=H","DateFormat=P","Fill=—","Direction=H","UseDPDF=Y")</f>
        <v>73058.039999999994</v>
      </c>
      <c r="K12" s="19">
        <f>_xll.BDH("GILD US Equity","HISTORICAL_MARKET_CAP","FQ1 2021","FQ1 2021","Currency=USD","Period=FQ","BEST_FPERIOD_OVERRIDE=FQ","FILING_STATUS=MR","SCALING_FORMAT=MLN","Sort=A","Dates=H","DateFormat=P","Fill=—","Direction=H","UseDPDF=Y")</f>
        <v>81046.02</v>
      </c>
      <c r="L12" s="19">
        <f>_xll.BDH("GILD US Equity","HISTORICAL_MARKET_CAP","FQ2 2021","FQ2 2021","Currency=USD","Period=FQ","BEST_FPERIOD_OVERRIDE=FQ","FILING_STATUS=MR","SCALING_FORMAT=MLN","Sort=A","Dates=H","DateFormat=P","Fill=—","Direction=H","UseDPDF=Y")</f>
        <v>86350.44</v>
      </c>
      <c r="M12" s="19">
        <f>_xll.BDH("GILD US Equity","HISTORICAL_MARKET_CAP","FQ3 2021","FQ3 2021","Currency=USD","Period=FQ","BEST_FPERIOD_OVERRIDE=FQ","FILING_STATUS=MR","SCALING_FORMAT=MLN","Sort=A","Dates=H","DateFormat=P","Fill=—","Direction=H","UseDPDF=Y")</f>
        <v>87661.75</v>
      </c>
      <c r="N12" s="19">
        <f>_xll.BDH("GILD US Equity","HISTORICAL_MARKET_CAP","FQ4 2021","FQ4 2021","Currency=USD","Period=FQ","BEST_FPERIOD_OVERRIDE=FQ","FILING_STATUS=MR","SCALING_FORMAT=MLN","Sort=A","Dates=H","DateFormat=P","Fill=—","Direction=H","UseDPDF=Y")</f>
        <v>91052.94</v>
      </c>
      <c r="O12" s="19">
        <f>_xll.BDH("GILD US Equity","HISTORICAL_MARKET_CAP","FQ1 2022","FQ1 2022","Currency=USD","Period=FQ","BEST_FPERIOD_OVERRIDE=FQ","FILING_STATUS=MR","SCALING_FORMAT=MLN","Sort=A","Dates=H","DateFormat=P","Fill=—","Direction=H","UseDPDF=Y")</f>
        <v>74609.75</v>
      </c>
      <c r="P12" s="19">
        <f>_xll.BDH("GILD US Equity","HISTORICAL_MARKET_CAP","FQ2 2022","FQ2 2022","Currency=USD","Period=FQ","BEST_FPERIOD_OVERRIDE=FQ","FILING_STATUS=MR","SCALING_FORMAT=MLN","Sort=A","Dates=H","DateFormat=P","Fill=—","Direction=H","UseDPDF=Y")</f>
        <v>77509.740000000005</v>
      </c>
      <c r="Q12" s="19">
        <f>_xll.BDH("GILD US Equity","HISTORICAL_MARKET_CAP","FQ3 2022","FQ3 2022","Currency=USD","Period=FQ","BEST_FPERIOD_OVERRIDE=FQ","FILING_STATUS=MR","SCALING_FORMAT=MLN","Sort=A","Dates=H","DateFormat=P","Fill=—","Direction=H","UseDPDF=Y")</f>
        <v>77359.259999999995</v>
      </c>
      <c r="R12" s="19">
        <f>_xll.BDH("GILD US Equity","HISTORICAL_MARKET_CAP","FQ4 2022","FQ4 2022","Currency=USD","Period=FQ","BEST_FPERIOD_OVERRIDE=FQ","FILING_STATUS=MR","SCALING_FORMAT=MLN","Sort=A","Dates=H","DateFormat=P","Fill=—","Direction=H","UseDPDF=Y")</f>
        <v>107054.95</v>
      </c>
      <c r="S12" s="19">
        <f>_xll.BDH("GILD US Equity","HISTORICAL_MARKET_CAP","FQ1 2023","FQ1 2023","Currency=USD","Period=FQ","BEST_FPERIOD_OVERRIDE=FQ","FILING_STATUS=MR","SCALING_FORMAT=MLN","Sort=A","Dates=H","DateFormat=P","Fill=—","Direction=H","UseDPDF=Y")</f>
        <v>103546.56</v>
      </c>
      <c r="T12" s="19">
        <f>_xll.BDH("GILD US Equity","HISTORICAL_MARKET_CAP","FQ2 2023","FQ2 2023","Currency=USD","Period=FQ","BEST_FPERIOD_OVERRIDE=FQ","FILING_STATUS=MR","SCALING_FORMAT=MLN","Sort=A","Dates=H","DateFormat=P","Fill=—","Direction=H","UseDPDF=Y")</f>
        <v>96106.29</v>
      </c>
      <c r="U12" s="19">
        <f>_xll.BDH("GILD US Equity","HISTORICAL_MARKET_CAP","FQ3 2023","FQ3 2023","Currency=USD","Period=FQ","BEST_FPERIOD_OVERRIDE=FQ","FILING_STATUS=MR","SCALING_FORMAT=MLN","Sort=A","Dates=H","DateFormat=P","Fill=—","Direction=H","UseDPDF=Y")</f>
        <v>93450.18</v>
      </c>
      <c r="V12" s="19">
        <f>_xll.BDH("GILD US Equity","HISTORICAL_MARKET_CAP","FQ4 2023","FQ4 2023","Currency=USD","Period=FQ","BEST_FPERIOD_OVERRIDE=FQ","FILING_STATUS=MR","SCALING_FORMAT=MLN","Sort=A","Dates=H","DateFormat=P","Fill=—","Direction=H","UseDPDF=Y")</f>
        <v>100938.46</v>
      </c>
      <c r="W12" s="19">
        <f>_xll.BDH("GILD US Equity","HISTORICAL_MARKET_CAP","FQ1 2024","FQ1 2024","Currency=USD","Period=FQ","BEST_FPERIOD_OVERRIDE=FQ","FILING_STATUS=MR","SCALING_FORMAT=MLN","Sort=A","Dates=H","DateFormat=P","Fill=—","Direction=H","UseDPDF=Y")</f>
        <v>91269.5</v>
      </c>
      <c r="X12" s="19">
        <f>_xll.BDH("GILD US Equity","HISTORICAL_MARKET_CAP","FQ2 2024","FQ2 2024","Currency=USD","Period=FQ","BEST_FPERIOD_OVERRIDE=FQ","FILING_STATUS=MR","SCALING_FORMAT=MLN","Sort=A","Dates=H","DateFormat=P","Fill=—","Direction=H","UseDPDF=Y")</f>
        <v>85488.06</v>
      </c>
      <c r="Y12" s="19">
        <f>_xll.BDH("GILD US Equity","HISTORICAL_MARKET_CAP","FQ3 2024","FQ3 2024","Currency=USD","Period=FQ","BEST_FPERIOD_OVERRIDE=FQ","FILING_STATUS=MR","SCALING_FORMAT=MLN","Sort=A","Dates=H","DateFormat=P","Fill=—","Direction=H","UseDPDF=Y")</f>
        <v>104464.64</v>
      </c>
      <c r="Z12" s="19">
        <f>_xll.BDH("GILD US Equity","HISTORICAL_MARKET_CAP","FQ4 2024","FQ4 2024","Currency=USD","Period=FQ","BEST_FPERIOD_OVERRIDE=FQ","FILING_STATUS=MR","SCALING_FORMAT=MLN","Sort=A","Dates=H","DateFormat=P","Fill=—","Direction=H","UseDPDF=Y")</f>
        <v>115093.02</v>
      </c>
      <c r="AA12" s="22">
        <v>139146.94211775</v>
      </c>
    </row>
    <row r="13" spans="1:27" x14ac:dyDescent="0.25">
      <c r="A13" s="10" t="s">
        <v>291</v>
      </c>
      <c r="B13" s="10" t="s">
        <v>292</v>
      </c>
      <c r="C13" s="14">
        <f>_xll.BDH("GILD US Equity","EQY_SH_OUT","FQ1 2019","FQ1 2019","Currency=USD","Period=FQ","BEST_FPERIOD_OVERRIDE=FQ","FILING_STATUS=MR","Sort=A","Dates=H","DateFormat=P","Fill=—","Direction=H","UseDPDF=Y")</f>
        <v>1274.896</v>
      </c>
      <c r="D13" s="14">
        <f>_xll.BDH("GILD US Equity","EQY_SH_OUT","FQ2 2019","FQ2 2019","Currency=USD","Period=FQ","BEST_FPERIOD_OVERRIDE=FQ","FILING_STATUS=MR","Sort=A","Dates=H","DateFormat=P","Fill=—","Direction=H","UseDPDF=Y")</f>
        <v>1271.55467</v>
      </c>
      <c r="E13" s="14">
        <f>_xll.BDH("GILD US Equity","EQY_SH_OUT","FQ3 2019","FQ3 2019","Currency=USD","Period=FQ","BEST_FPERIOD_OVERRIDE=FQ","FILING_STATUS=MR","Sort=A","Dates=H","DateFormat=P","Fill=—","Direction=H","UseDPDF=Y")</f>
        <v>1266.4554800000001</v>
      </c>
      <c r="F13" s="14">
        <f>_xll.BDH("GILD US Equity","EQY_SH_OUT","FQ4 2019","FQ4 2019","Currency=USD","Period=FQ","BEST_FPERIOD_OVERRIDE=FQ","FILING_STATUS=MR","Sort=A","Dates=H","DateFormat=P","Fill=—","Direction=H","UseDPDF=Y")</f>
        <v>1265.14561</v>
      </c>
      <c r="G13" s="14">
        <f>_xll.BDH("GILD US Equity","EQY_SH_OUT","FQ1 2020","FQ1 2020","Currency=USD","Period=FQ","BEST_FPERIOD_OVERRIDE=FQ","FILING_STATUS=MR","Sort=A","Dates=H","DateFormat=P","Fill=—","Direction=H","UseDPDF=Y")</f>
        <v>1259.0151699999999</v>
      </c>
      <c r="H13" s="14">
        <f>_xll.BDH("GILD US Equity","EQY_SH_OUT","FQ2 2020","FQ2 2020","Currency=USD","Period=FQ","BEST_FPERIOD_OVERRIDE=FQ","FILING_STATUS=MR","Sort=A","Dates=H","DateFormat=P","Fill=—","Direction=H","UseDPDF=Y")</f>
        <v>1254.3733999999999</v>
      </c>
      <c r="I13" s="14">
        <f>_xll.BDH("GILD US Equity","EQY_SH_OUT","FQ3 2020","FQ3 2020","Currency=USD","Period=FQ","BEST_FPERIOD_OVERRIDE=FQ","FILING_STATUS=MR","Sort=A","Dates=H","DateFormat=P","Fill=—","Direction=H","UseDPDF=Y")</f>
        <v>1253.7243699999999</v>
      </c>
      <c r="J13" s="14">
        <f>_xll.BDH("GILD US Equity","EQY_SH_OUT","FQ4 2020","FQ4 2020","Currency=USD","Period=FQ","BEST_FPERIOD_OVERRIDE=FQ","FILING_STATUS=MR","Sort=A","Dates=H","DateFormat=P","Fill=—","Direction=H","UseDPDF=Y")</f>
        <v>1253.5281500000001</v>
      </c>
      <c r="K13" s="14">
        <f>_xll.BDH("GILD US Equity","EQY_SH_OUT","FQ1 2021","FQ1 2021","Currency=USD","Period=FQ","BEST_FPERIOD_OVERRIDE=FQ","FILING_STATUS=MR","Sort=A","Dates=H","DateFormat=P","Fill=—","Direction=H","UseDPDF=Y")</f>
        <v>1256.6036099999999</v>
      </c>
      <c r="L13" s="14">
        <f>_xll.BDH("GILD US Equity","EQY_SH_OUT","FQ2 2021","FQ2 2021","Currency=USD","Period=FQ","BEST_FPERIOD_OVERRIDE=FQ","FILING_STATUS=MR","Sort=A","Dates=H","DateFormat=P","Fill=—","Direction=H","UseDPDF=Y")</f>
        <v>1254.1781699999999</v>
      </c>
      <c r="M13" s="14">
        <f>_xll.BDH("GILD US Equity","EQY_SH_OUT","FQ3 2021","FQ3 2021","Currency=USD","Period=FQ","BEST_FPERIOD_OVERRIDE=FQ","FILING_STATUS=MR","Sort=A","Dates=H","DateFormat=P","Fill=—","Direction=H","UseDPDF=Y")</f>
        <v>1253.80944</v>
      </c>
      <c r="N13" s="14">
        <f>_xll.BDH("GILD US Equity","EQY_SH_OUT","FQ4 2021","FQ4 2021","Currency=USD","Period=FQ","BEST_FPERIOD_OVERRIDE=FQ","FILING_STATUS=MR","Sort=A","Dates=H","DateFormat=P","Fill=—","Direction=H","UseDPDF=Y")</f>
        <v>1254.3835200000001</v>
      </c>
      <c r="O13" s="14">
        <f>_xll.BDH("GILD US Equity","EQY_SH_OUT","FQ1 2022","FQ1 2022","Currency=USD","Period=FQ","BEST_FPERIOD_OVERRIDE=FQ","FILING_STATUS=MR","Sort=A","Dates=H","DateFormat=P","Fill=—","Direction=H","UseDPDF=Y")</f>
        <v>1253.88672</v>
      </c>
      <c r="P13" s="14">
        <f>_xll.BDH("GILD US Equity","EQY_SH_OUT","FQ2 2022","FQ2 2022","Currency=USD","Period=FQ","BEST_FPERIOD_OVERRIDE=FQ","FILING_STATUS=MR","Sort=A","Dates=H","DateFormat=P","Fill=—","Direction=H","UseDPDF=Y")</f>
        <v>1254.3134500000001</v>
      </c>
      <c r="Q13" s="14">
        <f>_xll.BDH("GILD US Equity","EQY_SH_OUT","FQ3 2022","FQ3 2022","Currency=USD","Period=FQ","BEST_FPERIOD_OVERRIDE=FQ","FILING_STATUS=MR","Sort=A","Dates=H","DateFormat=P","Fill=—","Direction=H","UseDPDF=Y")</f>
        <v>1253.3673899999999</v>
      </c>
      <c r="R13" s="14">
        <f>_xll.BDH("GILD US Equity","EQY_SH_OUT","FQ4 2022","FQ4 2022","Currency=USD","Period=FQ","BEST_FPERIOD_OVERRIDE=FQ","FILING_STATUS=MR","Sort=A","Dates=H","DateFormat=P","Fill=—","Direction=H","UseDPDF=Y")</f>
        <v>1254.2438500000001</v>
      </c>
      <c r="S13" s="14">
        <f>_xll.BDH("GILD US Equity","EQY_SH_OUT","FQ1 2023","FQ1 2023","Currency=USD","Period=FQ","BEST_FPERIOD_OVERRIDE=FQ","FILING_STATUS=MR","Sort=A","Dates=H","DateFormat=P","Fill=—","Direction=H","UseDPDF=Y")</f>
        <v>1248.8160499999999</v>
      </c>
      <c r="T13" s="14">
        <f>_xll.BDH("GILD US Equity","EQY_SH_OUT","FQ2 2023","FQ2 2023","Currency=USD","Period=FQ","BEST_FPERIOD_OVERRIDE=FQ","FILING_STATUS=MR","Sort=A","Dates=H","DateFormat=P","Fill=—","Direction=H","UseDPDF=Y")</f>
        <v>1248.8160499999999</v>
      </c>
      <c r="U13" s="14">
        <f>_xll.BDH("GILD US Equity","EQY_SH_OUT","FQ3 2023","FQ3 2023","Currency=USD","Period=FQ","BEST_FPERIOD_OVERRIDE=FQ","FILING_STATUS=MR","Sort=A","Dates=H","DateFormat=P","Fill=—","Direction=H","UseDPDF=Y")</f>
        <v>1246.0143499999999</v>
      </c>
      <c r="V13" s="14">
        <f>_xll.BDH("GILD US Equity","EQY_SH_OUT","FQ4 2023","FQ4 2023","Currency=USD","Period=FQ","BEST_FPERIOD_OVERRIDE=FQ","FILING_STATUS=MR","Sort=A","Dates=H","DateFormat=P","Fill=—","Direction=H","UseDPDF=Y")</f>
        <v>1246.0418999999999</v>
      </c>
      <c r="W13" s="14">
        <f>_xll.BDH("GILD US Equity","EQY_SH_OUT","FQ1 2024","FQ1 2024","Currency=USD","Period=FQ","BEST_FPERIOD_OVERRIDE=FQ","FILING_STATUS=MR","Sort=A","Dates=H","DateFormat=P","Fill=—","Direction=H","UseDPDF=Y")</f>
        <v>1245.0772199999999</v>
      </c>
      <c r="X13" s="14">
        <f>_xll.BDH("GILD US Equity","EQY_SH_OUT","FQ2 2024","FQ2 2024","Currency=USD","Period=FQ","BEST_FPERIOD_OVERRIDE=FQ","FILING_STATUS=MR","Sort=A","Dates=H","DateFormat=P","Fill=—","Direction=H","UseDPDF=Y")</f>
        <v>1245.85321</v>
      </c>
      <c r="Y13" s="14">
        <f>_xll.BDH("GILD US Equity","EQY_SH_OUT","FQ3 2024","FQ3 2024","Currency=USD","Period=FQ","BEST_FPERIOD_OVERRIDE=FQ","FILING_STATUS=MR","Sort=A","Dates=H","DateFormat=P","Fill=—","Direction=H","UseDPDF=Y")</f>
        <v>1244.99208</v>
      </c>
      <c r="Z13" s="14">
        <f>_xll.BDH("GILD US Equity","EQY_SH_OUT","FQ4 2024","FQ4 2024","Currency=USD","Period=FQ","BEST_FPERIOD_OVERRIDE=FQ","FILING_STATUS=MR","Sort=A","Dates=H","DateFormat=P","Fill=—","Direction=H","UseDPDF=Y")</f>
        <v>1246.26586</v>
      </c>
      <c r="AA13" s="17">
        <v>1245.163</v>
      </c>
    </row>
    <row r="14" spans="1:27" x14ac:dyDescent="0.25">
      <c r="A14" s="10" t="s">
        <v>293</v>
      </c>
      <c r="B14" s="10" t="s">
        <v>294</v>
      </c>
      <c r="C14" s="14">
        <f>_xll.BDH("GILD US Equity","EQY_FLOAT","FQ1 2019","FQ1 2019","Currency=USD","Period=FQ","BEST_FPERIOD_OVERRIDE=FQ","FILING_STATUS=MR","Sort=A","Dates=H","DateFormat=P","Fill=—","Direction=H","UseDPDF=Y")</f>
        <v>1267.29</v>
      </c>
      <c r="D14" s="14">
        <f>_xll.BDH("GILD US Equity","EQY_FLOAT","FQ2 2019","FQ2 2019","Currency=USD","Period=FQ","BEST_FPERIOD_OVERRIDE=FQ","FILING_STATUS=MR","Sort=A","Dates=H","DateFormat=P","Fill=—","Direction=H","UseDPDF=Y")</f>
        <v>1263.9259999999999</v>
      </c>
      <c r="E14" s="14">
        <f>_xll.BDH("GILD US Equity","EQY_FLOAT","FQ3 2019","FQ3 2019","Currency=USD","Period=FQ","BEST_FPERIOD_OVERRIDE=FQ","FILING_STATUS=MR","Sort=A","Dates=H","DateFormat=P","Fill=—","Direction=H","UseDPDF=Y")</f>
        <v>1261.3579999999999</v>
      </c>
      <c r="F14" s="14">
        <f>_xll.BDH("GILD US Equity","EQY_FLOAT","FQ4 2019","FQ4 2019","Currency=USD","Period=FQ","BEST_FPERIOD_OVERRIDE=FQ","FILING_STATUS=MR","Sort=A","Dates=H","DateFormat=P","Fill=—","Direction=H","UseDPDF=Y")</f>
        <v>1260.0319999999999</v>
      </c>
      <c r="G14" s="14">
        <f>_xll.BDH("GILD US Equity","EQY_FLOAT","FQ1 2020","FQ1 2020","Currency=USD","Period=FQ","BEST_FPERIOD_OVERRIDE=FQ","FILING_STATUS=MR","Sort=A","Dates=H","DateFormat=P","Fill=—","Direction=H","UseDPDF=Y")</f>
        <v>1253.816</v>
      </c>
      <c r="H14" s="14">
        <f>_xll.BDH("GILD US Equity","EQY_FLOAT","FQ2 2020","FQ2 2020","Currency=USD","Period=FQ","BEST_FPERIOD_OVERRIDE=FQ","FILING_STATUS=MR","Sort=A","Dates=H","DateFormat=P","Fill=—","Direction=H","UseDPDF=Y")</f>
        <v>1249.1759999999999</v>
      </c>
      <c r="I14" s="14">
        <f>_xll.BDH("GILD US Equity","EQY_FLOAT","FQ3 2020","FQ3 2020","Currency=USD","Period=FQ","BEST_FPERIOD_OVERRIDE=FQ","FILING_STATUS=MR","Sort=A","Dates=H","DateFormat=P","Fill=—","Direction=H","UseDPDF=Y")</f>
        <v>1252.981</v>
      </c>
      <c r="J14" s="14">
        <f>_xll.BDH("GILD US Equity","EQY_FLOAT","FQ4 2020","FQ4 2020","Currency=USD","Period=FQ","BEST_FPERIOD_OVERRIDE=FQ","FILING_STATUS=MR","Sort=A","Dates=H","DateFormat=P","Fill=—","Direction=H","UseDPDF=Y")</f>
        <v>1252.799</v>
      </c>
      <c r="K14" s="14">
        <f>_xll.BDH("GILD US Equity","EQY_FLOAT","FQ1 2021","FQ1 2021","Currency=USD","Period=FQ","BEST_FPERIOD_OVERRIDE=FQ","FILING_STATUS=MR","Sort=A","Dates=H","DateFormat=P","Fill=—","Direction=H","UseDPDF=Y")</f>
        <v>1255.701</v>
      </c>
      <c r="L14" s="14">
        <f>_xll.BDH("GILD US Equity","EQY_FLOAT","FQ2 2021","FQ2 2021","Currency=USD","Period=FQ","BEST_FPERIOD_OVERRIDE=FQ","FILING_STATUS=MR","Sort=A","Dates=H","DateFormat=P","Fill=—","Direction=H","UseDPDF=Y")</f>
        <v>1253.511</v>
      </c>
      <c r="M14" s="14">
        <f>_xll.BDH("GILD US Equity","EQY_FLOAT","FQ3 2021","FQ3 2021","Currency=USD","Period=FQ","BEST_FPERIOD_OVERRIDE=FQ","FILING_STATUS=MR","Sort=A","Dates=H","DateFormat=P","Fill=—","Direction=H","UseDPDF=Y")</f>
        <v>1253.136</v>
      </c>
      <c r="N14" s="14">
        <f>_xll.BDH("GILD US Equity","EQY_FLOAT","FQ4 2021","FQ4 2021","Currency=USD","Period=FQ","BEST_FPERIOD_OVERRIDE=FQ","FILING_STATUS=MR","Sort=A","Dates=H","DateFormat=P","Fill=—","Direction=H","UseDPDF=Y")</f>
        <v>1253.704</v>
      </c>
      <c r="O14" s="14">
        <f>_xll.BDH("GILD US Equity","EQY_FLOAT","FQ1 2022","FQ1 2022","Currency=USD","Period=FQ","BEST_FPERIOD_OVERRIDE=FQ","FILING_STATUS=MR","Sort=A","Dates=H","DateFormat=P","Fill=—","Direction=H","UseDPDF=Y")</f>
        <v>1253.202</v>
      </c>
      <c r="P14" s="14">
        <f>_xll.BDH("GILD US Equity","EQY_FLOAT","FQ2 2022","FQ2 2022","Currency=USD","Period=FQ","BEST_FPERIOD_OVERRIDE=FQ","FILING_STATUS=MR","Sort=A","Dates=H","DateFormat=P","Fill=—","Direction=H","UseDPDF=Y")</f>
        <v>1253.576</v>
      </c>
      <c r="Q14" s="14">
        <f>_xll.BDH("GILD US Equity","EQY_FLOAT","FQ3 2022","FQ3 2022","Currency=USD","Period=FQ","BEST_FPERIOD_OVERRIDE=FQ","FILING_STATUS=MR","Sort=A","Dates=H","DateFormat=P","Fill=—","Direction=H","UseDPDF=Y")</f>
        <v>1252.6210000000001</v>
      </c>
      <c r="R14" s="14">
        <f>_xll.BDH("GILD US Equity","EQY_FLOAT","FQ4 2022","FQ4 2022","Currency=USD","Period=FQ","BEST_FPERIOD_OVERRIDE=FQ","FILING_STATUS=MR","Sort=A","Dates=H","DateFormat=P","Fill=—","Direction=H","UseDPDF=Y")</f>
        <v>1253.49</v>
      </c>
      <c r="S14" s="14">
        <f>_xll.BDH("GILD US Equity","EQY_FLOAT","FQ1 2023","FQ1 2023","Currency=USD","Period=FQ","BEST_FPERIOD_OVERRIDE=FQ","FILING_STATUS=MR","Sort=A","Dates=H","DateFormat=P","Fill=—","Direction=H","UseDPDF=Y")</f>
        <v>1247.93</v>
      </c>
      <c r="T14" s="14">
        <f>_xll.BDH("GILD US Equity","EQY_FLOAT","FQ2 2023","FQ2 2023","Currency=USD","Period=FQ","BEST_FPERIOD_OVERRIDE=FQ","FILING_STATUS=MR","Sort=A","Dates=H","DateFormat=P","Fill=—","Direction=H","UseDPDF=Y")</f>
        <v>1248.002</v>
      </c>
      <c r="U14" s="14">
        <f>_xll.BDH("GILD US Equity","EQY_FLOAT","FQ3 2023","FQ3 2023","Currency=USD","Period=FQ","BEST_FPERIOD_OVERRIDE=FQ","FILING_STATUS=MR","Sort=A","Dates=H","DateFormat=P","Fill=—","Direction=H","UseDPDF=Y")</f>
        <v>1245.107</v>
      </c>
      <c r="V14" s="14">
        <f>_xll.BDH("GILD US Equity","EQY_FLOAT","FQ4 2023","FQ4 2023","Currency=USD","Period=FQ","BEST_FPERIOD_OVERRIDE=FQ","FILING_STATUS=MR","Sort=A","Dates=H","DateFormat=P","Fill=—","Direction=H","UseDPDF=Y")</f>
        <v>1245.1300000000001</v>
      </c>
      <c r="W14" s="14">
        <f>_xll.BDH("GILD US Equity","EQY_FLOAT","FQ1 2024","FQ1 2024","Currency=USD","Period=FQ","BEST_FPERIOD_OVERRIDE=FQ","FILING_STATUS=MR","Sort=A","Dates=H","DateFormat=P","Fill=—","Direction=H","UseDPDF=Y")</f>
        <v>1243.9749999999999</v>
      </c>
      <c r="X14" s="14">
        <f>_xll.BDH("GILD US Equity","EQY_FLOAT","FQ2 2024","FQ2 2024","Currency=USD","Period=FQ","BEST_FPERIOD_OVERRIDE=FQ","FILING_STATUS=MR","Sort=A","Dates=H","DateFormat=P","Fill=—","Direction=H","UseDPDF=Y")</f>
        <v>1244.729</v>
      </c>
      <c r="Y14" s="14">
        <f>_xll.BDH("GILD US Equity","EQY_FLOAT","FQ3 2024","FQ3 2024","Currency=USD","Period=FQ","BEST_FPERIOD_OVERRIDE=FQ","FILING_STATUS=MR","Sort=A","Dates=H","DateFormat=P","Fill=—","Direction=H","UseDPDF=Y")</f>
        <v>1243.8900000000001</v>
      </c>
      <c r="Z14" s="14">
        <f>_xll.BDH("GILD US Equity","EQY_FLOAT","FQ4 2024","FQ4 2024","Currency=USD","Period=FQ","BEST_FPERIOD_OVERRIDE=FQ","FILING_STATUS=MR","Sort=A","Dates=H","DateFormat=P","Fill=—","Direction=H","UseDPDF=Y")</f>
        <v>1245.182</v>
      </c>
      <c r="AA14" s="17">
        <v>1243.9010000000001</v>
      </c>
    </row>
    <row r="15" spans="1:27" x14ac:dyDescent="0.25">
      <c r="A15" s="7" t="s">
        <v>90</v>
      </c>
      <c r="B15" s="7"/>
      <c r="C15" s="7" t="s">
        <v>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5"/>
  <sheetViews>
    <sheetView workbookViewId="0">
      <selection activeCell="K15" sqref="K15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295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  <c r="O4" s="4" t="s">
        <v>22</v>
      </c>
      <c r="P4" s="4" t="s">
        <v>23</v>
      </c>
      <c r="Q4" s="4" t="s">
        <v>24</v>
      </c>
      <c r="R4" s="4" t="s">
        <v>25</v>
      </c>
      <c r="S4" s="4" t="s">
        <v>26</v>
      </c>
      <c r="T4" s="4" t="s">
        <v>27</v>
      </c>
      <c r="U4" s="4" t="s">
        <v>28</v>
      </c>
      <c r="V4" s="4" t="s">
        <v>29</v>
      </c>
      <c r="W4" s="4" t="s">
        <v>30</v>
      </c>
      <c r="X4" s="4" t="s">
        <v>31</v>
      </c>
      <c r="Y4" s="4" t="s">
        <v>164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36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41</v>
      </c>
      <c r="I5" s="5" t="s">
        <v>42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5" t="s">
        <v>48</v>
      </c>
      <c r="P5" s="5" t="s">
        <v>49</v>
      </c>
      <c r="Q5" s="5" t="s">
        <v>50</v>
      </c>
      <c r="R5" s="5" t="s">
        <v>51</v>
      </c>
      <c r="S5" s="5" t="s">
        <v>52</v>
      </c>
      <c r="T5" s="5" t="s">
        <v>53</v>
      </c>
      <c r="U5" s="5" t="s">
        <v>54</v>
      </c>
      <c r="V5" s="5" t="s">
        <v>55</v>
      </c>
      <c r="W5" s="5" t="s">
        <v>56</v>
      </c>
      <c r="X5" s="5" t="s">
        <v>57</v>
      </c>
      <c r="Y5" s="5" t="s">
        <v>165</v>
      </c>
      <c r="Z5" s="5" t="s">
        <v>58</v>
      </c>
      <c r="AA5" s="5" t="s">
        <v>59</v>
      </c>
    </row>
    <row r="6" spans="1:27" x14ac:dyDescent="0.25">
      <c r="A6" s="10" t="s">
        <v>60</v>
      </c>
      <c r="B6" s="10" t="s">
        <v>61</v>
      </c>
      <c r="C6" s="13">
        <f>_xll.BDH("GILD US Equity","HISTORICAL_MARKET_CAP","FQ3 2019","FQ3 2019","Currency=USD","Period=FQ","BEST_FPERIOD_OVERRIDE=FQ","FILING_STATUS=MR","SCALING_FORMAT=MLN","Sort=A","Dates=H","DateFormat=P","Fill=—","Direction=H","UseDPDF=Y")</f>
        <v>80239.08</v>
      </c>
      <c r="D6" s="13">
        <f>_xll.BDH("GILD US Equity","HISTORICAL_MARKET_CAP","FQ4 2019","FQ4 2019","Currency=USD","Period=FQ","BEST_FPERIOD_OVERRIDE=FQ","FILING_STATUS=MR","SCALING_FORMAT=MLN","Sort=A","Dates=H","DateFormat=P","Fill=—","Direction=H","UseDPDF=Y")</f>
        <v>82264.679999999993</v>
      </c>
      <c r="E6" s="13">
        <f>_xll.BDH("GILD US Equity","HISTORICAL_MARKET_CAP","FQ1 2020","FQ1 2020","Currency=USD","Period=FQ","BEST_FPERIOD_OVERRIDE=FQ","FILING_STATUS=MR","SCALING_FORMAT=MLN","Sort=A","Dates=H","DateFormat=P","Fill=—","Direction=H","UseDPDF=Y")</f>
        <v>93749.04</v>
      </c>
      <c r="F6" s="13">
        <f>_xll.BDH("GILD US Equity","HISTORICAL_MARKET_CAP","FQ2 2020","FQ2 2020","Currency=USD","Period=FQ","BEST_FPERIOD_OVERRIDE=FQ","FILING_STATUS=MR","SCALING_FORMAT=MLN","Sort=A","Dates=H","DateFormat=P","Fill=—","Direction=H","UseDPDF=Y")</f>
        <v>96482.76</v>
      </c>
      <c r="G6" s="13">
        <f>_xll.BDH("GILD US Equity","HISTORICAL_MARKET_CAP","FQ3 2020","FQ3 2020","Currency=USD","Period=FQ","BEST_FPERIOD_OVERRIDE=FQ","FILING_STATUS=MR","SCALING_FORMAT=MLN","Sort=A","Dates=H","DateFormat=P","Fill=—","Direction=H","UseDPDF=Y")</f>
        <v>79177.070000000007</v>
      </c>
      <c r="H6" s="13">
        <f>_xll.BDH("GILD US Equity","HISTORICAL_MARKET_CAP","FQ4 2020","FQ4 2020","Currency=USD","Period=FQ","BEST_FPERIOD_OVERRIDE=FQ","FILING_STATUS=MR","SCALING_FORMAT=MLN","Sort=A","Dates=H","DateFormat=P","Fill=—","Direction=H","UseDPDF=Y")</f>
        <v>73058.039999999994</v>
      </c>
      <c r="I6" s="13">
        <f>_xll.BDH("GILD US Equity","HISTORICAL_MARKET_CAP","FQ1 2021","FQ1 2021","Currency=USD","Period=FQ","BEST_FPERIOD_OVERRIDE=FQ","FILING_STATUS=MR","SCALING_FORMAT=MLN","Sort=A","Dates=H","DateFormat=P","Fill=—","Direction=H","UseDPDF=Y")</f>
        <v>81046.02</v>
      </c>
      <c r="J6" s="13">
        <f>_xll.BDH("GILD US Equity","HISTORICAL_MARKET_CAP","FQ2 2021","FQ2 2021","Currency=USD","Period=FQ","BEST_FPERIOD_OVERRIDE=FQ","FILING_STATUS=MR","SCALING_FORMAT=MLN","Sort=A","Dates=H","DateFormat=P","Fill=—","Direction=H","UseDPDF=Y")</f>
        <v>86350.44</v>
      </c>
      <c r="K6" s="13">
        <f>_xll.BDH("GILD US Equity","HISTORICAL_MARKET_CAP","FQ3 2021","FQ3 2021","Currency=USD","Period=FQ","BEST_FPERIOD_OVERRIDE=FQ","FILING_STATUS=MR","SCALING_FORMAT=MLN","Sort=A","Dates=H","DateFormat=P","Fill=—","Direction=H","UseDPDF=Y")</f>
        <v>87661.75</v>
      </c>
      <c r="L6" s="13">
        <f>_xll.BDH("GILD US Equity","HISTORICAL_MARKET_CAP","FQ4 2021","FQ4 2021","Currency=USD","Period=FQ","BEST_FPERIOD_OVERRIDE=FQ","FILING_STATUS=MR","SCALING_FORMAT=MLN","Sort=A","Dates=H","DateFormat=P","Fill=—","Direction=H","UseDPDF=Y")</f>
        <v>91052.94</v>
      </c>
      <c r="M6" s="13">
        <f>_xll.BDH("GILD US Equity","HISTORICAL_MARKET_CAP","FQ1 2022","FQ1 2022","Currency=USD","Period=FQ","BEST_FPERIOD_OVERRIDE=FQ","FILING_STATUS=MR","SCALING_FORMAT=MLN","Sort=A","Dates=H","DateFormat=P","Fill=—","Direction=H","UseDPDF=Y")</f>
        <v>74609.75</v>
      </c>
      <c r="N6" s="13">
        <f>_xll.BDH("GILD US Equity","HISTORICAL_MARKET_CAP","FQ2 2022","FQ2 2022","Currency=USD","Period=FQ","BEST_FPERIOD_OVERRIDE=FQ","FILING_STATUS=MR","SCALING_FORMAT=MLN","Sort=A","Dates=H","DateFormat=P","Fill=—","Direction=H","UseDPDF=Y")</f>
        <v>77509.740000000005</v>
      </c>
      <c r="O6" s="13">
        <f>_xll.BDH("GILD US Equity","HISTORICAL_MARKET_CAP","FQ3 2022","FQ3 2022","Currency=USD","Period=FQ","BEST_FPERIOD_OVERRIDE=FQ","FILING_STATUS=MR","SCALING_FORMAT=MLN","Sort=A","Dates=H","DateFormat=P","Fill=—","Direction=H","UseDPDF=Y")</f>
        <v>77359.259999999995</v>
      </c>
      <c r="P6" s="13">
        <f>_xll.BDH("GILD US Equity","HISTORICAL_MARKET_CAP","FQ4 2022","FQ4 2022","Currency=USD","Period=FQ","BEST_FPERIOD_OVERRIDE=FQ","FILING_STATUS=MR","SCALING_FORMAT=MLN","Sort=A","Dates=H","DateFormat=P","Fill=—","Direction=H","UseDPDF=Y")</f>
        <v>107054.95</v>
      </c>
      <c r="Q6" s="13">
        <f>_xll.BDH("GILD US Equity","HISTORICAL_MARKET_CAP","FQ1 2023","FQ1 2023","Currency=USD","Period=FQ","BEST_FPERIOD_OVERRIDE=FQ","FILING_STATUS=MR","SCALING_FORMAT=MLN","Sort=A","Dates=H","DateFormat=P","Fill=—","Direction=H","UseDPDF=Y")</f>
        <v>103546.56</v>
      </c>
      <c r="R6" s="13">
        <f>_xll.BDH("GILD US Equity","HISTORICAL_MARKET_CAP","FQ2 2023","FQ2 2023","Currency=USD","Period=FQ","BEST_FPERIOD_OVERRIDE=FQ","FILING_STATUS=MR","SCALING_FORMAT=MLN","Sort=A","Dates=H","DateFormat=P","Fill=—","Direction=H","UseDPDF=Y")</f>
        <v>96106.29</v>
      </c>
      <c r="S6" s="13">
        <f>_xll.BDH("GILD US Equity","HISTORICAL_MARKET_CAP","FQ3 2023","FQ3 2023","Currency=USD","Period=FQ","BEST_FPERIOD_OVERRIDE=FQ","FILING_STATUS=MR","SCALING_FORMAT=MLN","Sort=A","Dates=H","DateFormat=P","Fill=—","Direction=H","UseDPDF=Y")</f>
        <v>93450.18</v>
      </c>
      <c r="T6" s="13">
        <f>_xll.BDH("GILD US Equity","HISTORICAL_MARKET_CAP","FQ4 2023","FQ4 2023","Currency=USD","Period=FQ","BEST_FPERIOD_OVERRIDE=FQ","FILING_STATUS=MR","SCALING_FORMAT=MLN","Sort=A","Dates=H","DateFormat=P","Fill=—","Direction=H","UseDPDF=Y")</f>
        <v>100938.46</v>
      </c>
      <c r="U6" s="13">
        <f>_xll.BDH("GILD US Equity","HISTORICAL_MARKET_CAP","FQ1 2024","FQ1 2024","Currency=USD","Period=FQ","BEST_FPERIOD_OVERRIDE=FQ","FILING_STATUS=MR","SCALING_FORMAT=MLN","Sort=A","Dates=H","DateFormat=P","Fill=—","Direction=H","UseDPDF=Y")</f>
        <v>91269.5</v>
      </c>
      <c r="V6" s="13">
        <f>_xll.BDH("GILD US Equity","HISTORICAL_MARKET_CAP","FQ2 2024","FQ2 2024","Currency=USD","Period=FQ","BEST_FPERIOD_OVERRIDE=FQ","FILING_STATUS=MR","SCALING_FORMAT=MLN","Sort=A","Dates=H","DateFormat=P","Fill=—","Direction=H","UseDPDF=Y")</f>
        <v>85488.06</v>
      </c>
      <c r="W6" s="13">
        <f>_xll.BDH("GILD US Equity","HISTORICAL_MARKET_CAP","FQ3 2024","FQ3 2024","Currency=USD","Period=FQ","BEST_FPERIOD_OVERRIDE=FQ","FILING_STATUS=MR","SCALING_FORMAT=MLN","Sort=A","Dates=H","DateFormat=P","Fill=—","Direction=H","UseDPDF=Y")</f>
        <v>104464.64</v>
      </c>
      <c r="X6" s="13">
        <f>_xll.BDH("GILD US Equity","HISTORICAL_MARKET_CAP","FQ4 2024","FQ4 2024","Currency=USD","Period=FQ","BEST_FPERIOD_OVERRIDE=FQ","FILING_STATUS=MR","SCALING_FORMAT=MLN","Sort=A","Dates=H","DateFormat=P","Fill=—","Direction=H","UseDPDF=Y")</f>
        <v>115093.02</v>
      </c>
      <c r="Y6" s="16">
        <v>139146.94211775</v>
      </c>
      <c r="Z6" s="13"/>
      <c r="AA6" s="13"/>
    </row>
    <row r="7" spans="1:27" x14ac:dyDescent="0.25">
      <c r="A7" s="10" t="s">
        <v>166</v>
      </c>
      <c r="B7" s="10" t="s">
        <v>63</v>
      </c>
      <c r="C7" s="13">
        <f>_xll.BDH("GILD US Equity","CASH_AND_MARKETABLE_SECURITIES","FQ3 2019","FQ3 2019","Currency=USD","Period=FQ","BEST_FPERIOD_OVERRIDE=FQ","FILING_STATUS=MR","SCALING_FORMAT=MLN","Sort=A","Dates=H","DateFormat=P","Fill=—","Direction=H","UseDPDF=Y")</f>
        <v>25051</v>
      </c>
      <c r="D7" s="13">
        <f>_xll.BDH("GILD US Equity","CASH_AND_MARKETABLE_SECURITIES","FQ4 2019","FQ4 2019","Currency=USD","Period=FQ","BEST_FPERIOD_OVERRIDE=FQ","FILING_STATUS=MR","SCALING_FORMAT=MLN","Sort=A","Dates=H","DateFormat=P","Fill=—","Direction=H","UseDPDF=Y")</f>
        <v>25840</v>
      </c>
      <c r="E7" s="13">
        <f>_xll.BDH("GILD US Equity","CASH_AND_MARKETABLE_SECURITIES","FQ1 2020","FQ1 2020","Currency=USD","Period=FQ","BEST_FPERIOD_OVERRIDE=FQ","FILING_STATUS=MR","SCALING_FORMAT=MLN","Sort=A","Dates=H","DateFormat=P","Fill=—","Direction=H","UseDPDF=Y")</f>
        <v>24314</v>
      </c>
      <c r="F7" s="13">
        <f>_xll.BDH("GILD US Equity","CASH_AND_MARKETABLE_SECURITIES","FQ2 2020","FQ2 2020","Currency=USD","Period=FQ","BEST_FPERIOD_OVERRIDE=FQ","FILING_STATUS=MR","SCALING_FORMAT=MLN","Sort=A","Dates=H","DateFormat=P","Fill=—","Direction=H","UseDPDF=Y")</f>
        <v>21190</v>
      </c>
      <c r="G7" s="13">
        <f>_xll.BDH("GILD US Equity","CASH_AND_MARKETABLE_SECURITIES","FQ3 2020","FQ3 2020","Currency=USD","Period=FQ","BEST_FPERIOD_OVERRIDE=FQ","FILING_STATUS=MR","SCALING_FORMAT=MLN","Sort=A","Dates=H","DateFormat=P","Fill=—","Direction=H","UseDPDF=Y")</f>
        <v>26049</v>
      </c>
      <c r="H7" s="13">
        <f>_xll.BDH("GILD US Equity","CASH_AND_MARKETABLE_SECURITIES","FQ4 2020","FQ4 2020","Currency=USD","Period=FQ","BEST_FPERIOD_OVERRIDE=FQ","FILING_STATUS=MR","SCALING_FORMAT=MLN","Sort=A","Dates=H","DateFormat=P","Fill=—","Direction=H","UseDPDF=Y")</f>
        <v>7910</v>
      </c>
      <c r="I7" s="13">
        <f>_xll.BDH("GILD US Equity","CASH_AND_MARKETABLE_SECURITIES","FQ1 2021","FQ1 2021","Currency=USD","Period=FQ","BEST_FPERIOD_OVERRIDE=FQ","FILING_STATUS=MR","SCALING_FORMAT=MLN","Sort=A","Dates=H","DateFormat=P","Fill=—","Direction=H","UseDPDF=Y")</f>
        <v>6245</v>
      </c>
      <c r="J7" s="13">
        <f>_xll.BDH("GILD US Equity","CASH_AND_MARKETABLE_SECURITIES","FQ2 2021","FQ2 2021","Currency=USD","Period=FQ","BEST_FPERIOD_OVERRIDE=FQ","FILING_STATUS=MR","SCALING_FORMAT=MLN","Sort=A","Dates=H","DateFormat=P","Fill=—","Direction=H","UseDPDF=Y")</f>
        <v>7361</v>
      </c>
      <c r="K7" s="13">
        <f>_xll.BDH("GILD US Equity","CASH_AND_MARKETABLE_SECURITIES","FQ3 2021","FQ3 2021","Currency=USD","Period=FQ","BEST_FPERIOD_OVERRIDE=FQ","FILING_STATUS=MR","SCALING_FORMAT=MLN","Sort=A","Dates=H","DateFormat=P","Fill=—","Direction=H","UseDPDF=Y")</f>
        <v>6837</v>
      </c>
      <c r="L7" s="13">
        <f>_xll.BDH("GILD US Equity","CASH_AND_MARKETABLE_SECURITIES","FQ4 2021","FQ4 2021","Currency=USD","Period=FQ","BEST_FPERIOD_OVERRIDE=FQ","FILING_STATUS=MR","SCALING_FORMAT=MLN","Sort=A","Dates=H","DateFormat=P","Fill=—","Direction=H","UseDPDF=Y")</f>
        <v>7829</v>
      </c>
      <c r="M7" s="13">
        <f>_xll.BDH("GILD US Equity","CASH_AND_MARKETABLE_SECURITIES","FQ1 2022","FQ1 2022","Currency=USD","Period=FQ","BEST_FPERIOD_OVERRIDE=FQ","FILING_STATUS=MR","SCALING_FORMAT=MLN","Sort=A","Dates=H","DateFormat=P","Fill=—","Direction=H","UseDPDF=Y")</f>
        <v>6752</v>
      </c>
      <c r="N7" s="13">
        <f>_xll.BDH("GILD US Equity","CASH_AND_MARKETABLE_SECURITIES","FQ2 2022","FQ2 2022","Currency=USD","Period=FQ","BEST_FPERIOD_OVERRIDE=FQ","FILING_STATUS=MR","SCALING_FORMAT=MLN","Sort=A","Dates=H","DateFormat=P","Fill=—","Direction=H","UseDPDF=Y")</f>
        <v>7000</v>
      </c>
      <c r="O7" s="13">
        <f>_xll.BDH("GILD US Equity","CASH_AND_MARKETABLE_SECURITIES","FQ3 2022","FQ3 2022","Currency=USD","Period=FQ","BEST_FPERIOD_OVERRIDE=FQ","FILING_STATUS=MR","SCALING_FORMAT=MLN","Sort=A","Dates=H","DateFormat=P","Fill=—","Direction=H","UseDPDF=Y")</f>
        <v>6942</v>
      </c>
      <c r="P7" s="13">
        <f>_xll.BDH("GILD US Equity","CASH_AND_MARKETABLE_SECURITIES","FQ4 2022","FQ4 2022","Currency=USD","Period=FQ","BEST_FPERIOD_OVERRIDE=FQ","FILING_STATUS=MR","SCALING_FORMAT=MLN","Sort=A","Dates=H","DateFormat=P","Fill=—","Direction=H","UseDPDF=Y")</f>
        <v>7630</v>
      </c>
      <c r="Q7" s="13">
        <f>_xll.BDH("GILD US Equity","CASH_AND_MARKETABLE_SECURITIES","FQ1 2023","FQ1 2023","Currency=USD","Period=FQ","BEST_FPERIOD_OVERRIDE=FQ","FILING_STATUS=MR","SCALING_FORMAT=MLN","Sort=A","Dates=H","DateFormat=P","Fill=—","Direction=H","UseDPDF=Y")</f>
        <v>7199</v>
      </c>
      <c r="R7" s="13">
        <f>_xll.BDH("GILD US Equity","CASH_AND_MARKETABLE_SECURITIES","FQ2 2023","FQ2 2023","Currency=USD","Period=FQ","BEST_FPERIOD_OVERRIDE=FQ","FILING_STATUS=MR","SCALING_FORMAT=MLN","Sort=A","Dates=H","DateFormat=P","Fill=—","Direction=H","UseDPDF=Y")</f>
        <v>8001</v>
      </c>
      <c r="S7" s="13">
        <f>_xll.BDH("GILD US Equity","CASH_AND_MARKETABLE_SECURITIES","FQ3 2023","FQ3 2023","Currency=USD","Period=FQ","BEST_FPERIOD_OVERRIDE=FQ","FILING_STATUS=MR","SCALING_FORMAT=MLN","Sort=A","Dates=H","DateFormat=P","Fill=—","Direction=H","UseDPDF=Y")</f>
        <v>8020</v>
      </c>
      <c r="T7" s="13">
        <f>_xll.BDH("GILD US Equity","CASH_AND_MARKETABLE_SECURITIES","FQ4 2023","FQ4 2023","Currency=USD","Period=FQ","BEST_FPERIOD_OVERRIDE=FQ","FILING_STATUS=MR","SCALING_FORMAT=MLN","Sort=A","Dates=H","DateFormat=P","Fill=—","Direction=H","UseDPDF=Y")</f>
        <v>8427</v>
      </c>
      <c r="U7" s="13">
        <f>_xll.BDH("GILD US Equity","CASH_AND_MARKETABLE_SECURITIES","FQ1 2024","FQ1 2024","Currency=USD","Period=FQ","BEST_FPERIOD_OVERRIDE=FQ","FILING_STATUS=MR","SCALING_FORMAT=MLN","Sort=A","Dates=H","DateFormat=P","Fill=—","Direction=H","UseDPDF=Y")</f>
        <v>4718</v>
      </c>
      <c r="V7" s="13">
        <f>_xll.BDH("GILD US Equity","CASH_AND_MARKETABLE_SECURITIES","FQ2 2024","FQ2 2024","Currency=USD","Period=FQ","BEST_FPERIOD_OVERRIDE=FQ","FILING_STATUS=MR","SCALING_FORMAT=MLN","Sort=A","Dates=H","DateFormat=P","Fill=—","Direction=H","UseDPDF=Y")</f>
        <v>2772</v>
      </c>
      <c r="W7" s="13">
        <f>_xll.BDH("GILD US Equity","CASH_AND_MARKETABLE_SECURITIES","FQ3 2024","FQ3 2024","Currency=USD","Period=FQ","BEST_FPERIOD_OVERRIDE=FQ","FILING_STATUS=MR","SCALING_FORMAT=MLN","Sort=A","Dates=H","DateFormat=P","Fill=—","Direction=H","UseDPDF=Y")</f>
        <v>5037</v>
      </c>
      <c r="X7" s="13">
        <f>_xll.BDH("GILD US Equity","CASH_AND_MARKETABLE_SECURITIES","FQ4 2024","FQ4 2024","Currency=USD","Period=FQ","BEST_FPERIOD_OVERRIDE=FQ","FILING_STATUS=MR","SCALING_FORMAT=MLN","Sort=A","Dates=H","DateFormat=P","Fill=—","Direction=H","UseDPDF=Y")</f>
        <v>9991</v>
      </c>
      <c r="Y7" s="16">
        <v>9991</v>
      </c>
      <c r="Z7" s="13"/>
      <c r="AA7" s="13"/>
    </row>
    <row r="8" spans="1:27" x14ac:dyDescent="0.25">
      <c r="A8" s="10" t="s">
        <v>167</v>
      </c>
      <c r="B8" s="10" t="s">
        <v>168</v>
      </c>
      <c r="C8" s="13">
        <f>_xll.BDH("GILD US Equity","PFD_EQTY_HYBRID_CAPITAL","FQ3 2019","FQ3 2019","Currency=USD","Period=FQ","BEST_FPERIOD_OVERRIDE=FQ","FILING_STATUS=MR","SCALING_FORMAT=MLN","Sort=A","Dates=H","DateFormat=P","Fill=—","Direction=H","UseDPDF=Y")</f>
        <v>0</v>
      </c>
      <c r="D8" s="13">
        <f>_xll.BDH("GILD US Equity","PFD_EQTY_HYBRID_CAPITAL","FQ4 2019","FQ4 2019","Currency=USD","Period=FQ","BEST_FPERIOD_OVERRIDE=FQ","FILING_STATUS=MR","SCALING_FORMAT=MLN","Sort=A","Dates=H","DateFormat=P","Fill=—","Direction=H","UseDPDF=Y")</f>
        <v>0</v>
      </c>
      <c r="E8" s="13">
        <f>_xll.BDH("GILD US Equity","PFD_EQTY_HYBRID_CAPITAL","FQ1 2020","FQ1 2020","Currency=USD","Period=FQ","BEST_FPERIOD_OVERRIDE=FQ","FILING_STATUS=MR","SCALING_FORMAT=MLN","Sort=A","Dates=H","DateFormat=P","Fill=—","Direction=H","UseDPDF=Y")</f>
        <v>0</v>
      </c>
      <c r="F8" s="13">
        <f>_xll.BDH("GILD US Equity","PFD_EQTY_HYBRID_CAPITAL","FQ2 2020","FQ2 2020","Currency=USD","Period=FQ","BEST_FPERIOD_OVERRIDE=FQ","FILING_STATUS=MR","SCALING_FORMAT=MLN","Sort=A","Dates=H","DateFormat=P","Fill=—","Direction=H","UseDPDF=Y")</f>
        <v>0</v>
      </c>
      <c r="G8" s="13">
        <f>_xll.BDH("GILD US Equity","PFD_EQTY_HYBRID_CAPITAL","FQ3 2020","FQ3 2020","Currency=USD","Period=FQ","BEST_FPERIOD_OVERRIDE=FQ","FILING_STATUS=MR","SCALING_FORMAT=MLN","Sort=A","Dates=H","DateFormat=P","Fill=—","Direction=H","UseDPDF=Y")</f>
        <v>0</v>
      </c>
      <c r="H8" s="13">
        <f>_xll.BDH("GILD US Equity","PFD_EQTY_HYBRID_CAPITAL","FQ4 2020","FQ4 2020","Currency=USD","Period=FQ","BEST_FPERIOD_OVERRIDE=FQ","FILING_STATUS=MR","SCALING_FORMAT=MLN","Sort=A","Dates=H","DateFormat=P","Fill=—","Direction=H","UseDPDF=Y")</f>
        <v>0</v>
      </c>
      <c r="I8" s="13">
        <f>_xll.BDH("GILD US Equity","PFD_EQTY_HYBRID_CAPITAL","FQ1 2021","FQ1 2021","Currency=USD","Period=FQ","BEST_FPERIOD_OVERRIDE=FQ","FILING_STATUS=MR","SCALING_FORMAT=MLN","Sort=A","Dates=H","DateFormat=P","Fill=—","Direction=H","UseDPDF=Y")</f>
        <v>0</v>
      </c>
      <c r="J8" s="13">
        <f>_xll.BDH("GILD US Equity","PFD_EQTY_HYBRID_CAPITAL","FQ2 2021","FQ2 2021","Currency=USD","Period=FQ","BEST_FPERIOD_OVERRIDE=FQ","FILING_STATUS=MR","SCALING_FORMAT=MLN","Sort=A","Dates=H","DateFormat=P","Fill=—","Direction=H","UseDPDF=Y")</f>
        <v>0</v>
      </c>
      <c r="K8" s="13">
        <f>_xll.BDH("GILD US Equity","PFD_EQTY_HYBRID_CAPITAL","FQ3 2021","FQ3 2021","Currency=USD","Period=FQ","BEST_FPERIOD_OVERRIDE=FQ","FILING_STATUS=MR","SCALING_FORMAT=MLN","Sort=A","Dates=H","DateFormat=P","Fill=—","Direction=H","UseDPDF=Y")</f>
        <v>0</v>
      </c>
      <c r="L8" s="13">
        <f>_xll.BDH("GILD US Equity","PFD_EQTY_HYBRID_CAPITAL","FQ4 2021","FQ4 2021","Currency=USD","Period=FQ","BEST_FPERIOD_OVERRIDE=FQ","FILING_STATUS=MR","SCALING_FORMAT=MLN","Sort=A","Dates=H","DateFormat=P","Fill=—","Direction=H","UseDPDF=Y")</f>
        <v>0</v>
      </c>
      <c r="M8" s="13">
        <f>_xll.BDH("GILD US Equity","PFD_EQTY_HYBRID_CAPITAL","FQ1 2022","FQ1 2022","Currency=USD","Period=FQ","BEST_FPERIOD_OVERRIDE=FQ","FILING_STATUS=MR","SCALING_FORMAT=MLN","Sort=A","Dates=H","DateFormat=P","Fill=—","Direction=H","UseDPDF=Y")</f>
        <v>0</v>
      </c>
      <c r="N8" s="13">
        <f>_xll.BDH("GILD US Equity","PFD_EQTY_HYBRID_CAPITAL","FQ2 2022","FQ2 2022","Currency=USD","Period=FQ","BEST_FPERIOD_OVERRIDE=FQ","FILING_STATUS=MR","SCALING_FORMAT=MLN","Sort=A","Dates=H","DateFormat=P","Fill=—","Direction=H","UseDPDF=Y")</f>
        <v>0</v>
      </c>
      <c r="O8" s="13">
        <f>_xll.BDH("GILD US Equity","PFD_EQTY_HYBRID_CAPITAL","FQ3 2022","FQ3 2022","Currency=USD","Period=FQ","BEST_FPERIOD_OVERRIDE=FQ","FILING_STATUS=MR","SCALING_FORMAT=MLN","Sort=A","Dates=H","DateFormat=P","Fill=—","Direction=H","UseDPDF=Y")</f>
        <v>0</v>
      </c>
      <c r="P8" s="13">
        <f>_xll.BDH("GILD US Equity","PFD_EQTY_HYBRID_CAPITAL","FQ4 2022","FQ4 2022","Currency=USD","Period=FQ","BEST_FPERIOD_OVERRIDE=FQ","FILING_STATUS=MR","SCALING_FORMAT=MLN","Sort=A","Dates=H","DateFormat=P","Fill=—","Direction=H","UseDPDF=Y")</f>
        <v>0</v>
      </c>
      <c r="Q8" s="13">
        <f>_xll.BDH("GILD US Equity","PFD_EQTY_HYBRID_CAPITAL","FQ1 2023","FQ1 2023","Currency=USD","Period=FQ","BEST_FPERIOD_OVERRIDE=FQ","FILING_STATUS=MR","SCALING_FORMAT=MLN","Sort=A","Dates=H","DateFormat=P","Fill=—","Direction=H","UseDPDF=Y")</f>
        <v>0</v>
      </c>
      <c r="R8" s="13">
        <f>_xll.BDH("GILD US Equity","PFD_EQTY_HYBRID_CAPITAL","FQ2 2023","FQ2 2023","Currency=USD","Period=FQ","BEST_FPERIOD_OVERRIDE=FQ","FILING_STATUS=MR","SCALING_FORMAT=MLN","Sort=A","Dates=H","DateFormat=P","Fill=—","Direction=H","UseDPDF=Y")</f>
        <v>0</v>
      </c>
      <c r="S8" s="13">
        <f>_xll.BDH("GILD US Equity","PFD_EQTY_HYBRID_CAPITAL","FQ3 2023","FQ3 2023","Currency=USD","Period=FQ","BEST_FPERIOD_OVERRIDE=FQ","FILING_STATUS=MR","SCALING_FORMAT=MLN","Sort=A","Dates=H","DateFormat=P","Fill=—","Direction=H","UseDPDF=Y")</f>
        <v>0</v>
      </c>
      <c r="T8" s="13">
        <f>_xll.BDH("GILD US Equity","PFD_EQTY_HYBRID_CAPITAL","FQ4 2023","FQ4 2023","Currency=USD","Period=FQ","BEST_FPERIOD_OVERRIDE=FQ","FILING_STATUS=MR","SCALING_FORMAT=MLN","Sort=A","Dates=H","DateFormat=P","Fill=—","Direction=H","UseDPDF=Y")</f>
        <v>0</v>
      </c>
      <c r="U8" s="13">
        <f>_xll.BDH("GILD US Equity","PFD_EQTY_HYBRID_CAPITAL","FQ1 2024","FQ1 2024","Currency=USD","Period=FQ","BEST_FPERIOD_OVERRIDE=FQ","FILING_STATUS=MR","SCALING_FORMAT=MLN","Sort=A","Dates=H","DateFormat=P","Fill=—","Direction=H","UseDPDF=Y")</f>
        <v>0</v>
      </c>
      <c r="V8" s="13">
        <f>_xll.BDH("GILD US Equity","PFD_EQTY_HYBRID_CAPITAL","FQ2 2024","FQ2 2024","Currency=USD","Period=FQ","BEST_FPERIOD_OVERRIDE=FQ","FILING_STATUS=MR","SCALING_FORMAT=MLN","Sort=A","Dates=H","DateFormat=P","Fill=—","Direction=H","UseDPDF=Y")</f>
        <v>0</v>
      </c>
      <c r="W8" s="13">
        <f>_xll.BDH("GILD US Equity","PFD_EQTY_HYBRID_CAPITAL","FQ3 2024","FQ3 2024","Currency=USD","Period=FQ","BEST_FPERIOD_OVERRIDE=FQ","FILING_STATUS=MR","SCALING_FORMAT=MLN","Sort=A","Dates=H","DateFormat=P","Fill=—","Direction=H","UseDPDF=Y")</f>
        <v>0</v>
      </c>
      <c r="X8" s="13">
        <f>_xll.BDH("GILD US Equity","PFD_EQTY_HYBRID_CAPITAL","FQ4 2024","FQ4 2024","Currency=USD","Period=FQ","BEST_FPERIOD_OVERRIDE=FQ","FILING_STATUS=MR","SCALING_FORMAT=MLN","Sort=A","Dates=H","DateFormat=P","Fill=—","Direction=H","UseDPDF=Y")</f>
        <v>0</v>
      </c>
      <c r="Y8" s="16">
        <v>0</v>
      </c>
      <c r="Z8" s="13"/>
      <c r="AA8" s="13"/>
    </row>
    <row r="9" spans="1:27" x14ac:dyDescent="0.25">
      <c r="A9" s="10" t="s">
        <v>169</v>
      </c>
      <c r="B9" s="10" t="s">
        <v>170</v>
      </c>
      <c r="C9" s="13">
        <f>_xll.BDH("GILD US Equity","MINORITY_NONCONTROLLING_INTEREST","FQ3 2019","FQ3 2019","Currency=USD","Period=FQ","BEST_FPERIOD_OVERRIDE=FQ","FILING_STATUS=MR","SCALING_FORMAT=MLN","Sort=A","Dates=H","DateFormat=P","Fill=—","Direction=H","UseDPDF=Y")</f>
        <v>132</v>
      </c>
      <c r="D9" s="13">
        <f>_xll.BDH("GILD US Equity","MINORITY_NONCONTROLLING_INTEREST","FQ4 2019","FQ4 2019","Currency=USD","Period=FQ","BEST_FPERIOD_OVERRIDE=FQ","FILING_STATUS=MR","SCALING_FORMAT=MLN","Sort=A","Dates=H","DateFormat=P","Fill=—","Direction=H","UseDPDF=Y")</f>
        <v>125</v>
      </c>
      <c r="E9" s="13">
        <f>_xll.BDH("GILD US Equity","MINORITY_NONCONTROLLING_INTEREST","FQ1 2020","FQ1 2020","Currency=USD","Period=FQ","BEST_FPERIOD_OVERRIDE=FQ","FILING_STATUS=MR","SCALING_FORMAT=MLN","Sort=A","Dates=H","DateFormat=P","Fill=—","Direction=H","UseDPDF=Y")</f>
        <v>112</v>
      </c>
      <c r="F9" s="13">
        <f>_xll.BDH("GILD US Equity","MINORITY_NONCONTROLLING_INTEREST","FQ2 2020","FQ2 2020","Currency=USD","Period=FQ","BEST_FPERIOD_OVERRIDE=FQ","FILING_STATUS=MR","SCALING_FORMAT=MLN","Sort=A","Dates=H","DateFormat=P","Fill=—","Direction=H","UseDPDF=Y")</f>
        <v>115</v>
      </c>
      <c r="G9" s="13">
        <f>_xll.BDH("GILD US Equity","MINORITY_NONCONTROLLING_INTEREST","FQ3 2020","FQ3 2020","Currency=USD","Period=FQ","BEST_FPERIOD_OVERRIDE=FQ","FILING_STATUS=MR","SCALING_FORMAT=MLN","Sort=A","Dates=H","DateFormat=P","Fill=—","Direction=H","UseDPDF=Y")</f>
        <v>26</v>
      </c>
      <c r="H9" s="13">
        <f>_xll.BDH("GILD US Equity","MINORITY_NONCONTROLLING_INTEREST","FQ4 2020","FQ4 2020","Currency=USD","Period=FQ","BEST_FPERIOD_OVERRIDE=FQ","FILING_STATUS=MR","SCALING_FORMAT=MLN","Sort=A","Dates=H","DateFormat=P","Fill=—","Direction=H","UseDPDF=Y")</f>
        <v>19</v>
      </c>
      <c r="I9" s="13">
        <f>_xll.BDH("GILD US Equity","MINORITY_NONCONTROLLING_INTEREST","FQ1 2021","FQ1 2021","Currency=USD","Period=FQ","BEST_FPERIOD_OVERRIDE=FQ","FILING_STATUS=MR","SCALING_FORMAT=MLN","Sort=A","Dates=H","DateFormat=P","Fill=—","Direction=H","UseDPDF=Y")</f>
        <v>12</v>
      </c>
      <c r="J9" s="13">
        <f>_xll.BDH("GILD US Equity","MINORITY_NONCONTROLLING_INTEREST","FQ2 2021","FQ2 2021","Currency=USD","Period=FQ","BEST_FPERIOD_OVERRIDE=FQ","FILING_STATUS=MR","SCALING_FORMAT=MLN","Sort=A","Dates=H","DateFormat=P","Fill=—","Direction=H","UseDPDF=Y")</f>
        <v>7</v>
      </c>
      <c r="K9" s="13">
        <f>_xll.BDH("GILD US Equity","MINORITY_NONCONTROLLING_INTEREST","FQ3 2021","FQ3 2021","Currency=USD","Period=FQ","BEST_FPERIOD_OVERRIDE=FQ","FILING_STATUS=MR","SCALING_FORMAT=MLN","Sort=A","Dates=H","DateFormat=P","Fill=—","Direction=H","UseDPDF=Y")</f>
        <v>1</v>
      </c>
      <c r="L9" s="13">
        <f>_xll.BDH("GILD US Equity","MINORITY_NONCONTROLLING_INTEREST","FQ4 2021","FQ4 2021","Currency=USD","Period=FQ","BEST_FPERIOD_OVERRIDE=FQ","FILING_STATUS=MR","SCALING_FORMAT=MLN","Sort=A","Dates=H","DateFormat=P","Fill=—","Direction=H","UseDPDF=Y")</f>
        <v>-5</v>
      </c>
      <c r="M9" s="13">
        <f>_xll.BDH("GILD US Equity","MINORITY_NONCONTROLLING_INTEREST","FQ1 2022","FQ1 2022","Currency=USD","Period=FQ","BEST_FPERIOD_OVERRIDE=FQ","FILING_STATUS=MR","SCALING_FORMAT=MLN","Sort=A","Dates=H","DateFormat=P","Fill=—","Direction=H","UseDPDF=Y")</f>
        <v>-12</v>
      </c>
      <c r="N9" s="13">
        <f>_xll.BDH("GILD US Equity","MINORITY_NONCONTROLLING_INTEREST","FQ2 2022","FQ2 2022","Currency=USD","Period=FQ","BEST_FPERIOD_OVERRIDE=FQ","FILING_STATUS=MR","SCALING_FORMAT=MLN","Sort=A","Dates=H","DateFormat=P","Fill=—","Direction=H","UseDPDF=Y")</f>
        <v>-21</v>
      </c>
      <c r="O9" s="13">
        <f>_xll.BDH("GILD US Equity","MINORITY_NONCONTROLLING_INTEREST","FQ3 2022","FQ3 2022","Currency=USD","Period=FQ","BEST_FPERIOD_OVERRIDE=FQ","FILING_STATUS=MR","SCALING_FORMAT=MLN","Sort=A","Dates=H","DateFormat=P","Fill=—","Direction=H","UseDPDF=Y")</f>
        <v>-24</v>
      </c>
      <c r="P9" s="13">
        <f>_xll.BDH("GILD US Equity","MINORITY_NONCONTROLLING_INTEREST","FQ4 2022","FQ4 2022","Currency=USD","Period=FQ","BEST_FPERIOD_OVERRIDE=FQ","FILING_STATUS=MR","SCALING_FORMAT=MLN","Sort=A","Dates=H","DateFormat=P","Fill=—","Direction=H","UseDPDF=Y")</f>
        <v>-31</v>
      </c>
      <c r="Q9" s="13">
        <f>_xll.BDH("GILD US Equity","MINORITY_NONCONTROLLING_INTEREST","FQ1 2023","FQ1 2023","Currency=USD","Period=FQ","BEST_FPERIOD_OVERRIDE=FQ","FILING_STATUS=MR","SCALING_FORMAT=MLN","Sort=A","Dates=H","DateFormat=P","Fill=—","Direction=H","UseDPDF=Y")</f>
        <v>-58</v>
      </c>
      <c r="R9" s="13">
        <f>_xll.BDH("GILD US Equity","MINORITY_NONCONTROLLING_INTEREST","FQ2 2023","FQ2 2023","Currency=USD","Period=FQ","BEST_FPERIOD_OVERRIDE=FQ","FILING_STATUS=MR","SCALING_FORMAT=MLN","Sort=A","Dates=H","DateFormat=P","Fill=—","Direction=H","UseDPDF=Y")</f>
        <v>-64</v>
      </c>
      <c r="S9" s="13">
        <f>_xll.BDH("GILD US Equity","MINORITY_NONCONTROLLING_INTEREST","FQ3 2023","FQ3 2023","Currency=USD","Period=FQ","BEST_FPERIOD_OVERRIDE=FQ","FILING_STATUS=MR","SCALING_FORMAT=MLN","Sort=A","Dates=H","DateFormat=P","Fill=—","Direction=H","UseDPDF=Y")</f>
        <v>-72</v>
      </c>
      <c r="T9" s="13">
        <f>_xll.BDH("GILD US Equity","MINORITY_NONCONTROLLING_INTEREST","FQ4 2023","FQ4 2023","Currency=USD","Period=FQ","BEST_FPERIOD_OVERRIDE=FQ","FILING_STATUS=MR","SCALING_FORMAT=MLN","Sort=A","Dates=H","DateFormat=P","Fill=—","Direction=H","UseDPDF=Y")</f>
        <v>-84</v>
      </c>
      <c r="U9" s="13">
        <f>_xll.BDH("GILD US Equity","MINORITY_NONCONTROLLING_INTEREST","FQ1 2024","FQ1 2024","Currency=USD","Period=FQ","BEST_FPERIOD_OVERRIDE=FQ","FILING_STATUS=MR","SCALING_FORMAT=MLN","Sort=A","Dates=H","DateFormat=P","Fill=—","Direction=H","UseDPDF=Y")</f>
        <v>-84</v>
      </c>
      <c r="V9" s="13">
        <f>_xll.BDH("GILD US Equity","MINORITY_NONCONTROLLING_INTEREST","FQ2 2024","FQ2 2024","Currency=USD","Period=FQ","BEST_FPERIOD_OVERRIDE=FQ","FILING_STATUS=MR","SCALING_FORMAT=MLN","Sort=A","Dates=H","DateFormat=P","Fill=—","Direction=H","UseDPDF=Y")</f>
        <v>-84</v>
      </c>
      <c r="W9" s="13">
        <f>_xll.BDH("GILD US Equity","MINORITY_NONCONTROLLING_INTEREST","FQ3 2024","FQ3 2024","Currency=USD","Period=FQ","BEST_FPERIOD_OVERRIDE=FQ","FILING_STATUS=MR","SCALING_FORMAT=MLN","Sort=A","Dates=H","DateFormat=P","Fill=—","Direction=H","UseDPDF=Y")</f>
        <v>-84</v>
      </c>
      <c r="X9" s="13">
        <f>_xll.BDH("GILD US Equity","MINORITY_NONCONTROLLING_INTEREST","FQ4 2024","FQ4 2024","Currency=USD","Period=FQ","BEST_FPERIOD_OVERRIDE=FQ","FILING_STATUS=MR","SCALING_FORMAT=MLN","Sort=A","Dates=H","DateFormat=P","Fill=—","Direction=H","UseDPDF=Y")</f>
        <v>-84</v>
      </c>
      <c r="Y9" s="16">
        <v>-84</v>
      </c>
      <c r="Z9" s="13"/>
      <c r="AA9" s="13"/>
    </row>
    <row r="10" spans="1:27" x14ac:dyDescent="0.25">
      <c r="A10" s="10" t="s">
        <v>171</v>
      </c>
      <c r="B10" s="10" t="s">
        <v>296</v>
      </c>
      <c r="C10" s="13">
        <f>_xll.BDH("GILD US Equity","TOT_DEBT_EX_OPERATING_LEA_LIABS","FQ3 2019","FQ3 2019","Currency=USD","Period=FQ","BEST_FPERIOD_OVERRIDE=FQ","FILING_STATUS=MR","SCALING_FORMAT=MLN","Sort=A","Dates=H","DateFormat=P","Fill=—","Direction=H","UseDPDF=Y")</f>
        <v>24588</v>
      </c>
      <c r="D10" s="13">
        <f>_xll.BDH("GILD US Equity","TOT_DEBT_EX_OPERATING_LEA_LIABS","FQ4 2019","FQ4 2019","Currency=USD","Period=FQ","BEST_FPERIOD_OVERRIDE=FQ","FILING_STATUS=MR","SCALING_FORMAT=MLN","Sort=A","Dates=H","DateFormat=P","Fill=—","Direction=H","UseDPDF=Y")</f>
        <v>24593</v>
      </c>
      <c r="E10" s="13">
        <f>_xll.BDH("GILD US Equity","TOT_DEBT_EX_OPERATING_LEA_LIABS","FQ1 2020","FQ1 2020","Currency=USD","Period=FQ","BEST_FPERIOD_OVERRIDE=FQ","FILING_STATUS=MR","SCALING_FORMAT=MLN","Sort=A","Dates=H","DateFormat=P","Fill=—","Direction=H","UseDPDF=Y")</f>
        <v>24097</v>
      </c>
      <c r="F10" s="13">
        <f>_xll.BDH("GILD US Equity","TOT_DEBT_EX_OPERATING_LEA_LIABS","FQ2 2020","FQ2 2020","Currency=USD","Period=FQ","BEST_FPERIOD_OVERRIDE=FQ","FILING_STATUS=MR","SCALING_FORMAT=MLN","Sort=A","Dates=H","DateFormat=P","Fill=—","Direction=H","UseDPDF=Y")</f>
        <v>24102</v>
      </c>
      <c r="G10" s="13">
        <f>_xll.BDH("GILD US Equity","TOT_DEBT_EX_OPERATING_LEA_LIABS","FQ3 2020","FQ3 2020","Currency=USD","Period=FQ","BEST_FPERIOD_OVERRIDE=FQ","FILING_STATUS=MR","SCALING_FORMAT=MLN","Sort=A","Dates=H","DateFormat=P","Fill=—","Direction=H","UseDPDF=Y")</f>
        <v>29290</v>
      </c>
      <c r="H10" s="13">
        <f>_xll.BDH("GILD US Equity","TOT_DEBT_EX_OPERATING_LEA_LIABS","FQ4 2020","FQ4 2020","Currency=USD","Period=FQ","BEST_FPERIOD_OVERRIDE=FQ","FILING_STATUS=MR","SCALING_FORMAT=MLN","Sort=A","Dates=H","DateFormat=P","Fill=—","Direction=H","UseDPDF=Y")</f>
        <v>31402</v>
      </c>
      <c r="I10" s="13">
        <f>_xll.BDH("GILD US Equity","TOT_DEBT_EX_OPERATING_LEA_LIABS","FQ1 2021","FQ1 2021","Currency=USD","Period=FQ","BEST_FPERIOD_OVERRIDE=FQ","FILING_STATUS=MR","SCALING_FORMAT=MLN","Sort=A","Dates=H","DateFormat=P","Fill=—","Direction=H","UseDPDF=Y")</f>
        <v>30166</v>
      </c>
      <c r="J10" s="13">
        <f>_xll.BDH("GILD US Equity","TOT_DEBT_EX_OPERATING_LEA_LIABS","FQ2 2021","FQ2 2021","Currency=USD","Period=FQ","BEST_FPERIOD_OVERRIDE=FQ","FILING_STATUS=MR","SCALING_FORMAT=MLN","Sort=A","Dates=H","DateFormat=P","Fill=—","Direction=H","UseDPDF=Y")</f>
        <v>30175</v>
      </c>
      <c r="K10" s="13">
        <f>_xll.BDH("GILD US Equity","TOT_DEBT_EX_OPERATING_LEA_LIABS","FQ3 2021","FQ3 2021","Currency=USD","Period=FQ","BEST_FPERIOD_OVERRIDE=FQ","FILING_STATUS=MR","SCALING_FORMAT=MLN","Sort=A","Dates=H","DateFormat=P","Fill=—","Direction=H","UseDPDF=Y")</f>
        <v>27686</v>
      </c>
      <c r="L10" s="13">
        <f>_xll.BDH("GILD US Equity","TOT_DEBT_EX_OPERATING_LEA_LIABS","FQ4 2021","FQ4 2021","Currency=USD","Period=FQ","BEST_FPERIOD_OVERRIDE=FQ","FILING_STATUS=MR","SCALING_FORMAT=MLN","Sort=A","Dates=H","DateFormat=P","Fill=—","Direction=H","UseDPDF=Y")</f>
        <v>26695</v>
      </c>
      <c r="M10" s="13">
        <f>_xll.BDH("GILD US Equity","TOT_DEBT_EX_OPERATING_LEA_LIABS","FQ1 2022","FQ1 2022","Currency=USD","Period=FQ","BEST_FPERIOD_OVERRIDE=FQ","FILING_STATUS=MR","SCALING_FORMAT=MLN","Sort=A","Dates=H","DateFormat=P","Fill=—","Direction=H","UseDPDF=Y")</f>
        <v>26208</v>
      </c>
      <c r="N10" s="13">
        <f>_xll.BDH("GILD US Equity","TOT_DEBT_EX_OPERATING_LEA_LIABS","FQ2 2022","FQ2 2022","Currency=USD","Period=FQ","BEST_FPERIOD_OVERRIDE=FQ","FILING_STATUS=MR","SCALING_FORMAT=MLN","Sort=A","Dates=H","DateFormat=P","Fill=—","Direction=H","UseDPDF=Y")</f>
        <v>26216</v>
      </c>
      <c r="O10" s="13">
        <f>_xll.BDH("GILD US Equity","TOT_DEBT_EX_OPERATING_LEA_LIABS","FQ3 2022","FQ3 2022","Currency=USD","Period=FQ","BEST_FPERIOD_OVERRIDE=FQ","FILING_STATUS=MR","SCALING_FORMAT=MLN","Sort=A","Dates=H","DateFormat=P","Fill=—","Direction=H","UseDPDF=Y")</f>
        <v>25223</v>
      </c>
      <c r="P10" s="13">
        <f>_xll.BDH("GILD US Equity","TOT_DEBT_EX_OPERATING_LEA_LIABS","FQ4 2022","FQ4 2022","Currency=USD","Period=FQ","BEST_FPERIOD_OVERRIDE=FQ","FILING_STATUS=MR","SCALING_FORMAT=MLN","Sort=A","Dates=H","DateFormat=P","Fill=—","Direction=H","UseDPDF=Y")</f>
        <v>25230</v>
      </c>
      <c r="Q10" s="13">
        <f>_xll.BDH("GILD US Equity","TOT_DEBT_EX_OPERATING_LEA_LIABS","FQ1 2023","FQ1 2023","Currency=USD","Period=FQ","BEST_FPERIOD_OVERRIDE=FQ","FILING_STATUS=MR","SCALING_FORMAT=MLN","Sort=A","Dates=H","DateFormat=P","Fill=—","Direction=H","UseDPDF=Y")</f>
        <v>25239</v>
      </c>
      <c r="R10" s="13">
        <f>_xll.BDH("GILD US Equity","TOT_DEBT_EX_OPERATING_LEA_LIABS","FQ2 2023","FQ2 2023","Currency=USD","Period=FQ","BEST_FPERIOD_OVERRIDE=FQ","FILING_STATUS=MR","SCALING_FORMAT=MLN","Sort=A","Dates=H","DateFormat=P","Fill=—","Direction=H","UseDPDF=Y")</f>
        <v>25246</v>
      </c>
      <c r="S10" s="13">
        <f>_xll.BDH("GILD US Equity","TOT_DEBT_EX_OPERATING_LEA_LIABS","FQ3 2023","FQ3 2023","Currency=USD","Period=FQ","BEST_FPERIOD_OVERRIDE=FQ","FILING_STATUS=MR","SCALING_FORMAT=MLN","Sort=A","Dates=H","DateFormat=P","Fill=—","Direction=H","UseDPDF=Y")</f>
        <v>24982</v>
      </c>
      <c r="T10" s="13">
        <f>_xll.BDH("GILD US Equity","TOT_DEBT_EX_OPERATING_LEA_LIABS","FQ4 2023","FQ4 2023","Currency=USD","Period=FQ","BEST_FPERIOD_OVERRIDE=FQ","FILING_STATUS=MR","SCALING_FORMAT=MLN","Sort=A","Dates=H","DateFormat=P","Fill=—","Direction=H","UseDPDF=Y")</f>
        <v>24987</v>
      </c>
      <c r="U10" s="13">
        <f>_xll.BDH("GILD US Equity","TOT_DEBT_EX_OPERATING_LEA_LIABS","FQ1 2024","FQ1 2024","Currency=USD","Period=FQ","BEST_FPERIOD_OVERRIDE=FQ","FILING_STATUS=MR","SCALING_FORMAT=MLN","Sort=A","Dates=H","DateFormat=P","Fill=—","Direction=H","UseDPDF=Y")</f>
        <v>25194</v>
      </c>
      <c r="V10" s="13">
        <f>_xll.BDH("GILD US Equity","TOT_DEBT_EX_OPERATING_LEA_LIABS","FQ2 2024","FQ2 2024","Currency=USD","Period=FQ","BEST_FPERIOD_OVERRIDE=FQ","FILING_STATUS=MR","SCALING_FORMAT=MLN","Sort=A","Dates=H","DateFormat=P","Fill=—","Direction=H","UseDPDF=Y")</f>
        <v>23350</v>
      </c>
      <c r="W10" s="13">
        <f>_xll.BDH("GILD US Equity","TOT_DEBT_EX_OPERATING_LEA_LIABS","FQ3 2024","FQ3 2024","Currency=USD","Period=FQ","BEST_FPERIOD_OVERRIDE=FQ","FILING_STATUS=MR","SCALING_FORMAT=MLN","Sort=A","Dates=H","DateFormat=P","Fill=—","Direction=H","UseDPDF=Y")</f>
        <v>23249</v>
      </c>
      <c r="X10" s="13">
        <f>_xll.BDH("GILD US Equity","TOT_DEBT_EX_OPERATING_LEA_LIABS","FQ4 2024","FQ4 2024","Currency=USD","Period=FQ","BEST_FPERIOD_OVERRIDE=FQ","FILING_STATUS=MR","SCALING_FORMAT=MLN","Sort=A","Dates=H","DateFormat=P","Fill=—","Direction=H","UseDPDF=Y")</f>
        <v>26711</v>
      </c>
      <c r="Y10" s="16">
        <v>26711</v>
      </c>
      <c r="Z10" s="13"/>
      <c r="AA10" s="13"/>
    </row>
    <row r="11" spans="1:27" x14ac:dyDescent="0.25">
      <c r="A11" s="10" t="s">
        <v>68</v>
      </c>
      <c r="B11" s="10" t="s">
        <v>297</v>
      </c>
      <c r="C11" s="13">
        <f>_xll.BDH("GILD US Equity","EV_EX_OPERATING_LEASE_LIABS","FQ3 2019","FQ3 2019","Currency=USD","Period=FQ","BEST_FPERIOD_OVERRIDE=FQ","FILING_STATUS=MR","SCALING_FORMAT=MLN","Sort=A","Dates=H","DateFormat=P","Fill=—","Direction=H","UseDPDF=Y")</f>
        <v>79908.08</v>
      </c>
      <c r="D11" s="13">
        <f>_xll.BDH("GILD US Equity","EV_EX_OPERATING_LEASE_LIABS","FQ4 2019","FQ4 2019","Currency=USD","Period=FQ","BEST_FPERIOD_OVERRIDE=FQ","FILING_STATUS=MR","SCALING_FORMAT=MLN","Sort=A","Dates=H","DateFormat=P","Fill=—","Direction=H","UseDPDF=Y")</f>
        <v>81142.679999999993</v>
      </c>
      <c r="E11" s="13">
        <f>_xll.BDH("GILD US Equity","EV_EX_OPERATING_LEASE_LIABS","FQ1 2020","FQ1 2020","Currency=USD","Period=FQ","BEST_FPERIOD_OVERRIDE=FQ","FILING_STATUS=MR","SCALING_FORMAT=MLN","Sort=A","Dates=H","DateFormat=P","Fill=—","Direction=H","UseDPDF=Y")</f>
        <v>93644.04</v>
      </c>
      <c r="F11" s="13">
        <f>_xll.BDH("GILD US Equity","EV_EX_OPERATING_LEASE_LIABS","FQ2 2020","FQ2 2020","Currency=USD","Period=FQ","BEST_FPERIOD_OVERRIDE=FQ","FILING_STATUS=MR","SCALING_FORMAT=MLN","Sort=A","Dates=H","DateFormat=P","Fill=—","Direction=H","UseDPDF=Y")</f>
        <v>99509.759999999995</v>
      </c>
      <c r="G11" s="13">
        <f>_xll.BDH("GILD US Equity","EV_EX_OPERATING_LEASE_LIABS","FQ3 2020","FQ3 2020","Currency=USD","Period=FQ","BEST_FPERIOD_OVERRIDE=FQ","FILING_STATUS=MR","SCALING_FORMAT=MLN","Sort=A","Dates=H","DateFormat=P","Fill=—","Direction=H","UseDPDF=Y")</f>
        <v>82444.070000000007</v>
      </c>
      <c r="H11" s="13">
        <f>_xll.BDH("GILD US Equity","EV_EX_OPERATING_LEASE_LIABS","FQ4 2020","FQ4 2020","Currency=USD","Period=FQ","BEST_FPERIOD_OVERRIDE=FQ","FILING_STATUS=MR","SCALING_FORMAT=MLN","Sort=A","Dates=H","DateFormat=P","Fill=—","Direction=H","UseDPDF=Y")</f>
        <v>96569.04</v>
      </c>
      <c r="I11" s="13">
        <f>_xll.BDH("GILD US Equity","EV_EX_OPERATING_LEASE_LIABS","FQ1 2021","FQ1 2021","Currency=USD","Period=FQ","BEST_FPERIOD_OVERRIDE=FQ","FILING_STATUS=MR","SCALING_FORMAT=MLN","Sort=A","Dates=H","DateFormat=P","Fill=—","Direction=H","UseDPDF=Y")</f>
        <v>104979.02</v>
      </c>
      <c r="J11" s="13">
        <f>_xll.BDH("GILD US Equity","EV_EX_OPERATING_LEASE_LIABS","FQ2 2021","FQ2 2021","Currency=USD","Period=FQ","BEST_FPERIOD_OVERRIDE=FQ","FILING_STATUS=MR","SCALING_FORMAT=MLN","Sort=A","Dates=H","DateFormat=P","Fill=—","Direction=H","UseDPDF=Y")</f>
        <v>109171.44</v>
      </c>
      <c r="K11" s="13">
        <f>_xll.BDH("GILD US Equity","EV_EX_OPERATING_LEASE_LIABS","FQ3 2021","FQ3 2021","Currency=USD","Period=FQ","BEST_FPERIOD_OVERRIDE=FQ","FILING_STATUS=MR","SCALING_FORMAT=MLN","Sort=A","Dates=H","DateFormat=P","Fill=—","Direction=H","UseDPDF=Y")</f>
        <v>108511.75</v>
      </c>
      <c r="L11" s="13">
        <f>_xll.BDH("GILD US Equity","EV_EX_OPERATING_LEASE_LIABS","FQ4 2021","FQ4 2021","Currency=USD","Period=FQ","BEST_FPERIOD_OVERRIDE=FQ","FILING_STATUS=MR","SCALING_FORMAT=MLN","Sort=A","Dates=H","DateFormat=P","Fill=—","Direction=H","UseDPDF=Y")</f>
        <v>109913.94</v>
      </c>
      <c r="M11" s="13">
        <f>_xll.BDH("GILD US Equity","EV_EX_OPERATING_LEASE_LIABS","FQ1 2022","FQ1 2022","Currency=USD","Period=FQ","BEST_FPERIOD_OVERRIDE=FQ","FILING_STATUS=MR","SCALING_FORMAT=MLN","Sort=A","Dates=H","DateFormat=P","Fill=—","Direction=H","UseDPDF=Y")</f>
        <v>94053.75</v>
      </c>
      <c r="N11" s="13">
        <f>_xll.BDH("GILD US Equity","EV_EX_OPERATING_LEASE_LIABS","FQ2 2022","FQ2 2022","Currency=USD","Period=FQ","BEST_FPERIOD_OVERRIDE=FQ","FILING_STATUS=MR","SCALING_FORMAT=MLN","Sort=A","Dates=H","DateFormat=P","Fill=—","Direction=H","UseDPDF=Y")</f>
        <v>96704.74</v>
      </c>
      <c r="O11" s="13">
        <f>_xll.BDH("GILD US Equity","EV_EX_OPERATING_LEASE_LIABS","FQ3 2022","FQ3 2022","Currency=USD","Period=FQ","BEST_FPERIOD_OVERRIDE=FQ","FILING_STATUS=MR","SCALING_FORMAT=MLN","Sort=A","Dates=H","DateFormat=P","Fill=—","Direction=H","UseDPDF=Y")</f>
        <v>95616.26</v>
      </c>
      <c r="P11" s="13">
        <f>_xll.BDH("GILD US Equity","EV_EX_OPERATING_LEASE_LIABS","FQ4 2022","FQ4 2022","Currency=USD","Period=FQ","BEST_FPERIOD_OVERRIDE=FQ","FILING_STATUS=MR","SCALING_FORMAT=MLN","Sort=A","Dates=H","DateFormat=P","Fill=—","Direction=H","UseDPDF=Y")</f>
        <v>124623.95</v>
      </c>
      <c r="Q11" s="13">
        <f>_xll.BDH("GILD US Equity","EV_EX_OPERATING_LEASE_LIABS","FQ1 2023","FQ1 2023","Currency=USD","Period=FQ","BEST_FPERIOD_OVERRIDE=FQ","FILING_STATUS=MR","SCALING_FORMAT=MLN","Sort=A","Dates=H","DateFormat=P","Fill=—","Direction=H","UseDPDF=Y")</f>
        <v>121528.56</v>
      </c>
      <c r="R11" s="13">
        <f>_xll.BDH("GILD US Equity","EV_EX_OPERATING_LEASE_LIABS","FQ2 2023","FQ2 2023","Currency=USD","Period=FQ","BEST_FPERIOD_OVERRIDE=FQ","FILING_STATUS=MR","SCALING_FORMAT=MLN","Sort=A","Dates=H","DateFormat=P","Fill=—","Direction=H","UseDPDF=Y")</f>
        <v>113287.29</v>
      </c>
      <c r="S11" s="13">
        <f>_xll.BDH("GILD US Equity","EV_EX_OPERATING_LEASE_LIABS","FQ3 2023","FQ3 2023","Currency=USD","Period=FQ","BEST_FPERIOD_OVERRIDE=FQ","FILING_STATUS=MR","SCALING_FORMAT=MLN","Sort=A","Dates=H","DateFormat=P","Fill=—","Direction=H","UseDPDF=Y")</f>
        <v>110340.18</v>
      </c>
      <c r="T11" s="13">
        <f>_xll.BDH("GILD US Equity","EV_EX_OPERATING_LEASE_LIABS","FQ4 2023","FQ4 2023","Currency=USD","Period=FQ","BEST_FPERIOD_OVERRIDE=FQ","FILING_STATUS=MR","SCALING_FORMAT=MLN","Sort=A","Dates=H","DateFormat=P","Fill=—","Direction=H","UseDPDF=Y")</f>
        <v>117414.46</v>
      </c>
      <c r="U11" s="13">
        <f>_xll.BDH("GILD US Equity","EV_EX_OPERATING_LEASE_LIABS","FQ1 2024","FQ1 2024","Currency=USD","Period=FQ","BEST_FPERIOD_OVERRIDE=FQ","FILING_STATUS=MR","SCALING_FORMAT=MLN","Sort=A","Dates=H","DateFormat=P","Fill=—","Direction=H","UseDPDF=Y")</f>
        <v>111661.5</v>
      </c>
      <c r="V11" s="13">
        <f>_xll.BDH("GILD US Equity","EV_EX_OPERATING_LEASE_LIABS","FQ2 2024","FQ2 2024","Currency=USD","Period=FQ","BEST_FPERIOD_OVERRIDE=FQ","FILING_STATUS=MR","SCALING_FORMAT=MLN","Sort=A","Dates=H","DateFormat=P","Fill=—","Direction=H","UseDPDF=Y")</f>
        <v>105982.06</v>
      </c>
      <c r="W11" s="13">
        <f>_xll.BDH("GILD US Equity","EV_EX_OPERATING_LEASE_LIABS","FQ3 2024","FQ3 2024","Currency=USD","Period=FQ","BEST_FPERIOD_OVERRIDE=FQ","FILING_STATUS=MR","SCALING_FORMAT=MLN","Sort=A","Dates=H","DateFormat=P","Fill=—","Direction=H","UseDPDF=Y")</f>
        <v>122592.64</v>
      </c>
      <c r="X11" s="13">
        <f>_xll.BDH("GILD US Equity","EV_EX_OPERATING_LEASE_LIABS","FQ4 2024","FQ4 2024","Currency=USD","Period=FQ","BEST_FPERIOD_OVERRIDE=FQ","FILING_STATUS=MR","SCALING_FORMAT=MLN","Sort=A","Dates=H","DateFormat=P","Fill=—","Direction=H","UseDPDF=Y")</f>
        <v>131729.01999999999</v>
      </c>
      <c r="Y11" s="16">
        <v>155782.94211775</v>
      </c>
      <c r="Z11" s="13"/>
      <c r="AA11" s="13"/>
    </row>
    <row r="12" spans="1:27" x14ac:dyDescent="0.25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5"/>
      <c r="Z12" s="12"/>
      <c r="AA12" s="12"/>
    </row>
    <row r="13" spans="1:27" x14ac:dyDescent="0.25">
      <c r="A13" s="10" t="s">
        <v>172</v>
      </c>
      <c r="B13" s="10" t="s">
        <v>298</v>
      </c>
      <c r="C13" s="13">
        <f>_xll.BDH("GILD US Equity","TOT_CPTL_EX_OPERATING_LEA_LIABS","FQ3 2019","FQ3 2019","Currency=USD","Period=FQ","BEST_FPERIOD_OVERRIDE=FQ","FILING_STATUS=MR","SCALING_FORMAT=MLN","Sort=A","Dates=H","DateFormat=P","Fill=—","Direction=H","UseDPDF=Y")</f>
        <v>45324</v>
      </c>
      <c r="D13" s="13">
        <f>_xll.BDH("GILD US Equity","TOT_CPTL_EX_OPERATING_LEA_LIABS","FQ4 2019","FQ4 2019","Currency=USD","Period=FQ","BEST_FPERIOD_OVERRIDE=FQ","FILING_STATUS=MR","SCALING_FORMAT=MLN","Sort=A","Dates=H","DateFormat=P","Fill=—","Direction=H","UseDPDF=Y")</f>
        <v>47243</v>
      </c>
      <c r="E13" s="13">
        <f>_xll.BDH("GILD US Equity","TOT_CPTL_EX_OPERATING_LEA_LIABS","FQ1 2020","FQ1 2020","Currency=USD","Period=FQ","BEST_FPERIOD_OVERRIDE=FQ","FILING_STATUS=MR","SCALING_FORMAT=MLN","Sort=A","Dates=H","DateFormat=P","Fill=—","Direction=H","UseDPDF=Y")</f>
        <v>46276</v>
      </c>
      <c r="F13" s="13">
        <f>_xll.BDH("GILD US Equity","TOT_CPTL_EX_OPERATING_LEA_LIABS","FQ2 2020","FQ2 2020","Currency=USD","Period=FQ","BEST_FPERIOD_OVERRIDE=FQ","FILING_STATUS=MR","SCALING_FORMAT=MLN","Sort=A","Dates=H","DateFormat=P","Fill=—","Direction=H","UseDPDF=Y")</f>
        <v>42244</v>
      </c>
      <c r="G13" s="13">
        <f>_xll.BDH("GILD US Equity","TOT_CPTL_EX_OPERATING_LEA_LIABS","FQ3 2020","FQ3 2020","Currency=USD","Period=FQ","BEST_FPERIOD_OVERRIDE=FQ","FILING_STATUS=MR","SCALING_FORMAT=MLN","Sort=A","Dates=H","DateFormat=P","Fill=—","Direction=H","UseDPDF=Y")</f>
        <v>46761</v>
      </c>
      <c r="H13" s="13">
        <f>_xll.BDH("GILD US Equity","TOT_CPTL_EX_OPERATING_LEA_LIABS","FQ4 2020","FQ4 2020","Currency=USD","Period=FQ","BEST_FPERIOD_OVERRIDE=FQ","FILING_STATUS=MR","SCALING_FORMAT=MLN","Sort=A","Dates=H","DateFormat=P","Fill=—","Direction=H","UseDPDF=Y")</f>
        <v>49623</v>
      </c>
      <c r="I13" s="13">
        <f>_xll.BDH("GILD US Equity","TOT_CPTL_EX_OPERATING_LEA_LIABS","FQ1 2021","FQ1 2021","Currency=USD","Period=FQ","BEST_FPERIOD_OVERRIDE=FQ","FILING_STATUS=MR","SCALING_FORMAT=MLN","Sort=A","Dates=H","DateFormat=P","Fill=—","Direction=H","UseDPDF=Y")</f>
        <v>49130</v>
      </c>
      <c r="J13" s="13">
        <f>_xll.BDH("GILD US Equity","TOT_CPTL_EX_OPERATING_LEA_LIABS","FQ2 2021","FQ2 2021","Currency=USD","Period=FQ","BEST_FPERIOD_OVERRIDE=FQ","FILING_STATUS=MR","SCALING_FORMAT=MLN","Sort=A","Dates=H","DateFormat=P","Fill=—","Direction=H","UseDPDF=Y")</f>
        <v>49885</v>
      </c>
      <c r="K13" s="13">
        <f>_xll.BDH("GILD US Equity","TOT_CPTL_EX_OPERATING_LEA_LIABS","FQ3 2021","FQ3 2021","Currency=USD","Period=FQ","BEST_FPERIOD_OVERRIDE=FQ","FILING_STATUS=MR","SCALING_FORMAT=MLN","Sort=A","Dates=H","DateFormat=P","Fill=—","Direction=H","UseDPDF=Y")</f>
        <v>49157</v>
      </c>
      <c r="L13" s="13">
        <f>_xll.BDH("GILD US Equity","TOT_CPTL_EX_OPERATING_LEA_LIABS","FQ4 2021","FQ4 2021","Currency=USD","Period=FQ","BEST_FPERIOD_OVERRIDE=FQ","FILING_STATUS=MR","SCALING_FORMAT=MLN","Sort=A","Dates=H","DateFormat=P","Fill=—","Direction=H","UseDPDF=Y")</f>
        <v>47759</v>
      </c>
      <c r="M13" s="13">
        <f>_xll.BDH("GILD US Equity","TOT_CPTL_EX_OPERATING_LEA_LIABS","FQ1 2022","FQ1 2022","Currency=USD","Period=FQ","BEST_FPERIOD_OVERRIDE=FQ","FILING_STATUS=MR","SCALING_FORMAT=MLN","Sort=A","Dates=H","DateFormat=P","Fill=—","Direction=H","UseDPDF=Y")</f>
        <v>46123</v>
      </c>
      <c r="N13" s="13">
        <f>_xll.BDH("GILD US Equity","TOT_CPTL_EX_OPERATING_LEA_LIABS","FQ2 2022","FQ2 2022","Currency=USD","Period=FQ","BEST_FPERIOD_OVERRIDE=FQ","FILING_STATUS=MR","SCALING_FORMAT=MLN","Sort=A","Dates=H","DateFormat=P","Fill=—","Direction=H","UseDPDF=Y")</f>
        <v>46431</v>
      </c>
      <c r="O13" s="13">
        <f>_xll.BDH("GILD US Equity","TOT_CPTL_EX_OPERATING_LEA_LIABS","FQ3 2022","FQ3 2022","Currency=USD","Period=FQ","BEST_FPERIOD_OVERRIDE=FQ","FILING_STATUS=MR","SCALING_FORMAT=MLN","Sort=A","Dates=H","DateFormat=P","Fill=—","Direction=H","UseDPDF=Y")</f>
        <v>46280</v>
      </c>
      <c r="P13" s="13">
        <f>_xll.BDH("GILD US Equity","TOT_CPTL_EX_OPERATING_LEA_LIABS","FQ4 2022","FQ4 2022","Currency=USD","Period=FQ","BEST_FPERIOD_OVERRIDE=FQ","FILING_STATUS=MR","SCALING_FORMAT=MLN","Sort=A","Dates=H","DateFormat=P","Fill=—","Direction=H","UseDPDF=Y")</f>
        <v>46439</v>
      </c>
      <c r="Q13" s="13">
        <f>_xll.BDH("GILD US Equity","TOT_CPTL_EX_OPERATING_LEA_LIABS","FQ1 2023","FQ1 2023","Currency=USD","Period=FQ","BEST_FPERIOD_OVERRIDE=FQ","FILING_STATUS=MR","SCALING_FORMAT=MLN","Sort=A","Dates=H","DateFormat=P","Fill=—","Direction=H","UseDPDF=Y")</f>
        <v>46178</v>
      </c>
      <c r="R13" s="13">
        <f>_xll.BDH("GILD US Equity","TOT_CPTL_EX_OPERATING_LEA_LIABS","FQ2 2023","FQ2 2023","Currency=USD","Period=FQ","BEST_FPERIOD_OVERRIDE=FQ","FILING_STATUS=MR","SCALING_FORMAT=MLN","Sort=A","Dates=H","DateFormat=P","Fill=—","Direction=H","UseDPDF=Y")</f>
        <v>46340</v>
      </c>
      <c r="S13" s="13">
        <f>_xll.BDH("GILD US Equity","TOT_CPTL_EX_OPERATING_LEA_LIABS","FQ3 2023","FQ3 2023","Currency=USD","Period=FQ","BEST_FPERIOD_OVERRIDE=FQ","FILING_STATUS=MR","SCALING_FORMAT=MLN","Sort=A","Dates=H","DateFormat=P","Fill=—","Direction=H","UseDPDF=Y")</f>
        <v>47225</v>
      </c>
      <c r="T13" s="13">
        <f>_xll.BDH("GILD US Equity","TOT_CPTL_EX_OPERATING_LEA_LIABS","FQ4 2023","FQ4 2023","Currency=USD","Period=FQ","BEST_FPERIOD_OVERRIDE=FQ","FILING_STATUS=MR","SCALING_FORMAT=MLN","Sort=A","Dates=H","DateFormat=P","Fill=—","Direction=H","UseDPDF=Y")</f>
        <v>47736</v>
      </c>
      <c r="U13" s="13">
        <f>_xll.BDH("GILD US Equity","TOT_CPTL_EX_OPERATING_LEA_LIABS","FQ1 2024","FQ1 2024","Currency=USD","Period=FQ","BEST_FPERIOD_OVERRIDE=FQ","FILING_STATUS=MR","SCALING_FORMAT=MLN","Sort=A","Dates=H","DateFormat=P","Fill=—","Direction=H","UseDPDF=Y")</f>
        <v>42649</v>
      </c>
      <c r="V13" s="13">
        <f>_xll.BDH("GILD US Equity","TOT_CPTL_EX_OPERATING_LEA_LIABS","FQ2 2024","FQ2 2024","Currency=USD","Period=FQ","BEST_FPERIOD_OVERRIDE=FQ","FILING_STATUS=MR","SCALING_FORMAT=MLN","Sort=A","Dates=H","DateFormat=P","Fill=—","Direction=H","UseDPDF=Y")</f>
        <v>41547</v>
      </c>
      <c r="W13" s="13">
        <f>_xll.BDH("GILD US Equity","TOT_CPTL_EX_OPERATING_LEA_LIABS","FQ3 2024","FQ3 2024","Currency=USD","Period=FQ","BEST_FPERIOD_OVERRIDE=FQ","FILING_STATUS=MR","SCALING_FORMAT=MLN","Sort=A","Dates=H","DateFormat=P","Fill=—","Direction=H","UseDPDF=Y")</f>
        <v>41639</v>
      </c>
      <c r="X13" s="13">
        <f>_xll.BDH("GILD US Equity","TOT_CPTL_EX_OPERATING_LEA_LIABS","FQ4 2024","FQ4 2024","Currency=USD","Period=FQ","BEST_FPERIOD_OVERRIDE=FQ","FILING_STATUS=MR","SCALING_FORMAT=MLN","Sort=A","Dates=H","DateFormat=P","Fill=—","Direction=H","UseDPDF=Y")</f>
        <v>45957</v>
      </c>
      <c r="Y13" s="16">
        <v>45957</v>
      </c>
      <c r="Z13" s="13"/>
      <c r="AA13" s="13"/>
    </row>
    <row r="14" spans="1:27" x14ac:dyDescent="0.25">
      <c r="A14" s="10" t="s">
        <v>174</v>
      </c>
      <c r="B14" s="10" t="s">
        <v>299</v>
      </c>
      <c r="C14" s="14">
        <f>_xll.BDH("GILD US Equity","TOT_DBT_TO_CPTL_EX_OP_LEA_LIABS","FQ3 2019","FQ3 2019","Currency=USD","Period=FQ","BEST_FPERIOD_OVERRIDE=FQ","FILING_STATUS=MR","Sort=A","Dates=H","DateFormat=P","Fill=—","Direction=H","UseDPDF=Y")</f>
        <v>54.249400000000001</v>
      </c>
      <c r="D14" s="14">
        <f>_xll.BDH("GILD US Equity","TOT_DBT_TO_CPTL_EX_OP_LEA_LIABS","FQ4 2019","FQ4 2019","Currency=USD","Period=FQ","BEST_FPERIOD_OVERRIDE=FQ","FILING_STATUS=MR","Sort=A","Dates=H","DateFormat=P","Fill=—","Direction=H","UseDPDF=Y")</f>
        <v>52.056399999999996</v>
      </c>
      <c r="E14" s="14">
        <f>_xll.BDH("GILD US Equity","TOT_DBT_TO_CPTL_EX_OP_LEA_LIABS","FQ1 2020","FQ1 2020","Currency=USD","Period=FQ","BEST_FPERIOD_OVERRIDE=FQ","FILING_STATUS=MR","Sort=A","Dates=H","DateFormat=P","Fill=—","Direction=H","UseDPDF=Y")</f>
        <v>52.072299999999998</v>
      </c>
      <c r="F14" s="14">
        <f>_xll.BDH("GILD US Equity","TOT_DBT_TO_CPTL_EX_OP_LEA_LIABS","FQ2 2020","FQ2 2020","Currency=USD","Period=FQ","BEST_FPERIOD_OVERRIDE=FQ","FILING_STATUS=MR","Sort=A","Dates=H","DateFormat=P","Fill=—","Direction=H","UseDPDF=Y")</f>
        <v>57.054299999999998</v>
      </c>
      <c r="G14" s="14">
        <f>_xll.BDH("GILD US Equity","TOT_DBT_TO_CPTL_EX_OP_LEA_LIABS","FQ3 2020","FQ3 2020","Currency=USD","Period=FQ","BEST_FPERIOD_OVERRIDE=FQ","FILING_STATUS=MR","Sort=A","Dates=H","DateFormat=P","Fill=—","Direction=H","UseDPDF=Y")</f>
        <v>62.637700000000002</v>
      </c>
      <c r="H14" s="14">
        <f>_xll.BDH("GILD US Equity","TOT_DBT_TO_CPTL_EX_OP_LEA_LIABS","FQ4 2020","FQ4 2020","Currency=USD","Period=FQ","BEST_FPERIOD_OVERRIDE=FQ","FILING_STATUS=MR","Sort=A","Dates=H","DateFormat=P","Fill=—","Direction=H","UseDPDF=Y")</f>
        <v>63.281100000000002</v>
      </c>
      <c r="I14" s="14">
        <f>_xll.BDH("GILD US Equity","TOT_DBT_TO_CPTL_EX_OP_LEA_LIABS","FQ1 2021","FQ1 2021","Currency=USD","Period=FQ","BEST_FPERIOD_OVERRIDE=FQ","FILING_STATUS=MR","Sort=A","Dates=H","DateFormat=P","Fill=—","Direction=H","UseDPDF=Y")</f>
        <v>61.400399999999998</v>
      </c>
      <c r="J14" s="14">
        <f>_xll.BDH("GILD US Equity","TOT_DBT_TO_CPTL_EX_OP_LEA_LIABS","FQ2 2021","FQ2 2021","Currency=USD","Period=FQ","BEST_FPERIOD_OVERRIDE=FQ","FILING_STATUS=MR","Sort=A","Dates=H","DateFormat=P","Fill=—","Direction=H","UseDPDF=Y")</f>
        <v>60.489100000000001</v>
      </c>
      <c r="K14" s="14">
        <f>_xll.BDH("GILD US Equity","TOT_DBT_TO_CPTL_EX_OP_LEA_LIABS","FQ3 2021","FQ3 2021","Currency=USD","Period=FQ","BEST_FPERIOD_OVERRIDE=FQ","FILING_STATUS=MR","Sort=A","Dates=H","DateFormat=P","Fill=—","Direction=H","UseDPDF=Y")</f>
        <v>56.321599999999997</v>
      </c>
      <c r="L14" s="14">
        <f>_xll.BDH("GILD US Equity","TOT_DBT_TO_CPTL_EX_OP_LEA_LIABS","FQ4 2021","FQ4 2021","Currency=USD","Period=FQ","BEST_FPERIOD_OVERRIDE=FQ","FILING_STATUS=MR","Sort=A","Dates=H","DateFormat=P","Fill=—","Direction=H","UseDPDF=Y")</f>
        <v>55.895200000000003</v>
      </c>
      <c r="M14" s="14">
        <f>_xll.BDH("GILD US Equity","TOT_DBT_TO_CPTL_EX_OP_LEA_LIABS","FQ1 2022","FQ1 2022","Currency=USD","Period=FQ","BEST_FPERIOD_OVERRIDE=FQ","FILING_STATUS=MR","Sort=A","Dates=H","DateFormat=P","Fill=—","Direction=H","UseDPDF=Y")</f>
        <v>56.822000000000003</v>
      </c>
      <c r="N14" s="14">
        <f>_xll.BDH("GILD US Equity","TOT_DBT_TO_CPTL_EX_OP_LEA_LIABS","FQ2 2022","FQ2 2022","Currency=USD","Period=FQ","BEST_FPERIOD_OVERRIDE=FQ","FILING_STATUS=MR","Sort=A","Dates=H","DateFormat=P","Fill=—","Direction=H","UseDPDF=Y")</f>
        <v>56.462299999999999</v>
      </c>
      <c r="O14" s="14">
        <f>_xll.BDH("GILD US Equity","TOT_DBT_TO_CPTL_EX_OP_LEA_LIABS","FQ3 2022","FQ3 2022","Currency=USD","Period=FQ","BEST_FPERIOD_OVERRIDE=FQ","FILING_STATUS=MR","Sort=A","Dates=H","DateFormat=P","Fill=—","Direction=H","UseDPDF=Y")</f>
        <v>54.500900000000001</v>
      </c>
      <c r="P14" s="14">
        <f>_xll.BDH("GILD US Equity","TOT_DBT_TO_CPTL_EX_OP_LEA_LIABS","FQ4 2022","FQ4 2022","Currency=USD","Period=FQ","BEST_FPERIOD_OVERRIDE=FQ","FILING_STATUS=MR","Sort=A","Dates=H","DateFormat=P","Fill=—","Direction=H","UseDPDF=Y")</f>
        <v>54.329300000000003</v>
      </c>
      <c r="Q14" s="14">
        <f>_xll.BDH("GILD US Equity","TOT_DBT_TO_CPTL_EX_OP_LEA_LIABS","FQ1 2023","FQ1 2023","Currency=USD","Period=FQ","BEST_FPERIOD_OVERRIDE=FQ","FILING_STATUS=MR","Sort=A","Dates=H","DateFormat=P","Fill=—","Direction=H","UseDPDF=Y")</f>
        <v>54.655900000000003</v>
      </c>
      <c r="R14" s="14">
        <f>_xll.BDH("GILD US Equity","TOT_DBT_TO_CPTL_EX_OP_LEA_LIABS","FQ2 2023","FQ2 2023","Currency=USD","Period=FQ","BEST_FPERIOD_OVERRIDE=FQ","FILING_STATUS=MR","Sort=A","Dates=H","DateFormat=P","Fill=—","Direction=H","UseDPDF=Y")</f>
        <v>54.479900000000001</v>
      </c>
      <c r="S14" s="14">
        <f>_xll.BDH("GILD US Equity","TOT_DBT_TO_CPTL_EX_OP_LEA_LIABS","FQ3 2023","FQ3 2023","Currency=USD","Period=FQ","BEST_FPERIOD_OVERRIDE=FQ","FILING_STATUS=MR","Sort=A","Dates=H","DateFormat=P","Fill=—","Direction=H","UseDPDF=Y")</f>
        <v>52.899900000000002</v>
      </c>
      <c r="T14" s="14">
        <f>_xll.BDH("GILD US Equity","TOT_DBT_TO_CPTL_EX_OP_LEA_LIABS","FQ4 2023","FQ4 2023","Currency=USD","Period=FQ","BEST_FPERIOD_OVERRIDE=FQ","FILING_STATUS=MR","Sort=A","Dates=H","DateFormat=P","Fill=—","Direction=H","UseDPDF=Y")</f>
        <v>52.344099999999997</v>
      </c>
      <c r="U14" s="14">
        <f>_xll.BDH("GILD US Equity","TOT_DBT_TO_CPTL_EX_OP_LEA_LIABS","FQ1 2024","FQ1 2024","Currency=USD","Period=FQ","BEST_FPERIOD_OVERRIDE=FQ","FILING_STATUS=MR","Sort=A","Dates=H","DateFormat=P","Fill=—","Direction=H","UseDPDF=Y")</f>
        <v>59.072899999999997</v>
      </c>
      <c r="V14" s="14">
        <f>_xll.BDH("GILD US Equity","TOT_DBT_TO_CPTL_EX_OP_LEA_LIABS","FQ2 2024","FQ2 2024","Currency=USD","Period=FQ","BEST_FPERIOD_OVERRIDE=FQ","FILING_STATUS=MR","Sort=A","Dates=H","DateFormat=P","Fill=—","Direction=H","UseDPDF=Y")</f>
        <v>56.2014</v>
      </c>
      <c r="W14" s="14">
        <f>_xll.BDH("GILD US Equity","TOT_DBT_TO_CPTL_EX_OP_LEA_LIABS","FQ3 2024","FQ3 2024","Currency=USD","Period=FQ","BEST_FPERIOD_OVERRIDE=FQ","FILING_STATUS=MR","Sort=A","Dates=H","DateFormat=P","Fill=—","Direction=H","UseDPDF=Y")</f>
        <v>55.834699999999998</v>
      </c>
      <c r="X14" s="14">
        <f>_xll.BDH("GILD US Equity","TOT_DBT_TO_CPTL_EX_OP_LEA_LIABS","FQ4 2024","FQ4 2024","Currency=USD","Period=FQ","BEST_FPERIOD_OVERRIDE=FQ","FILING_STATUS=MR","Sort=A","Dates=H","DateFormat=P","Fill=—","Direction=H","UseDPDF=Y")</f>
        <v>58.121699999999997</v>
      </c>
      <c r="Y14" s="17">
        <v>58.121722479709298</v>
      </c>
      <c r="Z14" s="14"/>
      <c r="AA14" s="14"/>
    </row>
    <row r="15" spans="1:27" x14ac:dyDescent="0.25">
      <c r="A15" s="10" t="s">
        <v>176</v>
      </c>
      <c r="B15" s="10" t="s">
        <v>300</v>
      </c>
      <c r="C15" s="14">
        <f>_xll.BDH("GILD US Equity","TOT_DEBT_TO_EV_EX_OPER_LEA_LIABS","FQ3 2019","FQ3 2019","Currency=USD","Period=FQ","BEST_FPERIOD_OVERRIDE=FQ","FILING_STATUS=MR","Sort=A","Dates=H","DateFormat=P","Fill=—","Direction=H","UseDPDF=Y")</f>
        <v>0.30769999999999997</v>
      </c>
      <c r="D15" s="14">
        <f>_xll.BDH("GILD US Equity","TOT_DEBT_TO_EV_EX_OPER_LEA_LIABS","FQ4 2019","FQ4 2019","Currency=USD","Period=FQ","BEST_FPERIOD_OVERRIDE=FQ","FILING_STATUS=MR","Sort=A","Dates=H","DateFormat=P","Fill=—","Direction=H","UseDPDF=Y")</f>
        <v>0.30309999999999998</v>
      </c>
      <c r="E15" s="14">
        <f>_xll.BDH("GILD US Equity","TOT_DEBT_TO_EV_EX_OPER_LEA_LIABS","FQ1 2020","FQ1 2020","Currency=USD","Period=FQ","BEST_FPERIOD_OVERRIDE=FQ","FILING_STATUS=MR","Sort=A","Dates=H","DateFormat=P","Fill=—","Direction=H","UseDPDF=Y")</f>
        <v>0.25729999999999997</v>
      </c>
      <c r="F15" s="14">
        <f>_xll.BDH("GILD US Equity","TOT_DEBT_TO_EV_EX_OPER_LEA_LIABS","FQ2 2020","FQ2 2020","Currency=USD","Period=FQ","BEST_FPERIOD_OVERRIDE=FQ","FILING_STATUS=MR","Sort=A","Dates=H","DateFormat=P","Fill=—","Direction=H","UseDPDF=Y")</f>
        <v>0.2422</v>
      </c>
      <c r="G15" s="14">
        <f>_xll.BDH("GILD US Equity","TOT_DEBT_TO_EV_EX_OPER_LEA_LIABS","FQ3 2020","FQ3 2020","Currency=USD","Period=FQ","BEST_FPERIOD_OVERRIDE=FQ","FILING_STATUS=MR","Sort=A","Dates=H","DateFormat=P","Fill=—","Direction=H","UseDPDF=Y")</f>
        <v>0.3553</v>
      </c>
      <c r="H15" s="14">
        <f>_xll.BDH("GILD US Equity","TOT_DEBT_TO_EV_EX_OPER_LEA_LIABS","FQ4 2020","FQ4 2020","Currency=USD","Period=FQ","BEST_FPERIOD_OVERRIDE=FQ","FILING_STATUS=MR","Sort=A","Dates=H","DateFormat=P","Fill=—","Direction=H","UseDPDF=Y")</f>
        <v>0.32519999999999999</v>
      </c>
      <c r="I15" s="14">
        <f>_xll.BDH("GILD US Equity","TOT_DEBT_TO_EV_EX_OPER_LEA_LIABS","FQ1 2021","FQ1 2021","Currency=USD","Period=FQ","BEST_FPERIOD_OVERRIDE=FQ","FILING_STATUS=MR","Sort=A","Dates=H","DateFormat=P","Fill=—","Direction=H","UseDPDF=Y")</f>
        <v>0.28739999999999999</v>
      </c>
      <c r="J15" s="14">
        <f>_xll.BDH("GILD US Equity","TOT_DEBT_TO_EV_EX_OPER_LEA_LIABS","FQ2 2021","FQ2 2021","Currency=USD","Period=FQ","BEST_FPERIOD_OVERRIDE=FQ","FILING_STATUS=MR","Sort=A","Dates=H","DateFormat=P","Fill=—","Direction=H","UseDPDF=Y")</f>
        <v>0.27639999999999998</v>
      </c>
      <c r="K15" s="14">
        <f>_xll.BDH("GILD US Equity","TOT_DEBT_TO_EV_EX_OPER_LEA_LIABS","FQ3 2021","FQ3 2021","Currency=USD","Period=FQ","BEST_FPERIOD_OVERRIDE=FQ","FILING_STATUS=MR","Sort=A","Dates=H","DateFormat=P","Fill=—","Direction=H","UseDPDF=Y")</f>
        <v>0.25509999999999999</v>
      </c>
      <c r="L15" s="14">
        <f>_xll.BDH("GILD US Equity","TOT_DEBT_TO_EV_EX_OPER_LEA_LIABS","FQ4 2021","FQ4 2021","Currency=USD","Period=FQ","BEST_FPERIOD_OVERRIDE=FQ","FILING_STATUS=MR","Sort=A","Dates=H","DateFormat=P","Fill=—","Direction=H","UseDPDF=Y")</f>
        <v>0.2429</v>
      </c>
      <c r="M15" s="14">
        <f>_xll.BDH("GILD US Equity","TOT_DEBT_TO_EV_EX_OPER_LEA_LIABS","FQ1 2022","FQ1 2022","Currency=USD","Period=FQ","BEST_FPERIOD_OVERRIDE=FQ","FILING_STATUS=MR","Sort=A","Dates=H","DateFormat=P","Fill=—","Direction=H","UseDPDF=Y")</f>
        <v>0.27860000000000001</v>
      </c>
      <c r="N15" s="14">
        <f>_xll.BDH("GILD US Equity","TOT_DEBT_TO_EV_EX_OPER_LEA_LIABS","FQ2 2022","FQ2 2022","Currency=USD","Period=FQ","BEST_FPERIOD_OVERRIDE=FQ","FILING_STATUS=MR","Sort=A","Dates=H","DateFormat=P","Fill=—","Direction=H","UseDPDF=Y")</f>
        <v>0.27110000000000001</v>
      </c>
      <c r="O15" s="14">
        <f>_xll.BDH("GILD US Equity","TOT_DEBT_TO_EV_EX_OPER_LEA_LIABS","FQ3 2022","FQ3 2022","Currency=USD","Period=FQ","BEST_FPERIOD_OVERRIDE=FQ","FILING_STATUS=MR","Sort=A","Dates=H","DateFormat=P","Fill=—","Direction=H","UseDPDF=Y")</f>
        <v>0.26379999999999998</v>
      </c>
      <c r="P15" s="14">
        <f>_xll.BDH("GILD US Equity","TOT_DEBT_TO_EV_EX_OPER_LEA_LIABS","FQ4 2022","FQ4 2022","Currency=USD","Period=FQ","BEST_FPERIOD_OVERRIDE=FQ","FILING_STATUS=MR","Sort=A","Dates=H","DateFormat=P","Fill=—","Direction=H","UseDPDF=Y")</f>
        <v>0.2024</v>
      </c>
      <c r="Q15" s="14">
        <f>_xll.BDH("GILD US Equity","TOT_DEBT_TO_EV_EX_OPER_LEA_LIABS","FQ1 2023","FQ1 2023","Currency=USD","Period=FQ","BEST_FPERIOD_OVERRIDE=FQ","FILING_STATUS=MR","Sort=A","Dates=H","DateFormat=P","Fill=—","Direction=H","UseDPDF=Y")</f>
        <v>0.2077</v>
      </c>
      <c r="R15" s="14">
        <f>_xll.BDH("GILD US Equity","TOT_DEBT_TO_EV_EX_OPER_LEA_LIABS","FQ2 2023","FQ2 2023","Currency=USD","Period=FQ","BEST_FPERIOD_OVERRIDE=FQ","FILING_STATUS=MR","Sort=A","Dates=H","DateFormat=P","Fill=—","Direction=H","UseDPDF=Y")</f>
        <v>0.2228</v>
      </c>
      <c r="S15" s="14">
        <f>_xll.BDH("GILD US Equity","TOT_DEBT_TO_EV_EX_OPER_LEA_LIABS","FQ3 2023","FQ3 2023","Currency=USD","Period=FQ","BEST_FPERIOD_OVERRIDE=FQ","FILING_STATUS=MR","Sort=A","Dates=H","DateFormat=P","Fill=—","Direction=H","UseDPDF=Y")</f>
        <v>0.22639999999999999</v>
      </c>
      <c r="T15" s="14">
        <f>_xll.BDH("GILD US Equity","TOT_DEBT_TO_EV_EX_OPER_LEA_LIABS","FQ4 2023","FQ4 2023","Currency=USD","Period=FQ","BEST_FPERIOD_OVERRIDE=FQ","FILING_STATUS=MR","Sort=A","Dates=H","DateFormat=P","Fill=—","Direction=H","UseDPDF=Y")</f>
        <v>0.21279999999999999</v>
      </c>
      <c r="U15" s="14">
        <f>_xll.BDH("GILD US Equity","TOT_DEBT_TO_EV_EX_OPER_LEA_LIABS","FQ1 2024","FQ1 2024","Currency=USD","Period=FQ","BEST_FPERIOD_OVERRIDE=FQ","FILING_STATUS=MR","Sort=A","Dates=H","DateFormat=P","Fill=—","Direction=H","UseDPDF=Y")</f>
        <v>0.22559999999999999</v>
      </c>
      <c r="V15" s="14">
        <f>_xll.BDH("GILD US Equity","TOT_DEBT_TO_EV_EX_OPER_LEA_LIABS","FQ2 2024","FQ2 2024","Currency=USD","Period=FQ","BEST_FPERIOD_OVERRIDE=FQ","FILING_STATUS=MR","Sort=A","Dates=H","DateFormat=P","Fill=—","Direction=H","UseDPDF=Y")</f>
        <v>0.2203</v>
      </c>
      <c r="W15" s="14">
        <f>_xll.BDH("GILD US Equity","TOT_DEBT_TO_EV_EX_OPER_LEA_LIABS","FQ3 2024","FQ3 2024","Currency=USD","Period=FQ","BEST_FPERIOD_OVERRIDE=FQ","FILING_STATUS=MR","Sort=A","Dates=H","DateFormat=P","Fill=—","Direction=H","UseDPDF=Y")</f>
        <v>0.18959999999999999</v>
      </c>
      <c r="X15" s="14">
        <f>_xll.BDH("GILD US Equity","TOT_DEBT_TO_EV_EX_OPER_LEA_LIABS","FQ4 2024","FQ4 2024","Currency=USD","Period=FQ","BEST_FPERIOD_OVERRIDE=FQ","FILING_STATUS=MR","Sort=A","Dates=H","DateFormat=P","Fill=—","Direction=H","UseDPDF=Y")</f>
        <v>0.20280000000000001</v>
      </c>
      <c r="Y15" s="17">
        <v>0.17146293192877499</v>
      </c>
      <c r="Z15" s="14"/>
      <c r="AA15" s="14"/>
    </row>
    <row r="16" spans="1:27" x14ac:dyDescent="0.25">
      <c r="A16" s="10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5"/>
      <c r="Z16" s="12"/>
      <c r="AA16" s="12"/>
    </row>
    <row r="17" spans="1:27" x14ac:dyDescent="0.25">
      <c r="A17" s="10" t="s">
        <v>178</v>
      </c>
      <c r="B17" s="10" t="s">
        <v>301</v>
      </c>
      <c r="C17" s="14">
        <f>_xll.BDH("GILD US Equity","EV_EX_OPER_LEA_LIABS_TO_SALES","FQ3 2019","FQ3 2019","Currency=USD","Period=FQ","BEST_FPERIOD_OVERRIDE=FQ","FILING_STATUS=MR","FA_ADJUSTED=GAAP","Sort=A","Dates=H","DateFormat=P","Fill=—","Direction=H","UseDPDF=Y")</f>
        <v>3.5729000000000002</v>
      </c>
      <c r="D17" s="14">
        <f>_xll.BDH("GILD US Equity","EV_EX_OPER_LEA_LIABS_TO_SALES","FQ4 2019","FQ4 2019","Currency=USD","Period=FQ","BEST_FPERIOD_OVERRIDE=FQ","FILING_STATUS=MR","FA_ADJUSTED=GAAP","Sort=A","Dates=H","DateFormat=P","Fill=—","Direction=H","UseDPDF=Y")</f>
        <v>3.6145</v>
      </c>
      <c r="E17" s="14">
        <f>_xll.BDH("GILD US Equity","EV_EX_OPER_LEA_LIABS_TO_SALES","FQ1 2020","FQ1 2020","Currency=USD","Period=FQ","BEST_FPERIOD_OVERRIDE=FQ","FILING_STATUS=MR","FA_ADJUSTED=GAAP","Sort=A","Dates=H","DateFormat=P","Fill=—","Direction=H","UseDPDF=Y")</f>
        <v>4.1223999999999998</v>
      </c>
      <c r="F17" s="14">
        <f>_xll.BDH("GILD US Equity","EV_EX_OPER_LEA_LIABS_TO_SALES","FQ2 2020","FQ2 2020","Currency=USD","Period=FQ","BEST_FPERIOD_OVERRIDE=FQ","FILING_STATUS=MR","FA_ADJUSTED=GAAP","Sort=A","Dates=H","DateFormat=P","Fill=—","Direction=H","UseDPDF=Y")</f>
        <v>4.4877000000000002</v>
      </c>
      <c r="G17" s="14">
        <f>_xll.BDH("GILD US Equity","EV_EX_OPER_LEA_LIABS_TO_SALES","FQ3 2020","FQ3 2020","Currency=USD","Period=FQ","BEST_FPERIOD_OVERRIDE=FQ","FILING_STATUS=MR","FA_ADJUSTED=GAAP","Sort=A","Dates=H","DateFormat=P","Fill=—","Direction=H","UseDPDF=Y")</f>
        <v>3.5617999999999999</v>
      </c>
      <c r="H17" s="14">
        <f>_xll.BDH("GILD US Equity","EV_EX_OPER_LEA_LIABS_TO_SALES","FQ4 2020","FQ4 2020","Currency=USD","Period=FQ","BEST_FPERIOD_OVERRIDE=FQ","FILING_STATUS=MR","FA_ADJUSTED=GAAP","Sort=A","Dates=H","DateFormat=P","Fill=—","Direction=H","UseDPDF=Y")</f>
        <v>3.9114</v>
      </c>
      <c r="I17" s="14">
        <f>_xll.BDH("GILD US Equity","EV_EX_OPER_LEA_LIABS_TO_SALES","FQ1 2021","FQ1 2021","Currency=USD","Period=FQ","BEST_FPERIOD_OVERRIDE=FQ","FILING_STATUS=MR","FA_ADJUSTED=GAAP","Sort=A","Dates=H","DateFormat=P","Fill=—","Direction=H","UseDPDF=Y")</f>
        <v>4.1064999999999996</v>
      </c>
      <c r="J17" s="14">
        <f>_xll.BDH("GILD US Equity","EV_EX_OPER_LEA_LIABS_TO_SALES","FQ2 2021","FQ2 2021","Currency=USD","Period=FQ","BEST_FPERIOD_OVERRIDE=FQ","FILING_STATUS=MR","FA_ADJUSTED=GAAP","Sort=A","Dates=H","DateFormat=P","Fill=—","Direction=H","UseDPDF=Y")</f>
        <v>4.0983000000000001</v>
      </c>
      <c r="K17" s="14">
        <f>_xll.BDH("GILD US Equity","EV_EX_OPER_LEA_LIABS_TO_SALES","FQ3 2021","FQ3 2021","Currency=USD","Period=FQ","BEST_FPERIOD_OVERRIDE=FQ","FILING_STATUS=MR","FA_ADJUSTED=GAAP","Sort=A","Dates=H","DateFormat=P","Fill=—","Direction=H","UseDPDF=Y")</f>
        <v>3.9485000000000001</v>
      </c>
      <c r="L17" s="14">
        <f>_xll.BDH("GILD US Equity","EV_EX_OPER_LEA_LIABS_TO_SALES","FQ4 2021","FQ4 2021","Currency=USD","Period=FQ","BEST_FPERIOD_OVERRIDE=FQ","FILING_STATUS=MR","FA_ADJUSTED=GAAP","Sort=A","Dates=H","DateFormat=P","Fill=—","Direction=H","UseDPDF=Y")</f>
        <v>4.0254000000000003</v>
      </c>
      <c r="M17" s="14">
        <f>_xll.BDH("GILD US Equity","EV_EX_OPER_LEA_LIABS_TO_SALES","FQ1 2022","FQ1 2022","Currency=USD","Period=FQ","BEST_FPERIOD_OVERRIDE=FQ","FILING_STATUS=MR","FA_ADJUSTED=GAAP","Sort=A","Dates=H","DateFormat=P","Fill=—","Direction=H","UseDPDF=Y")</f>
        <v>3.4236</v>
      </c>
      <c r="N17" s="14">
        <f>_xll.BDH("GILD US Equity","EV_EX_OPER_LEA_LIABS_TO_SALES","FQ2 2022","FQ2 2022","Currency=USD","Period=FQ","BEST_FPERIOD_OVERRIDE=FQ","FILING_STATUS=MR","FA_ADJUSTED=GAAP","Sort=A","Dates=H","DateFormat=P","Fill=—","Direction=H","UseDPDF=Y")</f>
        <v>3.5146000000000002</v>
      </c>
      <c r="O17" s="14">
        <f>_xll.BDH("GILD US Equity","EV_EX_OPER_LEA_LIABS_TO_SALES","FQ3 2022","FQ3 2022","Currency=USD","Period=FQ","BEST_FPERIOD_OVERRIDE=FQ","FILING_STATUS=MR","FA_ADJUSTED=GAAP","Sort=A","Dates=H","DateFormat=P","Fill=—","Direction=H","UseDPDF=Y")</f>
        <v>3.5236000000000001</v>
      </c>
      <c r="P17" s="14">
        <f>_xll.BDH("GILD US Equity","EV_EX_OPER_LEA_LIABS_TO_SALES","FQ4 2022","FQ4 2022","Currency=USD","Period=FQ","BEST_FPERIOD_OVERRIDE=FQ","FILING_STATUS=MR","FA_ADJUSTED=GAAP","Sort=A","Dates=H","DateFormat=P","Fill=—","Direction=H","UseDPDF=Y")</f>
        <v>4.5682</v>
      </c>
      <c r="Q17" s="14">
        <f>_xll.BDH("GILD US Equity","EV_EX_OPER_LEA_LIABS_TO_SALES","FQ1 2023","FQ1 2023","Currency=USD","Period=FQ","BEST_FPERIOD_OVERRIDE=FQ","FILING_STATUS=MR","FA_ADJUSTED=GAAP","Sort=A","Dates=H","DateFormat=P","Fill=—","Direction=H","UseDPDF=Y")</f>
        <v>4.4939</v>
      </c>
      <c r="R17" s="14">
        <f>_xll.BDH("GILD US Equity","EV_EX_OPER_LEA_LIABS_TO_SALES","FQ2 2023","FQ2 2023","Currency=USD","Period=FQ","BEST_FPERIOD_OVERRIDE=FQ","FILING_STATUS=MR","FA_ADJUSTED=GAAP","Sort=A","Dates=H","DateFormat=P","Fill=—","Direction=H","UseDPDF=Y")</f>
        <v>4.1372999999999998</v>
      </c>
      <c r="S17" s="14">
        <f>_xll.BDH("GILD US Equity","EV_EX_OPER_LEA_LIABS_TO_SALES","FQ3 2023","FQ3 2023","Currency=USD","Period=FQ","BEST_FPERIOD_OVERRIDE=FQ","FILING_STATUS=MR","FA_ADJUSTED=GAAP","Sort=A","Dates=H","DateFormat=P","Fill=—","Direction=H","UseDPDF=Y")</f>
        <v>4.0282999999999998</v>
      </c>
      <c r="T17" s="14">
        <f>_xll.BDH("GILD US Equity","EV_EX_OPER_LEA_LIABS_TO_SALES","FQ4 2023","FQ4 2023","Currency=USD","Period=FQ","BEST_FPERIOD_OVERRIDE=FQ","FILING_STATUS=MR","FA_ADJUSTED=GAAP","Sort=A","Dates=H","DateFormat=P","Fill=—","Direction=H","UseDPDF=Y")</f>
        <v>4.3299000000000003</v>
      </c>
      <c r="U17" s="14">
        <f>_xll.BDH("GILD US Equity","EV_EX_OPER_LEA_LIABS_TO_SALES","FQ1 2024","FQ1 2024","Currency=USD","Period=FQ","BEST_FPERIOD_OVERRIDE=FQ","FILING_STATUS=MR","FA_ADJUSTED=GAAP","Sort=A","Dates=H","DateFormat=P","Fill=—","Direction=H","UseDPDF=Y")</f>
        <v>4.0677000000000003</v>
      </c>
      <c r="V17" s="14">
        <f>_xll.BDH("GILD US Equity","EV_EX_OPER_LEA_LIABS_TO_SALES","FQ2 2024","FQ2 2024","Currency=USD","Period=FQ","BEST_FPERIOD_OVERRIDE=FQ","FILING_STATUS=MR","FA_ADJUSTED=GAAP","Sort=A","Dates=H","DateFormat=P","Fill=—","Direction=H","UseDPDF=Y")</f>
        <v>3.8115999999999999</v>
      </c>
      <c r="W17" s="14">
        <f>_xll.BDH("GILD US Equity","EV_EX_OPER_LEA_LIABS_TO_SALES","FQ3 2024","FQ3 2024","Currency=USD","Period=FQ","BEST_FPERIOD_OVERRIDE=FQ","FILING_STATUS=MR","FA_ADJUSTED=GAAP","Sort=A","Dates=H","DateFormat=P","Fill=—","Direction=H","UseDPDF=Y")</f>
        <v>4.3319999999999999</v>
      </c>
      <c r="X17" s="14">
        <f>_xll.BDH("GILD US Equity","EV_EX_OPER_LEA_LIABS_TO_SALES","FQ4 2024","FQ4 2024","Currency=USD","Period=FQ","BEST_FPERIOD_OVERRIDE=FQ","FILING_STATUS=MR","FA_ADJUSTED=GAAP","Sort=A","Dates=H","DateFormat=P","Fill=—","Direction=H","UseDPDF=Y")</f>
        <v>4.5814000000000004</v>
      </c>
      <c r="Y17" s="17">
        <v>5.4177833385876797</v>
      </c>
      <c r="Z17" s="14">
        <v>5.4356326070857497</v>
      </c>
      <c r="AA17" s="14">
        <v>5.4264903701731502</v>
      </c>
    </row>
    <row r="18" spans="1:27" x14ac:dyDescent="0.25">
      <c r="A18" s="10" t="s">
        <v>180</v>
      </c>
      <c r="B18" s="10" t="s">
        <v>302</v>
      </c>
      <c r="C18" s="14">
        <f>_xll.BDH("GILD US Equity","EV_TO_EBITDA_EX_OPERATING_LEASE","FQ3 2019","FQ3 2019","Currency=USD","Period=FQ","BEST_FPERIOD_OVERRIDE=FQ","FILING_STATUS=MR","FA_ADJUSTED=GAAP","Sort=A","Dates=H","DateFormat=P","Fill=—","Direction=H","UseDPDF=Y")</f>
        <v>13.8971</v>
      </c>
      <c r="D18" s="14">
        <f>_xll.BDH("GILD US Equity","EV_TO_EBITDA_EX_OPERATING_LEASE","FQ4 2019","FQ4 2019","Currency=USD","Period=FQ","BEST_FPERIOD_OVERRIDE=FQ","FILING_STATUS=MR","FA_ADJUSTED=GAAP","Sort=A","Dates=H","DateFormat=P","Fill=—","Direction=H","UseDPDF=Y")</f>
        <v>14.258100000000001</v>
      </c>
      <c r="E18" s="14">
        <f>_xll.BDH("GILD US Equity","EV_TO_EBITDA_EX_OPERATING_LEASE","FQ1 2020","FQ1 2020","Currency=USD","Period=FQ","BEST_FPERIOD_OVERRIDE=FQ","FILING_STATUS=MR","FA_ADJUSTED=GAAP","Sort=A","Dates=H","DateFormat=P","Fill=—","Direction=H","UseDPDF=Y")</f>
        <v>16.0185</v>
      </c>
      <c r="F18" s="14">
        <f>_xll.BDH("GILD US Equity","EV_TO_EBITDA_EX_OPERATING_LEASE","FQ2 2020","FQ2 2020","Currency=USD","Period=FQ","BEST_FPERIOD_OVERRIDE=FQ","FILING_STATUS=MR","FA_ADJUSTED=GAAP","Sort=A","Dates=H","DateFormat=P","Fill=—","Direction=H","UseDPDF=Y")</f>
        <v>229.2852</v>
      </c>
      <c r="G18" s="14">
        <f>_xll.BDH("GILD US Equity","EV_TO_EBITDA_EX_OPERATING_LEASE","FQ3 2020","FQ3 2020","Currency=USD","Period=FQ","BEST_FPERIOD_OVERRIDE=FQ","FILING_STATUS=MR","FA_ADJUSTED=GAAP","Sort=A","Dates=H","DateFormat=P","Fill=—","Direction=H","UseDPDF=Y")</f>
        <v>21.053100000000001</v>
      </c>
      <c r="H18" s="14">
        <f>_xll.BDH("GILD US Equity","EV_TO_EBITDA_EX_OPERATING_LEASE","FQ4 2020","FQ4 2020","Currency=USD","Period=FQ","BEST_FPERIOD_OVERRIDE=FQ","FILING_STATUS=MR","FA_ADJUSTED=GAAP","Sort=A","Dates=H","DateFormat=P","Fill=—","Direction=H","UseDPDF=Y")</f>
        <v>17.396699999999999</v>
      </c>
      <c r="I18" s="14">
        <f>_xll.BDH("GILD US Equity","EV_TO_EBITDA_EX_OPERATING_LEASE","FQ1 2021","FQ1 2021","Currency=USD","Period=FQ","BEST_FPERIOD_OVERRIDE=FQ","FILING_STATUS=MR","FA_ADJUSTED=GAAP","Sort=A","Dates=H","DateFormat=P","Fill=—","Direction=H","UseDPDF=Y")</f>
        <v>17.033799999999999</v>
      </c>
      <c r="J18" s="14">
        <f>_xll.BDH("GILD US Equity","EV_TO_EBITDA_EX_OPERATING_LEASE","FQ2 2021","FQ2 2021","Currency=USD","Period=FQ","BEST_FPERIOD_OVERRIDE=FQ","FILING_STATUS=MR","FA_ADJUSTED=GAAP","Sort=A","Dates=H","DateFormat=P","Fill=—","Direction=H","UseDPDF=Y")</f>
        <v>9.4422999999999995</v>
      </c>
      <c r="K18" s="14">
        <f>_xll.BDH("GILD US Equity","EV_TO_EBITDA_EX_OPERATING_LEASE","FQ3 2021","FQ3 2021","Currency=USD","Period=FQ","BEST_FPERIOD_OVERRIDE=FQ","FILING_STATUS=MR","FA_ADJUSTED=GAAP","Sort=A","Dates=H","DateFormat=P","Fill=—","Direction=H","UseDPDF=Y")</f>
        <v>7.9958999999999998</v>
      </c>
      <c r="L18" s="14">
        <f>_xll.BDH("GILD US Equity","EV_TO_EBITDA_EX_OPERATING_LEASE","FQ4 2021","FQ4 2021","Currency=USD","Period=FQ","BEST_FPERIOD_OVERRIDE=FQ","FILING_STATUS=MR","FA_ADJUSTED=GAAP","Sort=A","Dates=H","DateFormat=P","Fill=—","Direction=H","UseDPDF=Y")</f>
        <v>9.1839999999999993</v>
      </c>
      <c r="M18" s="14">
        <f>_xll.BDH("GILD US Equity","EV_TO_EBITDA_EX_OPERATING_LEASE","FQ1 2022","FQ1 2022","Currency=USD","Period=FQ","BEST_FPERIOD_OVERRIDE=FQ","FILING_STATUS=MR","FA_ADJUSTED=GAAP","Sort=A","Dates=H","DateFormat=P","Fill=—","Direction=H","UseDPDF=Y")</f>
        <v>10.084</v>
      </c>
      <c r="N18" s="14">
        <f>_xll.BDH("GILD US Equity","EV_TO_EBITDA_EX_OPERATING_LEASE","FQ2 2022","FQ2 2022","Currency=USD","Period=FQ","BEST_FPERIOD_OVERRIDE=FQ","FILING_STATUS=MR","FA_ADJUSTED=GAAP","Sort=A","Dates=H","DateFormat=P","Fill=—","Direction=H","UseDPDF=Y")</f>
        <v>10.6082</v>
      </c>
      <c r="O18" s="14">
        <f>_xll.BDH("GILD US Equity","EV_TO_EBITDA_EX_OPERATING_LEASE","FQ3 2022","FQ3 2022","Currency=USD","Period=FQ","BEST_FPERIOD_OVERRIDE=FQ","FILING_STATUS=MR","FA_ADJUSTED=GAAP","Sort=A","Dates=H","DateFormat=P","Fill=—","Direction=H","UseDPDF=Y")</f>
        <v>11.785600000000001</v>
      </c>
      <c r="P18" s="14">
        <f>_xll.BDH("GILD US Equity","EV_TO_EBITDA_EX_OPERATING_LEASE","FQ4 2022","FQ4 2022","Currency=USD","Period=FQ","BEST_FPERIOD_OVERRIDE=FQ","FILING_STATUS=MR","FA_ADJUSTED=GAAP","Sort=A","Dates=H","DateFormat=P","Fill=—","Direction=H","UseDPDF=Y")</f>
        <v>13.211499999999999</v>
      </c>
      <c r="Q18" s="14">
        <f>_xll.BDH("GILD US Equity","EV_TO_EBITDA_EX_OPERATING_LEASE","FQ1 2023","FQ1 2023","Currency=USD","Period=FQ","BEST_FPERIOD_OVERRIDE=FQ","FILING_STATUS=MR","FA_ADJUSTED=GAAP","Sort=A","Dates=H","DateFormat=P","Fill=—","Direction=H","UseDPDF=Y")</f>
        <v>10.992100000000001</v>
      </c>
      <c r="R18" s="14">
        <f>_xll.BDH("GILD US Equity","EV_TO_EBITDA_EX_OPERATING_LEASE","FQ2 2023","FQ2 2023","Currency=USD","Period=FQ","BEST_FPERIOD_OVERRIDE=FQ","FILING_STATUS=MR","FA_ADJUSTED=GAAP","Sort=A","Dates=H","DateFormat=P","Fill=—","Direction=H","UseDPDF=Y")</f>
        <v>10.443099999999999</v>
      </c>
      <c r="S18" s="14">
        <f>_xll.BDH("GILD US Equity","EV_TO_EBITDA_EX_OPERATING_LEASE","FQ3 2023","FQ3 2023","Currency=USD","Period=FQ","BEST_FPERIOD_OVERRIDE=FQ","FILING_STATUS=MR","FA_ADJUSTED=GAAP","Sort=A","Dates=H","DateFormat=P","Fill=—","Direction=H","UseDPDF=Y")</f>
        <v>10.2233</v>
      </c>
      <c r="T18" s="14">
        <f>_xll.BDH("GILD US Equity","EV_TO_EBITDA_EX_OPERATING_LEASE","FQ4 2023","FQ4 2023","Currency=USD","Period=FQ","BEST_FPERIOD_OVERRIDE=FQ","FILING_STATUS=MR","FA_ADJUSTED=GAAP","Sort=A","Dates=H","DateFormat=P","Fill=—","Direction=H","UseDPDF=Y")</f>
        <v>11.4017</v>
      </c>
      <c r="U18" s="14">
        <f>_xll.BDH("GILD US Equity","EV_TO_EBITDA_EX_OPERATING_LEASE","FQ1 2024","FQ1 2024","Currency=USD","Period=FQ","BEST_FPERIOD_OVERRIDE=FQ","FILING_STATUS=MR","FA_ADJUSTED=GAAP","Sort=A","Dates=H","DateFormat=P","Fill=—","Direction=H","UseDPDF=Y")</f>
        <v>25.8416</v>
      </c>
      <c r="V18" s="14">
        <f>_xll.BDH("GILD US Equity","EV_TO_EBITDA_EX_OPERATING_LEASE","FQ2 2024","FQ2 2024","Currency=USD","Period=FQ","BEST_FPERIOD_OVERRIDE=FQ","FILING_STATUS=MR","FA_ADJUSTED=GAAP","Sort=A","Dates=H","DateFormat=P","Fill=—","Direction=H","UseDPDF=Y")</f>
        <v>19.947700000000001</v>
      </c>
      <c r="W18" s="14">
        <f>_xll.BDH("GILD US Equity","EV_TO_EBITDA_EX_OPERATING_LEASE","FQ3 2024","FQ3 2024","Currency=USD","Period=FQ","BEST_FPERIOD_OVERRIDE=FQ","FILING_STATUS=MR","FA_ADJUSTED=GAAP","Sort=A","Dates=H","DateFormat=P","Fill=—","Direction=H","UseDPDF=Y")</f>
        <v>34.205500000000001</v>
      </c>
      <c r="X18" s="14">
        <f>_xll.BDH("GILD US Equity","EV_TO_EBITDA_EX_OPERATING_LEASE","FQ4 2024","FQ4 2024","Currency=USD","Period=FQ","BEST_FPERIOD_OVERRIDE=FQ","FILING_STATUS=MR","FA_ADJUSTED=GAAP","Sort=A","Dates=H","DateFormat=P","Fill=—","Direction=H","UseDPDF=Y")</f>
        <v>29.749099999999999</v>
      </c>
      <c r="Y18" s="17">
        <v>35.1733895050237</v>
      </c>
      <c r="Z18" s="14">
        <v>10.136509231073299</v>
      </c>
      <c r="AA18" s="14">
        <v>9.8134077997889708</v>
      </c>
    </row>
    <row r="19" spans="1:27" x14ac:dyDescent="0.25">
      <c r="A19" s="10" t="s">
        <v>182</v>
      </c>
      <c r="B19" s="10" t="s">
        <v>303</v>
      </c>
      <c r="C19" s="14">
        <f>_xll.BDH("GILD US Equity","EV_TO_EBIT_EX_OPERATING_LEASE","FQ3 2019","FQ3 2019","Currency=USD","Period=FQ","BEST_FPERIOD_OVERRIDE=FQ","FILING_STATUS=MR","FA_ADJUSTED=GAAP","Sort=A","Dates=H","DateFormat=P","Fill=—","Direction=H","UseDPDF=Y")</f>
        <v>18.420500000000001</v>
      </c>
      <c r="D19" s="14">
        <f>_xll.BDH("GILD US Equity","EV_TO_EBIT_EX_OPERATING_LEASE","FQ4 2019","FQ4 2019","Currency=USD","Period=FQ","BEST_FPERIOD_OVERRIDE=FQ","FILING_STATUS=MR","FA_ADJUSTED=GAAP","Sort=A","Dates=H","DateFormat=P","Fill=—","Direction=H","UseDPDF=Y")</f>
        <v>18.927600000000002</v>
      </c>
      <c r="E19" s="14">
        <f>_xll.BDH("GILD US Equity","EV_TO_EBIT_EX_OPERATING_LEASE","FQ1 2020","FQ1 2020","Currency=USD","Period=FQ","BEST_FPERIOD_OVERRIDE=FQ","FILING_STATUS=MR","FA_ADJUSTED=GAAP","Sort=A","Dates=H","DateFormat=P","Fill=—","Direction=H","UseDPDF=Y")</f>
        <v>21.034199999999998</v>
      </c>
      <c r="F19" s="14" t="str">
        <f>_xll.BDH("GILD US Equity","EV_TO_EBIT_EX_OPERATING_LEASE","FQ2 2020","FQ2 2020","Currency=USD","Period=FQ","BEST_FPERIOD_OVERRIDE=FQ","FILING_STATUS=MR","FA_ADJUSTED=GAAP","Sort=A","Dates=H","DateFormat=P","Fill=—","Direction=H","UseDPDF=Y")</f>
        <v>—</v>
      </c>
      <c r="G19" s="14">
        <f>_xll.BDH("GILD US Equity","EV_TO_EBIT_EX_OPERATING_LEASE","FQ3 2020","FQ3 2020","Currency=USD","Period=FQ","BEST_FPERIOD_OVERRIDE=FQ","FILING_STATUS=MR","FA_ADJUSTED=GAAP","Sort=A","Dates=H","DateFormat=P","Fill=—","Direction=H","UseDPDF=Y")</f>
        <v>32.807000000000002</v>
      </c>
      <c r="H19" s="14">
        <f>_xll.BDH("GILD US Equity","EV_TO_EBIT_EX_OPERATING_LEASE","FQ4 2020","FQ4 2020","Currency=USD","Period=FQ","BEST_FPERIOD_OVERRIDE=FQ","FILING_STATUS=MR","FA_ADJUSTED=GAAP","Sort=A","Dates=H","DateFormat=P","Fill=—","Direction=H","UseDPDF=Y")</f>
        <v>23.7212</v>
      </c>
      <c r="I19" s="14">
        <f>_xll.BDH("GILD US Equity","EV_TO_EBIT_EX_OPERATING_LEASE","FQ1 2021","FQ1 2021","Currency=USD","Period=FQ","BEST_FPERIOD_OVERRIDE=FQ","FILING_STATUS=MR","FA_ADJUSTED=GAAP","Sort=A","Dates=H","DateFormat=P","Fill=—","Direction=H","UseDPDF=Y")</f>
        <v>23.026800000000001</v>
      </c>
      <c r="J19" s="14">
        <f>_xll.BDH("GILD US Equity","EV_TO_EBIT_EX_OPERATING_LEASE","FQ2 2021","FQ2 2021","Currency=USD","Period=FQ","BEST_FPERIOD_OVERRIDE=FQ","FILING_STATUS=MR","FA_ADJUSTED=GAAP","Sort=A","Dates=H","DateFormat=P","Fill=—","Direction=H","UseDPDF=Y")</f>
        <v>11.153600000000001</v>
      </c>
      <c r="K19" s="14">
        <f>_xll.BDH("GILD US Equity","EV_TO_EBIT_EX_OPERATING_LEASE","FQ3 2021","FQ3 2021","Currency=USD","Period=FQ","BEST_FPERIOD_OVERRIDE=FQ","FILING_STATUS=MR","FA_ADJUSTED=GAAP","Sort=A","Dates=H","DateFormat=P","Fill=—","Direction=H","UseDPDF=Y")</f>
        <v>9.3310999999999993</v>
      </c>
      <c r="L19" s="14">
        <f>_xll.BDH("GILD US Equity","EV_TO_EBIT_EX_OPERATING_LEASE","FQ4 2021","FQ4 2021","Currency=USD","Period=FQ","BEST_FPERIOD_OVERRIDE=FQ","FILING_STATUS=MR","FA_ADJUSTED=GAAP","Sort=A","Dates=H","DateFormat=P","Fill=—","Direction=H","UseDPDF=Y")</f>
        <v>11.0823</v>
      </c>
      <c r="M19" s="14">
        <f>_xll.BDH("GILD US Equity","EV_TO_EBIT_EX_OPERATING_LEASE","FQ1 2022","FQ1 2022","Currency=USD","Period=FQ","BEST_FPERIOD_OVERRIDE=FQ","FILING_STATUS=MR","FA_ADJUSTED=GAAP","Sort=A","Dates=H","DateFormat=P","Fill=—","Direction=H","UseDPDF=Y")</f>
        <v>13.017799999999999</v>
      </c>
      <c r="N19" s="14">
        <f>_xll.BDH("GILD US Equity","EV_TO_EBIT_EX_OPERATING_LEASE","FQ2 2022","FQ2 2022","Currency=USD","Period=FQ","BEST_FPERIOD_OVERRIDE=FQ","FILING_STATUS=MR","FA_ADJUSTED=GAAP","Sort=A","Dates=H","DateFormat=P","Fill=—","Direction=H","UseDPDF=Y")</f>
        <v>13.799200000000001</v>
      </c>
      <c r="O19" s="14">
        <f>_xll.BDH("GILD US Equity","EV_TO_EBIT_EX_OPERATING_LEASE","FQ3 2022","FQ3 2022","Currency=USD","Period=FQ","BEST_FPERIOD_OVERRIDE=FQ","FILING_STATUS=MR","FA_ADJUSTED=GAAP","Sort=A","Dates=H","DateFormat=P","Fill=—","Direction=H","UseDPDF=Y")</f>
        <v>15.928100000000001</v>
      </c>
      <c r="P19" s="14">
        <f>_xll.BDH("GILD US Equity","EV_TO_EBIT_EX_OPERATING_LEASE","FQ4 2022","FQ4 2022","Currency=USD","Period=FQ","BEST_FPERIOD_OVERRIDE=FQ","FILING_STATUS=MR","FA_ADJUSTED=GAAP","Sort=A","Dates=H","DateFormat=P","Fill=—","Direction=H","UseDPDF=Y")</f>
        <v>17.001899999999999</v>
      </c>
      <c r="Q19" s="14">
        <f>_xll.BDH("GILD US Equity","EV_TO_EBIT_EX_OPERATING_LEASE","FQ1 2023","FQ1 2023","Currency=USD","Period=FQ","BEST_FPERIOD_OVERRIDE=FQ","FILING_STATUS=MR","FA_ADJUSTED=GAAP","Sort=A","Dates=H","DateFormat=P","Fill=—","Direction=H","UseDPDF=Y")</f>
        <v>13.7507</v>
      </c>
      <c r="R19" s="14">
        <f>_xll.BDH("GILD US Equity","EV_TO_EBIT_EX_OPERATING_LEASE","FQ2 2023","FQ2 2023","Currency=USD","Period=FQ","BEST_FPERIOD_OVERRIDE=FQ","FILING_STATUS=MR","FA_ADJUSTED=GAAP","Sort=A","Dates=H","DateFormat=P","Fill=—","Direction=H","UseDPDF=Y")</f>
        <v>13.3688</v>
      </c>
      <c r="S19" s="14">
        <f>_xll.BDH("GILD US Equity","EV_TO_EBIT_EX_OPERATING_LEASE","FQ3 2023","FQ3 2023","Currency=USD","Period=FQ","BEST_FPERIOD_OVERRIDE=FQ","FILING_STATUS=MR","FA_ADJUSTED=GAAP","Sort=A","Dates=H","DateFormat=P","Fill=—","Direction=H","UseDPDF=Y")</f>
        <v>13.3584</v>
      </c>
      <c r="T19" s="14">
        <f>_xll.BDH("GILD US Equity","EV_TO_EBIT_EX_OPERATING_LEASE","FQ4 2023","FQ4 2023","Currency=USD","Period=FQ","BEST_FPERIOD_OVERRIDE=FQ","FILING_STATUS=MR","FA_ADJUSTED=GAAP","Sort=A","Dates=H","DateFormat=P","Fill=—","Direction=H","UseDPDF=Y")</f>
        <v>15.4391</v>
      </c>
      <c r="U19" s="14">
        <f>_xll.BDH("GILD US Equity","EV_TO_EBIT_EX_OPERATING_LEASE","FQ1 2024","FQ1 2024","Currency=USD","Period=FQ","BEST_FPERIOD_OVERRIDE=FQ","FILING_STATUS=MR","FA_ADJUSTED=GAAP","Sort=A","Dates=H","DateFormat=P","Fill=—","Direction=H","UseDPDF=Y")</f>
        <v>70.761399999999995</v>
      </c>
      <c r="V19" s="14">
        <f>_xll.BDH("GILD US Equity","EV_TO_EBIT_EX_OPERATING_LEASE","FQ2 2024","FQ2 2024","Currency=USD","Period=FQ","BEST_FPERIOD_OVERRIDE=FQ","FILING_STATUS=MR","FA_ADJUSTED=GAAP","Sort=A","Dates=H","DateFormat=P","Fill=—","Direction=H","UseDPDF=Y")</f>
        <v>41.447800000000001</v>
      </c>
      <c r="W19" s="14">
        <f>_xll.BDH("GILD US Equity","EV_TO_EBIT_EX_OPERATING_LEASE","FQ3 2024","FQ3 2024","Currency=USD","Period=FQ","BEST_FPERIOD_OVERRIDE=FQ","FILING_STATUS=MR","FA_ADJUSTED=GAAP","Sort=A","Dates=H","DateFormat=P","Fill=—","Direction=H","UseDPDF=Y")</f>
        <v>149.1395</v>
      </c>
      <c r="X19" s="14">
        <f>_xll.BDH("GILD US Equity","EV_TO_EBIT_EX_OPERATING_LEASE","FQ4 2024","FQ4 2024","Currency=USD","Period=FQ","BEST_FPERIOD_OVERRIDE=FQ","FILING_STATUS=MR","FA_ADJUSTED=GAAP","Sort=A","Dates=H","DateFormat=P","Fill=—","Direction=H","UseDPDF=Y")</f>
        <v>79.307100000000005</v>
      </c>
      <c r="Y19" s="17">
        <v>93.732215473977107</v>
      </c>
      <c r="Z19" s="14">
        <v>12.1111937189782</v>
      </c>
      <c r="AA19" s="14">
        <v>11.7657535515999</v>
      </c>
    </row>
    <row r="20" spans="1:27" x14ac:dyDescent="0.25">
      <c r="A20" s="10" t="s">
        <v>184</v>
      </c>
      <c r="B20" s="10" t="s">
        <v>304</v>
      </c>
      <c r="C20" s="14">
        <f>_xll.BDH("GILD US Equity","EV_EX_OP_LEA_LIABS_TO_CF_TO_FIRM","FQ3 2019","FQ3 2019","Currency=USD","Period=FQ","BEST_FPERIOD_OVERRIDE=FQ","FILING_STATUS=MR","FA_ADJUSTED=GAAP","Sort=A","Dates=H","DateFormat=P","Fill=—","Direction=H","UseDPDF=Y")</f>
        <v>8.2703000000000007</v>
      </c>
      <c r="D20" s="14" t="str">
        <f>_xll.BDH("GILD US Equity","EV_EX_OP_LEA_LIABS_TO_CF_TO_FIRM","FQ4 2019","FQ4 2019","Currency=USD","Period=FQ","BEST_FPERIOD_OVERRIDE=FQ","FILING_STATUS=MR","FA_ADJUSTED=GAAP","Sort=A","Dates=H","DateFormat=P","Fill=—","Direction=H","UseDPDF=Y")</f>
        <v>—</v>
      </c>
      <c r="E20" s="14" t="str">
        <f>_xll.BDH("GILD US Equity","EV_EX_OP_LEA_LIABS_TO_CF_TO_FIRM","FQ1 2020","FQ1 2020","Currency=USD","Period=FQ","BEST_FPERIOD_OVERRIDE=FQ","FILING_STATUS=MR","FA_ADJUSTED=GAAP","Sort=A","Dates=H","DateFormat=P","Fill=—","Direction=H","UseDPDF=Y")</f>
        <v>—</v>
      </c>
      <c r="F20" s="14" t="str">
        <f>_xll.BDH("GILD US Equity","EV_EX_OP_LEA_LIABS_TO_CF_TO_FIRM","FQ2 2020","FQ2 2020","Currency=USD","Period=FQ","BEST_FPERIOD_OVERRIDE=FQ","FILING_STATUS=MR","FA_ADJUSTED=GAAP","Sort=A","Dates=H","DateFormat=P","Fill=—","Direction=H","UseDPDF=Y")</f>
        <v>—</v>
      </c>
      <c r="G20" s="14">
        <f>_xll.BDH("GILD US Equity","EV_EX_OP_LEA_LIABS_TO_CF_TO_FIRM","FQ3 2020","FQ3 2020","Currency=USD","Period=FQ","BEST_FPERIOD_OVERRIDE=FQ","FILING_STATUS=MR","FA_ADJUSTED=GAAP","Sort=A","Dates=H","DateFormat=P","Fill=—","Direction=H","UseDPDF=Y")</f>
        <v>8.6722999999999999</v>
      </c>
      <c r="H20" s="14">
        <f>_xll.BDH("GILD US Equity","EV_EX_OP_LEA_LIABS_TO_CF_TO_FIRM","FQ4 2020","FQ4 2020","Currency=USD","Period=FQ","BEST_FPERIOD_OVERRIDE=FQ","FILING_STATUS=MR","FA_ADJUSTED=GAAP","Sort=A","Dates=H","DateFormat=P","Fill=—","Direction=H","UseDPDF=Y")</f>
        <v>11.747400000000001</v>
      </c>
      <c r="I20" s="14">
        <f>_xll.BDH("GILD US Equity","EV_EX_OP_LEA_LIABS_TO_CF_TO_FIRM","FQ1 2021","FQ1 2021","Currency=USD","Period=FQ","BEST_FPERIOD_OVERRIDE=FQ","FILING_STATUS=MR","FA_ADJUSTED=GAAP","Sort=A","Dates=H","DateFormat=P","Fill=—","Direction=H","UseDPDF=Y")</f>
        <v>11.069699999999999</v>
      </c>
      <c r="J20" s="14">
        <f>_xll.BDH("GILD US Equity","EV_EX_OP_LEA_LIABS_TO_CF_TO_FIRM","FQ2 2021","FQ2 2021","Currency=USD","Period=FQ","BEST_FPERIOD_OVERRIDE=FQ","FILING_STATUS=MR","FA_ADJUSTED=GAAP","Sort=A","Dates=H","DateFormat=P","Fill=—","Direction=H","UseDPDF=Y")</f>
        <v>11.0626</v>
      </c>
      <c r="K20" s="14">
        <f>_xll.BDH("GILD US Equity","EV_EX_OP_LEA_LIABS_TO_CF_TO_FIRM","FQ3 2021","FQ3 2021","Currency=USD","Period=FQ","BEST_FPERIOD_OVERRIDE=FQ","FILING_STATUS=MR","FA_ADJUSTED=GAAP","Sort=A","Dates=H","DateFormat=P","Fill=—","Direction=H","UseDPDF=Y")</f>
        <v>9.9476999999999993</v>
      </c>
      <c r="L20" s="14">
        <f>_xll.BDH("GILD US Equity","EV_EX_OP_LEA_LIABS_TO_CF_TO_FIRM","FQ4 2021","FQ4 2021","Currency=USD","Period=FQ","BEST_FPERIOD_OVERRIDE=FQ","FILING_STATUS=MR","FA_ADJUSTED=GAAP","Sort=A","Dates=H","DateFormat=P","Fill=—","Direction=H","UseDPDF=Y")</f>
        <v>9.0585000000000004</v>
      </c>
      <c r="M20" s="14">
        <f>_xll.BDH("GILD US Equity","EV_EX_OP_LEA_LIABS_TO_CF_TO_FIRM","FQ1 2022","FQ1 2022","Currency=USD","Period=FQ","BEST_FPERIOD_OVERRIDE=FQ","FILING_STATUS=MR","FA_ADJUSTED=GAAP","Sort=A","Dates=H","DateFormat=P","Fill=—","Direction=H","UseDPDF=Y")</f>
        <v>8.2748000000000008</v>
      </c>
      <c r="N20" s="14">
        <f>_xll.BDH("GILD US Equity","EV_EX_OP_LEA_LIABS_TO_CF_TO_FIRM","FQ2 2022","FQ2 2022","Currency=USD","Period=FQ","BEST_FPERIOD_OVERRIDE=FQ","FILING_STATUS=MR","FA_ADJUSTED=GAAP","Sort=A","Dates=H","DateFormat=P","Fill=—","Direction=H","UseDPDF=Y")</f>
        <v>8.9400999999999993</v>
      </c>
      <c r="O20" s="14">
        <f>_xll.BDH("GILD US Equity","EV_EX_OP_LEA_LIABS_TO_CF_TO_FIRM","FQ3 2022","FQ3 2022","Currency=USD","Period=FQ","BEST_FPERIOD_OVERRIDE=FQ","FILING_STATUS=MR","FA_ADJUSTED=GAAP","Sort=A","Dates=H","DateFormat=P","Fill=—","Direction=H","UseDPDF=Y")</f>
        <v>9.1938999999999993</v>
      </c>
      <c r="P20" s="14">
        <f>_xll.BDH("GILD US Equity","EV_EX_OP_LEA_LIABS_TO_CF_TO_FIRM","FQ4 2022","FQ4 2022","Currency=USD","Period=FQ","BEST_FPERIOD_OVERRIDE=FQ","FILING_STATUS=MR","FA_ADJUSTED=GAAP","Sort=A","Dates=H","DateFormat=P","Fill=—","Direction=H","UseDPDF=Y")</f>
        <v>12.7075</v>
      </c>
      <c r="Q20" s="14">
        <f>_xll.BDH("GILD US Equity","EV_EX_OP_LEA_LIABS_TO_CF_TO_FIRM","FQ1 2023","FQ1 2023","Currency=USD","Period=FQ","BEST_FPERIOD_OVERRIDE=FQ","FILING_STATUS=MR","FA_ADJUSTED=GAAP","Sort=A","Dates=H","DateFormat=P","Fill=—","Direction=H","UseDPDF=Y")</f>
        <v>12.5503</v>
      </c>
      <c r="R20" s="14">
        <f>_xll.BDH("GILD US Equity","EV_EX_OP_LEA_LIABS_TO_CF_TO_FIRM","FQ2 2023","FQ2 2023","Currency=USD","Period=FQ","BEST_FPERIOD_OVERRIDE=FQ","FILING_STATUS=MR","FA_ADJUSTED=GAAP","Sort=A","Dates=H","DateFormat=P","Fill=—","Direction=H","UseDPDF=Y")</f>
        <v>11.1174</v>
      </c>
      <c r="S20" s="14">
        <f>_xll.BDH("GILD US Equity","EV_EX_OP_LEA_LIABS_TO_CF_TO_FIRM","FQ3 2023","FQ3 2023","Currency=USD","Period=FQ","BEST_FPERIOD_OVERRIDE=FQ","FILING_STATUS=MR","FA_ADJUSTED=GAAP","Sort=A","Dates=H","DateFormat=P","Fill=—","Direction=H","UseDPDF=Y")</f>
        <v>12.066800000000001</v>
      </c>
      <c r="T20" s="14">
        <f>_xll.BDH("GILD US Equity","EV_EX_OP_LEA_LIABS_TO_CF_TO_FIRM","FQ4 2023","FQ4 2023","Currency=USD","Period=FQ","BEST_FPERIOD_OVERRIDE=FQ","FILING_STATUS=MR","FA_ADJUSTED=GAAP","Sort=A","Dates=H","DateFormat=P","Fill=—","Direction=H","UseDPDF=Y")</f>
        <v>13.375400000000001</v>
      </c>
      <c r="U20" s="14">
        <f>_xll.BDH("GILD US Equity","EV_EX_OP_LEA_LIABS_TO_CF_TO_FIRM","FQ1 2024","FQ1 2024","Currency=USD","Period=FQ","BEST_FPERIOD_OVERRIDE=FQ","FILING_STATUS=MR","FA_ADJUSTED=GAAP","Sort=A","Dates=H","DateFormat=P","Fill=—","Direction=H","UseDPDF=Y")</f>
        <v>12.553699999999999</v>
      </c>
      <c r="V20" s="14">
        <f>_xll.BDH("GILD US Equity","EV_EX_OP_LEA_LIABS_TO_CF_TO_FIRM","FQ2 2024","FQ2 2024","Currency=USD","Period=FQ","BEST_FPERIOD_OVERRIDE=FQ","FILING_STATUS=MR","FA_ADJUSTED=GAAP","Sort=A","Dates=H","DateFormat=P","Fill=—","Direction=H","UseDPDF=Y")</f>
        <v>13.0481</v>
      </c>
      <c r="W20" s="14">
        <f>_xll.BDH("GILD US Equity","EV_EX_OP_LEA_LIABS_TO_CF_TO_FIRM","FQ3 2024","FQ3 2024","Currency=USD","Period=FQ","BEST_FPERIOD_OVERRIDE=FQ","FILING_STATUS=MR","FA_ADJUSTED=GAAP","Sort=A","Dates=H","DateFormat=P","Fill=—","Direction=H","UseDPDF=Y")</f>
        <v>11.5037</v>
      </c>
      <c r="X20" s="14">
        <f>_xll.BDH("GILD US Equity","EV_EX_OP_LEA_LIABS_TO_CF_TO_FIRM","FQ4 2024","FQ4 2024","Currency=USD","Period=FQ","BEST_FPERIOD_OVERRIDE=FQ","FILING_STATUS=MR","FA_ADJUSTED=GAAP","Sort=A","Dates=H","DateFormat=P","Fill=—","Direction=H","UseDPDF=Y")</f>
        <v>11.4488</v>
      </c>
      <c r="Y20" s="17">
        <v>13.5384921200121</v>
      </c>
      <c r="Z20" s="14"/>
      <c r="AA20" s="14"/>
    </row>
    <row r="21" spans="1:27" x14ac:dyDescent="0.25">
      <c r="A21" s="10" t="s">
        <v>186</v>
      </c>
      <c r="B21" s="10" t="s">
        <v>305</v>
      </c>
      <c r="C21" s="14">
        <f>_xll.BDH("GILD US Equity","EV_EX_OP_LEA_LIAB_TO_FCF_TO_FIRM","FQ3 2019","FQ3 2019","Currency=USD","Period=FQ","BEST_FPERIOD_OVERRIDE=FQ","FILING_STATUS=MR","FA_ADJUSTED=GAAP","Sort=A","Dates=H","DateFormat=P","Fill=—","Direction=H","UseDPDF=Y")</f>
        <v>9.0886999999999993</v>
      </c>
      <c r="D21" s="14" t="str">
        <f>_xll.BDH("GILD US Equity","EV_EX_OP_LEA_LIAB_TO_FCF_TO_FIRM","FQ4 2019","FQ4 2019","Currency=USD","Period=FQ","BEST_FPERIOD_OVERRIDE=FQ","FILING_STATUS=MR","FA_ADJUSTED=GAAP","Sort=A","Dates=H","DateFormat=P","Fill=—","Direction=H","UseDPDF=Y")</f>
        <v>—</v>
      </c>
      <c r="E21" s="14" t="str">
        <f>_xll.BDH("GILD US Equity","EV_EX_OP_LEA_LIAB_TO_FCF_TO_FIRM","FQ1 2020","FQ1 2020","Currency=USD","Period=FQ","BEST_FPERIOD_OVERRIDE=FQ","FILING_STATUS=MR","FA_ADJUSTED=GAAP","Sort=A","Dates=H","DateFormat=P","Fill=—","Direction=H","UseDPDF=Y")</f>
        <v>—</v>
      </c>
      <c r="F21" s="14" t="str">
        <f>_xll.BDH("GILD US Equity","EV_EX_OP_LEA_LIAB_TO_FCF_TO_FIRM","FQ2 2020","FQ2 2020","Currency=USD","Period=FQ","BEST_FPERIOD_OVERRIDE=FQ","FILING_STATUS=MR","FA_ADJUSTED=GAAP","Sort=A","Dates=H","DateFormat=P","Fill=—","Direction=H","UseDPDF=Y")</f>
        <v>—</v>
      </c>
      <c r="G21" s="14">
        <f>_xll.BDH("GILD US Equity","EV_EX_OP_LEA_LIAB_TO_FCF_TO_FIRM","FQ3 2020","FQ3 2020","Currency=USD","Period=FQ","BEST_FPERIOD_OVERRIDE=FQ","FILING_STATUS=MR","FA_ADJUSTED=GAAP","Sort=A","Dates=H","DateFormat=P","Fill=—","Direction=H","UseDPDF=Y")</f>
        <v>9.3318999999999992</v>
      </c>
      <c r="H21" s="14">
        <f>_xll.BDH("GILD US Equity","EV_EX_OP_LEA_LIAB_TO_FCF_TO_FIRM","FQ4 2020","FQ4 2020","Currency=USD","Period=FQ","BEST_FPERIOD_OVERRIDE=FQ","FILING_STATUS=MR","FA_ADJUSTED=GAAP","Sort=A","Dates=H","DateFormat=P","Fill=—","Direction=H","UseDPDF=Y")</f>
        <v>12.756</v>
      </c>
      <c r="I21" s="14">
        <f>_xll.BDH("GILD US Equity","EV_EX_OP_LEA_LIAB_TO_FCF_TO_FIRM","FQ1 2021","FQ1 2021","Currency=USD","Period=FQ","BEST_FPERIOD_OVERRIDE=FQ","FILING_STATUS=MR","FA_ADJUSTED=GAAP","Sort=A","Dates=H","DateFormat=P","Fill=—","Direction=H","UseDPDF=Y")</f>
        <v>11.876200000000001</v>
      </c>
      <c r="J21" s="14">
        <f>_xll.BDH("GILD US Equity","EV_EX_OP_LEA_LIAB_TO_FCF_TO_FIRM","FQ2 2021","FQ2 2021","Currency=USD","Period=FQ","BEST_FPERIOD_OVERRIDE=FQ","FILING_STATUS=MR","FA_ADJUSTED=GAAP","Sort=A","Dates=H","DateFormat=P","Fill=—","Direction=H","UseDPDF=Y")</f>
        <v>11.8042</v>
      </c>
      <c r="K21" s="14">
        <f>_xll.BDH("GILD US Equity","EV_EX_OP_LEA_LIAB_TO_FCF_TO_FIRM","FQ3 2021","FQ3 2021","Currency=USD","Period=FQ","BEST_FPERIOD_OVERRIDE=FQ","FILING_STATUS=MR","FA_ADJUSTED=GAAP","Sort=A","Dates=H","DateFormat=P","Fill=—","Direction=H","UseDPDF=Y")</f>
        <v>10.530799999999999</v>
      </c>
      <c r="L21" s="14">
        <f>_xll.BDH("GILD US Equity","EV_EX_OP_LEA_LIAB_TO_FCF_TO_FIRM","FQ4 2021","FQ4 2021","Currency=USD","Period=FQ","BEST_FPERIOD_OVERRIDE=FQ","FILING_STATUS=MR","FA_ADJUSTED=GAAP","Sort=A","Dates=H","DateFormat=P","Fill=—","Direction=H","UseDPDF=Y")</f>
        <v>9.5123999999999995</v>
      </c>
      <c r="M21" s="14">
        <f>_xll.BDH("GILD US Equity","EV_EX_OP_LEA_LIAB_TO_FCF_TO_FIRM","FQ1 2022","FQ1 2022","Currency=USD","Period=FQ","BEST_FPERIOD_OVERRIDE=FQ","FILING_STATUS=MR","FA_ADJUSTED=GAAP","Sort=A","Dates=H","DateFormat=P","Fill=—","Direction=H","UseDPDF=Y")</f>
        <v>8.7857000000000003</v>
      </c>
      <c r="N21" s="14">
        <f>_xll.BDH("GILD US Equity","EV_EX_OP_LEA_LIAB_TO_FCF_TO_FIRM","FQ2 2022","FQ2 2022","Currency=USD","Period=FQ","BEST_FPERIOD_OVERRIDE=FQ","FILING_STATUS=MR","FA_ADJUSTED=GAAP","Sort=A","Dates=H","DateFormat=P","Fill=—","Direction=H","UseDPDF=Y")</f>
        <v>9.5446000000000009</v>
      </c>
      <c r="O21" s="14">
        <f>_xll.BDH("GILD US Equity","EV_EX_OP_LEA_LIAB_TO_FCF_TO_FIRM","FQ3 2022","FQ3 2022","Currency=USD","Period=FQ","BEST_FPERIOD_OVERRIDE=FQ","FILING_STATUS=MR","FA_ADJUSTED=GAAP","Sort=A","Dates=H","DateFormat=P","Fill=—","Direction=H","UseDPDF=Y")</f>
        <v>9.8605</v>
      </c>
      <c r="P21" s="14">
        <f>_xll.BDH("GILD US Equity","EV_EX_OP_LEA_LIAB_TO_FCF_TO_FIRM","FQ4 2022","FQ4 2022","Currency=USD","Period=FQ","BEST_FPERIOD_OVERRIDE=FQ","FILING_STATUS=MR","FA_ADJUSTED=GAAP","Sort=A","Dates=H","DateFormat=P","Fill=—","Direction=H","UseDPDF=Y")</f>
        <v>13.7265</v>
      </c>
      <c r="Q21" s="14">
        <f>_xll.BDH("GILD US Equity","EV_EX_OP_LEA_LIAB_TO_FCF_TO_FIRM","FQ1 2023","FQ1 2023","Currency=USD","Period=FQ","BEST_FPERIOD_OVERRIDE=FQ","FILING_STATUS=MR","FA_ADJUSTED=GAAP","Sort=A","Dates=H","DateFormat=P","Fill=—","Direction=H","UseDPDF=Y")</f>
        <v>13.364599999999999</v>
      </c>
      <c r="R21" s="14">
        <f>_xll.BDH("GILD US Equity","EV_EX_OP_LEA_LIAB_TO_FCF_TO_FIRM","FQ2 2023","FQ2 2023","Currency=USD","Period=FQ","BEST_FPERIOD_OVERRIDE=FQ","FILING_STATUS=MR","FA_ADJUSTED=GAAP","Sort=A","Dates=H","DateFormat=P","Fill=—","Direction=H","UseDPDF=Y")</f>
        <v>11.7957</v>
      </c>
      <c r="S21" s="14">
        <f>_xll.BDH("GILD US Equity","EV_EX_OP_LEA_LIAB_TO_FCF_TO_FIRM","FQ3 2023","FQ3 2023","Currency=USD","Period=FQ","BEST_FPERIOD_OVERRIDE=FQ","FILING_STATUS=MR","FA_ADJUSTED=GAAP","Sort=A","Dates=H","DateFormat=P","Fill=—","Direction=H","UseDPDF=Y")</f>
        <v>12.8406</v>
      </c>
      <c r="T21" s="14">
        <f>_xll.BDH("GILD US Equity","EV_EX_OP_LEA_LIAB_TO_FCF_TO_FIRM","FQ4 2023","FQ4 2023","Currency=USD","Period=FQ","BEST_FPERIOD_OVERRIDE=FQ","FILING_STATUS=MR","FA_ADJUSTED=GAAP","Sort=A","Dates=H","DateFormat=P","Fill=—","Direction=H","UseDPDF=Y")</f>
        <v>14.330399999999999</v>
      </c>
      <c r="U21" s="14">
        <f>_xll.BDH("GILD US Equity","EV_EX_OP_LEA_LIAB_TO_FCF_TO_FIRM","FQ1 2024","FQ1 2024","Currency=USD","Period=FQ","BEST_FPERIOD_OVERRIDE=FQ","FILING_STATUS=MR","FA_ADJUSTED=GAAP","Sort=A","Dates=H","DateFormat=P","Fill=—","Direction=H","UseDPDF=Y")</f>
        <v>13.430999999999999</v>
      </c>
      <c r="V21" s="14">
        <f>_xll.BDH("GILD US Equity","EV_EX_OP_LEA_LIAB_TO_FCF_TO_FIRM","FQ2 2024","FQ2 2024","Currency=USD","Period=FQ","BEST_FPERIOD_OVERRIDE=FQ","FILING_STATUS=MR","FA_ADJUSTED=GAAP","Sort=A","Dates=H","DateFormat=P","Fill=—","Direction=H","UseDPDF=Y")</f>
        <v>14.0366</v>
      </c>
      <c r="W21" s="14">
        <f>_xll.BDH("GILD US Equity","EV_EX_OP_LEA_LIAB_TO_FCF_TO_FIRM","FQ3 2024","FQ3 2024","Currency=USD","Period=FQ","BEST_FPERIOD_OVERRIDE=FQ","FILING_STATUS=MR","FA_ADJUSTED=GAAP","Sort=A","Dates=H","DateFormat=P","Fill=—","Direction=H","UseDPDF=Y")</f>
        <v>12.1792</v>
      </c>
      <c r="X21" s="14">
        <f>_xll.BDH("GILD US Equity","EV_EX_OP_LEA_LIAB_TO_FCF_TO_FIRM","FQ4 2024","FQ4 2024","Currency=USD","Period=FQ","BEST_FPERIOD_OVERRIDE=FQ","FILING_STATUS=MR","FA_ADJUSTED=GAAP","Sort=A","Dates=H","DateFormat=P","Fill=—","Direction=H","UseDPDF=Y")</f>
        <v>11.9939</v>
      </c>
      <c r="Y21" s="17">
        <v>14.183142977485399</v>
      </c>
      <c r="Z21" s="14"/>
      <c r="AA21" s="14"/>
    </row>
    <row r="22" spans="1:27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5"/>
      <c r="Z22" s="12"/>
      <c r="AA22" s="12"/>
    </row>
    <row r="23" spans="1:27" x14ac:dyDescent="0.25">
      <c r="A23" s="10" t="s">
        <v>188</v>
      </c>
      <c r="B23" s="10" t="s">
        <v>189</v>
      </c>
      <c r="C23" s="13">
        <f>_xll.BDH("GILD US Equity","DILUTED_MKT_CAP","FQ3 2019","FQ3 2019","Currency=USD","Period=FQ","BEST_FPERIOD_OVERRIDE=FQ","FILING_STATUS=MR","SCALING_FORMAT=MLN","Sort=A","Dates=H","DateFormat=P","Fill=—","Direction=H","UseDPDF=Y")</f>
        <v>80302.460000000006</v>
      </c>
      <c r="D23" s="13">
        <f>_xll.BDH("GILD US Equity","DILUTED_MKT_CAP","FQ4 2019","FQ4 2019","Currency=USD","Period=FQ","BEST_FPERIOD_OVERRIDE=FQ","FILING_STATUS=MR","SCALING_FORMAT=MLN","Sort=A","Dates=H","DateFormat=P","Fill=—","Direction=H","UseDPDF=Y")</f>
        <v>82719.539999999994</v>
      </c>
      <c r="E23" s="13">
        <f>_xll.BDH("GILD US Equity","DILUTED_MKT_CAP","FQ1 2020","FQ1 2020","Currency=USD","Period=FQ","BEST_FPERIOD_OVERRIDE=FQ","FILING_STATUS=MR","SCALING_FORMAT=MLN","Sort=A","Dates=H","DateFormat=P","Fill=—","Direction=H","UseDPDF=Y")</f>
        <v>94945.2</v>
      </c>
      <c r="F23" s="13">
        <f>_xll.BDH("GILD US Equity","DILUTED_MKT_CAP","FQ2 2020","FQ2 2020","Currency=USD","Period=FQ","BEST_FPERIOD_OVERRIDE=FQ","FILING_STATUS=MR","SCALING_FORMAT=MLN","Sort=A","Dates=H","DateFormat=P","Fill=—","Direction=H","UseDPDF=Y")</f>
        <v>96559.7</v>
      </c>
      <c r="G23" s="13">
        <f>_xll.BDH("GILD US Equity","DILUTED_MKT_CAP","FQ3 2020","FQ3 2020","Currency=USD","Period=FQ","BEST_FPERIOD_OVERRIDE=FQ","FILING_STATUS=MR","SCALING_FORMAT=MLN","Sort=A","Dates=H","DateFormat=P","Fill=—","Direction=H","UseDPDF=Y")</f>
        <v>79682.59</v>
      </c>
      <c r="H23" s="13">
        <f>_xll.BDH("GILD US Equity","DILUTED_MKT_CAP","FQ4 2020","FQ4 2020","Currency=USD","Period=FQ","BEST_FPERIOD_OVERRIDE=FQ","FILING_STATUS=MR","SCALING_FORMAT=MLN","Sort=A","Dates=H","DateFormat=P","Fill=—","Direction=H","UseDPDF=Y")</f>
        <v>73349.34</v>
      </c>
      <c r="I23" s="13">
        <f>_xll.BDH("GILD US Equity","DILUTED_MKT_CAP","FQ1 2021","FQ1 2021","Currency=USD","Period=FQ","BEST_FPERIOD_OVERRIDE=FQ","FILING_STATUS=MR","SCALING_FORMAT=MLN","Sort=A","Dates=H","DateFormat=P","Fill=—","Direction=H","UseDPDF=Y")</f>
        <v>81563.06</v>
      </c>
      <c r="J23" s="13">
        <f>_xll.BDH("GILD US Equity","DILUTED_MKT_CAP","FQ2 2021","FQ2 2021","Currency=USD","Period=FQ","BEST_FPERIOD_OVERRIDE=FQ","FILING_STATUS=MR","SCALING_FORMAT=MLN","Sort=A","Dates=H","DateFormat=P","Fill=—","Direction=H","UseDPDF=Y")</f>
        <v>86763.6</v>
      </c>
      <c r="K23" s="13">
        <f>_xll.BDH("GILD US Equity","DILUTED_MKT_CAP","FQ3 2021","FQ3 2021","Currency=USD","Period=FQ","BEST_FPERIOD_OVERRIDE=FQ","FILING_STATUS=MR","SCALING_FORMAT=MLN","Sort=A","Dates=H","DateFormat=P","Fill=—","Direction=H","UseDPDF=Y")</f>
        <v>88150.7</v>
      </c>
      <c r="L23" s="13">
        <f>_xll.BDH("GILD US Equity","DILUTED_MKT_CAP","FQ4 2021","FQ4 2021","Currency=USD","Period=FQ","BEST_FPERIOD_OVERRIDE=FQ","FILING_STATUS=MR","SCALING_FORMAT=MLN","Sort=A","Dates=H","DateFormat=P","Fill=—","Direction=H","UseDPDF=Y")</f>
        <v>91633.82</v>
      </c>
      <c r="M23" s="13">
        <f>_xll.BDH("GILD US Equity","DILUTED_MKT_CAP","FQ1 2022","FQ1 2022","Currency=USD","Period=FQ","BEST_FPERIOD_OVERRIDE=FQ","FILING_STATUS=MR","SCALING_FORMAT=MLN","Sort=A","Dates=H","DateFormat=P","Fill=—","Direction=H","UseDPDF=Y")</f>
        <v>75025.899999999994</v>
      </c>
      <c r="N23" s="13">
        <f>_xll.BDH("GILD US Equity","DILUTED_MKT_CAP","FQ2 2022","FQ2 2022","Currency=USD","Period=FQ","BEST_FPERIOD_OVERRIDE=FQ","FILING_STATUS=MR","SCALING_FORMAT=MLN","Sort=A","Dates=H","DateFormat=P","Fill=—","Direction=H","UseDPDF=Y")</f>
        <v>77880.600000000006</v>
      </c>
      <c r="O23" s="13">
        <f>_xll.BDH("GILD US Equity","DILUTED_MKT_CAP","FQ3 2022","FQ3 2022","Currency=USD","Period=FQ","BEST_FPERIOD_OVERRIDE=FQ","FILING_STATUS=MR","SCALING_FORMAT=MLN","Sort=A","Dates=H","DateFormat=P","Fill=—","Direction=H","UseDPDF=Y")</f>
        <v>77791.09</v>
      </c>
      <c r="P23" s="13">
        <f>_xll.BDH("GILD US Equity","DILUTED_MKT_CAP","FQ4 2022","FQ4 2022","Currency=USD","Period=FQ","BEST_FPERIOD_OVERRIDE=FQ","FILING_STATUS=MR","SCALING_FORMAT=MLN","Sort=A","Dates=H","DateFormat=P","Fill=—","Direction=H","UseDPDF=Y")</f>
        <v>108514.4</v>
      </c>
      <c r="Q23" s="13">
        <f>_xll.BDH("GILD US Equity","DILUTED_MKT_CAP","FQ1 2023","FQ1 2023","Currency=USD","Period=FQ","BEST_FPERIOD_OVERRIDE=FQ","FILING_STATUS=MR","SCALING_FORMAT=MLN","Sort=A","Dates=H","DateFormat=P","Fill=—","Direction=H","UseDPDF=Y")</f>
        <v>103546.56</v>
      </c>
      <c r="R23" s="13">
        <f>_xll.BDH("GILD US Equity","DILUTED_MKT_CAP","FQ2 2023","FQ2 2023","Currency=USD","Period=FQ","BEST_FPERIOD_OVERRIDE=FQ","FILING_STATUS=MR","SCALING_FORMAT=MLN","Sort=A","Dates=H","DateFormat=P","Fill=—","Direction=H","UseDPDF=Y")</f>
        <v>96954.06</v>
      </c>
      <c r="S23" s="13">
        <f>_xll.BDH("GILD US Equity","DILUTED_MKT_CAP","FQ3 2023","FQ3 2023","Currency=USD","Period=FQ","BEST_FPERIOD_OVERRIDE=FQ","FILING_STATUS=MR","SCALING_FORMAT=MLN","Sort=A","Dates=H","DateFormat=P","Fill=—","Direction=H","UseDPDF=Y")</f>
        <v>94199.58</v>
      </c>
      <c r="T23" s="13">
        <f>_xll.BDH("GILD US Equity","DILUTED_MKT_CAP","FQ4 2023","FQ4 2023","Currency=USD","Period=FQ","BEST_FPERIOD_OVERRIDE=FQ","FILING_STATUS=MR","SCALING_FORMAT=MLN","Sort=A","Dates=H","DateFormat=P","Fill=—","Direction=H","UseDPDF=Y")</f>
        <v>101748.56</v>
      </c>
      <c r="U23" s="13">
        <f>_xll.BDH("GILD US Equity","DILUTED_MKT_CAP","FQ1 2024","FQ1 2024","Currency=USD","Period=FQ","BEST_FPERIOD_OVERRIDE=FQ","FILING_STATUS=MR","SCALING_FORMAT=MLN","Sort=A","Dates=H","DateFormat=P","Fill=—","Direction=H","UseDPDF=Y")</f>
        <v>91342.75</v>
      </c>
      <c r="V23" s="13">
        <f>_xll.BDH("GILD US Equity","DILUTED_MKT_CAP","FQ2 2024","FQ2 2024","Currency=USD","Period=FQ","BEST_FPERIOD_OVERRIDE=FQ","FILING_STATUS=MR","SCALING_FORMAT=MLN","Sort=A","Dates=H","DateFormat=P","Fill=—","Direction=H","UseDPDF=Y")</f>
        <v>85831.11</v>
      </c>
      <c r="W23" s="13">
        <f>_xll.BDH("GILD US Equity","DILUTED_MKT_CAP","FQ3 2024","FQ3 2024","Currency=USD","Period=FQ","BEST_FPERIOD_OVERRIDE=FQ","FILING_STATUS=MR","SCALING_FORMAT=MLN","Sort=A","Dates=H","DateFormat=P","Fill=—","Direction=H","UseDPDF=Y")</f>
        <v>105135.36</v>
      </c>
      <c r="X23" s="13">
        <f>_xll.BDH("GILD US Equity","DILUTED_MKT_CAP","FQ4 2024","FQ4 2024","Currency=USD","Period=FQ","BEST_FPERIOD_OVERRIDE=FQ","FILING_STATUS=MR","SCALING_FORMAT=MLN","Sort=A","Dates=H","DateFormat=P","Fill=—","Direction=H","UseDPDF=Y")</f>
        <v>116293.83</v>
      </c>
      <c r="Y23" s="16">
        <v>140693.25</v>
      </c>
      <c r="Z23" s="13"/>
      <c r="AA23" s="13"/>
    </row>
    <row r="24" spans="1:27" x14ac:dyDescent="0.25">
      <c r="A24" s="10" t="s">
        <v>190</v>
      </c>
      <c r="B24" s="10" t="s">
        <v>306</v>
      </c>
      <c r="C24" s="13">
        <f>_xll.BDH("GILD US Equity","DILUTED_EV_EX_OPERATING_LEASE","FQ3 2019","FQ3 2019","Currency=USD","Period=FQ","BEST_FPERIOD_OVERRIDE=FQ","FILING_STATUS=MR","SCALING_FORMAT=MLN","Sort=A","Dates=H","DateFormat=P","Fill=—","Direction=H","UseDPDF=Y")</f>
        <v>79908.08</v>
      </c>
      <c r="D24" s="13">
        <f>_xll.BDH("GILD US Equity","DILUTED_EV_EX_OPERATING_LEASE","FQ4 2019","FQ4 2019","Currency=USD","Period=FQ","BEST_FPERIOD_OVERRIDE=FQ","FILING_STATUS=MR","SCALING_FORMAT=MLN","Sort=A","Dates=H","DateFormat=P","Fill=—","Direction=H","UseDPDF=Y")</f>
        <v>81597.539999999994</v>
      </c>
      <c r="E24" s="13">
        <f>_xll.BDH("GILD US Equity","DILUTED_EV_EX_OPERATING_LEASE","FQ1 2020","FQ1 2020","Currency=USD","Period=FQ","BEST_FPERIOD_OVERRIDE=FQ","FILING_STATUS=MR","SCALING_FORMAT=MLN","Sort=A","Dates=H","DateFormat=P","Fill=—","Direction=H","UseDPDF=Y")</f>
        <v>94238.328699999998</v>
      </c>
      <c r="F24" s="13">
        <f>_xll.BDH("GILD US Equity","DILUTED_EV_EX_OPERATING_LEASE","FQ2 2020","FQ2 2020","Currency=USD","Period=FQ","BEST_FPERIOD_OVERRIDE=FQ","FILING_STATUS=MR","SCALING_FORMAT=MLN","Sort=A","Dates=H","DateFormat=P","Fill=—","Direction=H","UseDPDF=Y")</f>
        <v>99509.759999999995</v>
      </c>
      <c r="G24" s="13">
        <f>_xll.BDH("GILD US Equity","DILUTED_EV_EX_OPERATING_LEASE","FQ3 2020","FQ3 2020","Currency=USD","Period=FQ","BEST_FPERIOD_OVERRIDE=FQ","FILING_STATUS=MR","SCALING_FORMAT=MLN","Sort=A","Dates=H","DateFormat=P","Fill=—","Direction=H","UseDPDF=Y")</f>
        <v>82822.605800000005</v>
      </c>
      <c r="H24" s="13">
        <f>_xll.BDH("GILD US Equity","DILUTED_EV_EX_OPERATING_LEASE","FQ4 2020","FQ4 2020","Currency=USD","Period=FQ","BEST_FPERIOD_OVERRIDE=FQ","FILING_STATUS=MR","SCALING_FORMAT=MLN","Sort=A","Dates=H","DateFormat=P","Fill=—","Direction=H","UseDPDF=Y")</f>
        <v>96801.8943</v>
      </c>
      <c r="I24" s="13">
        <f>_xll.BDH("GILD US Equity","DILUTED_EV_EX_OPERATING_LEASE","FQ1 2021","FQ1 2021","Currency=USD","Period=FQ","BEST_FPERIOD_OVERRIDE=FQ","FILING_STATUS=MR","SCALING_FORMAT=MLN","Sort=A","Dates=H","DateFormat=P","Fill=—","Direction=H","UseDPDF=Y")</f>
        <v>105366.1825</v>
      </c>
      <c r="J24" s="13">
        <f>_xll.BDH("GILD US Equity","DILUTED_EV_EX_OPERATING_LEASE","FQ2 2021","FQ2 2021","Currency=USD","Period=FQ","BEST_FPERIOD_OVERRIDE=FQ","FILING_STATUS=MR","SCALING_FORMAT=MLN","Sort=A","Dates=H","DateFormat=P","Fill=—","Direction=H","UseDPDF=Y")</f>
        <v>109515.4657</v>
      </c>
      <c r="K24" s="13">
        <f>_xll.BDH("GILD US Equity","DILUTED_EV_EX_OPERATING_LEASE","FQ3 2021","FQ3 2021","Currency=USD","Period=FQ","BEST_FPERIOD_OVERRIDE=FQ","FILING_STATUS=MR","SCALING_FORMAT=MLN","Sort=A","Dates=H","DateFormat=P","Fill=—","Direction=H","UseDPDF=Y")</f>
        <v>108930.5163</v>
      </c>
      <c r="L24" s="13">
        <f>_xll.BDH("GILD US Equity","DILUTED_EV_EX_OPERATING_LEASE","FQ4 2021","FQ4 2021","Currency=USD","Period=FQ","BEST_FPERIOD_OVERRIDE=FQ","FILING_STATUS=MR","SCALING_FORMAT=MLN","Sort=A","Dates=H","DateFormat=P","Fill=—","Direction=H","UseDPDF=Y")</f>
        <v>110348.9063</v>
      </c>
      <c r="M24" s="13">
        <f>_xll.BDH("GILD US Equity","DILUTED_EV_EX_OPERATING_LEASE","FQ1 2022","FQ1 2022","Currency=USD","Period=FQ","BEST_FPERIOD_OVERRIDE=FQ","FILING_STATUS=MR","SCALING_FORMAT=MLN","Sort=A","Dates=H","DateFormat=P","Fill=—","Direction=H","UseDPDF=Y")</f>
        <v>94469.9</v>
      </c>
      <c r="N24" s="13">
        <f>_xll.BDH("GILD US Equity","DILUTED_EV_EX_OPERATING_LEASE","FQ2 2022","FQ2 2022","Currency=USD","Period=FQ","BEST_FPERIOD_OVERRIDE=FQ","FILING_STATUS=MR","SCALING_FORMAT=MLN","Sort=A","Dates=H","DateFormat=P","Fill=—","Direction=H","UseDPDF=Y")</f>
        <v>96951.586299999995</v>
      </c>
      <c r="O24" s="13">
        <f>_xll.BDH("GILD US Equity","DILUTED_EV_EX_OPERATING_LEASE","FQ3 2022","FQ3 2022","Currency=USD","Period=FQ","BEST_FPERIOD_OVERRIDE=FQ","FILING_STATUS=MR","SCALING_FORMAT=MLN","Sort=A","Dates=H","DateFormat=P","Fill=—","Direction=H","UseDPDF=Y")</f>
        <v>95986.105100000001</v>
      </c>
      <c r="P24" s="13">
        <f>_xll.BDH("GILD US Equity","DILUTED_EV_EX_OPERATING_LEASE","FQ4 2022","FQ4 2022","Currency=USD","Period=FQ","BEST_FPERIOD_OVERRIDE=FQ","FILING_STATUS=MR","SCALING_FORMAT=MLN","Sort=A","Dates=H","DateFormat=P","Fill=—","Direction=H","UseDPDF=Y")</f>
        <v>125650.0358</v>
      </c>
      <c r="Q24" s="13">
        <f>_xll.BDH("GILD US Equity","DILUTED_EV_EX_OPERATING_LEASE","FQ1 2023","FQ1 2023","Currency=USD","Period=FQ","BEST_FPERIOD_OVERRIDE=FQ","FILING_STATUS=MR","SCALING_FORMAT=MLN","Sort=A","Dates=H","DateFormat=P","Fill=—","Direction=H","UseDPDF=Y")</f>
        <v>121528.56</v>
      </c>
      <c r="R24" s="13">
        <f>_xll.BDH("GILD US Equity","DILUTED_EV_EX_OPERATING_LEASE","FQ2 2023","FQ2 2023","Currency=USD","Period=FQ","BEST_FPERIOD_OVERRIDE=FQ","FILING_STATUS=MR","SCALING_FORMAT=MLN","Sort=A","Dates=H","DateFormat=P","Fill=—","Direction=H","UseDPDF=Y")</f>
        <v>113979.80929999999</v>
      </c>
      <c r="S24" s="13">
        <f>_xll.BDH("GILD US Equity","DILUTED_EV_EX_OPERATING_LEASE","FQ3 2023","FQ3 2023","Currency=USD","Period=FQ","BEST_FPERIOD_OVERRIDE=FQ","FILING_STATUS=MR","SCALING_FORMAT=MLN","Sort=A","Dates=H","DateFormat=P","Fill=—","Direction=H","UseDPDF=Y")</f>
        <v>111014.0996</v>
      </c>
      <c r="T24" s="13">
        <f>_xll.BDH("GILD US Equity","DILUTED_EV_EX_OPERATING_LEASE","FQ4 2023","FQ4 2023","Currency=USD","Period=FQ","BEST_FPERIOD_OVERRIDE=FQ","FILING_STATUS=MR","SCALING_FORMAT=MLN","Sort=A","Dates=H","DateFormat=P","Fill=—","Direction=H","UseDPDF=Y")</f>
        <v>118061.50139999999</v>
      </c>
      <c r="U24" s="13">
        <f>_xll.BDH("GILD US Equity","DILUTED_EV_EX_OPERATING_LEASE","FQ1 2024","FQ1 2024","Currency=USD","Period=FQ","BEST_FPERIOD_OVERRIDE=FQ","FILING_STATUS=MR","SCALING_FORMAT=MLN","Sort=A","Dates=H","DateFormat=P","Fill=—","Direction=H","UseDPDF=Y")</f>
        <v>111661.5</v>
      </c>
      <c r="V24" s="13">
        <f>_xll.BDH("GILD US Equity","DILUTED_EV_EX_OPERATING_LEASE","FQ2 2024","FQ2 2024","Currency=USD","Period=FQ","BEST_FPERIOD_OVERRIDE=FQ","FILING_STATUS=MR","SCALING_FORMAT=MLN","Sort=A","Dates=H","DateFormat=P","Fill=—","Direction=H","UseDPDF=Y")</f>
        <v>106256.27989999999</v>
      </c>
      <c r="W24" s="13">
        <f>_xll.BDH("GILD US Equity","DILUTED_EV_EX_OPERATING_LEASE","FQ3 2024","FQ3 2024","Currency=USD","Period=FQ","BEST_FPERIOD_OVERRIDE=FQ","FILING_STATUS=MR","SCALING_FORMAT=MLN","Sort=A","Dates=H","DateFormat=P","Fill=—","Direction=H","UseDPDF=Y")</f>
        <v>123179.0494</v>
      </c>
      <c r="X24" s="13">
        <f>_xll.BDH("GILD US Equity","DILUTED_EV_EX_OPERATING_LEASE","FQ4 2024","FQ4 2024","Currency=USD","Period=FQ","BEST_FPERIOD_OVERRIDE=FQ","FILING_STATUS=MR","SCALING_FORMAT=MLN","Sort=A","Dates=H","DateFormat=P","Fill=—","Direction=H","UseDPDF=Y")</f>
        <v>132743.46170000001</v>
      </c>
      <c r="Y24" s="16">
        <v>132743.461682692</v>
      </c>
      <c r="Z24" s="13"/>
      <c r="AA24" s="13"/>
    </row>
    <row r="25" spans="1:27" x14ac:dyDescent="0.25">
      <c r="A25" s="10" t="s">
        <v>192</v>
      </c>
      <c r="B25" s="10" t="s">
        <v>307</v>
      </c>
      <c r="C25" s="14">
        <f>_xll.BDH("GILD US Equity","EV_EX_OP_LEA_LIAB_TO_SHS_OUTSTDG","FQ3 2019","FQ3 2019","Currency=USD","Period=FQ","BEST_FPERIOD_OVERRIDE=FQ","FILING_STATUS=MR","Sort=A","Dates=H","DateFormat=P","Fill=—","Direction=H","UseDPDF=Y")</f>
        <v>63.118499999999997</v>
      </c>
      <c r="D25" s="14">
        <f>_xll.BDH("GILD US Equity","EV_EX_OP_LEA_LIAB_TO_SHS_OUTSTDG","FQ4 2019","FQ4 2019","Currency=USD","Period=FQ","BEST_FPERIOD_OVERRIDE=FQ","FILING_STATUS=MR","Sort=A","Dates=H","DateFormat=P","Fill=—","Direction=H","UseDPDF=Y")</f>
        <v>64.093699999999998</v>
      </c>
      <c r="E25" s="14">
        <f>_xll.BDH("GILD US Equity","EV_EX_OP_LEA_LIAB_TO_SHS_OUTSTDG","FQ1 2020","FQ1 2020","Currency=USD","Period=FQ","BEST_FPERIOD_OVERRIDE=FQ","FILING_STATUS=MR","Sort=A","Dates=H","DateFormat=P","Fill=—","Direction=H","UseDPDF=Y")</f>
        <v>74.676299999999998</v>
      </c>
      <c r="F25" s="14">
        <f>_xll.BDH("GILD US Equity","EV_EX_OP_LEA_LIAB_TO_SHS_OUTSTDG","FQ2 2020","FQ2 2020","Currency=USD","Period=FQ","BEST_FPERIOD_OVERRIDE=FQ","FILING_STATUS=MR","Sort=A","Dates=H","DateFormat=P","Fill=—","Direction=H","UseDPDF=Y")</f>
        <v>79.353899999999996</v>
      </c>
      <c r="G25" s="14">
        <f>_xll.BDH("GILD US Equity","EV_EX_OP_LEA_LIAB_TO_SHS_OUTSTDG","FQ3 2020","FQ3 2020","Currency=USD","Period=FQ","BEST_FPERIOD_OVERRIDE=FQ","FILING_STATUS=MR","Sort=A","Dates=H","DateFormat=P","Fill=—","Direction=H","UseDPDF=Y")</f>
        <v>65.797300000000007</v>
      </c>
      <c r="H25" s="14">
        <f>_xll.BDH("GILD US Equity","EV_EX_OP_LEA_LIAB_TO_SHS_OUTSTDG","FQ4 2020","FQ4 2020","Currency=USD","Period=FQ","BEST_FPERIOD_OVERRIDE=FQ","FILING_STATUS=MR","Sort=A","Dates=H","DateFormat=P","Fill=—","Direction=H","UseDPDF=Y")</f>
        <v>77.008799999999994</v>
      </c>
      <c r="I25" s="14">
        <f>_xll.BDH("GILD US Equity","EV_EX_OP_LEA_LIAB_TO_SHS_OUTSTDG","FQ1 2021","FQ1 2021","Currency=USD","Period=FQ","BEST_FPERIOD_OVERRIDE=FQ","FILING_STATUS=MR","Sort=A","Dates=H","DateFormat=P","Fill=—","Direction=H","UseDPDF=Y")</f>
        <v>83.715299999999999</v>
      </c>
      <c r="J25" s="14">
        <f>_xll.BDH("GILD US Equity","EV_EX_OP_LEA_LIAB_TO_SHS_OUTSTDG","FQ2 2021","FQ2 2021","Currency=USD","Period=FQ","BEST_FPERIOD_OVERRIDE=FQ","FILING_STATUS=MR","Sort=A","Dates=H","DateFormat=P","Fill=—","Direction=H","UseDPDF=Y")</f>
        <v>87.058599999999998</v>
      </c>
      <c r="K25" s="14">
        <f>_xll.BDH("GILD US Equity","EV_EX_OP_LEA_LIAB_TO_SHS_OUTSTDG","FQ3 2021","FQ3 2021","Currency=USD","Period=FQ","BEST_FPERIOD_OVERRIDE=FQ","FILING_STATUS=MR","Sort=A","Dates=H","DateFormat=P","Fill=—","Direction=H","UseDPDF=Y")</f>
        <v>86.463499999999996</v>
      </c>
      <c r="L25" s="14">
        <f>_xll.BDH("GILD US Equity","EV_EX_OP_LEA_LIAB_TO_SHS_OUTSTDG","FQ4 2021","FQ4 2021","Currency=USD","Period=FQ","BEST_FPERIOD_OVERRIDE=FQ","FILING_STATUS=MR","Sort=A","Dates=H","DateFormat=P","Fill=—","Direction=H","UseDPDF=Y")</f>
        <v>87.650700000000001</v>
      </c>
      <c r="M25" s="14">
        <f>_xll.BDH("GILD US Equity","EV_EX_OP_LEA_LIAB_TO_SHS_OUTSTDG","FQ1 2022","FQ1 2022","Currency=USD","Period=FQ","BEST_FPERIOD_OVERRIDE=FQ","FILING_STATUS=MR","Sort=A","Dates=H","DateFormat=P","Fill=—","Direction=H","UseDPDF=Y")</f>
        <v>74.943200000000004</v>
      </c>
      <c r="N25" s="14">
        <f>_xll.BDH("GILD US Equity","EV_EX_OP_LEA_LIAB_TO_SHS_OUTSTDG","FQ2 2022","FQ2 2022","Currency=USD","Period=FQ","BEST_FPERIOD_OVERRIDE=FQ","FILING_STATUS=MR","Sort=A","Dates=H","DateFormat=P","Fill=—","Direction=H","UseDPDF=Y")</f>
        <v>77.117000000000004</v>
      </c>
      <c r="O25" s="14">
        <f>_xll.BDH("GILD US Equity","EV_EX_OP_LEA_LIAB_TO_SHS_OUTSTDG","FQ3 2022","FQ3 2022","Currency=USD","Period=FQ","BEST_FPERIOD_OVERRIDE=FQ","FILING_STATUS=MR","Sort=A","Dates=H","DateFormat=P","Fill=—","Direction=H","UseDPDF=Y")</f>
        <v>76.248999999999995</v>
      </c>
      <c r="P25" s="14">
        <f>_xll.BDH("GILD US Equity","EV_EX_OP_LEA_LIAB_TO_SHS_OUTSTDG","FQ4 2022","FQ4 2022","Currency=USD","Period=FQ","BEST_FPERIOD_OVERRIDE=FQ","FILING_STATUS=MR","Sort=A","Dates=H","DateFormat=P","Fill=—","Direction=H","UseDPDF=Y")</f>
        <v>99.938999999999993</v>
      </c>
      <c r="Q25" s="14">
        <f>_xll.BDH("GILD US Equity","EV_EX_OP_LEA_LIAB_TO_SHS_OUTSTDG","FQ1 2023","FQ1 2023","Currency=USD","Period=FQ","BEST_FPERIOD_OVERRIDE=FQ","FILING_STATUS=MR","Sort=A","Dates=H","DateFormat=P","Fill=—","Direction=H","UseDPDF=Y")</f>
        <v>97.378699999999995</v>
      </c>
      <c r="R25" s="14">
        <f>_xll.BDH("GILD US Equity","EV_EX_OP_LEA_LIAB_TO_SHS_OUTSTDG","FQ2 2023","FQ2 2023","Currency=USD","Period=FQ","BEST_FPERIOD_OVERRIDE=FQ","FILING_STATUS=MR","Sort=A","Dates=H","DateFormat=P","Fill=—","Direction=H","UseDPDF=Y")</f>
        <v>90.847899999999996</v>
      </c>
      <c r="S25" s="14">
        <f>_xll.BDH("GILD US Equity","EV_EX_OP_LEA_LIAB_TO_SHS_OUTSTDG","FQ3 2023","FQ3 2023","Currency=USD","Period=FQ","BEST_FPERIOD_OVERRIDE=FQ","FILING_STATUS=MR","Sort=A","Dates=H","DateFormat=P","Fill=—","Direction=H","UseDPDF=Y")</f>
        <v>88.484499999999997</v>
      </c>
      <c r="T25" s="14">
        <f>_xll.BDH("GILD US Equity","EV_EX_OP_LEA_LIAB_TO_SHS_OUTSTDG","FQ4 2023","FQ4 2023","Currency=USD","Period=FQ","BEST_FPERIOD_OVERRIDE=FQ","FILING_STATUS=MR","Sort=A","Dates=H","DateFormat=P","Fill=—","Direction=H","UseDPDF=Y")</f>
        <v>94.233099999999993</v>
      </c>
      <c r="U25" s="14">
        <f>_xll.BDH("GILD US Equity","EV_EX_OP_LEA_LIAB_TO_SHS_OUTSTDG","FQ1 2024","FQ1 2024","Currency=USD","Period=FQ","BEST_FPERIOD_OVERRIDE=FQ","FILING_STATUS=MR","Sort=A","Dates=H","DateFormat=P","Fill=—","Direction=H","UseDPDF=Y")</f>
        <v>89.616</v>
      </c>
      <c r="V25" s="14">
        <f>_xll.BDH("GILD US Equity","EV_EX_OP_LEA_LIAB_TO_SHS_OUTSTDG","FQ2 2024","FQ2 2024","Currency=USD","Period=FQ","BEST_FPERIOD_OVERRIDE=FQ","FILING_STATUS=MR","Sort=A","Dates=H","DateFormat=P","Fill=—","Direction=H","UseDPDF=Y")</f>
        <v>85.0578</v>
      </c>
      <c r="W25" s="14">
        <f>_xll.BDH("GILD US Equity","EV_EX_OP_LEA_LIAB_TO_SHS_OUTSTDG","FQ3 2024","FQ3 2024","Currency=USD","Period=FQ","BEST_FPERIOD_OVERRIDE=FQ","FILING_STATUS=MR","Sort=A","Dates=H","DateFormat=P","Fill=—","Direction=H","UseDPDF=Y")</f>
        <v>98.388999999999996</v>
      </c>
      <c r="X25" s="14">
        <f>_xll.BDH("GILD US Equity","EV_EX_OP_LEA_LIAB_TO_SHS_OUTSTDG","FQ4 2024","FQ4 2024","Currency=USD","Period=FQ","BEST_FPERIOD_OVERRIDE=FQ","FILING_STATUS=MR","Sort=A","Dates=H","DateFormat=P","Fill=—","Direction=H","UseDPDF=Y")</f>
        <v>105.72150000000001</v>
      </c>
      <c r="Y25" s="17">
        <v>125.02643829675</v>
      </c>
      <c r="Z25" s="14"/>
      <c r="AA25" s="14"/>
    </row>
    <row r="26" spans="1:27" x14ac:dyDescent="0.25">
      <c r="A26" s="1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5"/>
      <c r="Z26" s="12"/>
      <c r="AA26" s="12"/>
    </row>
    <row r="27" spans="1:27" x14ac:dyDescent="0.25">
      <c r="A27" s="10" t="s">
        <v>4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5"/>
      <c r="Z27" s="12"/>
      <c r="AA27" s="12"/>
    </row>
    <row r="28" spans="1:27" x14ac:dyDescent="0.25">
      <c r="A28" s="11" t="s">
        <v>194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7"/>
      <c r="Z28" s="24"/>
      <c r="AA28" s="24"/>
    </row>
    <row r="29" spans="1:27" x14ac:dyDescent="0.25">
      <c r="A29" s="10" t="s">
        <v>195</v>
      </c>
      <c r="B29" s="10" t="s">
        <v>196</v>
      </c>
      <c r="C29" s="12" t="s">
        <v>197</v>
      </c>
      <c r="D29" s="12" t="s">
        <v>197</v>
      </c>
      <c r="E29" s="12" t="s">
        <v>197</v>
      </c>
      <c r="F29" s="12" t="s">
        <v>197</v>
      </c>
      <c r="G29" s="12" t="s">
        <v>197</v>
      </c>
      <c r="H29" s="12" t="s">
        <v>197</v>
      </c>
      <c r="I29" s="12" t="s">
        <v>197</v>
      </c>
      <c r="J29" s="12" t="s">
        <v>197</v>
      </c>
      <c r="K29" s="12" t="s">
        <v>197</v>
      </c>
      <c r="L29" s="12" t="s">
        <v>197</v>
      </c>
      <c r="M29" s="12" t="s">
        <v>197</v>
      </c>
      <c r="N29" s="12" t="s">
        <v>197</v>
      </c>
      <c r="O29" s="12" t="s">
        <v>197</v>
      </c>
      <c r="P29" s="12" t="s">
        <v>197</v>
      </c>
      <c r="Q29" s="12" t="s">
        <v>197</v>
      </c>
      <c r="R29" s="12" t="s">
        <v>197</v>
      </c>
      <c r="S29" s="12" t="s">
        <v>197</v>
      </c>
      <c r="T29" s="12" t="s">
        <v>197</v>
      </c>
      <c r="U29" s="12" t="s">
        <v>197</v>
      </c>
      <c r="V29" s="12" t="s">
        <v>197</v>
      </c>
      <c r="W29" s="12" t="s">
        <v>197</v>
      </c>
      <c r="X29" s="12" t="s">
        <v>197</v>
      </c>
      <c r="Y29" s="15" t="s">
        <v>197</v>
      </c>
      <c r="Z29" s="12"/>
      <c r="AA29" s="12"/>
    </row>
    <row r="30" spans="1:27" x14ac:dyDescent="0.25">
      <c r="A30" s="10" t="s">
        <v>198</v>
      </c>
      <c r="B30" s="10" t="s">
        <v>199</v>
      </c>
      <c r="C30" s="13">
        <f>_xll.BDH("GILD US Equity","TRAIL_12M_NET_SALES","FQ3 2019","FQ3 2019","Currency=USD","Period=FQ","BEST_FPERIOD_OVERRIDE=FQ","FILING_STATUS=MR","SCALING_FORMAT=MLN","FA_ADJUSTED=GAAP","Sort=A","Dates=H","DateFormat=P","Fill=—","Direction=H","UseDPDF=Y")</f>
        <v>22365</v>
      </c>
      <c r="D30" s="13">
        <f>_xll.BDH("GILD US Equity","TRAIL_12M_NET_SALES","FQ4 2019","FQ4 2019","Currency=USD","Period=FQ","BEST_FPERIOD_OVERRIDE=FQ","FILING_STATUS=MR","SCALING_FORMAT=MLN","FA_ADJUSTED=GAAP","Sort=A","Dates=H","DateFormat=P","Fill=—","Direction=H","UseDPDF=Y")</f>
        <v>22449</v>
      </c>
      <c r="E30" s="13">
        <f>_xll.BDH("GILD US Equity","TRAIL_12M_NET_SALES","FQ1 2020","FQ1 2020","Currency=USD","Period=FQ","BEST_FPERIOD_OVERRIDE=FQ","FILING_STATUS=MR","SCALING_FORMAT=MLN","FA_ADJUSTED=GAAP","Sort=A","Dates=H","DateFormat=P","Fill=—","Direction=H","UseDPDF=Y")</f>
        <v>22716</v>
      </c>
      <c r="F30" s="13">
        <f>_xll.BDH("GILD US Equity","TRAIL_12M_NET_SALES","FQ2 2020","FQ2 2020","Currency=USD","Period=FQ","BEST_FPERIOD_OVERRIDE=FQ","FILING_STATUS=MR","SCALING_FORMAT=MLN","FA_ADJUSTED=GAAP","Sort=A","Dates=H","DateFormat=P","Fill=—","Direction=H","UseDPDF=Y")</f>
        <v>22174</v>
      </c>
      <c r="G30" s="13">
        <f>_xll.BDH("GILD US Equity","TRAIL_12M_NET_SALES","FQ3 2020","FQ3 2020","Currency=USD","Period=FQ","BEST_FPERIOD_OVERRIDE=FQ","FILING_STATUS=MR","SCALING_FORMAT=MLN","FA_ADJUSTED=GAAP","Sort=A","Dates=H","DateFormat=P","Fill=—","Direction=H","UseDPDF=Y")</f>
        <v>23147</v>
      </c>
      <c r="H30" s="13">
        <f>_xll.BDH("GILD US Equity","TRAIL_12M_NET_SALES","FQ4 2020","FQ4 2020","Currency=USD","Period=FQ","BEST_FPERIOD_OVERRIDE=FQ","FILING_STATUS=MR","SCALING_FORMAT=MLN","FA_ADJUSTED=GAAP","Sort=A","Dates=H","DateFormat=P","Fill=—","Direction=H","UseDPDF=Y")</f>
        <v>24689</v>
      </c>
      <c r="I30" s="13">
        <f>_xll.BDH("GILD US Equity","TRAIL_12M_NET_SALES","FQ1 2021","FQ1 2021","Currency=USD","Period=FQ","BEST_FPERIOD_OVERRIDE=FQ","FILING_STATUS=MR","SCALING_FORMAT=MLN","FA_ADJUSTED=GAAP","Sort=A","Dates=H","DateFormat=P","Fill=—","Direction=H","UseDPDF=Y")</f>
        <v>25564</v>
      </c>
      <c r="J30" s="13">
        <f>_xll.BDH("GILD US Equity","TRAIL_12M_NET_SALES","FQ2 2021","FQ2 2021","Currency=USD","Period=FQ","BEST_FPERIOD_OVERRIDE=FQ","FILING_STATUS=MR","SCALING_FORMAT=MLN","FA_ADJUSTED=GAAP","Sort=A","Dates=H","DateFormat=P","Fill=—","Direction=H","UseDPDF=Y")</f>
        <v>26638</v>
      </c>
      <c r="K30" s="13">
        <f>_xll.BDH("GILD US Equity","TRAIL_12M_NET_SALES","FQ3 2021","FQ3 2021","Currency=USD","Period=FQ","BEST_FPERIOD_OVERRIDE=FQ","FILING_STATUS=MR","SCALING_FORMAT=MLN","FA_ADJUSTED=GAAP","Sort=A","Dates=H","DateFormat=P","Fill=—","Direction=H","UseDPDF=Y")</f>
        <v>27482</v>
      </c>
      <c r="L30" s="13">
        <f>_xll.BDH("GILD US Equity","TRAIL_12M_NET_SALES","FQ4 2021","FQ4 2021","Currency=USD","Period=FQ","BEST_FPERIOD_OVERRIDE=FQ","FILING_STATUS=MR","SCALING_FORMAT=MLN","FA_ADJUSTED=GAAP","Sort=A","Dates=H","DateFormat=P","Fill=—","Direction=H","UseDPDF=Y")</f>
        <v>27305</v>
      </c>
      <c r="M30" s="13">
        <f>_xll.BDH("GILD US Equity","TRAIL_12M_NET_SALES","FQ1 2022","FQ1 2022","Currency=USD","Period=FQ","BEST_FPERIOD_OVERRIDE=FQ","FILING_STATUS=MR","SCALING_FORMAT=MLN","FA_ADJUSTED=GAAP","Sort=A","Dates=H","DateFormat=P","Fill=—","Direction=H","UseDPDF=Y")</f>
        <v>27472</v>
      </c>
      <c r="N30" s="13">
        <f>_xll.BDH("GILD US Equity","TRAIL_12M_NET_SALES","FQ2 2022","FQ2 2022","Currency=USD","Period=FQ","BEST_FPERIOD_OVERRIDE=FQ","FILING_STATUS=MR","SCALING_FORMAT=MLN","FA_ADJUSTED=GAAP","Sort=A","Dates=H","DateFormat=P","Fill=—","Direction=H","UseDPDF=Y")</f>
        <v>27515</v>
      </c>
      <c r="O30" s="13">
        <f>_xll.BDH("GILD US Equity","TRAIL_12M_NET_SALES","FQ3 2022","FQ3 2022","Currency=USD","Period=FQ","BEST_FPERIOD_OVERRIDE=FQ","FILING_STATUS=MR","SCALING_FORMAT=MLN","FA_ADJUSTED=GAAP","Sort=A","Dates=H","DateFormat=P","Fill=—","Direction=H","UseDPDF=Y")</f>
        <v>27136</v>
      </c>
      <c r="P30" s="13">
        <f>_xll.BDH("GILD US Equity","TRAIL_12M_NET_SALES","FQ4 2022","FQ4 2022","Currency=USD","Period=FQ","BEST_FPERIOD_OVERRIDE=FQ","FILING_STATUS=MR","SCALING_FORMAT=MLN","FA_ADJUSTED=GAAP","Sort=A","Dates=H","DateFormat=P","Fill=—","Direction=H","UseDPDF=Y")</f>
        <v>27281</v>
      </c>
      <c r="Q30" s="13">
        <f>_xll.BDH("GILD US Equity","TRAIL_12M_NET_SALES","FQ1 2023","FQ1 2023","Currency=USD","Period=FQ","BEST_FPERIOD_OVERRIDE=FQ","FILING_STATUS=MR","SCALING_FORMAT=MLN","FA_ADJUSTED=GAAP","Sort=A","Dates=H","DateFormat=P","Fill=—","Direction=H","UseDPDF=Y")</f>
        <v>27043</v>
      </c>
      <c r="R30" s="13">
        <f>_xll.BDH("GILD US Equity","TRAIL_12M_NET_SALES","FQ2 2023","FQ2 2023","Currency=USD","Period=FQ","BEST_FPERIOD_OVERRIDE=FQ","FILING_STATUS=MR","SCALING_FORMAT=MLN","FA_ADJUSTED=GAAP","Sort=A","Dates=H","DateFormat=P","Fill=—","Direction=H","UseDPDF=Y")</f>
        <v>27382</v>
      </c>
      <c r="S30" s="13">
        <f>_xll.BDH("GILD US Equity","TRAIL_12M_NET_SALES","FQ3 2023","FQ3 2023","Currency=USD","Period=FQ","BEST_FPERIOD_OVERRIDE=FQ","FILING_STATUS=MR","SCALING_FORMAT=MLN","FA_ADJUSTED=GAAP","Sort=A","Dates=H","DateFormat=P","Fill=—","Direction=H","UseDPDF=Y")</f>
        <v>27391</v>
      </c>
      <c r="T30" s="13">
        <f>_xll.BDH("GILD US Equity","TRAIL_12M_NET_SALES","FQ4 2023","FQ4 2023","Currency=USD","Period=FQ","BEST_FPERIOD_OVERRIDE=FQ","FILING_STATUS=MR","SCALING_FORMAT=MLN","FA_ADJUSTED=GAAP","Sort=A","Dates=H","DateFormat=P","Fill=—","Direction=H","UseDPDF=Y")</f>
        <v>27117</v>
      </c>
      <c r="U30" s="13">
        <f>_xll.BDH("GILD US Equity","TRAIL_12M_NET_SALES","FQ1 2024","FQ1 2024","Currency=USD","Period=FQ","BEST_FPERIOD_OVERRIDE=FQ","FILING_STATUS=MR","SCALING_FORMAT=MLN","FA_ADJUSTED=GAAP","Sort=A","Dates=H","DateFormat=P","Fill=—","Direction=H","UseDPDF=Y")</f>
        <v>27451</v>
      </c>
      <c r="V30" s="13">
        <f>_xll.BDH("GILD US Equity","TRAIL_12M_NET_SALES","FQ2 2024","FQ2 2024","Currency=USD","Period=FQ","BEST_FPERIOD_OVERRIDE=FQ","FILING_STATUS=MR","SCALING_FORMAT=MLN","FA_ADJUSTED=GAAP","Sort=A","Dates=H","DateFormat=P","Fill=—","Direction=H","UseDPDF=Y")</f>
        <v>27805</v>
      </c>
      <c r="W30" s="13">
        <f>_xll.BDH("GILD US Equity","TRAIL_12M_NET_SALES","FQ3 2024","FQ3 2024","Currency=USD","Period=FQ","BEST_FPERIOD_OVERRIDE=FQ","FILING_STATUS=MR","SCALING_FORMAT=MLN","FA_ADJUSTED=GAAP","Sort=A","Dates=H","DateFormat=P","Fill=—","Direction=H","UseDPDF=Y")</f>
        <v>28299</v>
      </c>
      <c r="X30" s="13">
        <f>_xll.BDH("GILD US Equity","TRAIL_12M_NET_SALES","FQ4 2024","FQ4 2024","Currency=USD","Period=FQ","BEST_FPERIOD_OVERRIDE=FQ","FILING_STATUS=MR","SCALING_FORMAT=MLN","FA_ADJUSTED=GAAP","Sort=A","Dates=H","DateFormat=P","Fill=—","Direction=H","UseDPDF=Y")</f>
        <v>28753</v>
      </c>
      <c r="Y30" s="16">
        <v>28753</v>
      </c>
      <c r="Z30" s="13">
        <v>28659.579000000002</v>
      </c>
      <c r="AA30" s="13">
        <v>28707.863000000001</v>
      </c>
    </row>
    <row r="31" spans="1:27" x14ac:dyDescent="0.25">
      <c r="A31" s="10" t="s">
        <v>78</v>
      </c>
      <c r="B31" s="10" t="s">
        <v>308</v>
      </c>
      <c r="C31" s="13">
        <f>_xll.BDH("GILD US Equity","T12M_EBITDA_AFTER_OPER_LEA_EXPN","FQ3 2019","FQ3 2019","Currency=USD","Period=FQ","BEST_FPERIOD_OVERRIDE=FQ","FILING_STATUS=MR","SCALING_FORMAT=MLN","FA_ADJUSTED=GAAP","Sort=A","Dates=H","DateFormat=P","Fill=—","Direction=H","UseDPDF=Y")</f>
        <v>5750</v>
      </c>
      <c r="D31" s="13">
        <f>_xll.BDH("GILD US Equity","T12M_EBITDA_AFTER_OPER_LEA_EXPN","FQ4 2019","FQ4 2019","Currency=USD","Period=FQ","BEST_FPERIOD_OVERRIDE=FQ","FILING_STATUS=MR","SCALING_FORMAT=MLN","FA_ADJUSTED=GAAP","Sort=A","Dates=H","DateFormat=P","Fill=—","Direction=H","UseDPDF=Y")</f>
        <v>5691</v>
      </c>
      <c r="E31" s="13">
        <f>_xll.BDH("GILD US Equity","T12M_EBITDA_AFTER_OPER_LEA_EXPN","FQ1 2020","FQ1 2020","Currency=USD","Period=FQ","BEST_FPERIOD_OVERRIDE=FQ","FILING_STATUS=MR","SCALING_FORMAT=MLN","FA_ADJUSTED=GAAP","Sort=A","Dates=H","DateFormat=P","Fill=—","Direction=H","UseDPDF=Y")</f>
        <v>5846</v>
      </c>
      <c r="F31" s="13">
        <f>_xll.BDH("GILD US Equity","T12M_EBITDA_AFTER_OPER_LEA_EXPN","FQ2 2020","FQ2 2020","Currency=USD","Period=FQ","BEST_FPERIOD_OVERRIDE=FQ","FILING_STATUS=MR","SCALING_FORMAT=MLN","FA_ADJUSTED=GAAP","Sort=A","Dates=H","DateFormat=P","Fill=—","Direction=H","UseDPDF=Y")</f>
        <v>434</v>
      </c>
      <c r="G31" s="13">
        <f>_xll.BDH("GILD US Equity","T12M_EBITDA_AFTER_OPER_LEA_EXPN","FQ3 2020","FQ3 2020","Currency=USD","Period=FQ","BEST_FPERIOD_OVERRIDE=FQ","FILING_STATUS=MR","SCALING_FORMAT=MLN","FA_ADJUSTED=GAAP","Sort=A","Dates=H","DateFormat=P","Fill=—","Direction=H","UseDPDF=Y")</f>
        <v>3916</v>
      </c>
      <c r="H31" s="13">
        <f>_xll.BDH("GILD US Equity","T12M_EBITDA_AFTER_OPER_LEA_EXPN","FQ4 2020","FQ4 2020","Currency=USD","Period=FQ","BEST_FPERIOD_OVERRIDE=FQ","FILING_STATUS=MR","SCALING_FORMAT=MLN","FA_ADJUSTED=GAAP","Sort=A","Dates=H","DateFormat=P","Fill=—","Direction=H","UseDPDF=Y")</f>
        <v>5551</v>
      </c>
      <c r="I31" s="13">
        <f>_xll.BDH("GILD US Equity","T12M_EBITDA_AFTER_OPER_LEA_EXPN","FQ1 2021","FQ1 2021","Currency=USD","Period=FQ","BEST_FPERIOD_OVERRIDE=FQ","FILING_STATUS=MR","SCALING_FORMAT=MLN","FA_ADJUSTED=GAAP","Sort=A","Dates=H","DateFormat=P","Fill=—","Direction=H","UseDPDF=Y")</f>
        <v>6163</v>
      </c>
      <c r="J31" s="13">
        <f>_xll.BDH("GILD US Equity","T12M_EBITDA_AFTER_OPER_LEA_EXPN","FQ2 2021","FQ2 2021","Currency=USD","Period=FQ","BEST_FPERIOD_OVERRIDE=FQ","FILING_STATUS=MR","SCALING_FORMAT=MLN","FA_ADJUSTED=GAAP","Sort=A","Dates=H","DateFormat=P","Fill=—","Direction=H","UseDPDF=Y")</f>
        <v>11562</v>
      </c>
      <c r="K31" s="13">
        <f>_xll.BDH("GILD US Equity","T12M_EBITDA_AFTER_OPER_LEA_EXPN","FQ3 2021","FQ3 2021","Currency=USD","Period=FQ","BEST_FPERIOD_OVERRIDE=FQ","FILING_STATUS=MR","SCALING_FORMAT=MLN","FA_ADJUSTED=GAAP","Sort=A","Dates=H","DateFormat=P","Fill=—","Direction=H","UseDPDF=Y")</f>
        <v>13571</v>
      </c>
      <c r="L31" s="13">
        <f>_xll.BDH("GILD US Equity","T12M_EBITDA_AFTER_OPER_LEA_EXPN","FQ4 2021","FQ4 2021","Currency=USD","Period=FQ","BEST_FPERIOD_OVERRIDE=FQ","FILING_STATUS=MR","SCALING_FORMAT=MLN","FA_ADJUSTED=GAAP","Sort=A","Dates=H","DateFormat=P","Fill=—","Direction=H","UseDPDF=Y")</f>
        <v>11968</v>
      </c>
      <c r="M31" s="13">
        <f>_xll.BDH("GILD US Equity","T12M_EBITDA_AFTER_OPER_LEA_EXPN","FQ1 2022","FQ1 2022","Currency=USD","Period=FQ","BEST_FPERIOD_OVERRIDE=FQ","FILING_STATUS=MR","SCALING_FORMAT=MLN","FA_ADJUSTED=GAAP","Sort=A","Dates=H","DateFormat=P","Fill=—","Direction=H","UseDPDF=Y")</f>
        <v>9327</v>
      </c>
      <c r="N31" s="13">
        <f>_xll.BDH("GILD US Equity","T12M_EBITDA_AFTER_OPER_LEA_EXPN","FQ2 2022","FQ2 2022","Currency=USD","Period=FQ","BEST_FPERIOD_OVERRIDE=FQ","FILING_STATUS=MR","SCALING_FORMAT=MLN","FA_ADJUSTED=GAAP","Sort=A","Dates=H","DateFormat=P","Fill=—","Direction=H","UseDPDF=Y")</f>
        <v>9116</v>
      </c>
      <c r="O31" s="13">
        <f>_xll.BDH("GILD US Equity","T12M_EBITDA_AFTER_OPER_LEA_EXPN","FQ3 2022","FQ3 2022","Currency=USD","Period=FQ","BEST_FPERIOD_OVERRIDE=FQ","FILING_STATUS=MR","SCALING_FORMAT=MLN","FA_ADJUSTED=GAAP","Sort=A","Dates=H","DateFormat=P","Fill=—","Direction=H","UseDPDF=Y")</f>
        <v>8113</v>
      </c>
      <c r="P31" s="13">
        <f>_xll.BDH("GILD US Equity","T12M_EBITDA_AFTER_OPER_LEA_EXPN","FQ4 2022","FQ4 2022","Currency=USD","Period=FQ","BEST_FPERIOD_OVERRIDE=FQ","FILING_STATUS=MR","SCALING_FORMAT=MLN","FA_ADJUSTED=GAAP","Sort=A","Dates=H","DateFormat=P","Fill=—","Direction=H","UseDPDF=Y")</f>
        <v>9433</v>
      </c>
      <c r="Q31" s="13">
        <f>_xll.BDH("GILD US Equity","T12M_EBITDA_AFTER_OPER_LEA_EXPN","FQ1 2023","FQ1 2023","Currency=USD","Period=FQ","BEST_FPERIOD_OVERRIDE=FQ","FILING_STATUS=MR","SCALING_FORMAT=MLN","FA_ADJUSTED=GAAP","Sort=A","Dates=H","DateFormat=P","Fill=—","Direction=H","UseDPDF=Y")</f>
        <v>11056</v>
      </c>
      <c r="R31" s="13">
        <f>_xll.BDH("GILD US Equity","T12M_EBITDA_AFTER_OPER_LEA_EXPN","FQ2 2023","FQ2 2023","Currency=USD","Period=FQ","BEST_FPERIOD_OVERRIDE=FQ","FILING_STATUS=MR","SCALING_FORMAT=MLN","FA_ADJUSTED=GAAP","Sort=A","Dates=H","DateFormat=P","Fill=—","Direction=H","UseDPDF=Y")</f>
        <v>10848</v>
      </c>
      <c r="S31" s="13">
        <f>_xll.BDH("GILD US Equity","T12M_EBITDA_AFTER_OPER_LEA_EXPN","FQ3 2023","FQ3 2023","Currency=USD","Period=FQ","BEST_FPERIOD_OVERRIDE=FQ","FILING_STATUS=MR","SCALING_FORMAT=MLN","FA_ADJUSTED=GAAP","Sort=A","Dates=H","DateFormat=P","Fill=—","Direction=H","UseDPDF=Y")</f>
        <v>10793</v>
      </c>
      <c r="T31" s="13">
        <f>_xll.BDH("GILD US Equity","T12M_EBITDA_AFTER_OPER_LEA_EXPN","FQ4 2023","FQ4 2023","Currency=USD","Period=FQ","BEST_FPERIOD_OVERRIDE=FQ","FILING_STATUS=MR","SCALING_FORMAT=MLN","FA_ADJUSTED=GAAP","Sort=A","Dates=H","DateFormat=P","Fill=—","Direction=H","UseDPDF=Y")</f>
        <v>10298</v>
      </c>
      <c r="U31" s="13">
        <f>_xll.BDH("GILD US Equity","T12M_EBITDA_AFTER_OPER_LEA_EXPN","FQ1 2024","FQ1 2024","Currency=USD","Period=FQ","BEST_FPERIOD_OVERRIDE=FQ","FILING_STATUS=MR","SCALING_FORMAT=MLN","FA_ADJUSTED=GAAP","Sort=A","Dates=H","DateFormat=P","Fill=—","Direction=H","UseDPDF=Y")</f>
        <v>4321</v>
      </c>
      <c r="V31" s="13">
        <f>_xll.BDH("GILD US Equity","T12M_EBITDA_AFTER_OPER_LEA_EXPN","FQ2 2024","FQ2 2024","Currency=USD","Period=FQ","BEST_FPERIOD_OVERRIDE=FQ","FILING_STATUS=MR","SCALING_FORMAT=MLN","FA_ADJUSTED=GAAP","Sort=A","Dates=H","DateFormat=P","Fill=—","Direction=H","UseDPDF=Y")</f>
        <v>5313</v>
      </c>
      <c r="W31" s="13">
        <f>_xll.BDH("GILD US Equity","T12M_EBITDA_AFTER_OPER_LEA_EXPN","FQ3 2024","FQ3 2024","Currency=USD","Period=FQ","BEST_FPERIOD_OVERRIDE=FQ","FILING_STATUS=MR","SCALING_FORMAT=MLN","FA_ADJUSTED=GAAP","Sort=A","Dates=H","DateFormat=P","Fill=—","Direction=H","UseDPDF=Y")</f>
        <v>3584</v>
      </c>
      <c r="X31" s="13">
        <f>_xll.BDH("GILD US Equity","T12M_EBITDA_AFTER_OPER_LEA_EXPN","FQ4 2024","FQ4 2024","Currency=USD","Period=FQ","BEST_FPERIOD_OVERRIDE=FQ","FILING_STATUS=MR","SCALING_FORMAT=MLN","FA_ADJUSTED=GAAP","Sort=A","Dates=H","DateFormat=P","Fill=—","Direction=H","UseDPDF=Y")</f>
        <v>4428</v>
      </c>
      <c r="Y31" s="16">
        <v>4428</v>
      </c>
      <c r="Z31" s="13">
        <v>15368.5</v>
      </c>
      <c r="AA31" s="13">
        <v>15874.5</v>
      </c>
    </row>
    <row r="32" spans="1:27" x14ac:dyDescent="0.25">
      <c r="A32" s="10" t="s">
        <v>141</v>
      </c>
      <c r="B32" s="10" t="s">
        <v>309</v>
      </c>
      <c r="C32" s="13">
        <f>_xll.BDH("GILD US Equity","T12_EBIT_AFT_OPER_LEASE_EXPN","FQ3 2019","FQ3 2019","Currency=USD","Period=FQ","BEST_FPERIOD_OVERRIDE=FQ","FILING_STATUS=MR","SCALING_FORMAT=MLN","FA_ADJUSTED=GAAP","Sort=A","Dates=H","DateFormat=P","Fill=—","Direction=H","UseDPDF=Y")</f>
        <v>4338</v>
      </c>
      <c r="D32" s="13">
        <f>_xll.BDH("GILD US Equity","T12_EBIT_AFT_OPER_LEASE_EXPN","FQ4 2019","FQ4 2019","Currency=USD","Period=FQ","BEST_FPERIOD_OVERRIDE=FQ","FILING_STATUS=MR","SCALING_FORMAT=MLN","FA_ADJUSTED=GAAP","Sort=A","Dates=H","DateFormat=P","Fill=—","Direction=H","UseDPDF=Y")</f>
        <v>4287</v>
      </c>
      <c r="E32" s="13">
        <f>_xll.BDH("GILD US Equity","T12_EBIT_AFT_OPER_LEASE_EXPN","FQ1 2020","FQ1 2020","Currency=USD","Period=FQ","BEST_FPERIOD_OVERRIDE=FQ","FILING_STATUS=MR","SCALING_FORMAT=MLN","FA_ADJUSTED=GAAP","Sort=A","Dates=H","DateFormat=P","Fill=—","Direction=H","UseDPDF=Y")</f>
        <v>4452</v>
      </c>
      <c r="F32" s="13">
        <f>_xll.BDH("GILD US Equity","T12_EBIT_AFT_OPER_LEASE_EXPN","FQ2 2020","FQ2 2020","Currency=USD","Period=FQ","BEST_FPERIOD_OVERRIDE=FQ","FILING_STATUS=MR","SCALING_FORMAT=MLN","FA_ADJUSTED=GAAP","Sort=A","Dates=H","DateFormat=P","Fill=—","Direction=H","UseDPDF=Y")</f>
        <v>-961</v>
      </c>
      <c r="G32" s="13">
        <f>_xll.BDH("GILD US Equity","T12_EBIT_AFT_OPER_LEASE_EXPN","FQ3 2020","FQ3 2020","Currency=USD","Period=FQ","BEST_FPERIOD_OVERRIDE=FQ","FILING_STATUS=MR","SCALING_FORMAT=MLN","FA_ADJUSTED=GAAP","Sort=A","Dates=H","DateFormat=P","Fill=—","Direction=H","UseDPDF=Y")</f>
        <v>2513</v>
      </c>
      <c r="H32" s="13">
        <f>_xll.BDH("GILD US Equity","T12_EBIT_AFT_OPER_LEASE_EXPN","FQ4 2020","FQ4 2020","Currency=USD","Period=FQ","BEST_FPERIOD_OVERRIDE=FQ","FILING_STATUS=MR","SCALING_FORMAT=MLN","FA_ADJUSTED=GAAP","Sort=A","Dates=H","DateFormat=P","Fill=—","Direction=H","UseDPDF=Y")</f>
        <v>4071</v>
      </c>
      <c r="I32" s="13">
        <f>_xll.BDH("GILD US Equity","T12_EBIT_AFT_OPER_LEASE_EXPN","FQ1 2021","FQ1 2021","Currency=USD","Period=FQ","BEST_FPERIOD_OVERRIDE=FQ","FILING_STATUS=MR","SCALING_FORMAT=MLN","FA_ADJUSTED=GAAP","Sort=A","Dates=H","DateFormat=P","Fill=—","Direction=H","UseDPDF=Y")</f>
        <v>4559</v>
      </c>
      <c r="J32" s="13">
        <f>_xll.BDH("GILD US Equity","T12_EBIT_AFT_OPER_LEASE_EXPN","FQ2 2021","FQ2 2021","Currency=USD","Period=FQ","BEST_FPERIOD_OVERRIDE=FQ","FILING_STATUS=MR","SCALING_FORMAT=MLN","FA_ADJUSTED=GAAP","Sort=A","Dates=H","DateFormat=P","Fill=—","Direction=H","UseDPDF=Y")</f>
        <v>9788</v>
      </c>
      <c r="K32" s="13">
        <f>_xll.BDH("GILD US Equity","T12_EBIT_AFT_OPER_LEASE_EXPN","FQ3 2021","FQ3 2021","Currency=USD","Period=FQ","BEST_FPERIOD_OVERRIDE=FQ","FILING_STATUS=MR","SCALING_FORMAT=MLN","FA_ADJUSTED=GAAP","Sort=A","Dates=H","DateFormat=P","Fill=—","Direction=H","UseDPDF=Y")</f>
        <v>11629</v>
      </c>
      <c r="L32" s="13">
        <f>_xll.BDH("GILD US Equity","T12_EBIT_AFT_OPER_LEASE_EXPN","FQ4 2021","FQ4 2021","Currency=USD","Period=FQ","BEST_FPERIOD_OVERRIDE=FQ","FILING_STATUS=MR","SCALING_FORMAT=MLN","FA_ADJUSTED=GAAP","Sort=A","Dates=H","DateFormat=P","Fill=—","Direction=H","UseDPDF=Y")</f>
        <v>9918</v>
      </c>
      <c r="M32" s="13">
        <f>_xll.BDH("GILD US Equity","T12_EBIT_AFT_OPER_LEASE_EXPN","FQ1 2022","FQ1 2022","Currency=USD","Period=FQ","BEST_FPERIOD_OVERRIDE=FQ","FILING_STATUS=MR","SCALING_FORMAT=MLN","FA_ADJUSTED=GAAP","Sort=A","Dates=H","DateFormat=P","Fill=—","Direction=H","UseDPDF=Y")</f>
        <v>7225</v>
      </c>
      <c r="N32" s="13">
        <f>_xll.BDH("GILD US Equity","T12_EBIT_AFT_OPER_LEASE_EXPN","FQ2 2022","FQ2 2022","Currency=USD","Period=FQ","BEST_FPERIOD_OVERRIDE=FQ","FILING_STATUS=MR","SCALING_FORMAT=MLN","FA_ADJUSTED=GAAP","Sort=A","Dates=H","DateFormat=P","Fill=—","Direction=H","UseDPDF=Y")</f>
        <v>7008</v>
      </c>
      <c r="O32" s="13">
        <f>_xll.BDH("GILD US Equity","T12_EBIT_AFT_OPER_LEASE_EXPN","FQ3 2022","FQ3 2022","Currency=USD","Period=FQ","BEST_FPERIOD_OVERRIDE=FQ","FILING_STATUS=MR","SCALING_FORMAT=MLN","FA_ADJUSTED=GAAP","Sort=A","Dates=H","DateFormat=P","Fill=—","Direction=H","UseDPDF=Y")</f>
        <v>6003</v>
      </c>
      <c r="P32" s="13">
        <f>_xll.BDH("GILD US Equity","T12_EBIT_AFT_OPER_LEASE_EXPN","FQ4 2022","FQ4 2022","Currency=USD","Period=FQ","BEST_FPERIOD_OVERRIDE=FQ","FILING_STATUS=MR","SCALING_FORMAT=MLN","FA_ADJUSTED=GAAP","Sort=A","Dates=H","DateFormat=P","Fill=—","Direction=H","UseDPDF=Y")</f>
        <v>7330</v>
      </c>
      <c r="Q32" s="13">
        <f>_xll.BDH("GILD US Equity","T12_EBIT_AFT_OPER_LEASE_EXPN","FQ1 2023","FQ1 2023","Currency=USD","Period=FQ","BEST_FPERIOD_OVERRIDE=FQ","FILING_STATUS=MR","SCALING_FORMAT=MLN","FA_ADJUSTED=GAAP","Sort=A","Dates=H","DateFormat=P","Fill=—","Direction=H","UseDPDF=Y")</f>
        <v>8838</v>
      </c>
      <c r="R32" s="13">
        <f>_xll.BDH("GILD US Equity","T12_EBIT_AFT_OPER_LEASE_EXPN","FQ2 2023","FQ2 2023","Currency=USD","Period=FQ","BEST_FPERIOD_OVERRIDE=FQ","FILING_STATUS=MR","SCALING_FORMAT=MLN","FA_ADJUSTED=GAAP","Sort=A","Dates=H","DateFormat=P","Fill=—","Direction=H","UseDPDF=Y")</f>
        <v>8474</v>
      </c>
      <c r="S32" s="13">
        <f>_xll.BDH("GILD US Equity","T12_EBIT_AFT_OPER_LEASE_EXPN","FQ3 2023","FQ3 2023","Currency=USD","Period=FQ","BEST_FPERIOD_OVERRIDE=FQ","FILING_STATUS=MR","SCALING_FORMAT=MLN","FA_ADJUSTED=GAAP","Sort=A","Dates=H","DateFormat=P","Fill=—","Direction=H","UseDPDF=Y")</f>
        <v>8260</v>
      </c>
      <c r="T32" s="13">
        <f>_xll.BDH("GILD US Equity","T12_EBIT_AFT_OPER_LEASE_EXPN","FQ4 2023","FQ4 2023","Currency=USD","Period=FQ","BEST_FPERIOD_OVERRIDE=FQ","FILING_STATUS=MR","SCALING_FORMAT=MLN","FA_ADJUSTED=GAAP","Sort=A","Dates=H","DateFormat=P","Fill=—","Direction=H","UseDPDF=Y")</f>
        <v>7605</v>
      </c>
      <c r="U32" s="13">
        <f>_xll.BDH("GILD US Equity","T12_EBIT_AFT_OPER_LEASE_EXPN","FQ1 2024","FQ1 2024","Currency=USD","Period=FQ","BEST_FPERIOD_OVERRIDE=FQ","FILING_STATUS=MR","SCALING_FORMAT=MLN","FA_ADJUSTED=GAAP","Sort=A","Dates=H","DateFormat=P","Fill=—","Direction=H","UseDPDF=Y")</f>
        <v>1578</v>
      </c>
      <c r="V32" s="13">
        <f>_xll.BDH("GILD US Equity","T12_EBIT_AFT_OPER_LEASE_EXPN","FQ2 2024","FQ2 2024","Currency=USD","Period=FQ","BEST_FPERIOD_OVERRIDE=FQ","FILING_STATUS=MR","SCALING_FORMAT=MLN","FA_ADJUSTED=GAAP","Sort=A","Dates=H","DateFormat=P","Fill=—","Direction=H","UseDPDF=Y")</f>
        <v>2557</v>
      </c>
      <c r="W32" s="13">
        <f>_xll.BDH("GILD US Equity","T12_EBIT_AFT_OPER_LEASE_EXPN","FQ3 2024","FQ3 2024","Currency=USD","Period=FQ","BEST_FPERIOD_OVERRIDE=FQ","FILING_STATUS=MR","SCALING_FORMAT=MLN","FA_ADJUSTED=GAAP","Sort=A","Dates=H","DateFormat=P","Fill=—","Direction=H","UseDPDF=Y")</f>
        <v>822</v>
      </c>
      <c r="X32" s="13">
        <f>_xll.BDH("GILD US Equity","T12_EBIT_AFT_OPER_LEASE_EXPN","FQ4 2024","FQ4 2024","Currency=USD","Period=FQ","BEST_FPERIOD_OVERRIDE=FQ","FILING_STATUS=MR","SCALING_FORMAT=MLN","FA_ADJUSTED=GAAP","Sort=A","Dates=H","DateFormat=P","Fill=—","Direction=H","UseDPDF=Y")</f>
        <v>1661</v>
      </c>
      <c r="Y32" s="16">
        <v>1661</v>
      </c>
      <c r="Z32" s="13">
        <v>12862.724</v>
      </c>
      <c r="AA32" s="13">
        <v>13240.370999999999</v>
      </c>
    </row>
    <row r="33" spans="1:27" x14ac:dyDescent="0.25">
      <c r="A33" s="10" t="s">
        <v>202</v>
      </c>
      <c r="B33" s="10" t="s">
        <v>310</v>
      </c>
      <c r="C33" s="13">
        <f>_xll.BDH("GILD US Equity","T12_CF_TO_FIRM_AFT_OP_LEA_PYMTS","FQ3 2019","FQ3 2019","Currency=USD","Period=FQ","BEST_FPERIOD_OVERRIDE=FQ","FILING_STATUS=MR","SCALING_FORMAT=MLN","FA_ADJUSTED=GAAP","Sort=A","Dates=H","DateFormat=P","Fill=—","Direction=H","UseDPDF=Y")</f>
        <v>9662.0705999999991</v>
      </c>
      <c r="D33" s="13" t="str">
        <f>_xll.BDH("GILD US Equity","T12_CF_TO_FIRM_AFT_OP_LEA_PYMTS","FQ4 2019","FQ4 2019","Currency=USD","Period=FQ","BEST_FPERIOD_OVERRIDE=FQ","FILING_STATUS=MR","SCALING_FORMAT=MLN","FA_ADJUSTED=GAAP","Sort=A","Dates=H","DateFormat=P","Fill=—","Direction=H","UseDPDF=Y")</f>
        <v>—</v>
      </c>
      <c r="E33" s="13" t="str">
        <f>_xll.BDH("GILD US Equity","T12_CF_TO_FIRM_AFT_OP_LEA_PYMTS","FQ1 2020","FQ1 2020","Currency=USD","Period=FQ","BEST_FPERIOD_OVERRIDE=FQ","FILING_STATUS=MR","SCALING_FORMAT=MLN","FA_ADJUSTED=GAAP","Sort=A","Dates=H","DateFormat=P","Fill=—","Direction=H","UseDPDF=Y")</f>
        <v>—</v>
      </c>
      <c r="F33" s="13" t="str">
        <f>_xll.BDH("GILD US Equity","T12_CF_TO_FIRM_AFT_OP_LEA_PYMTS","FQ2 2020","FQ2 2020","Currency=USD","Period=FQ","BEST_FPERIOD_OVERRIDE=FQ","FILING_STATUS=MR","SCALING_FORMAT=MLN","FA_ADJUSTED=GAAP","Sort=A","Dates=H","DateFormat=P","Fill=—","Direction=H","UseDPDF=Y")</f>
        <v>—</v>
      </c>
      <c r="G33" s="13">
        <f>_xll.BDH("GILD US Equity","T12_CF_TO_FIRM_AFT_OP_LEA_PYMTS","FQ3 2020","FQ3 2020","Currency=USD","Period=FQ","BEST_FPERIOD_OVERRIDE=FQ","FILING_STATUS=MR","SCALING_FORMAT=MLN","FA_ADJUSTED=GAAP","Sort=A","Dates=H","DateFormat=P","Fill=—","Direction=H","UseDPDF=Y")</f>
        <v>9506.6241000000009</v>
      </c>
      <c r="H33" s="13">
        <f>_xll.BDH("GILD US Equity","T12_CF_TO_FIRM_AFT_OP_LEA_PYMTS","FQ4 2020","FQ4 2020","Currency=USD","Period=FQ","BEST_FPERIOD_OVERRIDE=FQ","FILING_STATUS=MR","SCALING_FORMAT=MLN","FA_ADJUSTED=GAAP","Sort=A","Dates=H","DateFormat=P","Fill=—","Direction=H","UseDPDF=Y")</f>
        <v>8220.4721000000009</v>
      </c>
      <c r="I33" s="13">
        <f>_xll.BDH("GILD US Equity","T12_CF_TO_FIRM_AFT_OP_LEA_PYMTS","FQ1 2021","FQ1 2021","Currency=USD","Period=FQ","BEST_FPERIOD_OVERRIDE=FQ","FILING_STATUS=MR","SCALING_FORMAT=MLN","FA_ADJUSTED=GAAP","Sort=A","Dates=H","DateFormat=P","Fill=—","Direction=H","UseDPDF=Y")</f>
        <v>9483.4508000000005</v>
      </c>
      <c r="J33" s="13">
        <f>_xll.BDH("GILD US Equity","T12_CF_TO_FIRM_AFT_OP_LEA_PYMTS","FQ2 2021","FQ2 2021","Currency=USD","Period=FQ","BEST_FPERIOD_OVERRIDE=FQ","FILING_STATUS=MR","SCALING_FORMAT=MLN","FA_ADJUSTED=GAAP","Sort=A","Dates=H","DateFormat=P","Fill=—","Direction=H","UseDPDF=Y")</f>
        <v>9868.5143000000007</v>
      </c>
      <c r="K33" s="13">
        <f>_xll.BDH("GILD US Equity","T12_CF_TO_FIRM_AFT_OP_LEA_PYMTS","FQ3 2021","FQ3 2021","Currency=USD","Period=FQ","BEST_FPERIOD_OVERRIDE=FQ","FILING_STATUS=MR","SCALING_FORMAT=MLN","FA_ADJUSTED=GAAP","Sort=A","Dates=H","DateFormat=P","Fill=—","Direction=H","UseDPDF=Y")</f>
        <v>10908.2508</v>
      </c>
      <c r="L33" s="13">
        <f>_xll.BDH("GILD US Equity","T12_CF_TO_FIRM_AFT_OP_LEA_PYMTS","FQ4 2021","FQ4 2021","Currency=USD","Period=FQ","BEST_FPERIOD_OVERRIDE=FQ","FILING_STATUS=MR","SCALING_FORMAT=MLN","FA_ADJUSTED=GAAP","Sort=A","Dates=H","DateFormat=P","Fill=—","Direction=H","UseDPDF=Y")</f>
        <v>12133.8431</v>
      </c>
      <c r="M33" s="13">
        <f>_xll.BDH("GILD US Equity","T12_CF_TO_FIRM_AFT_OP_LEA_PYMTS","FQ1 2022","FQ1 2022","Currency=USD","Period=FQ","BEST_FPERIOD_OVERRIDE=FQ","FILING_STATUS=MR","SCALING_FORMAT=MLN","FA_ADJUSTED=GAAP","Sort=A","Dates=H","DateFormat=P","Fill=—","Direction=H","UseDPDF=Y")</f>
        <v>11366.330599999999</v>
      </c>
      <c r="N33" s="13">
        <f>_xll.BDH("GILD US Equity","T12_CF_TO_FIRM_AFT_OP_LEA_PYMTS","FQ2 2022","FQ2 2022","Currency=USD","Period=FQ","BEST_FPERIOD_OVERRIDE=FQ","FILING_STATUS=MR","SCALING_FORMAT=MLN","FA_ADJUSTED=GAAP","Sort=A","Dates=H","DateFormat=P","Fill=—","Direction=H","UseDPDF=Y")</f>
        <v>10816.9272</v>
      </c>
      <c r="O33" s="13">
        <f>_xll.BDH("GILD US Equity","T12_CF_TO_FIRM_AFT_OP_LEA_PYMTS","FQ3 2022","FQ3 2022","Currency=USD","Period=FQ","BEST_FPERIOD_OVERRIDE=FQ","FILING_STATUS=MR","SCALING_FORMAT=MLN","FA_ADJUSTED=GAAP","Sort=A","Dates=H","DateFormat=P","Fill=—","Direction=H","UseDPDF=Y")</f>
        <v>10399.921399999999</v>
      </c>
      <c r="P33" s="13">
        <f>_xll.BDH("GILD US Equity","T12_CF_TO_FIRM_AFT_OP_LEA_PYMTS","FQ4 2022","FQ4 2022","Currency=USD","Period=FQ","BEST_FPERIOD_OVERRIDE=FQ","FILING_STATUS=MR","SCALING_FORMAT=MLN","FA_ADJUSTED=GAAP","Sort=A","Dates=H","DateFormat=P","Fill=—","Direction=H","UseDPDF=Y")</f>
        <v>9807.0835999999999</v>
      </c>
      <c r="Q33" s="13">
        <f>_xll.BDH("GILD US Equity","T12_CF_TO_FIRM_AFT_OP_LEA_PYMTS","FQ1 2023","FQ1 2023","Currency=USD","Period=FQ","BEST_FPERIOD_OVERRIDE=FQ","FILING_STATUS=MR","SCALING_FORMAT=MLN","FA_ADJUSTED=GAAP","Sort=A","Dates=H","DateFormat=P","Fill=—","Direction=H","UseDPDF=Y")</f>
        <v>9683.3030999999992</v>
      </c>
      <c r="R33" s="13">
        <f>_xll.BDH("GILD US Equity","T12_CF_TO_FIRM_AFT_OP_LEA_PYMTS","FQ2 2023","FQ2 2023","Currency=USD","Period=FQ","BEST_FPERIOD_OVERRIDE=FQ","FILING_STATUS=MR","SCALING_FORMAT=MLN","FA_ADJUSTED=GAAP","Sort=A","Dates=H","DateFormat=P","Fill=—","Direction=H","UseDPDF=Y")</f>
        <v>10190.1216</v>
      </c>
      <c r="S33" s="13">
        <f>_xll.BDH("GILD US Equity","T12_CF_TO_FIRM_AFT_OP_LEA_PYMTS","FQ3 2023","FQ3 2023","Currency=USD","Period=FQ","BEST_FPERIOD_OVERRIDE=FQ","FILING_STATUS=MR","SCALING_FORMAT=MLN","FA_ADJUSTED=GAAP","Sort=A","Dates=H","DateFormat=P","Fill=—","Direction=H","UseDPDF=Y")</f>
        <v>9144.1010000000006</v>
      </c>
      <c r="T33" s="13">
        <f>_xll.BDH("GILD US Equity","T12_CF_TO_FIRM_AFT_OP_LEA_PYMTS","FQ4 2023","FQ4 2023","Currency=USD","Period=FQ","BEST_FPERIOD_OVERRIDE=FQ","FILING_STATUS=MR","SCALING_FORMAT=MLN","FA_ADJUSTED=GAAP","Sort=A","Dates=H","DateFormat=P","Fill=—","Direction=H","UseDPDF=Y")</f>
        <v>8778.4012000000002</v>
      </c>
      <c r="U33" s="13">
        <f>_xll.BDH("GILD US Equity","T12_CF_TO_FIRM_AFT_OP_LEA_PYMTS","FQ1 2024","FQ1 2024","Currency=USD","Period=FQ","BEST_FPERIOD_OVERRIDE=FQ","FILING_STATUS=MR","SCALING_FORMAT=MLN","FA_ADJUSTED=GAAP","Sort=A","Dates=H","DateFormat=P","Fill=—","Direction=H","UseDPDF=Y")</f>
        <v>8894.6983</v>
      </c>
      <c r="V33" s="13">
        <f>_xll.BDH("GILD US Equity","T12_CF_TO_FIRM_AFT_OP_LEA_PYMTS","FQ2 2024","FQ2 2024","Currency=USD","Period=FQ","BEST_FPERIOD_OVERRIDE=FQ","FILING_STATUS=MR","SCALING_FORMAT=MLN","FA_ADJUSTED=GAAP","Sort=A","Dates=H","DateFormat=P","Fill=—","Direction=H","UseDPDF=Y")</f>
        <v>8122.3963999999996</v>
      </c>
      <c r="W33" s="13">
        <f>_xll.BDH("GILD US Equity","T12_CF_TO_FIRM_AFT_OP_LEA_PYMTS","FQ3 2024","FQ3 2024","Currency=USD","Period=FQ","BEST_FPERIOD_OVERRIDE=FQ","FILING_STATUS=MR","SCALING_FORMAT=MLN","FA_ADJUSTED=GAAP","Sort=A","Dates=H","DateFormat=P","Fill=—","Direction=H","UseDPDF=Y")</f>
        <v>10656.7727</v>
      </c>
      <c r="X33" s="13">
        <f>_xll.BDH("GILD US Equity","T12_CF_TO_FIRM_AFT_OP_LEA_PYMTS","FQ4 2024","FQ4 2024","Currency=USD","Period=FQ","BEST_FPERIOD_OVERRIDE=FQ","FILING_STATUS=MR","SCALING_FORMAT=MLN","FA_ADJUSTED=GAAP","Sort=A","Dates=H","DateFormat=P","Fill=—","Direction=H","UseDPDF=Y")</f>
        <v>11505.974</v>
      </c>
      <c r="Y33" s="16">
        <v>11505.9739507959</v>
      </c>
      <c r="Z33" s="13"/>
      <c r="AA33" s="13"/>
    </row>
    <row r="34" spans="1:27" x14ac:dyDescent="0.25">
      <c r="A34" s="10" t="s">
        <v>204</v>
      </c>
      <c r="B34" s="10" t="s">
        <v>311</v>
      </c>
      <c r="C34" s="13">
        <f>_xll.BDH("GILD US Equity","T12_FCF_TO_FIRM_AFT_OP_LEA_PYMTS","FQ3 2019","FQ3 2019","Currency=USD","Period=FQ","BEST_FPERIOD_OVERRIDE=FQ","FILING_STATUS=MR","SCALING_FORMAT=MLN","FA_ADJUSTED=GAAP","Sort=A","Dates=H","DateFormat=P","Fill=—","Direction=H","UseDPDF=Y")</f>
        <v>8792.0705999999991</v>
      </c>
      <c r="D34" s="13" t="str">
        <f>_xll.BDH("GILD US Equity","T12_FCF_TO_FIRM_AFT_OP_LEA_PYMTS","FQ4 2019","FQ4 2019","Currency=USD","Period=FQ","BEST_FPERIOD_OVERRIDE=FQ","FILING_STATUS=MR","SCALING_FORMAT=MLN","FA_ADJUSTED=GAAP","Sort=A","Dates=H","DateFormat=P","Fill=—","Direction=H","UseDPDF=Y")</f>
        <v>—</v>
      </c>
      <c r="E34" s="13" t="str">
        <f>_xll.BDH("GILD US Equity","T12_FCF_TO_FIRM_AFT_OP_LEA_PYMTS","FQ1 2020","FQ1 2020","Currency=USD","Period=FQ","BEST_FPERIOD_OVERRIDE=FQ","FILING_STATUS=MR","SCALING_FORMAT=MLN","FA_ADJUSTED=GAAP","Sort=A","Dates=H","DateFormat=P","Fill=—","Direction=H","UseDPDF=Y")</f>
        <v>—</v>
      </c>
      <c r="F34" s="13" t="str">
        <f>_xll.BDH("GILD US Equity","T12_FCF_TO_FIRM_AFT_OP_LEA_PYMTS","FQ2 2020","FQ2 2020","Currency=USD","Period=FQ","BEST_FPERIOD_OVERRIDE=FQ","FILING_STATUS=MR","SCALING_FORMAT=MLN","FA_ADJUSTED=GAAP","Sort=A","Dates=H","DateFormat=P","Fill=—","Direction=H","UseDPDF=Y")</f>
        <v>—</v>
      </c>
      <c r="G34" s="13">
        <f>_xll.BDH("GILD US Equity","T12_FCF_TO_FIRM_AFT_OP_LEA_PYMTS","FQ3 2020","FQ3 2020","Currency=USD","Period=FQ","BEST_FPERIOD_OVERRIDE=FQ","FILING_STATUS=MR","SCALING_FORMAT=MLN","FA_ADJUSTED=GAAP","Sort=A","Dates=H","DateFormat=P","Fill=—","Direction=H","UseDPDF=Y")</f>
        <v>8834.6241000000009</v>
      </c>
      <c r="H34" s="13">
        <f>_xll.BDH("GILD US Equity","T12_FCF_TO_FIRM_AFT_OP_LEA_PYMTS","FQ4 2020","FQ4 2020","Currency=USD","Period=FQ","BEST_FPERIOD_OVERRIDE=FQ","FILING_STATUS=MR","SCALING_FORMAT=MLN","FA_ADJUSTED=GAAP","Sort=A","Dates=H","DateFormat=P","Fill=—","Direction=H","UseDPDF=Y")</f>
        <v>7570.4721</v>
      </c>
      <c r="I34" s="13">
        <f>_xll.BDH("GILD US Equity","T12_FCF_TO_FIRM_AFT_OP_LEA_PYMTS","FQ1 2021","FQ1 2021","Currency=USD","Period=FQ","BEST_FPERIOD_OVERRIDE=FQ","FILING_STATUS=MR","SCALING_FORMAT=MLN","FA_ADJUSTED=GAAP","Sort=A","Dates=H","DateFormat=P","Fill=—","Direction=H","UseDPDF=Y")</f>
        <v>8839.4508000000005</v>
      </c>
      <c r="J34" s="13">
        <f>_xll.BDH("GILD US Equity","T12_FCF_TO_FIRM_AFT_OP_LEA_PYMTS","FQ2 2021","FQ2 2021","Currency=USD","Period=FQ","BEST_FPERIOD_OVERRIDE=FQ","FILING_STATUS=MR","SCALING_FORMAT=MLN","FA_ADJUSTED=GAAP","Sort=A","Dates=H","DateFormat=P","Fill=—","Direction=H","UseDPDF=Y")</f>
        <v>9248.5143000000007</v>
      </c>
      <c r="K34" s="13">
        <f>_xll.BDH("GILD US Equity","T12_FCF_TO_FIRM_AFT_OP_LEA_PYMTS","FQ3 2021","FQ3 2021","Currency=USD","Period=FQ","BEST_FPERIOD_OVERRIDE=FQ","FILING_STATUS=MR","SCALING_FORMAT=MLN","FA_ADJUSTED=GAAP","Sort=A","Dates=H","DateFormat=P","Fill=—","Direction=H","UseDPDF=Y")</f>
        <v>10304.2508</v>
      </c>
      <c r="L34" s="13">
        <f>_xll.BDH("GILD US Equity","T12_FCF_TO_FIRM_AFT_OP_LEA_PYMTS","FQ4 2021","FQ4 2021","Currency=USD","Period=FQ","BEST_FPERIOD_OVERRIDE=FQ","FILING_STATUS=MR","SCALING_FORMAT=MLN","FA_ADJUSTED=GAAP","Sort=A","Dates=H","DateFormat=P","Fill=—","Direction=H","UseDPDF=Y")</f>
        <v>11554.8431</v>
      </c>
      <c r="M34" s="13">
        <f>_xll.BDH("GILD US Equity","T12_FCF_TO_FIRM_AFT_OP_LEA_PYMTS","FQ1 2022","FQ1 2022","Currency=USD","Period=FQ","BEST_FPERIOD_OVERRIDE=FQ","FILING_STATUS=MR","SCALING_FORMAT=MLN","FA_ADJUSTED=GAAP","Sort=A","Dates=H","DateFormat=P","Fill=—","Direction=H","UseDPDF=Y")</f>
        <v>10705.330599999999</v>
      </c>
      <c r="N34" s="13">
        <f>_xll.BDH("GILD US Equity","T12_FCF_TO_FIRM_AFT_OP_LEA_PYMTS","FQ2 2022","FQ2 2022","Currency=USD","Period=FQ","BEST_FPERIOD_OVERRIDE=FQ","FILING_STATUS=MR","SCALING_FORMAT=MLN","FA_ADJUSTED=GAAP","Sort=A","Dates=H","DateFormat=P","Fill=—","Direction=H","UseDPDF=Y")</f>
        <v>10131.9272</v>
      </c>
      <c r="O34" s="13">
        <f>_xll.BDH("GILD US Equity","T12_FCF_TO_FIRM_AFT_OP_LEA_PYMTS","FQ3 2022","FQ3 2022","Currency=USD","Period=FQ","BEST_FPERIOD_OVERRIDE=FQ","FILING_STATUS=MR","SCALING_FORMAT=MLN","FA_ADJUSTED=GAAP","Sort=A","Dates=H","DateFormat=P","Fill=—","Direction=H","UseDPDF=Y")</f>
        <v>9696.9213999999993</v>
      </c>
      <c r="P34" s="13">
        <f>_xll.BDH("GILD US Equity","T12_FCF_TO_FIRM_AFT_OP_LEA_PYMTS","FQ4 2022","FQ4 2022","Currency=USD","Period=FQ","BEST_FPERIOD_OVERRIDE=FQ","FILING_STATUS=MR","SCALING_FORMAT=MLN","FA_ADJUSTED=GAAP","Sort=A","Dates=H","DateFormat=P","Fill=—","Direction=H","UseDPDF=Y")</f>
        <v>9079.0835999999999</v>
      </c>
      <c r="Q34" s="13">
        <f>_xll.BDH("GILD US Equity","T12_FCF_TO_FIRM_AFT_OP_LEA_PYMTS","FQ1 2023","FQ1 2023","Currency=USD","Period=FQ","BEST_FPERIOD_OVERRIDE=FQ","FILING_STATUS=MR","SCALING_FORMAT=MLN","FA_ADJUSTED=GAAP","Sort=A","Dates=H","DateFormat=P","Fill=—","Direction=H","UseDPDF=Y")</f>
        <v>9093.3030999999992</v>
      </c>
      <c r="R34" s="13">
        <f>_xll.BDH("GILD US Equity","T12_FCF_TO_FIRM_AFT_OP_LEA_PYMTS","FQ2 2023","FQ2 2023","Currency=USD","Period=FQ","BEST_FPERIOD_OVERRIDE=FQ","FILING_STATUS=MR","SCALING_FORMAT=MLN","FA_ADJUSTED=GAAP","Sort=A","Dates=H","DateFormat=P","Fill=—","Direction=H","UseDPDF=Y")</f>
        <v>9604.1216000000004</v>
      </c>
      <c r="S34" s="13">
        <f>_xll.BDH("GILD US Equity","T12_FCF_TO_FIRM_AFT_OP_LEA_PYMTS","FQ3 2023","FQ3 2023","Currency=USD","Period=FQ","BEST_FPERIOD_OVERRIDE=FQ","FILING_STATUS=MR","SCALING_FORMAT=MLN","FA_ADJUSTED=GAAP","Sort=A","Dates=H","DateFormat=P","Fill=—","Direction=H","UseDPDF=Y")</f>
        <v>8593.1010000000006</v>
      </c>
      <c r="T34" s="13">
        <f>_xll.BDH("GILD US Equity","T12_FCF_TO_FIRM_AFT_OP_LEA_PYMTS","FQ4 2023","FQ4 2023","Currency=USD","Period=FQ","BEST_FPERIOD_OVERRIDE=FQ","FILING_STATUS=MR","SCALING_FORMAT=MLN","FA_ADJUSTED=GAAP","Sort=A","Dates=H","DateFormat=P","Fill=—","Direction=H","UseDPDF=Y")</f>
        <v>8193.4012000000002</v>
      </c>
      <c r="U34" s="13">
        <f>_xll.BDH("GILD US Equity","T12_FCF_TO_FIRM_AFT_OP_LEA_PYMTS","FQ1 2024","FQ1 2024","Currency=USD","Period=FQ","BEST_FPERIOD_OVERRIDE=FQ","FILING_STATUS=MR","SCALING_FORMAT=MLN","FA_ADJUSTED=GAAP","Sort=A","Dates=H","DateFormat=P","Fill=—","Direction=H","UseDPDF=Y")</f>
        <v>8313.6983</v>
      </c>
      <c r="V34" s="13">
        <f>_xll.BDH("GILD US Equity","T12_FCF_TO_FIRM_AFT_OP_LEA_PYMTS","FQ2 2024","FQ2 2024","Currency=USD","Period=FQ","BEST_FPERIOD_OVERRIDE=FQ","FILING_STATUS=MR","SCALING_FORMAT=MLN","FA_ADJUSTED=GAAP","Sort=A","Dates=H","DateFormat=P","Fill=—","Direction=H","UseDPDF=Y")</f>
        <v>7550.3963999999996</v>
      </c>
      <c r="W34" s="13">
        <f>_xll.BDH("GILD US Equity","T12_FCF_TO_FIRM_AFT_OP_LEA_PYMTS","FQ3 2024","FQ3 2024","Currency=USD","Period=FQ","BEST_FPERIOD_OVERRIDE=FQ","FILING_STATUS=MR","SCALING_FORMAT=MLN","FA_ADJUSTED=GAAP","Sort=A","Dates=H","DateFormat=P","Fill=—","Direction=H","UseDPDF=Y")</f>
        <v>10065.7727</v>
      </c>
      <c r="X34" s="13">
        <f>_xll.BDH("GILD US Equity","T12_FCF_TO_FIRM_AFT_OP_LEA_PYMTS","FQ4 2024","FQ4 2024","Currency=USD","Period=FQ","BEST_FPERIOD_OVERRIDE=FQ","FILING_STATUS=MR","SCALING_FORMAT=MLN","FA_ADJUSTED=GAAP","Sort=A","Dates=H","DateFormat=P","Fill=—","Direction=H","UseDPDF=Y")</f>
        <v>10982.974</v>
      </c>
      <c r="Y34" s="16">
        <v>10982.9739507959</v>
      </c>
      <c r="Z34" s="13"/>
      <c r="AA34" s="13"/>
    </row>
    <row r="35" spans="1:27" x14ac:dyDescent="0.25">
      <c r="A35" s="7" t="s">
        <v>90</v>
      </c>
      <c r="B35" s="7"/>
      <c r="C35" s="7" t="s">
        <v>5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4"/>
  <sheetViews>
    <sheetView workbookViewId="0">
      <selection activeCell="M25" sqref="M25"/>
    </sheetView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312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31</v>
      </c>
      <c r="Z4" s="4" t="s">
        <v>32</v>
      </c>
      <c r="AA4" s="4" t="s">
        <v>33</v>
      </c>
    </row>
    <row r="5" spans="1:27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</row>
    <row r="6" spans="1:27" x14ac:dyDescent="0.25">
      <c r="A6" s="6" t="s">
        <v>0</v>
      </c>
      <c r="B6" s="6" t="s">
        <v>71</v>
      </c>
      <c r="C6" s="19">
        <f>_xll.BDH("GILD US Equity","SALES_REV_TURN","FQ2 2019","FQ2 2019","Currency=USD","Period=FQ","BEST_FPERIOD_OVERRIDE=FQ","FILING_STATUS=MR","SCALING_FORMAT=MLN","FA_ADJUSTED=Adjusted","Sort=A","Dates=H","DateFormat=P","Fill=—","Direction=H","UseDPDF=Y")</f>
        <v>5685</v>
      </c>
      <c r="D6" s="19">
        <f>_xll.BDH("GILD US Equity","SALES_REV_TURN","FQ3 2019","FQ3 2019","Currency=USD","Period=FQ","BEST_FPERIOD_OVERRIDE=FQ","FILING_STATUS=MR","SCALING_FORMAT=MLN","FA_ADJUSTED=Adjusted","Sort=A","Dates=H","DateFormat=P","Fill=—","Direction=H","UseDPDF=Y")</f>
        <v>5604</v>
      </c>
      <c r="E6" s="19">
        <f>_xll.BDH("GILD US Equity","SALES_REV_TURN","FQ4 2019","FQ4 2019","Currency=USD","Period=FQ","BEST_FPERIOD_OVERRIDE=FQ","FILING_STATUS=MR","SCALING_FORMAT=MLN","FA_ADJUSTED=Adjusted","Sort=A","Dates=H","DateFormat=P","Fill=—","Direction=H","UseDPDF=Y")</f>
        <v>5879</v>
      </c>
      <c r="F6" s="19">
        <f>_xll.BDH("GILD US Equity","SALES_REV_TURN","FQ1 2020","FQ1 2020","Currency=USD","Period=FQ","BEST_FPERIOD_OVERRIDE=FQ","FILING_STATUS=MR","SCALING_FORMAT=MLN","FA_ADJUSTED=Adjusted","Sort=A","Dates=H","DateFormat=P","Fill=—","Direction=H","UseDPDF=Y")</f>
        <v>5548</v>
      </c>
      <c r="G6" s="19">
        <f>_xll.BDH("GILD US Equity","SALES_REV_TURN","FQ2 2020","FQ2 2020","Currency=USD","Period=FQ","BEST_FPERIOD_OVERRIDE=FQ","FILING_STATUS=MR","SCALING_FORMAT=MLN","FA_ADJUSTED=Adjusted","Sort=A","Dates=H","DateFormat=P","Fill=—","Direction=H","UseDPDF=Y")</f>
        <v>5143</v>
      </c>
      <c r="H6" s="19">
        <f>_xll.BDH("GILD US Equity","SALES_REV_TURN","FQ3 2020","FQ3 2020","Currency=USD","Period=FQ","BEST_FPERIOD_OVERRIDE=FQ","FILING_STATUS=MR","SCALING_FORMAT=MLN","FA_ADJUSTED=Adjusted","Sort=A","Dates=H","DateFormat=P","Fill=—","Direction=H","UseDPDF=Y")</f>
        <v>6577</v>
      </c>
      <c r="I6" s="19">
        <f>_xll.BDH("GILD US Equity","SALES_REV_TURN","FQ4 2020","FQ4 2020","Currency=USD","Period=FQ","BEST_FPERIOD_OVERRIDE=FQ","FILING_STATUS=MR","SCALING_FORMAT=MLN","FA_ADJUSTED=Adjusted","Sort=A","Dates=H","DateFormat=P","Fill=—","Direction=H","UseDPDF=Y")</f>
        <v>7421</v>
      </c>
      <c r="J6" s="19">
        <f>_xll.BDH("GILD US Equity","SALES_REV_TURN","FQ1 2021","FQ1 2021","Currency=USD","Period=FQ","BEST_FPERIOD_OVERRIDE=FQ","FILING_STATUS=MR","SCALING_FORMAT=MLN","FA_ADJUSTED=Adjusted","Sort=A","Dates=H","DateFormat=P","Fill=—","Direction=H","UseDPDF=Y")</f>
        <v>6423</v>
      </c>
      <c r="K6" s="19">
        <f>_xll.BDH("GILD US Equity","SALES_REV_TURN","FQ2 2021","FQ2 2021","Currency=USD","Period=FQ","BEST_FPERIOD_OVERRIDE=FQ","FILING_STATUS=MR","SCALING_FORMAT=MLN","FA_ADJUSTED=Adjusted","Sort=A","Dates=H","DateFormat=P","Fill=—","Direction=H","UseDPDF=Y")</f>
        <v>6217</v>
      </c>
      <c r="L6" s="19">
        <f>_xll.BDH("GILD US Equity","SALES_REV_TURN","FQ3 2021","FQ3 2021","Currency=USD","Period=FQ","BEST_FPERIOD_OVERRIDE=FQ","FILING_STATUS=MR","SCALING_FORMAT=MLN","FA_ADJUSTED=Adjusted","Sort=A","Dates=H","DateFormat=P","Fill=—","Direction=H","UseDPDF=Y")</f>
        <v>7421</v>
      </c>
      <c r="M6" s="19">
        <f>_xll.BDH("GILD US Equity","SALES_REV_TURN","FQ4 2021","FQ4 2021","Currency=USD","Period=FQ","BEST_FPERIOD_OVERRIDE=FQ","FILING_STATUS=MR","SCALING_FORMAT=MLN","FA_ADJUSTED=Adjusted","Sort=A","Dates=H","DateFormat=P","Fill=—","Direction=H","UseDPDF=Y")</f>
        <v>7244</v>
      </c>
      <c r="N6" s="19">
        <f>_xll.BDH("GILD US Equity","SALES_REV_TURN","FQ1 2022","FQ1 2022","Currency=USD","Period=FQ","BEST_FPERIOD_OVERRIDE=FQ","FILING_STATUS=MR","SCALING_FORMAT=MLN","FA_ADJUSTED=Adjusted","Sort=A","Dates=H","DateFormat=P","Fill=—","Direction=H","UseDPDF=Y")</f>
        <v>6590</v>
      </c>
      <c r="O6" s="19">
        <f>_xll.BDH("GILD US Equity","SALES_REV_TURN","FQ2 2022","FQ2 2022","Currency=USD","Period=FQ","BEST_FPERIOD_OVERRIDE=FQ","FILING_STATUS=MR","SCALING_FORMAT=MLN","FA_ADJUSTED=Adjusted","Sort=A","Dates=H","DateFormat=P","Fill=—","Direction=H","UseDPDF=Y")</f>
        <v>6260</v>
      </c>
      <c r="P6" s="19">
        <f>_xll.BDH("GILD US Equity","SALES_REV_TURN","FQ3 2022","FQ3 2022","Currency=USD","Period=FQ","BEST_FPERIOD_OVERRIDE=FQ","FILING_STATUS=MR","SCALING_FORMAT=MLN","FA_ADJUSTED=Adjusted","Sort=A","Dates=H","DateFormat=P","Fill=—","Direction=H","UseDPDF=Y")</f>
        <v>7042</v>
      </c>
      <c r="Q6" s="19">
        <f>_xll.BDH("GILD US Equity","SALES_REV_TURN","FQ4 2022","FQ4 2022","Currency=USD","Period=FQ","BEST_FPERIOD_OVERRIDE=FQ","FILING_STATUS=MR","SCALING_FORMAT=MLN","FA_ADJUSTED=Adjusted","Sort=A","Dates=H","DateFormat=P","Fill=—","Direction=H","UseDPDF=Y")</f>
        <v>7389</v>
      </c>
      <c r="R6" s="19">
        <f>_xll.BDH("GILD US Equity","SALES_REV_TURN","FQ1 2023","FQ1 2023","Currency=USD","Period=FQ","BEST_FPERIOD_OVERRIDE=FQ","FILING_STATUS=MR","SCALING_FORMAT=MLN","FA_ADJUSTED=Adjusted","Sort=A","Dates=H","DateFormat=P","Fill=—","Direction=H","UseDPDF=Y")</f>
        <v>6352</v>
      </c>
      <c r="S6" s="19">
        <f>_xll.BDH("GILD US Equity","SALES_REV_TURN","FQ2 2023","FQ2 2023","Currency=USD","Period=FQ","BEST_FPERIOD_OVERRIDE=FQ","FILING_STATUS=MR","SCALING_FORMAT=MLN","FA_ADJUSTED=Adjusted","Sort=A","Dates=H","DateFormat=P","Fill=—","Direction=H","UseDPDF=Y")</f>
        <v>6599</v>
      </c>
      <c r="T6" s="19">
        <f>_xll.BDH("GILD US Equity","SALES_REV_TURN","FQ3 2023","FQ3 2023","Currency=USD","Period=FQ","BEST_FPERIOD_OVERRIDE=FQ","FILING_STATUS=MR","SCALING_FORMAT=MLN","FA_ADJUSTED=Adjusted","Sort=A","Dates=H","DateFormat=P","Fill=—","Direction=H","UseDPDF=Y")</f>
        <v>7051</v>
      </c>
      <c r="U6" s="19">
        <f>_xll.BDH("GILD US Equity","SALES_REV_TURN","FQ4 2023","FQ4 2023","Currency=USD","Period=FQ","BEST_FPERIOD_OVERRIDE=FQ","FILING_STATUS=MR","SCALING_FORMAT=MLN","FA_ADJUSTED=Adjusted","Sort=A","Dates=H","DateFormat=P","Fill=—","Direction=H","UseDPDF=Y")</f>
        <v>7115</v>
      </c>
      <c r="V6" s="19">
        <f>_xll.BDH("GILD US Equity","SALES_REV_TURN","FQ1 2024","FQ1 2024","Currency=USD","Period=FQ","BEST_FPERIOD_OVERRIDE=FQ","FILING_STATUS=MR","SCALING_FORMAT=MLN","FA_ADJUSTED=Adjusted","Sort=A","Dates=H","DateFormat=P","Fill=—","Direction=H","UseDPDF=Y")</f>
        <v>6686</v>
      </c>
      <c r="W6" s="19">
        <f>_xll.BDH("GILD US Equity","SALES_REV_TURN","FQ2 2024","FQ2 2024","Currency=USD","Period=FQ","BEST_FPERIOD_OVERRIDE=FQ","FILING_STATUS=MR","SCALING_FORMAT=MLN","FA_ADJUSTED=Adjusted","Sort=A","Dates=H","DateFormat=P","Fill=—","Direction=H","UseDPDF=Y")</f>
        <v>6953</v>
      </c>
      <c r="X6" s="19">
        <f>_xll.BDH("GILD US Equity","SALES_REV_TURN","FQ3 2024","FQ3 2024","Currency=USD","Period=FQ","BEST_FPERIOD_OVERRIDE=FQ","FILING_STATUS=MR","SCALING_FORMAT=MLN","FA_ADJUSTED=Adjusted","Sort=A","Dates=H","DateFormat=P","Fill=—","Direction=H","UseDPDF=Y")</f>
        <v>7545</v>
      </c>
      <c r="Y6" s="19">
        <f>_xll.BDH("GILD US Equity","SALES_REV_TURN","FQ4 2024","FQ4 2024","Currency=USD","Period=FQ","BEST_FPERIOD_OVERRIDE=FQ","FILING_STATUS=MR","SCALING_FORMAT=MLN","FA_ADJUSTED=Adjusted","Sort=A","Dates=H","DateFormat=P","Fill=—","Direction=H","UseDPDF=Y")</f>
        <v>7569</v>
      </c>
      <c r="Z6" s="19">
        <v>6764.3159999999998</v>
      </c>
      <c r="AA6" s="19">
        <v>6947.6840000000002</v>
      </c>
    </row>
    <row r="7" spans="1:27" x14ac:dyDescent="0.25">
      <c r="A7" s="10" t="s">
        <v>313</v>
      </c>
      <c r="B7" s="10" t="s">
        <v>314</v>
      </c>
      <c r="C7" s="13">
        <f>_xll.BDH("GILD US Equity","IS_SALES_AND_SERVICES_REVENUES","FQ2 2019","FQ2 2019","Currency=USD","Period=FQ","BEST_FPERIOD_OVERRIDE=FQ","FILING_STATUS=MR","SCALING_FORMAT=MLN","FA_ADJUSTED=Adjusted","Sort=A","Dates=H","DateFormat=P","Fill=—","Direction=H","UseDPDF=Y")</f>
        <v>5607</v>
      </c>
      <c r="D7" s="13">
        <f>_xll.BDH("GILD US Equity","IS_SALES_AND_SERVICES_REVENUES","FQ3 2019","FQ3 2019","Currency=USD","Period=FQ","BEST_FPERIOD_OVERRIDE=FQ","FILING_STATUS=MR","SCALING_FORMAT=MLN","FA_ADJUSTED=Adjusted","Sort=A","Dates=H","DateFormat=P","Fill=—","Direction=H","UseDPDF=Y")</f>
        <v>5516</v>
      </c>
      <c r="E7" s="13">
        <f>_xll.BDH("GILD US Equity","IS_SALES_AND_SERVICES_REVENUES","FQ4 2019","FQ4 2019","Currency=USD","Period=FQ","BEST_FPERIOD_OVERRIDE=FQ","FILING_STATUS=MR","SCALING_FORMAT=MLN","FA_ADJUSTED=Adjusted","Sort=A","Dates=H","DateFormat=P","Fill=—","Direction=H","UseDPDF=Y")</f>
        <v>5796</v>
      </c>
      <c r="F7" s="13">
        <f>_xll.BDH("GILD US Equity","IS_SALES_AND_SERVICES_REVENUES","FQ1 2020","FQ1 2020","Currency=USD","Period=FQ","BEST_FPERIOD_OVERRIDE=FQ","FILING_STATUS=MR","SCALING_FORMAT=MLN","FA_ADJUSTED=Adjusted","Sort=A","Dates=H","DateFormat=P","Fill=—","Direction=H","UseDPDF=Y")</f>
        <v>5467</v>
      </c>
      <c r="G7" s="13">
        <f>_xll.BDH("GILD US Equity","IS_SALES_AND_SERVICES_REVENUES","FQ2 2020","FQ2 2020","Currency=USD","Period=FQ","BEST_FPERIOD_OVERRIDE=FQ","FILING_STATUS=MR","SCALING_FORMAT=MLN","FA_ADJUSTED=Adjusted","Sort=A","Dates=H","DateFormat=P","Fill=—","Direction=H","UseDPDF=Y")</f>
        <v>5067</v>
      </c>
      <c r="H7" s="13">
        <f>_xll.BDH("GILD US Equity","IS_SALES_AND_SERVICES_REVENUES","FQ3 2020","FQ3 2020","Currency=USD","Period=FQ","BEST_FPERIOD_OVERRIDE=FQ","FILING_STATUS=MR","SCALING_FORMAT=MLN","FA_ADJUSTED=Adjusted","Sort=A","Dates=H","DateFormat=P","Fill=—","Direction=H","UseDPDF=Y")</f>
        <v>6493</v>
      </c>
      <c r="I7" s="13">
        <f>_xll.BDH("GILD US Equity","IS_SALES_AND_SERVICES_REVENUES","FQ4 2020","FQ4 2020","Currency=USD","Period=FQ","BEST_FPERIOD_OVERRIDE=FQ","FILING_STATUS=MR","SCALING_FORMAT=MLN","FA_ADJUSTED=Adjusted","Sort=A","Dates=H","DateFormat=P","Fill=—","Direction=H","UseDPDF=Y")</f>
        <v>7328</v>
      </c>
      <c r="J7" s="13">
        <f>_xll.BDH("GILD US Equity","IS_SALES_AND_SERVICES_REVENUES","FQ1 2021","FQ1 2021","Currency=USD","Period=FQ","BEST_FPERIOD_OVERRIDE=FQ","FILING_STATUS=MR","SCALING_FORMAT=MLN","FA_ADJUSTED=Adjusted","Sort=A","Dates=H","DateFormat=P","Fill=—","Direction=H","UseDPDF=Y")</f>
        <v>6340</v>
      </c>
      <c r="K7" s="13">
        <f>_xll.BDH("GILD US Equity","IS_SALES_AND_SERVICES_REVENUES","FQ2 2021","FQ2 2021","Currency=USD","Period=FQ","BEST_FPERIOD_OVERRIDE=FQ","FILING_STATUS=MR","SCALING_FORMAT=MLN","FA_ADJUSTED=Adjusted","Sort=A","Dates=H","DateFormat=P","Fill=—","Direction=H","UseDPDF=Y")</f>
        <v>6152</v>
      </c>
      <c r="L7" s="13">
        <f>_xll.BDH("GILD US Equity","IS_SALES_AND_SERVICES_REVENUES","FQ3 2021","FQ3 2021","Currency=USD","Period=FQ","BEST_FPERIOD_OVERRIDE=FQ","FILING_STATUS=MR","SCALING_FORMAT=MLN","FA_ADJUSTED=Adjusted","Sort=A","Dates=H","DateFormat=P","Fill=—","Direction=H","UseDPDF=Y")</f>
        <v>7356</v>
      </c>
      <c r="M7" s="13">
        <f>_xll.BDH("GILD US Equity","IS_SALES_AND_SERVICES_REVENUES","FQ4 2021","FQ4 2021","Currency=USD","Period=FQ","BEST_FPERIOD_OVERRIDE=FQ","FILING_STATUS=MR","SCALING_FORMAT=MLN","FA_ADJUSTED=Adjusted","Sort=A","Dates=H","DateFormat=P","Fill=—","Direction=H","UseDPDF=Y")</f>
        <v>7160</v>
      </c>
      <c r="N7" s="13">
        <f>_xll.BDH("GILD US Equity","IS_SALES_AND_SERVICES_REVENUES","FQ1 2022","FQ1 2022","Currency=USD","Period=FQ","BEST_FPERIOD_OVERRIDE=FQ","FILING_STATUS=MR","SCALING_FORMAT=MLN","FA_ADJUSTED=Adjusted","Sort=A","Dates=H","DateFormat=P","Fill=—","Direction=H","UseDPDF=Y")</f>
        <v>6534</v>
      </c>
      <c r="O7" s="13">
        <f>_xll.BDH("GILD US Equity","IS_SALES_AND_SERVICES_REVENUES","FQ2 2022","FQ2 2022","Currency=USD","Period=FQ","BEST_FPERIOD_OVERRIDE=FQ","FILING_STATUS=MR","SCALING_FORMAT=MLN","FA_ADJUSTED=Adjusted","Sort=A","Dates=H","DateFormat=P","Fill=—","Direction=H","UseDPDF=Y")</f>
        <v>6138</v>
      </c>
      <c r="P7" s="13">
        <f>_xll.BDH("GILD US Equity","IS_SALES_AND_SERVICES_REVENUES","FQ3 2022","FQ3 2022","Currency=USD","Period=FQ","BEST_FPERIOD_OVERRIDE=FQ","FILING_STATUS=MR","SCALING_FORMAT=MLN","FA_ADJUSTED=Adjusted","Sort=A","Dates=H","DateFormat=P","Fill=—","Direction=H","UseDPDF=Y")</f>
        <v>6978</v>
      </c>
      <c r="Q7" s="13">
        <f>_xll.BDH("GILD US Equity","IS_SALES_AND_SERVICES_REVENUES","FQ4 2022","FQ4 2022","Currency=USD","Period=FQ","BEST_FPERIOD_OVERRIDE=FQ","FILING_STATUS=MR","SCALING_FORMAT=MLN","FA_ADJUSTED=Adjusted","Sort=A","Dates=H","DateFormat=P","Fill=—","Direction=H","UseDPDF=Y")</f>
        <v>7333</v>
      </c>
      <c r="R7" s="13">
        <f>_xll.BDH("GILD US Equity","IS_SALES_AND_SERVICES_REVENUES","FQ1 2023","FQ1 2023","Currency=USD","Period=FQ","BEST_FPERIOD_OVERRIDE=FQ","FILING_STATUS=MR","SCALING_FORMAT=MLN","FA_ADJUSTED=Adjusted","Sort=A","Dates=H","DateFormat=P","Fill=—","Direction=H","UseDPDF=Y")</f>
        <v>6306</v>
      </c>
      <c r="S7" s="13">
        <f>_xll.BDH("GILD US Equity","IS_SALES_AND_SERVICES_REVENUES","FQ2 2023","FQ2 2023","Currency=USD","Period=FQ","BEST_FPERIOD_OVERRIDE=FQ","FILING_STATUS=MR","SCALING_FORMAT=MLN","FA_ADJUSTED=Adjusted","Sort=A","Dates=H","DateFormat=P","Fill=—","Direction=H","UseDPDF=Y")</f>
        <v>6564</v>
      </c>
      <c r="T7" s="13">
        <f>_xll.BDH("GILD US Equity","IS_SALES_AND_SERVICES_REVENUES","FQ3 2023","FQ3 2023","Currency=USD","Period=FQ","BEST_FPERIOD_OVERRIDE=FQ","FILING_STATUS=MR","SCALING_FORMAT=MLN","FA_ADJUSTED=Adjusted","Sort=A","Dates=H","DateFormat=P","Fill=—","Direction=H","UseDPDF=Y")</f>
        <v>6994</v>
      </c>
      <c r="U7" s="13">
        <f>_xll.BDH("GILD US Equity","IS_SALES_AND_SERVICES_REVENUES","FQ4 2023","FQ4 2023","Currency=USD","Period=FQ","BEST_FPERIOD_OVERRIDE=FQ","FILING_STATUS=MR","SCALING_FORMAT=MLN","FA_ADJUSTED=Adjusted","Sort=A","Dates=H","DateFormat=P","Fill=—","Direction=H","UseDPDF=Y")</f>
        <v>7070</v>
      </c>
      <c r="V7" s="13">
        <f>_xll.BDH("GILD US Equity","IS_SALES_AND_SERVICES_REVENUES","FQ1 2024","FQ1 2024","Currency=USD","Period=FQ","BEST_FPERIOD_OVERRIDE=FQ","FILING_STATUS=MR","SCALING_FORMAT=MLN","FA_ADJUSTED=Adjusted","Sort=A","Dates=H","DateFormat=P","Fill=—","Direction=H","UseDPDF=Y")</f>
        <v>6647</v>
      </c>
      <c r="W7" s="13">
        <f>_xll.BDH("GILD US Equity","IS_SALES_AND_SERVICES_REVENUES","FQ2 2024","FQ2 2024","Currency=USD","Period=FQ","BEST_FPERIOD_OVERRIDE=FQ","FILING_STATUS=MR","SCALING_FORMAT=MLN","FA_ADJUSTED=Adjusted","Sort=A","Dates=H","DateFormat=P","Fill=—","Direction=H","UseDPDF=Y")</f>
        <v>6912</v>
      </c>
      <c r="X7" s="13">
        <f>_xll.BDH("GILD US Equity","IS_SALES_AND_SERVICES_REVENUES","FQ3 2024","FQ3 2024","Currency=USD","Period=FQ","BEST_FPERIOD_OVERRIDE=FQ","FILING_STATUS=MR","SCALING_FORMAT=MLN","FA_ADJUSTED=Adjusted","Sort=A","Dates=H","DateFormat=P","Fill=—","Direction=H","UseDPDF=Y")</f>
        <v>7515</v>
      </c>
      <c r="Y7" s="13">
        <f>_xll.BDH("GILD US Equity","IS_SALES_AND_SERVICES_REVENUES","FQ4 2024","FQ4 2024","Currency=USD","Period=FQ","BEST_FPERIOD_OVERRIDE=FQ","FILING_STATUS=MR","SCALING_FORMAT=MLN","FA_ADJUSTED=Adjusted","Sort=A","Dates=H","DateFormat=P","Fill=—","Direction=H","UseDPDF=Y")</f>
        <v>7536</v>
      </c>
      <c r="Z7" s="13"/>
      <c r="AA7" s="13"/>
    </row>
    <row r="8" spans="1:27" x14ac:dyDescent="0.25">
      <c r="A8" s="10" t="s">
        <v>315</v>
      </c>
      <c r="B8" s="10" t="s">
        <v>316</v>
      </c>
      <c r="C8" s="13">
        <f>_xll.BDH("GILD US Equity","IS_OTHER_REVENUE","FQ2 2019","FQ2 2019","Currency=USD","Period=FQ","BEST_FPERIOD_OVERRIDE=FQ","FILING_STATUS=MR","SCALING_FORMAT=MLN","FA_ADJUSTED=Adjusted","Sort=A","Dates=H","DateFormat=P","Fill=—","Direction=H","UseDPDF=Y")</f>
        <v>78</v>
      </c>
      <c r="D8" s="13">
        <f>_xll.BDH("GILD US Equity","IS_OTHER_REVENUE","FQ3 2019","FQ3 2019","Currency=USD","Period=FQ","BEST_FPERIOD_OVERRIDE=FQ","FILING_STATUS=MR","SCALING_FORMAT=MLN","FA_ADJUSTED=Adjusted","Sort=A","Dates=H","DateFormat=P","Fill=—","Direction=H","UseDPDF=Y")</f>
        <v>88</v>
      </c>
      <c r="E8" s="13">
        <f>_xll.BDH("GILD US Equity","IS_OTHER_REVENUE","FQ4 2019","FQ4 2019","Currency=USD","Period=FQ","BEST_FPERIOD_OVERRIDE=FQ","FILING_STATUS=MR","SCALING_FORMAT=MLN","FA_ADJUSTED=Adjusted","Sort=A","Dates=H","DateFormat=P","Fill=—","Direction=H","UseDPDF=Y")</f>
        <v>83</v>
      </c>
      <c r="F8" s="13">
        <f>_xll.BDH("GILD US Equity","IS_OTHER_REVENUE","FQ1 2020","FQ1 2020","Currency=USD","Period=FQ","BEST_FPERIOD_OVERRIDE=FQ","FILING_STATUS=MR","SCALING_FORMAT=MLN","FA_ADJUSTED=Adjusted","Sort=A","Dates=H","DateFormat=P","Fill=—","Direction=H","UseDPDF=Y")</f>
        <v>81</v>
      </c>
      <c r="G8" s="13">
        <f>_xll.BDH("GILD US Equity","IS_OTHER_REVENUE","FQ2 2020","FQ2 2020","Currency=USD","Period=FQ","BEST_FPERIOD_OVERRIDE=FQ","FILING_STATUS=MR","SCALING_FORMAT=MLN","FA_ADJUSTED=Adjusted","Sort=A","Dates=H","DateFormat=P","Fill=—","Direction=H","UseDPDF=Y")</f>
        <v>76</v>
      </c>
      <c r="H8" s="13">
        <f>_xll.BDH("GILD US Equity","IS_OTHER_REVENUE","FQ3 2020","FQ3 2020","Currency=USD","Period=FQ","BEST_FPERIOD_OVERRIDE=FQ","FILING_STATUS=MR","SCALING_FORMAT=MLN","FA_ADJUSTED=Adjusted","Sort=A","Dates=H","DateFormat=P","Fill=—","Direction=H","UseDPDF=Y")</f>
        <v>84</v>
      </c>
      <c r="I8" s="13">
        <f>_xll.BDH("GILD US Equity","IS_OTHER_REVENUE","FQ4 2020","FQ4 2020","Currency=USD","Period=FQ","BEST_FPERIOD_OVERRIDE=FQ","FILING_STATUS=MR","SCALING_FORMAT=MLN","FA_ADJUSTED=Adjusted","Sort=A","Dates=H","DateFormat=P","Fill=—","Direction=H","UseDPDF=Y")</f>
        <v>93</v>
      </c>
      <c r="J8" s="13">
        <f>_xll.BDH("GILD US Equity","IS_OTHER_REVENUE","FQ1 2021","FQ1 2021","Currency=USD","Period=FQ","BEST_FPERIOD_OVERRIDE=FQ","FILING_STATUS=MR","SCALING_FORMAT=MLN","FA_ADJUSTED=Adjusted","Sort=A","Dates=H","DateFormat=P","Fill=—","Direction=H","UseDPDF=Y")</f>
        <v>83</v>
      </c>
      <c r="K8" s="13">
        <f>_xll.BDH("GILD US Equity","IS_OTHER_REVENUE","FQ2 2021","FQ2 2021","Currency=USD","Period=FQ","BEST_FPERIOD_OVERRIDE=FQ","FILING_STATUS=MR","SCALING_FORMAT=MLN","FA_ADJUSTED=Adjusted","Sort=A","Dates=H","DateFormat=P","Fill=—","Direction=H","UseDPDF=Y")</f>
        <v>65</v>
      </c>
      <c r="L8" s="13">
        <f>_xll.BDH("GILD US Equity","IS_OTHER_REVENUE","FQ3 2021","FQ3 2021","Currency=USD","Period=FQ","BEST_FPERIOD_OVERRIDE=FQ","FILING_STATUS=MR","SCALING_FORMAT=MLN","FA_ADJUSTED=Adjusted","Sort=A","Dates=H","DateFormat=P","Fill=—","Direction=H","UseDPDF=Y")</f>
        <v>65</v>
      </c>
      <c r="M8" s="13">
        <f>_xll.BDH("GILD US Equity","IS_OTHER_REVENUE","FQ4 2021","FQ4 2021","Currency=USD","Period=FQ","BEST_FPERIOD_OVERRIDE=FQ","FILING_STATUS=MR","SCALING_FORMAT=MLN","FA_ADJUSTED=Adjusted","Sort=A","Dates=H","DateFormat=P","Fill=—","Direction=H","UseDPDF=Y")</f>
        <v>84</v>
      </c>
      <c r="N8" s="13">
        <f>_xll.BDH("GILD US Equity","IS_OTHER_REVENUE","FQ1 2022","FQ1 2022","Currency=USD","Period=FQ","BEST_FPERIOD_OVERRIDE=FQ","FILING_STATUS=MR","SCALING_FORMAT=MLN","FA_ADJUSTED=Adjusted","Sort=A","Dates=H","DateFormat=P","Fill=—","Direction=H","UseDPDF=Y")</f>
        <v>56</v>
      </c>
      <c r="O8" s="13">
        <f>_xll.BDH("GILD US Equity","IS_OTHER_REVENUE","FQ2 2022","FQ2 2022","Currency=USD","Period=FQ","BEST_FPERIOD_OVERRIDE=FQ","FILING_STATUS=MR","SCALING_FORMAT=MLN","FA_ADJUSTED=Adjusted","Sort=A","Dates=H","DateFormat=P","Fill=—","Direction=H","UseDPDF=Y")</f>
        <v>122</v>
      </c>
      <c r="P8" s="13">
        <f>_xll.BDH("GILD US Equity","IS_OTHER_REVENUE","FQ3 2022","FQ3 2022","Currency=USD","Period=FQ","BEST_FPERIOD_OVERRIDE=FQ","FILING_STATUS=MR","SCALING_FORMAT=MLN","FA_ADJUSTED=Adjusted","Sort=A","Dates=H","DateFormat=P","Fill=—","Direction=H","UseDPDF=Y")</f>
        <v>64</v>
      </c>
      <c r="Q8" s="13">
        <f>_xll.BDH("GILD US Equity","IS_OTHER_REVENUE","FQ4 2022","FQ4 2022","Currency=USD","Period=FQ","BEST_FPERIOD_OVERRIDE=FQ","FILING_STATUS=MR","SCALING_FORMAT=MLN","FA_ADJUSTED=Adjusted","Sort=A","Dates=H","DateFormat=P","Fill=—","Direction=H","UseDPDF=Y")</f>
        <v>56</v>
      </c>
      <c r="R8" s="13">
        <f>_xll.BDH("GILD US Equity","IS_OTHER_REVENUE","FQ1 2023","FQ1 2023","Currency=USD","Period=FQ","BEST_FPERIOD_OVERRIDE=FQ","FILING_STATUS=MR","SCALING_FORMAT=MLN","FA_ADJUSTED=Adjusted","Sort=A","Dates=H","DateFormat=P","Fill=—","Direction=H","UseDPDF=Y")</f>
        <v>46</v>
      </c>
      <c r="S8" s="13">
        <f>_xll.BDH("GILD US Equity","IS_OTHER_REVENUE","FQ2 2023","FQ2 2023","Currency=USD","Period=FQ","BEST_FPERIOD_OVERRIDE=FQ","FILING_STATUS=MR","SCALING_FORMAT=MLN","FA_ADJUSTED=Adjusted","Sort=A","Dates=H","DateFormat=P","Fill=—","Direction=H","UseDPDF=Y")</f>
        <v>35</v>
      </c>
      <c r="T8" s="13">
        <f>_xll.BDH("GILD US Equity","IS_OTHER_REVENUE","FQ3 2023","FQ3 2023","Currency=USD","Period=FQ","BEST_FPERIOD_OVERRIDE=FQ","FILING_STATUS=MR","SCALING_FORMAT=MLN","FA_ADJUSTED=Adjusted","Sort=A","Dates=H","DateFormat=P","Fill=—","Direction=H","UseDPDF=Y")</f>
        <v>57</v>
      </c>
      <c r="U8" s="13">
        <f>_xll.BDH("GILD US Equity","IS_OTHER_REVENUE","FQ4 2023","FQ4 2023","Currency=USD","Period=FQ","BEST_FPERIOD_OVERRIDE=FQ","FILING_STATUS=MR","SCALING_FORMAT=MLN","FA_ADJUSTED=Adjusted","Sort=A","Dates=H","DateFormat=P","Fill=—","Direction=H","UseDPDF=Y")</f>
        <v>45</v>
      </c>
      <c r="V8" s="13">
        <f>_xll.BDH("GILD US Equity","IS_OTHER_REVENUE","FQ1 2024","FQ1 2024","Currency=USD","Period=FQ","BEST_FPERIOD_OVERRIDE=FQ","FILING_STATUS=MR","SCALING_FORMAT=MLN","FA_ADJUSTED=Adjusted","Sort=A","Dates=H","DateFormat=P","Fill=—","Direction=H","UseDPDF=Y")</f>
        <v>39</v>
      </c>
      <c r="W8" s="13">
        <f>_xll.BDH("GILD US Equity","IS_OTHER_REVENUE","FQ2 2024","FQ2 2024","Currency=USD","Period=FQ","BEST_FPERIOD_OVERRIDE=FQ","FILING_STATUS=MR","SCALING_FORMAT=MLN","FA_ADJUSTED=Adjusted","Sort=A","Dates=H","DateFormat=P","Fill=—","Direction=H","UseDPDF=Y")</f>
        <v>41</v>
      </c>
      <c r="X8" s="13">
        <f>_xll.BDH("GILD US Equity","IS_OTHER_REVENUE","FQ3 2024","FQ3 2024","Currency=USD","Period=FQ","BEST_FPERIOD_OVERRIDE=FQ","FILING_STATUS=MR","SCALING_FORMAT=MLN","FA_ADJUSTED=Adjusted","Sort=A","Dates=H","DateFormat=P","Fill=—","Direction=H","UseDPDF=Y")</f>
        <v>30</v>
      </c>
      <c r="Y8" s="13">
        <f>_xll.BDH("GILD US Equity","IS_OTHER_REVENUE","FQ4 2024","FQ4 2024","Currency=USD","Period=FQ","BEST_FPERIOD_OVERRIDE=FQ","FILING_STATUS=MR","SCALING_FORMAT=MLN","FA_ADJUSTED=Adjusted","Sort=A","Dates=H","DateFormat=P","Fill=—","Direction=H","UseDPDF=Y")</f>
        <v>33</v>
      </c>
      <c r="Z8" s="13"/>
      <c r="AA8" s="13"/>
    </row>
    <row r="9" spans="1:27" x14ac:dyDescent="0.25">
      <c r="A9" s="10" t="s">
        <v>317</v>
      </c>
      <c r="B9" s="10" t="s">
        <v>318</v>
      </c>
      <c r="C9" s="13">
        <f>_xll.BDH("GILD US Equity","IS_COGS_TO_FE_AND_PP_AND_G","FQ2 2019","FQ2 2019","Currency=USD","Period=FQ","BEST_FPERIOD_OVERRIDE=FQ","FILING_STATUS=MR","SCALING_FORMAT=MLN","FA_ADJUSTED=Adjusted","Sort=A","Dates=H","DateFormat=P","Fill=—","Direction=H","UseDPDF=Y")</f>
        <v>1000</v>
      </c>
      <c r="D9" s="13">
        <f>_xll.BDH("GILD US Equity","IS_COGS_TO_FE_AND_PP_AND_G","FQ3 2019","FQ3 2019","Currency=USD","Period=FQ","BEST_FPERIOD_OVERRIDE=FQ","FILING_STATUS=MR","SCALING_FORMAT=MLN","FA_ADJUSTED=Adjusted","Sort=A","Dates=H","DateFormat=P","Fill=—","Direction=H","UseDPDF=Y")</f>
        <v>1035</v>
      </c>
      <c r="E9" s="13">
        <f>_xll.BDH("GILD US Equity","IS_COGS_TO_FE_AND_PP_AND_G","FQ4 2019","FQ4 2019","Currency=USD","Period=FQ","BEST_FPERIOD_OVERRIDE=FQ","FILING_STATUS=MR","SCALING_FORMAT=MLN","FA_ADJUSTED=Adjusted","Sort=A","Dates=H","DateFormat=P","Fill=—","Direction=H","UseDPDF=Y")</f>
        <v>1683</v>
      </c>
      <c r="F9" s="13">
        <f>_xll.BDH("GILD US Equity","IS_COGS_TO_FE_AND_PP_AND_G","FQ1 2020","FQ1 2020","Currency=USD","Period=FQ","BEST_FPERIOD_OVERRIDE=FQ","FILING_STATUS=MR","SCALING_FORMAT=MLN","FA_ADJUSTED=Adjusted","Sort=A","Dates=H","DateFormat=P","Fill=—","Direction=H","UseDPDF=Y")</f>
        <v>969</v>
      </c>
      <c r="G9" s="13">
        <f>_xll.BDH("GILD US Equity","IS_COGS_TO_FE_AND_PP_AND_G","FQ2 2020","FQ2 2020","Currency=USD","Period=FQ","BEST_FPERIOD_OVERRIDE=FQ","FILING_STATUS=MR","SCALING_FORMAT=MLN","FA_ADJUSTED=Adjusted","Sort=A","Dates=H","DateFormat=P","Fill=—","Direction=H","UseDPDF=Y")</f>
        <v>1064</v>
      </c>
      <c r="H9" s="13">
        <f>_xll.BDH("GILD US Equity","IS_COGS_TO_FE_AND_PP_AND_G","FQ3 2020","FQ3 2020","Currency=USD","Period=FQ","BEST_FPERIOD_OVERRIDE=FQ","FILING_STATUS=MR","SCALING_FORMAT=MLN","FA_ADJUSTED=Adjusted","Sort=A","Dates=H","DateFormat=P","Fill=—","Direction=H","UseDPDF=Y")</f>
        <v>1141</v>
      </c>
      <c r="I9" s="13">
        <f>_xll.BDH("GILD US Equity","IS_COGS_TO_FE_AND_PP_AND_G","FQ4 2020","FQ4 2020","Currency=USD","Period=FQ","BEST_FPERIOD_OVERRIDE=FQ","FILING_STATUS=MR","SCALING_FORMAT=MLN","FA_ADJUSTED=Adjusted","Sort=A","Dates=H","DateFormat=P","Fill=—","Direction=H","UseDPDF=Y")</f>
        <v>1398</v>
      </c>
      <c r="J9" s="13">
        <f>_xll.BDH("GILD US Equity","IS_COGS_TO_FE_AND_PP_AND_G","FQ1 2021","FQ1 2021","Currency=USD","Period=FQ","BEST_FPERIOD_OVERRIDE=FQ","FILING_STATUS=MR","SCALING_FORMAT=MLN","FA_ADJUSTED=Adjusted","Sort=A","Dates=H","DateFormat=P","Fill=—","Direction=H","UseDPDF=Y")</f>
        <v>1361</v>
      </c>
      <c r="K9" s="13">
        <f>_xll.BDH("GILD US Equity","IS_COGS_TO_FE_AND_PP_AND_G","FQ2 2021","FQ2 2021","Currency=USD","Period=FQ","BEST_FPERIOD_OVERRIDE=FQ","FILING_STATUS=MR","SCALING_FORMAT=MLN","FA_ADJUSTED=Adjusted","Sort=A","Dates=H","DateFormat=P","Fill=—","Direction=H","UseDPDF=Y")</f>
        <v>1390</v>
      </c>
      <c r="L9" s="13">
        <f>_xll.BDH("GILD US Equity","IS_COGS_TO_FE_AND_PP_AND_G","FQ3 2021","FQ3 2021","Currency=USD","Period=FQ","BEST_FPERIOD_OVERRIDE=FQ","FILING_STATUS=MR","SCALING_FORMAT=MLN","FA_ADJUSTED=Adjusted","Sort=A","Dates=H","DateFormat=P","Fill=—","Direction=H","UseDPDF=Y")</f>
        <v>1223</v>
      </c>
      <c r="M9" s="13">
        <f>_xll.BDH("GILD US Equity","IS_COGS_TO_FE_AND_PP_AND_G","FQ4 2021","FQ4 2021","Currency=USD","Period=FQ","BEST_FPERIOD_OVERRIDE=FQ","FILING_STATUS=MR","SCALING_FORMAT=MLN","FA_ADJUSTED=Adjusted","Sort=A","Dates=H","DateFormat=P","Fill=—","Direction=H","UseDPDF=Y")</f>
        <v>2627</v>
      </c>
      <c r="N9" s="13">
        <f>_xll.BDH("GILD US Equity","IS_COGS_TO_FE_AND_PP_AND_G","FQ1 2022","FQ1 2022","Currency=USD","Period=FQ","BEST_FPERIOD_OVERRIDE=FQ","FILING_STATUS=MR","SCALING_FORMAT=MLN","FA_ADJUSTED=Adjusted","Sort=A","Dates=H","DateFormat=P","Fill=—","Direction=H","UseDPDF=Y")</f>
        <v>1424</v>
      </c>
      <c r="O9" s="13">
        <f>_xll.BDH("GILD US Equity","IS_COGS_TO_FE_AND_PP_AND_G","FQ2 2022","FQ2 2022","Currency=USD","Period=FQ","BEST_FPERIOD_OVERRIDE=FQ","FILING_STATUS=MR","SCALING_FORMAT=MLN","FA_ADJUSTED=Adjusted","Sort=A","Dates=H","DateFormat=P","Fill=—","Direction=H","UseDPDF=Y")</f>
        <v>1442</v>
      </c>
      <c r="P9" s="13">
        <f>_xll.BDH("GILD US Equity","IS_COGS_TO_FE_AND_PP_AND_G","FQ3 2022","FQ3 2022","Currency=USD","Period=FQ","BEST_FPERIOD_OVERRIDE=FQ","FILING_STATUS=MR","SCALING_FORMAT=MLN","FA_ADJUSTED=Adjusted","Sort=A","Dates=H","DateFormat=P","Fill=—","Direction=H","UseDPDF=Y")</f>
        <v>1395</v>
      </c>
      <c r="Q9" s="13">
        <f>_xll.BDH("GILD US Equity","IS_COGS_TO_FE_AND_PP_AND_G","FQ4 2022","FQ4 2022","Currency=USD","Period=FQ","BEST_FPERIOD_OVERRIDE=FQ","FILING_STATUS=MR","SCALING_FORMAT=MLN","FA_ADJUSTED=Adjusted","Sort=A","Dates=H","DateFormat=P","Fill=—","Direction=H","UseDPDF=Y")</f>
        <v>1396</v>
      </c>
      <c r="R9" s="13">
        <f>_xll.BDH("GILD US Equity","IS_COGS_TO_FE_AND_PP_AND_G","FQ1 2023","FQ1 2023","Currency=USD","Period=FQ","BEST_FPERIOD_OVERRIDE=FQ","FILING_STATUS=MR","SCALING_FORMAT=MLN","FA_ADJUSTED=Adjusted","Sort=A","Dates=H","DateFormat=P","Fill=—","Direction=H","UseDPDF=Y")</f>
        <v>1401</v>
      </c>
      <c r="S9" s="13">
        <f>_xll.BDH("GILD US Equity","IS_COGS_TO_FE_AND_PP_AND_G","FQ2 2023","FQ2 2023","Currency=USD","Period=FQ","BEST_FPERIOD_OVERRIDE=FQ","FILING_STATUS=MR","SCALING_FORMAT=MLN","FA_ADJUSTED=Adjusted","Sort=A","Dates=H","DateFormat=P","Fill=—","Direction=H","UseDPDF=Y")</f>
        <v>1442</v>
      </c>
      <c r="T9" s="13">
        <f>_xll.BDH("GILD US Equity","IS_COGS_TO_FE_AND_PP_AND_G","FQ3 2023","FQ3 2023","Currency=USD","Period=FQ","BEST_FPERIOD_OVERRIDE=FQ","FILING_STATUS=MR","SCALING_FORMAT=MLN","FA_ADJUSTED=Adjusted","Sort=A","Dates=H","DateFormat=P","Fill=—","Direction=H","UseDPDF=Y")</f>
        <v>1565</v>
      </c>
      <c r="U9" s="13">
        <f>_xll.BDH("GILD US Equity","IS_COGS_TO_FE_AND_PP_AND_G","FQ4 2023","FQ4 2023","Currency=USD","Period=FQ","BEST_FPERIOD_OVERRIDE=FQ","FILING_STATUS=MR","SCALING_FORMAT=MLN","FA_ADJUSTED=Adjusted","Sort=A","Dates=H","DateFormat=P","Fill=—","Direction=H","UseDPDF=Y")</f>
        <v>1662</v>
      </c>
      <c r="V9" s="13">
        <f>_xll.BDH("GILD US Equity","IS_COGS_TO_FE_AND_PP_AND_G","FQ1 2024","FQ1 2024","Currency=USD","Period=FQ","BEST_FPERIOD_OVERRIDE=FQ","FILING_STATUS=MR","SCALING_FORMAT=MLN","FA_ADJUSTED=Adjusted","Sort=A","Dates=H","DateFormat=P","Fill=—","Direction=H","UseDPDF=Y")</f>
        <v>1552</v>
      </c>
      <c r="W9" s="13">
        <f>_xll.BDH("GILD US Equity","IS_COGS_TO_FE_AND_PP_AND_G","FQ2 2024","FQ2 2024","Currency=USD","Period=FQ","BEST_FPERIOD_OVERRIDE=FQ","FILING_STATUS=MR","SCALING_FORMAT=MLN","FA_ADJUSTED=Adjusted","Sort=A","Dates=H","DateFormat=P","Fill=—","Direction=H","UseDPDF=Y")</f>
        <v>1544</v>
      </c>
      <c r="X9" s="13">
        <f>_xll.BDH("GILD US Equity","IS_COGS_TO_FE_AND_PP_AND_G","FQ3 2024","FQ3 2024","Currency=USD","Period=FQ","BEST_FPERIOD_OVERRIDE=FQ","FILING_STATUS=MR","SCALING_FORMAT=MLN","FA_ADJUSTED=Adjusted","Sort=A","Dates=H","DateFormat=P","Fill=—","Direction=H","UseDPDF=Y")</f>
        <v>1574</v>
      </c>
      <c r="Y9" s="13">
        <f>_xll.BDH("GILD US Equity","IS_COGS_TO_FE_AND_PP_AND_G","FQ4 2024","FQ4 2024","Currency=USD","Period=FQ","BEST_FPERIOD_OVERRIDE=FQ","FILING_STATUS=MR","SCALING_FORMAT=MLN","FA_ADJUSTED=Adjusted","Sort=A","Dates=H","DateFormat=P","Fill=—","Direction=H","UseDPDF=Y")</f>
        <v>1581</v>
      </c>
      <c r="Z9" s="13"/>
      <c r="AA9" s="13"/>
    </row>
    <row r="10" spans="1:27" x14ac:dyDescent="0.25">
      <c r="A10" s="10" t="s">
        <v>319</v>
      </c>
      <c r="B10" s="10" t="s">
        <v>320</v>
      </c>
      <c r="C10" s="13">
        <f>_xll.BDH("GILD US Equity","IS_COG_AND_SERVICES_SOLD","FQ2 2019","FQ2 2019","Currency=USD","Period=FQ","BEST_FPERIOD_OVERRIDE=FQ","FILING_STATUS=MR","SCALING_FORMAT=MLN","FA_ADJUSTED=Adjusted","Sort=A","Dates=H","DateFormat=P","Fill=—","Direction=H","UseDPDF=Y")</f>
        <v>1000</v>
      </c>
      <c r="D10" s="13">
        <f>_xll.BDH("GILD US Equity","IS_COG_AND_SERVICES_SOLD","FQ3 2019","FQ3 2019","Currency=USD","Period=FQ","BEST_FPERIOD_OVERRIDE=FQ","FILING_STATUS=MR","SCALING_FORMAT=MLN","FA_ADJUSTED=Adjusted","Sort=A","Dates=H","DateFormat=P","Fill=—","Direction=H","UseDPDF=Y")</f>
        <v>1035</v>
      </c>
      <c r="E10" s="13">
        <f>_xll.BDH("GILD US Equity","IS_COG_AND_SERVICES_SOLD","FQ4 2019","FQ4 2019","Currency=USD","Period=FQ","BEST_FPERIOD_OVERRIDE=FQ","FILING_STATUS=MR","SCALING_FORMAT=MLN","FA_ADJUSTED=Adjusted","Sort=A","Dates=H","DateFormat=P","Fill=—","Direction=H","UseDPDF=Y")</f>
        <v>1683</v>
      </c>
      <c r="F10" s="13">
        <f>_xll.BDH("GILD US Equity","IS_COG_AND_SERVICES_SOLD","FQ1 2020","FQ1 2020","Currency=USD","Period=FQ","BEST_FPERIOD_OVERRIDE=FQ","FILING_STATUS=MR","SCALING_FORMAT=MLN","FA_ADJUSTED=Adjusted","Sort=A","Dates=H","DateFormat=P","Fill=—","Direction=H","UseDPDF=Y")</f>
        <v>969</v>
      </c>
      <c r="G10" s="13">
        <f>_xll.BDH("GILD US Equity","IS_COG_AND_SERVICES_SOLD","FQ2 2020","FQ2 2020","Currency=USD","Period=FQ","BEST_FPERIOD_OVERRIDE=FQ","FILING_STATUS=MR","SCALING_FORMAT=MLN","FA_ADJUSTED=Adjusted","Sort=A","Dates=H","DateFormat=P","Fill=—","Direction=H","UseDPDF=Y")</f>
        <v>1064</v>
      </c>
      <c r="H10" s="13">
        <f>_xll.BDH("GILD US Equity","IS_COG_AND_SERVICES_SOLD","FQ3 2020","FQ3 2020","Currency=USD","Period=FQ","BEST_FPERIOD_OVERRIDE=FQ","FILING_STATUS=MR","SCALING_FORMAT=MLN","FA_ADJUSTED=Adjusted","Sort=A","Dates=H","DateFormat=P","Fill=—","Direction=H","UseDPDF=Y")</f>
        <v>1141</v>
      </c>
      <c r="I10" s="13">
        <f>_xll.BDH("GILD US Equity","IS_COG_AND_SERVICES_SOLD","FQ4 2020","FQ4 2020","Currency=USD","Period=FQ","BEST_FPERIOD_OVERRIDE=FQ","FILING_STATUS=MR","SCALING_FORMAT=MLN","FA_ADJUSTED=Adjusted","Sort=A","Dates=H","DateFormat=P","Fill=—","Direction=H","UseDPDF=Y")</f>
        <v>1398</v>
      </c>
      <c r="J10" s="13">
        <f>_xll.BDH("GILD US Equity","IS_COG_AND_SERVICES_SOLD","FQ1 2021","FQ1 2021","Currency=USD","Period=FQ","BEST_FPERIOD_OVERRIDE=FQ","FILING_STATUS=MR","SCALING_FORMAT=MLN","FA_ADJUSTED=Adjusted","Sort=A","Dates=H","DateFormat=P","Fill=—","Direction=H","UseDPDF=Y")</f>
        <v>1361</v>
      </c>
      <c r="K10" s="13">
        <f>_xll.BDH("GILD US Equity","IS_COG_AND_SERVICES_SOLD","FQ2 2021","FQ2 2021","Currency=USD","Period=FQ","BEST_FPERIOD_OVERRIDE=FQ","FILING_STATUS=MR","SCALING_FORMAT=MLN","FA_ADJUSTED=Adjusted","Sort=A","Dates=H","DateFormat=P","Fill=—","Direction=H","UseDPDF=Y")</f>
        <v>1390</v>
      </c>
      <c r="L10" s="13">
        <f>_xll.BDH("GILD US Equity","IS_COG_AND_SERVICES_SOLD","FQ3 2021","FQ3 2021","Currency=USD","Period=FQ","BEST_FPERIOD_OVERRIDE=FQ","FILING_STATUS=MR","SCALING_FORMAT=MLN","FA_ADJUSTED=Adjusted","Sort=A","Dates=H","DateFormat=P","Fill=—","Direction=H","UseDPDF=Y")</f>
        <v>1223</v>
      </c>
      <c r="M10" s="13">
        <f>_xll.BDH("GILD US Equity","IS_COG_AND_SERVICES_SOLD","FQ4 2021","FQ4 2021","Currency=USD","Period=FQ","BEST_FPERIOD_OVERRIDE=FQ","FILING_STATUS=MR","SCALING_FORMAT=MLN","FA_ADJUSTED=Adjusted","Sort=A","Dates=H","DateFormat=P","Fill=—","Direction=H","UseDPDF=Y")</f>
        <v>2627</v>
      </c>
      <c r="N10" s="13">
        <f>_xll.BDH("GILD US Equity","IS_COG_AND_SERVICES_SOLD","FQ1 2022","FQ1 2022","Currency=USD","Period=FQ","BEST_FPERIOD_OVERRIDE=FQ","FILING_STATUS=MR","SCALING_FORMAT=MLN","FA_ADJUSTED=Adjusted","Sort=A","Dates=H","DateFormat=P","Fill=—","Direction=H","UseDPDF=Y")</f>
        <v>1424</v>
      </c>
      <c r="O10" s="13">
        <f>_xll.BDH("GILD US Equity","IS_COG_AND_SERVICES_SOLD","FQ2 2022","FQ2 2022","Currency=USD","Period=FQ","BEST_FPERIOD_OVERRIDE=FQ","FILING_STATUS=MR","SCALING_FORMAT=MLN","FA_ADJUSTED=Adjusted","Sort=A","Dates=H","DateFormat=P","Fill=—","Direction=H","UseDPDF=Y")</f>
        <v>1442</v>
      </c>
      <c r="P10" s="13">
        <f>_xll.BDH("GILD US Equity","IS_COG_AND_SERVICES_SOLD","FQ3 2022","FQ3 2022","Currency=USD","Period=FQ","BEST_FPERIOD_OVERRIDE=FQ","FILING_STATUS=MR","SCALING_FORMAT=MLN","FA_ADJUSTED=Adjusted","Sort=A","Dates=H","DateFormat=P","Fill=—","Direction=H","UseDPDF=Y")</f>
        <v>1395</v>
      </c>
      <c r="Q10" s="13">
        <f>_xll.BDH("GILD US Equity","IS_COG_AND_SERVICES_SOLD","FQ4 2022","FQ4 2022","Currency=USD","Period=FQ","BEST_FPERIOD_OVERRIDE=FQ","FILING_STATUS=MR","SCALING_FORMAT=MLN","FA_ADJUSTED=Adjusted","Sort=A","Dates=H","DateFormat=P","Fill=—","Direction=H","UseDPDF=Y")</f>
        <v>1396</v>
      </c>
      <c r="R10" s="13">
        <f>_xll.BDH("GILD US Equity","IS_COG_AND_SERVICES_SOLD","FQ1 2023","FQ1 2023","Currency=USD","Period=FQ","BEST_FPERIOD_OVERRIDE=FQ","FILING_STATUS=MR","SCALING_FORMAT=MLN","FA_ADJUSTED=Adjusted","Sort=A","Dates=H","DateFormat=P","Fill=—","Direction=H","UseDPDF=Y")</f>
        <v>1401</v>
      </c>
      <c r="S10" s="13">
        <f>_xll.BDH("GILD US Equity","IS_COG_AND_SERVICES_SOLD","FQ2 2023","FQ2 2023","Currency=USD","Period=FQ","BEST_FPERIOD_OVERRIDE=FQ","FILING_STATUS=MR","SCALING_FORMAT=MLN","FA_ADJUSTED=Adjusted","Sort=A","Dates=H","DateFormat=P","Fill=—","Direction=H","UseDPDF=Y")</f>
        <v>1442</v>
      </c>
      <c r="T10" s="13">
        <f>_xll.BDH("GILD US Equity","IS_COG_AND_SERVICES_SOLD","FQ3 2023","FQ3 2023","Currency=USD","Period=FQ","BEST_FPERIOD_OVERRIDE=FQ","FILING_STATUS=MR","SCALING_FORMAT=MLN","FA_ADJUSTED=Adjusted","Sort=A","Dates=H","DateFormat=P","Fill=—","Direction=H","UseDPDF=Y")</f>
        <v>1565</v>
      </c>
      <c r="U10" s="13">
        <f>_xll.BDH("GILD US Equity","IS_COG_AND_SERVICES_SOLD","FQ4 2023","FQ4 2023","Currency=USD","Period=FQ","BEST_FPERIOD_OVERRIDE=FQ","FILING_STATUS=MR","SCALING_FORMAT=MLN","FA_ADJUSTED=Adjusted","Sort=A","Dates=H","DateFormat=P","Fill=—","Direction=H","UseDPDF=Y")</f>
        <v>1662</v>
      </c>
      <c r="V10" s="13">
        <f>_xll.BDH("GILD US Equity","IS_COG_AND_SERVICES_SOLD","FQ1 2024","FQ1 2024","Currency=USD","Period=FQ","BEST_FPERIOD_OVERRIDE=FQ","FILING_STATUS=MR","SCALING_FORMAT=MLN","FA_ADJUSTED=Adjusted","Sort=A","Dates=H","DateFormat=P","Fill=—","Direction=H","UseDPDF=Y")</f>
        <v>1552</v>
      </c>
      <c r="W10" s="13">
        <f>_xll.BDH("GILD US Equity","IS_COG_AND_SERVICES_SOLD","FQ2 2024","FQ2 2024","Currency=USD","Period=FQ","BEST_FPERIOD_OVERRIDE=FQ","FILING_STATUS=MR","SCALING_FORMAT=MLN","FA_ADJUSTED=Adjusted","Sort=A","Dates=H","DateFormat=P","Fill=—","Direction=H","UseDPDF=Y")</f>
        <v>1544</v>
      </c>
      <c r="X10" s="13">
        <f>_xll.BDH("GILD US Equity","IS_COG_AND_SERVICES_SOLD","FQ3 2024","FQ3 2024","Currency=USD","Period=FQ","BEST_FPERIOD_OVERRIDE=FQ","FILING_STATUS=MR","SCALING_FORMAT=MLN","FA_ADJUSTED=Adjusted","Sort=A","Dates=H","DateFormat=P","Fill=—","Direction=H","UseDPDF=Y")</f>
        <v>1574</v>
      </c>
      <c r="Y10" s="13">
        <f>_xll.BDH("GILD US Equity","IS_COG_AND_SERVICES_SOLD","FQ4 2024","FQ4 2024","Currency=USD","Period=FQ","BEST_FPERIOD_OVERRIDE=FQ","FILING_STATUS=MR","SCALING_FORMAT=MLN","FA_ADJUSTED=Adjusted","Sort=A","Dates=H","DateFormat=P","Fill=—","Direction=H","UseDPDF=Y")</f>
        <v>1581</v>
      </c>
      <c r="Z10" s="13"/>
      <c r="AA10" s="13"/>
    </row>
    <row r="11" spans="1:27" x14ac:dyDescent="0.25">
      <c r="A11" s="6" t="s">
        <v>2</v>
      </c>
      <c r="B11" s="6" t="s">
        <v>75</v>
      </c>
      <c r="C11" s="19">
        <f>_xll.BDH("GILD US Equity","GROSS_PROFIT","FQ2 2019","FQ2 2019","Currency=USD","Period=FQ","BEST_FPERIOD_OVERRIDE=FQ","FILING_STATUS=MR","SCALING_FORMAT=MLN","FA_ADJUSTED=Adjusted","Sort=A","Dates=H","DateFormat=P","Fill=—","Direction=H","UseDPDF=Y")</f>
        <v>4685</v>
      </c>
      <c r="D11" s="19">
        <f>_xll.BDH("GILD US Equity","GROSS_PROFIT","FQ3 2019","FQ3 2019","Currency=USD","Period=FQ","BEST_FPERIOD_OVERRIDE=FQ","FILING_STATUS=MR","SCALING_FORMAT=MLN","FA_ADJUSTED=Adjusted","Sort=A","Dates=H","DateFormat=P","Fill=—","Direction=H","UseDPDF=Y")</f>
        <v>4569</v>
      </c>
      <c r="E11" s="19">
        <f>_xll.BDH("GILD US Equity","GROSS_PROFIT","FQ4 2019","FQ4 2019","Currency=USD","Period=FQ","BEST_FPERIOD_OVERRIDE=FQ","FILING_STATUS=MR","SCALING_FORMAT=MLN","FA_ADJUSTED=Adjusted","Sort=A","Dates=H","DateFormat=P","Fill=—","Direction=H","UseDPDF=Y")</f>
        <v>4196</v>
      </c>
      <c r="F11" s="19">
        <f>_xll.BDH("GILD US Equity","GROSS_PROFIT","FQ1 2020","FQ1 2020","Currency=USD","Period=FQ","BEST_FPERIOD_OVERRIDE=FQ","FILING_STATUS=MR","SCALING_FORMAT=MLN","FA_ADJUSTED=Adjusted","Sort=A","Dates=H","DateFormat=P","Fill=—","Direction=H","UseDPDF=Y")</f>
        <v>4579</v>
      </c>
      <c r="G11" s="19">
        <f>_xll.BDH("GILD US Equity","GROSS_PROFIT","FQ2 2020","FQ2 2020","Currency=USD","Period=FQ","BEST_FPERIOD_OVERRIDE=FQ","FILING_STATUS=MR","SCALING_FORMAT=MLN","FA_ADJUSTED=Adjusted","Sort=A","Dates=H","DateFormat=P","Fill=—","Direction=H","UseDPDF=Y")</f>
        <v>4079</v>
      </c>
      <c r="H11" s="19">
        <f>_xll.BDH("GILD US Equity","GROSS_PROFIT","FQ3 2020","FQ3 2020","Currency=USD","Period=FQ","BEST_FPERIOD_OVERRIDE=FQ","FILING_STATUS=MR","SCALING_FORMAT=MLN","FA_ADJUSTED=Adjusted","Sort=A","Dates=H","DateFormat=P","Fill=—","Direction=H","UseDPDF=Y")</f>
        <v>5436</v>
      </c>
      <c r="I11" s="19">
        <f>_xll.BDH("GILD US Equity","GROSS_PROFIT","FQ4 2020","FQ4 2020","Currency=USD","Period=FQ","BEST_FPERIOD_OVERRIDE=FQ","FILING_STATUS=MR","SCALING_FORMAT=MLN","FA_ADJUSTED=Adjusted","Sort=A","Dates=H","DateFormat=P","Fill=—","Direction=H","UseDPDF=Y")</f>
        <v>6023</v>
      </c>
      <c r="J11" s="19">
        <f>_xll.BDH("GILD US Equity","GROSS_PROFIT","FQ1 2021","FQ1 2021","Currency=USD","Period=FQ","BEST_FPERIOD_OVERRIDE=FQ","FILING_STATUS=MR","SCALING_FORMAT=MLN","FA_ADJUSTED=Adjusted","Sort=A","Dates=H","DateFormat=P","Fill=—","Direction=H","UseDPDF=Y")</f>
        <v>5062</v>
      </c>
      <c r="K11" s="19">
        <f>_xll.BDH("GILD US Equity","GROSS_PROFIT","FQ2 2021","FQ2 2021","Currency=USD","Period=FQ","BEST_FPERIOD_OVERRIDE=FQ","FILING_STATUS=MR","SCALING_FORMAT=MLN","FA_ADJUSTED=Adjusted","Sort=A","Dates=H","DateFormat=P","Fill=—","Direction=H","UseDPDF=Y")</f>
        <v>4827</v>
      </c>
      <c r="L11" s="19">
        <f>_xll.BDH("GILD US Equity","GROSS_PROFIT","FQ3 2021","FQ3 2021","Currency=USD","Period=FQ","BEST_FPERIOD_OVERRIDE=FQ","FILING_STATUS=MR","SCALING_FORMAT=MLN","FA_ADJUSTED=Adjusted","Sort=A","Dates=H","DateFormat=P","Fill=—","Direction=H","UseDPDF=Y")</f>
        <v>6198</v>
      </c>
      <c r="M11" s="19">
        <f>_xll.BDH("GILD US Equity","GROSS_PROFIT","FQ4 2021","FQ4 2021","Currency=USD","Period=FQ","BEST_FPERIOD_OVERRIDE=FQ","FILING_STATUS=MR","SCALING_FORMAT=MLN","FA_ADJUSTED=Adjusted","Sort=A","Dates=H","DateFormat=P","Fill=—","Direction=H","UseDPDF=Y")</f>
        <v>4617</v>
      </c>
      <c r="N11" s="19">
        <f>_xll.BDH("GILD US Equity","GROSS_PROFIT","FQ1 2022","FQ1 2022","Currency=USD","Period=FQ","BEST_FPERIOD_OVERRIDE=FQ","FILING_STATUS=MR","SCALING_FORMAT=MLN","FA_ADJUSTED=Adjusted","Sort=A","Dates=H","DateFormat=P","Fill=—","Direction=H","UseDPDF=Y")</f>
        <v>5166</v>
      </c>
      <c r="O11" s="19">
        <f>_xll.BDH("GILD US Equity","GROSS_PROFIT","FQ2 2022","FQ2 2022","Currency=USD","Period=FQ","BEST_FPERIOD_OVERRIDE=FQ","FILING_STATUS=MR","SCALING_FORMAT=MLN","FA_ADJUSTED=Adjusted","Sort=A","Dates=H","DateFormat=P","Fill=—","Direction=H","UseDPDF=Y")</f>
        <v>4818</v>
      </c>
      <c r="P11" s="19">
        <f>_xll.BDH("GILD US Equity","GROSS_PROFIT","FQ3 2022","FQ3 2022","Currency=USD","Period=FQ","BEST_FPERIOD_OVERRIDE=FQ","FILING_STATUS=MR","SCALING_FORMAT=MLN","FA_ADJUSTED=Adjusted","Sort=A","Dates=H","DateFormat=P","Fill=—","Direction=H","UseDPDF=Y")</f>
        <v>5647</v>
      </c>
      <c r="Q11" s="19">
        <f>_xll.BDH("GILD US Equity","GROSS_PROFIT","FQ4 2022","FQ4 2022","Currency=USD","Period=FQ","BEST_FPERIOD_OVERRIDE=FQ","FILING_STATUS=MR","SCALING_FORMAT=MLN","FA_ADJUSTED=Adjusted","Sort=A","Dates=H","DateFormat=P","Fill=—","Direction=H","UseDPDF=Y")</f>
        <v>5993</v>
      </c>
      <c r="R11" s="19">
        <f>_xll.BDH("GILD US Equity","GROSS_PROFIT","FQ1 2023","FQ1 2023","Currency=USD","Period=FQ","BEST_FPERIOD_OVERRIDE=FQ","FILING_STATUS=MR","SCALING_FORMAT=MLN","FA_ADJUSTED=Adjusted","Sort=A","Dates=H","DateFormat=P","Fill=—","Direction=H","UseDPDF=Y")</f>
        <v>4951</v>
      </c>
      <c r="S11" s="19">
        <f>_xll.BDH("GILD US Equity","GROSS_PROFIT","FQ2 2023","FQ2 2023","Currency=USD","Period=FQ","BEST_FPERIOD_OVERRIDE=FQ","FILING_STATUS=MR","SCALING_FORMAT=MLN","FA_ADJUSTED=Adjusted","Sort=A","Dates=H","DateFormat=P","Fill=—","Direction=H","UseDPDF=Y")</f>
        <v>5157</v>
      </c>
      <c r="T11" s="19">
        <f>_xll.BDH("GILD US Equity","GROSS_PROFIT","FQ3 2023","FQ3 2023","Currency=USD","Period=FQ","BEST_FPERIOD_OVERRIDE=FQ","FILING_STATUS=MR","SCALING_FORMAT=MLN","FA_ADJUSTED=Adjusted","Sort=A","Dates=H","DateFormat=P","Fill=—","Direction=H","UseDPDF=Y")</f>
        <v>5486</v>
      </c>
      <c r="U11" s="19">
        <f>_xll.BDH("GILD US Equity","GROSS_PROFIT","FQ4 2023","FQ4 2023","Currency=USD","Period=FQ","BEST_FPERIOD_OVERRIDE=FQ","FILING_STATUS=MR","SCALING_FORMAT=MLN","FA_ADJUSTED=Adjusted","Sort=A","Dates=H","DateFormat=P","Fill=—","Direction=H","UseDPDF=Y")</f>
        <v>5453</v>
      </c>
      <c r="V11" s="19">
        <f>_xll.BDH("GILD US Equity","GROSS_PROFIT","FQ1 2024","FQ1 2024","Currency=USD","Period=FQ","BEST_FPERIOD_OVERRIDE=FQ","FILING_STATUS=MR","SCALING_FORMAT=MLN","FA_ADJUSTED=Adjusted","Sort=A","Dates=H","DateFormat=P","Fill=—","Direction=H","UseDPDF=Y")</f>
        <v>5134</v>
      </c>
      <c r="W11" s="19">
        <f>_xll.BDH("GILD US Equity","GROSS_PROFIT","FQ2 2024","FQ2 2024","Currency=USD","Period=FQ","BEST_FPERIOD_OVERRIDE=FQ","FILING_STATUS=MR","SCALING_FORMAT=MLN","FA_ADJUSTED=Adjusted","Sort=A","Dates=H","DateFormat=P","Fill=—","Direction=H","UseDPDF=Y")</f>
        <v>5409</v>
      </c>
      <c r="X11" s="19">
        <f>_xll.BDH("GILD US Equity","GROSS_PROFIT","FQ3 2024","FQ3 2024","Currency=USD","Period=FQ","BEST_FPERIOD_OVERRIDE=FQ","FILING_STATUS=MR","SCALING_FORMAT=MLN","FA_ADJUSTED=Adjusted","Sort=A","Dates=H","DateFormat=P","Fill=—","Direction=H","UseDPDF=Y")</f>
        <v>5971</v>
      </c>
      <c r="Y11" s="19">
        <f>_xll.BDH("GILD US Equity","GROSS_PROFIT","FQ4 2024","FQ4 2024","Currency=USD","Period=FQ","BEST_FPERIOD_OVERRIDE=FQ","FILING_STATUS=MR","SCALING_FORMAT=MLN","FA_ADJUSTED=Adjusted","Sort=A","Dates=H","DateFormat=P","Fill=—","Direction=H","UseDPDF=Y")</f>
        <v>5988</v>
      </c>
      <c r="Z11" s="19">
        <v>5793.5013676799999</v>
      </c>
      <c r="AA11" s="19">
        <v>5952.9840817200002</v>
      </c>
    </row>
    <row r="12" spans="1:27" x14ac:dyDescent="0.25">
      <c r="A12" s="10" t="s">
        <v>321</v>
      </c>
      <c r="B12" s="10" t="s">
        <v>322</v>
      </c>
      <c r="C12" s="13">
        <f>_xll.BDH("GILD US Equity","IS_OTHER_OPER_INC","FQ2 2019","FQ2 2019","Currency=USD","Period=FQ","BEST_FPERIOD_OVERRIDE=FQ","FILING_STATUS=MR","SCALING_FORMAT=MLN","FA_ADJUSTED=Adjusted","Sort=A","Dates=H","DateFormat=P","Fill=—","Direction=H","UseDPDF=Y")</f>
        <v>0</v>
      </c>
      <c r="D12" s="13">
        <f>_xll.BDH("GILD US Equity","IS_OTHER_OPER_INC","FQ3 2019","FQ3 2019","Currency=USD","Period=FQ","BEST_FPERIOD_OVERRIDE=FQ","FILING_STATUS=MR","SCALING_FORMAT=MLN","FA_ADJUSTED=Adjusted","Sort=A","Dates=H","DateFormat=P","Fill=—","Direction=H","UseDPDF=Y")</f>
        <v>0</v>
      </c>
      <c r="E12" s="13">
        <f>_xll.BDH("GILD US Equity","IS_OTHER_OPER_INC","FQ4 2019","FQ4 2019","Currency=USD","Period=FQ","BEST_FPERIOD_OVERRIDE=FQ","FILING_STATUS=MR","SCALING_FORMAT=MLN","FA_ADJUSTED=Adjusted","Sort=A","Dates=H","DateFormat=P","Fill=—","Direction=H","UseDPDF=Y")</f>
        <v>0</v>
      </c>
      <c r="F12" s="13">
        <f>_xll.BDH("GILD US Equity","IS_OTHER_OPER_INC","FQ1 2020","FQ1 2020","Currency=USD","Period=FQ","BEST_FPERIOD_OVERRIDE=FQ","FILING_STATUS=MR","SCALING_FORMAT=MLN","FA_ADJUSTED=Adjusted","Sort=A","Dates=H","DateFormat=P","Fill=—","Direction=H","UseDPDF=Y")</f>
        <v>0</v>
      </c>
      <c r="G12" s="13">
        <f>_xll.BDH("GILD US Equity","IS_OTHER_OPER_INC","FQ2 2020","FQ2 2020","Currency=USD","Period=FQ","BEST_FPERIOD_OVERRIDE=FQ","FILING_STATUS=MR","SCALING_FORMAT=MLN","FA_ADJUSTED=Adjusted","Sort=A","Dates=H","DateFormat=P","Fill=—","Direction=H","UseDPDF=Y")</f>
        <v>0</v>
      </c>
      <c r="H12" s="13">
        <f>_xll.BDH("GILD US Equity","IS_OTHER_OPER_INC","FQ3 2020","FQ3 2020","Currency=USD","Period=FQ","BEST_FPERIOD_OVERRIDE=FQ","FILING_STATUS=MR","SCALING_FORMAT=MLN","FA_ADJUSTED=Adjusted","Sort=A","Dates=H","DateFormat=P","Fill=—","Direction=H","UseDPDF=Y")</f>
        <v>0</v>
      </c>
      <c r="I12" s="13">
        <f>_xll.BDH("GILD US Equity","IS_OTHER_OPER_INC","FQ4 2020","FQ4 2020","Currency=USD","Period=FQ","BEST_FPERIOD_OVERRIDE=FQ","FILING_STATUS=MR","SCALING_FORMAT=MLN","FA_ADJUSTED=Adjusted","Sort=A","Dates=H","DateFormat=P","Fill=—","Direction=H","UseDPDF=Y")</f>
        <v>0</v>
      </c>
      <c r="J12" s="13">
        <f>_xll.BDH("GILD US Equity","IS_OTHER_OPER_INC","FQ1 2021","FQ1 2021","Currency=USD","Period=FQ","BEST_FPERIOD_OVERRIDE=FQ","FILING_STATUS=MR","SCALING_FORMAT=MLN","FA_ADJUSTED=Adjusted","Sort=A","Dates=H","DateFormat=P","Fill=—","Direction=H","UseDPDF=Y")</f>
        <v>0</v>
      </c>
      <c r="K12" s="13">
        <f>_xll.BDH("GILD US Equity","IS_OTHER_OPER_INC","FQ2 2021","FQ2 2021","Currency=USD","Period=FQ","BEST_FPERIOD_OVERRIDE=FQ","FILING_STATUS=MR","SCALING_FORMAT=MLN","FA_ADJUSTED=Adjusted","Sort=A","Dates=H","DateFormat=P","Fill=—","Direction=H","UseDPDF=Y")</f>
        <v>0</v>
      </c>
      <c r="L12" s="13">
        <f>_xll.BDH("GILD US Equity","IS_OTHER_OPER_INC","FQ3 2021","FQ3 2021","Currency=USD","Period=FQ","BEST_FPERIOD_OVERRIDE=FQ","FILING_STATUS=MR","SCALING_FORMAT=MLN","FA_ADJUSTED=Adjusted","Sort=A","Dates=H","DateFormat=P","Fill=—","Direction=H","UseDPDF=Y")</f>
        <v>0</v>
      </c>
      <c r="M12" s="13">
        <f>_xll.BDH("GILD US Equity","IS_OTHER_OPER_INC","FQ4 2021","FQ4 2021","Currency=USD","Period=FQ","BEST_FPERIOD_OVERRIDE=FQ","FILING_STATUS=MR","SCALING_FORMAT=MLN","FA_ADJUSTED=Adjusted","Sort=A","Dates=H","DateFormat=P","Fill=—","Direction=H","UseDPDF=Y")</f>
        <v>0</v>
      </c>
      <c r="N12" s="13">
        <f>_xll.BDH("GILD US Equity","IS_OTHER_OPER_INC","FQ1 2022","FQ1 2022","Currency=USD","Period=FQ","BEST_FPERIOD_OVERRIDE=FQ","FILING_STATUS=MR","SCALING_FORMAT=MLN","FA_ADJUSTED=Adjusted","Sort=A","Dates=H","DateFormat=P","Fill=—","Direction=H","UseDPDF=Y")</f>
        <v>0</v>
      </c>
      <c r="O12" s="13">
        <f>_xll.BDH("GILD US Equity","IS_OTHER_OPER_INC","FQ2 2022","FQ2 2022","Currency=USD","Period=FQ","BEST_FPERIOD_OVERRIDE=FQ","FILING_STATUS=MR","SCALING_FORMAT=MLN","FA_ADJUSTED=Adjusted","Sort=A","Dates=H","DateFormat=P","Fill=—","Direction=H","UseDPDF=Y")</f>
        <v>0</v>
      </c>
      <c r="P12" s="13">
        <f>_xll.BDH("GILD US Equity","IS_OTHER_OPER_INC","FQ3 2022","FQ3 2022","Currency=USD","Period=FQ","BEST_FPERIOD_OVERRIDE=FQ","FILING_STATUS=MR","SCALING_FORMAT=MLN","FA_ADJUSTED=Adjusted","Sort=A","Dates=H","DateFormat=P","Fill=—","Direction=H","UseDPDF=Y")</f>
        <v>0</v>
      </c>
      <c r="Q12" s="13">
        <f>_xll.BDH("GILD US Equity","IS_OTHER_OPER_INC","FQ4 2022","FQ4 2022","Currency=USD","Period=FQ","BEST_FPERIOD_OVERRIDE=FQ","FILING_STATUS=MR","SCALING_FORMAT=MLN","FA_ADJUSTED=Adjusted","Sort=A","Dates=H","DateFormat=P","Fill=—","Direction=H","UseDPDF=Y")</f>
        <v>0</v>
      </c>
      <c r="R12" s="13">
        <f>_xll.BDH("GILD US Equity","IS_OTHER_OPER_INC","FQ1 2023","FQ1 2023","Currency=USD","Period=FQ","BEST_FPERIOD_OVERRIDE=FQ","FILING_STATUS=MR","SCALING_FORMAT=MLN","FA_ADJUSTED=Adjusted","Sort=A","Dates=H","DateFormat=P","Fill=—","Direction=H","UseDPDF=Y")</f>
        <v>0</v>
      </c>
      <c r="S12" s="13">
        <f>_xll.BDH("GILD US Equity","IS_OTHER_OPER_INC","FQ2 2023","FQ2 2023","Currency=USD","Period=FQ","BEST_FPERIOD_OVERRIDE=FQ","FILING_STATUS=MR","SCALING_FORMAT=MLN","FA_ADJUSTED=Adjusted","Sort=A","Dates=H","DateFormat=P","Fill=—","Direction=H","UseDPDF=Y")</f>
        <v>0</v>
      </c>
      <c r="T12" s="13">
        <f>_xll.BDH("GILD US Equity","IS_OTHER_OPER_INC","FQ3 2023","FQ3 2023","Currency=USD","Period=FQ","BEST_FPERIOD_OVERRIDE=FQ","FILING_STATUS=MR","SCALING_FORMAT=MLN","FA_ADJUSTED=Adjusted","Sort=A","Dates=H","DateFormat=P","Fill=—","Direction=H","UseDPDF=Y")</f>
        <v>0</v>
      </c>
      <c r="U12" s="13">
        <f>_xll.BDH("GILD US Equity","IS_OTHER_OPER_INC","FQ4 2023","FQ4 2023","Currency=USD","Period=FQ","BEST_FPERIOD_OVERRIDE=FQ","FILING_STATUS=MR","SCALING_FORMAT=MLN","FA_ADJUSTED=Adjusted","Sort=A","Dates=H","DateFormat=P","Fill=—","Direction=H","UseDPDF=Y")</f>
        <v>0</v>
      </c>
      <c r="V12" s="13">
        <f>_xll.BDH("GILD US Equity","IS_OTHER_OPER_INC","FQ1 2024","FQ1 2024","Currency=USD","Period=FQ","BEST_FPERIOD_OVERRIDE=FQ","FILING_STATUS=MR","SCALING_FORMAT=MLN","FA_ADJUSTED=Adjusted","Sort=A","Dates=H","DateFormat=P","Fill=—","Direction=H","UseDPDF=Y")</f>
        <v>0</v>
      </c>
      <c r="W12" s="13">
        <f>_xll.BDH("GILD US Equity","IS_OTHER_OPER_INC","FQ2 2024","FQ2 2024","Currency=USD","Period=FQ","BEST_FPERIOD_OVERRIDE=FQ","FILING_STATUS=MR","SCALING_FORMAT=MLN","FA_ADJUSTED=Adjusted","Sort=A","Dates=H","DateFormat=P","Fill=—","Direction=H","UseDPDF=Y")</f>
        <v>0</v>
      </c>
      <c r="X12" s="13">
        <f>_xll.BDH("GILD US Equity","IS_OTHER_OPER_INC","FQ3 2024","FQ3 2024","Currency=USD","Period=FQ","BEST_FPERIOD_OVERRIDE=FQ","FILING_STATUS=MR","SCALING_FORMAT=MLN","FA_ADJUSTED=Adjusted","Sort=A","Dates=H","DateFormat=P","Fill=—","Direction=H","UseDPDF=Y")</f>
        <v>0</v>
      </c>
      <c r="Y12" s="13">
        <f>_xll.BDH("GILD US Equity","IS_OTHER_OPER_INC","FQ4 2024","FQ4 2024","Currency=USD","Period=FQ","BEST_FPERIOD_OVERRIDE=FQ","FILING_STATUS=MR","SCALING_FORMAT=MLN","FA_ADJUSTED=Adjusted","Sort=A","Dates=H","DateFormat=P","Fill=—","Direction=H","UseDPDF=Y")</f>
        <v>0</v>
      </c>
      <c r="Z12" s="13"/>
      <c r="AA12" s="13"/>
    </row>
    <row r="13" spans="1:27" x14ac:dyDescent="0.25">
      <c r="A13" s="10" t="s">
        <v>323</v>
      </c>
      <c r="B13" s="10" t="s">
        <v>324</v>
      </c>
      <c r="C13" s="13">
        <f>_xll.BDH("GILD US Equity","IS_OPERATING_EXPN","FQ2 2019","FQ2 2019","Currency=USD","Period=FQ","BEST_FPERIOD_OVERRIDE=FQ","FILING_STATUS=MR","SCALING_FORMAT=MLN","FA_ADJUSTED=Adjusted","Sort=A","Dates=H","DateFormat=P","Fill=—","Direction=H","UseDPDF=Y")</f>
        <v>2091</v>
      </c>
      <c r="D13" s="13">
        <f>_xll.BDH("GILD US Equity","IS_OPERATING_EXPN","FQ3 2019","FQ3 2019","Currency=USD","Period=FQ","BEST_FPERIOD_OVERRIDE=FQ","FILING_STATUS=MR","SCALING_FORMAT=MLN","FA_ADJUSTED=Adjusted","Sort=A","Dates=H","DateFormat=P","Fill=—","Direction=H","UseDPDF=Y")</f>
        <v>2073</v>
      </c>
      <c r="E13" s="13">
        <f>_xll.BDH("GILD US Equity","IS_OPERATING_EXPN","FQ4 2019","FQ4 2019","Currency=USD","Period=FQ","BEST_FPERIOD_OVERRIDE=FQ","FILING_STATUS=MR","SCALING_FORMAT=MLN","FA_ADJUSTED=Adjusted","Sort=A","Dates=H","DateFormat=P","Fill=—","Direction=H","UseDPDF=Y")</f>
        <v>2307</v>
      </c>
      <c r="F13" s="13">
        <f>_xll.BDH("GILD US Equity","IS_OPERATING_EXPN","FQ1 2020","FQ1 2020","Currency=USD","Period=FQ","BEST_FPERIOD_OVERRIDE=FQ","FILING_STATUS=MR","SCALING_FORMAT=MLN","FA_ADJUSTED=Adjusted","Sort=A","Dates=H","DateFormat=P","Fill=—","Direction=H","UseDPDF=Y")</f>
        <v>1814</v>
      </c>
      <c r="G13" s="13">
        <f>_xll.BDH("GILD US Equity","IS_OPERATING_EXPN","FQ2 2020","FQ2 2020","Currency=USD","Period=FQ","BEST_FPERIOD_OVERRIDE=FQ","FILING_STATUS=MR","SCALING_FORMAT=MLN","FA_ADJUSTED=Adjusted","Sort=A","Dates=H","DateFormat=P","Fill=—","Direction=H","UseDPDF=Y")</f>
        <v>2350</v>
      </c>
      <c r="H13" s="13">
        <f>_xll.BDH("GILD US Equity","IS_OPERATING_EXPN","FQ3 2020","FQ3 2020","Currency=USD","Period=FQ","BEST_FPERIOD_OVERRIDE=FQ","FILING_STATUS=MR","SCALING_FORMAT=MLN","FA_ADJUSTED=Adjusted","Sort=A","Dates=H","DateFormat=P","Fill=—","Direction=H","UseDPDF=Y")</f>
        <v>2250</v>
      </c>
      <c r="I13" s="13">
        <f>_xll.BDH("GILD US Equity","IS_OPERATING_EXPN","FQ4 2020","FQ4 2020","Currency=USD","Period=FQ","BEST_FPERIOD_OVERRIDE=FQ","FILING_STATUS=MR","SCALING_FORMAT=MLN","FA_ADJUSTED=Adjusted","Sort=A","Dates=H","DateFormat=P","Fill=—","Direction=H","UseDPDF=Y")</f>
        <v>2948</v>
      </c>
      <c r="J13" s="13">
        <f>_xll.BDH("GILD US Equity","IS_OPERATING_EXPN","FQ1 2021","FQ1 2021","Currency=USD","Period=FQ","BEST_FPERIOD_OVERRIDE=FQ","FILING_STATUS=MR","SCALING_FORMAT=MLN","FA_ADJUSTED=Adjusted","Sort=A","Dates=H","DateFormat=P","Fill=—","Direction=H","UseDPDF=Y")</f>
        <v>1576</v>
      </c>
      <c r="K13" s="13">
        <f>_xll.BDH("GILD US Equity","IS_OPERATING_EXPN","FQ2 2021","FQ2 2021","Currency=USD","Period=FQ","BEST_FPERIOD_OVERRIDE=FQ","FILING_STATUS=MR","SCALING_FORMAT=MLN","FA_ADJUSTED=Adjusted","Sort=A","Dates=H","DateFormat=P","Fill=—","Direction=H","UseDPDF=Y")</f>
        <v>2205</v>
      </c>
      <c r="L13" s="13">
        <f>_xll.BDH("GILD US Equity","IS_OPERATING_EXPN","FQ3 2021","FQ3 2021","Currency=USD","Period=FQ","BEST_FPERIOD_OVERRIDE=FQ","FILING_STATUS=MR","SCALING_FORMAT=MLN","FA_ADJUSTED=Adjusted","Sort=A","Dates=H","DateFormat=P","Fill=—","Direction=H","UseDPDF=Y")</f>
        <v>2354</v>
      </c>
      <c r="M13" s="13">
        <f>_xll.BDH("GILD US Equity","IS_OPERATING_EXPN","FQ4 2021","FQ4 2021","Currency=USD","Period=FQ","BEST_FPERIOD_OVERRIDE=FQ","FILING_STATUS=MR","SCALING_FORMAT=MLN","FA_ADJUSTED=Adjusted","Sort=A","Dates=H","DateFormat=P","Fill=—","Direction=H","UseDPDF=Y")</f>
        <v>2995.2024999999999</v>
      </c>
      <c r="N13" s="13">
        <f>_xll.BDH("GILD US Equity","IS_OPERATING_EXPN","FQ1 2022","FQ1 2022","Currency=USD","Period=FQ","BEST_FPERIOD_OVERRIDE=FQ","FILING_STATUS=MR","SCALING_FORMAT=MLN","FA_ADJUSTED=Adjusted","Sort=A","Dates=H","DateFormat=P","Fill=—","Direction=H","UseDPDF=Y")</f>
        <v>2199</v>
      </c>
      <c r="O13" s="13">
        <f>_xll.BDH("GILD US Equity","IS_OPERATING_EXPN","FQ2 2022","FQ2 2022","Currency=USD","Period=FQ","BEST_FPERIOD_OVERRIDE=FQ","FILING_STATUS=MR","SCALING_FORMAT=MLN","FA_ADJUSTED=Adjusted","Sort=A","Dates=H","DateFormat=P","Fill=—","Direction=H","UseDPDF=Y")</f>
        <v>2066</v>
      </c>
      <c r="P13" s="13">
        <f>_xll.BDH("GILD US Equity","IS_OPERATING_EXPN","FQ3 2022","FQ3 2022","Currency=USD","Period=FQ","BEST_FPERIOD_OVERRIDE=FQ","FILING_STATUS=MR","SCALING_FORMAT=MLN","FA_ADJUSTED=Adjusted","Sort=A","Dates=H","DateFormat=P","Fill=—","Direction=H","UseDPDF=Y")</f>
        <v>1936</v>
      </c>
      <c r="Q13" s="13">
        <f>_xll.BDH("GILD US Equity","IS_OPERATING_EXPN","FQ4 2022","FQ4 2022","Currency=USD","Period=FQ","BEST_FPERIOD_OVERRIDE=FQ","FILING_STATUS=MR","SCALING_FORMAT=MLN","FA_ADJUSTED=Adjusted","Sort=A","Dates=H","DateFormat=P","Fill=—","Direction=H","UseDPDF=Y")</f>
        <v>3564</v>
      </c>
      <c r="R13" s="13">
        <f>_xll.BDH("GILD US Equity","IS_OPERATING_EXPN","FQ1 2023","FQ1 2023","Currency=USD","Period=FQ","BEST_FPERIOD_OVERRIDE=FQ","FILING_STATUS=MR","SCALING_FORMAT=MLN","FA_ADJUSTED=Adjusted","Sort=A","Dates=H","DateFormat=P","Fill=—","Direction=H","UseDPDF=Y")</f>
        <v>2756</v>
      </c>
      <c r="S13" s="13">
        <f>_xll.BDH("GILD US Equity","IS_OPERATING_EXPN","FQ2 2023","FQ2 2023","Currency=USD","Period=FQ","BEST_FPERIOD_OVERRIDE=FQ","FILING_STATUS=MR","SCALING_FORMAT=MLN","FA_ADJUSTED=Adjusted","Sort=A","Dates=H","DateFormat=P","Fill=—","Direction=H","UseDPDF=Y")</f>
        <v>3294</v>
      </c>
      <c r="T13" s="13">
        <f>_xll.BDH("GILD US Equity","IS_OPERATING_EXPN","FQ3 2023","FQ3 2023","Currency=USD","Period=FQ","BEST_FPERIOD_OVERRIDE=FQ","FILING_STATUS=MR","SCALING_FORMAT=MLN","FA_ADJUSTED=Adjusted","Sort=A","Dates=H","DateFormat=P","Fill=—","Direction=H","UseDPDF=Y")</f>
        <v>2583</v>
      </c>
      <c r="U13" s="13">
        <f>_xll.BDH("GILD US Equity","IS_OPERATING_EXPN","FQ4 2023","FQ4 2023","Currency=USD","Period=FQ","BEST_FPERIOD_OVERRIDE=FQ","FILING_STATUS=MR","SCALING_FORMAT=MLN","FA_ADJUSTED=Adjusted","Sort=A","Dates=H","DateFormat=P","Fill=—","Direction=H","UseDPDF=Y")</f>
        <v>2947</v>
      </c>
      <c r="V13" s="13">
        <f>_xll.BDH("GILD US Equity","IS_OPERATING_EXPN","FQ1 2024","FQ1 2024","Currency=USD","Period=FQ","BEST_FPERIOD_OVERRIDE=FQ","FILING_STATUS=MR","SCALING_FORMAT=MLN","FA_ADJUSTED=Adjusted","Sort=A","Dates=H","DateFormat=P","Fill=—","Direction=H","UseDPDF=Y")</f>
        <v>2699</v>
      </c>
      <c r="W13" s="13">
        <f>_xll.BDH("GILD US Equity","IS_OPERATING_EXPN","FQ2 2024","FQ2 2024","Currency=USD","Period=FQ","BEST_FPERIOD_OVERRIDE=FQ","FILING_STATUS=MR","SCALING_FORMAT=MLN","FA_ADJUSTED=Adjusted","Sort=A","Dates=H","DateFormat=P","Fill=—","Direction=H","UseDPDF=Y")</f>
        <v>2293</v>
      </c>
      <c r="X13" s="13">
        <f>_xll.BDH("GILD US Equity","IS_OPERATING_EXPN","FQ3 2024","FQ3 2024","Currency=USD","Period=FQ","BEST_FPERIOD_OVERRIDE=FQ","FILING_STATUS=MR","SCALING_FORMAT=MLN","FA_ADJUSTED=Adjusted","Sort=A","Dates=H","DateFormat=P","Fill=—","Direction=H","UseDPDF=Y")</f>
        <v>2787</v>
      </c>
      <c r="Y13" s="13">
        <f>_xll.BDH("GILD US Equity","IS_OPERATING_EXPN","FQ4 2024","FQ4 2024","Currency=USD","Period=FQ","BEST_FPERIOD_OVERRIDE=FQ","FILING_STATUS=MR","SCALING_FORMAT=MLN","FA_ADJUSTED=Adjusted","Sort=A","Dates=H","DateFormat=P","Fill=—","Direction=H","UseDPDF=Y")</f>
        <v>3464</v>
      </c>
      <c r="Z13" s="13"/>
      <c r="AA13" s="13"/>
    </row>
    <row r="14" spans="1:27" x14ac:dyDescent="0.25">
      <c r="A14" s="10" t="s">
        <v>325</v>
      </c>
      <c r="B14" s="10" t="s">
        <v>326</v>
      </c>
      <c r="C14" s="13">
        <f>_xll.BDH("GILD US Equity","IS_SGA_EXPENSE","FQ2 2019","FQ2 2019","Currency=USD","Period=FQ","BEST_FPERIOD_OVERRIDE=FQ","FILING_STATUS=MR","SCALING_FORMAT=MLN","FA_ADJUSTED=Adjusted","Sort=A","Dates=H","DateFormat=P","Fill=—","Direction=H","UseDPDF=Y")</f>
        <v>1096</v>
      </c>
      <c r="D14" s="13">
        <f>_xll.BDH("GILD US Equity","IS_SGA_EXPENSE","FQ3 2019","FQ3 2019","Currency=USD","Period=FQ","BEST_FPERIOD_OVERRIDE=FQ","FILING_STATUS=MR","SCALING_FORMAT=MLN","FA_ADJUSTED=Adjusted","Sort=A","Dates=H","DateFormat=P","Fill=—","Direction=H","UseDPDF=Y")</f>
        <v>1045</v>
      </c>
      <c r="E14" s="13">
        <f>_xll.BDH("GILD US Equity","IS_SGA_EXPENSE","FQ4 2019","FQ4 2019","Currency=USD","Period=FQ","BEST_FPERIOD_OVERRIDE=FQ","FILING_STATUS=MR","SCALING_FORMAT=MLN","FA_ADJUSTED=Adjusted","Sort=A","Dates=H","DateFormat=P","Fill=—","Direction=H","UseDPDF=Y")</f>
        <v>1204</v>
      </c>
      <c r="F14" s="13">
        <f>_xll.BDH("GILD US Equity","IS_SGA_EXPENSE","FQ1 2020","FQ1 2020","Currency=USD","Period=FQ","BEST_FPERIOD_OVERRIDE=FQ","FILING_STATUS=MR","SCALING_FORMAT=MLN","FA_ADJUSTED=Adjusted","Sort=A","Dates=H","DateFormat=P","Fill=—","Direction=H","UseDPDF=Y")</f>
        <v>1076</v>
      </c>
      <c r="G14" s="13">
        <f>_xll.BDH("GILD US Equity","IS_SGA_EXPENSE","FQ2 2020","FQ2 2020","Currency=USD","Period=FQ","BEST_FPERIOD_OVERRIDE=FQ","FILING_STATUS=MR","SCALING_FORMAT=MLN","FA_ADJUSTED=Adjusted","Sort=A","Dates=H","DateFormat=P","Fill=—","Direction=H","UseDPDF=Y")</f>
        <v>1164</v>
      </c>
      <c r="H14" s="13">
        <f>_xll.BDH("GILD US Equity","IS_SGA_EXPENSE","FQ3 2020","FQ3 2020","Currency=USD","Period=FQ","BEST_FPERIOD_OVERRIDE=FQ","FILING_STATUS=MR","SCALING_FORMAT=MLN","FA_ADJUSTED=Adjusted","Sort=A","Dates=H","DateFormat=P","Fill=—","Direction=H","UseDPDF=Y")</f>
        <v>1095</v>
      </c>
      <c r="I14" s="13">
        <f>_xll.BDH("GILD US Equity","IS_SGA_EXPENSE","FQ4 2020","FQ4 2020","Currency=USD","Period=FQ","BEST_FPERIOD_OVERRIDE=FQ","FILING_STATUS=MR","SCALING_FORMAT=MLN","FA_ADJUSTED=Adjusted","Sort=A","Dates=H","DateFormat=P","Fill=—","Direction=H","UseDPDF=Y")</f>
        <v>1499</v>
      </c>
      <c r="J14" s="13">
        <f>_xll.BDH("GILD US Equity","IS_SGA_EXPENSE","FQ1 2021","FQ1 2021","Currency=USD","Period=FQ","BEST_FPERIOD_OVERRIDE=FQ","FILING_STATUS=MR","SCALING_FORMAT=MLN","FA_ADJUSTED=Adjusted","Sort=A","Dates=H","DateFormat=P","Fill=—","Direction=H","UseDPDF=Y")</f>
        <v>1033</v>
      </c>
      <c r="K14" s="13">
        <f>_xll.BDH("GILD US Equity","IS_SGA_EXPENSE","FQ2 2021","FQ2 2021","Currency=USD","Period=FQ","BEST_FPERIOD_OVERRIDE=FQ","FILING_STATUS=MR","SCALING_FORMAT=MLN","FA_ADJUSTED=Adjusted","Sort=A","Dates=H","DateFormat=P","Fill=—","Direction=H","UseDPDF=Y")</f>
        <v>1121</v>
      </c>
      <c r="L14" s="13">
        <f>_xll.BDH("GILD US Equity","IS_SGA_EXPENSE","FQ3 2021","FQ3 2021","Currency=USD","Period=FQ","BEST_FPERIOD_OVERRIDE=FQ","FILING_STATUS=MR","SCALING_FORMAT=MLN","FA_ADJUSTED=Adjusted","Sort=A","Dates=H","DateFormat=P","Fill=—","Direction=H","UseDPDF=Y")</f>
        <v>1178</v>
      </c>
      <c r="M14" s="13">
        <f>_xll.BDH("GILD US Equity","IS_SGA_EXPENSE","FQ4 2021","FQ4 2021","Currency=USD","Period=FQ","BEST_FPERIOD_OVERRIDE=FQ","FILING_STATUS=MR","SCALING_FORMAT=MLN","FA_ADJUSTED=Adjusted","Sort=A","Dates=H","DateFormat=P","Fill=—","Direction=H","UseDPDF=Y")</f>
        <v>1650</v>
      </c>
      <c r="N14" s="13">
        <f>_xll.BDH("GILD US Equity","IS_SGA_EXPENSE","FQ1 2022","FQ1 2022","Currency=USD","Period=FQ","BEST_FPERIOD_OVERRIDE=FQ","FILING_STATUS=MR","SCALING_FORMAT=MLN","FA_ADJUSTED=Adjusted","Sort=A","Dates=H","DateFormat=P","Fill=—","Direction=H","UseDPDF=Y")</f>
        <v>1073</v>
      </c>
      <c r="O14" s="13">
        <f>_xll.BDH("GILD US Equity","IS_SGA_EXPENSE","FQ2 2022","FQ2 2022","Currency=USD","Period=FQ","BEST_FPERIOD_OVERRIDE=FQ","FILING_STATUS=MR","SCALING_FORMAT=MLN","FA_ADJUSTED=Adjusted","Sort=A","Dates=H","DateFormat=P","Fill=—","Direction=H","UseDPDF=Y")</f>
        <v>1272</v>
      </c>
      <c r="P14" s="13">
        <f>_xll.BDH("GILD US Equity","IS_SGA_EXPENSE","FQ3 2022","FQ3 2022","Currency=USD","Period=FQ","BEST_FPERIOD_OVERRIDE=FQ","FILING_STATUS=MR","SCALING_FORMAT=MLN","FA_ADJUSTED=Adjusted","Sort=A","Dates=H","DateFormat=P","Fill=—","Direction=H","UseDPDF=Y")</f>
        <v>1212</v>
      </c>
      <c r="Q14" s="13">
        <f>_xll.BDH("GILD US Equity","IS_SGA_EXPENSE","FQ4 2022","FQ4 2022","Currency=USD","Period=FQ","BEST_FPERIOD_OVERRIDE=FQ","FILING_STATUS=MR","SCALING_FORMAT=MLN","FA_ADJUSTED=Adjusted","Sort=A","Dates=H","DateFormat=P","Fill=—","Direction=H","UseDPDF=Y")</f>
        <v>2020</v>
      </c>
      <c r="R14" s="13">
        <f>_xll.BDH("GILD US Equity","IS_SGA_EXPENSE","FQ1 2023","FQ1 2023","Currency=USD","Period=FQ","BEST_FPERIOD_OVERRIDE=FQ","FILING_STATUS=MR","SCALING_FORMAT=MLN","FA_ADJUSTED=Adjusted","Sort=A","Dates=H","DateFormat=P","Fill=—","Direction=H","UseDPDF=Y")</f>
        <v>1312</v>
      </c>
      <c r="S14" s="13">
        <f>_xll.BDH("GILD US Equity","IS_SGA_EXPENSE","FQ2 2023","FQ2 2023","Currency=USD","Period=FQ","BEST_FPERIOD_OVERRIDE=FQ","FILING_STATUS=MR","SCALING_FORMAT=MLN","FA_ADJUSTED=Adjusted","Sort=A","Dates=H","DateFormat=P","Fill=—","Direction=H","UseDPDF=Y")</f>
        <v>1822</v>
      </c>
      <c r="T14" s="13">
        <f>_xll.BDH("GILD US Equity","IS_SGA_EXPENSE","FQ3 2023","FQ3 2023","Currency=USD","Period=FQ","BEST_FPERIOD_OVERRIDE=FQ","FILING_STATUS=MR","SCALING_FORMAT=MLN","FA_ADJUSTED=Adjusted","Sort=A","Dates=H","DateFormat=P","Fill=—","Direction=H","UseDPDF=Y")</f>
        <v>1298</v>
      </c>
      <c r="U14" s="13">
        <f>_xll.BDH("GILD US Equity","IS_SGA_EXPENSE","FQ4 2023","FQ4 2023","Currency=USD","Period=FQ","BEST_FPERIOD_OVERRIDE=FQ","FILING_STATUS=MR","SCALING_FORMAT=MLN","FA_ADJUSTED=Adjusted","Sort=A","Dates=H","DateFormat=P","Fill=—","Direction=H","UseDPDF=Y")</f>
        <v>1608</v>
      </c>
      <c r="V14" s="13">
        <f>_xll.BDH("GILD US Equity","IS_SGA_EXPENSE","FQ1 2024","FQ1 2024","Currency=USD","Period=FQ","BEST_FPERIOD_OVERRIDE=FQ","FILING_STATUS=MR","SCALING_FORMAT=MLN","FA_ADJUSTED=Adjusted","Sort=A","Dates=H","DateFormat=P","Fill=—","Direction=H","UseDPDF=Y")</f>
        <v>1295</v>
      </c>
      <c r="W14" s="13">
        <f>_xll.BDH("GILD US Equity","IS_SGA_EXPENSE","FQ2 2024","FQ2 2024","Currency=USD","Period=FQ","BEST_FPERIOD_OVERRIDE=FQ","FILING_STATUS=MR","SCALING_FORMAT=MLN","FA_ADJUSTED=Adjusted","Sort=A","Dates=H","DateFormat=P","Fill=—","Direction=H","UseDPDF=Y")</f>
        <v>1355</v>
      </c>
      <c r="X14" s="13">
        <f>_xll.BDH("GILD US Equity","IS_SGA_EXPENSE","FQ3 2024","FQ3 2024","Currency=USD","Period=FQ","BEST_FPERIOD_OVERRIDE=FQ","FILING_STATUS=MR","SCALING_FORMAT=MLN","FA_ADJUSTED=Adjusted","Sort=A","Dates=H","DateFormat=P","Fill=—","Direction=H","UseDPDF=Y")</f>
        <v>1405</v>
      </c>
      <c r="Y14" s="13">
        <f>_xll.BDH("GILD US Equity","IS_SGA_EXPENSE","FQ4 2024","FQ4 2024","Currency=USD","Period=FQ","BEST_FPERIOD_OVERRIDE=FQ","FILING_STATUS=MR","SCALING_FORMAT=MLN","FA_ADJUSTED=Adjusted","Sort=A","Dates=H","DateFormat=P","Fill=—","Direction=H","UseDPDF=Y")</f>
        <v>1852</v>
      </c>
      <c r="Z14" s="13"/>
      <c r="AA14" s="13"/>
    </row>
    <row r="15" spans="1:27" x14ac:dyDescent="0.25">
      <c r="A15" s="10" t="s">
        <v>327</v>
      </c>
      <c r="B15" s="10" t="s">
        <v>328</v>
      </c>
      <c r="C15" s="13">
        <f>_xll.BDH("GILD US Equity","IS_OPERATING_EXPENSES_RD","FQ2 2019","FQ2 2019","Currency=USD","Period=FQ","BEST_FPERIOD_OVERRIDE=FQ","FILING_STATUS=MR","SCALING_FORMAT=MLN","Sort=A","Dates=H","DateFormat=P","Fill=—","Direction=H","UseDPDF=Y")</f>
        <v>1161</v>
      </c>
      <c r="D15" s="13">
        <f>_xll.BDH("GILD US Equity","IS_OPERATING_EXPENSES_RD","FQ3 2019","FQ3 2019","Currency=USD","Period=FQ","BEST_FPERIOD_OVERRIDE=FQ","FILING_STATUS=MR","SCALING_FORMAT=MLN","Sort=A","Dates=H","DateFormat=P","Fill=—","Direction=H","UseDPDF=Y")</f>
        <v>1028</v>
      </c>
      <c r="E15" s="13">
        <f>_xll.BDH("GILD US Equity","IS_OPERATING_EXPENSES_RD","FQ4 2019","FQ4 2019","Currency=USD","Period=FQ","BEST_FPERIOD_OVERRIDE=FQ","FILING_STATUS=MR","SCALING_FORMAT=MLN","Sort=A","Dates=H","DateFormat=P","Fill=—","Direction=H","UseDPDF=Y")</f>
        <v>1103</v>
      </c>
      <c r="F15" s="13">
        <f>_xll.BDH("GILD US Equity","IS_OPERATING_EXPENSES_RD","FQ1 2020","FQ1 2020","Currency=USD","Period=FQ","BEST_FPERIOD_OVERRIDE=FQ","FILING_STATUS=MR","SCALING_FORMAT=MLN","Sort=A","Dates=H","DateFormat=P","Fill=—","Direction=H","UseDPDF=Y")</f>
        <v>1004</v>
      </c>
      <c r="G15" s="13">
        <f>_xll.BDH("GILD US Equity","IS_OPERATING_EXPENSES_RD","FQ2 2020","FQ2 2020","Currency=USD","Period=FQ","BEST_FPERIOD_OVERRIDE=FQ","FILING_STATUS=MR","SCALING_FORMAT=MLN","Sort=A","Dates=H","DateFormat=P","Fill=—","Direction=H","UseDPDF=Y")</f>
        <v>1186</v>
      </c>
      <c r="H15" s="13">
        <f>_xll.BDH("GILD US Equity","IS_OPERATING_EXPENSES_RD","FQ3 2020","FQ3 2020","Currency=USD","Period=FQ","BEST_FPERIOD_OVERRIDE=FQ","FILING_STATUS=MR","SCALING_FORMAT=MLN","Sort=A","Dates=H","DateFormat=P","Fill=—","Direction=H","UseDPDF=Y")</f>
        <v>1155</v>
      </c>
      <c r="I15" s="13">
        <f>_xll.BDH("GILD US Equity","IS_OPERATING_EXPENSES_RD","FQ4 2020","FQ4 2020","Currency=USD","Period=FQ","BEST_FPERIOD_OVERRIDE=FQ","FILING_STATUS=MR","SCALING_FORMAT=MLN","Sort=A","Dates=H","DateFormat=P","Fill=—","Direction=H","UseDPDF=Y")</f>
        <v>1512</v>
      </c>
      <c r="J15" s="13">
        <f>_xll.BDH("GILD US Equity","IS_OPERATING_EXPENSES_RD","FQ1 2021","FQ1 2021","Currency=USD","Period=FQ","BEST_FPERIOD_OVERRIDE=FQ","FILING_STATUS=MR","SCALING_FORMAT=MLN","Sort=A","Dates=H","DateFormat=P","Fill=—","Direction=H","UseDPDF=Y")</f>
        <v>1055</v>
      </c>
      <c r="K15" s="13">
        <f>_xll.BDH("GILD US Equity","IS_OPERATING_EXPENSES_RD","FQ2 2021","FQ2 2021","Currency=USD","Period=FQ","BEST_FPERIOD_OVERRIDE=FQ","FILING_STATUS=MR","SCALING_FORMAT=MLN","Sort=A","Dates=H","DateFormat=P","Fill=—","Direction=H","UseDPDF=Y")</f>
        <v>1084</v>
      </c>
      <c r="L15" s="13">
        <f>_xll.BDH("GILD US Equity","IS_OPERATING_EXPENSES_RD","FQ3 2021","FQ3 2021","Currency=USD","Period=FQ","BEST_FPERIOD_OVERRIDE=FQ","FILING_STATUS=MR","SCALING_FORMAT=MLN","Sort=A","Dates=H","DateFormat=P","Fill=—","Direction=H","UseDPDF=Y")</f>
        <v>1130</v>
      </c>
      <c r="M15" s="13">
        <f>_xll.BDH("GILD US Equity","IS_OPERATING_EXPENSES_RD","FQ4 2021","FQ4 2021","Currency=USD","Period=FQ","BEST_FPERIOD_OVERRIDE=FQ","FILING_STATUS=MR","SCALING_FORMAT=MLN","Sort=A","Dates=H","DateFormat=P","Fill=—","Direction=H","UseDPDF=Y")</f>
        <v>1358</v>
      </c>
      <c r="N15" s="13">
        <f>_xll.BDH("GILD US Equity","IS_OPERATING_EXPENSES_RD","FQ1 2022","FQ1 2022","Currency=USD","Period=FQ","BEST_FPERIOD_OVERRIDE=FQ","FILING_STATUS=MR","SCALING_FORMAT=MLN","Sort=A","Dates=H","DateFormat=P","Fill=—","Direction=H","UseDPDF=Y")</f>
        <v>1186</v>
      </c>
      <c r="O15" s="13">
        <f>_xll.BDH("GILD US Equity","IS_OPERATING_EXPENSES_RD","FQ2 2022","FQ2 2022","Currency=USD","Period=FQ","BEST_FPERIOD_OVERRIDE=FQ","FILING_STATUS=MR","SCALING_FORMAT=MLN","Sort=A","Dates=H","DateFormat=P","Fill=—","Direction=H","UseDPDF=Y")</f>
        <v>1102</v>
      </c>
      <c r="P15" s="13">
        <f>_xll.BDH("GILD US Equity","IS_OPERATING_EXPENSES_RD","FQ3 2022","FQ3 2022","Currency=USD","Period=FQ","BEST_FPERIOD_OVERRIDE=FQ","FILING_STATUS=MR","SCALING_FORMAT=MLN","Sort=A","Dates=H","DateFormat=P","Fill=—","Direction=H","UseDPDF=Y")</f>
        <v>1125</v>
      </c>
      <c r="Q15" s="13">
        <f>_xll.BDH("GILD US Equity","IS_OPERATING_EXPENSES_RD","FQ4 2022","FQ4 2022","Currency=USD","Period=FQ","BEST_FPERIOD_OVERRIDE=FQ","FILING_STATUS=MR","SCALING_FORMAT=MLN","Sort=A","Dates=H","DateFormat=P","Fill=—","Direction=H","UseDPDF=Y")</f>
        <v>1543</v>
      </c>
      <c r="R15" s="13">
        <f>_xll.BDH("GILD US Equity","IS_OPERATING_EXPENSES_RD","FQ1 2023","FQ1 2023","Currency=USD","Period=FQ","BEST_FPERIOD_OVERRIDE=FQ","FILING_STATUS=MR","SCALING_FORMAT=MLN","Sort=A","Dates=H","DateFormat=P","Fill=—","Direction=H","UseDPDF=Y")</f>
        <v>1447</v>
      </c>
      <c r="S15" s="13">
        <f>_xll.BDH("GILD US Equity","IS_OPERATING_EXPENSES_RD","FQ2 2023","FQ2 2023","Currency=USD","Period=FQ","BEST_FPERIOD_OVERRIDE=FQ","FILING_STATUS=MR","SCALING_FORMAT=MLN","Sort=A","Dates=H","DateFormat=P","Fill=—","Direction=H","UseDPDF=Y")</f>
        <v>1437</v>
      </c>
      <c r="T15" s="13">
        <f>_xll.BDH("GILD US Equity","IS_OPERATING_EXPENSES_RD","FQ3 2023","FQ3 2023","Currency=USD","Period=FQ","BEST_FPERIOD_OVERRIDE=FQ","FILING_STATUS=MR","SCALING_FORMAT=MLN","Sort=A","Dates=H","DateFormat=P","Fill=—","Direction=H","UseDPDF=Y")</f>
        <v>1453</v>
      </c>
      <c r="U15" s="13">
        <f>_xll.BDH("GILD US Equity","IS_OPERATING_EXPENSES_RD","FQ4 2023","FQ4 2023","Currency=USD","Period=FQ","BEST_FPERIOD_OVERRIDE=FQ","FILING_STATUS=MR","SCALING_FORMAT=MLN","Sort=A","Dates=H","DateFormat=P","Fill=—","Direction=H","UseDPDF=Y")</f>
        <v>1392</v>
      </c>
      <c r="V15" s="13">
        <f>_xll.BDH("GILD US Equity","IS_OPERATING_EXPENSES_RD","FQ1 2024","FQ1 2024","Currency=USD","Period=FQ","BEST_FPERIOD_OVERRIDE=FQ","FILING_STATUS=MR","SCALING_FORMAT=MLN","Sort=A","Dates=H","DateFormat=P","Fill=—","Direction=H","UseDPDF=Y")</f>
        <v>1404</v>
      </c>
      <c r="W15" s="13">
        <f>_xll.BDH("GILD US Equity","IS_OPERATING_EXPENSES_RD","FQ2 2024","FQ2 2024","Currency=USD","Period=FQ","BEST_FPERIOD_OVERRIDE=FQ","FILING_STATUS=MR","SCALING_FORMAT=MLN","Sort=A","Dates=H","DateFormat=P","Fill=—","Direction=H","UseDPDF=Y")</f>
        <v>1335</v>
      </c>
      <c r="X15" s="13">
        <f>_xll.BDH("GILD US Equity","IS_OPERATING_EXPENSES_RD","FQ3 2024","FQ3 2024","Currency=USD","Period=FQ","BEST_FPERIOD_OVERRIDE=FQ","FILING_STATUS=MR","SCALING_FORMAT=MLN","Sort=A","Dates=H","DateFormat=P","Fill=—","Direction=H","UseDPDF=Y")</f>
        <v>1381</v>
      </c>
      <c r="Y15" s="13">
        <f>_xll.BDH("GILD US Equity","IS_OPERATING_EXPENSES_RD","FQ4 2024","FQ4 2024","Currency=USD","Period=FQ","BEST_FPERIOD_OVERRIDE=FQ","FILING_STATUS=MR","SCALING_FORMAT=MLN","Sort=A","Dates=H","DateFormat=P","Fill=—","Direction=H","UseDPDF=Y")</f>
        <v>1611</v>
      </c>
      <c r="Z15" s="13"/>
      <c r="AA15" s="13"/>
    </row>
    <row r="16" spans="1:27" x14ac:dyDescent="0.25">
      <c r="A16" s="10" t="s">
        <v>329</v>
      </c>
      <c r="B16" s="10" t="s">
        <v>330</v>
      </c>
      <c r="C16" s="13">
        <f>_xll.BDH("GILD US Equity","IS_OTHER_OPERATING_EXPENSES","FQ2 2019","FQ2 2019","Currency=USD","Period=FQ","BEST_FPERIOD_OVERRIDE=FQ","FILING_STATUS=MR","SCALING_FORMAT=MLN","FA_ADJUSTED=Adjusted","Sort=A","Dates=H","DateFormat=P","Fill=—","Direction=H","UseDPDF=Y")</f>
        <v>-166</v>
      </c>
      <c r="D16" s="13">
        <f>_xll.BDH("GILD US Equity","IS_OTHER_OPERATING_EXPENSES","FQ3 2019","FQ3 2019","Currency=USD","Period=FQ","BEST_FPERIOD_OVERRIDE=FQ","FILING_STATUS=MR","SCALING_FORMAT=MLN","FA_ADJUSTED=Adjusted","Sort=A","Dates=H","DateFormat=P","Fill=—","Direction=H","UseDPDF=Y")</f>
        <v>0</v>
      </c>
      <c r="E16" s="13">
        <f>_xll.BDH("GILD US Equity","IS_OTHER_OPERATING_EXPENSES","FQ4 2019","FQ4 2019","Currency=USD","Period=FQ","BEST_FPERIOD_OVERRIDE=FQ","FILING_STATUS=MR","SCALING_FORMAT=MLN","FA_ADJUSTED=Adjusted","Sort=A","Dates=H","DateFormat=P","Fill=—","Direction=H","UseDPDF=Y")</f>
        <v>0</v>
      </c>
      <c r="F16" s="13">
        <f>_xll.BDH("GILD US Equity","IS_OTHER_OPERATING_EXPENSES","FQ1 2020","FQ1 2020","Currency=USD","Period=FQ","BEST_FPERIOD_OVERRIDE=FQ","FILING_STATUS=MR","SCALING_FORMAT=MLN","FA_ADJUSTED=Adjusted","Sort=A","Dates=H","DateFormat=P","Fill=—","Direction=H","UseDPDF=Y")</f>
        <v>-266</v>
      </c>
      <c r="G16" s="13">
        <f>_xll.BDH("GILD US Equity","IS_OTHER_OPERATING_EXPENSES","FQ2 2020","FQ2 2020","Currency=USD","Period=FQ","BEST_FPERIOD_OVERRIDE=FQ","FILING_STATUS=MR","SCALING_FORMAT=MLN","FA_ADJUSTED=Adjusted","Sort=A","Dates=H","DateFormat=P","Fill=—","Direction=H","UseDPDF=Y")</f>
        <v>0</v>
      </c>
      <c r="H16" s="13">
        <f>_xll.BDH("GILD US Equity","IS_OTHER_OPERATING_EXPENSES","FQ3 2020","FQ3 2020","Currency=USD","Period=FQ","BEST_FPERIOD_OVERRIDE=FQ","FILING_STATUS=MR","SCALING_FORMAT=MLN","FA_ADJUSTED=Adjusted","Sort=A","Dates=H","DateFormat=P","Fill=—","Direction=H","UseDPDF=Y")</f>
        <v>0</v>
      </c>
      <c r="I16" s="13">
        <f>_xll.BDH("GILD US Equity","IS_OTHER_OPERATING_EXPENSES","FQ4 2020","FQ4 2020","Currency=USD","Period=FQ","BEST_FPERIOD_OVERRIDE=FQ","FILING_STATUS=MR","SCALING_FORMAT=MLN","FA_ADJUSTED=Adjusted","Sort=A","Dates=H","DateFormat=P","Fill=—","Direction=H","UseDPDF=Y")</f>
        <v>-63</v>
      </c>
      <c r="J16" s="13">
        <f>_xll.BDH("GILD US Equity","IS_OTHER_OPERATING_EXPENSES","FQ1 2021","FQ1 2021","Currency=USD","Period=FQ","BEST_FPERIOD_OVERRIDE=FQ","FILING_STATUS=MR","SCALING_FORMAT=MLN","FA_ADJUSTED=Adjusted","Sort=A","Dates=H","DateFormat=P","Fill=—","Direction=H","UseDPDF=Y")</f>
        <v>-512</v>
      </c>
      <c r="K16" s="13">
        <f>_xll.BDH("GILD US Equity","IS_OTHER_OPERATING_EXPENSES","FQ2 2021","FQ2 2021","Currency=USD","Period=FQ","BEST_FPERIOD_OVERRIDE=FQ","FILING_STATUS=MR","SCALING_FORMAT=MLN","FA_ADJUSTED=Adjusted","Sort=A","Dates=H","DateFormat=P","Fill=—","Direction=H","UseDPDF=Y")</f>
        <v>0</v>
      </c>
      <c r="L16" s="13">
        <f>_xll.BDH("GILD US Equity","IS_OTHER_OPERATING_EXPENSES","FQ3 2021","FQ3 2021","Currency=USD","Period=FQ","BEST_FPERIOD_OVERRIDE=FQ","FILING_STATUS=MR","SCALING_FORMAT=MLN","FA_ADJUSTED=Adjusted","Sort=A","Dates=H","DateFormat=P","Fill=—","Direction=H","UseDPDF=Y")</f>
        <v>46</v>
      </c>
      <c r="M16" s="13">
        <f>_xll.BDH("GILD US Equity","IS_OTHER_OPERATING_EXPENSES","FQ4 2021","FQ4 2021","Currency=USD","Period=FQ","BEST_FPERIOD_OVERRIDE=FQ","FILING_STATUS=MR","SCALING_FORMAT=MLN","FA_ADJUSTED=Adjusted","Sort=A","Dates=H","DateFormat=P","Fill=—","Direction=H","UseDPDF=Y")</f>
        <v>-12.797499999999999</v>
      </c>
      <c r="N16" s="13">
        <f>_xll.BDH("GILD US Equity","IS_OTHER_OPERATING_EXPENSES","FQ1 2022","FQ1 2022","Currency=USD","Period=FQ","BEST_FPERIOD_OVERRIDE=FQ","FILING_STATUS=MR","SCALING_FORMAT=MLN","FA_ADJUSTED=Adjusted","Sort=A","Dates=H","DateFormat=P","Fill=—","Direction=H","UseDPDF=Y")</f>
        <v>-60</v>
      </c>
      <c r="O16" s="13">
        <f>_xll.BDH("GILD US Equity","IS_OTHER_OPERATING_EXPENSES","FQ2 2022","FQ2 2022","Currency=USD","Period=FQ","BEST_FPERIOD_OVERRIDE=FQ","FILING_STATUS=MR","SCALING_FORMAT=MLN","FA_ADJUSTED=Adjusted","Sort=A","Dates=H","DateFormat=P","Fill=—","Direction=H","UseDPDF=Y")</f>
        <v>-308</v>
      </c>
      <c r="P16" s="13">
        <f>_xll.BDH("GILD US Equity","IS_OTHER_OPERATING_EXPENSES","FQ3 2022","FQ3 2022","Currency=USD","Period=FQ","BEST_FPERIOD_OVERRIDE=FQ","FILING_STATUS=MR","SCALING_FORMAT=MLN","FA_ADJUSTED=Adjusted","Sort=A","Dates=H","DateFormat=P","Fill=—","Direction=H","UseDPDF=Y")</f>
        <v>-401</v>
      </c>
      <c r="Q16" s="13">
        <f>_xll.BDH("GILD US Equity","IS_OTHER_OPERATING_EXPENSES","FQ4 2022","FQ4 2022","Currency=USD","Period=FQ","BEST_FPERIOD_OVERRIDE=FQ","FILING_STATUS=MR","SCALING_FORMAT=MLN","FA_ADJUSTED=Adjusted","Sort=A","Dates=H","DateFormat=P","Fill=—","Direction=H","UseDPDF=Y")</f>
        <v>1</v>
      </c>
      <c r="R16" s="13">
        <f>_xll.BDH("GILD US Equity","IS_OTHER_OPERATING_EXPENSES","FQ1 2023","FQ1 2023","Currency=USD","Period=FQ","BEST_FPERIOD_OVERRIDE=FQ","FILING_STATUS=MR","SCALING_FORMAT=MLN","FA_ADJUSTED=Adjusted","Sort=A","Dates=H","DateFormat=P","Fill=—","Direction=H","UseDPDF=Y")</f>
        <v>-3</v>
      </c>
      <c r="S16" s="13">
        <f>_xll.BDH("GILD US Equity","IS_OTHER_OPERATING_EXPENSES","FQ2 2023","FQ2 2023","Currency=USD","Period=FQ","BEST_FPERIOD_OVERRIDE=FQ","FILING_STATUS=MR","SCALING_FORMAT=MLN","FA_ADJUSTED=Adjusted","Sort=A","Dates=H","DateFormat=P","Fill=—","Direction=H","UseDPDF=Y")</f>
        <v>35</v>
      </c>
      <c r="T16" s="13">
        <f>_xll.BDH("GILD US Equity","IS_OTHER_OPERATING_EXPENSES","FQ3 2023","FQ3 2023","Currency=USD","Period=FQ","BEST_FPERIOD_OVERRIDE=FQ","FILING_STATUS=MR","SCALING_FORMAT=MLN","FA_ADJUSTED=Adjusted","Sort=A","Dates=H","DateFormat=P","Fill=—","Direction=H","UseDPDF=Y")</f>
        <v>-168</v>
      </c>
      <c r="U16" s="13">
        <f>_xll.BDH("GILD US Equity","IS_OTHER_OPERATING_EXPENSES","FQ4 2023","FQ4 2023","Currency=USD","Period=FQ","BEST_FPERIOD_OVERRIDE=FQ","FILING_STATUS=MR","SCALING_FORMAT=MLN","FA_ADJUSTED=Adjusted","Sort=A","Dates=H","DateFormat=P","Fill=—","Direction=H","UseDPDF=Y")</f>
        <v>-53</v>
      </c>
      <c r="V16" s="13">
        <f>_xll.BDH("GILD US Equity","IS_OTHER_OPERATING_EXPENSES","FQ1 2024","FQ1 2024","Currency=USD","Period=FQ","BEST_FPERIOD_OVERRIDE=FQ","FILING_STATUS=MR","SCALING_FORMAT=MLN","FA_ADJUSTED=Adjusted","Sort=A","Dates=H","DateFormat=P","Fill=—","Direction=H","UseDPDF=Y")</f>
        <v>0</v>
      </c>
      <c r="W16" s="13">
        <f>_xll.BDH("GILD US Equity","IS_OTHER_OPERATING_EXPENSES","FQ2 2024","FQ2 2024","Currency=USD","Period=FQ","BEST_FPERIOD_OVERRIDE=FQ","FILING_STATUS=MR","SCALING_FORMAT=MLN","FA_ADJUSTED=Adjusted","Sort=A","Dates=H","DateFormat=P","Fill=—","Direction=H","UseDPDF=Y")</f>
        <v>-397</v>
      </c>
      <c r="X16" s="13">
        <f>_xll.BDH("GILD US Equity","IS_OTHER_OPERATING_EXPENSES","FQ3 2024","FQ3 2024","Currency=USD","Period=FQ","BEST_FPERIOD_OVERRIDE=FQ","FILING_STATUS=MR","SCALING_FORMAT=MLN","FA_ADJUSTED=Adjusted","Sort=A","Dates=H","DateFormat=P","Fill=—","Direction=H","UseDPDF=Y")</f>
        <v>1</v>
      </c>
      <c r="Y16" s="13">
        <f>_xll.BDH("GILD US Equity","IS_OTHER_OPERATING_EXPENSES","FQ4 2024","FQ4 2024","Currency=USD","Period=FQ","BEST_FPERIOD_OVERRIDE=FQ","FILING_STATUS=MR","SCALING_FORMAT=MLN","FA_ADJUSTED=Adjusted","Sort=A","Dates=H","DateFormat=P","Fill=—","Direction=H","UseDPDF=Y")</f>
        <v>1</v>
      </c>
      <c r="Z16" s="13"/>
      <c r="AA16" s="13"/>
    </row>
    <row r="17" spans="1:27" x14ac:dyDescent="0.25">
      <c r="A17" s="6" t="s">
        <v>331</v>
      </c>
      <c r="B17" s="6" t="s">
        <v>99</v>
      </c>
      <c r="C17" s="19">
        <f>_xll.BDH("GILD US Equity","IS_OPER_INC","FQ2 2019","FQ2 2019","Currency=USD","Period=FQ","BEST_FPERIOD_OVERRIDE=FQ","FILING_STATUS=MR","SCALING_FORMAT=MLN","FA_ADJUSTED=Adjusted","Sort=A","Dates=H","DateFormat=P","Fill=—","Direction=H","UseDPDF=Y")</f>
        <v>2594</v>
      </c>
      <c r="D17" s="19">
        <f>_xll.BDH("GILD US Equity","IS_OPER_INC","FQ3 2019","FQ3 2019","Currency=USD","Period=FQ","BEST_FPERIOD_OVERRIDE=FQ","FILING_STATUS=MR","SCALING_FORMAT=MLN","FA_ADJUSTED=Adjusted","Sort=A","Dates=H","DateFormat=P","Fill=—","Direction=H","UseDPDF=Y")</f>
        <v>2496</v>
      </c>
      <c r="E17" s="19">
        <f>_xll.BDH("GILD US Equity","IS_OPER_INC","FQ4 2019","FQ4 2019","Currency=USD","Period=FQ","BEST_FPERIOD_OVERRIDE=FQ","FILING_STATUS=MR","SCALING_FORMAT=MLN","FA_ADJUSTED=Adjusted","Sort=A","Dates=H","DateFormat=P","Fill=—","Direction=H","UseDPDF=Y")</f>
        <v>1889</v>
      </c>
      <c r="F17" s="19">
        <f>_xll.BDH("GILD US Equity","IS_OPER_INC","FQ1 2020","FQ1 2020","Currency=USD","Period=FQ","BEST_FPERIOD_OVERRIDE=FQ","FILING_STATUS=MR","SCALING_FORMAT=MLN","FA_ADJUSTED=Adjusted","Sort=A","Dates=H","DateFormat=P","Fill=—","Direction=H","UseDPDF=Y")</f>
        <v>2765</v>
      </c>
      <c r="G17" s="19">
        <f>_xll.BDH("GILD US Equity","IS_OPER_INC","FQ2 2020","FQ2 2020","Currency=USD","Period=FQ","BEST_FPERIOD_OVERRIDE=FQ","FILING_STATUS=MR","SCALING_FORMAT=MLN","FA_ADJUSTED=Adjusted","Sort=A","Dates=H","DateFormat=P","Fill=—","Direction=H","UseDPDF=Y")</f>
        <v>1729</v>
      </c>
      <c r="H17" s="19">
        <f>_xll.BDH("GILD US Equity","IS_OPER_INC","FQ3 2020","FQ3 2020","Currency=USD","Period=FQ","BEST_FPERIOD_OVERRIDE=FQ","FILING_STATUS=MR","SCALING_FORMAT=MLN","FA_ADJUSTED=Adjusted","Sort=A","Dates=H","DateFormat=P","Fill=—","Direction=H","UseDPDF=Y")</f>
        <v>3186</v>
      </c>
      <c r="I17" s="19">
        <f>_xll.BDH("GILD US Equity","IS_OPER_INC","FQ4 2020","FQ4 2020","Currency=USD","Period=FQ","BEST_FPERIOD_OVERRIDE=FQ","FILING_STATUS=MR","SCALING_FORMAT=MLN","FA_ADJUSTED=Adjusted","Sort=A","Dates=H","DateFormat=P","Fill=—","Direction=H","UseDPDF=Y")</f>
        <v>3075</v>
      </c>
      <c r="J17" s="19">
        <f>_xll.BDH("GILD US Equity","IS_OPER_INC","FQ1 2021","FQ1 2021","Currency=USD","Period=FQ","BEST_FPERIOD_OVERRIDE=FQ","FILING_STATUS=MR","SCALING_FORMAT=MLN","FA_ADJUSTED=Adjusted","Sort=A","Dates=H","DateFormat=P","Fill=—","Direction=H","UseDPDF=Y")</f>
        <v>3486</v>
      </c>
      <c r="K17" s="19">
        <f>_xll.BDH("GILD US Equity","IS_OPER_INC","FQ2 2021","FQ2 2021","Currency=USD","Period=FQ","BEST_FPERIOD_OVERRIDE=FQ","FILING_STATUS=MR","SCALING_FORMAT=MLN","FA_ADJUSTED=Adjusted","Sort=A","Dates=H","DateFormat=P","Fill=—","Direction=H","UseDPDF=Y")</f>
        <v>2622</v>
      </c>
      <c r="L17" s="19">
        <f>_xll.BDH("GILD US Equity","IS_OPER_INC","FQ3 2021","FQ3 2021","Currency=USD","Period=FQ","BEST_FPERIOD_OVERRIDE=FQ","FILING_STATUS=MR","SCALING_FORMAT=MLN","FA_ADJUSTED=Adjusted","Sort=A","Dates=H","DateFormat=P","Fill=—","Direction=H","UseDPDF=Y")</f>
        <v>3844</v>
      </c>
      <c r="M17" s="19">
        <f>_xll.BDH("GILD US Equity","IS_OPER_INC","FQ4 2021","FQ4 2021","Currency=USD","Period=FQ","BEST_FPERIOD_OVERRIDE=FQ","FILING_STATUS=MR","SCALING_FORMAT=MLN","FA_ADJUSTED=Adjusted","Sort=A","Dates=H","DateFormat=P","Fill=—","Direction=H","UseDPDF=Y")</f>
        <v>1621.7974999999999</v>
      </c>
      <c r="N17" s="19">
        <f>_xll.BDH("GILD US Equity","IS_OPER_INC","FQ1 2022","FQ1 2022","Currency=USD","Period=FQ","BEST_FPERIOD_OVERRIDE=FQ","FILING_STATUS=MR","SCALING_FORMAT=MLN","FA_ADJUSTED=Adjusted","Sort=A","Dates=H","DateFormat=P","Fill=—","Direction=H","UseDPDF=Y")</f>
        <v>2967</v>
      </c>
      <c r="O17" s="19">
        <f>_xll.BDH("GILD US Equity","IS_OPER_INC","FQ2 2022","FQ2 2022","Currency=USD","Period=FQ","BEST_FPERIOD_OVERRIDE=FQ","FILING_STATUS=MR","SCALING_FORMAT=MLN","FA_ADJUSTED=Adjusted","Sort=A","Dates=H","DateFormat=P","Fill=—","Direction=H","UseDPDF=Y")</f>
        <v>2752</v>
      </c>
      <c r="P17" s="19">
        <f>_xll.BDH("GILD US Equity","IS_OPER_INC","FQ3 2022","FQ3 2022","Currency=USD","Period=FQ","BEST_FPERIOD_OVERRIDE=FQ","FILING_STATUS=MR","SCALING_FORMAT=MLN","FA_ADJUSTED=Adjusted","Sort=A","Dates=H","DateFormat=P","Fill=—","Direction=H","UseDPDF=Y")</f>
        <v>3711</v>
      </c>
      <c r="Q17" s="19">
        <f>_xll.BDH("GILD US Equity","IS_OPER_INC","FQ4 2022","FQ4 2022","Currency=USD","Period=FQ","BEST_FPERIOD_OVERRIDE=FQ","FILING_STATUS=MR","SCALING_FORMAT=MLN","FA_ADJUSTED=Adjusted","Sort=A","Dates=H","DateFormat=P","Fill=—","Direction=H","UseDPDF=Y")</f>
        <v>2429</v>
      </c>
      <c r="R17" s="19">
        <f>_xll.BDH("GILD US Equity","IS_OPER_INC","FQ1 2023","FQ1 2023","Currency=USD","Period=FQ","BEST_FPERIOD_OVERRIDE=FQ","FILING_STATUS=MR","SCALING_FORMAT=MLN","FA_ADJUSTED=Adjusted","Sort=A","Dates=H","DateFormat=P","Fill=—","Direction=H","UseDPDF=Y")</f>
        <v>2195</v>
      </c>
      <c r="S17" s="19">
        <f>_xll.BDH("GILD US Equity","IS_OPER_INC","FQ2 2023","FQ2 2023","Currency=USD","Period=FQ","BEST_FPERIOD_OVERRIDE=FQ","FILING_STATUS=MR","SCALING_FORMAT=MLN","FA_ADJUSTED=Adjusted","Sort=A","Dates=H","DateFormat=P","Fill=—","Direction=H","UseDPDF=Y")</f>
        <v>1863</v>
      </c>
      <c r="T17" s="19">
        <f>_xll.BDH("GILD US Equity","IS_OPER_INC","FQ3 2023","FQ3 2023","Currency=USD","Period=FQ","BEST_FPERIOD_OVERRIDE=FQ","FILING_STATUS=MR","SCALING_FORMAT=MLN","FA_ADJUSTED=Adjusted","Sort=A","Dates=H","DateFormat=P","Fill=—","Direction=H","UseDPDF=Y")</f>
        <v>2903</v>
      </c>
      <c r="U17" s="19">
        <f>_xll.BDH("GILD US Equity","IS_OPER_INC","FQ4 2023","FQ4 2023","Currency=USD","Period=FQ","BEST_FPERIOD_OVERRIDE=FQ","FILING_STATUS=MR","SCALING_FORMAT=MLN","FA_ADJUSTED=Adjusted","Sort=A","Dates=H","DateFormat=P","Fill=—","Direction=H","UseDPDF=Y")</f>
        <v>2506</v>
      </c>
      <c r="V17" s="19">
        <f>_xll.BDH("GILD US Equity","IS_OPER_INC","FQ1 2024","FQ1 2024","Currency=USD","Period=FQ","BEST_FPERIOD_OVERRIDE=FQ","FILING_STATUS=MR","SCALING_FORMAT=MLN","FA_ADJUSTED=Adjusted","Sort=A","Dates=H","DateFormat=P","Fill=—","Direction=H","UseDPDF=Y")</f>
        <v>2435</v>
      </c>
      <c r="W17" s="19">
        <f>_xll.BDH("GILD US Equity","IS_OPER_INC","FQ2 2024","FQ2 2024","Currency=USD","Period=FQ","BEST_FPERIOD_OVERRIDE=FQ","FILING_STATUS=MR","SCALING_FORMAT=MLN","FA_ADJUSTED=Adjusted","Sort=A","Dates=H","DateFormat=P","Fill=—","Direction=H","UseDPDF=Y")</f>
        <v>3116</v>
      </c>
      <c r="X17" s="19">
        <f>_xll.BDH("GILD US Equity","IS_OPER_INC","FQ3 2024","FQ3 2024","Currency=USD","Period=FQ","BEST_FPERIOD_OVERRIDE=FQ","FILING_STATUS=MR","SCALING_FORMAT=MLN","FA_ADJUSTED=Adjusted","Sort=A","Dates=H","DateFormat=P","Fill=—","Direction=H","UseDPDF=Y")</f>
        <v>3184</v>
      </c>
      <c r="Y17" s="19">
        <f>_xll.BDH("GILD US Equity","IS_OPER_INC","FQ4 2024","FQ4 2024","Currency=USD","Period=FQ","BEST_FPERIOD_OVERRIDE=FQ","FILING_STATUS=MR","SCALING_FORMAT=MLN","FA_ADJUSTED=Adjusted","Sort=A","Dates=H","DateFormat=P","Fill=—","Direction=H","UseDPDF=Y")</f>
        <v>2524</v>
      </c>
      <c r="Z17" s="19">
        <v>2821.3530000000001</v>
      </c>
      <c r="AA17" s="19">
        <v>3173.3130000000001</v>
      </c>
    </row>
    <row r="18" spans="1:27" x14ac:dyDescent="0.25">
      <c r="A18" s="10" t="s">
        <v>332</v>
      </c>
      <c r="B18" s="10" t="s">
        <v>333</v>
      </c>
      <c r="C18" s="13">
        <f>_xll.BDH("GILD US Equity","IS_NONOP_INCOME_LOSS","FQ2 2019","FQ2 2019","Currency=USD","Period=FQ","BEST_FPERIOD_OVERRIDE=FQ","FILING_STATUS=MR","SCALING_FORMAT=MLN","FA_ADJUSTED=Adjusted","Sort=A","Dates=H","DateFormat=P","Fill=—","Direction=H","UseDPDF=Y")</f>
        <v>77</v>
      </c>
      <c r="D18" s="13">
        <f>_xll.BDH("GILD US Equity","IS_NONOP_INCOME_LOSS","FQ3 2019","FQ3 2019","Currency=USD","Period=FQ","BEST_FPERIOD_OVERRIDE=FQ","FILING_STATUS=MR","SCALING_FORMAT=MLN","FA_ADJUSTED=Adjusted","Sort=A","Dates=H","DateFormat=P","Fill=—","Direction=H","UseDPDF=Y")</f>
        <v>86</v>
      </c>
      <c r="E18" s="13">
        <f>_xll.BDH("GILD US Equity","IS_NONOP_INCOME_LOSS","FQ4 2019","FQ4 2019","Currency=USD","Period=FQ","BEST_FPERIOD_OVERRIDE=FQ","FILING_STATUS=MR","SCALING_FORMAT=MLN","FA_ADJUSTED=Adjusted","Sort=A","Dates=H","DateFormat=P","Fill=—","Direction=H","UseDPDF=Y")</f>
        <v>121</v>
      </c>
      <c r="F18" s="13">
        <f>_xll.BDH("GILD US Equity","IS_NONOP_INCOME_LOSS","FQ1 2020","FQ1 2020","Currency=USD","Period=FQ","BEST_FPERIOD_OVERRIDE=FQ","FILING_STATUS=MR","SCALING_FORMAT=MLN","FA_ADJUSTED=Adjusted","Sort=A","Dates=H","DateFormat=P","Fill=—","Direction=H","UseDPDF=Y")</f>
        <v>116</v>
      </c>
      <c r="G18" s="13">
        <f>_xll.BDH("GILD US Equity","IS_NONOP_INCOME_LOSS","FQ2 2020","FQ2 2020","Currency=USD","Period=FQ","BEST_FPERIOD_OVERRIDE=FQ","FILING_STATUS=MR","SCALING_FORMAT=MLN","FA_ADJUSTED=Adjusted","Sort=A","Dates=H","DateFormat=P","Fill=—","Direction=H","UseDPDF=Y")</f>
        <v>191</v>
      </c>
      <c r="H18" s="13">
        <f>_xll.BDH("GILD US Equity","IS_NONOP_INCOME_LOSS","FQ3 2020","FQ3 2020","Currency=USD","Period=FQ","BEST_FPERIOD_OVERRIDE=FQ","FILING_STATUS=MR","SCALING_FORMAT=MLN","FA_ADJUSTED=Adjusted","Sort=A","Dates=H","DateFormat=P","Fill=—","Direction=H","UseDPDF=Y")</f>
        <v>207</v>
      </c>
      <c r="I18" s="13">
        <f>_xll.BDH("GILD US Equity","IS_NONOP_INCOME_LOSS","FQ4 2020","FQ4 2020","Currency=USD","Period=FQ","BEST_FPERIOD_OVERRIDE=FQ","FILING_STATUS=MR","SCALING_FORMAT=MLN","FA_ADJUSTED=Adjusted","Sort=A","Dates=H","DateFormat=P","Fill=—","Direction=H","UseDPDF=Y")</f>
        <v>221</v>
      </c>
      <c r="J18" s="13">
        <f>_xll.BDH("GILD US Equity","IS_NONOP_INCOME_LOSS","FQ1 2021","FQ1 2021","Currency=USD","Period=FQ","BEST_FPERIOD_OVERRIDE=FQ","FILING_STATUS=MR","SCALING_FORMAT=MLN","FA_ADJUSTED=Adjusted","Sort=A","Dates=H","DateFormat=P","Fill=—","Direction=H","UseDPDF=Y")</f>
        <v>275</v>
      </c>
      <c r="K18" s="13">
        <f>_xll.BDH("GILD US Equity","IS_NONOP_INCOME_LOSS","FQ2 2021","FQ2 2021","Currency=USD","Period=FQ","BEST_FPERIOD_OVERRIDE=FQ","FILING_STATUS=MR","SCALING_FORMAT=MLN","FA_ADJUSTED=Adjusted","Sort=A","Dates=H","DateFormat=P","Fill=—","Direction=H","UseDPDF=Y")</f>
        <v>255</v>
      </c>
      <c r="L18" s="13">
        <f>_xll.BDH("GILD US Equity","IS_NONOP_INCOME_LOSS","FQ3 2021","FQ3 2021","Currency=USD","Period=FQ","BEST_FPERIOD_OVERRIDE=FQ","FILING_STATUS=MR","SCALING_FORMAT=MLN","FA_ADJUSTED=Adjusted","Sort=A","Dates=H","DateFormat=P","Fill=—","Direction=H","UseDPDF=Y")</f>
        <v>262</v>
      </c>
      <c r="M18" s="13">
        <f>_xll.BDH("GILD US Equity","IS_NONOP_INCOME_LOSS","FQ4 2021","FQ4 2021","Currency=USD","Period=FQ","BEST_FPERIOD_OVERRIDE=FQ","FILING_STATUS=MR","SCALING_FORMAT=MLN","FA_ADJUSTED=Adjusted","Sort=A","Dates=H","DateFormat=P","Fill=—","Direction=H","UseDPDF=Y")</f>
        <v>237</v>
      </c>
      <c r="N18" s="13">
        <f>_xll.BDH("GILD US Equity","IS_NONOP_INCOME_LOSS","FQ1 2022","FQ1 2022","Currency=USD","Period=FQ","BEST_FPERIOD_OVERRIDE=FQ","FILING_STATUS=MR","SCALING_FORMAT=MLN","FA_ADJUSTED=Adjusted","Sort=A","Dates=H","DateFormat=P","Fill=—","Direction=H","UseDPDF=Y")</f>
        <v>349</v>
      </c>
      <c r="O18" s="13">
        <f>_xll.BDH("GILD US Equity","IS_NONOP_INCOME_LOSS","FQ2 2022","FQ2 2022","Currency=USD","Period=FQ","BEST_FPERIOD_OVERRIDE=FQ","FILING_STATUS=MR","SCALING_FORMAT=MLN","FA_ADJUSTED=Adjusted","Sort=A","Dates=H","DateFormat=P","Fill=—","Direction=H","UseDPDF=Y")</f>
        <v>223</v>
      </c>
      <c r="P18" s="13">
        <f>_xll.BDH("GILD US Equity","IS_NONOP_INCOME_LOSS","FQ3 2022","FQ3 2022","Currency=USD","Period=FQ","BEST_FPERIOD_OVERRIDE=FQ","FILING_STATUS=MR","SCALING_FORMAT=MLN","FA_ADJUSTED=Adjusted","Sort=A","Dates=H","DateFormat=P","Fill=—","Direction=H","UseDPDF=Y")</f>
        <v>207</v>
      </c>
      <c r="Q18" s="13">
        <f>_xll.BDH("GILD US Equity","IS_NONOP_INCOME_LOSS","FQ4 2022","FQ4 2022","Currency=USD","Period=FQ","BEST_FPERIOD_OVERRIDE=FQ","FILING_STATUS=MR","SCALING_FORMAT=MLN","FA_ADJUSTED=Adjusted","Sort=A","Dates=H","DateFormat=P","Fill=—","Direction=H","UseDPDF=Y")</f>
        <v>175</v>
      </c>
      <c r="R18" s="13">
        <f>_xll.BDH("GILD US Equity","IS_NONOP_INCOME_LOSS","FQ1 2023","FQ1 2023","Currency=USD","Period=FQ","BEST_FPERIOD_OVERRIDE=FQ","FILING_STATUS=MR","SCALING_FORMAT=MLN","FA_ADJUSTED=Adjusted","Sort=A","Dates=H","DateFormat=P","Fill=—","Direction=H","UseDPDF=Y")</f>
        <v>148</v>
      </c>
      <c r="S18" s="13">
        <f>_xll.BDH("GILD US Equity","IS_NONOP_INCOME_LOSS","FQ2 2023","FQ2 2023","Currency=USD","Period=FQ","BEST_FPERIOD_OVERRIDE=FQ","FILING_STATUS=MR","SCALING_FORMAT=MLN","FA_ADJUSTED=Adjusted","Sort=A","Dates=H","DateFormat=P","Fill=—","Direction=H","UseDPDF=Y")</f>
        <v>147</v>
      </c>
      <c r="T18" s="13">
        <f>_xll.BDH("GILD US Equity","IS_NONOP_INCOME_LOSS","FQ3 2023","FQ3 2023","Currency=USD","Period=FQ","BEST_FPERIOD_OVERRIDE=FQ","FILING_STATUS=MR","SCALING_FORMAT=MLN","FA_ADJUSTED=Adjusted","Sort=A","Dates=H","DateFormat=P","Fill=—","Direction=H","UseDPDF=Y")</f>
        <v>304</v>
      </c>
      <c r="U18" s="13">
        <f>_xll.BDH("GILD US Equity","IS_NONOP_INCOME_LOSS","FQ4 2023","FQ4 2023","Currency=USD","Period=FQ","BEST_FPERIOD_OVERRIDE=FQ","FILING_STATUS=MR","SCALING_FORMAT=MLN","FA_ADJUSTED=Adjusted","Sort=A","Dates=H","DateFormat=P","Fill=—","Direction=H","UseDPDF=Y")</f>
        <v>148</v>
      </c>
      <c r="V18" s="13">
        <f>_xll.BDH("GILD US Equity","IS_NONOP_INCOME_LOSS","FQ1 2024","FQ1 2024","Currency=USD","Period=FQ","BEST_FPERIOD_OVERRIDE=FQ","FILING_STATUS=MR","SCALING_FORMAT=MLN","FA_ADJUSTED=Adjusted","Sort=A","Dates=H","DateFormat=P","Fill=—","Direction=H","UseDPDF=Y")</f>
        <v>150</v>
      </c>
      <c r="W18" s="13">
        <f>_xll.BDH("GILD US Equity","IS_NONOP_INCOME_LOSS","FQ2 2024","FQ2 2024","Currency=USD","Period=FQ","BEST_FPERIOD_OVERRIDE=FQ","FILING_STATUS=MR","SCALING_FORMAT=MLN","FA_ADJUSTED=Adjusted","Sort=A","Dates=H","DateFormat=P","Fill=—","Direction=H","UseDPDF=Y")</f>
        <v>232</v>
      </c>
      <c r="X18" s="13">
        <f>_xll.BDH("GILD US Equity","IS_NONOP_INCOME_LOSS","FQ3 2024","FQ3 2024","Currency=USD","Period=FQ","BEST_FPERIOD_OVERRIDE=FQ","FILING_STATUS=MR","SCALING_FORMAT=MLN","FA_ADJUSTED=Adjusted","Sort=A","Dates=H","DateFormat=P","Fill=—","Direction=H","UseDPDF=Y")</f>
        <v>190</v>
      </c>
      <c r="Y18" s="13">
        <f>_xll.BDH("GILD US Equity","IS_NONOP_INCOME_LOSS","FQ4 2024","FQ4 2024","Currency=USD","Period=FQ","BEST_FPERIOD_OVERRIDE=FQ","FILING_STATUS=MR","SCALING_FORMAT=MLN","FA_ADJUSTED=Adjusted","Sort=A","Dates=H","DateFormat=P","Fill=—","Direction=H","UseDPDF=Y")</f>
        <v>157</v>
      </c>
      <c r="Z18" s="13"/>
      <c r="AA18" s="13"/>
    </row>
    <row r="19" spans="1:27" x14ac:dyDescent="0.25">
      <c r="A19" s="10" t="s">
        <v>334</v>
      </c>
      <c r="B19" s="10" t="s">
        <v>335</v>
      </c>
      <c r="C19" s="13">
        <f>_xll.BDH("GILD US Equity","IS_NET_INTEREST_EXPENSE","FQ2 2019","FQ2 2019","Currency=USD","Period=FQ","BEST_FPERIOD_OVERRIDE=FQ","FILING_STATUS=MR","SCALING_FORMAT=MLN","FA_ADJUSTED=Adjusted","Sort=A","Dates=H","DateFormat=P","Fill=—","Direction=H","UseDPDF=Y")</f>
        <v>248</v>
      </c>
      <c r="D19" s="13">
        <f>_xll.BDH("GILD US Equity","IS_NET_INTEREST_EXPENSE","FQ3 2019","FQ3 2019","Currency=USD","Period=FQ","BEST_FPERIOD_OVERRIDE=FQ","FILING_STATUS=MR","SCALING_FORMAT=MLN","FA_ADJUSTED=Adjusted","Sort=A","Dates=H","DateFormat=P","Fill=—","Direction=H","UseDPDF=Y")</f>
        <v>250</v>
      </c>
      <c r="E19" s="13">
        <f>_xll.BDH("GILD US Equity","IS_NET_INTEREST_EXPENSE","FQ4 2019","FQ4 2019","Currency=USD","Period=FQ","BEST_FPERIOD_OVERRIDE=FQ","FILING_STATUS=MR","SCALING_FORMAT=MLN","FA_ADJUSTED=Adjusted","Sort=A","Dates=H","DateFormat=P","Fill=—","Direction=H","UseDPDF=Y")</f>
        <v>243</v>
      </c>
      <c r="F19" s="13">
        <f>_xll.BDH("GILD US Equity","IS_NET_INTEREST_EXPENSE","FQ1 2020","FQ1 2020","Currency=USD","Period=FQ","BEST_FPERIOD_OVERRIDE=FQ","FILING_STATUS=MR","SCALING_FORMAT=MLN","FA_ADJUSTED=Adjusted","Sort=A","Dates=H","DateFormat=P","Fill=—","Direction=H","UseDPDF=Y")</f>
        <v>241</v>
      </c>
      <c r="G19" s="13">
        <f>_xll.BDH("GILD US Equity","IS_NET_INTEREST_EXPENSE","FQ2 2020","FQ2 2020","Currency=USD","Period=FQ","BEST_FPERIOD_OVERRIDE=FQ","FILING_STATUS=MR","SCALING_FORMAT=MLN","FA_ADJUSTED=Adjusted","Sort=A","Dates=H","DateFormat=P","Fill=—","Direction=H","UseDPDF=Y")</f>
        <v>240</v>
      </c>
      <c r="H19" s="13">
        <f>_xll.BDH("GILD US Equity","IS_NET_INTEREST_EXPENSE","FQ3 2020","FQ3 2020","Currency=USD","Period=FQ","BEST_FPERIOD_OVERRIDE=FQ","FILING_STATUS=MR","SCALING_FORMAT=MLN","FA_ADJUSTED=Adjusted","Sort=A","Dates=H","DateFormat=P","Fill=—","Direction=H","UseDPDF=Y")</f>
        <v>236</v>
      </c>
      <c r="I19" s="13">
        <f>_xll.BDH("GILD US Equity","IS_NET_INTEREST_EXPENSE","FQ4 2020","FQ4 2020","Currency=USD","Period=FQ","BEST_FPERIOD_OVERRIDE=FQ","FILING_STATUS=MR","SCALING_FORMAT=MLN","FA_ADJUSTED=Adjusted","Sort=A","Dates=H","DateFormat=P","Fill=—","Direction=H","UseDPDF=Y")</f>
        <v>267</v>
      </c>
      <c r="J19" s="13">
        <f>_xll.BDH("GILD US Equity","IS_NET_INTEREST_EXPENSE","FQ1 2021","FQ1 2021","Currency=USD","Period=FQ","BEST_FPERIOD_OVERRIDE=FQ","FILING_STATUS=MR","SCALING_FORMAT=MLN","FA_ADJUSTED=Adjusted","Sort=A","Dates=H","DateFormat=P","Fill=—","Direction=H","UseDPDF=Y")</f>
        <v>257</v>
      </c>
      <c r="K19" s="13">
        <f>_xll.BDH("GILD US Equity","IS_NET_INTEREST_EXPENSE","FQ2 2021","FQ2 2021","Currency=USD","Period=FQ","BEST_FPERIOD_OVERRIDE=FQ","FILING_STATUS=MR","SCALING_FORMAT=MLN","FA_ADJUSTED=Adjusted","Sort=A","Dates=H","DateFormat=P","Fill=—","Direction=H","UseDPDF=Y")</f>
        <v>256</v>
      </c>
      <c r="L19" s="13">
        <f>_xll.BDH("GILD US Equity","IS_NET_INTEREST_EXPENSE","FQ3 2021","FQ3 2021","Currency=USD","Period=FQ","BEST_FPERIOD_OVERRIDE=FQ","FILING_STATUS=MR","SCALING_FORMAT=MLN","FA_ADJUSTED=Adjusted","Sort=A","Dates=H","DateFormat=P","Fill=—","Direction=H","UseDPDF=Y")</f>
        <v>250</v>
      </c>
      <c r="M19" s="13">
        <f>_xll.BDH("GILD US Equity","IS_NET_INTEREST_EXPENSE","FQ4 2021","FQ4 2021","Currency=USD","Period=FQ","BEST_FPERIOD_OVERRIDE=FQ","FILING_STATUS=MR","SCALING_FORMAT=MLN","FA_ADJUSTED=Adjusted","Sort=A","Dates=H","DateFormat=P","Fill=—","Direction=H","UseDPDF=Y")</f>
        <v>238</v>
      </c>
      <c r="N19" s="13">
        <f>_xll.BDH("GILD US Equity","IS_NET_INTEREST_EXPENSE","FQ1 2022","FQ1 2022","Currency=USD","Period=FQ","BEST_FPERIOD_OVERRIDE=FQ","FILING_STATUS=MR","SCALING_FORMAT=MLN","FA_ADJUSTED=Adjusted","Sort=A","Dates=H","DateFormat=P","Fill=—","Direction=H","UseDPDF=Y")</f>
        <v>238</v>
      </c>
      <c r="O19" s="13">
        <f>_xll.BDH("GILD US Equity","IS_NET_INTEREST_EXPENSE","FQ2 2022","FQ2 2022","Currency=USD","Period=FQ","BEST_FPERIOD_OVERRIDE=FQ","FILING_STATUS=MR","SCALING_FORMAT=MLN","FA_ADJUSTED=Adjusted","Sort=A","Dates=H","DateFormat=P","Fill=—","Direction=H","UseDPDF=Y")</f>
        <v>242</v>
      </c>
      <c r="P19" s="13">
        <f>_xll.BDH("GILD US Equity","IS_NET_INTEREST_EXPENSE","FQ3 2022","FQ3 2022","Currency=USD","Period=FQ","BEST_FPERIOD_OVERRIDE=FQ","FILING_STATUS=MR","SCALING_FORMAT=MLN","FA_ADJUSTED=Adjusted","Sort=A","Dates=H","DateFormat=P","Fill=—","Direction=H","UseDPDF=Y")</f>
        <v>229</v>
      </c>
      <c r="Q19" s="13">
        <f>_xll.BDH("GILD US Equity","IS_NET_INTEREST_EXPENSE","FQ4 2022","FQ4 2022","Currency=USD","Period=FQ","BEST_FPERIOD_OVERRIDE=FQ","FILING_STATUS=MR","SCALING_FORMAT=MLN","FA_ADJUSTED=Adjusted","Sort=A","Dates=H","DateFormat=P","Fill=—","Direction=H","UseDPDF=Y")</f>
        <v>227</v>
      </c>
      <c r="R19" s="13">
        <f>_xll.BDH("GILD US Equity","IS_NET_INTEREST_EXPENSE","FQ1 2023","FQ1 2023","Currency=USD","Period=FQ","BEST_FPERIOD_OVERRIDE=FQ","FILING_STATUS=MR","SCALING_FORMAT=MLN","FA_ADJUSTED=Adjusted","Sort=A","Dates=H","DateFormat=P","Fill=—","Direction=H","UseDPDF=Y")</f>
        <v>230</v>
      </c>
      <c r="S19" s="13">
        <f>_xll.BDH("GILD US Equity","IS_NET_INTEREST_EXPENSE","FQ2 2023","FQ2 2023","Currency=USD","Period=FQ","BEST_FPERIOD_OVERRIDE=FQ","FILING_STATUS=MR","SCALING_FORMAT=MLN","FA_ADJUSTED=Adjusted","Sort=A","Dates=H","DateFormat=P","Fill=—","Direction=H","UseDPDF=Y")</f>
        <v>230</v>
      </c>
      <c r="T19" s="13">
        <f>_xll.BDH("GILD US Equity","IS_NET_INTEREST_EXPENSE","FQ3 2023","FQ3 2023","Currency=USD","Period=FQ","BEST_FPERIOD_OVERRIDE=FQ","FILING_STATUS=MR","SCALING_FORMAT=MLN","FA_ADJUSTED=Adjusted","Sort=A","Dates=H","DateFormat=P","Fill=—","Direction=H","UseDPDF=Y")</f>
        <v>232</v>
      </c>
      <c r="U19" s="13">
        <f>_xll.BDH("GILD US Equity","IS_NET_INTEREST_EXPENSE","FQ4 2023","FQ4 2023","Currency=USD","Period=FQ","BEST_FPERIOD_OVERRIDE=FQ","FILING_STATUS=MR","SCALING_FORMAT=MLN","FA_ADJUSTED=Adjusted","Sort=A","Dates=H","DateFormat=P","Fill=—","Direction=H","UseDPDF=Y")</f>
        <v>252</v>
      </c>
      <c r="V19" s="13">
        <f>_xll.BDH("GILD US Equity","IS_NET_INTEREST_EXPENSE","FQ1 2024","FQ1 2024","Currency=USD","Period=FQ","BEST_FPERIOD_OVERRIDE=FQ","FILING_STATUS=MR","SCALING_FORMAT=MLN","FA_ADJUSTED=Adjusted","Sort=A","Dates=H","DateFormat=P","Fill=—","Direction=H","UseDPDF=Y")</f>
        <v>254</v>
      </c>
      <c r="W19" s="13">
        <f>_xll.BDH("GILD US Equity","IS_NET_INTEREST_EXPENSE","FQ2 2024","FQ2 2024","Currency=USD","Period=FQ","BEST_FPERIOD_OVERRIDE=FQ","FILING_STATUS=MR","SCALING_FORMAT=MLN","FA_ADJUSTED=Adjusted","Sort=A","Dates=H","DateFormat=P","Fill=—","Direction=H","UseDPDF=Y")</f>
        <v>236</v>
      </c>
      <c r="X19" s="13">
        <f>_xll.BDH("GILD US Equity","IS_NET_INTEREST_EXPENSE","FQ3 2024","FQ3 2024","Currency=USD","Period=FQ","BEST_FPERIOD_OVERRIDE=FQ","FILING_STATUS=MR","SCALING_FORMAT=MLN","FA_ADJUSTED=Adjusted","Sort=A","Dates=H","DateFormat=P","Fill=—","Direction=H","UseDPDF=Y")</f>
        <v>186</v>
      </c>
      <c r="Y19" s="13">
        <f>_xll.BDH("GILD US Equity","IS_NET_INTEREST_EXPENSE","FQ4 2024","FQ4 2024","Currency=USD","Period=FQ","BEST_FPERIOD_OVERRIDE=FQ","FILING_STATUS=MR","SCALING_FORMAT=MLN","FA_ADJUSTED=Adjusted","Sort=A","Dates=H","DateFormat=P","Fill=—","Direction=H","UseDPDF=Y")</f>
        <v>248</v>
      </c>
      <c r="Z19" s="13"/>
      <c r="AA19" s="13"/>
    </row>
    <row r="20" spans="1:27" x14ac:dyDescent="0.25">
      <c r="A20" s="11" t="s">
        <v>336</v>
      </c>
      <c r="B20" s="11" t="s">
        <v>337</v>
      </c>
      <c r="C20" s="25">
        <f>_xll.BDH("GILD US Equity","IS_INT_EXPENSE","FQ2 2019","FQ2 2019","Currency=USD","Period=FQ","BEST_FPERIOD_OVERRIDE=FQ","FILING_STATUS=MR","SCALING_FORMAT=MLN","FA_ADJUSTED=Adjusted","Sort=A","Dates=H","DateFormat=P","Fill=—","Direction=H","UseDPDF=Y")</f>
        <v>248</v>
      </c>
      <c r="D20" s="25">
        <f>_xll.BDH("GILD US Equity","IS_INT_EXPENSE","FQ3 2019","FQ3 2019","Currency=USD","Period=FQ","BEST_FPERIOD_OVERRIDE=FQ","FILING_STATUS=MR","SCALING_FORMAT=MLN","FA_ADJUSTED=Adjusted","Sort=A","Dates=H","DateFormat=P","Fill=—","Direction=H","UseDPDF=Y")</f>
        <v>250</v>
      </c>
      <c r="E20" s="25">
        <f>_xll.BDH("GILD US Equity","IS_INT_EXPENSE","FQ4 2019","FQ4 2019","Currency=USD","Period=FQ","BEST_FPERIOD_OVERRIDE=FQ","FILING_STATUS=MR","SCALING_FORMAT=MLN","FA_ADJUSTED=Adjusted","Sort=A","Dates=H","DateFormat=P","Fill=—","Direction=H","UseDPDF=Y")</f>
        <v>243</v>
      </c>
      <c r="F20" s="25">
        <f>_xll.BDH("GILD US Equity","IS_INT_EXPENSE","FQ1 2020","FQ1 2020","Currency=USD","Period=FQ","BEST_FPERIOD_OVERRIDE=FQ","FILING_STATUS=MR","SCALING_FORMAT=MLN","FA_ADJUSTED=Adjusted","Sort=A","Dates=H","DateFormat=P","Fill=—","Direction=H","UseDPDF=Y")</f>
        <v>241</v>
      </c>
      <c r="G20" s="25">
        <f>_xll.BDH("GILD US Equity","IS_INT_EXPENSE","FQ2 2020","FQ2 2020","Currency=USD","Period=FQ","BEST_FPERIOD_OVERRIDE=FQ","FILING_STATUS=MR","SCALING_FORMAT=MLN","FA_ADJUSTED=Adjusted","Sort=A","Dates=H","DateFormat=P","Fill=—","Direction=H","UseDPDF=Y")</f>
        <v>240</v>
      </c>
      <c r="H20" s="25">
        <f>_xll.BDH("GILD US Equity","IS_INT_EXPENSE","FQ3 2020","FQ3 2020","Currency=USD","Period=FQ","BEST_FPERIOD_OVERRIDE=FQ","FILING_STATUS=MR","SCALING_FORMAT=MLN","FA_ADJUSTED=Adjusted","Sort=A","Dates=H","DateFormat=P","Fill=—","Direction=H","UseDPDF=Y")</f>
        <v>236</v>
      </c>
      <c r="I20" s="25">
        <f>_xll.BDH("GILD US Equity","IS_INT_EXPENSE","FQ4 2020","FQ4 2020","Currency=USD","Period=FQ","BEST_FPERIOD_OVERRIDE=FQ","FILING_STATUS=MR","SCALING_FORMAT=MLN","FA_ADJUSTED=Adjusted","Sort=A","Dates=H","DateFormat=P","Fill=—","Direction=H","UseDPDF=Y")</f>
        <v>267</v>
      </c>
      <c r="J20" s="25">
        <f>_xll.BDH("GILD US Equity","IS_INT_EXPENSE","FQ1 2021","FQ1 2021","Currency=USD","Period=FQ","BEST_FPERIOD_OVERRIDE=FQ","FILING_STATUS=MR","SCALING_FORMAT=MLN","FA_ADJUSTED=Adjusted","Sort=A","Dates=H","DateFormat=P","Fill=—","Direction=H","UseDPDF=Y")</f>
        <v>257</v>
      </c>
      <c r="K20" s="25">
        <f>_xll.BDH("GILD US Equity","IS_INT_EXPENSE","FQ2 2021","FQ2 2021","Currency=USD","Period=FQ","BEST_FPERIOD_OVERRIDE=FQ","FILING_STATUS=MR","SCALING_FORMAT=MLN","FA_ADJUSTED=Adjusted","Sort=A","Dates=H","DateFormat=P","Fill=—","Direction=H","UseDPDF=Y")</f>
        <v>256</v>
      </c>
      <c r="L20" s="25">
        <f>_xll.BDH("GILD US Equity","IS_INT_EXPENSE","FQ3 2021","FQ3 2021","Currency=USD","Period=FQ","BEST_FPERIOD_OVERRIDE=FQ","FILING_STATUS=MR","SCALING_FORMAT=MLN","FA_ADJUSTED=Adjusted","Sort=A","Dates=H","DateFormat=P","Fill=—","Direction=H","UseDPDF=Y")</f>
        <v>250</v>
      </c>
      <c r="M20" s="25">
        <f>_xll.BDH("GILD US Equity","IS_INT_EXPENSE","FQ4 2021","FQ4 2021","Currency=USD","Period=FQ","BEST_FPERIOD_OVERRIDE=FQ","FILING_STATUS=MR","SCALING_FORMAT=MLN","FA_ADJUSTED=Adjusted","Sort=A","Dates=H","DateFormat=P","Fill=—","Direction=H","UseDPDF=Y")</f>
        <v>238</v>
      </c>
      <c r="N20" s="25">
        <f>_xll.BDH("GILD US Equity","IS_INT_EXPENSE","FQ1 2022","FQ1 2022","Currency=USD","Period=FQ","BEST_FPERIOD_OVERRIDE=FQ","FILING_STATUS=MR","SCALING_FORMAT=MLN","FA_ADJUSTED=Adjusted","Sort=A","Dates=H","DateFormat=P","Fill=—","Direction=H","UseDPDF=Y")</f>
        <v>238</v>
      </c>
      <c r="O20" s="25">
        <f>_xll.BDH("GILD US Equity","IS_INT_EXPENSE","FQ2 2022","FQ2 2022","Currency=USD","Period=FQ","BEST_FPERIOD_OVERRIDE=FQ","FILING_STATUS=MR","SCALING_FORMAT=MLN","FA_ADJUSTED=Adjusted","Sort=A","Dates=H","DateFormat=P","Fill=—","Direction=H","UseDPDF=Y")</f>
        <v>242</v>
      </c>
      <c r="P20" s="25">
        <f>_xll.BDH("GILD US Equity","IS_INT_EXPENSE","FQ3 2022","FQ3 2022","Currency=USD","Period=FQ","BEST_FPERIOD_OVERRIDE=FQ","FILING_STATUS=MR","SCALING_FORMAT=MLN","FA_ADJUSTED=Adjusted","Sort=A","Dates=H","DateFormat=P","Fill=—","Direction=H","UseDPDF=Y")</f>
        <v>229</v>
      </c>
      <c r="Q20" s="25">
        <f>_xll.BDH("GILD US Equity","IS_INT_EXPENSE","FQ4 2022","FQ4 2022","Currency=USD","Period=FQ","BEST_FPERIOD_OVERRIDE=FQ","FILING_STATUS=MR","SCALING_FORMAT=MLN","FA_ADJUSTED=Adjusted","Sort=A","Dates=H","DateFormat=P","Fill=—","Direction=H","UseDPDF=Y")</f>
        <v>227</v>
      </c>
      <c r="R20" s="25">
        <f>_xll.BDH("GILD US Equity","IS_INT_EXPENSE","FQ1 2023","FQ1 2023","Currency=USD","Period=FQ","BEST_FPERIOD_OVERRIDE=FQ","FILING_STATUS=MR","SCALING_FORMAT=MLN","FA_ADJUSTED=Adjusted","Sort=A","Dates=H","DateFormat=P","Fill=—","Direction=H","UseDPDF=Y")</f>
        <v>230</v>
      </c>
      <c r="S20" s="25">
        <f>_xll.BDH("GILD US Equity","IS_INT_EXPENSE","FQ2 2023","FQ2 2023","Currency=USD","Period=FQ","BEST_FPERIOD_OVERRIDE=FQ","FILING_STATUS=MR","SCALING_FORMAT=MLN","FA_ADJUSTED=Adjusted","Sort=A","Dates=H","DateFormat=P","Fill=—","Direction=H","UseDPDF=Y")</f>
        <v>230</v>
      </c>
      <c r="T20" s="25">
        <f>_xll.BDH("GILD US Equity","IS_INT_EXPENSE","FQ3 2023","FQ3 2023","Currency=USD","Period=FQ","BEST_FPERIOD_OVERRIDE=FQ","FILING_STATUS=MR","SCALING_FORMAT=MLN","FA_ADJUSTED=Adjusted","Sort=A","Dates=H","DateFormat=P","Fill=—","Direction=H","UseDPDF=Y")</f>
        <v>232</v>
      </c>
      <c r="U20" s="25">
        <f>_xll.BDH("GILD US Equity","IS_INT_EXPENSE","FQ4 2023","FQ4 2023","Currency=USD","Period=FQ","BEST_FPERIOD_OVERRIDE=FQ","FILING_STATUS=MR","SCALING_FORMAT=MLN","FA_ADJUSTED=Adjusted","Sort=A","Dates=H","DateFormat=P","Fill=—","Direction=H","UseDPDF=Y")</f>
        <v>252</v>
      </c>
      <c r="V20" s="25">
        <f>_xll.BDH("GILD US Equity","IS_INT_EXPENSE","FQ1 2024","FQ1 2024","Currency=USD","Period=FQ","BEST_FPERIOD_OVERRIDE=FQ","FILING_STATUS=MR","SCALING_FORMAT=MLN","FA_ADJUSTED=Adjusted","Sort=A","Dates=H","DateFormat=P","Fill=—","Direction=H","UseDPDF=Y")</f>
        <v>254</v>
      </c>
      <c r="W20" s="25">
        <f>_xll.BDH("GILD US Equity","IS_INT_EXPENSE","FQ2 2024","FQ2 2024","Currency=USD","Period=FQ","BEST_FPERIOD_OVERRIDE=FQ","FILING_STATUS=MR","SCALING_FORMAT=MLN","FA_ADJUSTED=Adjusted","Sort=A","Dates=H","DateFormat=P","Fill=—","Direction=H","UseDPDF=Y")</f>
        <v>236</v>
      </c>
      <c r="X20" s="25">
        <f>_xll.BDH("GILD US Equity","IS_INT_EXPENSE","FQ3 2024","FQ3 2024","Currency=USD","Period=FQ","BEST_FPERIOD_OVERRIDE=FQ","FILING_STATUS=MR","SCALING_FORMAT=MLN","FA_ADJUSTED=Adjusted","Sort=A","Dates=H","DateFormat=P","Fill=—","Direction=H","UseDPDF=Y")</f>
        <v>238</v>
      </c>
      <c r="Y20" s="25">
        <f>_xll.BDH("GILD US Equity","IS_INT_EXPENSE","FQ4 2024","FQ4 2024","Currency=USD","Period=FQ","BEST_FPERIOD_OVERRIDE=FQ","FILING_STATUS=MR","SCALING_FORMAT=MLN","FA_ADJUSTED=Adjusted","Sort=A","Dates=H","DateFormat=P","Fill=—","Direction=H","UseDPDF=Y")</f>
        <v>248</v>
      </c>
      <c r="Z20" s="25"/>
      <c r="AA20" s="25"/>
    </row>
    <row r="21" spans="1:27" x14ac:dyDescent="0.25">
      <c r="A21" s="11" t="s">
        <v>338</v>
      </c>
      <c r="B21" s="11" t="s">
        <v>339</v>
      </c>
      <c r="C21" s="25">
        <f>_xll.BDH("GILD US Equity","IS_INT_INC","FQ2 2019","FQ2 2019","Currency=USD","Period=FQ","BEST_FPERIOD_OVERRIDE=FQ","FILING_STATUS=MR","SCALING_FORMAT=MLN","FA_ADJUSTED=Adjusted","Sort=A","Dates=H","DateFormat=P","Fill=—","Direction=H","UseDPDF=Y")</f>
        <v>0</v>
      </c>
      <c r="D21" s="25">
        <f>_xll.BDH("GILD US Equity","IS_INT_INC","FQ3 2019","FQ3 2019","Currency=USD","Period=FQ","BEST_FPERIOD_OVERRIDE=FQ","FILING_STATUS=MR","SCALING_FORMAT=MLN","FA_ADJUSTED=Adjusted","Sort=A","Dates=H","DateFormat=P","Fill=—","Direction=H","UseDPDF=Y")</f>
        <v>0</v>
      </c>
      <c r="E21" s="25">
        <f>_xll.BDH("GILD US Equity","IS_INT_INC","FQ4 2019","FQ4 2019","Currency=USD","Period=FQ","BEST_FPERIOD_OVERRIDE=FQ","FILING_STATUS=MR","SCALING_FORMAT=MLN","FA_ADJUSTED=Adjusted","Sort=A","Dates=H","DateFormat=P","Fill=—","Direction=H","UseDPDF=Y")</f>
        <v>0</v>
      </c>
      <c r="F21" s="25">
        <f>_xll.BDH("GILD US Equity","IS_INT_INC","FQ1 2020","FQ1 2020","Currency=USD","Period=FQ","BEST_FPERIOD_OVERRIDE=FQ","FILING_STATUS=MR","SCALING_FORMAT=MLN","FA_ADJUSTED=Adjusted","Sort=A","Dates=H","DateFormat=P","Fill=—","Direction=H","UseDPDF=Y")</f>
        <v>0</v>
      </c>
      <c r="G21" s="25">
        <f>_xll.BDH("GILD US Equity","IS_INT_INC","FQ2 2020","FQ2 2020","Currency=USD","Period=FQ","BEST_FPERIOD_OVERRIDE=FQ","FILING_STATUS=MR","SCALING_FORMAT=MLN","FA_ADJUSTED=Adjusted","Sort=A","Dates=H","DateFormat=P","Fill=—","Direction=H","UseDPDF=Y")</f>
        <v>0</v>
      </c>
      <c r="H21" s="25">
        <f>_xll.BDH("GILD US Equity","IS_INT_INC","FQ3 2020","FQ3 2020","Currency=USD","Period=FQ","BEST_FPERIOD_OVERRIDE=FQ","FILING_STATUS=MR","SCALING_FORMAT=MLN","FA_ADJUSTED=Adjusted","Sort=A","Dates=H","DateFormat=P","Fill=—","Direction=H","UseDPDF=Y")</f>
        <v>0</v>
      </c>
      <c r="I21" s="25">
        <f>_xll.BDH("GILD US Equity","IS_INT_INC","FQ4 2020","FQ4 2020","Currency=USD","Period=FQ","BEST_FPERIOD_OVERRIDE=FQ","FILING_STATUS=MR","SCALING_FORMAT=MLN","FA_ADJUSTED=Adjusted","Sort=A","Dates=H","DateFormat=P","Fill=—","Direction=H","UseDPDF=Y")</f>
        <v>0</v>
      </c>
      <c r="J21" s="25">
        <f>_xll.BDH("GILD US Equity","IS_INT_INC","FQ1 2021","FQ1 2021","Currency=USD","Period=FQ","BEST_FPERIOD_OVERRIDE=FQ","FILING_STATUS=MR","SCALING_FORMAT=MLN","FA_ADJUSTED=Adjusted","Sort=A","Dates=H","DateFormat=P","Fill=—","Direction=H","UseDPDF=Y")</f>
        <v>0</v>
      </c>
      <c r="K21" s="25">
        <f>_xll.BDH("GILD US Equity","IS_INT_INC","FQ2 2021","FQ2 2021","Currency=USD","Period=FQ","BEST_FPERIOD_OVERRIDE=FQ","FILING_STATUS=MR","SCALING_FORMAT=MLN","FA_ADJUSTED=Adjusted","Sort=A","Dates=H","DateFormat=P","Fill=—","Direction=H","UseDPDF=Y")</f>
        <v>0</v>
      </c>
      <c r="L21" s="25">
        <f>_xll.BDH("GILD US Equity","IS_INT_INC","FQ3 2021","FQ3 2021","Currency=USD","Period=FQ","BEST_FPERIOD_OVERRIDE=FQ","FILING_STATUS=MR","SCALING_FORMAT=MLN","FA_ADJUSTED=Adjusted","Sort=A","Dates=H","DateFormat=P","Fill=—","Direction=H","UseDPDF=Y")</f>
        <v>0</v>
      </c>
      <c r="M21" s="25">
        <f>_xll.BDH("GILD US Equity","IS_INT_INC","FQ4 2021","FQ4 2021","Currency=USD","Period=FQ","BEST_FPERIOD_OVERRIDE=FQ","FILING_STATUS=MR","SCALING_FORMAT=MLN","FA_ADJUSTED=Adjusted","Sort=A","Dates=H","DateFormat=P","Fill=—","Direction=H","UseDPDF=Y")</f>
        <v>0</v>
      </c>
      <c r="N21" s="25">
        <f>_xll.BDH("GILD US Equity","IS_INT_INC","FQ1 2022","FQ1 2022","Currency=USD","Period=FQ","BEST_FPERIOD_OVERRIDE=FQ","FILING_STATUS=MR","SCALING_FORMAT=MLN","FA_ADJUSTED=Adjusted","Sort=A","Dates=H","DateFormat=P","Fill=—","Direction=H","UseDPDF=Y")</f>
        <v>0</v>
      </c>
      <c r="O21" s="25">
        <f>_xll.BDH("GILD US Equity","IS_INT_INC","FQ2 2022","FQ2 2022","Currency=USD","Period=FQ","BEST_FPERIOD_OVERRIDE=FQ","FILING_STATUS=MR","SCALING_FORMAT=MLN","FA_ADJUSTED=Adjusted","Sort=A","Dates=H","DateFormat=P","Fill=—","Direction=H","UseDPDF=Y")</f>
        <v>0</v>
      </c>
      <c r="P21" s="25">
        <f>_xll.BDH("GILD US Equity","IS_INT_INC","FQ3 2022","FQ3 2022","Currency=USD","Period=FQ","BEST_FPERIOD_OVERRIDE=FQ","FILING_STATUS=MR","SCALING_FORMAT=MLN","FA_ADJUSTED=Adjusted","Sort=A","Dates=H","DateFormat=P","Fill=—","Direction=H","UseDPDF=Y")</f>
        <v>0</v>
      </c>
      <c r="Q21" s="25">
        <f>_xll.BDH("GILD US Equity","IS_INT_INC","FQ4 2022","FQ4 2022","Currency=USD","Period=FQ","BEST_FPERIOD_OVERRIDE=FQ","FILING_STATUS=MR","SCALING_FORMAT=MLN","FA_ADJUSTED=Adjusted","Sort=A","Dates=H","DateFormat=P","Fill=—","Direction=H","UseDPDF=Y")</f>
        <v>0</v>
      </c>
      <c r="R21" s="25">
        <f>_xll.BDH("GILD US Equity","IS_INT_INC","FQ1 2023","FQ1 2023","Currency=USD","Period=FQ","BEST_FPERIOD_OVERRIDE=FQ","FILING_STATUS=MR","SCALING_FORMAT=MLN","FA_ADJUSTED=Adjusted","Sort=A","Dates=H","DateFormat=P","Fill=—","Direction=H","UseDPDF=Y")</f>
        <v>0</v>
      </c>
      <c r="S21" s="25">
        <f>_xll.BDH("GILD US Equity","IS_INT_INC","FQ2 2023","FQ2 2023","Currency=USD","Period=FQ","BEST_FPERIOD_OVERRIDE=FQ","FILING_STATUS=MR","SCALING_FORMAT=MLN","FA_ADJUSTED=Adjusted","Sort=A","Dates=H","DateFormat=P","Fill=—","Direction=H","UseDPDF=Y")</f>
        <v>0</v>
      </c>
      <c r="T21" s="25">
        <f>_xll.BDH("GILD US Equity","IS_INT_INC","FQ3 2023","FQ3 2023","Currency=USD","Period=FQ","BEST_FPERIOD_OVERRIDE=FQ","FILING_STATUS=MR","SCALING_FORMAT=MLN","FA_ADJUSTED=Adjusted","Sort=A","Dates=H","DateFormat=P","Fill=—","Direction=H","UseDPDF=Y")</f>
        <v>0</v>
      </c>
      <c r="U21" s="25">
        <f>_xll.BDH("GILD US Equity","IS_INT_INC","FQ4 2023","FQ4 2023","Currency=USD","Period=FQ","BEST_FPERIOD_OVERRIDE=FQ","FILING_STATUS=MR","SCALING_FORMAT=MLN","FA_ADJUSTED=Adjusted","Sort=A","Dates=H","DateFormat=P","Fill=—","Direction=H","UseDPDF=Y")</f>
        <v>0</v>
      </c>
      <c r="V21" s="25">
        <f>_xll.BDH("GILD US Equity","IS_INT_INC","FQ1 2024","FQ1 2024","Currency=USD","Period=FQ","BEST_FPERIOD_OVERRIDE=FQ","FILING_STATUS=MR","SCALING_FORMAT=MLN","FA_ADJUSTED=Adjusted","Sort=A","Dates=H","DateFormat=P","Fill=—","Direction=H","UseDPDF=Y")</f>
        <v>0</v>
      </c>
      <c r="W21" s="25">
        <f>_xll.BDH("GILD US Equity","IS_INT_INC","FQ2 2024","FQ2 2024","Currency=USD","Period=FQ","BEST_FPERIOD_OVERRIDE=FQ","FILING_STATUS=MR","SCALING_FORMAT=MLN","FA_ADJUSTED=Adjusted","Sort=A","Dates=H","DateFormat=P","Fill=—","Direction=H","UseDPDF=Y")</f>
        <v>0</v>
      </c>
      <c r="X21" s="25">
        <f>_xll.BDH("GILD US Equity","IS_INT_INC","FQ3 2024","FQ3 2024","Currency=USD","Period=FQ","BEST_FPERIOD_OVERRIDE=FQ","FILING_STATUS=MR","SCALING_FORMAT=MLN","FA_ADJUSTED=Adjusted","Sort=A","Dates=H","DateFormat=P","Fill=—","Direction=H","UseDPDF=Y")</f>
        <v>52</v>
      </c>
      <c r="Y21" s="25">
        <f>_xll.BDH("GILD US Equity","IS_INT_INC","FQ4 2024","FQ4 2024","Currency=USD","Period=FQ","BEST_FPERIOD_OVERRIDE=FQ","FILING_STATUS=MR","SCALING_FORMAT=MLN","FA_ADJUSTED=Adjusted","Sort=A","Dates=H","DateFormat=P","Fill=—","Direction=H","UseDPDF=Y")</f>
        <v>0</v>
      </c>
      <c r="Z21" s="25"/>
      <c r="AA21" s="25"/>
    </row>
    <row r="22" spans="1:27" x14ac:dyDescent="0.25">
      <c r="A22" s="10" t="s">
        <v>340</v>
      </c>
      <c r="B22" s="10" t="s">
        <v>341</v>
      </c>
      <c r="C22" s="13">
        <f>_xll.BDH("GILD US Equity","IS_FOREIGN_EXCH_LOSS","FQ2 2019","FQ2 2019","Currency=USD","Period=FQ","BEST_FPERIOD_OVERRIDE=FQ","FILING_STATUS=MR","SCALING_FORMAT=MLN","FA_ADJUSTED=Adjusted","Sort=A","Dates=H","DateFormat=P","Fill=—","Direction=H","UseDPDF=Y")</f>
        <v>0</v>
      </c>
      <c r="D22" s="13">
        <f>_xll.BDH("GILD US Equity","IS_FOREIGN_EXCH_LOSS","FQ3 2019","FQ3 2019","Currency=USD","Period=FQ","BEST_FPERIOD_OVERRIDE=FQ","FILING_STATUS=MR","SCALING_FORMAT=MLN","FA_ADJUSTED=Adjusted","Sort=A","Dates=H","DateFormat=P","Fill=—","Direction=H","UseDPDF=Y")</f>
        <v>0</v>
      </c>
      <c r="E22" s="13">
        <f>_xll.BDH("GILD US Equity","IS_FOREIGN_EXCH_LOSS","FQ4 2019","FQ4 2019","Currency=USD","Period=FQ","BEST_FPERIOD_OVERRIDE=FQ","FILING_STATUS=MR","SCALING_FORMAT=MLN","FA_ADJUSTED=Adjusted","Sort=A","Dates=H","DateFormat=P","Fill=—","Direction=H","UseDPDF=Y")</f>
        <v>0</v>
      </c>
      <c r="F22" s="13">
        <f>_xll.BDH("GILD US Equity","IS_FOREIGN_EXCH_LOSS","FQ1 2020","FQ1 2020","Currency=USD","Period=FQ","BEST_FPERIOD_OVERRIDE=FQ","FILING_STATUS=MR","SCALING_FORMAT=MLN","FA_ADJUSTED=Adjusted","Sort=A","Dates=H","DateFormat=P","Fill=—","Direction=H","UseDPDF=Y")</f>
        <v>0</v>
      </c>
      <c r="G22" s="13">
        <f>_xll.BDH("GILD US Equity","IS_FOREIGN_EXCH_LOSS","FQ2 2020","FQ2 2020","Currency=USD","Period=FQ","BEST_FPERIOD_OVERRIDE=FQ","FILING_STATUS=MR","SCALING_FORMAT=MLN","FA_ADJUSTED=Adjusted","Sort=A","Dates=H","DateFormat=P","Fill=—","Direction=H","UseDPDF=Y")</f>
        <v>0</v>
      </c>
      <c r="H22" s="13">
        <f>_xll.BDH("GILD US Equity","IS_FOREIGN_EXCH_LOSS","FQ3 2020","FQ3 2020","Currency=USD","Period=FQ","BEST_FPERIOD_OVERRIDE=FQ","FILING_STATUS=MR","SCALING_FORMAT=MLN","FA_ADJUSTED=Adjusted","Sort=A","Dates=H","DateFormat=P","Fill=—","Direction=H","UseDPDF=Y")</f>
        <v>0</v>
      </c>
      <c r="I22" s="13">
        <f>_xll.BDH("GILD US Equity","IS_FOREIGN_EXCH_LOSS","FQ4 2020","FQ4 2020","Currency=USD","Period=FQ","BEST_FPERIOD_OVERRIDE=FQ","FILING_STATUS=MR","SCALING_FORMAT=MLN","FA_ADJUSTED=Adjusted","Sort=A","Dates=H","DateFormat=P","Fill=—","Direction=H","UseDPDF=Y")</f>
        <v>0</v>
      </c>
      <c r="J22" s="13" t="str">
        <f>_xll.BDH("GILD US Equity","IS_FOREIGN_EXCH_LOSS","FQ1 2021","FQ1 2021","Currency=USD","Period=FQ","BEST_FPERIOD_OVERRIDE=FQ","FILING_STATUS=MR","SCALING_FORMAT=MLN","FA_ADJUSTED=Adjusted","Sort=A","Dates=H","DateFormat=P","Fill=—","Direction=H","UseDPDF=Y")</f>
        <v>—</v>
      </c>
      <c r="K22" s="13" t="str">
        <f>_xll.BDH("GILD US Equity","IS_FOREIGN_EXCH_LOSS","FQ2 2021","FQ2 2021","Currency=USD","Period=FQ","BEST_FPERIOD_OVERRIDE=FQ","FILING_STATUS=MR","SCALING_FORMAT=MLN","FA_ADJUSTED=Adjusted","Sort=A","Dates=H","DateFormat=P","Fill=—","Direction=H","UseDPDF=Y")</f>
        <v>—</v>
      </c>
      <c r="L22" s="13">
        <f>_xll.BDH("GILD US Equity","IS_FOREIGN_EXCH_LOSS","FQ3 2021","FQ3 2021","Currency=USD","Period=FQ","BEST_FPERIOD_OVERRIDE=FQ","FILING_STATUS=MR","SCALING_FORMAT=MLN","FA_ADJUSTED=Adjusted","Sort=A","Dates=H","DateFormat=P","Fill=—","Direction=H","UseDPDF=Y")</f>
        <v>0</v>
      </c>
      <c r="M22" s="13">
        <f>_xll.BDH("GILD US Equity","IS_FOREIGN_EXCH_LOSS","FQ4 2021","FQ4 2021","Currency=USD","Period=FQ","BEST_FPERIOD_OVERRIDE=FQ","FILING_STATUS=MR","SCALING_FORMAT=MLN","FA_ADJUSTED=Adjusted","Sort=A","Dates=H","DateFormat=P","Fill=—","Direction=H","UseDPDF=Y")</f>
        <v>0</v>
      </c>
      <c r="N22" s="13" t="str">
        <f>_xll.BDH("GILD US Equity","IS_FOREIGN_EXCH_LOSS","FQ1 2022","FQ1 2022","Currency=USD","Period=FQ","BEST_FPERIOD_OVERRIDE=FQ","FILING_STATUS=MR","SCALING_FORMAT=MLN","FA_ADJUSTED=Adjusted","Sort=A","Dates=H","DateFormat=P","Fill=—","Direction=H","UseDPDF=Y")</f>
        <v>—</v>
      </c>
      <c r="O22" s="13" t="str">
        <f>_xll.BDH("GILD US Equity","IS_FOREIGN_EXCH_LOSS","FQ2 2022","FQ2 2022","Currency=USD","Period=FQ","BEST_FPERIOD_OVERRIDE=FQ","FILING_STATUS=MR","SCALING_FORMAT=MLN","FA_ADJUSTED=Adjusted","Sort=A","Dates=H","DateFormat=P","Fill=—","Direction=H","UseDPDF=Y")</f>
        <v>—</v>
      </c>
      <c r="P22" s="13">
        <f>_xll.BDH("GILD US Equity","IS_FOREIGN_EXCH_LOSS","FQ3 2022","FQ3 2022","Currency=USD","Period=FQ","BEST_FPERIOD_OVERRIDE=FQ","FILING_STATUS=MR","SCALING_FORMAT=MLN","FA_ADJUSTED=Adjusted","Sort=A","Dates=H","DateFormat=P","Fill=—","Direction=H","UseDPDF=Y")</f>
        <v>0</v>
      </c>
      <c r="Q22" s="13" t="str">
        <f>_xll.BDH("GILD US Equity","IS_FOREIGN_EXCH_LOSS","FQ4 2022","FQ4 2022","Currency=USD","Period=FQ","BEST_FPERIOD_OVERRIDE=FQ","FILING_STATUS=MR","SCALING_FORMAT=MLN","FA_ADJUSTED=Adjusted","Sort=A","Dates=H","DateFormat=P","Fill=—","Direction=H","UseDPDF=Y")</f>
        <v>—</v>
      </c>
      <c r="R22" s="13" t="str">
        <f>_xll.BDH("GILD US Equity","IS_FOREIGN_EXCH_LOSS","FQ1 2023","FQ1 2023","Currency=USD","Period=FQ","BEST_FPERIOD_OVERRIDE=FQ","FILING_STATUS=MR","SCALING_FORMAT=MLN","FA_ADJUSTED=Adjusted","Sort=A","Dates=H","DateFormat=P","Fill=—","Direction=H","UseDPDF=Y")</f>
        <v>—</v>
      </c>
      <c r="S22" s="13" t="str">
        <f>_xll.BDH("GILD US Equity","IS_FOREIGN_EXCH_LOSS","FQ2 2023","FQ2 2023","Currency=USD","Period=FQ","BEST_FPERIOD_OVERRIDE=FQ","FILING_STATUS=MR","SCALING_FORMAT=MLN","FA_ADJUSTED=Adjusted","Sort=A","Dates=H","DateFormat=P","Fill=—","Direction=H","UseDPDF=Y")</f>
        <v>—</v>
      </c>
      <c r="T22" s="13" t="str">
        <f>_xll.BDH("GILD US Equity","IS_FOREIGN_EXCH_LOSS","FQ3 2023","FQ3 2023","Currency=USD","Period=FQ","BEST_FPERIOD_OVERRIDE=FQ","FILING_STATUS=MR","SCALING_FORMAT=MLN","FA_ADJUSTED=Adjusted","Sort=A","Dates=H","DateFormat=P","Fill=—","Direction=H","UseDPDF=Y")</f>
        <v>—</v>
      </c>
      <c r="U22" s="13" t="str">
        <f>_xll.BDH("GILD US Equity","IS_FOREIGN_EXCH_LOSS","FQ4 2023","FQ4 2023","Currency=USD","Period=FQ","BEST_FPERIOD_OVERRIDE=FQ","FILING_STATUS=MR","SCALING_FORMAT=MLN","FA_ADJUSTED=Adjusted","Sort=A","Dates=H","DateFormat=P","Fill=—","Direction=H","UseDPDF=Y")</f>
        <v>—</v>
      </c>
      <c r="V22" s="13" t="str">
        <f>_xll.BDH("GILD US Equity","IS_FOREIGN_EXCH_LOSS","FQ1 2024","FQ1 2024","Currency=USD","Period=FQ","BEST_FPERIOD_OVERRIDE=FQ","FILING_STATUS=MR","SCALING_FORMAT=MLN","FA_ADJUSTED=Adjusted","Sort=A","Dates=H","DateFormat=P","Fill=—","Direction=H","UseDPDF=Y")</f>
        <v>—</v>
      </c>
      <c r="W22" s="13" t="str">
        <f>_xll.BDH("GILD US Equity","IS_FOREIGN_EXCH_LOSS","FQ2 2024","FQ2 2024","Currency=USD","Period=FQ","BEST_FPERIOD_OVERRIDE=FQ","FILING_STATUS=MR","SCALING_FORMAT=MLN","FA_ADJUSTED=Adjusted","Sort=A","Dates=H","DateFormat=P","Fill=—","Direction=H","UseDPDF=Y")</f>
        <v>—</v>
      </c>
      <c r="X22" s="13" t="str">
        <f>_xll.BDH("GILD US Equity","IS_FOREIGN_EXCH_LOSS","FQ3 2024","FQ3 2024","Currency=USD","Period=FQ","BEST_FPERIOD_OVERRIDE=FQ","FILING_STATUS=MR","SCALING_FORMAT=MLN","FA_ADJUSTED=Adjusted","Sort=A","Dates=H","DateFormat=P","Fill=—","Direction=H","UseDPDF=Y")</f>
        <v>—</v>
      </c>
      <c r="Y22" s="13" t="str">
        <f>_xll.BDH("GILD US Equity","IS_FOREIGN_EXCH_LOSS","FQ4 2024","FQ4 2024","Currency=USD","Period=FQ","BEST_FPERIOD_OVERRIDE=FQ","FILING_STATUS=MR","SCALING_FORMAT=MLN","FA_ADJUSTED=Adjusted","Sort=A","Dates=H","DateFormat=P","Fill=—","Direction=H","UseDPDF=Y")</f>
        <v>—</v>
      </c>
      <c r="Z22" s="13"/>
      <c r="AA22" s="13"/>
    </row>
    <row r="23" spans="1:27" x14ac:dyDescent="0.25">
      <c r="A23" s="10" t="s">
        <v>342</v>
      </c>
      <c r="B23" s="10" t="s">
        <v>343</v>
      </c>
      <c r="C23" s="13">
        <f>_xll.BDH("GILD US Equity","IS_OTHER_NON_OPERATING_INC_LOSS","FQ2 2019","FQ2 2019","Currency=USD","Period=FQ","BEST_FPERIOD_OVERRIDE=FQ","FILING_STATUS=MR","SCALING_FORMAT=MLN","FA_ADJUSTED=Adjusted","Sort=A","Dates=H","DateFormat=P","Fill=—","Direction=H","UseDPDF=Y")</f>
        <v>-171</v>
      </c>
      <c r="D23" s="13">
        <f>_xll.BDH("GILD US Equity","IS_OTHER_NON_OPERATING_INC_LOSS","FQ3 2019","FQ3 2019","Currency=USD","Period=FQ","BEST_FPERIOD_OVERRIDE=FQ","FILING_STATUS=MR","SCALING_FORMAT=MLN","FA_ADJUSTED=Adjusted","Sort=A","Dates=H","DateFormat=P","Fill=—","Direction=H","UseDPDF=Y")</f>
        <v>-164</v>
      </c>
      <c r="E23" s="13">
        <f>_xll.BDH("GILD US Equity","IS_OTHER_NON_OPERATING_INC_LOSS","FQ4 2019","FQ4 2019","Currency=USD","Period=FQ","BEST_FPERIOD_OVERRIDE=FQ","FILING_STATUS=MR","SCALING_FORMAT=MLN","FA_ADJUSTED=Adjusted","Sort=A","Dates=H","DateFormat=P","Fill=—","Direction=H","UseDPDF=Y")</f>
        <v>-122</v>
      </c>
      <c r="F23" s="13">
        <f>_xll.BDH("GILD US Equity","IS_OTHER_NON_OPERATING_INC_LOSS","FQ1 2020","FQ1 2020","Currency=USD","Period=FQ","BEST_FPERIOD_OVERRIDE=FQ","FILING_STATUS=MR","SCALING_FORMAT=MLN","FA_ADJUSTED=Adjusted","Sort=A","Dates=H","DateFormat=P","Fill=—","Direction=H","UseDPDF=Y")</f>
        <v>-125</v>
      </c>
      <c r="G23" s="13">
        <f>_xll.BDH("GILD US Equity","IS_OTHER_NON_OPERATING_INC_LOSS","FQ2 2020","FQ2 2020","Currency=USD","Period=FQ","BEST_FPERIOD_OVERRIDE=FQ","FILING_STATUS=MR","SCALING_FORMAT=MLN","FA_ADJUSTED=Adjusted","Sort=A","Dates=H","DateFormat=P","Fill=—","Direction=H","UseDPDF=Y")</f>
        <v>-49</v>
      </c>
      <c r="H23" s="13">
        <f>_xll.BDH("GILD US Equity","IS_OTHER_NON_OPERATING_INC_LOSS","FQ3 2020","FQ3 2020","Currency=USD","Period=FQ","BEST_FPERIOD_OVERRIDE=FQ","FILING_STATUS=MR","SCALING_FORMAT=MLN","FA_ADJUSTED=Adjusted","Sort=A","Dates=H","DateFormat=P","Fill=—","Direction=H","UseDPDF=Y")</f>
        <v>-29</v>
      </c>
      <c r="I23" s="13">
        <f>_xll.BDH("GILD US Equity","IS_OTHER_NON_OPERATING_INC_LOSS","FQ4 2020","FQ4 2020","Currency=USD","Period=FQ","BEST_FPERIOD_OVERRIDE=FQ","FILING_STATUS=MR","SCALING_FORMAT=MLN","FA_ADJUSTED=Adjusted","Sort=A","Dates=H","DateFormat=P","Fill=—","Direction=H","UseDPDF=Y")</f>
        <v>-46</v>
      </c>
      <c r="J23" s="13">
        <f>_xll.BDH("GILD US Equity","IS_OTHER_NON_OPERATING_INC_LOSS","FQ1 2021","FQ1 2021","Currency=USD","Period=FQ","BEST_FPERIOD_OVERRIDE=FQ","FILING_STATUS=MR","SCALING_FORMAT=MLN","FA_ADJUSTED=Adjusted","Sort=A","Dates=H","DateFormat=P","Fill=—","Direction=H","UseDPDF=Y")</f>
        <v>18</v>
      </c>
      <c r="K23" s="13">
        <f>_xll.BDH("GILD US Equity","IS_OTHER_NON_OPERATING_INC_LOSS","FQ2 2021","FQ2 2021","Currency=USD","Period=FQ","BEST_FPERIOD_OVERRIDE=FQ","FILING_STATUS=MR","SCALING_FORMAT=MLN","FA_ADJUSTED=Adjusted","Sort=A","Dates=H","DateFormat=P","Fill=—","Direction=H","UseDPDF=Y")</f>
        <v>-1</v>
      </c>
      <c r="L23" s="13">
        <f>_xll.BDH("GILD US Equity","IS_OTHER_NON_OPERATING_INC_LOSS","FQ3 2021","FQ3 2021","Currency=USD","Period=FQ","BEST_FPERIOD_OVERRIDE=FQ","FILING_STATUS=MR","SCALING_FORMAT=MLN","FA_ADJUSTED=Adjusted","Sort=A","Dates=H","DateFormat=P","Fill=—","Direction=H","UseDPDF=Y")</f>
        <v>12</v>
      </c>
      <c r="M23" s="13">
        <f>_xll.BDH("GILD US Equity","IS_OTHER_NON_OPERATING_INC_LOSS","FQ4 2021","FQ4 2021","Currency=USD","Period=FQ","BEST_FPERIOD_OVERRIDE=FQ","FILING_STATUS=MR","SCALING_FORMAT=MLN","FA_ADJUSTED=Adjusted","Sort=A","Dates=H","DateFormat=P","Fill=—","Direction=H","UseDPDF=Y")</f>
        <v>-1</v>
      </c>
      <c r="N23" s="13">
        <f>_xll.BDH("GILD US Equity","IS_OTHER_NON_OPERATING_INC_LOSS","FQ1 2022","FQ1 2022","Currency=USD","Period=FQ","BEST_FPERIOD_OVERRIDE=FQ","FILING_STATUS=MR","SCALING_FORMAT=MLN","FA_ADJUSTED=Adjusted","Sort=A","Dates=H","DateFormat=P","Fill=—","Direction=H","UseDPDF=Y")</f>
        <v>111</v>
      </c>
      <c r="O23" s="13">
        <f>_xll.BDH("GILD US Equity","IS_OTHER_NON_OPERATING_INC_LOSS","FQ2 2022","FQ2 2022","Currency=USD","Period=FQ","BEST_FPERIOD_OVERRIDE=FQ","FILING_STATUS=MR","SCALING_FORMAT=MLN","FA_ADJUSTED=Adjusted","Sort=A","Dates=H","DateFormat=P","Fill=—","Direction=H","UseDPDF=Y")</f>
        <v>-19</v>
      </c>
      <c r="P23" s="13">
        <f>_xll.BDH("GILD US Equity","IS_OTHER_NON_OPERATING_INC_LOSS","FQ3 2022","FQ3 2022","Currency=USD","Period=FQ","BEST_FPERIOD_OVERRIDE=FQ","FILING_STATUS=MR","SCALING_FORMAT=MLN","FA_ADJUSTED=Adjusted","Sort=A","Dates=H","DateFormat=P","Fill=—","Direction=H","UseDPDF=Y")</f>
        <v>-22</v>
      </c>
      <c r="Q23" s="13">
        <f>_xll.BDH("GILD US Equity","IS_OTHER_NON_OPERATING_INC_LOSS","FQ4 2022","FQ4 2022","Currency=USD","Period=FQ","BEST_FPERIOD_OVERRIDE=FQ","FILING_STATUS=MR","SCALING_FORMAT=MLN","FA_ADJUSTED=Adjusted","Sort=A","Dates=H","DateFormat=P","Fill=—","Direction=H","UseDPDF=Y")</f>
        <v>-52</v>
      </c>
      <c r="R23" s="13">
        <f>_xll.BDH("GILD US Equity","IS_OTHER_NON_OPERATING_INC_LOSS","FQ1 2023","FQ1 2023","Currency=USD","Period=FQ","BEST_FPERIOD_OVERRIDE=FQ","FILING_STATUS=MR","SCALING_FORMAT=MLN","FA_ADJUSTED=Adjusted","Sort=A","Dates=H","DateFormat=P","Fill=—","Direction=H","UseDPDF=Y")</f>
        <v>-82</v>
      </c>
      <c r="S23" s="13">
        <f>_xll.BDH("GILD US Equity","IS_OTHER_NON_OPERATING_INC_LOSS","FQ2 2023","FQ2 2023","Currency=USD","Period=FQ","BEST_FPERIOD_OVERRIDE=FQ","FILING_STATUS=MR","SCALING_FORMAT=MLN","FA_ADJUSTED=Adjusted","Sort=A","Dates=H","DateFormat=P","Fill=—","Direction=H","UseDPDF=Y")</f>
        <v>-83</v>
      </c>
      <c r="T23" s="13">
        <f>_xll.BDH("GILD US Equity","IS_OTHER_NON_OPERATING_INC_LOSS","FQ3 2023","FQ3 2023","Currency=USD","Period=FQ","BEST_FPERIOD_OVERRIDE=FQ","FILING_STATUS=MR","SCALING_FORMAT=MLN","FA_ADJUSTED=Adjusted","Sort=A","Dates=H","DateFormat=P","Fill=—","Direction=H","UseDPDF=Y")</f>
        <v>72</v>
      </c>
      <c r="U23" s="13">
        <f>_xll.BDH("GILD US Equity","IS_OTHER_NON_OPERATING_INC_LOSS","FQ4 2023","FQ4 2023","Currency=USD","Period=FQ","BEST_FPERIOD_OVERRIDE=FQ","FILING_STATUS=MR","SCALING_FORMAT=MLN","FA_ADJUSTED=Adjusted","Sort=A","Dates=H","DateFormat=P","Fill=—","Direction=H","UseDPDF=Y")</f>
        <v>-104</v>
      </c>
      <c r="V23" s="13">
        <f>_xll.BDH("GILD US Equity","IS_OTHER_NON_OPERATING_INC_LOSS","FQ1 2024","FQ1 2024","Currency=USD","Period=FQ","BEST_FPERIOD_OVERRIDE=FQ","FILING_STATUS=MR","SCALING_FORMAT=MLN","FA_ADJUSTED=Adjusted","Sort=A","Dates=H","DateFormat=P","Fill=—","Direction=H","UseDPDF=Y")</f>
        <v>-104</v>
      </c>
      <c r="W23" s="13">
        <f>_xll.BDH("GILD US Equity","IS_OTHER_NON_OPERATING_INC_LOSS","FQ2 2024","FQ2 2024","Currency=USD","Period=FQ","BEST_FPERIOD_OVERRIDE=FQ","FILING_STATUS=MR","SCALING_FORMAT=MLN","FA_ADJUSTED=Adjusted","Sort=A","Dates=H","DateFormat=P","Fill=—","Direction=H","UseDPDF=Y")</f>
        <v>-4</v>
      </c>
      <c r="X23" s="13">
        <f>_xll.BDH("GILD US Equity","IS_OTHER_NON_OPERATING_INC_LOSS","FQ3 2024","FQ3 2024","Currency=USD","Period=FQ","BEST_FPERIOD_OVERRIDE=FQ","FILING_STATUS=MR","SCALING_FORMAT=MLN","FA_ADJUSTED=Adjusted","Sort=A","Dates=H","DateFormat=P","Fill=—","Direction=H","UseDPDF=Y")</f>
        <v>4</v>
      </c>
      <c r="Y23" s="13">
        <f>_xll.BDH("GILD US Equity","IS_OTHER_NON_OPERATING_INC_LOSS","FQ4 2024","FQ4 2024","Currency=USD","Period=FQ","BEST_FPERIOD_OVERRIDE=FQ","FILING_STATUS=MR","SCALING_FORMAT=MLN","FA_ADJUSTED=Adjusted","Sort=A","Dates=H","DateFormat=P","Fill=—","Direction=H","UseDPDF=Y")</f>
        <v>-91</v>
      </c>
      <c r="Z23" s="13"/>
      <c r="AA23" s="13"/>
    </row>
    <row r="24" spans="1:27" x14ac:dyDescent="0.25">
      <c r="A24" s="6" t="s">
        <v>344</v>
      </c>
      <c r="B24" s="6" t="s">
        <v>158</v>
      </c>
      <c r="C24" s="19">
        <f>_xll.BDH("GILD US Equity","PRETAX_INC","FQ2 2019","FQ2 2019","Currency=USD","Period=FQ","BEST_FPERIOD_OVERRIDE=FQ","FILING_STATUS=MR","SCALING_FORMAT=MLN","FA_ADJUSTED=Adjusted","Sort=A","Dates=H","DateFormat=P","Fill=—","Direction=H","UseDPDF=Y")</f>
        <v>2517</v>
      </c>
      <c r="D24" s="19">
        <f>_xll.BDH("GILD US Equity","PRETAX_INC","FQ3 2019","FQ3 2019","Currency=USD","Period=FQ","BEST_FPERIOD_OVERRIDE=FQ","FILING_STATUS=MR","SCALING_FORMAT=MLN","FA_ADJUSTED=Adjusted","Sort=A","Dates=H","DateFormat=P","Fill=—","Direction=H","UseDPDF=Y")</f>
        <v>2410</v>
      </c>
      <c r="E24" s="19">
        <f>_xll.BDH("GILD US Equity","PRETAX_INC","FQ4 2019","FQ4 2019","Currency=USD","Period=FQ","BEST_FPERIOD_OVERRIDE=FQ","FILING_STATUS=MR","SCALING_FORMAT=MLN","FA_ADJUSTED=Adjusted","Sort=A","Dates=H","DateFormat=P","Fill=—","Direction=H","UseDPDF=Y")</f>
        <v>1768</v>
      </c>
      <c r="F24" s="19">
        <f>_xll.BDH("GILD US Equity","PRETAX_INC","FQ1 2020","FQ1 2020","Currency=USD","Period=FQ","BEST_FPERIOD_OVERRIDE=FQ","FILING_STATUS=MR","SCALING_FORMAT=MLN","FA_ADJUSTED=Adjusted","Sort=A","Dates=H","DateFormat=P","Fill=—","Direction=H","UseDPDF=Y")</f>
        <v>2649</v>
      </c>
      <c r="G24" s="19">
        <f>_xll.BDH("GILD US Equity","PRETAX_INC","FQ2 2020","FQ2 2020","Currency=USD","Period=FQ","BEST_FPERIOD_OVERRIDE=FQ","FILING_STATUS=MR","SCALING_FORMAT=MLN","FA_ADJUSTED=Adjusted","Sort=A","Dates=H","DateFormat=P","Fill=—","Direction=H","UseDPDF=Y")</f>
        <v>1538</v>
      </c>
      <c r="H24" s="19">
        <f>_xll.BDH("GILD US Equity","PRETAX_INC","FQ3 2020","FQ3 2020","Currency=USD","Period=FQ","BEST_FPERIOD_OVERRIDE=FQ","FILING_STATUS=MR","SCALING_FORMAT=MLN","FA_ADJUSTED=Adjusted","Sort=A","Dates=H","DateFormat=P","Fill=—","Direction=H","UseDPDF=Y")</f>
        <v>2979</v>
      </c>
      <c r="I24" s="19">
        <f>_xll.BDH("GILD US Equity","PRETAX_INC","FQ4 2020","FQ4 2020","Currency=USD","Period=FQ","BEST_FPERIOD_OVERRIDE=FQ","FILING_STATUS=MR","SCALING_FORMAT=MLN","FA_ADJUSTED=Adjusted","Sort=A","Dates=H","DateFormat=P","Fill=—","Direction=H","UseDPDF=Y")</f>
        <v>2854</v>
      </c>
      <c r="J24" s="19">
        <f>_xll.BDH("GILD US Equity","PRETAX_INC","FQ1 2021","FQ1 2021","Currency=USD","Period=FQ","BEST_FPERIOD_OVERRIDE=FQ","FILING_STATUS=MR","SCALING_FORMAT=MLN","FA_ADJUSTED=Adjusted","Sort=A","Dates=H","DateFormat=P","Fill=—","Direction=H","UseDPDF=Y")</f>
        <v>3211</v>
      </c>
      <c r="K24" s="19">
        <f>_xll.BDH("GILD US Equity","PRETAX_INC","FQ2 2021","FQ2 2021","Currency=USD","Period=FQ","BEST_FPERIOD_OVERRIDE=FQ","FILING_STATUS=MR","SCALING_FORMAT=MLN","FA_ADJUSTED=Adjusted","Sort=A","Dates=H","DateFormat=P","Fill=—","Direction=H","UseDPDF=Y")</f>
        <v>2367</v>
      </c>
      <c r="L24" s="19">
        <f>_xll.BDH("GILD US Equity","PRETAX_INC","FQ3 2021","FQ3 2021","Currency=USD","Period=FQ","BEST_FPERIOD_OVERRIDE=FQ","FILING_STATUS=MR","SCALING_FORMAT=MLN","FA_ADJUSTED=Adjusted","Sort=A","Dates=H","DateFormat=P","Fill=—","Direction=H","UseDPDF=Y")</f>
        <v>3582</v>
      </c>
      <c r="M24" s="19">
        <f>_xll.BDH("GILD US Equity","PRETAX_INC","FQ4 2021","FQ4 2021","Currency=USD","Period=FQ","BEST_FPERIOD_OVERRIDE=FQ","FILING_STATUS=MR","SCALING_FORMAT=MLN","FA_ADJUSTED=Adjusted","Sort=A","Dates=H","DateFormat=P","Fill=—","Direction=H","UseDPDF=Y")</f>
        <v>1384.7974999999999</v>
      </c>
      <c r="N24" s="19">
        <f>_xll.BDH("GILD US Equity","PRETAX_INC","FQ1 2022","FQ1 2022","Currency=USD","Period=FQ","BEST_FPERIOD_OVERRIDE=FQ","FILING_STATUS=MR","SCALING_FORMAT=MLN","FA_ADJUSTED=Adjusted","Sort=A","Dates=H","DateFormat=P","Fill=—","Direction=H","UseDPDF=Y")</f>
        <v>2618</v>
      </c>
      <c r="O24" s="19">
        <f>_xll.BDH("GILD US Equity","PRETAX_INC","FQ2 2022","FQ2 2022","Currency=USD","Period=FQ","BEST_FPERIOD_OVERRIDE=FQ","FILING_STATUS=MR","SCALING_FORMAT=MLN","FA_ADJUSTED=Adjusted","Sort=A","Dates=H","DateFormat=P","Fill=—","Direction=H","UseDPDF=Y")</f>
        <v>2529</v>
      </c>
      <c r="P24" s="19">
        <f>_xll.BDH("GILD US Equity","PRETAX_INC","FQ3 2022","FQ3 2022","Currency=USD","Period=FQ","BEST_FPERIOD_OVERRIDE=FQ","FILING_STATUS=MR","SCALING_FORMAT=MLN","FA_ADJUSTED=Adjusted","Sort=A","Dates=H","DateFormat=P","Fill=—","Direction=H","UseDPDF=Y")</f>
        <v>3504</v>
      </c>
      <c r="Q24" s="19">
        <f>_xll.BDH("GILD US Equity","PRETAX_INC","FQ4 2022","FQ4 2022","Currency=USD","Period=FQ","BEST_FPERIOD_OVERRIDE=FQ","FILING_STATUS=MR","SCALING_FORMAT=MLN","FA_ADJUSTED=Adjusted","Sort=A","Dates=H","DateFormat=P","Fill=—","Direction=H","UseDPDF=Y")</f>
        <v>2254</v>
      </c>
      <c r="R24" s="19">
        <f>_xll.BDH("GILD US Equity","PRETAX_INC","FQ1 2023","FQ1 2023","Currency=USD","Period=FQ","BEST_FPERIOD_OVERRIDE=FQ","FILING_STATUS=MR","SCALING_FORMAT=MLN","FA_ADJUSTED=Adjusted","Sort=A","Dates=H","DateFormat=P","Fill=—","Direction=H","UseDPDF=Y")</f>
        <v>2047</v>
      </c>
      <c r="S24" s="19">
        <f>_xll.BDH("GILD US Equity","PRETAX_INC","FQ2 2023","FQ2 2023","Currency=USD","Period=FQ","BEST_FPERIOD_OVERRIDE=FQ","FILING_STATUS=MR","SCALING_FORMAT=MLN","FA_ADJUSTED=Adjusted","Sort=A","Dates=H","DateFormat=P","Fill=—","Direction=H","UseDPDF=Y")</f>
        <v>1716</v>
      </c>
      <c r="T24" s="19">
        <f>_xll.BDH("GILD US Equity","PRETAX_INC","FQ3 2023","FQ3 2023","Currency=USD","Period=FQ","BEST_FPERIOD_OVERRIDE=FQ","FILING_STATUS=MR","SCALING_FORMAT=MLN","FA_ADJUSTED=Adjusted","Sort=A","Dates=H","DateFormat=P","Fill=—","Direction=H","UseDPDF=Y")</f>
        <v>2599</v>
      </c>
      <c r="U24" s="19">
        <f>_xll.BDH("GILD US Equity","PRETAX_INC","FQ4 2023","FQ4 2023","Currency=USD","Period=FQ","BEST_FPERIOD_OVERRIDE=FQ","FILING_STATUS=MR","SCALING_FORMAT=MLN","FA_ADJUSTED=Adjusted","Sort=A","Dates=H","DateFormat=P","Fill=—","Direction=H","UseDPDF=Y")</f>
        <v>2358</v>
      </c>
      <c r="V24" s="19">
        <f>_xll.BDH("GILD US Equity","PRETAX_INC","FQ1 2024","FQ1 2024","Currency=USD","Period=FQ","BEST_FPERIOD_OVERRIDE=FQ","FILING_STATUS=MR","SCALING_FORMAT=MLN","FA_ADJUSTED=Adjusted","Sort=A","Dates=H","DateFormat=P","Fill=—","Direction=H","UseDPDF=Y")</f>
        <v>2285</v>
      </c>
      <c r="W24" s="19">
        <f>_xll.BDH("GILD US Equity","PRETAX_INC","FQ2 2024","FQ2 2024","Currency=USD","Period=FQ","BEST_FPERIOD_OVERRIDE=FQ","FILING_STATUS=MR","SCALING_FORMAT=MLN","FA_ADJUSTED=Adjusted","Sort=A","Dates=H","DateFormat=P","Fill=—","Direction=H","UseDPDF=Y")</f>
        <v>2884</v>
      </c>
      <c r="X24" s="19">
        <f>_xll.BDH("GILD US Equity","PRETAX_INC","FQ3 2024","FQ3 2024","Currency=USD","Period=FQ","BEST_FPERIOD_OVERRIDE=FQ","FILING_STATUS=MR","SCALING_FORMAT=MLN","FA_ADJUSTED=Adjusted","Sort=A","Dates=H","DateFormat=P","Fill=—","Direction=H","UseDPDF=Y")</f>
        <v>2994</v>
      </c>
      <c r="Y24" s="19">
        <f>_xll.BDH("GILD US Equity","PRETAX_INC","FQ4 2024","FQ4 2024","Currency=USD","Period=FQ","BEST_FPERIOD_OVERRIDE=FQ","FILING_STATUS=MR","SCALING_FORMAT=MLN","FA_ADJUSTED=Adjusted","Sort=A","Dates=H","DateFormat=P","Fill=—","Direction=H","UseDPDF=Y")</f>
        <v>2367</v>
      </c>
      <c r="Z24" s="19">
        <v>2700.5329999999999</v>
      </c>
      <c r="AA24" s="19">
        <v>2986.6669999999999</v>
      </c>
    </row>
    <row r="25" spans="1:27" x14ac:dyDescent="0.25">
      <c r="A25" s="10" t="s">
        <v>345</v>
      </c>
      <c r="B25" s="10" t="s">
        <v>346</v>
      </c>
      <c r="C25" s="13">
        <f>_xll.BDH("GILD US Equity","IS_ABNORMAL_ITEM","FQ2 2019","FQ2 2019","Currency=USD","Period=FQ","BEST_FPERIOD_OVERRIDE=FQ","FILING_STATUS=MR","SCALING_FORMAT=MLN","Sort=A","Dates=H","DateFormat=P","Fill=—","Direction=H","UseDPDF=Y")</f>
        <v>107</v>
      </c>
      <c r="D25" s="13">
        <f>_xll.BDH("GILD US Equity","IS_ABNORMAL_ITEM","FQ3 2019","FQ3 2019","Currency=USD","Period=FQ","BEST_FPERIOD_OVERRIDE=FQ","FILING_STATUS=MR","SCALING_FORMAT=MLN","Sort=A","Dates=H","DateFormat=P","Fill=—","Direction=H","UseDPDF=Y")</f>
        <v>3911</v>
      </c>
      <c r="E25" s="13">
        <f>_xll.BDH("GILD US Equity","IS_ABNORMAL_ITEM","FQ4 2019","FQ4 2019","Currency=USD","Period=FQ","BEST_FPERIOD_OVERRIDE=FQ","FILING_STATUS=MR","SCALING_FORMAT=MLN","Sort=A","Dates=H","DateFormat=P","Fill=—","Direction=H","UseDPDF=Y")</f>
        <v>-133</v>
      </c>
      <c r="F25" s="13">
        <f>_xll.BDH("GILD US Equity","IS_ABNORMAL_ITEM","FQ1 2020","FQ1 2020","Currency=USD","Period=FQ","BEST_FPERIOD_OVERRIDE=FQ","FILING_STATUS=MR","SCALING_FORMAT=MLN","Sort=A","Dates=H","DateFormat=P","Fill=—","Direction=H","UseDPDF=Y")</f>
        <v>646</v>
      </c>
      <c r="G25" s="13">
        <f>_xll.BDH("GILD US Equity","IS_ABNORMAL_ITEM","FQ2 2020","FQ2 2020","Currency=USD","Period=FQ","BEST_FPERIOD_OVERRIDE=FQ","FILING_STATUS=MR","SCALING_FORMAT=MLN","Sort=A","Dates=H","DateFormat=P","Fill=—","Direction=H","UseDPDF=Y")</f>
        <v>4511</v>
      </c>
      <c r="H25" s="13">
        <f>_xll.BDH("GILD US Equity","IS_ABNORMAL_ITEM","FQ3 2020","FQ3 2020","Currency=USD","Period=FQ","BEST_FPERIOD_OVERRIDE=FQ","FILING_STATUS=MR","SCALING_FORMAT=MLN","Sort=A","Dates=H","DateFormat=P","Fill=—","Direction=H","UseDPDF=Y")</f>
        <v>2154</v>
      </c>
      <c r="I25" s="13">
        <f>_xll.BDH("GILD US Equity","IS_ABNORMAL_ITEM","FQ4 2020","FQ4 2020","Currency=USD","Period=FQ","BEST_FPERIOD_OVERRIDE=FQ","FILING_STATUS=MR","SCALING_FORMAT=MLN","Sort=A","Dates=H","DateFormat=P","Fill=—","Direction=H","UseDPDF=Y")</f>
        <v>1040</v>
      </c>
      <c r="J25" s="13">
        <f>_xll.BDH("GILD US Equity","IS_ABNORMAL_ITEM","FQ1 2021","FQ1 2021","Currency=USD","Period=FQ","BEST_FPERIOD_OVERRIDE=FQ","FILING_STATUS=MR","SCALING_FORMAT=MLN","Sort=A","Dates=H","DateFormat=P","Fill=—","Direction=H","UseDPDF=Y")</f>
        <v>947</v>
      </c>
      <c r="K25" s="13">
        <f>_xll.BDH("GILD US Equity","IS_ABNORMAL_ITEM","FQ2 2021","FQ2 2021","Currency=USD","Period=FQ","BEST_FPERIOD_OVERRIDE=FQ","FILING_STATUS=MR","SCALING_FORMAT=MLN","Sort=A","Dates=H","DateFormat=P","Fill=—","Direction=H","UseDPDF=Y")</f>
        <v>550</v>
      </c>
      <c r="L25" s="13">
        <f>_xll.BDH("GILD US Equity","IS_ABNORMAL_ITEM","FQ3 2021","FQ3 2021","Currency=USD","Period=FQ","BEST_FPERIOD_OVERRIDE=FQ","FILING_STATUS=MR","SCALING_FORMAT=MLN","Sort=A","Dates=H","DateFormat=P","Fill=—","Direction=H","UseDPDF=Y")</f>
        <v>144</v>
      </c>
      <c r="M25" s="13">
        <f>_xll.BDH("GILD US Equity","IS_ABNORMAL_ITEM","FQ4 2021","FQ4 2021","Currency=USD","Period=FQ","BEST_FPERIOD_OVERRIDE=FQ","FILING_STATUS=MR","SCALING_FORMAT=MLN","Sort=A","Dates=H","DateFormat=P","Fill=—","Direction=H","UseDPDF=Y")</f>
        <v>625.79750000000001</v>
      </c>
      <c r="N25" s="13">
        <f>_xll.BDH("GILD US Equity","IS_ABNORMAL_ITEM","FQ1 2022","FQ1 2022","Currency=USD","Period=FQ","BEST_FPERIOD_OVERRIDE=FQ","FILING_STATUS=MR","SCALING_FORMAT=MLN","Sort=A","Dates=H","DateFormat=P","Fill=—","Direction=H","UseDPDF=Y")</f>
        <v>2770</v>
      </c>
      <c r="O25" s="13">
        <f>_xll.BDH("GILD US Equity","IS_ABNORMAL_ITEM","FQ2 2022","FQ2 2022","Currency=USD","Period=FQ","BEST_FPERIOD_OVERRIDE=FQ","FILING_STATUS=MR","SCALING_FORMAT=MLN","Sort=A","Dates=H","DateFormat=P","Fill=—","Direction=H","UseDPDF=Y")</f>
        <v>1026</v>
      </c>
      <c r="P25" s="13">
        <f>_xll.BDH("GILD US Equity","IS_ABNORMAL_ITEM","FQ3 2022","FQ3 2022","Currency=USD","Period=FQ","BEST_FPERIOD_OVERRIDE=FQ","FILING_STATUS=MR","SCALING_FORMAT=MLN","Sort=A","Dates=H","DateFormat=P","Fill=—","Direction=H","UseDPDF=Y")</f>
        <v>1072</v>
      </c>
      <c r="Q25" s="13">
        <f>_xll.BDH("GILD US Equity","IS_ABNORMAL_ITEM","FQ4 2022","FQ4 2022","Currency=USD","Period=FQ","BEST_FPERIOD_OVERRIDE=FQ","FILING_STATUS=MR","SCALING_FORMAT=MLN","Sort=A","Dates=H","DateFormat=P","Fill=—","Direction=H","UseDPDF=Y")</f>
        <v>223</v>
      </c>
      <c r="R25" s="13">
        <f>_xll.BDH("GILD US Equity","IS_ABNORMAL_ITEM","FQ1 2023","FQ1 2023","Currency=USD","Period=FQ","BEST_FPERIOD_OVERRIDE=FQ","FILING_STATUS=MR","SCALING_FORMAT=MLN","Sort=A","Dates=H","DateFormat=P","Fill=—","Direction=H","UseDPDF=Y")</f>
        <v>747</v>
      </c>
      <c r="S25" s="13">
        <f>_xll.BDH("GILD US Equity","IS_ABNORMAL_ITEM","FQ2 2023","FQ2 2023","Currency=USD","Period=FQ","BEST_FPERIOD_OVERRIDE=FQ","FILING_STATUS=MR","SCALING_FORMAT=MLN","Sort=A","Dates=H","DateFormat=P","Fill=—","Direction=H","UseDPDF=Y")</f>
        <v>128</v>
      </c>
      <c r="T25" s="13">
        <f>_xll.BDH("GILD US Equity","IS_ABNORMAL_ITEM","FQ3 2023","FQ3 2023","Currency=USD","Period=FQ","BEST_FPERIOD_OVERRIDE=FQ","FILING_STATUS=MR","SCALING_FORMAT=MLN","Sort=A","Dates=H","DateFormat=P","Fill=—","Direction=H","UseDPDF=Y")</f>
        <v>280</v>
      </c>
      <c r="U25" s="13">
        <f>_xll.BDH("GILD US Equity","IS_ABNORMAL_ITEM","FQ4 2023","FQ4 2023","Currency=USD","Period=FQ","BEST_FPERIOD_OVERRIDE=FQ","FILING_STATUS=MR","SCALING_FORMAT=MLN","Sort=A","Dates=H","DateFormat=P","Fill=—","Direction=H","UseDPDF=Y")</f>
        <v>705</v>
      </c>
      <c r="V25" s="13">
        <f>_xll.BDH("GILD US Equity","IS_ABNORMAL_ITEM","FQ1 2024","FQ1 2024","Currency=USD","Period=FQ","BEST_FPERIOD_OVERRIDE=FQ","FILING_STATUS=MR","SCALING_FORMAT=MLN","Sort=A","Dates=H","DateFormat=P","Fill=—","Direction=H","UseDPDF=Y")</f>
        <v>6771</v>
      </c>
      <c r="W25" s="13">
        <f>_xll.BDH("GILD US Equity","IS_ABNORMAL_ITEM","FQ2 2024","FQ2 2024","Currency=USD","Period=FQ","BEST_FPERIOD_OVERRIDE=FQ","FILING_STATUS=MR","SCALING_FORMAT=MLN","Sort=A","Dates=H","DateFormat=P","Fill=—","Direction=H","UseDPDF=Y")</f>
        <v>831</v>
      </c>
      <c r="X25" s="13">
        <f>_xll.BDH("GILD US Equity","IS_ABNORMAL_ITEM","FQ3 2024","FQ3 2024","Currency=USD","Period=FQ","BEST_FPERIOD_OVERRIDE=FQ","FILING_STATUS=MR","SCALING_FORMAT=MLN","Sort=A","Dates=H","DateFormat=P","Fill=—","Direction=H","UseDPDF=Y")</f>
        <v>2038</v>
      </c>
      <c r="Y25" s="13">
        <f>_xll.BDH("GILD US Equity","IS_ABNORMAL_ITEM","FQ4 2024","FQ4 2024","Currency=USD","Period=FQ","BEST_FPERIOD_OVERRIDE=FQ","FILING_STATUS=MR","SCALING_FORMAT=MLN","Sort=A","Dates=H","DateFormat=P","Fill=—","Direction=H","UseDPDF=Y")</f>
        <v>199</v>
      </c>
      <c r="Z25" s="13"/>
      <c r="AA25" s="13"/>
    </row>
    <row r="26" spans="1:27" x14ac:dyDescent="0.25">
      <c r="A26" s="10" t="s">
        <v>347</v>
      </c>
      <c r="B26" s="10" t="s">
        <v>348</v>
      </c>
      <c r="C26" s="13" t="str">
        <f>_xll.BDH("GILD US Equity","IS_ACQUIRED_PROCESS_RD","FQ2 2019","FQ2 2019","Currency=USD","Period=FQ","BEST_FPERIOD_OVERRIDE=FQ","FILING_STATUS=MR","SCALING_FORMAT=MLN","Sort=A","Dates=H","DateFormat=P","Fill=—","Direction=H","UseDPDF=Y")</f>
        <v>—</v>
      </c>
      <c r="D26" s="13">
        <f>_xll.BDH("GILD US Equity","IS_ACQUIRED_PROCESS_RD","FQ3 2019","FQ3 2019","Currency=USD","Period=FQ","BEST_FPERIOD_OVERRIDE=FQ","FILING_STATUS=MR","SCALING_FORMAT=MLN","Sort=A","Dates=H","DateFormat=P","Fill=—","Direction=H","UseDPDF=Y")</f>
        <v>3960</v>
      </c>
      <c r="E26" s="13">
        <f>_xll.BDH("GILD US Equity","IS_ACQUIRED_PROCESS_RD","FQ4 2019","FQ4 2019","Currency=USD","Period=FQ","BEST_FPERIOD_OVERRIDE=FQ","FILING_STATUS=MR","SCALING_FORMAT=MLN","Sort=A","Dates=H","DateFormat=P","Fill=—","Direction=H","UseDPDF=Y")</f>
        <v>800</v>
      </c>
      <c r="F26" s="13">
        <f>_xll.BDH("GILD US Equity","IS_ACQUIRED_PROCESS_RD","FQ1 2020","FQ1 2020","Currency=USD","Period=FQ","BEST_FPERIOD_OVERRIDE=FQ","FILING_STATUS=MR","SCALING_FORMAT=MLN","Sort=A","Dates=H","DateFormat=P","Fill=—","Direction=H","UseDPDF=Y")</f>
        <v>97</v>
      </c>
      <c r="G26" s="13">
        <f>_xll.BDH("GILD US Equity","IS_ACQUIRED_PROCESS_RD","FQ2 2020","FQ2 2020","Currency=USD","Period=FQ","BEST_FPERIOD_OVERRIDE=FQ","FILING_STATUS=MR","SCALING_FORMAT=MLN","Sort=A","Dates=H","DateFormat=P","Fill=—","Direction=H","UseDPDF=Y")</f>
        <v>4524</v>
      </c>
      <c r="H26" s="13">
        <f>_xll.BDH("GILD US Equity","IS_ACQUIRED_PROCESS_RD","FQ3 2020","FQ3 2020","Currency=USD","Period=FQ","BEST_FPERIOD_OVERRIDE=FQ","FILING_STATUS=MR","SCALING_FORMAT=MLN","Sort=A","Dates=H","DateFormat=P","Fill=—","Direction=H","UseDPDF=Y")</f>
        <v>1171</v>
      </c>
      <c r="I26" s="13">
        <f>_xll.BDH("GILD US Equity","IS_ACQUIRED_PROCESS_RD","FQ4 2020","FQ4 2020","Currency=USD","Period=FQ","BEST_FPERIOD_OVERRIDE=FQ","FILING_STATUS=MR","SCALING_FORMAT=MLN","Sort=A","Dates=H","DateFormat=P","Fill=—","Direction=H","UseDPDF=Y")</f>
        <v>64</v>
      </c>
      <c r="J26" s="13">
        <f>_xll.BDH("GILD US Equity","IS_ACQUIRED_PROCESS_RD","FQ1 2021","FQ1 2021","Currency=USD","Period=FQ","BEST_FPERIOD_OVERRIDE=FQ","FILING_STATUS=MR","SCALING_FORMAT=MLN","Sort=A","Dates=H","DateFormat=P","Fill=—","Direction=H","UseDPDF=Y")</f>
        <v>62</v>
      </c>
      <c r="K26" s="13">
        <f>_xll.BDH("GILD US Equity","IS_ACQUIRED_PROCESS_RD","FQ2 2021","FQ2 2021","Currency=USD","Period=FQ","BEST_FPERIOD_OVERRIDE=FQ","FILING_STATUS=MR","SCALING_FORMAT=MLN","Sort=A","Dates=H","DateFormat=P","Fill=—","Direction=H","UseDPDF=Y")</f>
        <v>96</v>
      </c>
      <c r="L26" s="13">
        <f>_xll.BDH("GILD US Equity","IS_ACQUIRED_PROCESS_RD","FQ3 2021","FQ3 2021","Currency=USD","Period=FQ","BEST_FPERIOD_OVERRIDE=FQ","FILING_STATUS=MR","SCALING_FORMAT=MLN","Sort=A","Dates=H","DateFormat=P","Fill=—","Direction=H","UseDPDF=Y")</f>
        <v>19</v>
      </c>
      <c r="M26" s="13">
        <f>_xll.BDH("GILD US Equity","IS_ACQUIRED_PROCESS_RD","FQ4 2021","FQ4 2021","Currency=USD","Period=FQ","BEST_FPERIOD_OVERRIDE=FQ","FILING_STATUS=MR","SCALING_FORMAT=MLN","Sort=A","Dates=H","DateFormat=P","Fill=—","Direction=H","UseDPDF=Y")</f>
        <v>669</v>
      </c>
      <c r="N26" s="13" t="str">
        <f>_xll.BDH("GILD US Equity","IS_ACQUIRED_PROCESS_RD","FQ1 2022","FQ1 2022","Currency=USD","Period=FQ","BEST_FPERIOD_OVERRIDE=FQ","FILING_STATUS=MR","SCALING_FORMAT=MLN","Sort=A","Dates=H","DateFormat=P","Fill=—","Direction=H","UseDPDF=Y")</f>
        <v>—</v>
      </c>
      <c r="O26" s="13">
        <f>_xll.BDH("GILD US Equity","IS_ACQUIRED_PROCESS_RD","FQ2 2022","FQ2 2022","Currency=USD","Period=FQ","BEST_FPERIOD_OVERRIDE=FQ","FILING_STATUS=MR","SCALING_FORMAT=MLN","Sort=A","Dates=H","DateFormat=P","Fill=—","Direction=H","UseDPDF=Y")</f>
        <v>330</v>
      </c>
      <c r="P26" s="13">
        <f>_xll.BDH("GILD US Equity","IS_ACQUIRED_PROCESS_RD","FQ3 2022","FQ3 2022","Currency=USD","Period=FQ","BEST_FPERIOD_OVERRIDE=FQ","FILING_STATUS=MR","SCALING_FORMAT=MLN","Sort=A","Dates=H","DateFormat=P","Fill=—","Direction=H","UseDPDF=Y")</f>
        <v>448</v>
      </c>
      <c r="Q26" s="13">
        <f>_xll.BDH("GILD US Equity","IS_ACQUIRED_PROCESS_RD","FQ4 2022","FQ4 2022","Currency=USD","Period=FQ","BEST_FPERIOD_OVERRIDE=FQ","FILING_STATUS=MR","SCALING_FORMAT=MLN","Sort=A","Dates=H","DateFormat=P","Fill=—","Direction=H","UseDPDF=Y")</f>
        <v>158</v>
      </c>
      <c r="R26" s="13">
        <f>_xll.BDH("GILD US Equity","IS_ACQUIRED_PROCESS_RD","FQ1 2023","FQ1 2023","Currency=USD","Period=FQ","BEST_FPERIOD_OVERRIDE=FQ","FILING_STATUS=MR","SCALING_FORMAT=MLN","Sort=A","Dates=H","DateFormat=P","Fill=—","Direction=H","UseDPDF=Y")</f>
        <v>481</v>
      </c>
      <c r="S26" s="13">
        <f>_xll.BDH("GILD US Equity","IS_ACQUIRED_PROCESS_RD","FQ2 2023","FQ2 2023","Currency=USD","Period=FQ","BEST_FPERIOD_OVERRIDE=FQ","FILING_STATUS=MR","SCALING_FORMAT=MLN","Sort=A","Dates=H","DateFormat=P","Fill=—","Direction=H","UseDPDF=Y")</f>
        <v>236</v>
      </c>
      <c r="T26" s="13">
        <f>_xll.BDH("GILD US Equity","IS_ACQUIRED_PROCESS_RD","FQ3 2023","FQ3 2023","Currency=USD","Period=FQ","BEST_FPERIOD_OVERRIDE=FQ","FILING_STATUS=MR","SCALING_FORMAT=MLN","Sort=A","Dates=H","DateFormat=P","Fill=—","Direction=H","UseDPDF=Y")</f>
        <v>91</v>
      </c>
      <c r="U26" s="13">
        <f>_xll.BDH("GILD US Equity","IS_ACQUIRED_PROCESS_RD","FQ4 2023","FQ4 2023","Currency=USD","Period=FQ","BEST_FPERIOD_OVERRIDE=FQ","FILING_STATUS=MR","SCALING_FORMAT=MLN","Sort=A","Dates=H","DateFormat=P","Fill=—","Direction=H","UseDPDF=Y")</f>
        <v>347</v>
      </c>
      <c r="V26" s="13">
        <f>_xll.BDH("GILD US Equity","IS_ACQUIRED_PROCESS_RD","FQ1 2024","FQ1 2024","Currency=USD","Period=FQ","BEST_FPERIOD_OVERRIDE=FQ","FILING_STATUS=MR","SCALING_FORMAT=MLN","Sort=A","Dates=H","DateFormat=P","Fill=—","Direction=H","UseDPDF=Y")</f>
        <v>4131</v>
      </c>
      <c r="W26" s="13">
        <f>_xll.BDH("GILD US Equity","IS_ACQUIRED_PROCESS_RD","FQ2 2024","FQ2 2024","Currency=USD","Period=FQ","BEST_FPERIOD_OVERRIDE=FQ","FILING_STATUS=MR","SCALING_FORMAT=MLN","Sort=A","Dates=H","DateFormat=P","Fill=—","Direction=H","UseDPDF=Y")</f>
        <v>38</v>
      </c>
      <c r="X26" s="13">
        <f>_xll.BDH("GILD US Equity","IS_ACQUIRED_PROCESS_RD","FQ3 2024","FQ3 2024","Currency=USD","Period=FQ","BEST_FPERIOD_OVERRIDE=FQ","FILING_STATUS=MR","SCALING_FORMAT=MLN","Sort=A","Dates=H","DateFormat=P","Fill=—","Direction=H","UseDPDF=Y")</f>
        <v>505</v>
      </c>
      <c r="Y26" s="13">
        <f>_xll.BDH("GILD US Equity","IS_ACQUIRED_PROCESS_RD","FQ4 2024","FQ4 2024","Currency=USD","Period=FQ","BEST_FPERIOD_OVERRIDE=FQ","FILING_STATUS=MR","SCALING_FORMAT=MLN","Sort=A","Dates=H","DateFormat=P","Fill=—","Direction=H","UseDPDF=Y")</f>
        <v>-11</v>
      </c>
      <c r="Z26" s="13"/>
      <c r="AA26" s="13"/>
    </row>
    <row r="27" spans="1:27" x14ac:dyDescent="0.25">
      <c r="A27" s="10" t="s">
        <v>349</v>
      </c>
      <c r="B27" s="10" t="s">
        <v>350</v>
      </c>
      <c r="C27" s="13" t="str">
        <f>_xll.BDH("GILD US Equity","IS_MERGER_ACQUISITION_EXPENSE","FQ2 2019","FQ2 2019","Currency=USD","Period=FQ","BEST_FPERIOD_OVERRIDE=FQ","FILING_STATUS=MR","SCALING_FORMAT=MLN","Sort=A","Dates=H","DateFormat=P","Fill=—","Direction=H","UseDPDF=Y")</f>
        <v>—</v>
      </c>
      <c r="D27" s="13" t="str">
        <f>_xll.BDH("GILD US Equity","IS_MERGER_ACQUISITION_EXPENSE","FQ3 2019","FQ3 2019","Currency=USD","Period=FQ","BEST_FPERIOD_OVERRIDE=FQ","FILING_STATUS=MR","SCALING_FORMAT=MLN","Sort=A","Dates=H","DateFormat=P","Fill=—","Direction=H","UseDPDF=Y")</f>
        <v>—</v>
      </c>
      <c r="E27" s="13" t="str">
        <f>_xll.BDH("GILD US Equity","IS_MERGER_ACQUISITION_EXPENSE","FQ4 2019","FQ4 2019","Currency=USD","Period=FQ","BEST_FPERIOD_OVERRIDE=FQ","FILING_STATUS=MR","SCALING_FORMAT=MLN","Sort=A","Dates=H","DateFormat=P","Fill=—","Direction=H","UseDPDF=Y")</f>
        <v>—</v>
      </c>
      <c r="F27" s="13">
        <f>_xll.BDH("GILD US Equity","IS_MERGER_ACQUISITION_EXPENSE","FQ1 2020","FQ1 2020","Currency=USD","Period=FQ","BEST_FPERIOD_OVERRIDE=FQ","FILING_STATUS=MR","SCALING_FORMAT=MLN","Sort=A","Dates=H","DateFormat=P","Fill=—","Direction=H","UseDPDF=Y")</f>
        <v>266</v>
      </c>
      <c r="G27" s="13">
        <f>_xll.BDH("GILD US Equity","IS_MERGER_ACQUISITION_EXPENSE","FQ2 2020","FQ2 2020","Currency=USD","Period=FQ","BEST_FPERIOD_OVERRIDE=FQ","FILING_STATUS=MR","SCALING_FORMAT=MLN","Sort=A","Dates=H","DateFormat=P","Fill=—","Direction=H","UseDPDF=Y")</f>
        <v>190</v>
      </c>
      <c r="H27" s="13">
        <f>_xll.BDH("GILD US Equity","IS_MERGER_ACQUISITION_EXPENSE","FQ3 2020","FQ3 2020","Currency=USD","Period=FQ","BEST_FPERIOD_OVERRIDE=FQ","FILING_STATUS=MR","SCALING_FORMAT=MLN","Sort=A","Dates=H","DateFormat=P","Fill=—","Direction=H","UseDPDF=Y")</f>
        <v>15</v>
      </c>
      <c r="I27" s="13">
        <f>_xll.BDH("GILD US Equity","IS_MERGER_ACQUISITION_EXPENSE","FQ4 2020","FQ4 2020","Currency=USD","Period=FQ","BEST_FPERIOD_OVERRIDE=FQ","FILING_STATUS=MR","SCALING_FORMAT=MLN","Sort=A","Dates=H","DateFormat=P","Fill=—","Direction=H","UseDPDF=Y")</f>
        <v>360</v>
      </c>
      <c r="J27" s="13">
        <f>_xll.BDH("GILD US Equity","IS_MERGER_ACQUISITION_EXPENSE","FQ1 2021","FQ1 2021","Currency=USD","Period=FQ","BEST_FPERIOD_OVERRIDE=FQ","FILING_STATUS=MR","SCALING_FORMAT=MLN","Sort=A","Dates=H","DateFormat=P","Fill=—","Direction=H","UseDPDF=Y")</f>
        <v>534</v>
      </c>
      <c r="K27" s="13">
        <f>_xll.BDH("GILD US Equity","IS_MERGER_ACQUISITION_EXPENSE","FQ2 2021","FQ2 2021","Currency=USD","Period=FQ","BEST_FPERIOD_OVERRIDE=FQ","FILING_STATUS=MR","SCALING_FORMAT=MLN","Sort=A","Dates=H","DateFormat=P","Fill=—","Direction=H","UseDPDF=Y")</f>
        <v>16</v>
      </c>
      <c r="L27" s="13">
        <f>_xll.BDH("GILD US Equity","IS_MERGER_ACQUISITION_EXPENSE","FQ3 2021","FQ3 2021","Currency=USD","Period=FQ","BEST_FPERIOD_OVERRIDE=FQ","FILING_STATUS=MR","SCALING_FORMAT=MLN","Sort=A","Dates=H","DateFormat=P","Fill=—","Direction=H","UseDPDF=Y")</f>
        <v>-17</v>
      </c>
      <c r="M27" s="13">
        <f>_xll.BDH("GILD US Equity","IS_MERGER_ACQUISITION_EXPENSE","FQ4 2021","FQ4 2021","Currency=USD","Period=FQ","BEST_FPERIOD_OVERRIDE=FQ","FILING_STATUS=MR","SCALING_FORMAT=MLN","Sort=A","Dates=H","DateFormat=P","Fill=—","Direction=H","UseDPDF=Y")</f>
        <v>3</v>
      </c>
      <c r="N27" s="13">
        <f>_xll.BDH("GILD US Equity","IS_MERGER_ACQUISITION_EXPENSE","FQ1 2022","FQ1 2022","Currency=USD","Period=FQ","BEST_FPERIOD_OVERRIDE=FQ","FILING_STATUS=MR","SCALING_FORMAT=MLN","Sort=A","Dates=H","DateFormat=P","Fill=—","Direction=H","UseDPDF=Y")</f>
        <v>10</v>
      </c>
      <c r="O27" s="13" t="str">
        <f>_xll.BDH("GILD US Equity","IS_MERGER_ACQUISITION_EXPENSE","FQ2 2022","FQ2 2022","Currency=USD","Period=FQ","BEST_FPERIOD_OVERRIDE=FQ","FILING_STATUS=MR","SCALING_FORMAT=MLN","Sort=A","Dates=H","DateFormat=P","Fill=—","Direction=H","UseDPDF=Y")</f>
        <v>—</v>
      </c>
      <c r="P27" s="13">
        <f>_xll.BDH("GILD US Equity","IS_MERGER_ACQUISITION_EXPENSE","FQ3 2022","FQ3 2022","Currency=USD","Period=FQ","BEST_FPERIOD_OVERRIDE=FQ","FILING_STATUS=MR","SCALING_FORMAT=MLN","Sort=A","Dates=H","DateFormat=P","Fill=—","Direction=H","UseDPDF=Y")</f>
        <v>427</v>
      </c>
      <c r="Q27" s="13">
        <f>_xll.BDH("GILD US Equity","IS_MERGER_ACQUISITION_EXPENSE","FQ4 2022","FQ4 2022","Currency=USD","Period=FQ","BEST_FPERIOD_OVERRIDE=FQ","FILING_STATUS=MR","SCALING_FORMAT=MLN","Sort=A","Dates=H","DateFormat=P","Fill=—","Direction=H","UseDPDF=Y")</f>
        <v>2</v>
      </c>
      <c r="R27" s="13">
        <f>_xll.BDH("GILD US Equity","IS_MERGER_ACQUISITION_EXPENSE","FQ1 2023","FQ1 2023","Currency=USD","Period=FQ","BEST_FPERIOD_OVERRIDE=FQ","FILING_STATUS=MR","SCALING_FORMAT=MLN","Sort=A","Dates=H","DateFormat=P","Fill=—","Direction=H","UseDPDF=Y")</f>
        <v>9</v>
      </c>
      <c r="S27" s="13">
        <f>_xll.BDH("GILD US Equity","IS_MERGER_ACQUISITION_EXPENSE","FQ2 2023","FQ2 2023","Currency=USD","Period=FQ","BEST_FPERIOD_OVERRIDE=FQ","FILING_STATUS=MR","SCALING_FORMAT=MLN","Sort=A","Dates=H","DateFormat=P","Fill=—","Direction=H","UseDPDF=Y")</f>
        <v>31</v>
      </c>
      <c r="T27" s="13">
        <f>_xll.BDH("GILD US Equity","IS_MERGER_ACQUISITION_EXPENSE","FQ3 2023","FQ3 2023","Currency=USD","Period=FQ","BEST_FPERIOD_OVERRIDE=FQ","FILING_STATUS=MR","SCALING_FORMAT=MLN","Sort=A","Dates=H","DateFormat=P","Fill=—","Direction=H","UseDPDF=Y")</f>
        <v>-1</v>
      </c>
      <c r="U27" s="13">
        <f>_xll.BDH("GILD US Equity","IS_MERGER_ACQUISITION_EXPENSE","FQ4 2023","FQ4 2023","Currency=USD","Period=FQ","BEST_FPERIOD_OVERRIDE=FQ","FILING_STATUS=MR","SCALING_FORMAT=MLN","Sort=A","Dates=H","DateFormat=P","Fill=—","Direction=H","UseDPDF=Y")</f>
        <v>-59</v>
      </c>
      <c r="V27" s="13">
        <f>_xll.BDH("GILD US Equity","IS_MERGER_ACQUISITION_EXPENSE","FQ1 2024","FQ1 2024","Currency=USD","Period=FQ","BEST_FPERIOD_OVERRIDE=FQ","FILING_STATUS=MR","SCALING_FORMAT=MLN","Sort=A","Dates=H","DateFormat=P","Fill=—","Direction=H","UseDPDF=Y")</f>
        <v>133</v>
      </c>
      <c r="W27" s="13">
        <f>_xll.BDH("GILD US Equity","IS_MERGER_ACQUISITION_EXPENSE","FQ2 2024","FQ2 2024","Currency=USD","Period=FQ","BEST_FPERIOD_OVERRIDE=FQ","FILING_STATUS=MR","SCALING_FORMAT=MLN","Sort=A","Dates=H","DateFormat=P","Fill=—","Direction=H","UseDPDF=Y")</f>
        <v>21</v>
      </c>
      <c r="X27" s="13">
        <f>_xll.BDH("GILD US Equity","IS_MERGER_ACQUISITION_EXPENSE","FQ3 2024","FQ3 2024","Currency=USD","Period=FQ","BEST_FPERIOD_OVERRIDE=FQ","FILING_STATUS=MR","SCALING_FORMAT=MLN","Sort=A","Dates=H","DateFormat=P","Fill=—","Direction=H","UseDPDF=Y")</f>
        <v>13</v>
      </c>
      <c r="Y27" s="13">
        <f>_xll.BDH("GILD US Equity","IS_MERGER_ACQUISITION_EXPENSE","FQ4 2024","FQ4 2024","Currency=USD","Period=FQ","BEST_FPERIOD_OVERRIDE=FQ","FILING_STATUS=MR","SCALING_FORMAT=MLN","Sort=A","Dates=H","DateFormat=P","Fill=—","Direction=H","UseDPDF=Y")</f>
        <v>8</v>
      </c>
      <c r="Z27" s="13"/>
      <c r="AA27" s="13"/>
    </row>
    <row r="28" spans="1:27" x14ac:dyDescent="0.25">
      <c r="A28" s="10" t="s">
        <v>351</v>
      </c>
      <c r="B28" s="10" t="s">
        <v>352</v>
      </c>
      <c r="C28" s="13" t="str">
        <f>_xll.BDH("GILD US Equity","IS_IMPAIR_OF_INTANG_ASSETS","FQ2 2019","FQ2 2019","Currency=USD","Period=FQ","BEST_FPERIOD_OVERRIDE=FQ","FILING_STATUS=MR","SCALING_FORMAT=MLN","Sort=A","Dates=H","DateFormat=P","Fill=—","Direction=H","UseDPDF=Y")</f>
        <v>—</v>
      </c>
      <c r="D28" s="13" t="str">
        <f>_xll.BDH("GILD US Equity","IS_IMPAIR_OF_INTANG_ASSETS","FQ3 2019","FQ3 2019","Currency=USD","Period=FQ","BEST_FPERIOD_OVERRIDE=FQ","FILING_STATUS=MR","SCALING_FORMAT=MLN","Sort=A","Dates=H","DateFormat=P","Fill=—","Direction=H","UseDPDF=Y")</f>
        <v>—</v>
      </c>
      <c r="E28" s="13" t="str">
        <f>_xll.BDH("GILD US Equity","IS_IMPAIR_OF_INTANG_ASSETS","FQ4 2019","FQ4 2019","Currency=USD","Period=FQ","BEST_FPERIOD_OVERRIDE=FQ","FILING_STATUS=MR","SCALING_FORMAT=MLN","Sort=A","Dates=H","DateFormat=P","Fill=—","Direction=H","UseDPDF=Y")</f>
        <v>—</v>
      </c>
      <c r="F28" s="13" t="str">
        <f>_xll.BDH("GILD US Equity","IS_IMPAIR_OF_INTANG_ASSETS","FQ1 2020","FQ1 2020","Currency=USD","Period=FQ","BEST_FPERIOD_OVERRIDE=FQ","FILING_STATUS=MR","SCALING_FORMAT=MLN","Sort=A","Dates=H","DateFormat=P","Fill=—","Direction=H","UseDPDF=Y")</f>
        <v>—</v>
      </c>
      <c r="G28" s="13" t="str">
        <f>_xll.BDH("GILD US Equity","IS_IMPAIR_OF_INTANG_ASSETS","FQ2 2020","FQ2 2020","Currency=USD","Period=FQ","BEST_FPERIOD_OVERRIDE=FQ","FILING_STATUS=MR","SCALING_FORMAT=MLN","Sort=A","Dates=H","DateFormat=P","Fill=—","Direction=H","UseDPDF=Y")</f>
        <v>—</v>
      </c>
      <c r="H28" s="13" t="str">
        <f>_xll.BDH("GILD US Equity","IS_IMPAIR_OF_INTANG_ASSETS","FQ3 2020","FQ3 2020","Currency=USD","Period=FQ","BEST_FPERIOD_OVERRIDE=FQ","FILING_STATUS=MR","SCALING_FORMAT=MLN","Sort=A","Dates=H","DateFormat=P","Fill=—","Direction=H","UseDPDF=Y")</f>
        <v>—</v>
      </c>
      <c r="I28" s="13" t="str">
        <f>_xll.BDH("GILD US Equity","IS_IMPAIR_OF_INTANG_ASSETS","FQ4 2020","FQ4 2020","Currency=USD","Period=FQ","BEST_FPERIOD_OVERRIDE=FQ","FILING_STATUS=MR","SCALING_FORMAT=MLN","Sort=A","Dates=H","DateFormat=P","Fill=—","Direction=H","UseDPDF=Y")</f>
        <v>—</v>
      </c>
      <c r="J28" s="13" t="str">
        <f>_xll.BDH("GILD US Equity","IS_IMPAIR_OF_INTANG_ASSETS","FQ1 2021","FQ1 2021","Currency=USD","Period=FQ","BEST_FPERIOD_OVERRIDE=FQ","FILING_STATUS=MR","SCALING_FORMAT=MLN","Sort=A","Dates=H","DateFormat=P","Fill=—","Direction=H","UseDPDF=Y")</f>
        <v>—</v>
      </c>
      <c r="K28" s="13" t="str">
        <f>_xll.BDH("GILD US Equity","IS_IMPAIR_OF_INTANG_ASSETS","FQ2 2021","FQ2 2021","Currency=USD","Period=FQ","BEST_FPERIOD_OVERRIDE=FQ","FILING_STATUS=MR","SCALING_FORMAT=MLN","Sort=A","Dates=H","DateFormat=P","Fill=—","Direction=H","UseDPDF=Y")</f>
        <v>—</v>
      </c>
      <c r="L28" s="13" t="str">
        <f>_xll.BDH("GILD US Equity","IS_IMPAIR_OF_INTANG_ASSETS","FQ3 2021","FQ3 2021","Currency=USD","Period=FQ","BEST_FPERIOD_OVERRIDE=FQ","FILING_STATUS=MR","SCALING_FORMAT=MLN","Sort=A","Dates=H","DateFormat=P","Fill=—","Direction=H","UseDPDF=Y")</f>
        <v>—</v>
      </c>
      <c r="M28" s="13" t="str">
        <f>_xll.BDH("GILD US Equity","IS_IMPAIR_OF_INTANG_ASSETS","FQ4 2021","FQ4 2021","Currency=USD","Period=FQ","BEST_FPERIOD_OVERRIDE=FQ","FILING_STATUS=MR","SCALING_FORMAT=MLN","Sort=A","Dates=H","DateFormat=P","Fill=—","Direction=H","UseDPDF=Y")</f>
        <v>—</v>
      </c>
      <c r="N28" s="13">
        <f>_xll.BDH("GILD US Equity","IS_IMPAIR_OF_INTANG_ASSETS","FQ1 2022","FQ1 2022","Currency=USD","Period=FQ","BEST_FPERIOD_OVERRIDE=FQ","FILING_STATUS=MR","SCALING_FORMAT=MLN","Sort=A","Dates=H","DateFormat=P","Fill=—","Direction=H","UseDPDF=Y")</f>
        <v>2700</v>
      </c>
      <c r="O28" s="13" t="str">
        <f>_xll.BDH("GILD US Equity","IS_IMPAIR_OF_INTANG_ASSETS","FQ2 2022","FQ2 2022","Currency=USD","Period=FQ","BEST_FPERIOD_OVERRIDE=FQ","FILING_STATUS=MR","SCALING_FORMAT=MLN","Sort=A","Dates=H","DateFormat=P","Fill=—","Direction=H","UseDPDF=Y")</f>
        <v>—</v>
      </c>
      <c r="P28" s="13" t="str">
        <f>_xll.BDH("GILD US Equity","IS_IMPAIR_OF_INTANG_ASSETS","FQ3 2022","FQ3 2022","Currency=USD","Period=FQ","BEST_FPERIOD_OVERRIDE=FQ","FILING_STATUS=MR","SCALING_FORMAT=MLN","Sort=A","Dates=H","DateFormat=P","Fill=—","Direction=H","UseDPDF=Y")</f>
        <v>—</v>
      </c>
      <c r="Q28" s="13" t="str">
        <f>_xll.BDH("GILD US Equity","IS_IMPAIR_OF_INTANG_ASSETS","FQ4 2022","FQ4 2022","Currency=USD","Period=FQ","BEST_FPERIOD_OVERRIDE=FQ","FILING_STATUS=MR","SCALING_FORMAT=MLN","Sort=A","Dates=H","DateFormat=P","Fill=—","Direction=H","UseDPDF=Y")</f>
        <v>—</v>
      </c>
      <c r="R28" s="13" t="str">
        <f>_xll.BDH("GILD US Equity","IS_IMPAIR_OF_INTANG_ASSETS","FQ1 2023","FQ1 2023","Currency=USD","Period=FQ","BEST_FPERIOD_OVERRIDE=FQ","FILING_STATUS=MR","SCALING_FORMAT=MLN","Sort=A","Dates=H","DateFormat=P","Fill=—","Direction=H","UseDPDF=Y")</f>
        <v>—</v>
      </c>
      <c r="S28" s="13" t="str">
        <f>_xll.BDH("GILD US Equity","IS_IMPAIR_OF_INTANG_ASSETS","FQ2 2023","FQ2 2023","Currency=USD","Period=FQ","BEST_FPERIOD_OVERRIDE=FQ","FILING_STATUS=MR","SCALING_FORMAT=MLN","Sort=A","Dates=H","DateFormat=P","Fill=—","Direction=H","UseDPDF=Y")</f>
        <v>—</v>
      </c>
      <c r="T28" s="13" t="str">
        <f>_xll.BDH("GILD US Equity","IS_IMPAIR_OF_INTANG_ASSETS","FQ3 2023","FQ3 2023","Currency=USD","Period=FQ","BEST_FPERIOD_OVERRIDE=FQ","FILING_STATUS=MR","SCALING_FORMAT=MLN","Sort=A","Dates=H","DateFormat=P","Fill=—","Direction=H","UseDPDF=Y")</f>
        <v>—</v>
      </c>
      <c r="U28" s="13">
        <f>_xll.BDH("GILD US Equity","IS_IMPAIR_OF_INTANG_ASSETS","FQ4 2023","FQ4 2023","Currency=USD","Period=FQ","BEST_FPERIOD_OVERRIDE=FQ","FILING_STATUS=MR","SCALING_FORMAT=MLN","Sort=A","Dates=H","DateFormat=P","Fill=—","Direction=H","UseDPDF=Y")</f>
        <v>50</v>
      </c>
      <c r="V28" s="13">
        <f>_xll.BDH("GILD US Equity","IS_IMPAIR_OF_INTANG_ASSETS","FQ1 2024","FQ1 2024","Currency=USD","Period=FQ","BEST_FPERIOD_OVERRIDE=FQ","FILING_STATUS=MR","SCALING_FORMAT=MLN","Sort=A","Dates=H","DateFormat=P","Fill=—","Direction=H","UseDPDF=Y")</f>
        <v>2430</v>
      </c>
      <c r="W28" s="13" t="str">
        <f>_xll.BDH("GILD US Equity","IS_IMPAIR_OF_INTANG_ASSETS","FQ2 2024","FQ2 2024","Currency=USD","Period=FQ","BEST_FPERIOD_OVERRIDE=FQ","FILING_STATUS=MR","SCALING_FORMAT=MLN","Sort=A","Dates=H","DateFormat=P","Fill=—","Direction=H","UseDPDF=Y")</f>
        <v>—</v>
      </c>
      <c r="X28" s="13">
        <f>_xll.BDH("GILD US Equity","IS_IMPAIR_OF_INTANG_ASSETS","FQ3 2024","FQ3 2024","Currency=USD","Period=FQ","BEST_FPERIOD_OVERRIDE=FQ","FILING_STATUS=MR","SCALING_FORMAT=MLN","Sort=A","Dates=H","DateFormat=P","Fill=—","Direction=H","UseDPDF=Y")</f>
        <v>1750</v>
      </c>
      <c r="Y28" s="13" t="str">
        <f>_xll.BDH("GILD US Equity","IS_IMPAIR_OF_INTANG_ASSETS","FQ4 2024","FQ4 2024","Currency=USD","Period=FQ","BEST_FPERIOD_OVERRIDE=FQ","FILING_STATUS=MR","SCALING_FORMAT=MLN","Sort=A","Dates=H","DateFormat=P","Fill=—","Direction=H","UseDPDF=Y")</f>
        <v>—</v>
      </c>
      <c r="Z28" s="13"/>
      <c r="AA28" s="13"/>
    </row>
    <row r="29" spans="1:27" x14ac:dyDescent="0.25">
      <c r="A29" s="10" t="s">
        <v>353</v>
      </c>
      <c r="B29" s="10" t="s">
        <v>354</v>
      </c>
      <c r="C29" s="13" t="str">
        <f>_xll.BDH("GILD US Equity","IS_RESTRUCTURING_EXPENSES","FQ2 2019","FQ2 2019","Currency=USD","Period=FQ","BEST_FPERIOD_OVERRIDE=FQ","FILING_STATUS=MR","SCALING_FORMAT=MLN","Sort=A","Dates=H","DateFormat=P","Fill=—","Direction=H","UseDPDF=Y")</f>
        <v>—</v>
      </c>
      <c r="D29" s="13" t="str">
        <f>_xll.BDH("GILD US Equity","IS_RESTRUCTURING_EXPENSES","FQ3 2019","FQ3 2019","Currency=USD","Period=FQ","BEST_FPERIOD_OVERRIDE=FQ","FILING_STATUS=MR","SCALING_FORMAT=MLN","Sort=A","Dates=H","DateFormat=P","Fill=—","Direction=H","UseDPDF=Y")</f>
        <v>—</v>
      </c>
      <c r="E29" s="13" t="str">
        <f>_xll.BDH("GILD US Equity","IS_RESTRUCTURING_EXPENSES","FQ4 2019","FQ4 2019","Currency=USD","Period=FQ","BEST_FPERIOD_OVERRIDE=FQ","FILING_STATUS=MR","SCALING_FORMAT=MLN","Sort=A","Dates=H","DateFormat=P","Fill=—","Direction=H","UseDPDF=Y")</f>
        <v>—</v>
      </c>
      <c r="F29" s="13" t="str">
        <f>_xll.BDH("GILD US Equity","IS_RESTRUCTURING_EXPENSES","FQ1 2020","FQ1 2020","Currency=USD","Period=FQ","BEST_FPERIOD_OVERRIDE=FQ","FILING_STATUS=MR","SCALING_FORMAT=MLN","Sort=A","Dates=H","DateFormat=P","Fill=—","Direction=H","UseDPDF=Y")</f>
        <v>—</v>
      </c>
      <c r="G29" s="13" t="str">
        <f>_xll.BDH("GILD US Equity","IS_RESTRUCTURING_EXPENSES","FQ2 2020","FQ2 2020","Currency=USD","Period=FQ","BEST_FPERIOD_OVERRIDE=FQ","FILING_STATUS=MR","SCALING_FORMAT=MLN","Sort=A","Dates=H","DateFormat=P","Fill=—","Direction=H","UseDPDF=Y")</f>
        <v>—</v>
      </c>
      <c r="H29" s="13" t="str">
        <f>_xll.BDH("GILD US Equity","IS_RESTRUCTURING_EXPENSES","FQ3 2020","FQ3 2020","Currency=USD","Period=FQ","BEST_FPERIOD_OVERRIDE=FQ","FILING_STATUS=MR","SCALING_FORMAT=MLN","Sort=A","Dates=H","DateFormat=P","Fill=—","Direction=H","UseDPDF=Y")</f>
        <v>—</v>
      </c>
      <c r="I29" s="13" t="str">
        <f>_xll.BDH("GILD US Equity","IS_RESTRUCTURING_EXPENSES","FQ4 2020","FQ4 2020","Currency=USD","Period=FQ","BEST_FPERIOD_OVERRIDE=FQ","FILING_STATUS=MR","SCALING_FORMAT=MLN","Sort=A","Dates=H","DateFormat=P","Fill=—","Direction=H","UseDPDF=Y")</f>
        <v>—</v>
      </c>
      <c r="J29" s="13" t="str">
        <f>_xll.BDH("GILD US Equity","IS_RESTRUCTURING_EXPENSES","FQ1 2021","FQ1 2021","Currency=USD","Period=FQ","BEST_FPERIOD_OVERRIDE=FQ","FILING_STATUS=MR","SCALING_FORMAT=MLN","Sort=A","Dates=H","DateFormat=P","Fill=—","Direction=H","UseDPDF=Y")</f>
        <v>—</v>
      </c>
      <c r="K29" s="13" t="str">
        <f>_xll.BDH("GILD US Equity","IS_RESTRUCTURING_EXPENSES","FQ2 2021","FQ2 2021","Currency=USD","Period=FQ","BEST_FPERIOD_OVERRIDE=FQ","FILING_STATUS=MR","SCALING_FORMAT=MLN","Sort=A","Dates=H","DateFormat=P","Fill=—","Direction=H","UseDPDF=Y")</f>
        <v>—</v>
      </c>
      <c r="L29" s="13" t="str">
        <f>_xll.BDH("GILD US Equity","IS_RESTRUCTURING_EXPENSES","FQ3 2021","FQ3 2021","Currency=USD","Period=FQ","BEST_FPERIOD_OVERRIDE=FQ","FILING_STATUS=MR","SCALING_FORMAT=MLN","Sort=A","Dates=H","DateFormat=P","Fill=—","Direction=H","UseDPDF=Y")</f>
        <v>—</v>
      </c>
      <c r="M29" s="13">
        <f>_xll.BDH("GILD US Equity","IS_RESTRUCTURING_EXPENSES","FQ4 2021","FQ4 2021","Currency=USD","Period=FQ","BEST_FPERIOD_OVERRIDE=FQ","FILING_STATUS=MR","SCALING_FORMAT=MLN","Sort=A","Dates=H","DateFormat=P","Fill=—","Direction=H","UseDPDF=Y")</f>
        <v>3.7974999999999999</v>
      </c>
      <c r="N29" s="13">
        <f>_xll.BDH("GILD US Equity","IS_RESTRUCTURING_EXPENSES","FQ1 2022","FQ1 2022","Currency=USD","Period=FQ","BEST_FPERIOD_OVERRIDE=FQ","FILING_STATUS=MR","SCALING_FORMAT=MLN","Sort=A","Dates=H","DateFormat=P","Fill=—","Direction=H","UseDPDF=Y")</f>
        <v>60</v>
      </c>
      <c r="O29" s="13" t="str">
        <f>_xll.BDH("GILD US Equity","IS_RESTRUCTURING_EXPENSES","FQ2 2022","FQ2 2022","Currency=USD","Period=FQ","BEST_FPERIOD_OVERRIDE=FQ","FILING_STATUS=MR","SCALING_FORMAT=MLN","Sort=A","Dates=H","DateFormat=P","Fill=—","Direction=H","UseDPDF=Y")</f>
        <v>—</v>
      </c>
      <c r="P29" s="13" t="str">
        <f>_xll.BDH("GILD US Equity","IS_RESTRUCTURING_EXPENSES","FQ3 2022","FQ3 2022","Currency=USD","Period=FQ","BEST_FPERIOD_OVERRIDE=FQ","FILING_STATUS=MR","SCALING_FORMAT=MLN","Sort=A","Dates=H","DateFormat=P","Fill=—","Direction=H","UseDPDF=Y")</f>
        <v>—</v>
      </c>
      <c r="Q29" s="13" t="str">
        <f>_xll.BDH("GILD US Equity","IS_RESTRUCTURING_EXPENSES","FQ4 2022","FQ4 2022","Currency=USD","Period=FQ","BEST_FPERIOD_OVERRIDE=FQ","FILING_STATUS=MR","SCALING_FORMAT=MLN","Sort=A","Dates=H","DateFormat=P","Fill=—","Direction=H","UseDPDF=Y")</f>
        <v>—</v>
      </c>
      <c r="R29" s="13" t="str">
        <f>_xll.BDH("GILD US Equity","IS_RESTRUCTURING_EXPENSES","FQ1 2023","FQ1 2023","Currency=USD","Period=FQ","BEST_FPERIOD_OVERRIDE=FQ","FILING_STATUS=MR","SCALING_FORMAT=MLN","Sort=A","Dates=H","DateFormat=P","Fill=—","Direction=H","UseDPDF=Y")</f>
        <v>—</v>
      </c>
      <c r="S29" s="13" t="str">
        <f>_xll.BDH("GILD US Equity","IS_RESTRUCTURING_EXPENSES","FQ2 2023","FQ2 2023","Currency=USD","Period=FQ","BEST_FPERIOD_OVERRIDE=FQ","FILING_STATUS=MR","SCALING_FORMAT=MLN","Sort=A","Dates=H","DateFormat=P","Fill=—","Direction=H","UseDPDF=Y")</f>
        <v>—</v>
      </c>
      <c r="T29" s="13">
        <f>_xll.BDH("GILD US Equity","IS_RESTRUCTURING_EXPENSES","FQ3 2023","FQ3 2023","Currency=USD","Period=FQ","BEST_FPERIOD_OVERRIDE=FQ","FILING_STATUS=MR","SCALING_FORMAT=MLN","Sort=A","Dates=H","DateFormat=P","Fill=—","Direction=H","UseDPDF=Y")</f>
        <v>22</v>
      </c>
      <c r="U29" s="13">
        <f>_xll.BDH("GILD US Equity","IS_RESTRUCTURING_EXPENSES","FQ4 2023","FQ4 2023","Currency=USD","Period=FQ","BEST_FPERIOD_OVERRIDE=FQ","FILING_STATUS=MR","SCALING_FORMAT=MLN","Sort=A","Dates=H","DateFormat=P","Fill=—","Direction=H","UseDPDF=Y")</f>
        <v>505</v>
      </c>
      <c r="V29" s="13">
        <f>_xll.BDH("GILD US Equity","IS_RESTRUCTURING_EXPENSES","FQ1 2024","FQ1 2024","Currency=USD","Period=FQ","BEST_FPERIOD_OVERRIDE=FQ","FILING_STATUS=MR","SCALING_FORMAT=MLN","Sort=A","Dates=H","DateFormat=P","Fill=—","Direction=H","UseDPDF=Y")</f>
        <v>63</v>
      </c>
      <c r="W29" s="13">
        <f>_xll.BDH("GILD US Equity","IS_RESTRUCTURING_EXPENSES","FQ2 2024","FQ2 2024","Currency=USD","Period=FQ","BEST_FPERIOD_OVERRIDE=FQ","FILING_STATUS=MR","SCALING_FORMAT=MLN","Sort=A","Dates=H","DateFormat=P","Fill=—","Direction=H","UseDPDF=Y")</f>
        <v>21</v>
      </c>
      <c r="X29" s="13">
        <f>_xll.BDH("GILD US Equity","IS_RESTRUCTURING_EXPENSES","FQ3 2024","FQ3 2024","Currency=USD","Period=FQ","BEST_FPERIOD_OVERRIDE=FQ","FILING_STATUS=MR","SCALING_FORMAT=MLN","Sort=A","Dates=H","DateFormat=P","Fill=—","Direction=H","UseDPDF=Y")</f>
        <v>28</v>
      </c>
      <c r="Y29" s="13">
        <f>_xll.BDH("GILD US Equity","IS_RESTRUCTURING_EXPENSES","FQ4 2024","FQ4 2024","Currency=USD","Period=FQ","BEST_FPERIOD_OVERRIDE=FQ","FILING_STATUS=MR","SCALING_FORMAT=MLN","Sort=A","Dates=H","DateFormat=P","Fill=—","Direction=H","UseDPDF=Y")</f>
        <v>76</v>
      </c>
      <c r="Z29" s="13"/>
      <c r="AA29" s="13"/>
    </row>
    <row r="30" spans="1:27" x14ac:dyDescent="0.25">
      <c r="A30" s="10" t="s">
        <v>355</v>
      </c>
      <c r="B30" s="10" t="s">
        <v>356</v>
      </c>
      <c r="C30" s="13" t="str">
        <f>_xll.BDH("GILD US Equity","IS_GAIN_LOSS_ON_INVESTMENTS","FQ2 2019","FQ2 2019","Currency=USD","Period=FQ","BEST_FPERIOD_OVERRIDE=FQ","FILING_STATUS=MR","SCALING_FORMAT=MLN","Sort=A","Dates=H","DateFormat=P","Fill=—","Direction=H","UseDPDF=Y")</f>
        <v>—</v>
      </c>
      <c r="D30" s="13">
        <f>_xll.BDH("GILD US Equity","IS_GAIN_LOSS_ON_INVESTMENTS","FQ3 2019","FQ3 2019","Currency=USD","Period=FQ","BEST_FPERIOD_OVERRIDE=FQ","FILING_STATUS=MR","SCALING_FORMAT=MLN","Sort=A","Dates=H","DateFormat=P","Fill=—","Direction=H","UseDPDF=Y")</f>
        <v>-58</v>
      </c>
      <c r="E30" s="13">
        <f>_xll.BDH("GILD US Equity","IS_GAIN_LOSS_ON_INVESTMENTS","FQ4 2019","FQ4 2019","Currency=USD","Period=FQ","BEST_FPERIOD_OVERRIDE=FQ","FILING_STATUS=MR","SCALING_FORMAT=MLN","Sort=A","Dates=H","DateFormat=P","Fill=—","Direction=H","UseDPDF=Y")</f>
        <v>-929</v>
      </c>
      <c r="F30" s="13">
        <f>_xll.BDH("GILD US Equity","IS_GAIN_LOSS_ON_INVESTMENTS","FQ1 2020","FQ1 2020","Currency=USD","Period=FQ","BEST_FPERIOD_OVERRIDE=FQ","FILING_STATUS=MR","SCALING_FORMAT=MLN","Sort=A","Dates=H","DateFormat=P","Fill=—","Direction=H","UseDPDF=Y")</f>
        <v>283</v>
      </c>
      <c r="G30" s="13">
        <f>_xll.BDH("GILD US Equity","IS_GAIN_LOSS_ON_INVESTMENTS","FQ2 2020","FQ2 2020","Currency=USD","Period=FQ","BEST_FPERIOD_OVERRIDE=FQ","FILING_STATUS=MR","SCALING_FORMAT=MLN","Sort=A","Dates=H","DateFormat=P","Fill=—","Direction=H","UseDPDF=Y")</f>
        <v>-201</v>
      </c>
      <c r="H30" s="13">
        <f>_xll.BDH("GILD US Equity","IS_GAIN_LOSS_ON_INVESTMENTS","FQ3 2020","FQ3 2020","Currency=USD","Period=FQ","BEST_FPERIOD_OVERRIDE=FQ","FILING_STATUS=MR","SCALING_FORMAT=MLN","Sort=A","Dates=H","DateFormat=P","Fill=—","Direction=H","UseDPDF=Y")</f>
        <v>969</v>
      </c>
      <c r="I30" s="13">
        <f>_xll.BDH("GILD US Equity","IS_GAIN_LOSS_ON_INVESTMENTS","FQ4 2020","FQ4 2020","Currency=USD","Period=FQ","BEST_FPERIOD_OVERRIDE=FQ","FILING_STATUS=MR","SCALING_FORMAT=MLN","Sort=A","Dates=H","DateFormat=P","Fill=—","Direction=H","UseDPDF=Y")</f>
        <v>616</v>
      </c>
      <c r="J30" s="13">
        <f>_xll.BDH("GILD US Equity","IS_GAIN_LOSS_ON_INVESTMENTS","FQ1 2021","FQ1 2021","Currency=USD","Period=FQ","BEST_FPERIOD_OVERRIDE=FQ","FILING_STATUS=MR","SCALING_FORMAT=MLN","Sort=A","Dates=H","DateFormat=P","Fill=—","Direction=H","UseDPDF=Y")</f>
        <v>351</v>
      </c>
      <c r="K30" s="13">
        <f>_xll.BDH("GILD US Equity","IS_GAIN_LOSS_ON_INVESTMENTS","FQ2 2021","FQ2 2021","Currency=USD","Period=FQ","BEST_FPERIOD_OVERRIDE=FQ","FILING_STATUS=MR","SCALING_FORMAT=MLN","Sort=A","Dates=H","DateFormat=P","Fill=—","Direction=H","UseDPDF=Y")</f>
        <v>174</v>
      </c>
      <c r="L30" s="13">
        <f>_xll.BDH("GILD US Equity","IS_GAIN_LOSS_ON_INVESTMENTS","FQ3 2021","FQ3 2021","Currency=USD","Period=FQ","BEST_FPERIOD_OVERRIDE=FQ","FILING_STATUS=MR","SCALING_FORMAT=MLN","Sort=A","Dates=H","DateFormat=P","Fill=—","Direction=H","UseDPDF=Y")</f>
        <v>142</v>
      </c>
      <c r="M30" s="13">
        <f>_xll.BDH("GILD US Equity","IS_GAIN_LOSS_ON_INVESTMENTS","FQ4 2021","FQ4 2021","Currency=USD","Period=FQ","BEST_FPERIOD_OVERRIDE=FQ","FILING_STATUS=MR","SCALING_FORMAT=MLN","Sort=A","Dates=H","DateFormat=P","Fill=—","Direction=H","UseDPDF=Y")</f>
        <v>-56</v>
      </c>
      <c r="N30" s="13" t="str">
        <f>_xll.BDH("GILD US Equity","IS_GAIN_LOSS_ON_INVESTMENTS","FQ1 2022","FQ1 2022","Currency=USD","Period=FQ","BEST_FPERIOD_OVERRIDE=FQ","FILING_STATUS=MR","SCALING_FORMAT=MLN","Sort=A","Dates=H","DateFormat=P","Fill=—","Direction=H","UseDPDF=Y")</f>
        <v>—</v>
      </c>
      <c r="O30" s="13">
        <f>_xll.BDH("GILD US Equity","IS_GAIN_LOSS_ON_INVESTMENTS","FQ2 2022","FQ2 2022","Currency=USD","Period=FQ","BEST_FPERIOD_OVERRIDE=FQ","FILING_STATUS=MR","SCALING_FORMAT=MLN","Sort=A","Dates=H","DateFormat=P","Fill=—","Direction=H","UseDPDF=Y")</f>
        <v>611</v>
      </c>
      <c r="P30" s="13">
        <f>_xll.BDH("GILD US Equity","IS_GAIN_LOSS_ON_INVESTMENTS","FQ3 2022","FQ3 2022","Currency=USD","Period=FQ","BEST_FPERIOD_OVERRIDE=FQ","FILING_STATUS=MR","SCALING_FORMAT=MLN","Sort=A","Dates=H","DateFormat=P","Fill=—","Direction=H","UseDPDF=Y")</f>
        <v>198</v>
      </c>
      <c r="Q30" s="13">
        <f>_xll.BDH("GILD US Equity","IS_GAIN_LOSS_ON_INVESTMENTS","FQ4 2022","FQ4 2022","Currency=USD","Period=FQ","BEST_FPERIOD_OVERRIDE=FQ","FILING_STATUS=MR","SCALING_FORMAT=MLN","Sort=A","Dates=H","DateFormat=P","Fill=—","Direction=H","UseDPDF=Y")</f>
        <v>61</v>
      </c>
      <c r="R30" s="13">
        <f>_xll.BDH("GILD US Equity","IS_GAIN_LOSS_ON_INVESTMENTS","FQ1 2023","FQ1 2023","Currency=USD","Period=FQ","BEST_FPERIOD_OVERRIDE=FQ","FILING_STATUS=MR","SCALING_FORMAT=MLN","Sort=A","Dates=H","DateFormat=P","Fill=—","Direction=H","UseDPDF=Y")</f>
        <v>257</v>
      </c>
      <c r="S30" s="13">
        <f>_xll.BDH("GILD US Equity","IS_GAIN_LOSS_ON_INVESTMENTS","FQ2 2023","FQ2 2023","Currency=USD","Period=FQ","BEST_FPERIOD_OVERRIDE=FQ","FILING_STATUS=MR","SCALING_FORMAT=MLN","Sort=A","Dates=H","DateFormat=P","Fill=—","Direction=H","UseDPDF=Y")</f>
        <v>-139</v>
      </c>
      <c r="T30" s="13">
        <f>_xll.BDH("GILD US Equity","IS_GAIN_LOSS_ON_INVESTMENTS","FQ3 2023","FQ3 2023","Currency=USD","Period=FQ","BEST_FPERIOD_OVERRIDE=FQ","FILING_STATUS=MR","SCALING_FORMAT=MLN","Sort=A","Dates=H","DateFormat=P","Fill=—","Direction=H","UseDPDF=Y")</f>
        <v>168</v>
      </c>
      <c r="U30" s="13">
        <f>_xll.BDH("GILD US Equity","IS_GAIN_LOSS_ON_INVESTMENTS","FQ4 2023","FQ4 2023","Currency=USD","Period=FQ","BEST_FPERIOD_OVERRIDE=FQ","FILING_STATUS=MR","SCALING_FORMAT=MLN","Sort=A","Dates=H","DateFormat=P","Fill=—","Direction=H","UseDPDF=Y")</f>
        <v>-189</v>
      </c>
      <c r="V30" s="13">
        <f>_xll.BDH("GILD US Equity","IS_GAIN_LOSS_ON_INVESTMENTS","FQ1 2024","FQ1 2024","Currency=USD","Period=FQ","BEST_FPERIOD_OVERRIDE=FQ","FILING_STATUS=MR","SCALING_FORMAT=MLN","Sort=A","Dates=H","DateFormat=P","Fill=—","Direction=H","UseDPDF=Y")</f>
        <v>14</v>
      </c>
      <c r="W30" s="13">
        <f>_xll.BDH("GILD US Equity","IS_GAIN_LOSS_ON_INVESTMENTS","FQ2 2024","FQ2 2024","Currency=USD","Period=FQ","BEST_FPERIOD_OVERRIDE=FQ","FILING_STATUS=MR","SCALING_FORMAT=MLN","Sort=A","Dates=H","DateFormat=P","Fill=—","Direction=H","UseDPDF=Y")</f>
        <v>751</v>
      </c>
      <c r="X30" s="13">
        <f>_xll.BDH("GILD US Equity","IS_GAIN_LOSS_ON_INVESTMENTS","FQ3 2024","FQ3 2024","Currency=USD","Period=FQ","BEST_FPERIOD_OVERRIDE=FQ","FILING_STATUS=MR","SCALING_FORMAT=MLN","Sort=A","Dates=H","DateFormat=P","Fill=—","Direction=H","UseDPDF=Y")</f>
        <v>-258</v>
      </c>
      <c r="Y30" s="13">
        <f>_xll.BDH("GILD US Equity","IS_GAIN_LOSS_ON_INVESTMENTS","FQ4 2024","FQ4 2024","Currency=USD","Period=FQ","BEST_FPERIOD_OVERRIDE=FQ","FILING_STATUS=MR","SCALING_FORMAT=MLN","Sort=A","Dates=H","DateFormat=P","Fill=—","Direction=H","UseDPDF=Y")</f>
        <v>126</v>
      </c>
      <c r="Z30" s="13"/>
      <c r="AA30" s="13"/>
    </row>
    <row r="31" spans="1:27" x14ac:dyDescent="0.25">
      <c r="A31" s="10" t="s">
        <v>357</v>
      </c>
      <c r="B31" s="10" t="s">
        <v>358</v>
      </c>
      <c r="C31" s="13">
        <f>_xll.BDH("GILD US Equity","IS_UNREALIZED_INVESTMENTS","FQ2 2019","FQ2 2019","Currency=USD","Period=FQ","BEST_FPERIOD_OVERRIDE=FQ","FILING_STATUS=MR","SCALING_FORMAT=MLN","Sort=A","Dates=H","DateFormat=P","Fill=—","Direction=H","UseDPDF=Y")</f>
        <v>-57</v>
      </c>
      <c r="D31" s="13" t="str">
        <f>_xll.BDH("GILD US Equity","IS_UNREALIZED_INVESTMENTS","FQ3 2019","FQ3 2019","Currency=USD","Period=FQ","BEST_FPERIOD_OVERRIDE=FQ","FILING_STATUS=MR","SCALING_FORMAT=MLN","Sort=A","Dates=H","DateFormat=P","Fill=—","Direction=H","UseDPDF=Y")</f>
        <v>—</v>
      </c>
      <c r="E31" s="13" t="str">
        <f>_xll.BDH("GILD US Equity","IS_UNREALIZED_INVESTMENTS","FQ4 2019","FQ4 2019","Currency=USD","Period=FQ","BEST_FPERIOD_OVERRIDE=FQ","FILING_STATUS=MR","SCALING_FORMAT=MLN","Sort=A","Dates=H","DateFormat=P","Fill=—","Direction=H","UseDPDF=Y")</f>
        <v>—</v>
      </c>
      <c r="F31" s="13" t="str">
        <f>_xll.BDH("GILD US Equity","IS_UNREALIZED_INVESTMENTS","FQ1 2020","FQ1 2020","Currency=USD","Period=FQ","BEST_FPERIOD_OVERRIDE=FQ","FILING_STATUS=MR","SCALING_FORMAT=MLN","Sort=A","Dates=H","DateFormat=P","Fill=—","Direction=H","UseDPDF=Y")</f>
        <v>—</v>
      </c>
      <c r="G31" s="13" t="str">
        <f>_xll.BDH("GILD US Equity","IS_UNREALIZED_INVESTMENTS","FQ2 2020","FQ2 2020","Currency=USD","Period=FQ","BEST_FPERIOD_OVERRIDE=FQ","FILING_STATUS=MR","SCALING_FORMAT=MLN","Sort=A","Dates=H","DateFormat=P","Fill=—","Direction=H","UseDPDF=Y")</f>
        <v>—</v>
      </c>
      <c r="H31" s="13" t="str">
        <f>_xll.BDH("GILD US Equity","IS_UNREALIZED_INVESTMENTS","FQ3 2020","FQ3 2020","Currency=USD","Period=FQ","BEST_FPERIOD_OVERRIDE=FQ","FILING_STATUS=MR","SCALING_FORMAT=MLN","Sort=A","Dates=H","DateFormat=P","Fill=—","Direction=H","UseDPDF=Y")</f>
        <v>—</v>
      </c>
      <c r="I31" s="13" t="str">
        <f>_xll.BDH("GILD US Equity","IS_UNREALIZED_INVESTMENTS","FQ4 2020","FQ4 2020","Currency=USD","Period=FQ","BEST_FPERIOD_OVERRIDE=FQ","FILING_STATUS=MR","SCALING_FORMAT=MLN","Sort=A","Dates=H","DateFormat=P","Fill=—","Direction=H","UseDPDF=Y")</f>
        <v>—</v>
      </c>
      <c r="J31" s="13" t="str">
        <f>_xll.BDH("GILD US Equity","IS_UNREALIZED_INVESTMENTS","FQ1 2021","FQ1 2021","Currency=USD","Period=FQ","BEST_FPERIOD_OVERRIDE=FQ","FILING_STATUS=MR","SCALING_FORMAT=MLN","Sort=A","Dates=H","DateFormat=P","Fill=—","Direction=H","UseDPDF=Y")</f>
        <v>—</v>
      </c>
      <c r="K31" s="13" t="str">
        <f>_xll.BDH("GILD US Equity","IS_UNREALIZED_INVESTMENTS","FQ2 2021","FQ2 2021","Currency=USD","Period=FQ","BEST_FPERIOD_OVERRIDE=FQ","FILING_STATUS=MR","SCALING_FORMAT=MLN","Sort=A","Dates=H","DateFormat=P","Fill=—","Direction=H","UseDPDF=Y")</f>
        <v>—</v>
      </c>
      <c r="L31" s="13" t="str">
        <f>_xll.BDH("GILD US Equity","IS_UNREALIZED_INVESTMENTS","FQ3 2021","FQ3 2021","Currency=USD","Period=FQ","BEST_FPERIOD_OVERRIDE=FQ","FILING_STATUS=MR","SCALING_FORMAT=MLN","Sort=A","Dates=H","DateFormat=P","Fill=—","Direction=H","UseDPDF=Y")</f>
        <v>—</v>
      </c>
      <c r="M31" s="13" t="str">
        <f>_xll.BDH("GILD US Equity","IS_UNREALIZED_INVESTMENTS","FQ4 2021","FQ4 2021","Currency=USD","Period=FQ","BEST_FPERIOD_OVERRIDE=FQ","FILING_STATUS=MR","SCALING_FORMAT=MLN","Sort=A","Dates=H","DateFormat=P","Fill=—","Direction=H","UseDPDF=Y")</f>
        <v>—</v>
      </c>
      <c r="N31" s="13" t="str">
        <f>_xll.BDH("GILD US Equity","IS_UNREALIZED_INVESTMENTS","FQ1 2022","FQ1 2022","Currency=USD","Period=FQ","BEST_FPERIOD_OVERRIDE=FQ","FILING_STATUS=MR","SCALING_FORMAT=MLN","Sort=A","Dates=H","DateFormat=P","Fill=—","Direction=H","UseDPDF=Y")</f>
        <v>—</v>
      </c>
      <c r="O31" s="13" t="str">
        <f>_xll.BDH("GILD US Equity","IS_UNREALIZED_INVESTMENTS","FQ2 2022","FQ2 2022","Currency=USD","Period=FQ","BEST_FPERIOD_OVERRIDE=FQ","FILING_STATUS=MR","SCALING_FORMAT=MLN","Sort=A","Dates=H","DateFormat=P","Fill=—","Direction=H","UseDPDF=Y")</f>
        <v>—</v>
      </c>
      <c r="P31" s="13" t="str">
        <f>_xll.BDH("GILD US Equity","IS_UNREALIZED_INVESTMENTS","FQ3 2022","FQ3 2022","Currency=USD","Period=FQ","BEST_FPERIOD_OVERRIDE=FQ","FILING_STATUS=MR","SCALING_FORMAT=MLN","Sort=A","Dates=H","DateFormat=P","Fill=—","Direction=H","UseDPDF=Y")</f>
        <v>—</v>
      </c>
      <c r="Q31" s="13" t="str">
        <f>_xll.BDH("GILD US Equity","IS_UNREALIZED_INVESTMENTS","FQ4 2022","FQ4 2022","Currency=USD","Period=FQ","BEST_FPERIOD_OVERRIDE=FQ","FILING_STATUS=MR","SCALING_FORMAT=MLN","Sort=A","Dates=H","DateFormat=P","Fill=—","Direction=H","UseDPDF=Y")</f>
        <v>—</v>
      </c>
      <c r="R31" s="13" t="str">
        <f>_xll.BDH("GILD US Equity","IS_UNREALIZED_INVESTMENTS","FQ1 2023","FQ1 2023","Currency=USD","Period=FQ","BEST_FPERIOD_OVERRIDE=FQ","FILING_STATUS=MR","SCALING_FORMAT=MLN","Sort=A","Dates=H","DateFormat=P","Fill=—","Direction=H","UseDPDF=Y")</f>
        <v>—</v>
      </c>
      <c r="S31" s="13" t="str">
        <f>_xll.BDH("GILD US Equity","IS_UNREALIZED_INVESTMENTS","FQ2 2023","FQ2 2023","Currency=USD","Period=FQ","BEST_FPERIOD_OVERRIDE=FQ","FILING_STATUS=MR","SCALING_FORMAT=MLN","Sort=A","Dates=H","DateFormat=P","Fill=—","Direction=H","UseDPDF=Y")</f>
        <v>—</v>
      </c>
      <c r="T31" s="13" t="str">
        <f>_xll.BDH("GILD US Equity","IS_UNREALIZED_INVESTMENTS","FQ3 2023","FQ3 2023","Currency=USD","Period=FQ","BEST_FPERIOD_OVERRIDE=FQ","FILING_STATUS=MR","SCALING_FORMAT=MLN","Sort=A","Dates=H","DateFormat=P","Fill=—","Direction=H","UseDPDF=Y")</f>
        <v>—</v>
      </c>
      <c r="U31" s="13" t="str">
        <f>_xll.BDH("GILD US Equity","IS_UNREALIZED_INVESTMENTS","FQ4 2023","FQ4 2023","Currency=USD","Period=FQ","BEST_FPERIOD_OVERRIDE=FQ","FILING_STATUS=MR","SCALING_FORMAT=MLN","Sort=A","Dates=H","DateFormat=P","Fill=—","Direction=H","UseDPDF=Y")</f>
        <v>—</v>
      </c>
      <c r="V31" s="13" t="str">
        <f>_xll.BDH("GILD US Equity","IS_UNREALIZED_INVESTMENTS","FQ1 2024","FQ1 2024","Currency=USD","Period=FQ","BEST_FPERIOD_OVERRIDE=FQ","FILING_STATUS=MR","SCALING_FORMAT=MLN","Sort=A","Dates=H","DateFormat=P","Fill=—","Direction=H","UseDPDF=Y")</f>
        <v>—</v>
      </c>
      <c r="W31" s="13" t="str">
        <f>_xll.BDH("GILD US Equity","IS_UNREALIZED_INVESTMENTS","FQ2 2024","FQ2 2024","Currency=USD","Period=FQ","BEST_FPERIOD_OVERRIDE=FQ","FILING_STATUS=MR","SCALING_FORMAT=MLN","Sort=A","Dates=H","DateFormat=P","Fill=—","Direction=H","UseDPDF=Y")</f>
        <v>—</v>
      </c>
      <c r="X31" s="13" t="str">
        <f>_xll.BDH("GILD US Equity","IS_UNREALIZED_INVESTMENTS","FQ3 2024","FQ3 2024","Currency=USD","Period=FQ","BEST_FPERIOD_OVERRIDE=FQ","FILING_STATUS=MR","SCALING_FORMAT=MLN","Sort=A","Dates=H","DateFormat=P","Fill=—","Direction=H","UseDPDF=Y")</f>
        <v>—</v>
      </c>
      <c r="Y31" s="13" t="str">
        <f>_xll.BDH("GILD US Equity","IS_UNREALIZED_INVESTMENTS","FQ4 2024","FQ4 2024","Currency=USD","Period=FQ","BEST_FPERIOD_OVERRIDE=FQ","FILING_STATUS=MR","SCALING_FORMAT=MLN","Sort=A","Dates=H","DateFormat=P","Fill=—","Direction=H","UseDPDF=Y")</f>
        <v>—</v>
      </c>
      <c r="Z31" s="13"/>
      <c r="AA31" s="13"/>
    </row>
    <row r="32" spans="1:27" x14ac:dyDescent="0.25">
      <c r="A32" s="10" t="s">
        <v>359</v>
      </c>
      <c r="B32" s="10" t="s">
        <v>360</v>
      </c>
      <c r="C32" s="13">
        <f>_xll.BDH("GILD US Equity","IS_OTHER_ONE_TIME_ITEMS","FQ2 2019","FQ2 2019","Currency=USD","Period=FQ","BEST_FPERIOD_OVERRIDE=FQ","FILING_STATUS=MR","SCALING_FORMAT=MLN","Sort=A","Dates=H","DateFormat=P","Fill=—","Direction=H","UseDPDF=Y")</f>
        <v>164</v>
      </c>
      <c r="D32" s="13">
        <f>_xll.BDH("GILD US Equity","IS_OTHER_ONE_TIME_ITEMS","FQ3 2019","FQ3 2019","Currency=USD","Period=FQ","BEST_FPERIOD_OVERRIDE=FQ","FILING_STATUS=MR","SCALING_FORMAT=MLN","Sort=A","Dates=H","DateFormat=P","Fill=—","Direction=H","UseDPDF=Y")</f>
        <v>9</v>
      </c>
      <c r="E32" s="13">
        <f>_xll.BDH("GILD US Equity","IS_OTHER_ONE_TIME_ITEMS","FQ4 2019","FQ4 2019","Currency=USD","Period=FQ","BEST_FPERIOD_OVERRIDE=FQ","FILING_STATUS=MR","SCALING_FORMAT=MLN","Sort=A","Dates=H","DateFormat=P","Fill=—","Direction=H","UseDPDF=Y")</f>
        <v>-4</v>
      </c>
      <c r="F32" s="13" t="str">
        <f>_xll.BDH("GILD US Equity","IS_OTHER_ONE_TIME_ITEMS","FQ1 2020","FQ1 2020","Currency=USD","Period=FQ","BEST_FPERIOD_OVERRIDE=FQ","FILING_STATUS=MR","SCALING_FORMAT=MLN","Sort=A","Dates=H","DateFormat=P","Fill=—","Direction=H","UseDPDF=Y")</f>
        <v>—</v>
      </c>
      <c r="G32" s="13">
        <f>_xll.BDH("GILD US Equity","IS_OTHER_ONE_TIME_ITEMS","FQ2 2020","FQ2 2020","Currency=USD","Period=FQ","BEST_FPERIOD_OVERRIDE=FQ","FILING_STATUS=MR","SCALING_FORMAT=MLN","Sort=A","Dates=H","DateFormat=P","Fill=—","Direction=H","UseDPDF=Y")</f>
        <v>-2</v>
      </c>
      <c r="H32" s="13">
        <f>_xll.BDH("GILD US Equity","IS_OTHER_ONE_TIME_ITEMS","FQ3 2020","FQ3 2020","Currency=USD","Period=FQ","BEST_FPERIOD_OVERRIDE=FQ","FILING_STATUS=MR","SCALING_FORMAT=MLN","Sort=A","Dates=H","DateFormat=P","Fill=—","Direction=H","UseDPDF=Y")</f>
        <v>-1</v>
      </c>
      <c r="I32" s="13" t="str">
        <f>_xll.BDH("GILD US Equity","IS_OTHER_ONE_TIME_ITEMS","FQ4 2020","FQ4 2020","Currency=USD","Period=FQ","BEST_FPERIOD_OVERRIDE=FQ","FILING_STATUS=MR","SCALING_FORMAT=MLN","Sort=A","Dates=H","DateFormat=P","Fill=—","Direction=H","UseDPDF=Y")</f>
        <v>—</v>
      </c>
      <c r="J32" s="13" t="str">
        <f>_xll.BDH("GILD US Equity","IS_OTHER_ONE_TIME_ITEMS","FQ1 2021","FQ1 2021","Currency=USD","Period=FQ","BEST_FPERIOD_OVERRIDE=FQ","FILING_STATUS=MR","SCALING_FORMAT=MLN","Sort=A","Dates=H","DateFormat=P","Fill=—","Direction=H","UseDPDF=Y")</f>
        <v>—</v>
      </c>
      <c r="K32" s="13">
        <f>_xll.BDH("GILD US Equity","IS_OTHER_ONE_TIME_ITEMS","FQ2 2021","FQ2 2021","Currency=USD","Period=FQ","BEST_FPERIOD_OVERRIDE=FQ","FILING_STATUS=MR","SCALING_FORMAT=MLN","Sort=A","Dates=H","DateFormat=P","Fill=—","Direction=H","UseDPDF=Y")</f>
        <v>264</v>
      </c>
      <c r="L32" s="13" t="str">
        <f>_xll.BDH("GILD US Equity","IS_OTHER_ONE_TIME_ITEMS","FQ3 2021","FQ3 2021","Currency=USD","Period=FQ","BEST_FPERIOD_OVERRIDE=FQ","FILING_STATUS=MR","SCALING_FORMAT=MLN","Sort=A","Dates=H","DateFormat=P","Fill=—","Direction=H","UseDPDF=Y")</f>
        <v>—</v>
      </c>
      <c r="M32" s="13">
        <f>_xll.BDH("GILD US Equity","IS_OTHER_ONE_TIME_ITEMS","FQ4 2021","FQ4 2021","Currency=USD","Period=FQ","BEST_FPERIOD_OVERRIDE=FQ","FILING_STATUS=MR","SCALING_FORMAT=MLN","Sort=A","Dates=H","DateFormat=P","Fill=—","Direction=H","UseDPDF=Y")</f>
        <v>6</v>
      </c>
      <c r="N32" s="13" t="str">
        <f>_xll.BDH("GILD US Equity","IS_OTHER_ONE_TIME_ITEMS","FQ1 2022","FQ1 2022","Currency=USD","Period=FQ","BEST_FPERIOD_OVERRIDE=FQ","FILING_STATUS=MR","SCALING_FORMAT=MLN","Sort=A","Dates=H","DateFormat=P","Fill=—","Direction=H","UseDPDF=Y")</f>
        <v>—</v>
      </c>
      <c r="O32" s="13">
        <f>_xll.BDH("GILD US Equity","IS_OTHER_ONE_TIME_ITEMS","FQ2 2022","FQ2 2022","Currency=USD","Period=FQ","BEST_FPERIOD_OVERRIDE=FQ","FILING_STATUS=MR","SCALING_FORMAT=MLN","Sort=A","Dates=H","DateFormat=P","Fill=—","Direction=H","UseDPDF=Y")</f>
        <v>85</v>
      </c>
      <c r="P32" s="13">
        <f>_xll.BDH("GILD US Equity","IS_OTHER_ONE_TIME_ITEMS","FQ3 2022","FQ3 2022","Currency=USD","Period=FQ","BEST_FPERIOD_OVERRIDE=FQ","FILING_STATUS=MR","SCALING_FORMAT=MLN","Sort=A","Dates=H","DateFormat=P","Fill=—","Direction=H","UseDPDF=Y")</f>
        <v>-1</v>
      </c>
      <c r="Q32" s="13">
        <f>_xll.BDH("GILD US Equity","IS_OTHER_ONE_TIME_ITEMS","FQ4 2022","FQ4 2022","Currency=USD","Period=FQ","BEST_FPERIOD_OVERRIDE=FQ","FILING_STATUS=MR","SCALING_FORMAT=MLN","Sort=A","Dates=H","DateFormat=P","Fill=—","Direction=H","UseDPDF=Y")</f>
        <v>2</v>
      </c>
      <c r="R32" s="13" t="str">
        <f>_xll.BDH("GILD US Equity","IS_OTHER_ONE_TIME_ITEMS","FQ1 2023","FQ1 2023","Currency=USD","Period=FQ","BEST_FPERIOD_OVERRIDE=FQ","FILING_STATUS=MR","SCALING_FORMAT=MLN","Sort=A","Dates=H","DateFormat=P","Fill=—","Direction=H","UseDPDF=Y")</f>
        <v>—</v>
      </c>
      <c r="S32" s="13" t="str">
        <f>_xll.BDH("GILD US Equity","IS_OTHER_ONE_TIME_ITEMS","FQ2 2023","FQ2 2023","Currency=USD","Period=FQ","BEST_FPERIOD_OVERRIDE=FQ","FILING_STATUS=MR","SCALING_FORMAT=MLN","Sort=A","Dates=H","DateFormat=P","Fill=—","Direction=H","UseDPDF=Y")</f>
        <v>—</v>
      </c>
      <c r="T32" s="13" t="str">
        <f>_xll.BDH("GILD US Equity","IS_OTHER_ONE_TIME_ITEMS","FQ3 2023","FQ3 2023","Currency=USD","Period=FQ","BEST_FPERIOD_OVERRIDE=FQ","FILING_STATUS=MR","SCALING_FORMAT=MLN","Sort=A","Dates=H","DateFormat=P","Fill=—","Direction=H","UseDPDF=Y")</f>
        <v>—</v>
      </c>
      <c r="U32" s="13">
        <f>_xll.BDH("GILD US Equity","IS_OTHER_ONE_TIME_ITEMS","FQ4 2023","FQ4 2023","Currency=USD","Period=FQ","BEST_FPERIOD_OVERRIDE=FQ","FILING_STATUS=MR","SCALING_FORMAT=MLN","Sort=A","Dates=H","DateFormat=P","Fill=—","Direction=H","UseDPDF=Y")</f>
        <v>51</v>
      </c>
      <c r="V32" s="13" t="str">
        <f>_xll.BDH("GILD US Equity","IS_OTHER_ONE_TIME_ITEMS","FQ1 2024","FQ1 2024","Currency=USD","Period=FQ","BEST_FPERIOD_OVERRIDE=FQ","FILING_STATUS=MR","SCALING_FORMAT=MLN","Sort=A","Dates=H","DateFormat=P","Fill=—","Direction=H","UseDPDF=Y")</f>
        <v>—</v>
      </c>
      <c r="W32" s="13" t="str">
        <f>_xll.BDH("GILD US Equity","IS_OTHER_ONE_TIME_ITEMS","FQ2 2024","FQ2 2024","Currency=USD","Period=FQ","BEST_FPERIOD_OVERRIDE=FQ","FILING_STATUS=MR","SCALING_FORMAT=MLN","Sort=A","Dates=H","DateFormat=P","Fill=—","Direction=H","UseDPDF=Y")</f>
        <v>—</v>
      </c>
      <c r="X32" s="13" t="str">
        <f>_xll.BDH("GILD US Equity","IS_OTHER_ONE_TIME_ITEMS","FQ3 2024","FQ3 2024","Currency=USD","Period=FQ","BEST_FPERIOD_OVERRIDE=FQ","FILING_STATUS=MR","SCALING_FORMAT=MLN","Sort=A","Dates=H","DateFormat=P","Fill=—","Direction=H","UseDPDF=Y")</f>
        <v>—</v>
      </c>
      <c r="Y32" s="13" t="str">
        <f>_xll.BDH("GILD US Equity","IS_OTHER_ONE_TIME_ITEMS","FQ4 2024","FQ4 2024","Currency=USD","Period=FQ","BEST_FPERIOD_OVERRIDE=FQ","FILING_STATUS=MR","SCALING_FORMAT=MLN","Sort=A","Dates=H","DateFormat=P","Fill=—","Direction=H","UseDPDF=Y")</f>
        <v>—</v>
      </c>
      <c r="Z32" s="13"/>
      <c r="AA32" s="13"/>
    </row>
    <row r="33" spans="1:27" x14ac:dyDescent="0.25">
      <c r="A33" s="6" t="s">
        <v>361</v>
      </c>
      <c r="B33" s="6" t="s">
        <v>158</v>
      </c>
      <c r="C33" s="19">
        <f>_xll.BDH("GILD US Equity","PRETAX_INC","FQ2 2019","FQ2 2019","Currency=USD","Period=FQ","BEST_FPERIOD_OVERRIDE=FQ","FILING_STATUS=MR","SCALING_FORMAT=MLN","FA_ADJUSTED=GAAP","Sort=A","Dates=H","DateFormat=P","Fill=—","Direction=H","UseDPDF=Y")</f>
        <v>2410</v>
      </c>
      <c r="D33" s="19">
        <f>_xll.BDH("GILD US Equity","PRETAX_INC","FQ3 2019","FQ3 2019","Currency=USD","Period=FQ","BEST_FPERIOD_OVERRIDE=FQ","FILING_STATUS=MR","SCALING_FORMAT=MLN","FA_ADJUSTED=GAAP","Sort=A","Dates=H","DateFormat=P","Fill=—","Direction=H","UseDPDF=Y")</f>
        <v>-1501</v>
      </c>
      <c r="E33" s="19">
        <f>_xll.BDH("GILD US Equity","PRETAX_INC","FQ4 2019","FQ4 2019","Currency=USD","Period=FQ","BEST_FPERIOD_OVERRIDE=FQ","FILING_STATUS=MR","SCALING_FORMAT=MLN","FA_ADJUSTED=GAAP","Sort=A","Dates=H","DateFormat=P","Fill=—","Direction=H","UseDPDF=Y")</f>
        <v>1901</v>
      </c>
      <c r="F33" s="19">
        <f>_xll.BDH("GILD US Equity","PRETAX_INC","FQ1 2020","FQ1 2020","Currency=USD","Period=FQ","BEST_FPERIOD_OVERRIDE=FQ","FILING_STATUS=MR","SCALING_FORMAT=MLN","FA_ADJUSTED=GAAP","Sort=A","Dates=H","DateFormat=P","Fill=—","Direction=H","UseDPDF=Y")</f>
        <v>2003</v>
      </c>
      <c r="G33" s="19">
        <f>_xll.BDH("GILD US Equity","PRETAX_INC","FQ2 2020","FQ2 2020","Currency=USD","Period=FQ","BEST_FPERIOD_OVERRIDE=FQ","FILING_STATUS=MR","SCALING_FORMAT=MLN","FA_ADJUSTED=GAAP","Sort=A","Dates=H","DateFormat=P","Fill=—","Direction=H","UseDPDF=Y")</f>
        <v>-2973</v>
      </c>
      <c r="H33" s="19">
        <f>_xll.BDH("GILD US Equity","PRETAX_INC","FQ3 2020","FQ3 2020","Currency=USD","Period=FQ","BEST_FPERIOD_OVERRIDE=FQ","FILING_STATUS=MR","SCALING_FORMAT=MLN","FA_ADJUSTED=GAAP","Sort=A","Dates=H","DateFormat=P","Fill=—","Direction=H","UseDPDF=Y")</f>
        <v>825</v>
      </c>
      <c r="I33" s="19">
        <f>_xll.BDH("GILD US Equity","PRETAX_INC","FQ4 2020","FQ4 2020","Currency=USD","Period=FQ","BEST_FPERIOD_OVERRIDE=FQ","FILING_STATUS=MR","SCALING_FORMAT=MLN","FA_ADJUSTED=GAAP","Sort=A","Dates=H","DateFormat=P","Fill=—","Direction=H","UseDPDF=Y")</f>
        <v>1814</v>
      </c>
      <c r="J33" s="19">
        <f>_xll.BDH("GILD US Equity","PRETAX_INC","FQ1 2021","FQ1 2021","Currency=USD","Period=FQ","BEST_FPERIOD_OVERRIDE=FQ","FILING_STATUS=MR","SCALING_FORMAT=MLN","FA_ADJUSTED=GAAP","Sort=A","Dates=H","DateFormat=P","Fill=—","Direction=H","UseDPDF=Y")</f>
        <v>2264</v>
      </c>
      <c r="K33" s="19">
        <f>_xll.BDH("GILD US Equity","PRETAX_INC","FQ2 2021","FQ2 2021","Currency=USD","Period=FQ","BEST_FPERIOD_OVERRIDE=FQ","FILING_STATUS=MR","SCALING_FORMAT=MLN","FA_ADJUSTED=GAAP","Sort=A","Dates=H","DateFormat=P","Fill=—","Direction=H","UseDPDF=Y")</f>
        <v>1817</v>
      </c>
      <c r="L33" s="19">
        <f>_xll.BDH("GILD US Equity","PRETAX_INC","FQ3 2021","FQ3 2021","Currency=USD","Period=FQ","BEST_FPERIOD_OVERRIDE=FQ","FILING_STATUS=MR","SCALING_FORMAT=MLN","FA_ADJUSTED=GAAP","Sort=A","Dates=H","DateFormat=P","Fill=—","Direction=H","UseDPDF=Y")</f>
        <v>3438</v>
      </c>
      <c r="M33" s="19">
        <f>_xll.BDH("GILD US Equity","PRETAX_INC","FQ4 2021","FQ4 2021","Currency=USD","Period=FQ","BEST_FPERIOD_OVERRIDE=FQ","FILING_STATUS=MR","SCALING_FORMAT=MLN","FA_ADJUSTED=GAAP","Sort=A","Dates=H","DateFormat=P","Fill=—","Direction=H","UseDPDF=Y")</f>
        <v>759</v>
      </c>
      <c r="N33" s="19">
        <f>_xll.BDH("GILD US Equity","PRETAX_INC","FQ1 2022","FQ1 2022","Currency=USD","Period=FQ","BEST_FPERIOD_OVERRIDE=FQ","FILING_STATUS=MR","SCALING_FORMAT=MLN","FA_ADJUSTED=GAAP","Sort=A","Dates=H","DateFormat=P","Fill=—","Direction=H","UseDPDF=Y")</f>
        <v>-152</v>
      </c>
      <c r="O33" s="19">
        <f>_xll.BDH("GILD US Equity","PRETAX_INC","FQ2 2022","FQ2 2022","Currency=USD","Period=FQ","BEST_FPERIOD_OVERRIDE=FQ","FILING_STATUS=MR","SCALING_FORMAT=MLN","FA_ADJUSTED=GAAP","Sort=A","Dates=H","DateFormat=P","Fill=—","Direction=H","UseDPDF=Y")</f>
        <v>1503</v>
      </c>
      <c r="P33" s="19">
        <f>_xll.BDH("GILD US Equity","PRETAX_INC","FQ3 2022","FQ3 2022","Currency=USD","Period=FQ","BEST_FPERIOD_OVERRIDE=FQ","FILING_STATUS=MR","SCALING_FORMAT=MLN","FA_ADJUSTED=GAAP","Sort=A","Dates=H","DateFormat=P","Fill=—","Direction=H","UseDPDF=Y")</f>
        <v>2432</v>
      </c>
      <c r="Q33" s="19">
        <f>_xll.BDH("GILD US Equity","PRETAX_INC","FQ4 2022","FQ4 2022","Currency=USD","Period=FQ","BEST_FPERIOD_OVERRIDE=FQ","FILING_STATUS=MR","SCALING_FORMAT=MLN","FA_ADJUSTED=GAAP","Sort=A","Dates=H","DateFormat=P","Fill=—","Direction=H","UseDPDF=Y")</f>
        <v>2031</v>
      </c>
      <c r="R33" s="19">
        <f>_xll.BDH("GILD US Equity","PRETAX_INC","FQ1 2023","FQ1 2023","Currency=USD","Period=FQ","BEST_FPERIOD_OVERRIDE=FQ","FILING_STATUS=MR","SCALING_FORMAT=MLN","FA_ADJUSTED=GAAP","Sort=A","Dates=H","DateFormat=P","Fill=—","Direction=H","UseDPDF=Y")</f>
        <v>1300</v>
      </c>
      <c r="S33" s="19">
        <f>_xll.BDH("GILD US Equity","PRETAX_INC","FQ2 2023","FQ2 2023","Currency=USD","Period=FQ","BEST_FPERIOD_OVERRIDE=FQ","FILING_STATUS=MR","SCALING_FORMAT=MLN","FA_ADJUSTED=GAAP","Sort=A","Dates=H","DateFormat=P","Fill=—","Direction=H","UseDPDF=Y")</f>
        <v>1588</v>
      </c>
      <c r="T33" s="19">
        <f>_xll.BDH("GILD US Equity","PRETAX_INC","FQ3 2023","FQ3 2023","Currency=USD","Period=FQ","BEST_FPERIOD_OVERRIDE=FQ","FILING_STATUS=MR","SCALING_FORMAT=MLN","FA_ADJUSTED=GAAP","Sort=A","Dates=H","DateFormat=P","Fill=—","Direction=H","UseDPDF=Y")</f>
        <v>2319</v>
      </c>
      <c r="U33" s="19">
        <f>_xll.BDH("GILD US Equity","PRETAX_INC","FQ4 2023","FQ4 2023","Currency=USD","Period=FQ","BEST_FPERIOD_OVERRIDE=FQ","FILING_STATUS=MR","SCALING_FORMAT=MLN","FA_ADJUSTED=GAAP","Sort=A","Dates=H","DateFormat=P","Fill=—","Direction=H","UseDPDF=Y")</f>
        <v>1653</v>
      </c>
      <c r="V33" s="19">
        <f>_xll.BDH("GILD US Equity","PRETAX_INC","FQ1 2024","FQ1 2024","Currency=USD","Period=FQ","BEST_FPERIOD_OVERRIDE=FQ","FILING_STATUS=MR","SCALING_FORMAT=MLN","FA_ADJUSTED=GAAP","Sort=A","Dates=H","DateFormat=P","Fill=—","Direction=H","UseDPDF=Y")</f>
        <v>-4486</v>
      </c>
      <c r="W33" s="19">
        <f>_xll.BDH("GILD US Equity","PRETAX_INC","FQ2 2024","FQ2 2024","Currency=USD","Period=FQ","BEST_FPERIOD_OVERRIDE=FQ","FILING_STATUS=MR","SCALING_FORMAT=MLN","FA_ADJUSTED=GAAP","Sort=A","Dates=H","DateFormat=P","Fill=—","Direction=H","UseDPDF=Y")</f>
        <v>2053</v>
      </c>
      <c r="X33" s="19">
        <f>_xll.BDH("GILD US Equity","PRETAX_INC","FQ3 2024","FQ3 2024","Currency=USD","Period=FQ","BEST_FPERIOD_OVERRIDE=FQ","FILING_STATUS=MR","SCALING_FORMAT=MLN","FA_ADJUSTED=GAAP","Sort=A","Dates=H","DateFormat=P","Fill=—","Direction=H","UseDPDF=Y")</f>
        <v>956</v>
      </c>
      <c r="Y33" s="19">
        <f>_xll.BDH("GILD US Equity","PRETAX_INC","FQ4 2024","FQ4 2024","Currency=USD","Period=FQ","BEST_FPERIOD_OVERRIDE=FQ","FILING_STATUS=MR","SCALING_FORMAT=MLN","FA_ADJUSTED=GAAP","Sort=A","Dates=H","DateFormat=P","Fill=—","Direction=H","UseDPDF=Y")</f>
        <v>2168</v>
      </c>
      <c r="Z33" s="19">
        <v>2700.5329999999999</v>
      </c>
      <c r="AA33" s="19">
        <v>2986.6669999999999</v>
      </c>
    </row>
    <row r="34" spans="1:27" x14ac:dyDescent="0.25">
      <c r="A34" s="10" t="s">
        <v>362</v>
      </c>
      <c r="B34" s="10" t="s">
        <v>363</v>
      </c>
      <c r="C34" s="13">
        <f>_xll.BDH("GILD US Equity","IS_INC_TAX_EXP","FQ2 2019","FQ2 2019","Currency=USD","Period=FQ","BEST_FPERIOD_OVERRIDE=FQ","FILING_STATUS=MR","SCALING_FORMAT=MLN","FA_ADJUSTED=GAAP","Sort=A","Dates=H","DateFormat=P","Fill=—","Direction=H","UseDPDF=Y")</f>
        <v>535</v>
      </c>
      <c r="D34" s="13">
        <f>_xll.BDH("GILD US Equity","IS_INC_TAX_EXP","FQ3 2019","FQ3 2019","Currency=USD","Period=FQ","BEST_FPERIOD_OVERRIDE=FQ","FILING_STATUS=MR","SCALING_FORMAT=MLN","FA_ADJUSTED=GAAP","Sort=A","Dates=H","DateFormat=P","Fill=—","Direction=H","UseDPDF=Y")</f>
        <v>-333</v>
      </c>
      <c r="E34" s="13">
        <f>_xll.BDH("GILD US Equity","IS_INC_TAX_EXP","FQ4 2019","FQ4 2019","Currency=USD","Period=FQ","BEST_FPERIOD_OVERRIDE=FQ","FILING_STATUS=MR","SCALING_FORMAT=MLN","FA_ADJUSTED=GAAP","Sort=A","Dates=H","DateFormat=P","Fill=—","Direction=H","UseDPDF=Y")</f>
        <v>-788</v>
      </c>
      <c r="F34" s="13">
        <f>_xll.BDH("GILD US Equity","IS_INC_TAX_EXP","FQ1 2020","FQ1 2020","Currency=USD","Period=FQ","BEST_FPERIOD_OVERRIDE=FQ","FILING_STATUS=MR","SCALING_FORMAT=MLN","FA_ADJUSTED=GAAP","Sort=A","Dates=H","DateFormat=P","Fill=—","Direction=H","UseDPDF=Y")</f>
        <v>465</v>
      </c>
      <c r="G34" s="13">
        <f>_xll.BDH("GILD US Equity","IS_INC_TAX_EXP","FQ2 2020","FQ2 2020","Currency=USD","Period=FQ","BEST_FPERIOD_OVERRIDE=FQ","FILING_STATUS=MR","SCALING_FORMAT=MLN","FA_ADJUSTED=GAAP","Sort=A","Dates=H","DateFormat=P","Fill=—","Direction=H","UseDPDF=Y")</f>
        <v>373</v>
      </c>
      <c r="H34" s="13">
        <f>_xll.BDH("GILD US Equity","IS_INC_TAX_EXP","FQ3 2020","FQ3 2020","Currency=USD","Period=FQ","BEST_FPERIOD_OVERRIDE=FQ","FILING_STATUS=MR","SCALING_FORMAT=MLN","FA_ADJUSTED=GAAP","Sort=A","Dates=H","DateFormat=P","Fill=—","Direction=H","UseDPDF=Y")</f>
        <v>472</v>
      </c>
      <c r="I34" s="13">
        <f>_xll.BDH("GILD US Equity","IS_INC_TAX_EXP","FQ4 2020","FQ4 2020","Currency=USD","Period=FQ","BEST_FPERIOD_OVERRIDE=FQ","FILING_STATUS=MR","SCALING_FORMAT=MLN","FA_ADJUSTED=GAAP","Sort=A","Dates=H","DateFormat=P","Fill=—","Direction=H","UseDPDF=Y")</f>
        <v>270</v>
      </c>
      <c r="J34" s="13">
        <f>_xll.BDH("GILD US Equity","IS_INC_TAX_EXP","FQ1 2021","FQ1 2021","Currency=USD","Period=FQ","BEST_FPERIOD_OVERRIDE=FQ","FILING_STATUS=MR","SCALING_FORMAT=MLN","FA_ADJUSTED=GAAP","Sort=A","Dates=H","DateFormat=P","Fill=—","Direction=H","UseDPDF=Y")</f>
        <v>542</v>
      </c>
      <c r="K34" s="13">
        <f>_xll.BDH("GILD US Equity","IS_INC_TAX_EXP","FQ2 2021","FQ2 2021","Currency=USD","Period=FQ","BEST_FPERIOD_OVERRIDE=FQ","FILING_STATUS=MR","SCALING_FORMAT=MLN","FA_ADJUSTED=GAAP","Sort=A","Dates=H","DateFormat=P","Fill=—","Direction=H","UseDPDF=Y")</f>
        <v>300</v>
      </c>
      <c r="L34" s="13">
        <f>_xll.BDH("GILD US Equity","IS_INC_TAX_EXP","FQ3 2021","FQ3 2021","Currency=USD","Period=FQ","BEST_FPERIOD_OVERRIDE=FQ","FILING_STATUS=MR","SCALING_FORMAT=MLN","FA_ADJUSTED=GAAP","Sort=A","Dates=H","DateFormat=P","Fill=—","Direction=H","UseDPDF=Y")</f>
        <v>852</v>
      </c>
      <c r="M34" s="13">
        <f>_xll.BDH("GILD US Equity","IS_INC_TAX_EXP","FQ4 2021","FQ4 2021","Currency=USD","Period=FQ","BEST_FPERIOD_OVERRIDE=FQ","FILING_STATUS=MR","SCALING_FORMAT=MLN","FA_ADJUSTED=GAAP","Sort=A","Dates=H","DateFormat=P","Fill=—","Direction=H","UseDPDF=Y")</f>
        <v>383</v>
      </c>
      <c r="N34" s="13">
        <f>_xll.BDH("GILD US Equity","IS_INC_TAX_EXP","FQ1 2022","FQ1 2022","Currency=USD","Period=FQ","BEST_FPERIOD_OVERRIDE=FQ","FILING_STATUS=MR","SCALING_FORMAT=MLN","FA_ADJUSTED=GAAP","Sort=A","Dates=H","DateFormat=P","Fill=—","Direction=H","UseDPDF=Y")</f>
        <v>-164</v>
      </c>
      <c r="O34" s="13">
        <f>_xll.BDH("GILD US Equity","IS_INC_TAX_EXP","FQ2 2022","FQ2 2022","Currency=USD","Period=FQ","BEST_FPERIOD_OVERRIDE=FQ","FILING_STATUS=MR","SCALING_FORMAT=MLN","FA_ADJUSTED=GAAP","Sort=A","Dates=H","DateFormat=P","Fill=—","Direction=H","UseDPDF=Y")</f>
        <v>368</v>
      </c>
      <c r="P34" s="13">
        <f>_xll.BDH("GILD US Equity","IS_INC_TAX_EXP","FQ3 2022","FQ3 2022","Currency=USD","Period=FQ","BEST_FPERIOD_OVERRIDE=FQ","FILING_STATUS=MR","SCALING_FORMAT=MLN","FA_ADJUSTED=GAAP","Sort=A","Dates=H","DateFormat=P","Fill=—","Direction=H","UseDPDF=Y")</f>
        <v>646</v>
      </c>
      <c r="Q34" s="13">
        <f>_xll.BDH("GILD US Equity","IS_INC_TAX_EXP","FQ4 2022","FQ4 2022","Currency=USD","Period=FQ","BEST_FPERIOD_OVERRIDE=FQ","FILING_STATUS=MR","SCALING_FORMAT=MLN","FA_ADJUSTED=GAAP","Sort=A","Dates=H","DateFormat=P","Fill=—","Direction=H","UseDPDF=Y")</f>
        <v>398</v>
      </c>
      <c r="R34" s="13">
        <f>_xll.BDH("GILD US Equity","IS_INC_TAX_EXP","FQ1 2023","FQ1 2023","Currency=USD","Period=FQ","BEST_FPERIOD_OVERRIDE=FQ","FILING_STATUS=MR","SCALING_FORMAT=MLN","FA_ADJUSTED=GAAP","Sort=A","Dates=H","DateFormat=P","Fill=—","Direction=H","UseDPDF=Y")</f>
        <v>316</v>
      </c>
      <c r="S34" s="13">
        <f>_xll.BDH("GILD US Equity","IS_INC_TAX_EXP","FQ2 2023","FQ2 2023","Currency=USD","Period=FQ","BEST_FPERIOD_OVERRIDE=FQ","FILING_STATUS=MR","SCALING_FORMAT=MLN","FA_ADJUSTED=GAAP","Sort=A","Dates=H","DateFormat=P","Fill=—","Direction=H","UseDPDF=Y")</f>
        <v>549</v>
      </c>
      <c r="T34" s="13">
        <f>_xll.BDH("GILD US Equity","IS_INC_TAX_EXP","FQ3 2023","FQ3 2023","Currency=USD","Period=FQ","BEST_FPERIOD_OVERRIDE=FQ","FILING_STATUS=MR","SCALING_FORMAT=MLN","FA_ADJUSTED=GAAP","Sort=A","Dates=H","DateFormat=P","Fill=—","Direction=H","UseDPDF=Y")</f>
        <v>146</v>
      </c>
      <c r="U34" s="13">
        <f>_xll.BDH("GILD US Equity","IS_INC_TAX_EXP","FQ4 2023","FQ4 2023","Currency=USD","Period=FQ","BEST_FPERIOD_OVERRIDE=FQ","FILING_STATUS=MR","SCALING_FORMAT=MLN","FA_ADJUSTED=GAAP","Sort=A","Dates=H","DateFormat=P","Fill=—","Direction=H","UseDPDF=Y")</f>
        <v>236</v>
      </c>
      <c r="V34" s="13">
        <f>_xll.BDH("GILD US Equity","IS_INC_TAX_EXP","FQ1 2024","FQ1 2024","Currency=USD","Period=FQ","BEST_FPERIOD_OVERRIDE=FQ","FILING_STATUS=MR","SCALING_FORMAT=MLN","FA_ADJUSTED=GAAP","Sort=A","Dates=H","DateFormat=P","Fill=—","Direction=H","UseDPDF=Y")</f>
        <v>-316</v>
      </c>
      <c r="W34" s="13">
        <f>_xll.BDH("GILD US Equity","IS_INC_TAX_EXP","FQ2 2024","FQ2 2024","Currency=USD","Period=FQ","BEST_FPERIOD_OVERRIDE=FQ","FILING_STATUS=MR","SCALING_FORMAT=MLN","FA_ADJUSTED=GAAP","Sort=A","Dates=H","DateFormat=P","Fill=—","Direction=H","UseDPDF=Y")</f>
        <v>439</v>
      </c>
      <c r="X34" s="13">
        <f>_xll.BDH("GILD US Equity","IS_INC_TAX_EXP","FQ3 2024","FQ3 2024","Currency=USD","Period=FQ","BEST_FPERIOD_OVERRIDE=FQ","FILING_STATUS=MR","SCALING_FORMAT=MLN","FA_ADJUSTED=GAAP","Sort=A","Dates=H","DateFormat=P","Fill=—","Direction=H","UseDPDF=Y")</f>
        <v>-297</v>
      </c>
      <c r="Y34" s="13">
        <f>_xll.BDH("GILD US Equity","IS_INC_TAX_EXP","FQ4 2024","FQ4 2024","Currency=USD","Period=FQ","BEST_FPERIOD_OVERRIDE=FQ","FILING_STATUS=MR","SCALING_FORMAT=MLN","FA_ADJUSTED=GAAP","Sort=A","Dates=H","DateFormat=P","Fill=—","Direction=H","UseDPDF=Y")</f>
        <v>385</v>
      </c>
      <c r="Z34" s="13"/>
      <c r="AA34" s="13"/>
    </row>
    <row r="35" spans="1:27" x14ac:dyDescent="0.25">
      <c r="A35" s="6" t="s">
        <v>364</v>
      </c>
      <c r="B35" s="6" t="s">
        <v>365</v>
      </c>
      <c r="C35" s="19">
        <f>_xll.BDH("GILD US Equity","IS_INC_BEF_XO_ITEM","FQ2 2019","FQ2 2019","Currency=USD","Period=FQ","BEST_FPERIOD_OVERRIDE=FQ","FILING_STATUS=MR","SCALING_FORMAT=MLN","Sort=A","Dates=H","DateFormat=P","Fill=—","Direction=H","UseDPDF=Y")</f>
        <v>1875</v>
      </c>
      <c r="D35" s="19">
        <f>_xll.BDH("GILD US Equity","IS_INC_BEF_XO_ITEM","FQ3 2019","FQ3 2019","Currency=USD","Period=FQ","BEST_FPERIOD_OVERRIDE=FQ","FILING_STATUS=MR","SCALING_FORMAT=MLN","Sort=A","Dates=H","DateFormat=P","Fill=—","Direction=H","UseDPDF=Y")</f>
        <v>-1168</v>
      </c>
      <c r="E35" s="19">
        <f>_xll.BDH("GILD US Equity","IS_INC_BEF_XO_ITEM","FQ4 2019","FQ4 2019","Currency=USD","Period=FQ","BEST_FPERIOD_OVERRIDE=FQ","FILING_STATUS=MR","SCALING_FORMAT=MLN","Sort=A","Dates=H","DateFormat=P","Fill=—","Direction=H","UseDPDF=Y")</f>
        <v>2689</v>
      </c>
      <c r="F35" s="19">
        <f>_xll.BDH("GILD US Equity","IS_INC_BEF_XO_ITEM","FQ1 2020","FQ1 2020","Currency=USD","Period=FQ","BEST_FPERIOD_OVERRIDE=FQ","FILING_STATUS=MR","SCALING_FORMAT=MLN","Sort=A","Dates=H","DateFormat=P","Fill=—","Direction=H","UseDPDF=Y")</f>
        <v>1538</v>
      </c>
      <c r="G35" s="19">
        <f>_xll.BDH("GILD US Equity","IS_INC_BEF_XO_ITEM","FQ2 2020","FQ2 2020","Currency=USD","Period=FQ","BEST_FPERIOD_OVERRIDE=FQ","FILING_STATUS=MR","SCALING_FORMAT=MLN","Sort=A","Dates=H","DateFormat=P","Fill=—","Direction=H","UseDPDF=Y")</f>
        <v>-3346</v>
      </c>
      <c r="H35" s="19">
        <f>_xll.BDH("GILD US Equity","IS_INC_BEF_XO_ITEM","FQ3 2020","FQ3 2020","Currency=USD","Period=FQ","BEST_FPERIOD_OVERRIDE=FQ","FILING_STATUS=MR","SCALING_FORMAT=MLN","Sort=A","Dates=H","DateFormat=P","Fill=—","Direction=H","UseDPDF=Y")</f>
        <v>353</v>
      </c>
      <c r="I35" s="19">
        <f>_xll.BDH("GILD US Equity","IS_INC_BEF_XO_ITEM","FQ4 2020","FQ4 2020","Currency=USD","Period=FQ","BEST_FPERIOD_OVERRIDE=FQ","FILING_STATUS=MR","SCALING_FORMAT=MLN","Sort=A","Dates=H","DateFormat=P","Fill=—","Direction=H","UseDPDF=Y")</f>
        <v>1544</v>
      </c>
      <c r="J35" s="19">
        <f>_xll.BDH("GILD US Equity","IS_INC_BEF_XO_ITEM","FQ1 2021","FQ1 2021","Currency=USD","Period=FQ","BEST_FPERIOD_OVERRIDE=FQ","FILING_STATUS=MR","SCALING_FORMAT=MLN","Sort=A","Dates=H","DateFormat=P","Fill=—","Direction=H","UseDPDF=Y")</f>
        <v>1722</v>
      </c>
      <c r="K35" s="19">
        <f>_xll.BDH("GILD US Equity","IS_INC_BEF_XO_ITEM","FQ2 2021","FQ2 2021","Currency=USD","Period=FQ","BEST_FPERIOD_OVERRIDE=FQ","FILING_STATUS=MR","SCALING_FORMAT=MLN","Sort=A","Dates=H","DateFormat=P","Fill=—","Direction=H","UseDPDF=Y")</f>
        <v>1517</v>
      </c>
      <c r="L35" s="19">
        <f>_xll.BDH("GILD US Equity","IS_INC_BEF_XO_ITEM","FQ3 2021","FQ3 2021","Currency=USD","Period=FQ","BEST_FPERIOD_OVERRIDE=FQ","FILING_STATUS=MR","SCALING_FORMAT=MLN","Sort=A","Dates=H","DateFormat=P","Fill=—","Direction=H","UseDPDF=Y")</f>
        <v>2586</v>
      </c>
      <c r="M35" s="19">
        <f>_xll.BDH("GILD US Equity","IS_INC_BEF_XO_ITEM","FQ4 2021","FQ4 2021","Currency=USD","Period=FQ","BEST_FPERIOD_OVERRIDE=FQ","FILING_STATUS=MR","SCALING_FORMAT=MLN","Sort=A","Dates=H","DateFormat=P","Fill=—","Direction=H","UseDPDF=Y")</f>
        <v>376</v>
      </c>
      <c r="N35" s="19">
        <f>_xll.BDH("GILD US Equity","IS_INC_BEF_XO_ITEM","FQ1 2022","FQ1 2022","Currency=USD","Period=FQ","BEST_FPERIOD_OVERRIDE=FQ","FILING_STATUS=MR","SCALING_FORMAT=MLN","Sort=A","Dates=H","DateFormat=P","Fill=—","Direction=H","UseDPDF=Y")</f>
        <v>12</v>
      </c>
      <c r="O35" s="19">
        <f>_xll.BDH("GILD US Equity","IS_INC_BEF_XO_ITEM","FQ2 2022","FQ2 2022","Currency=USD","Period=FQ","BEST_FPERIOD_OVERRIDE=FQ","FILING_STATUS=MR","SCALING_FORMAT=MLN","Sort=A","Dates=H","DateFormat=P","Fill=—","Direction=H","UseDPDF=Y")</f>
        <v>1135</v>
      </c>
      <c r="P35" s="19">
        <f>_xll.BDH("GILD US Equity","IS_INC_BEF_XO_ITEM","FQ3 2022","FQ3 2022","Currency=USD","Period=FQ","BEST_FPERIOD_OVERRIDE=FQ","FILING_STATUS=MR","SCALING_FORMAT=MLN","Sort=A","Dates=H","DateFormat=P","Fill=—","Direction=H","UseDPDF=Y")</f>
        <v>1786</v>
      </c>
      <c r="Q35" s="19">
        <f>_xll.BDH("GILD US Equity","IS_INC_BEF_XO_ITEM","FQ4 2022","FQ4 2022","Currency=USD","Period=FQ","BEST_FPERIOD_OVERRIDE=FQ","FILING_STATUS=MR","SCALING_FORMAT=MLN","Sort=A","Dates=H","DateFormat=P","Fill=—","Direction=H","UseDPDF=Y")</f>
        <v>1633</v>
      </c>
      <c r="R35" s="19">
        <f>_xll.BDH("GILD US Equity","IS_INC_BEF_XO_ITEM","FQ1 2023","FQ1 2023","Currency=USD","Period=FQ","BEST_FPERIOD_OVERRIDE=FQ","FILING_STATUS=MR","SCALING_FORMAT=MLN","Sort=A","Dates=H","DateFormat=P","Fill=—","Direction=H","UseDPDF=Y")</f>
        <v>984</v>
      </c>
      <c r="S35" s="19">
        <f>_xll.BDH("GILD US Equity","IS_INC_BEF_XO_ITEM","FQ2 2023","FQ2 2023","Currency=USD","Period=FQ","BEST_FPERIOD_OVERRIDE=FQ","FILING_STATUS=MR","SCALING_FORMAT=MLN","Sort=A","Dates=H","DateFormat=P","Fill=—","Direction=H","UseDPDF=Y")</f>
        <v>1039</v>
      </c>
      <c r="T35" s="19">
        <f>_xll.BDH("GILD US Equity","IS_INC_BEF_XO_ITEM","FQ3 2023","FQ3 2023","Currency=USD","Period=FQ","BEST_FPERIOD_OVERRIDE=FQ","FILING_STATUS=MR","SCALING_FORMAT=MLN","Sort=A","Dates=H","DateFormat=P","Fill=—","Direction=H","UseDPDF=Y")</f>
        <v>2173</v>
      </c>
      <c r="U35" s="19">
        <f>_xll.BDH("GILD US Equity","IS_INC_BEF_XO_ITEM","FQ4 2023","FQ4 2023","Currency=USD","Period=FQ","BEST_FPERIOD_OVERRIDE=FQ","FILING_STATUS=MR","SCALING_FORMAT=MLN","Sort=A","Dates=H","DateFormat=P","Fill=—","Direction=H","UseDPDF=Y")</f>
        <v>1417</v>
      </c>
      <c r="V35" s="19">
        <f>_xll.BDH("GILD US Equity","IS_INC_BEF_XO_ITEM","FQ1 2024","FQ1 2024","Currency=USD","Period=FQ","BEST_FPERIOD_OVERRIDE=FQ","FILING_STATUS=MR","SCALING_FORMAT=MLN","Sort=A","Dates=H","DateFormat=P","Fill=—","Direction=H","UseDPDF=Y")</f>
        <v>-4170</v>
      </c>
      <c r="W35" s="19">
        <f>_xll.BDH("GILD US Equity","IS_INC_BEF_XO_ITEM","FQ2 2024","FQ2 2024","Currency=USD","Period=FQ","BEST_FPERIOD_OVERRIDE=FQ","FILING_STATUS=MR","SCALING_FORMAT=MLN","Sort=A","Dates=H","DateFormat=P","Fill=—","Direction=H","UseDPDF=Y")</f>
        <v>1614</v>
      </c>
      <c r="X35" s="19">
        <f>_xll.BDH("GILD US Equity","IS_INC_BEF_XO_ITEM","FQ3 2024","FQ3 2024","Currency=USD","Period=FQ","BEST_FPERIOD_OVERRIDE=FQ","FILING_STATUS=MR","SCALING_FORMAT=MLN","Sort=A","Dates=H","DateFormat=P","Fill=—","Direction=H","UseDPDF=Y")</f>
        <v>1253</v>
      </c>
      <c r="Y35" s="19">
        <f>_xll.BDH("GILD US Equity","IS_INC_BEF_XO_ITEM","FQ4 2024","FQ4 2024","Currency=USD","Period=FQ","BEST_FPERIOD_OVERRIDE=FQ","FILING_STATUS=MR","SCALING_FORMAT=MLN","Sort=A","Dates=H","DateFormat=P","Fill=—","Direction=H","UseDPDF=Y")</f>
        <v>1783</v>
      </c>
      <c r="Z35" s="19">
        <v>1619.538</v>
      </c>
      <c r="AA35" s="19">
        <v>1847.769</v>
      </c>
    </row>
    <row r="36" spans="1:27" x14ac:dyDescent="0.25">
      <c r="A36" s="10" t="s">
        <v>366</v>
      </c>
      <c r="B36" s="10" t="s">
        <v>367</v>
      </c>
      <c r="C36" s="13">
        <f>_xll.BDH("GILD US Equity","XO_GL_NET_OF_TAX","FQ2 2019","FQ2 2019","Currency=USD","Period=FQ","BEST_FPERIOD_OVERRIDE=FQ","FILING_STATUS=MR","SCALING_FORMAT=MLN","Sort=A","Dates=H","DateFormat=P","Fill=—","Direction=H","UseDPDF=Y")</f>
        <v>0</v>
      </c>
      <c r="D36" s="13">
        <f>_xll.BDH("GILD US Equity","XO_GL_NET_OF_TAX","FQ3 2019","FQ3 2019","Currency=USD","Period=FQ","BEST_FPERIOD_OVERRIDE=FQ","FILING_STATUS=MR","SCALING_FORMAT=MLN","Sort=A","Dates=H","DateFormat=P","Fill=—","Direction=H","UseDPDF=Y")</f>
        <v>0</v>
      </c>
      <c r="E36" s="13">
        <f>_xll.BDH("GILD US Equity","XO_GL_NET_OF_TAX","FQ4 2019","FQ4 2019","Currency=USD","Period=FQ","BEST_FPERIOD_OVERRIDE=FQ","FILING_STATUS=MR","SCALING_FORMAT=MLN","Sort=A","Dates=H","DateFormat=P","Fill=—","Direction=H","UseDPDF=Y")</f>
        <v>0</v>
      </c>
      <c r="F36" s="13">
        <f>_xll.BDH("GILD US Equity","XO_GL_NET_OF_TAX","FQ1 2020","FQ1 2020","Currency=USD","Period=FQ","BEST_FPERIOD_OVERRIDE=FQ","FILING_STATUS=MR","SCALING_FORMAT=MLN","Sort=A","Dates=H","DateFormat=P","Fill=—","Direction=H","UseDPDF=Y")</f>
        <v>0</v>
      </c>
      <c r="G36" s="13">
        <f>_xll.BDH("GILD US Equity","XO_GL_NET_OF_TAX","FQ2 2020","FQ2 2020","Currency=USD","Period=FQ","BEST_FPERIOD_OVERRIDE=FQ","FILING_STATUS=MR","SCALING_FORMAT=MLN","Sort=A","Dates=H","DateFormat=P","Fill=—","Direction=H","UseDPDF=Y")</f>
        <v>0</v>
      </c>
      <c r="H36" s="13">
        <f>_xll.BDH("GILD US Equity","XO_GL_NET_OF_TAX","FQ3 2020","FQ3 2020","Currency=USD","Period=FQ","BEST_FPERIOD_OVERRIDE=FQ","FILING_STATUS=MR","SCALING_FORMAT=MLN","Sort=A","Dates=H","DateFormat=P","Fill=—","Direction=H","UseDPDF=Y")</f>
        <v>0</v>
      </c>
      <c r="I36" s="13">
        <f>_xll.BDH("GILD US Equity","XO_GL_NET_OF_TAX","FQ4 2020","FQ4 2020","Currency=USD","Period=FQ","BEST_FPERIOD_OVERRIDE=FQ","FILING_STATUS=MR","SCALING_FORMAT=MLN","Sort=A","Dates=H","DateFormat=P","Fill=—","Direction=H","UseDPDF=Y")</f>
        <v>0</v>
      </c>
      <c r="J36" s="13">
        <f>_xll.BDH("GILD US Equity","XO_GL_NET_OF_TAX","FQ1 2021","FQ1 2021","Currency=USD","Period=FQ","BEST_FPERIOD_OVERRIDE=FQ","FILING_STATUS=MR","SCALING_FORMAT=MLN","Sort=A","Dates=H","DateFormat=P","Fill=—","Direction=H","UseDPDF=Y")</f>
        <v>0</v>
      </c>
      <c r="K36" s="13">
        <f>_xll.BDH("GILD US Equity","XO_GL_NET_OF_TAX","FQ2 2021","FQ2 2021","Currency=USD","Period=FQ","BEST_FPERIOD_OVERRIDE=FQ","FILING_STATUS=MR","SCALING_FORMAT=MLN","Sort=A","Dates=H","DateFormat=P","Fill=—","Direction=H","UseDPDF=Y")</f>
        <v>0</v>
      </c>
      <c r="L36" s="13">
        <f>_xll.BDH("GILD US Equity","XO_GL_NET_OF_TAX","FQ3 2021","FQ3 2021","Currency=USD","Period=FQ","BEST_FPERIOD_OVERRIDE=FQ","FILING_STATUS=MR","SCALING_FORMAT=MLN","Sort=A","Dates=H","DateFormat=P","Fill=—","Direction=H","UseDPDF=Y")</f>
        <v>0</v>
      </c>
      <c r="M36" s="13">
        <f>_xll.BDH("GILD US Equity","XO_GL_NET_OF_TAX","FQ4 2021","FQ4 2021","Currency=USD","Period=FQ","BEST_FPERIOD_OVERRIDE=FQ","FILING_STATUS=MR","SCALING_FORMAT=MLN","Sort=A","Dates=H","DateFormat=P","Fill=—","Direction=H","UseDPDF=Y")</f>
        <v>0</v>
      </c>
      <c r="N36" s="13">
        <f>_xll.BDH("GILD US Equity","XO_GL_NET_OF_TAX","FQ1 2022","FQ1 2022","Currency=USD","Period=FQ","BEST_FPERIOD_OVERRIDE=FQ","FILING_STATUS=MR","SCALING_FORMAT=MLN","Sort=A","Dates=H","DateFormat=P","Fill=—","Direction=H","UseDPDF=Y")</f>
        <v>0</v>
      </c>
      <c r="O36" s="13">
        <f>_xll.BDH("GILD US Equity","XO_GL_NET_OF_TAX","FQ2 2022","FQ2 2022","Currency=USD","Period=FQ","BEST_FPERIOD_OVERRIDE=FQ","FILING_STATUS=MR","SCALING_FORMAT=MLN","Sort=A","Dates=H","DateFormat=P","Fill=—","Direction=H","UseDPDF=Y")</f>
        <v>0</v>
      </c>
      <c r="P36" s="13">
        <f>_xll.BDH("GILD US Equity","XO_GL_NET_OF_TAX","FQ3 2022","FQ3 2022","Currency=USD","Period=FQ","BEST_FPERIOD_OVERRIDE=FQ","FILING_STATUS=MR","SCALING_FORMAT=MLN","Sort=A","Dates=H","DateFormat=P","Fill=—","Direction=H","UseDPDF=Y")</f>
        <v>0</v>
      </c>
      <c r="Q36" s="13">
        <f>_xll.BDH("GILD US Equity","XO_GL_NET_OF_TAX","FQ4 2022","FQ4 2022","Currency=USD","Period=FQ","BEST_FPERIOD_OVERRIDE=FQ","FILING_STATUS=MR","SCALING_FORMAT=MLN","Sort=A","Dates=H","DateFormat=P","Fill=—","Direction=H","UseDPDF=Y")</f>
        <v>0</v>
      </c>
      <c r="R36" s="13">
        <f>_xll.BDH("GILD US Equity","XO_GL_NET_OF_TAX","FQ1 2023","FQ1 2023","Currency=USD","Period=FQ","BEST_FPERIOD_OVERRIDE=FQ","FILING_STATUS=MR","SCALING_FORMAT=MLN","Sort=A","Dates=H","DateFormat=P","Fill=—","Direction=H","UseDPDF=Y")</f>
        <v>0</v>
      </c>
      <c r="S36" s="13">
        <f>_xll.BDH("GILD US Equity","XO_GL_NET_OF_TAX","FQ2 2023","FQ2 2023","Currency=USD","Period=FQ","BEST_FPERIOD_OVERRIDE=FQ","FILING_STATUS=MR","SCALING_FORMAT=MLN","Sort=A","Dates=H","DateFormat=P","Fill=—","Direction=H","UseDPDF=Y")</f>
        <v>0</v>
      </c>
      <c r="T36" s="13">
        <f>_xll.BDH("GILD US Equity","XO_GL_NET_OF_TAX","FQ3 2023","FQ3 2023","Currency=USD","Period=FQ","BEST_FPERIOD_OVERRIDE=FQ","FILING_STATUS=MR","SCALING_FORMAT=MLN","Sort=A","Dates=H","DateFormat=P","Fill=—","Direction=H","UseDPDF=Y")</f>
        <v>0</v>
      </c>
      <c r="U36" s="13">
        <f>_xll.BDH("GILD US Equity","XO_GL_NET_OF_TAX","FQ4 2023","FQ4 2023","Currency=USD","Period=FQ","BEST_FPERIOD_OVERRIDE=FQ","FILING_STATUS=MR","SCALING_FORMAT=MLN","Sort=A","Dates=H","DateFormat=P","Fill=—","Direction=H","UseDPDF=Y")</f>
        <v>0</v>
      </c>
      <c r="V36" s="13">
        <f>_xll.BDH("GILD US Equity","XO_GL_NET_OF_TAX","FQ1 2024","FQ1 2024","Currency=USD","Period=FQ","BEST_FPERIOD_OVERRIDE=FQ","FILING_STATUS=MR","SCALING_FORMAT=MLN","Sort=A","Dates=H","DateFormat=P","Fill=—","Direction=H","UseDPDF=Y")</f>
        <v>0</v>
      </c>
      <c r="W36" s="13">
        <f>_xll.BDH("GILD US Equity","XO_GL_NET_OF_TAX","FQ2 2024","FQ2 2024","Currency=USD","Period=FQ","BEST_FPERIOD_OVERRIDE=FQ","FILING_STATUS=MR","SCALING_FORMAT=MLN","Sort=A","Dates=H","DateFormat=P","Fill=—","Direction=H","UseDPDF=Y")</f>
        <v>0</v>
      </c>
      <c r="X36" s="13">
        <f>_xll.BDH("GILD US Equity","XO_GL_NET_OF_TAX","FQ3 2024","FQ3 2024","Currency=USD","Period=FQ","BEST_FPERIOD_OVERRIDE=FQ","FILING_STATUS=MR","SCALING_FORMAT=MLN","Sort=A","Dates=H","DateFormat=P","Fill=—","Direction=H","UseDPDF=Y")</f>
        <v>0</v>
      </c>
      <c r="Y36" s="13">
        <f>_xll.BDH("GILD US Equity","XO_GL_NET_OF_TAX","FQ4 2024","FQ4 2024","Currency=USD","Period=FQ","BEST_FPERIOD_OVERRIDE=FQ","FILING_STATUS=MR","SCALING_FORMAT=MLN","Sort=A","Dates=H","DateFormat=P","Fill=—","Direction=H","UseDPDF=Y")</f>
        <v>0</v>
      </c>
      <c r="Z36" s="13"/>
      <c r="AA36" s="13"/>
    </row>
    <row r="37" spans="1:27" x14ac:dyDescent="0.25">
      <c r="A37" s="10" t="s">
        <v>368</v>
      </c>
      <c r="B37" s="10" t="s">
        <v>369</v>
      </c>
      <c r="C37" s="13">
        <f>_xll.BDH("GILD US Equity","IS_DISCONTINUED_OPERATIONS","FQ2 2019","FQ2 2019","Currency=USD","Period=FQ","BEST_FPERIOD_OVERRIDE=FQ","FILING_STATUS=MR","SCALING_FORMAT=MLN","Sort=A","Dates=H","DateFormat=P","Fill=—","Direction=H","UseDPDF=Y")</f>
        <v>0</v>
      </c>
      <c r="D37" s="13">
        <f>_xll.BDH("GILD US Equity","IS_DISCONTINUED_OPERATIONS","FQ3 2019","FQ3 2019","Currency=USD","Period=FQ","BEST_FPERIOD_OVERRIDE=FQ","FILING_STATUS=MR","SCALING_FORMAT=MLN","Sort=A","Dates=H","DateFormat=P","Fill=—","Direction=H","UseDPDF=Y")</f>
        <v>0</v>
      </c>
      <c r="E37" s="13">
        <f>_xll.BDH("GILD US Equity","IS_DISCONTINUED_OPERATIONS","FQ4 2019","FQ4 2019","Currency=USD","Period=FQ","BEST_FPERIOD_OVERRIDE=FQ","FILING_STATUS=MR","SCALING_FORMAT=MLN","Sort=A","Dates=H","DateFormat=P","Fill=—","Direction=H","UseDPDF=Y")</f>
        <v>0</v>
      </c>
      <c r="F37" s="13">
        <f>_xll.BDH("GILD US Equity","IS_DISCONTINUED_OPERATIONS","FQ1 2020","FQ1 2020","Currency=USD","Period=FQ","BEST_FPERIOD_OVERRIDE=FQ","FILING_STATUS=MR","SCALING_FORMAT=MLN","Sort=A","Dates=H","DateFormat=P","Fill=—","Direction=H","UseDPDF=Y")</f>
        <v>0</v>
      </c>
      <c r="G37" s="13">
        <f>_xll.BDH("GILD US Equity","IS_DISCONTINUED_OPERATIONS","FQ2 2020","FQ2 2020","Currency=USD","Period=FQ","BEST_FPERIOD_OVERRIDE=FQ","FILING_STATUS=MR","SCALING_FORMAT=MLN","Sort=A","Dates=H","DateFormat=P","Fill=—","Direction=H","UseDPDF=Y")</f>
        <v>0</v>
      </c>
      <c r="H37" s="13">
        <f>_xll.BDH("GILD US Equity","IS_DISCONTINUED_OPERATIONS","FQ3 2020","FQ3 2020","Currency=USD","Period=FQ","BEST_FPERIOD_OVERRIDE=FQ","FILING_STATUS=MR","SCALING_FORMAT=MLN","Sort=A","Dates=H","DateFormat=P","Fill=—","Direction=H","UseDPDF=Y")</f>
        <v>0</v>
      </c>
      <c r="I37" s="13">
        <f>_xll.BDH("GILD US Equity","IS_DISCONTINUED_OPERATIONS","FQ4 2020","FQ4 2020","Currency=USD","Period=FQ","BEST_FPERIOD_OVERRIDE=FQ","FILING_STATUS=MR","SCALING_FORMAT=MLN","Sort=A","Dates=H","DateFormat=P","Fill=—","Direction=H","UseDPDF=Y")</f>
        <v>0</v>
      </c>
      <c r="J37" s="13">
        <f>_xll.BDH("GILD US Equity","IS_DISCONTINUED_OPERATIONS","FQ1 2021","FQ1 2021","Currency=USD","Period=FQ","BEST_FPERIOD_OVERRIDE=FQ","FILING_STATUS=MR","SCALING_FORMAT=MLN","Sort=A","Dates=H","DateFormat=P","Fill=—","Direction=H","UseDPDF=Y")</f>
        <v>0</v>
      </c>
      <c r="K37" s="13">
        <f>_xll.BDH("GILD US Equity","IS_DISCONTINUED_OPERATIONS","FQ2 2021","FQ2 2021","Currency=USD","Period=FQ","BEST_FPERIOD_OVERRIDE=FQ","FILING_STATUS=MR","SCALING_FORMAT=MLN","Sort=A","Dates=H","DateFormat=P","Fill=—","Direction=H","UseDPDF=Y")</f>
        <v>0</v>
      </c>
      <c r="L37" s="13">
        <f>_xll.BDH("GILD US Equity","IS_DISCONTINUED_OPERATIONS","FQ3 2021","FQ3 2021","Currency=USD","Period=FQ","BEST_FPERIOD_OVERRIDE=FQ","FILING_STATUS=MR","SCALING_FORMAT=MLN","Sort=A","Dates=H","DateFormat=P","Fill=—","Direction=H","UseDPDF=Y")</f>
        <v>0</v>
      </c>
      <c r="M37" s="13">
        <f>_xll.BDH("GILD US Equity","IS_DISCONTINUED_OPERATIONS","FQ4 2021","FQ4 2021","Currency=USD","Period=FQ","BEST_FPERIOD_OVERRIDE=FQ","FILING_STATUS=MR","SCALING_FORMAT=MLN","Sort=A","Dates=H","DateFormat=P","Fill=—","Direction=H","UseDPDF=Y")</f>
        <v>0</v>
      </c>
      <c r="N37" s="13">
        <f>_xll.BDH("GILD US Equity","IS_DISCONTINUED_OPERATIONS","FQ1 2022","FQ1 2022","Currency=USD","Period=FQ","BEST_FPERIOD_OVERRIDE=FQ","FILING_STATUS=MR","SCALING_FORMAT=MLN","Sort=A","Dates=H","DateFormat=P","Fill=—","Direction=H","UseDPDF=Y")</f>
        <v>0</v>
      </c>
      <c r="O37" s="13">
        <f>_xll.BDH("GILD US Equity","IS_DISCONTINUED_OPERATIONS","FQ2 2022","FQ2 2022","Currency=USD","Period=FQ","BEST_FPERIOD_OVERRIDE=FQ","FILING_STATUS=MR","SCALING_FORMAT=MLN","Sort=A","Dates=H","DateFormat=P","Fill=—","Direction=H","UseDPDF=Y")</f>
        <v>0</v>
      </c>
      <c r="P37" s="13">
        <f>_xll.BDH("GILD US Equity","IS_DISCONTINUED_OPERATIONS","FQ3 2022","FQ3 2022","Currency=USD","Period=FQ","BEST_FPERIOD_OVERRIDE=FQ","FILING_STATUS=MR","SCALING_FORMAT=MLN","Sort=A","Dates=H","DateFormat=P","Fill=—","Direction=H","UseDPDF=Y")</f>
        <v>0</v>
      </c>
      <c r="Q37" s="13">
        <f>_xll.BDH("GILD US Equity","IS_DISCONTINUED_OPERATIONS","FQ4 2022","FQ4 2022","Currency=USD","Period=FQ","BEST_FPERIOD_OVERRIDE=FQ","FILING_STATUS=MR","SCALING_FORMAT=MLN","Sort=A","Dates=H","DateFormat=P","Fill=—","Direction=H","UseDPDF=Y")</f>
        <v>0</v>
      </c>
      <c r="R37" s="13">
        <f>_xll.BDH("GILD US Equity","IS_DISCONTINUED_OPERATIONS","FQ1 2023","FQ1 2023","Currency=USD","Period=FQ","BEST_FPERIOD_OVERRIDE=FQ","FILING_STATUS=MR","SCALING_FORMAT=MLN","Sort=A","Dates=H","DateFormat=P","Fill=—","Direction=H","UseDPDF=Y")</f>
        <v>0</v>
      </c>
      <c r="S37" s="13">
        <f>_xll.BDH("GILD US Equity","IS_DISCONTINUED_OPERATIONS","FQ2 2023","FQ2 2023","Currency=USD","Period=FQ","BEST_FPERIOD_OVERRIDE=FQ","FILING_STATUS=MR","SCALING_FORMAT=MLN","Sort=A","Dates=H","DateFormat=P","Fill=—","Direction=H","UseDPDF=Y")</f>
        <v>0</v>
      </c>
      <c r="T37" s="13">
        <f>_xll.BDH("GILD US Equity","IS_DISCONTINUED_OPERATIONS","FQ3 2023","FQ3 2023","Currency=USD","Period=FQ","BEST_FPERIOD_OVERRIDE=FQ","FILING_STATUS=MR","SCALING_FORMAT=MLN","Sort=A","Dates=H","DateFormat=P","Fill=—","Direction=H","UseDPDF=Y")</f>
        <v>0</v>
      </c>
      <c r="U37" s="13">
        <f>_xll.BDH("GILD US Equity","IS_DISCONTINUED_OPERATIONS","FQ4 2023","FQ4 2023","Currency=USD","Period=FQ","BEST_FPERIOD_OVERRIDE=FQ","FILING_STATUS=MR","SCALING_FORMAT=MLN","Sort=A","Dates=H","DateFormat=P","Fill=—","Direction=H","UseDPDF=Y")</f>
        <v>0</v>
      </c>
      <c r="V37" s="13">
        <f>_xll.BDH("GILD US Equity","IS_DISCONTINUED_OPERATIONS","FQ1 2024","FQ1 2024","Currency=USD","Period=FQ","BEST_FPERIOD_OVERRIDE=FQ","FILING_STATUS=MR","SCALING_FORMAT=MLN","Sort=A","Dates=H","DateFormat=P","Fill=—","Direction=H","UseDPDF=Y")</f>
        <v>0</v>
      </c>
      <c r="W37" s="13">
        <f>_xll.BDH("GILD US Equity","IS_DISCONTINUED_OPERATIONS","FQ2 2024","FQ2 2024","Currency=USD","Period=FQ","BEST_FPERIOD_OVERRIDE=FQ","FILING_STATUS=MR","SCALING_FORMAT=MLN","Sort=A","Dates=H","DateFormat=P","Fill=—","Direction=H","UseDPDF=Y")</f>
        <v>0</v>
      </c>
      <c r="X37" s="13">
        <f>_xll.BDH("GILD US Equity","IS_DISCONTINUED_OPERATIONS","FQ3 2024","FQ3 2024","Currency=USD","Period=FQ","BEST_FPERIOD_OVERRIDE=FQ","FILING_STATUS=MR","SCALING_FORMAT=MLN","Sort=A","Dates=H","DateFormat=P","Fill=—","Direction=H","UseDPDF=Y")</f>
        <v>0</v>
      </c>
      <c r="Y37" s="13">
        <f>_xll.BDH("GILD US Equity","IS_DISCONTINUED_OPERATIONS","FQ4 2024","FQ4 2024","Currency=USD","Period=FQ","BEST_FPERIOD_OVERRIDE=FQ","FILING_STATUS=MR","SCALING_FORMAT=MLN","Sort=A","Dates=H","DateFormat=P","Fill=—","Direction=H","UseDPDF=Y")</f>
        <v>0</v>
      </c>
      <c r="Z37" s="13"/>
      <c r="AA37" s="13"/>
    </row>
    <row r="38" spans="1:27" x14ac:dyDescent="0.25">
      <c r="A38" s="10" t="s">
        <v>370</v>
      </c>
      <c r="B38" s="10" t="s">
        <v>371</v>
      </c>
      <c r="C38" s="13">
        <f>_xll.BDH("GILD US Equity","EXTRAORD_ITEMS_ACCOUNTING_CHANGS","FQ2 2019","FQ2 2019","Currency=USD","Period=FQ","BEST_FPERIOD_OVERRIDE=FQ","FILING_STATUS=MR","SCALING_FORMAT=MLN","Sort=A","Dates=H","DateFormat=P","Fill=—","Direction=H","UseDPDF=Y")</f>
        <v>0</v>
      </c>
      <c r="D38" s="13">
        <f>_xll.BDH("GILD US Equity","EXTRAORD_ITEMS_ACCOUNTING_CHANGS","FQ3 2019","FQ3 2019","Currency=USD","Period=FQ","BEST_FPERIOD_OVERRIDE=FQ","FILING_STATUS=MR","SCALING_FORMAT=MLN","Sort=A","Dates=H","DateFormat=P","Fill=—","Direction=H","UseDPDF=Y")</f>
        <v>0</v>
      </c>
      <c r="E38" s="13">
        <f>_xll.BDH("GILD US Equity","EXTRAORD_ITEMS_ACCOUNTING_CHANGS","FQ4 2019","FQ4 2019","Currency=USD","Period=FQ","BEST_FPERIOD_OVERRIDE=FQ","FILING_STATUS=MR","SCALING_FORMAT=MLN","Sort=A","Dates=H","DateFormat=P","Fill=—","Direction=H","UseDPDF=Y")</f>
        <v>0</v>
      </c>
      <c r="F38" s="13">
        <f>_xll.BDH("GILD US Equity","EXTRAORD_ITEMS_ACCOUNTING_CHANGS","FQ1 2020","FQ1 2020","Currency=USD","Period=FQ","BEST_FPERIOD_OVERRIDE=FQ","FILING_STATUS=MR","SCALING_FORMAT=MLN","Sort=A","Dates=H","DateFormat=P","Fill=—","Direction=H","UseDPDF=Y")</f>
        <v>0</v>
      </c>
      <c r="G38" s="13">
        <f>_xll.BDH("GILD US Equity","EXTRAORD_ITEMS_ACCOUNTING_CHANGS","FQ2 2020","FQ2 2020","Currency=USD","Period=FQ","BEST_FPERIOD_OVERRIDE=FQ","FILING_STATUS=MR","SCALING_FORMAT=MLN","Sort=A","Dates=H","DateFormat=P","Fill=—","Direction=H","UseDPDF=Y")</f>
        <v>0</v>
      </c>
      <c r="H38" s="13">
        <f>_xll.BDH("GILD US Equity","EXTRAORD_ITEMS_ACCOUNTING_CHANGS","FQ3 2020","FQ3 2020","Currency=USD","Period=FQ","BEST_FPERIOD_OVERRIDE=FQ","FILING_STATUS=MR","SCALING_FORMAT=MLN","Sort=A","Dates=H","DateFormat=P","Fill=—","Direction=H","UseDPDF=Y")</f>
        <v>0</v>
      </c>
      <c r="I38" s="13">
        <f>_xll.BDH("GILD US Equity","EXTRAORD_ITEMS_ACCOUNTING_CHANGS","FQ4 2020","FQ4 2020","Currency=USD","Period=FQ","BEST_FPERIOD_OVERRIDE=FQ","FILING_STATUS=MR","SCALING_FORMAT=MLN","Sort=A","Dates=H","DateFormat=P","Fill=—","Direction=H","UseDPDF=Y")</f>
        <v>0</v>
      </c>
      <c r="J38" s="13">
        <f>_xll.BDH("GILD US Equity","EXTRAORD_ITEMS_ACCOUNTING_CHANGS","FQ1 2021","FQ1 2021","Currency=USD","Period=FQ","BEST_FPERIOD_OVERRIDE=FQ","FILING_STATUS=MR","SCALING_FORMAT=MLN","Sort=A","Dates=H","DateFormat=P","Fill=—","Direction=H","UseDPDF=Y")</f>
        <v>0</v>
      </c>
      <c r="K38" s="13">
        <f>_xll.BDH("GILD US Equity","EXTRAORD_ITEMS_ACCOUNTING_CHANGS","FQ2 2021","FQ2 2021","Currency=USD","Period=FQ","BEST_FPERIOD_OVERRIDE=FQ","FILING_STATUS=MR","SCALING_FORMAT=MLN","Sort=A","Dates=H","DateFormat=P","Fill=—","Direction=H","UseDPDF=Y")</f>
        <v>0</v>
      </c>
      <c r="L38" s="13">
        <f>_xll.BDH("GILD US Equity","EXTRAORD_ITEMS_ACCOUNTING_CHANGS","FQ3 2021","FQ3 2021","Currency=USD","Period=FQ","BEST_FPERIOD_OVERRIDE=FQ","FILING_STATUS=MR","SCALING_FORMAT=MLN","Sort=A","Dates=H","DateFormat=P","Fill=—","Direction=H","UseDPDF=Y")</f>
        <v>0</v>
      </c>
      <c r="M38" s="13">
        <f>_xll.BDH("GILD US Equity","EXTRAORD_ITEMS_ACCOUNTING_CHANGS","FQ4 2021","FQ4 2021","Currency=USD","Period=FQ","BEST_FPERIOD_OVERRIDE=FQ","FILING_STATUS=MR","SCALING_FORMAT=MLN","Sort=A","Dates=H","DateFormat=P","Fill=—","Direction=H","UseDPDF=Y")</f>
        <v>0</v>
      </c>
      <c r="N38" s="13">
        <f>_xll.BDH("GILD US Equity","EXTRAORD_ITEMS_ACCOUNTING_CHANGS","FQ1 2022","FQ1 2022","Currency=USD","Period=FQ","BEST_FPERIOD_OVERRIDE=FQ","FILING_STATUS=MR","SCALING_FORMAT=MLN","Sort=A","Dates=H","DateFormat=P","Fill=—","Direction=H","UseDPDF=Y")</f>
        <v>0</v>
      </c>
      <c r="O38" s="13">
        <f>_xll.BDH("GILD US Equity","EXTRAORD_ITEMS_ACCOUNTING_CHANGS","FQ2 2022","FQ2 2022","Currency=USD","Period=FQ","BEST_FPERIOD_OVERRIDE=FQ","FILING_STATUS=MR","SCALING_FORMAT=MLN","Sort=A","Dates=H","DateFormat=P","Fill=—","Direction=H","UseDPDF=Y")</f>
        <v>0</v>
      </c>
      <c r="P38" s="13">
        <f>_xll.BDH("GILD US Equity","EXTRAORD_ITEMS_ACCOUNTING_CHANGS","FQ3 2022","FQ3 2022","Currency=USD","Period=FQ","BEST_FPERIOD_OVERRIDE=FQ","FILING_STATUS=MR","SCALING_FORMAT=MLN","Sort=A","Dates=H","DateFormat=P","Fill=—","Direction=H","UseDPDF=Y")</f>
        <v>0</v>
      </c>
      <c r="Q38" s="13">
        <f>_xll.BDH("GILD US Equity","EXTRAORD_ITEMS_ACCOUNTING_CHANGS","FQ4 2022","FQ4 2022","Currency=USD","Period=FQ","BEST_FPERIOD_OVERRIDE=FQ","FILING_STATUS=MR","SCALING_FORMAT=MLN","Sort=A","Dates=H","DateFormat=P","Fill=—","Direction=H","UseDPDF=Y")</f>
        <v>0</v>
      </c>
      <c r="R38" s="13">
        <f>_xll.BDH("GILD US Equity","EXTRAORD_ITEMS_ACCOUNTING_CHANGS","FQ1 2023","FQ1 2023","Currency=USD","Period=FQ","BEST_FPERIOD_OVERRIDE=FQ","FILING_STATUS=MR","SCALING_FORMAT=MLN","Sort=A","Dates=H","DateFormat=P","Fill=—","Direction=H","UseDPDF=Y")</f>
        <v>0</v>
      </c>
      <c r="S38" s="13">
        <f>_xll.BDH("GILD US Equity","EXTRAORD_ITEMS_ACCOUNTING_CHANGS","FQ2 2023","FQ2 2023","Currency=USD","Period=FQ","BEST_FPERIOD_OVERRIDE=FQ","FILING_STATUS=MR","SCALING_FORMAT=MLN","Sort=A","Dates=H","DateFormat=P","Fill=—","Direction=H","UseDPDF=Y")</f>
        <v>0</v>
      </c>
      <c r="T38" s="13">
        <f>_xll.BDH("GILD US Equity","EXTRAORD_ITEMS_ACCOUNTING_CHANGS","FQ3 2023","FQ3 2023","Currency=USD","Period=FQ","BEST_FPERIOD_OVERRIDE=FQ","FILING_STATUS=MR","SCALING_FORMAT=MLN","Sort=A","Dates=H","DateFormat=P","Fill=—","Direction=H","UseDPDF=Y")</f>
        <v>0</v>
      </c>
      <c r="U38" s="13">
        <f>_xll.BDH("GILD US Equity","EXTRAORD_ITEMS_ACCOUNTING_CHANGS","FQ4 2023","FQ4 2023","Currency=USD","Period=FQ","BEST_FPERIOD_OVERRIDE=FQ","FILING_STATUS=MR","SCALING_FORMAT=MLN","Sort=A","Dates=H","DateFormat=P","Fill=—","Direction=H","UseDPDF=Y")</f>
        <v>0</v>
      </c>
      <c r="V38" s="13">
        <f>_xll.BDH("GILD US Equity","EXTRAORD_ITEMS_ACCOUNTING_CHANGS","FQ1 2024","FQ1 2024","Currency=USD","Period=FQ","BEST_FPERIOD_OVERRIDE=FQ","FILING_STATUS=MR","SCALING_FORMAT=MLN","Sort=A","Dates=H","DateFormat=P","Fill=—","Direction=H","UseDPDF=Y")</f>
        <v>0</v>
      </c>
      <c r="W38" s="13">
        <f>_xll.BDH("GILD US Equity","EXTRAORD_ITEMS_ACCOUNTING_CHANGS","FQ2 2024","FQ2 2024","Currency=USD","Period=FQ","BEST_FPERIOD_OVERRIDE=FQ","FILING_STATUS=MR","SCALING_FORMAT=MLN","Sort=A","Dates=H","DateFormat=P","Fill=—","Direction=H","UseDPDF=Y")</f>
        <v>0</v>
      </c>
      <c r="X38" s="13">
        <f>_xll.BDH("GILD US Equity","EXTRAORD_ITEMS_ACCOUNTING_CHANGS","FQ3 2024","FQ3 2024","Currency=USD","Period=FQ","BEST_FPERIOD_OVERRIDE=FQ","FILING_STATUS=MR","SCALING_FORMAT=MLN","Sort=A","Dates=H","DateFormat=P","Fill=—","Direction=H","UseDPDF=Y")</f>
        <v>0</v>
      </c>
      <c r="Y38" s="13">
        <f>_xll.BDH("GILD US Equity","EXTRAORD_ITEMS_ACCOUNTING_CHANGS","FQ4 2024","FQ4 2024","Currency=USD","Period=FQ","BEST_FPERIOD_OVERRIDE=FQ","FILING_STATUS=MR","SCALING_FORMAT=MLN","Sort=A","Dates=H","DateFormat=P","Fill=—","Direction=H","UseDPDF=Y")</f>
        <v>0</v>
      </c>
      <c r="Z38" s="13"/>
      <c r="AA38" s="13"/>
    </row>
    <row r="39" spans="1:27" x14ac:dyDescent="0.25">
      <c r="A39" s="6" t="s">
        <v>372</v>
      </c>
      <c r="B39" s="6" t="s">
        <v>373</v>
      </c>
      <c r="C39" s="19">
        <f>_xll.BDH("GILD US Equity","NI_INCLUDING_MINORITY_INT_RATIO","FQ2 2019","FQ2 2019","Currency=USD","Period=FQ","BEST_FPERIOD_OVERRIDE=FQ","FILING_STATUS=MR","SCALING_FORMAT=MLN","FA_ADJUSTED=GAAP","Sort=A","Dates=H","DateFormat=P","Fill=—","Direction=H","UseDPDF=Y")</f>
        <v>1875</v>
      </c>
      <c r="D39" s="19">
        <f>_xll.BDH("GILD US Equity","NI_INCLUDING_MINORITY_INT_RATIO","FQ3 2019","FQ3 2019","Currency=USD","Period=FQ","BEST_FPERIOD_OVERRIDE=FQ","FILING_STATUS=MR","SCALING_FORMAT=MLN","FA_ADJUSTED=GAAP","Sort=A","Dates=H","DateFormat=P","Fill=—","Direction=H","UseDPDF=Y")</f>
        <v>-1168</v>
      </c>
      <c r="E39" s="19">
        <f>_xll.BDH("GILD US Equity","NI_INCLUDING_MINORITY_INT_RATIO","FQ4 2019","FQ4 2019","Currency=USD","Period=FQ","BEST_FPERIOD_OVERRIDE=FQ","FILING_STATUS=MR","SCALING_FORMAT=MLN","FA_ADJUSTED=GAAP","Sort=A","Dates=H","DateFormat=P","Fill=—","Direction=H","UseDPDF=Y")</f>
        <v>2689</v>
      </c>
      <c r="F39" s="19">
        <f>_xll.BDH("GILD US Equity","NI_INCLUDING_MINORITY_INT_RATIO","FQ1 2020","FQ1 2020","Currency=USD","Period=FQ","BEST_FPERIOD_OVERRIDE=FQ","FILING_STATUS=MR","SCALING_FORMAT=MLN","FA_ADJUSTED=GAAP","Sort=A","Dates=H","DateFormat=P","Fill=—","Direction=H","UseDPDF=Y")</f>
        <v>1538</v>
      </c>
      <c r="G39" s="19">
        <f>_xll.BDH("GILD US Equity","NI_INCLUDING_MINORITY_INT_RATIO","FQ2 2020","FQ2 2020","Currency=USD","Period=FQ","BEST_FPERIOD_OVERRIDE=FQ","FILING_STATUS=MR","SCALING_FORMAT=MLN","FA_ADJUSTED=GAAP","Sort=A","Dates=H","DateFormat=P","Fill=—","Direction=H","UseDPDF=Y")</f>
        <v>-3346</v>
      </c>
      <c r="H39" s="19">
        <f>_xll.BDH("GILD US Equity","NI_INCLUDING_MINORITY_INT_RATIO","FQ3 2020","FQ3 2020","Currency=USD","Period=FQ","BEST_FPERIOD_OVERRIDE=FQ","FILING_STATUS=MR","SCALING_FORMAT=MLN","FA_ADJUSTED=GAAP","Sort=A","Dates=H","DateFormat=P","Fill=—","Direction=H","UseDPDF=Y")</f>
        <v>353</v>
      </c>
      <c r="I39" s="19">
        <f>_xll.BDH("GILD US Equity","NI_INCLUDING_MINORITY_INT_RATIO","FQ4 2020","FQ4 2020","Currency=USD","Period=FQ","BEST_FPERIOD_OVERRIDE=FQ","FILING_STATUS=MR","SCALING_FORMAT=MLN","FA_ADJUSTED=GAAP","Sort=A","Dates=H","DateFormat=P","Fill=—","Direction=H","UseDPDF=Y")</f>
        <v>1544</v>
      </c>
      <c r="J39" s="19">
        <f>_xll.BDH("GILD US Equity","NI_INCLUDING_MINORITY_INT_RATIO","FQ1 2021","FQ1 2021","Currency=USD","Period=FQ","BEST_FPERIOD_OVERRIDE=FQ","FILING_STATUS=MR","SCALING_FORMAT=MLN","FA_ADJUSTED=GAAP","Sort=A","Dates=H","DateFormat=P","Fill=—","Direction=H","UseDPDF=Y")</f>
        <v>1722</v>
      </c>
      <c r="K39" s="19">
        <f>_xll.BDH("GILD US Equity","NI_INCLUDING_MINORITY_INT_RATIO","FQ2 2021","FQ2 2021","Currency=USD","Period=FQ","BEST_FPERIOD_OVERRIDE=FQ","FILING_STATUS=MR","SCALING_FORMAT=MLN","FA_ADJUSTED=GAAP","Sort=A","Dates=H","DateFormat=P","Fill=—","Direction=H","UseDPDF=Y")</f>
        <v>1517</v>
      </c>
      <c r="L39" s="19">
        <f>_xll.BDH("GILD US Equity","NI_INCLUDING_MINORITY_INT_RATIO","FQ3 2021","FQ3 2021","Currency=USD","Period=FQ","BEST_FPERIOD_OVERRIDE=FQ","FILING_STATUS=MR","SCALING_FORMAT=MLN","FA_ADJUSTED=GAAP","Sort=A","Dates=H","DateFormat=P","Fill=—","Direction=H","UseDPDF=Y")</f>
        <v>2586</v>
      </c>
      <c r="M39" s="19">
        <f>_xll.BDH("GILD US Equity","NI_INCLUDING_MINORITY_INT_RATIO","FQ4 2021","FQ4 2021","Currency=USD","Period=FQ","BEST_FPERIOD_OVERRIDE=FQ","FILING_STATUS=MR","SCALING_FORMAT=MLN","FA_ADJUSTED=GAAP","Sort=A","Dates=H","DateFormat=P","Fill=—","Direction=H","UseDPDF=Y")</f>
        <v>376</v>
      </c>
      <c r="N39" s="19">
        <f>_xll.BDH("GILD US Equity","NI_INCLUDING_MINORITY_INT_RATIO","FQ1 2022","FQ1 2022","Currency=USD","Period=FQ","BEST_FPERIOD_OVERRIDE=FQ","FILING_STATUS=MR","SCALING_FORMAT=MLN","FA_ADJUSTED=GAAP","Sort=A","Dates=H","DateFormat=P","Fill=—","Direction=H","UseDPDF=Y")</f>
        <v>12</v>
      </c>
      <c r="O39" s="19">
        <f>_xll.BDH("GILD US Equity","NI_INCLUDING_MINORITY_INT_RATIO","FQ2 2022","FQ2 2022","Currency=USD","Period=FQ","BEST_FPERIOD_OVERRIDE=FQ","FILING_STATUS=MR","SCALING_FORMAT=MLN","FA_ADJUSTED=GAAP","Sort=A","Dates=H","DateFormat=P","Fill=—","Direction=H","UseDPDF=Y")</f>
        <v>1135</v>
      </c>
      <c r="P39" s="19">
        <f>_xll.BDH("GILD US Equity","NI_INCLUDING_MINORITY_INT_RATIO","FQ3 2022","FQ3 2022","Currency=USD","Period=FQ","BEST_FPERIOD_OVERRIDE=FQ","FILING_STATUS=MR","SCALING_FORMAT=MLN","FA_ADJUSTED=GAAP","Sort=A","Dates=H","DateFormat=P","Fill=—","Direction=H","UseDPDF=Y")</f>
        <v>1786</v>
      </c>
      <c r="Q39" s="19">
        <f>_xll.BDH("GILD US Equity","NI_INCLUDING_MINORITY_INT_RATIO","FQ4 2022","FQ4 2022","Currency=USD","Period=FQ","BEST_FPERIOD_OVERRIDE=FQ","FILING_STATUS=MR","SCALING_FORMAT=MLN","FA_ADJUSTED=GAAP","Sort=A","Dates=H","DateFormat=P","Fill=—","Direction=H","UseDPDF=Y")</f>
        <v>1633</v>
      </c>
      <c r="R39" s="19">
        <f>_xll.BDH("GILD US Equity","NI_INCLUDING_MINORITY_INT_RATIO","FQ1 2023","FQ1 2023","Currency=USD","Period=FQ","BEST_FPERIOD_OVERRIDE=FQ","FILING_STATUS=MR","SCALING_FORMAT=MLN","FA_ADJUSTED=GAAP","Sort=A","Dates=H","DateFormat=P","Fill=—","Direction=H","UseDPDF=Y")</f>
        <v>984</v>
      </c>
      <c r="S39" s="19">
        <f>_xll.BDH("GILD US Equity","NI_INCLUDING_MINORITY_INT_RATIO","FQ2 2023","FQ2 2023","Currency=USD","Period=FQ","BEST_FPERIOD_OVERRIDE=FQ","FILING_STATUS=MR","SCALING_FORMAT=MLN","FA_ADJUSTED=GAAP","Sort=A","Dates=H","DateFormat=P","Fill=—","Direction=H","UseDPDF=Y")</f>
        <v>1039</v>
      </c>
      <c r="T39" s="19">
        <f>_xll.BDH("GILD US Equity","NI_INCLUDING_MINORITY_INT_RATIO","FQ3 2023","FQ3 2023","Currency=USD","Period=FQ","BEST_FPERIOD_OVERRIDE=FQ","FILING_STATUS=MR","SCALING_FORMAT=MLN","FA_ADJUSTED=GAAP","Sort=A","Dates=H","DateFormat=P","Fill=—","Direction=H","UseDPDF=Y")</f>
        <v>2173</v>
      </c>
      <c r="U39" s="19">
        <f>_xll.BDH("GILD US Equity","NI_INCLUDING_MINORITY_INT_RATIO","FQ4 2023","FQ4 2023","Currency=USD","Period=FQ","BEST_FPERIOD_OVERRIDE=FQ","FILING_STATUS=MR","SCALING_FORMAT=MLN","FA_ADJUSTED=GAAP","Sort=A","Dates=H","DateFormat=P","Fill=—","Direction=H","UseDPDF=Y")</f>
        <v>1417</v>
      </c>
      <c r="V39" s="19">
        <f>_xll.BDH("GILD US Equity","NI_INCLUDING_MINORITY_INT_RATIO","FQ1 2024","FQ1 2024","Currency=USD","Period=FQ","BEST_FPERIOD_OVERRIDE=FQ","FILING_STATUS=MR","SCALING_FORMAT=MLN","FA_ADJUSTED=GAAP","Sort=A","Dates=H","DateFormat=P","Fill=—","Direction=H","UseDPDF=Y")</f>
        <v>-4170</v>
      </c>
      <c r="W39" s="19">
        <f>_xll.BDH("GILD US Equity","NI_INCLUDING_MINORITY_INT_RATIO","FQ2 2024","FQ2 2024","Currency=USD","Period=FQ","BEST_FPERIOD_OVERRIDE=FQ","FILING_STATUS=MR","SCALING_FORMAT=MLN","FA_ADJUSTED=GAAP","Sort=A","Dates=H","DateFormat=P","Fill=—","Direction=H","UseDPDF=Y")</f>
        <v>1614</v>
      </c>
      <c r="X39" s="19">
        <f>_xll.BDH("GILD US Equity","NI_INCLUDING_MINORITY_INT_RATIO","FQ3 2024","FQ3 2024","Currency=USD","Period=FQ","BEST_FPERIOD_OVERRIDE=FQ","FILING_STATUS=MR","SCALING_FORMAT=MLN","FA_ADJUSTED=GAAP","Sort=A","Dates=H","DateFormat=P","Fill=—","Direction=H","UseDPDF=Y")</f>
        <v>1253</v>
      </c>
      <c r="Y39" s="19">
        <f>_xll.BDH("GILD US Equity","NI_INCLUDING_MINORITY_INT_RATIO","FQ4 2024","FQ4 2024","Currency=USD","Period=FQ","BEST_FPERIOD_OVERRIDE=FQ","FILING_STATUS=MR","SCALING_FORMAT=MLN","FA_ADJUSTED=GAAP","Sort=A","Dates=H","DateFormat=P","Fill=—","Direction=H","UseDPDF=Y")</f>
        <v>1783</v>
      </c>
      <c r="Z39" s="19"/>
      <c r="AA39" s="19"/>
    </row>
    <row r="40" spans="1:27" x14ac:dyDescent="0.25">
      <c r="A40" s="10" t="s">
        <v>374</v>
      </c>
      <c r="B40" s="10" t="s">
        <v>375</v>
      </c>
      <c r="C40" s="13">
        <f>_xll.BDH("GILD US Equity","MIN_NONCONTROL_INTEREST_CREDITS","FQ2 2019","FQ2 2019","Currency=USD","Period=FQ","BEST_FPERIOD_OVERRIDE=FQ","FILING_STATUS=MR","SCALING_FORMAT=MLN","FA_ADJUSTED=GAAP","Sort=A","Dates=H","DateFormat=P","Fill=—","Direction=H","UseDPDF=Y")</f>
        <v>-5</v>
      </c>
      <c r="D40" s="13">
        <f>_xll.BDH("GILD US Equity","MIN_NONCONTROL_INTEREST_CREDITS","FQ3 2019","FQ3 2019","Currency=USD","Period=FQ","BEST_FPERIOD_OVERRIDE=FQ","FILING_STATUS=MR","SCALING_FORMAT=MLN","FA_ADJUSTED=GAAP","Sort=A","Dates=H","DateFormat=P","Fill=—","Direction=H","UseDPDF=Y")</f>
        <v>-3</v>
      </c>
      <c r="E40" s="13">
        <f>_xll.BDH("GILD US Equity","MIN_NONCONTROL_INTEREST_CREDITS","FQ4 2019","FQ4 2019","Currency=USD","Period=FQ","BEST_FPERIOD_OVERRIDE=FQ","FILING_STATUS=MR","SCALING_FORMAT=MLN","FA_ADJUSTED=GAAP","Sort=A","Dates=H","DateFormat=P","Fill=—","Direction=H","UseDPDF=Y")</f>
        <v>-7</v>
      </c>
      <c r="F40" s="13">
        <f>_xll.BDH("GILD US Equity","MIN_NONCONTROL_INTEREST_CREDITS","FQ1 2020","FQ1 2020","Currency=USD","Period=FQ","BEST_FPERIOD_OVERRIDE=FQ","FILING_STATUS=MR","SCALING_FORMAT=MLN","FA_ADJUSTED=GAAP","Sort=A","Dates=H","DateFormat=P","Fill=—","Direction=H","UseDPDF=Y")</f>
        <v>-13</v>
      </c>
      <c r="G40" s="13">
        <f>_xll.BDH("GILD US Equity","MIN_NONCONTROL_INTEREST_CREDITS","FQ2 2020","FQ2 2020","Currency=USD","Period=FQ","BEST_FPERIOD_OVERRIDE=FQ","FILING_STATUS=MR","SCALING_FORMAT=MLN","FA_ADJUSTED=GAAP","Sort=A","Dates=H","DateFormat=P","Fill=—","Direction=H","UseDPDF=Y")</f>
        <v>-7</v>
      </c>
      <c r="H40" s="13">
        <f>_xll.BDH("GILD US Equity","MIN_NONCONTROL_INTEREST_CREDITS","FQ3 2020","FQ3 2020","Currency=USD","Period=FQ","BEST_FPERIOD_OVERRIDE=FQ","FILING_STATUS=MR","SCALING_FORMAT=MLN","FA_ADJUSTED=GAAP","Sort=A","Dates=H","DateFormat=P","Fill=—","Direction=H","UseDPDF=Y")</f>
        <v>-7</v>
      </c>
      <c r="I40" s="13">
        <f>_xll.BDH("GILD US Equity","MIN_NONCONTROL_INTEREST_CREDITS","FQ4 2020","FQ4 2020","Currency=USD","Period=FQ","BEST_FPERIOD_OVERRIDE=FQ","FILING_STATUS=MR","SCALING_FORMAT=MLN","FA_ADJUSTED=GAAP","Sort=A","Dates=H","DateFormat=P","Fill=—","Direction=H","UseDPDF=Y")</f>
        <v>-7</v>
      </c>
      <c r="J40" s="13">
        <f>_xll.BDH("GILD US Equity","MIN_NONCONTROL_INTEREST_CREDITS","FQ1 2021","FQ1 2021","Currency=USD","Period=FQ","BEST_FPERIOD_OVERRIDE=FQ","FILING_STATUS=MR","SCALING_FORMAT=MLN","FA_ADJUSTED=GAAP","Sort=A","Dates=H","DateFormat=P","Fill=—","Direction=H","UseDPDF=Y")</f>
        <v>-7</v>
      </c>
      <c r="K40" s="13">
        <f>_xll.BDH("GILD US Equity","MIN_NONCONTROL_INTEREST_CREDITS","FQ2 2021","FQ2 2021","Currency=USD","Period=FQ","BEST_FPERIOD_OVERRIDE=FQ","FILING_STATUS=MR","SCALING_FORMAT=MLN","FA_ADJUSTED=GAAP","Sort=A","Dates=H","DateFormat=P","Fill=—","Direction=H","UseDPDF=Y")</f>
        <v>-5</v>
      </c>
      <c r="L40" s="13">
        <f>_xll.BDH("GILD US Equity","MIN_NONCONTROL_INTEREST_CREDITS","FQ3 2021","FQ3 2021","Currency=USD","Period=FQ","BEST_FPERIOD_OVERRIDE=FQ","FILING_STATUS=MR","SCALING_FORMAT=MLN","FA_ADJUSTED=GAAP","Sort=A","Dates=H","DateFormat=P","Fill=—","Direction=H","UseDPDF=Y")</f>
        <v>-6</v>
      </c>
      <c r="M40" s="13">
        <f>_xll.BDH("GILD US Equity","MIN_NONCONTROL_INTEREST_CREDITS","FQ4 2021","FQ4 2021","Currency=USD","Period=FQ","BEST_FPERIOD_OVERRIDE=FQ","FILING_STATUS=MR","SCALING_FORMAT=MLN","FA_ADJUSTED=GAAP","Sort=A","Dates=H","DateFormat=P","Fill=—","Direction=H","UseDPDF=Y")</f>
        <v>-6</v>
      </c>
      <c r="N40" s="13">
        <f>_xll.BDH("GILD US Equity","MIN_NONCONTROL_INTEREST_CREDITS","FQ1 2022","FQ1 2022","Currency=USD","Period=FQ","BEST_FPERIOD_OVERRIDE=FQ","FILING_STATUS=MR","SCALING_FORMAT=MLN","FA_ADJUSTED=GAAP","Sort=A","Dates=H","DateFormat=P","Fill=—","Direction=H","UseDPDF=Y")</f>
        <v>-7</v>
      </c>
      <c r="O40" s="13">
        <f>_xll.BDH("GILD US Equity","MIN_NONCONTROL_INTEREST_CREDITS","FQ2 2022","FQ2 2022","Currency=USD","Period=FQ","BEST_FPERIOD_OVERRIDE=FQ","FILING_STATUS=MR","SCALING_FORMAT=MLN","FA_ADJUSTED=GAAP","Sort=A","Dates=H","DateFormat=P","Fill=—","Direction=H","UseDPDF=Y")</f>
        <v>-9</v>
      </c>
      <c r="P40" s="13">
        <f>_xll.BDH("GILD US Equity","MIN_NONCONTROL_INTEREST_CREDITS","FQ3 2022","FQ3 2022","Currency=USD","Period=FQ","BEST_FPERIOD_OVERRIDE=FQ","FILING_STATUS=MR","SCALING_FORMAT=MLN","FA_ADJUSTED=GAAP","Sort=A","Dates=H","DateFormat=P","Fill=—","Direction=H","UseDPDF=Y")</f>
        <v>-3</v>
      </c>
      <c r="Q40" s="13">
        <f>_xll.BDH("GILD US Equity","MIN_NONCONTROL_INTEREST_CREDITS","FQ4 2022","FQ4 2022","Currency=USD","Period=FQ","BEST_FPERIOD_OVERRIDE=FQ","FILING_STATUS=MR","SCALING_FORMAT=MLN","FA_ADJUSTED=GAAP","Sort=A","Dates=H","DateFormat=P","Fill=—","Direction=H","UseDPDF=Y")</f>
        <v>-7</v>
      </c>
      <c r="R40" s="13">
        <f>_xll.BDH("GILD US Equity","MIN_NONCONTROL_INTEREST_CREDITS","FQ1 2023","FQ1 2023","Currency=USD","Period=FQ","BEST_FPERIOD_OVERRIDE=FQ","FILING_STATUS=MR","SCALING_FORMAT=MLN","FA_ADJUSTED=GAAP","Sort=A","Dates=H","DateFormat=P","Fill=—","Direction=H","UseDPDF=Y")</f>
        <v>-26</v>
      </c>
      <c r="S40" s="13">
        <f>_xll.BDH("GILD US Equity","MIN_NONCONTROL_INTEREST_CREDITS","FQ2 2023","FQ2 2023","Currency=USD","Period=FQ","BEST_FPERIOD_OVERRIDE=FQ","FILING_STATUS=MR","SCALING_FORMAT=MLN","FA_ADJUSTED=GAAP","Sort=A","Dates=H","DateFormat=P","Fill=—","Direction=H","UseDPDF=Y")</f>
        <v>-6</v>
      </c>
      <c r="T40" s="13">
        <f>_xll.BDH("GILD US Equity","MIN_NONCONTROL_INTEREST_CREDITS","FQ3 2023","FQ3 2023","Currency=USD","Period=FQ","BEST_FPERIOD_OVERRIDE=FQ","FILING_STATUS=MR","SCALING_FORMAT=MLN","FA_ADJUSTED=GAAP","Sort=A","Dates=H","DateFormat=P","Fill=—","Direction=H","UseDPDF=Y")</f>
        <v>-8</v>
      </c>
      <c r="U40" s="13">
        <f>_xll.BDH("GILD US Equity","MIN_NONCONTROL_INTEREST_CREDITS","FQ4 2023","FQ4 2023","Currency=USD","Period=FQ","BEST_FPERIOD_OVERRIDE=FQ","FILING_STATUS=MR","SCALING_FORMAT=MLN","FA_ADJUSTED=GAAP","Sort=A","Dates=H","DateFormat=P","Fill=—","Direction=H","UseDPDF=Y")</f>
        <v>-12</v>
      </c>
      <c r="V40" s="13">
        <f>_xll.BDH("GILD US Equity","MIN_NONCONTROL_INTEREST_CREDITS","FQ1 2024","FQ1 2024","Currency=USD","Period=FQ","BEST_FPERIOD_OVERRIDE=FQ","FILING_STATUS=MR","SCALING_FORMAT=MLN","FA_ADJUSTED=GAAP","Sort=A","Dates=H","DateFormat=P","Fill=—","Direction=H","UseDPDF=Y")</f>
        <v>0</v>
      </c>
      <c r="W40" s="13">
        <f>_xll.BDH("GILD US Equity","MIN_NONCONTROL_INTEREST_CREDITS","FQ2 2024","FQ2 2024","Currency=USD","Period=FQ","BEST_FPERIOD_OVERRIDE=FQ","FILING_STATUS=MR","SCALING_FORMAT=MLN","FA_ADJUSTED=GAAP","Sort=A","Dates=H","DateFormat=P","Fill=—","Direction=H","UseDPDF=Y")</f>
        <v>0</v>
      </c>
      <c r="X40" s="13">
        <f>_xll.BDH("GILD US Equity","MIN_NONCONTROL_INTEREST_CREDITS","FQ3 2024","FQ3 2024","Currency=USD","Period=FQ","BEST_FPERIOD_OVERRIDE=FQ","FILING_STATUS=MR","SCALING_FORMAT=MLN","FA_ADJUSTED=GAAP","Sort=A","Dates=H","DateFormat=P","Fill=—","Direction=H","UseDPDF=Y")</f>
        <v>0</v>
      </c>
      <c r="Y40" s="13">
        <f>_xll.BDH("GILD US Equity","MIN_NONCONTROL_INTEREST_CREDITS","FQ4 2024","FQ4 2024","Currency=USD","Period=FQ","BEST_FPERIOD_OVERRIDE=FQ","FILING_STATUS=MR","SCALING_FORMAT=MLN","FA_ADJUSTED=GAAP","Sort=A","Dates=H","DateFormat=P","Fill=—","Direction=H","UseDPDF=Y")</f>
        <v>0</v>
      </c>
      <c r="Z40" s="13"/>
      <c r="AA40" s="13"/>
    </row>
    <row r="41" spans="1:27" x14ac:dyDescent="0.25">
      <c r="A41" s="6" t="s">
        <v>376</v>
      </c>
      <c r="B41" s="6" t="s">
        <v>377</v>
      </c>
      <c r="C41" s="19">
        <f>_xll.BDH("GILD US Equity","NET_INCOME","FQ2 2019","FQ2 2019","Currency=USD","Period=FQ","BEST_FPERIOD_OVERRIDE=FQ","FILING_STATUS=MR","SCALING_FORMAT=MLN","FA_ADJUSTED=GAAP","Sort=A","Dates=H","DateFormat=P","Fill=—","Direction=H","UseDPDF=Y")</f>
        <v>1880</v>
      </c>
      <c r="D41" s="19">
        <f>_xll.BDH("GILD US Equity","NET_INCOME","FQ3 2019","FQ3 2019","Currency=USD","Period=FQ","BEST_FPERIOD_OVERRIDE=FQ","FILING_STATUS=MR","SCALING_FORMAT=MLN","FA_ADJUSTED=GAAP","Sort=A","Dates=H","DateFormat=P","Fill=—","Direction=H","UseDPDF=Y")</f>
        <v>-1165</v>
      </c>
      <c r="E41" s="19">
        <f>_xll.BDH("GILD US Equity","NET_INCOME","FQ4 2019","FQ4 2019","Currency=USD","Period=FQ","BEST_FPERIOD_OVERRIDE=FQ","FILING_STATUS=MR","SCALING_FORMAT=MLN","FA_ADJUSTED=GAAP","Sort=A","Dates=H","DateFormat=P","Fill=—","Direction=H","UseDPDF=Y")</f>
        <v>2696</v>
      </c>
      <c r="F41" s="19">
        <f>_xll.BDH("GILD US Equity","NET_INCOME","FQ1 2020","FQ1 2020","Currency=USD","Period=FQ","BEST_FPERIOD_OVERRIDE=FQ","FILING_STATUS=MR","SCALING_FORMAT=MLN","FA_ADJUSTED=GAAP","Sort=A","Dates=H","DateFormat=P","Fill=—","Direction=H","UseDPDF=Y")</f>
        <v>1551</v>
      </c>
      <c r="G41" s="19">
        <f>_xll.BDH("GILD US Equity","NET_INCOME","FQ2 2020","FQ2 2020","Currency=USD","Period=FQ","BEST_FPERIOD_OVERRIDE=FQ","FILING_STATUS=MR","SCALING_FORMAT=MLN","FA_ADJUSTED=GAAP","Sort=A","Dates=H","DateFormat=P","Fill=—","Direction=H","UseDPDF=Y")</f>
        <v>-3339</v>
      </c>
      <c r="H41" s="19">
        <f>_xll.BDH("GILD US Equity","NET_INCOME","FQ3 2020","FQ3 2020","Currency=USD","Period=FQ","BEST_FPERIOD_OVERRIDE=FQ","FILING_STATUS=MR","SCALING_FORMAT=MLN","FA_ADJUSTED=GAAP","Sort=A","Dates=H","DateFormat=P","Fill=—","Direction=H","UseDPDF=Y")</f>
        <v>360</v>
      </c>
      <c r="I41" s="19">
        <f>_xll.BDH("GILD US Equity","NET_INCOME","FQ4 2020","FQ4 2020","Currency=USD","Period=FQ","BEST_FPERIOD_OVERRIDE=FQ","FILING_STATUS=MR","SCALING_FORMAT=MLN","FA_ADJUSTED=GAAP","Sort=A","Dates=H","DateFormat=P","Fill=—","Direction=H","UseDPDF=Y")</f>
        <v>1551</v>
      </c>
      <c r="J41" s="19">
        <f>_xll.BDH("GILD US Equity","NET_INCOME","FQ1 2021","FQ1 2021","Currency=USD","Period=FQ","BEST_FPERIOD_OVERRIDE=FQ","FILING_STATUS=MR","SCALING_FORMAT=MLN","FA_ADJUSTED=GAAP","Sort=A","Dates=H","DateFormat=P","Fill=—","Direction=H","UseDPDF=Y")</f>
        <v>1729</v>
      </c>
      <c r="K41" s="19">
        <f>_xll.BDH("GILD US Equity","NET_INCOME","FQ2 2021","FQ2 2021","Currency=USD","Period=FQ","BEST_FPERIOD_OVERRIDE=FQ","FILING_STATUS=MR","SCALING_FORMAT=MLN","FA_ADJUSTED=GAAP","Sort=A","Dates=H","DateFormat=P","Fill=—","Direction=H","UseDPDF=Y")</f>
        <v>1522</v>
      </c>
      <c r="L41" s="19">
        <f>_xll.BDH("GILD US Equity","NET_INCOME","FQ3 2021","FQ3 2021","Currency=USD","Period=FQ","BEST_FPERIOD_OVERRIDE=FQ","FILING_STATUS=MR","SCALING_FORMAT=MLN","FA_ADJUSTED=GAAP","Sort=A","Dates=H","DateFormat=P","Fill=—","Direction=H","UseDPDF=Y")</f>
        <v>2592</v>
      </c>
      <c r="M41" s="19">
        <f>_xll.BDH("GILD US Equity","NET_INCOME","FQ4 2021","FQ4 2021","Currency=USD","Period=FQ","BEST_FPERIOD_OVERRIDE=FQ","FILING_STATUS=MR","SCALING_FORMAT=MLN","FA_ADJUSTED=GAAP","Sort=A","Dates=H","DateFormat=P","Fill=—","Direction=H","UseDPDF=Y")</f>
        <v>382</v>
      </c>
      <c r="N41" s="19">
        <f>_xll.BDH("GILD US Equity","NET_INCOME","FQ1 2022","FQ1 2022","Currency=USD","Period=FQ","BEST_FPERIOD_OVERRIDE=FQ","FILING_STATUS=MR","SCALING_FORMAT=MLN","FA_ADJUSTED=GAAP","Sort=A","Dates=H","DateFormat=P","Fill=—","Direction=H","UseDPDF=Y")</f>
        <v>19</v>
      </c>
      <c r="O41" s="19">
        <f>_xll.BDH("GILD US Equity","NET_INCOME","FQ2 2022","FQ2 2022","Currency=USD","Period=FQ","BEST_FPERIOD_OVERRIDE=FQ","FILING_STATUS=MR","SCALING_FORMAT=MLN","FA_ADJUSTED=GAAP","Sort=A","Dates=H","DateFormat=P","Fill=—","Direction=H","UseDPDF=Y")</f>
        <v>1144</v>
      </c>
      <c r="P41" s="19">
        <f>_xll.BDH("GILD US Equity","NET_INCOME","FQ3 2022","FQ3 2022","Currency=USD","Period=FQ","BEST_FPERIOD_OVERRIDE=FQ","FILING_STATUS=MR","SCALING_FORMAT=MLN","FA_ADJUSTED=GAAP","Sort=A","Dates=H","DateFormat=P","Fill=—","Direction=H","UseDPDF=Y")</f>
        <v>1789</v>
      </c>
      <c r="Q41" s="19">
        <f>_xll.BDH("GILD US Equity","NET_INCOME","FQ4 2022","FQ4 2022","Currency=USD","Period=FQ","BEST_FPERIOD_OVERRIDE=FQ","FILING_STATUS=MR","SCALING_FORMAT=MLN","FA_ADJUSTED=GAAP","Sort=A","Dates=H","DateFormat=P","Fill=—","Direction=H","UseDPDF=Y")</f>
        <v>1640</v>
      </c>
      <c r="R41" s="19">
        <f>_xll.BDH("GILD US Equity","NET_INCOME","FQ1 2023","FQ1 2023","Currency=USD","Period=FQ","BEST_FPERIOD_OVERRIDE=FQ","FILING_STATUS=MR","SCALING_FORMAT=MLN","FA_ADJUSTED=GAAP","Sort=A","Dates=H","DateFormat=P","Fill=—","Direction=H","UseDPDF=Y")</f>
        <v>1010</v>
      </c>
      <c r="S41" s="19">
        <f>_xll.BDH("GILD US Equity","NET_INCOME","FQ2 2023","FQ2 2023","Currency=USD","Period=FQ","BEST_FPERIOD_OVERRIDE=FQ","FILING_STATUS=MR","SCALING_FORMAT=MLN","FA_ADJUSTED=GAAP","Sort=A","Dates=H","DateFormat=P","Fill=—","Direction=H","UseDPDF=Y")</f>
        <v>1045</v>
      </c>
      <c r="T41" s="19">
        <f>_xll.BDH("GILD US Equity","NET_INCOME","FQ3 2023","FQ3 2023","Currency=USD","Period=FQ","BEST_FPERIOD_OVERRIDE=FQ","FILING_STATUS=MR","SCALING_FORMAT=MLN","FA_ADJUSTED=GAAP","Sort=A","Dates=H","DateFormat=P","Fill=—","Direction=H","UseDPDF=Y")</f>
        <v>2180</v>
      </c>
      <c r="U41" s="19">
        <f>_xll.BDH("GILD US Equity","NET_INCOME","FQ4 2023","FQ4 2023","Currency=USD","Period=FQ","BEST_FPERIOD_OVERRIDE=FQ","FILING_STATUS=MR","SCALING_FORMAT=MLN","FA_ADJUSTED=GAAP","Sort=A","Dates=H","DateFormat=P","Fill=—","Direction=H","UseDPDF=Y")</f>
        <v>1429</v>
      </c>
      <c r="V41" s="19">
        <f>_xll.BDH("GILD US Equity","NET_INCOME","FQ1 2024","FQ1 2024","Currency=USD","Period=FQ","BEST_FPERIOD_OVERRIDE=FQ","FILING_STATUS=MR","SCALING_FORMAT=MLN","FA_ADJUSTED=GAAP","Sort=A","Dates=H","DateFormat=P","Fill=—","Direction=H","UseDPDF=Y")</f>
        <v>-4170</v>
      </c>
      <c r="W41" s="19">
        <f>_xll.BDH("GILD US Equity","NET_INCOME","FQ2 2024","FQ2 2024","Currency=USD","Period=FQ","BEST_FPERIOD_OVERRIDE=FQ","FILING_STATUS=MR","SCALING_FORMAT=MLN","FA_ADJUSTED=GAAP","Sort=A","Dates=H","DateFormat=P","Fill=—","Direction=H","UseDPDF=Y")</f>
        <v>1614</v>
      </c>
      <c r="X41" s="19">
        <f>_xll.BDH("GILD US Equity","NET_INCOME","FQ3 2024","FQ3 2024","Currency=USD","Period=FQ","BEST_FPERIOD_OVERRIDE=FQ","FILING_STATUS=MR","SCALING_FORMAT=MLN","FA_ADJUSTED=GAAP","Sort=A","Dates=H","DateFormat=P","Fill=—","Direction=H","UseDPDF=Y")</f>
        <v>1253</v>
      </c>
      <c r="Y41" s="19">
        <f>_xll.BDH("GILD US Equity","NET_INCOME","FQ4 2024","FQ4 2024","Currency=USD","Period=FQ","BEST_FPERIOD_OVERRIDE=FQ","FILING_STATUS=MR","SCALING_FORMAT=MLN","FA_ADJUSTED=GAAP","Sort=A","Dates=H","DateFormat=P","Fill=—","Direction=H","UseDPDF=Y")</f>
        <v>1783</v>
      </c>
      <c r="Z41" s="19">
        <v>1619.538</v>
      </c>
      <c r="AA41" s="19">
        <v>1847.769</v>
      </c>
    </row>
    <row r="42" spans="1:27" x14ac:dyDescent="0.25">
      <c r="A42" s="10" t="s">
        <v>378</v>
      </c>
      <c r="B42" s="10" t="s">
        <v>379</v>
      </c>
      <c r="C42" s="13">
        <f>_xll.BDH("GILD US Equity","IS_TOT_CASH_PFD_DVD","FQ2 2019","FQ2 2019","Currency=USD","Period=FQ","BEST_FPERIOD_OVERRIDE=FQ","FILING_STATUS=MR","SCALING_FORMAT=MLN","Sort=A","Dates=H","DateFormat=P","Fill=—","Direction=H","UseDPDF=Y")</f>
        <v>0</v>
      </c>
      <c r="D42" s="13">
        <f>_xll.BDH("GILD US Equity","IS_TOT_CASH_PFD_DVD","FQ3 2019","FQ3 2019","Currency=USD","Period=FQ","BEST_FPERIOD_OVERRIDE=FQ","FILING_STATUS=MR","SCALING_FORMAT=MLN","Sort=A","Dates=H","DateFormat=P","Fill=—","Direction=H","UseDPDF=Y")</f>
        <v>0</v>
      </c>
      <c r="E42" s="13">
        <f>_xll.BDH("GILD US Equity","IS_TOT_CASH_PFD_DVD","FQ4 2019","FQ4 2019","Currency=USD","Period=FQ","BEST_FPERIOD_OVERRIDE=FQ","FILING_STATUS=MR","SCALING_FORMAT=MLN","Sort=A","Dates=H","DateFormat=P","Fill=—","Direction=H","UseDPDF=Y")</f>
        <v>0</v>
      </c>
      <c r="F42" s="13">
        <f>_xll.BDH("GILD US Equity","IS_TOT_CASH_PFD_DVD","FQ1 2020","FQ1 2020","Currency=USD","Period=FQ","BEST_FPERIOD_OVERRIDE=FQ","FILING_STATUS=MR","SCALING_FORMAT=MLN","Sort=A","Dates=H","DateFormat=P","Fill=—","Direction=H","UseDPDF=Y")</f>
        <v>0</v>
      </c>
      <c r="G42" s="13">
        <f>_xll.BDH("GILD US Equity","IS_TOT_CASH_PFD_DVD","FQ2 2020","FQ2 2020","Currency=USD","Period=FQ","BEST_FPERIOD_OVERRIDE=FQ","FILING_STATUS=MR","SCALING_FORMAT=MLN","Sort=A","Dates=H","DateFormat=P","Fill=—","Direction=H","UseDPDF=Y")</f>
        <v>0</v>
      </c>
      <c r="H42" s="13">
        <f>_xll.BDH("GILD US Equity","IS_TOT_CASH_PFD_DVD","FQ3 2020","FQ3 2020","Currency=USD","Period=FQ","BEST_FPERIOD_OVERRIDE=FQ","FILING_STATUS=MR","SCALING_FORMAT=MLN","Sort=A","Dates=H","DateFormat=P","Fill=—","Direction=H","UseDPDF=Y")</f>
        <v>0</v>
      </c>
      <c r="I42" s="13">
        <f>_xll.BDH("GILD US Equity","IS_TOT_CASH_PFD_DVD","FQ4 2020","FQ4 2020","Currency=USD","Period=FQ","BEST_FPERIOD_OVERRIDE=FQ","FILING_STATUS=MR","SCALING_FORMAT=MLN","Sort=A","Dates=H","DateFormat=P","Fill=—","Direction=H","UseDPDF=Y")</f>
        <v>0</v>
      </c>
      <c r="J42" s="13">
        <f>_xll.BDH("GILD US Equity","IS_TOT_CASH_PFD_DVD","FQ1 2021","FQ1 2021","Currency=USD","Period=FQ","BEST_FPERIOD_OVERRIDE=FQ","FILING_STATUS=MR","SCALING_FORMAT=MLN","Sort=A","Dates=H","DateFormat=P","Fill=—","Direction=H","UseDPDF=Y")</f>
        <v>0</v>
      </c>
      <c r="K42" s="13">
        <f>_xll.BDH("GILD US Equity","IS_TOT_CASH_PFD_DVD","FQ2 2021","FQ2 2021","Currency=USD","Period=FQ","BEST_FPERIOD_OVERRIDE=FQ","FILING_STATUS=MR","SCALING_FORMAT=MLN","Sort=A","Dates=H","DateFormat=P","Fill=—","Direction=H","UseDPDF=Y")</f>
        <v>0</v>
      </c>
      <c r="L42" s="13">
        <f>_xll.BDH("GILD US Equity","IS_TOT_CASH_PFD_DVD","FQ3 2021","FQ3 2021","Currency=USD","Period=FQ","BEST_FPERIOD_OVERRIDE=FQ","FILING_STATUS=MR","SCALING_FORMAT=MLN","Sort=A","Dates=H","DateFormat=P","Fill=—","Direction=H","UseDPDF=Y")</f>
        <v>0</v>
      </c>
      <c r="M42" s="13">
        <f>_xll.BDH("GILD US Equity","IS_TOT_CASH_PFD_DVD","FQ4 2021","FQ4 2021","Currency=USD","Period=FQ","BEST_FPERIOD_OVERRIDE=FQ","FILING_STATUS=MR","SCALING_FORMAT=MLN","Sort=A","Dates=H","DateFormat=P","Fill=—","Direction=H","UseDPDF=Y")</f>
        <v>0</v>
      </c>
      <c r="N42" s="13">
        <f>_xll.BDH("GILD US Equity","IS_TOT_CASH_PFD_DVD","FQ1 2022","FQ1 2022","Currency=USD","Period=FQ","BEST_FPERIOD_OVERRIDE=FQ","FILING_STATUS=MR","SCALING_FORMAT=MLN","Sort=A","Dates=H","DateFormat=P","Fill=—","Direction=H","UseDPDF=Y")</f>
        <v>0</v>
      </c>
      <c r="O42" s="13">
        <f>_xll.BDH("GILD US Equity","IS_TOT_CASH_PFD_DVD","FQ2 2022","FQ2 2022","Currency=USD","Period=FQ","BEST_FPERIOD_OVERRIDE=FQ","FILING_STATUS=MR","SCALING_FORMAT=MLN","Sort=A","Dates=H","DateFormat=P","Fill=—","Direction=H","UseDPDF=Y")</f>
        <v>0</v>
      </c>
      <c r="P42" s="13">
        <f>_xll.BDH("GILD US Equity","IS_TOT_CASH_PFD_DVD","FQ3 2022","FQ3 2022","Currency=USD","Period=FQ","BEST_FPERIOD_OVERRIDE=FQ","FILING_STATUS=MR","SCALING_FORMAT=MLN","Sort=A","Dates=H","DateFormat=P","Fill=—","Direction=H","UseDPDF=Y")</f>
        <v>0</v>
      </c>
      <c r="Q42" s="13">
        <f>_xll.BDH("GILD US Equity","IS_TOT_CASH_PFD_DVD","FQ4 2022","FQ4 2022","Currency=USD","Period=FQ","BEST_FPERIOD_OVERRIDE=FQ","FILING_STATUS=MR","SCALING_FORMAT=MLN","Sort=A","Dates=H","DateFormat=P","Fill=—","Direction=H","UseDPDF=Y")</f>
        <v>0</v>
      </c>
      <c r="R42" s="13">
        <f>_xll.BDH("GILD US Equity","IS_TOT_CASH_PFD_DVD","FQ1 2023","FQ1 2023","Currency=USD","Period=FQ","BEST_FPERIOD_OVERRIDE=FQ","FILING_STATUS=MR","SCALING_FORMAT=MLN","Sort=A","Dates=H","DateFormat=P","Fill=—","Direction=H","UseDPDF=Y")</f>
        <v>0</v>
      </c>
      <c r="S42" s="13">
        <f>_xll.BDH("GILD US Equity","IS_TOT_CASH_PFD_DVD","FQ2 2023","FQ2 2023","Currency=USD","Period=FQ","BEST_FPERIOD_OVERRIDE=FQ","FILING_STATUS=MR","SCALING_FORMAT=MLN","Sort=A","Dates=H","DateFormat=P","Fill=—","Direction=H","UseDPDF=Y")</f>
        <v>0</v>
      </c>
      <c r="T42" s="13">
        <f>_xll.BDH("GILD US Equity","IS_TOT_CASH_PFD_DVD","FQ3 2023","FQ3 2023","Currency=USD","Period=FQ","BEST_FPERIOD_OVERRIDE=FQ","FILING_STATUS=MR","SCALING_FORMAT=MLN","Sort=A","Dates=H","DateFormat=P","Fill=—","Direction=H","UseDPDF=Y")</f>
        <v>0</v>
      </c>
      <c r="U42" s="13">
        <f>_xll.BDH("GILD US Equity","IS_TOT_CASH_PFD_DVD","FQ4 2023","FQ4 2023","Currency=USD","Period=FQ","BEST_FPERIOD_OVERRIDE=FQ","FILING_STATUS=MR","SCALING_FORMAT=MLN","Sort=A","Dates=H","DateFormat=P","Fill=—","Direction=H","UseDPDF=Y")</f>
        <v>0</v>
      </c>
      <c r="V42" s="13">
        <f>_xll.BDH("GILD US Equity","IS_TOT_CASH_PFD_DVD","FQ1 2024","FQ1 2024","Currency=USD","Period=FQ","BEST_FPERIOD_OVERRIDE=FQ","FILING_STATUS=MR","SCALING_FORMAT=MLN","Sort=A","Dates=H","DateFormat=P","Fill=—","Direction=H","UseDPDF=Y")</f>
        <v>0</v>
      </c>
      <c r="W42" s="13">
        <f>_xll.BDH("GILD US Equity","IS_TOT_CASH_PFD_DVD","FQ2 2024","FQ2 2024","Currency=USD","Period=FQ","BEST_FPERIOD_OVERRIDE=FQ","FILING_STATUS=MR","SCALING_FORMAT=MLN","Sort=A","Dates=H","DateFormat=P","Fill=—","Direction=H","UseDPDF=Y")</f>
        <v>0</v>
      </c>
      <c r="X42" s="13">
        <f>_xll.BDH("GILD US Equity","IS_TOT_CASH_PFD_DVD","FQ3 2024","FQ3 2024","Currency=USD","Period=FQ","BEST_FPERIOD_OVERRIDE=FQ","FILING_STATUS=MR","SCALING_FORMAT=MLN","Sort=A","Dates=H","DateFormat=P","Fill=—","Direction=H","UseDPDF=Y")</f>
        <v>0</v>
      </c>
      <c r="Y42" s="13">
        <f>_xll.BDH("GILD US Equity","IS_TOT_CASH_PFD_DVD","FQ4 2024","FQ4 2024","Currency=USD","Period=FQ","BEST_FPERIOD_OVERRIDE=FQ","FILING_STATUS=MR","SCALING_FORMAT=MLN","Sort=A","Dates=H","DateFormat=P","Fill=—","Direction=H","UseDPDF=Y")</f>
        <v>0</v>
      </c>
      <c r="Z42" s="13"/>
      <c r="AA42" s="13"/>
    </row>
    <row r="43" spans="1:27" x14ac:dyDescent="0.25">
      <c r="A43" s="10" t="s">
        <v>380</v>
      </c>
      <c r="B43" s="10" t="s">
        <v>381</v>
      </c>
      <c r="C43" s="13">
        <f>_xll.BDH("GILD US Equity","OTHER_ADJUSTMENTS","FQ2 2019","FQ2 2019","Currency=USD","Period=FQ","BEST_FPERIOD_OVERRIDE=FQ","FILING_STATUS=MR","SCALING_FORMAT=MLN","Sort=A","Dates=H","DateFormat=P","Fill=—","Direction=H","UseDPDF=Y")</f>
        <v>0</v>
      </c>
      <c r="D43" s="13">
        <f>_xll.BDH("GILD US Equity","OTHER_ADJUSTMENTS","FQ3 2019","FQ3 2019","Currency=USD","Period=FQ","BEST_FPERIOD_OVERRIDE=FQ","FILING_STATUS=MR","SCALING_FORMAT=MLN","Sort=A","Dates=H","DateFormat=P","Fill=—","Direction=H","UseDPDF=Y")</f>
        <v>0</v>
      </c>
      <c r="E43" s="13">
        <f>_xll.BDH("GILD US Equity","OTHER_ADJUSTMENTS","FQ4 2019","FQ4 2019","Currency=USD","Period=FQ","BEST_FPERIOD_OVERRIDE=FQ","FILING_STATUS=MR","SCALING_FORMAT=MLN","Sort=A","Dates=H","DateFormat=P","Fill=—","Direction=H","UseDPDF=Y")</f>
        <v>0</v>
      </c>
      <c r="F43" s="13">
        <f>_xll.BDH("GILD US Equity","OTHER_ADJUSTMENTS","FQ1 2020","FQ1 2020","Currency=USD","Period=FQ","BEST_FPERIOD_OVERRIDE=FQ","FILING_STATUS=MR","SCALING_FORMAT=MLN","Sort=A","Dates=H","DateFormat=P","Fill=—","Direction=H","UseDPDF=Y")</f>
        <v>0</v>
      </c>
      <c r="G43" s="13">
        <f>_xll.BDH("GILD US Equity","OTHER_ADJUSTMENTS","FQ2 2020","FQ2 2020","Currency=USD","Period=FQ","BEST_FPERIOD_OVERRIDE=FQ","FILING_STATUS=MR","SCALING_FORMAT=MLN","Sort=A","Dates=H","DateFormat=P","Fill=—","Direction=H","UseDPDF=Y")</f>
        <v>0</v>
      </c>
      <c r="H43" s="13">
        <f>_xll.BDH("GILD US Equity","OTHER_ADJUSTMENTS","FQ3 2020","FQ3 2020","Currency=USD","Period=FQ","BEST_FPERIOD_OVERRIDE=FQ","FILING_STATUS=MR","SCALING_FORMAT=MLN","Sort=A","Dates=H","DateFormat=P","Fill=—","Direction=H","UseDPDF=Y")</f>
        <v>0</v>
      </c>
      <c r="I43" s="13">
        <f>_xll.BDH("GILD US Equity","OTHER_ADJUSTMENTS","FQ4 2020","FQ4 2020","Currency=USD","Period=FQ","BEST_FPERIOD_OVERRIDE=FQ","FILING_STATUS=MR","SCALING_FORMAT=MLN","Sort=A","Dates=H","DateFormat=P","Fill=—","Direction=H","UseDPDF=Y")</f>
        <v>0</v>
      </c>
      <c r="J43" s="13">
        <f>_xll.BDH("GILD US Equity","OTHER_ADJUSTMENTS","FQ1 2021","FQ1 2021","Currency=USD","Period=FQ","BEST_FPERIOD_OVERRIDE=FQ","FILING_STATUS=MR","SCALING_FORMAT=MLN","Sort=A","Dates=H","DateFormat=P","Fill=—","Direction=H","UseDPDF=Y")</f>
        <v>0</v>
      </c>
      <c r="K43" s="13">
        <f>_xll.BDH("GILD US Equity","OTHER_ADJUSTMENTS","FQ2 2021","FQ2 2021","Currency=USD","Period=FQ","BEST_FPERIOD_OVERRIDE=FQ","FILING_STATUS=MR","SCALING_FORMAT=MLN","Sort=A","Dates=H","DateFormat=P","Fill=—","Direction=H","UseDPDF=Y")</f>
        <v>0</v>
      </c>
      <c r="L43" s="13">
        <f>_xll.BDH("GILD US Equity","OTHER_ADJUSTMENTS","FQ3 2021","FQ3 2021","Currency=USD","Period=FQ","BEST_FPERIOD_OVERRIDE=FQ","FILING_STATUS=MR","SCALING_FORMAT=MLN","Sort=A","Dates=H","DateFormat=P","Fill=—","Direction=H","UseDPDF=Y")</f>
        <v>0</v>
      </c>
      <c r="M43" s="13">
        <f>_xll.BDH("GILD US Equity","OTHER_ADJUSTMENTS","FQ4 2021","FQ4 2021","Currency=USD","Period=FQ","BEST_FPERIOD_OVERRIDE=FQ","FILING_STATUS=MR","SCALING_FORMAT=MLN","Sort=A","Dates=H","DateFormat=P","Fill=—","Direction=H","UseDPDF=Y")</f>
        <v>0</v>
      </c>
      <c r="N43" s="13">
        <f>_xll.BDH("GILD US Equity","OTHER_ADJUSTMENTS","FQ1 2022","FQ1 2022","Currency=USD","Period=FQ","BEST_FPERIOD_OVERRIDE=FQ","FILING_STATUS=MR","SCALING_FORMAT=MLN","Sort=A","Dates=H","DateFormat=P","Fill=—","Direction=H","UseDPDF=Y")</f>
        <v>0</v>
      </c>
      <c r="O43" s="13">
        <f>_xll.BDH("GILD US Equity","OTHER_ADJUSTMENTS","FQ2 2022","FQ2 2022","Currency=USD","Period=FQ","BEST_FPERIOD_OVERRIDE=FQ","FILING_STATUS=MR","SCALING_FORMAT=MLN","Sort=A","Dates=H","DateFormat=P","Fill=—","Direction=H","UseDPDF=Y")</f>
        <v>0</v>
      </c>
      <c r="P43" s="13">
        <f>_xll.BDH("GILD US Equity","OTHER_ADJUSTMENTS","FQ3 2022","FQ3 2022","Currency=USD","Period=FQ","BEST_FPERIOD_OVERRIDE=FQ","FILING_STATUS=MR","SCALING_FORMAT=MLN","Sort=A","Dates=H","DateFormat=P","Fill=—","Direction=H","UseDPDF=Y")</f>
        <v>0</v>
      </c>
      <c r="Q43" s="13">
        <f>_xll.BDH("GILD US Equity","OTHER_ADJUSTMENTS","FQ4 2022","FQ4 2022","Currency=USD","Period=FQ","BEST_FPERIOD_OVERRIDE=FQ","FILING_STATUS=MR","SCALING_FORMAT=MLN","Sort=A","Dates=H","DateFormat=P","Fill=—","Direction=H","UseDPDF=Y")</f>
        <v>0</v>
      </c>
      <c r="R43" s="13">
        <f>_xll.BDH("GILD US Equity","OTHER_ADJUSTMENTS","FQ1 2023","FQ1 2023","Currency=USD","Period=FQ","BEST_FPERIOD_OVERRIDE=FQ","FILING_STATUS=MR","SCALING_FORMAT=MLN","Sort=A","Dates=H","DateFormat=P","Fill=—","Direction=H","UseDPDF=Y")</f>
        <v>0</v>
      </c>
      <c r="S43" s="13">
        <f>_xll.BDH("GILD US Equity","OTHER_ADJUSTMENTS","FQ2 2023","FQ2 2023","Currency=USD","Period=FQ","BEST_FPERIOD_OVERRIDE=FQ","FILING_STATUS=MR","SCALING_FORMAT=MLN","Sort=A","Dates=H","DateFormat=P","Fill=—","Direction=H","UseDPDF=Y")</f>
        <v>0</v>
      </c>
      <c r="T43" s="13">
        <f>_xll.BDH("GILD US Equity","OTHER_ADJUSTMENTS","FQ3 2023","FQ3 2023","Currency=USD","Period=FQ","BEST_FPERIOD_OVERRIDE=FQ","FILING_STATUS=MR","SCALING_FORMAT=MLN","Sort=A","Dates=H","DateFormat=P","Fill=—","Direction=H","UseDPDF=Y")</f>
        <v>0</v>
      </c>
      <c r="U43" s="13">
        <f>_xll.BDH("GILD US Equity","OTHER_ADJUSTMENTS","FQ4 2023","FQ4 2023","Currency=USD","Period=FQ","BEST_FPERIOD_OVERRIDE=FQ","FILING_STATUS=MR","SCALING_FORMAT=MLN","Sort=A","Dates=H","DateFormat=P","Fill=—","Direction=H","UseDPDF=Y")</f>
        <v>0</v>
      </c>
      <c r="V43" s="13">
        <f>_xll.BDH("GILD US Equity","OTHER_ADJUSTMENTS","FQ1 2024","FQ1 2024","Currency=USD","Period=FQ","BEST_FPERIOD_OVERRIDE=FQ","FILING_STATUS=MR","SCALING_FORMAT=MLN","Sort=A","Dates=H","DateFormat=P","Fill=—","Direction=H","UseDPDF=Y")</f>
        <v>0</v>
      </c>
      <c r="W43" s="13">
        <f>_xll.BDH("GILD US Equity","OTHER_ADJUSTMENTS","FQ2 2024","FQ2 2024","Currency=USD","Period=FQ","BEST_FPERIOD_OVERRIDE=FQ","FILING_STATUS=MR","SCALING_FORMAT=MLN","Sort=A","Dates=H","DateFormat=P","Fill=—","Direction=H","UseDPDF=Y")</f>
        <v>0</v>
      </c>
      <c r="X43" s="13">
        <f>_xll.BDH("GILD US Equity","OTHER_ADJUSTMENTS","FQ3 2024","FQ3 2024","Currency=USD","Period=FQ","BEST_FPERIOD_OVERRIDE=FQ","FILING_STATUS=MR","SCALING_FORMAT=MLN","Sort=A","Dates=H","DateFormat=P","Fill=—","Direction=H","UseDPDF=Y")</f>
        <v>0</v>
      </c>
      <c r="Y43" s="13">
        <f>_xll.BDH("GILD US Equity","OTHER_ADJUSTMENTS","FQ4 2024","FQ4 2024","Currency=USD","Period=FQ","BEST_FPERIOD_OVERRIDE=FQ","FILING_STATUS=MR","SCALING_FORMAT=MLN","Sort=A","Dates=H","DateFormat=P","Fill=—","Direction=H","UseDPDF=Y")</f>
        <v>0</v>
      </c>
      <c r="Z43" s="13"/>
      <c r="AA43" s="13"/>
    </row>
    <row r="44" spans="1:27" x14ac:dyDescent="0.25">
      <c r="A44" s="6" t="s">
        <v>382</v>
      </c>
      <c r="B44" s="6" t="s">
        <v>80</v>
      </c>
      <c r="C44" s="19">
        <f>_xll.BDH("GILD US Equity","EARN_FOR_COMMON","FQ2 2019","FQ2 2019","Currency=USD","Period=FQ","BEST_FPERIOD_OVERRIDE=FQ","FILING_STATUS=MR","SCALING_FORMAT=MLN","FA_ADJUSTED=GAAP","Sort=A","Dates=H","DateFormat=P","Fill=—","Direction=H","UseDPDF=Y")</f>
        <v>1880</v>
      </c>
      <c r="D44" s="19">
        <f>_xll.BDH("GILD US Equity","EARN_FOR_COMMON","FQ3 2019","FQ3 2019","Currency=USD","Period=FQ","BEST_FPERIOD_OVERRIDE=FQ","FILING_STATUS=MR","SCALING_FORMAT=MLN","FA_ADJUSTED=GAAP","Sort=A","Dates=H","DateFormat=P","Fill=—","Direction=H","UseDPDF=Y")</f>
        <v>-1165</v>
      </c>
      <c r="E44" s="19">
        <f>_xll.BDH("GILD US Equity","EARN_FOR_COMMON","FQ4 2019","FQ4 2019","Currency=USD","Period=FQ","BEST_FPERIOD_OVERRIDE=FQ","FILING_STATUS=MR","SCALING_FORMAT=MLN","FA_ADJUSTED=GAAP","Sort=A","Dates=H","DateFormat=P","Fill=—","Direction=H","UseDPDF=Y")</f>
        <v>2696</v>
      </c>
      <c r="F44" s="19">
        <f>_xll.BDH("GILD US Equity","EARN_FOR_COMMON","FQ1 2020","FQ1 2020","Currency=USD","Period=FQ","BEST_FPERIOD_OVERRIDE=FQ","FILING_STATUS=MR","SCALING_FORMAT=MLN","FA_ADJUSTED=GAAP","Sort=A","Dates=H","DateFormat=P","Fill=—","Direction=H","UseDPDF=Y")</f>
        <v>1551</v>
      </c>
      <c r="G44" s="19">
        <f>_xll.BDH("GILD US Equity","EARN_FOR_COMMON","FQ2 2020","FQ2 2020","Currency=USD","Period=FQ","BEST_FPERIOD_OVERRIDE=FQ","FILING_STATUS=MR","SCALING_FORMAT=MLN","FA_ADJUSTED=GAAP","Sort=A","Dates=H","DateFormat=P","Fill=—","Direction=H","UseDPDF=Y")</f>
        <v>-3339</v>
      </c>
      <c r="H44" s="19">
        <f>_xll.BDH("GILD US Equity","EARN_FOR_COMMON","FQ3 2020","FQ3 2020","Currency=USD","Period=FQ","BEST_FPERIOD_OVERRIDE=FQ","FILING_STATUS=MR","SCALING_FORMAT=MLN","FA_ADJUSTED=GAAP","Sort=A","Dates=H","DateFormat=P","Fill=—","Direction=H","UseDPDF=Y")</f>
        <v>360</v>
      </c>
      <c r="I44" s="19">
        <f>_xll.BDH("GILD US Equity","EARN_FOR_COMMON","FQ4 2020","FQ4 2020","Currency=USD","Period=FQ","BEST_FPERIOD_OVERRIDE=FQ","FILING_STATUS=MR","SCALING_FORMAT=MLN","FA_ADJUSTED=GAAP","Sort=A","Dates=H","DateFormat=P","Fill=—","Direction=H","UseDPDF=Y")</f>
        <v>1551</v>
      </c>
      <c r="J44" s="19">
        <f>_xll.BDH("GILD US Equity","EARN_FOR_COMMON","FQ1 2021","FQ1 2021","Currency=USD","Period=FQ","BEST_FPERIOD_OVERRIDE=FQ","FILING_STATUS=MR","SCALING_FORMAT=MLN","FA_ADJUSTED=GAAP","Sort=A","Dates=H","DateFormat=P","Fill=—","Direction=H","UseDPDF=Y")</f>
        <v>1729</v>
      </c>
      <c r="K44" s="19">
        <f>_xll.BDH("GILD US Equity","EARN_FOR_COMMON","FQ2 2021","FQ2 2021","Currency=USD","Period=FQ","BEST_FPERIOD_OVERRIDE=FQ","FILING_STATUS=MR","SCALING_FORMAT=MLN","FA_ADJUSTED=GAAP","Sort=A","Dates=H","DateFormat=P","Fill=—","Direction=H","UseDPDF=Y")</f>
        <v>1522</v>
      </c>
      <c r="L44" s="19">
        <f>_xll.BDH("GILD US Equity","EARN_FOR_COMMON","FQ3 2021","FQ3 2021","Currency=USD","Period=FQ","BEST_FPERIOD_OVERRIDE=FQ","FILING_STATUS=MR","SCALING_FORMAT=MLN","FA_ADJUSTED=GAAP","Sort=A","Dates=H","DateFormat=P","Fill=—","Direction=H","UseDPDF=Y")</f>
        <v>2592</v>
      </c>
      <c r="M44" s="19">
        <f>_xll.BDH("GILD US Equity","EARN_FOR_COMMON","FQ4 2021","FQ4 2021","Currency=USD","Period=FQ","BEST_FPERIOD_OVERRIDE=FQ","FILING_STATUS=MR","SCALING_FORMAT=MLN","FA_ADJUSTED=GAAP","Sort=A","Dates=H","DateFormat=P","Fill=—","Direction=H","UseDPDF=Y")</f>
        <v>382</v>
      </c>
      <c r="N44" s="19">
        <f>_xll.BDH("GILD US Equity","EARN_FOR_COMMON","FQ1 2022","FQ1 2022","Currency=USD","Period=FQ","BEST_FPERIOD_OVERRIDE=FQ","FILING_STATUS=MR","SCALING_FORMAT=MLN","FA_ADJUSTED=GAAP","Sort=A","Dates=H","DateFormat=P","Fill=—","Direction=H","UseDPDF=Y")</f>
        <v>19</v>
      </c>
      <c r="O44" s="19">
        <f>_xll.BDH("GILD US Equity","EARN_FOR_COMMON","FQ2 2022","FQ2 2022","Currency=USD","Period=FQ","BEST_FPERIOD_OVERRIDE=FQ","FILING_STATUS=MR","SCALING_FORMAT=MLN","FA_ADJUSTED=GAAP","Sort=A","Dates=H","DateFormat=P","Fill=—","Direction=H","UseDPDF=Y")</f>
        <v>1144</v>
      </c>
      <c r="P44" s="19">
        <f>_xll.BDH("GILD US Equity","EARN_FOR_COMMON","FQ3 2022","FQ3 2022","Currency=USD","Period=FQ","BEST_FPERIOD_OVERRIDE=FQ","FILING_STATUS=MR","SCALING_FORMAT=MLN","FA_ADJUSTED=GAAP","Sort=A","Dates=H","DateFormat=P","Fill=—","Direction=H","UseDPDF=Y")</f>
        <v>1789</v>
      </c>
      <c r="Q44" s="19">
        <f>_xll.BDH("GILD US Equity","EARN_FOR_COMMON","FQ4 2022","FQ4 2022","Currency=USD","Period=FQ","BEST_FPERIOD_OVERRIDE=FQ","FILING_STATUS=MR","SCALING_FORMAT=MLN","FA_ADJUSTED=GAAP","Sort=A","Dates=H","DateFormat=P","Fill=—","Direction=H","UseDPDF=Y")</f>
        <v>1640</v>
      </c>
      <c r="R44" s="19">
        <f>_xll.BDH("GILD US Equity","EARN_FOR_COMMON","FQ1 2023","FQ1 2023","Currency=USD","Period=FQ","BEST_FPERIOD_OVERRIDE=FQ","FILING_STATUS=MR","SCALING_FORMAT=MLN","FA_ADJUSTED=GAAP","Sort=A","Dates=H","DateFormat=P","Fill=—","Direction=H","UseDPDF=Y")</f>
        <v>1010</v>
      </c>
      <c r="S44" s="19">
        <f>_xll.BDH("GILD US Equity","EARN_FOR_COMMON","FQ2 2023","FQ2 2023","Currency=USD","Period=FQ","BEST_FPERIOD_OVERRIDE=FQ","FILING_STATUS=MR","SCALING_FORMAT=MLN","FA_ADJUSTED=GAAP","Sort=A","Dates=H","DateFormat=P","Fill=—","Direction=H","UseDPDF=Y")</f>
        <v>1045</v>
      </c>
      <c r="T44" s="19">
        <f>_xll.BDH("GILD US Equity","EARN_FOR_COMMON","FQ3 2023","FQ3 2023","Currency=USD","Period=FQ","BEST_FPERIOD_OVERRIDE=FQ","FILING_STATUS=MR","SCALING_FORMAT=MLN","FA_ADJUSTED=GAAP","Sort=A","Dates=H","DateFormat=P","Fill=—","Direction=H","UseDPDF=Y")</f>
        <v>2180</v>
      </c>
      <c r="U44" s="19">
        <f>_xll.BDH("GILD US Equity","EARN_FOR_COMMON","FQ4 2023","FQ4 2023","Currency=USD","Period=FQ","BEST_FPERIOD_OVERRIDE=FQ","FILING_STATUS=MR","SCALING_FORMAT=MLN","FA_ADJUSTED=GAAP","Sort=A","Dates=H","DateFormat=P","Fill=—","Direction=H","UseDPDF=Y")</f>
        <v>1429</v>
      </c>
      <c r="V44" s="19">
        <f>_xll.BDH("GILD US Equity","EARN_FOR_COMMON","FQ1 2024","FQ1 2024","Currency=USD","Period=FQ","BEST_FPERIOD_OVERRIDE=FQ","FILING_STATUS=MR","SCALING_FORMAT=MLN","FA_ADJUSTED=GAAP","Sort=A","Dates=H","DateFormat=P","Fill=—","Direction=H","UseDPDF=Y")</f>
        <v>-4170</v>
      </c>
      <c r="W44" s="19">
        <f>_xll.BDH("GILD US Equity","EARN_FOR_COMMON","FQ2 2024","FQ2 2024","Currency=USD","Period=FQ","BEST_FPERIOD_OVERRIDE=FQ","FILING_STATUS=MR","SCALING_FORMAT=MLN","FA_ADJUSTED=GAAP","Sort=A","Dates=H","DateFormat=P","Fill=—","Direction=H","UseDPDF=Y")</f>
        <v>1614</v>
      </c>
      <c r="X44" s="19">
        <f>_xll.BDH("GILD US Equity","EARN_FOR_COMMON","FQ3 2024","FQ3 2024","Currency=USD","Period=FQ","BEST_FPERIOD_OVERRIDE=FQ","FILING_STATUS=MR","SCALING_FORMAT=MLN","FA_ADJUSTED=GAAP","Sort=A","Dates=H","DateFormat=P","Fill=—","Direction=H","UseDPDF=Y")</f>
        <v>1253</v>
      </c>
      <c r="Y44" s="19">
        <f>_xll.BDH("GILD US Equity","EARN_FOR_COMMON","FQ4 2024","FQ4 2024","Currency=USD","Period=FQ","BEST_FPERIOD_OVERRIDE=FQ","FILING_STATUS=MR","SCALING_FORMAT=MLN","FA_ADJUSTED=GAAP","Sort=A","Dates=H","DateFormat=P","Fill=—","Direction=H","UseDPDF=Y")</f>
        <v>1783</v>
      </c>
      <c r="Z44" s="19">
        <v>1619.538</v>
      </c>
      <c r="AA44" s="19">
        <v>1847.769</v>
      </c>
    </row>
    <row r="45" spans="1:27" x14ac:dyDescent="0.25">
      <c r="A45" s="6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x14ac:dyDescent="0.25">
      <c r="A46" s="6" t="s">
        <v>383</v>
      </c>
      <c r="B46" s="6" t="s">
        <v>80</v>
      </c>
      <c r="C46" s="19">
        <f>_xll.BDH("GILD US Equity","EARN_FOR_COMMON","FQ2 2019","FQ2 2019","Currency=USD","Period=FQ","BEST_FPERIOD_OVERRIDE=FQ","FILING_STATUS=MR","SCALING_FORMAT=MLN","FA_ADJUSTED=Adjusted","Sort=A","Dates=H","DateFormat=P","Fill=—","Direction=H","UseDPDF=Y")</f>
        <v>1944</v>
      </c>
      <c r="D46" s="19">
        <f>_xll.BDH("GILD US Equity","EARN_FOR_COMMON","FQ3 2019","FQ3 2019","Currency=USD","Period=FQ","BEST_FPERIOD_OVERRIDE=FQ","FILING_STATUS=MR","SCALING_FORMAT=MLN","FA_ADJUSTED=Adjusted","Sort=A","Dates=H","DateFormat=P","Fill=—","Direction=H","UseDPDF=Y")</f>
        <v>1844</v>
      </c>
      <c r="E46" s="19">
        <f>_xll.BDH("GILD US Equity","EARN_FOR_COMMON","FQ4 2019","FQ4 2019","Currency=USD","Period=FQ","BEST_FPERIOD_OVERRIDE=FQ","FILING_STATUS=MR","SCALING_FORMAT=MLN","FA_ADJUSTED=Adjusted","Sort=A","Dates=H","DateFormat=P","Fill=—","Direction=H","UseDPDF=Y")</f>
        <v>1153</v>
      </c>
      <c r="F46" s="19">
        <f>_xll.BDH("GILD US Equity","EARN_FOR_COMMON","FQ1 2020","FQ1 2020","Currency=USD","Period=FQ","BEST_FPERIOD_OVERRIDE=FQ","FILING_STATUS=MR","SCALING_FORMAT=MLN","FA_ADJUSTED=Adjusted","Sort=A","Dates=H","DateFormat=P","Fill=—","Direction=H","UseDPDF=Y")</f>
        <v>2139</v>
      </c>
      <c r="G46" s="19">
        <f>_xll.BDH("GILD US Equity","EARN_FOR_COMMON","FQ2 2020","FQ2 2020","Currency=USD","Period=FQ","BEST_FPERIOD_OVERRIDE=FQ","FILING_STATUS=MR","SCALING_FORMAT=MLN","FA_ADJUSTED=Adjusted","Sort=A","Dates=H","DateFormat=P","Fill=—","Direction=H","UseDPDF=Y")</f>
        <v>1176</v>
      </c>
      <c r="H46" s="19">
        <f>_xll.BDH("GILD US Equity","EARN_FOR_COMMON","FQ3 2020","FQ3 2020","Currency=USD","Period=FQ","BEST_FPERIOD_OVERRIDE=FQ","FILING_STATUS=MR","SCALING_FORMAT=MLN","FA_ADJUSTED=Adjusted","Sort=A","Dates=H","DateFormat=P","Fill=—","Direction=H","UseDPDF=Y")</f>
        <v>2431.21</v>
      </c>
      <c r="I46" s="19">
        <f>_xll.BDH("GILD US Equity","EARN_FOR_COMMON","FQ4 2020","FQ4 2020","Currency=USD","Period=FQ","BEST_FPERIOD_OVERRIDE=FQ","FILING_STATUS=MR","SCALING_FORMAT=MLN","FA_ADJUSTED=Adjusted","Sort=A","Dates=H","DateFormat=P","Fill=—","Direction=H","UseDPDF=Y")</f>
        <v>2433</v>
      </c>
      <c r="J46" s="19">
        <f>_xll.BDH("GILD US Equity","EARN_FOR_COMMON","FQ1 2021","FQ1 2021","Currency=USD","Period=FQ","BEST_FPERIOD_OVERRIDE=FQ","FILING_STATUS=MR","SCALING_FORMAT=MLN","FA_ADJUSTED=Adjusted","Sort=A","Dates=H","DateFormat=P","Fill=—","Direction=H","UseDPDF=Y")</f>
        <v>2628</v>
      </c>
      <c r="K46" s="19">
        <f>_xll.BDH("GILD US Equity","EARN_FOR_COMMON","FQ2 2021","FQ2 2021","Currency=USD","Period=FQ","BEST_FPERIOD_OVERRIDE=FQ","FILING_STATUS=MR","SCALING_FORMAT=MLN","FA_ADJUSTED=Adjusted","Sort=A","Dates=H","DateFormat=P","Fill=—","Direction=H","UseDPDF=Y")</f>
        <v>1907</v>
      </c>
      <c r="L46" s="19">
        <f>_xll.BDH("GILD US Equity","EARN_FOR_COMMON","FQ3 2021","FQ3 2021","Currency=USD","Period=FQ","BEST_FPERIOD_OVERRIDE=FQ","FILING_STATUS=MR","SCALING_FORMAT=MLN","FA_ADJUSTED=Adjusted","Sort=A","Dates=H","DateFormat=P","Fill=—","Direction=H","UseDPDF=Y")</f>
        <v>2912.01</v>
      </c>
      <c r="M46" s="19">
        <f>_xll.BDH("GILD US Equity","EARN_FOR_COMMON","FQ4 2021","FQ4 2021","Currency=USD","Period=FQ","BEST_FPERIOD_OVERRIDE=FQ","FILING_STATUS=MR","SCALING_FORMAT=MLN","FA_ADJUSTED=Adjusted","Sort=A","Dates=H","DateFormat=P","Fill=—","Direction=H","UseDPDF=Y")</f>
        <v>952.62</v>
      </c>
      <c r="N46" s="19">
        <f>_xll.BDH("GILD US Equity","EARN_FOR_COMMON","FQ1 2022","FQ1 2022","Currency=USD","Period=FQ","BEST_FPERIOD_OVERRIDE=FQ","FILING_STATUS=MR","SCALING_FORMAT=MLN","FA_ADJUSTED=Adjusted","Sort=A","Dates=H","DateFormat=P","Fill=—","Direction=H","UseDPDF=Y")</f>
        <v>2169</v>
      </c>
      <c r="O46" s="19">
        <f>_xll.BDH("GILD US Equity","EARN_FOR_COMMON","FQ2 2022","FQ2 2022","Currency=USD","Period=FQ","BEST_FPERIOD_OVERRIDE=FQ","FILING_STATUS=MR","SCALING_FORMAT=MLN","FA_ADJUSTED=Adjusted","Sort=A","Dates=H","DateFormat=P","Fill=—","Direction=H","UseDPDF=Y")</f>
        <v>1802.7</v>
      </c>
      <c r="P46" s="19">
        <f>_xll.BDH("GILD US Equity","EARN_FOR_COMMON","FQ3 2022","FQ3 2022","Currency=USD","Period=FQ","BEST_FPERIOD_OVERRIDE=FQ","FILING_STATUS=MR","SCALING_FORMAT=MLN","FA_ADJUSTED=Adjusted","Sort=A","Dates=H","DateFormat=P","Fill=—","Direction=H","UseDPDF=Y")</f>
        <v>2744.13</v>
      </c>
      <c r="Q46" s="19">
        <f>_xll.BDH("GILD US Equity","EARN_FOR_COMMON","FQ4 2022","FQ4 2022","Currency=USD","Period=FQ","BEST_FPERIOD_OVERRIDE=FQ","FILING_STATUS=MR","SCALING_FORMAT=MLN","FA_ADJUSTED=Adjusted","Sort=A","Dates=H","DateFormat=P","Fill=—","Direction=H","UseDPDF=Y")</f>
        <v>1884.82</v>
      </c>
      <c r="R46" s="19">
        <f>_xll.BDH("GILD US Equity","EARN_FOR_COMMON","FQ1 2023","FQ1 2023","Currency=USD","Period=FQ","BEST_FPERIOD_OVERRIDE=FQ","FILING_STATUS=MR","SCALING_FORMAT=MLN","FA_ADJUSTED=Adjusted","Sort=A","Dates=H","DateFormat=P","Fill=—","Direction=H","UseDPDF=Y")</f>
        <v>1681.99</v>
      </c>
      <c r="S46" s="19">
        <f>_xll.BDH("GILD US Equity","EARN_FOR_COMMON","FQ2 2023","FQ2 2023","Currency=USD","Period=FQ","BEST_FPERIOD_OVERRIDE=FQ","FILING_STATUS=MR","SCALING_FORMAT=MLN","FA_ADJUSTED=Adjusted","Sort=A","Dates=H","DateFormat=P","Fill=—","Direction=H","UseDPDF=Y")</f>
        <v>1456.8065999999999</v>
      </c>
      <c r="T46" s="19">
        <f>_xll.BDH("GILD US Equity","EARN_FOR_COMMON","FQ3 2023","FQ3 2023","Currency=USD","Period=FQ","BEST_FPERIOD_OVERRIDE=FQ","FILING_STATUS=MR","SCALING_FORMAT=MLN","FA_ADJUSTED=Adjusted","Sort=A","Dates=H","DateFormat=P","Fill=—","Direction=H","UseDPDF=Y")</f>
        <v>2490.89</v>
      </c>
      <c r="U46" s="19">
        <f>_xll.BDH("GILD US Equity","EARN_FOR_COMMON","FQ4 2023","FQ4 2023","Currency=USD","Period=FQ","BEST_FPERIOD_OVERRIDE=FQ","FILING_STATUS=MR","SCALING_FORMAT=MLN","FA_ADJUSTED=Adjusted","Sort=A","Dates=H","DateFormat=P","Fill=—","Direction=H","UseDPDF=Y")</f>
        <v>1974.13</v>
      </c>
      <c r="V46" s="19">
        <f>_xll.BDH("GILD US Equity","EARN_FOR_COMMON","FQ1 2024","FQ1 2024","Currency=USD","Period=FQ","BEST_FPERIOD_OVERRIDE=FQ","FILING_STATUS=MR","SCALING_FORMAT=MLN","FA_ADJUSTED=Adjusted","Sort=A","Dates=H","DateFormat=P","Fill=—","Direction=H","UseDPDF=Y")</f>
        <v>1161.49</v>
      </c>
      <c r="W46" s="19">
        <f>_xll.BDH("GILD US Equity","EARN_FOR_COMMON","FQ2 2024","FQ2 2024","Currency=USD","Period=FQ","BEST_FPERIOD_OVERRIDE=FQ","FILING_STATUS=MR","SCALING_FORMAT=MLN","FA_ADJUSTED=Adjusted","Sort=A","Dates=H","DateFormat=P","Fill=—","Direction=H","UseDPDF=Y")</f>
        <v>2091.02</v>
      </c>
      <c r="X46" s="19">
        <f>_xll.BDH("GILD US Equity","EARN_FOR_COMMON","FQ3 2024","FQ3 2024","Currency=USD","Period=FQ","BEST_FPERIOD_OVERRIDE=FQ","FILING_STATUS=MR","SCALING_FORMAT=MLN","FA_ADJUSTED=Adjusted","Sort=A","Dates=H","DateFormat=P","Fill=—","Direction=H","UseDPDF=Y")</f>
        <v>2470.9499999999998</v>
      </c>
      <c r="Y46" s="19">
        <f>_xll.BDH("GILD US Equity","EARN_FOR_COMMON","FQ4 2024","FQ4 2024","Currency=USD","Period=FQ","BEST_FPERIOD_OVERRIDE=FQ","FILING_STATUS=MR","SCALING_FORMAT=MLN","FA_ADJUSTED=Adjusted","Sort=A","Dates=H","DateFormat=P","Fill=—","Direction=H","UseDPDF=Y")</f>
        <v>1923.31</v>
      </c>
      <c r="Z46" s="19">
        <v>2170.1669999999999</v>
      </c>
      <c r="AA46" s="19">
        <v>2384.6669999999999</v>
      </c>
    </row>
    <row r="47" spans="1:27" x14ac:dyDescent="0.25">
      <c r="A47" s="10" t="s">
        <v>384</v>
      </c>
      <c r="B47" s="10" t="s">
        <v>385</v>
      </c>
      <c r="C47" s="13">
        <f>_xll.BDH("GILD US Equity","IS_NET_ABNORMAL_ITEMS","FQ2 2019","FQ2 2019","Currency=USD","Period=FQ","BEST_FPERIOD_OVERRIDE=FQ","FILING_STATUS=MR","SCALING_FORMAT=MLN","Sort=A","Dates=H","DateFormat=P","Fill=—","Direction=H","UseDPDF=Y")</f>
        <v>64</v>
      </c>
      <c r="D47" s="13">
        <f>_xll.BDH("GILD US Equity","IS_NET_ABNORMAL_ITEMS","FQ3 2019","FQ3 2019","Currency=USD","Period=FQ","BEST_FPERIOD_OVERRIDE=FQ","FILING_STATUS=MR","SCALING_FORMAT=MLN","Sort=A","Dates=H","DateFormat=P","Fill=—","Direction=H","UseDPDF=Y")</f>
        <v>3009</v>
      </c>
      <c r="E47" s="13">
        <f>_xll.BDH("GILD US Equity","IS_NET_ABNORMAL_ITEMS","FQ4 2019","FQ4 2019","Currency=USD","Period=FQ","BEST_FPERIOD_OVERRIDE=FQ","FILING_STATUS=MR","SCALING_FORMAT=MLN","Sort=A","Dates=H","DateFormat=P","Fill=—","Direction=H","UseDPDF=Y")</f>
        <v>-1543</v>
      </c>
      <c r="F47" s="13">
        <f>_xll.BDH("GILD US Equity","IS_NET_ABNORMAL_ITEMS","FQ1 2020","FQ1 2020","Currency=USD","Period=FQ","BEST_FPERIOD_OVERRIDE=FQ","FILING_STATUS=MR","SCALING_FORMAT=MLN","Sort=A","Dates=H","DateFormat=P","Fill=—","Direction=H","UseDPDF=Y")</f>
        <v>588</v>
      </c>
      <c r="G47" s="13">
        <f>_xll.BDH("GILD US Equity","IS_NET_ABNORMAL_ITEMS","FQ2 2020","FQ2 2020","Currency=USD","Period=FQ","BEST_FPERIOD_OVERRIDE=FQ","FILING_STATUS=MR","SCALING_FORMAT=MLN","Sort=A","Dates=H","DateFormat=P","Fill=—","Direction=H","UseDPDF=Y")</f>
        <v>4515</v>
      </c>
      <c r="H47" s="13">
        <f>_xll.BDH("GILD US Equity","IS_NET_ABNORMAL_ITEMS","FQ3 2020","FQ3 2020","Currency=USD","Period=FQ","BEST_FPERIOD_OVERRIDE=FQ","FILING_STATUS=MR","SCALING_FORMAT=MLN","Sort=A","Dates=H","DateFormat=P","Fill=—","Direction=H","UseDPDF=Y")</f>
        <v>2071.21</v>
      </c>
      <c r="I47" s="13">
        <f>_xll.BDH("GILD US Equity","IS_NET_ABNORMAL_ITEMS","FQ4 2020","FQ4 2020","Currency=USD","Period=FQ","BEST_FPERIOD_OVERRIDE=FQ","FILING_STATUS=MR","SCALING_FORMAT=MLN","Sort=A","Dates=H","DateFormat=P","Fill=—","Direction=H","UseDPDF=Y")</f>
        <v>882</v>
      </c>
      <c r="J47" s="13">
        <f>_xll.BDH("GILD US Equity","IS_NET_ABNORMAL_ITEMS","FQ1 2021","FQ1 2021","Currency=USD","Period=FQ","BEST_FPERIOD_OVERRIDE=FQ","FILING_STATUS=MR","SCALING_FORMAT=MLN","Sort=A","Dates=H","DateFormat=P","Fill=—","Direction=H","UseDPDF=Y")</f>
        <v>899</v>
      </c>
      <c r="K47" s="13">
        <f>_xll.BDH("GILD US Equity","IS_NET_ABNORMAL_ITEMS","FQ2 2021","FQ2 2021","Currency=USD","Period=FQ","BEST_FPERIOD_OVERRIDE=FQ","FILING_STATUS=MR","SCALING_FORMAT=MLN","Sort=A","Dates=H","DateFormat=P","Fill=—","Direction=H","UseDPDF=Y")</f>
        <v>385</v>
      </c>
      <c r="L47" s="13">
        <f>_xll.BDH("GILD US Equity","IS_NET_ABNORMAL_ITEMS","FQ3 2021","FQ3 2021","Currency=USD","Period=FQ","BEST_FPERIOD_OVERRIDE=FQ","FILING_STATUS=MR","SCALING_FORMAT=MLN","Sort=A","Dates=H","DateFormat=P","Fill=—","Direction=H","UseDPDF=Y")</f>
        <v>320.01</v>
      </c>
      <c r="M47" s="13">
        <f>_xll.BDH("GILD US Equity","IS_NET_ABNORMAL_ITEMS","FQ4 2021","FQ4 2021","Currency=USD","Period=FQ","BEST_FPERIOD_OVERRIDE=FQ","FILING_STATUS=MR","SCALING_FORMAT=MLN","Sort=A","Dates=H","DateFormat=P","Fill=—","Direction=H","UseDPDF=Y")</f>
        <v>570.62</v>
      </c>
      <c r="N47" s="13">
        <f>_xll.BDH("GILD US Equity","IS_NET_ABNORMAL_ITEMS","FQ1 2022","FQ1 2022","Currency=USD","Period=FQ","BEST_FPERIOD_OVERRIDE=FQ","FILING_STATUS=MR","SCALING_FORMAT=MLN","Sort=A","Dates=H","DateFormat=P","Fill=—","Direction=H","UseDPDF=Y")</f>
        <v>2150</v>
      </c>
      <c r="O47" s="13">
        <f>_xll.BDH("GILD US Equity","IS_NET_ABNORMAL_ITEMS","FQ2 2022","FQ2 2022","Currency=USD","Period=FQ","BEST_FPERIOD_OVERRIDE=FQ","FILING_STATUS=MR","SCALING_FORMAT=MLN","Sort=A","Dates=H","DateFormat=P","Fill=—","Direction=H","UseDPDF=Y")</f>
        <v>658.7</v>
      </c>
      <c r="P47" s="13">
        <f>_xll.BDH("GILD US Equity","IS_NET_ABNORMAL_ITEMS","FQ3 2022","FQ3 2022","Currency=USD","Period=FQ","BEST_FPERIOD_OVERRIDE=FQ","FILING_STATUS=MR","SCALING_FORMAT=MLN","Sort=A","Dates=H","DateFormat=P","Fill=—","Direction=H","UseDPDF=Y")</f>
        <v>955.13</v>
      </c>
      <c r="Q47" s="13">
        <f>_xll.BDH("GILD US Equity","IS_NET_ABNORMAL_ITEMS","FQ4 2022","FQ4 2022","Currency=USD","Period=FQ","BEST_FPERIOD_OVERRIDE=FQ","FILING_STATUS=MR","SCALING_FORMAT=MLN","Sort=A","Dates=H","DateFormat=P","Fill=—","Direction=H","UseDPDF=Y")</f>
        <v>244.82</v>
      </c>
      <c r="R47" s="13">
        <f>_xll.BDH("GILD US Equity","IS_NET_ABNORMAL_ITEMS","FQ1 2023","FQ1 2023","Currency=USD","Period=FQ","BEST_FPERIOD_OVERRIDE=FQ","FILING_STATUS=MR","SCALING_FORMAT=MLN","Sort=A","Dates=H","DateFormat=P","Fill=—","Direction=H","UseDPDF=Y")</f>
        <v>671.99</v>
      </c>
      <c r="S47" s="13">
        <f>_xll.BDH("GILD US Equity","IS_NET_ABNORMAL_ITEMS","FQ2 2023","FQ2 2023","Currency=USD","Period=FQ","BEST_FPERIOD_OVERRIDE=FQ","FILING_STATUS=MR","SCALING_FORMAT=MLN","Sort=A","Dates=H","DateFormat=P","Fill=—","Direction=H","UseDPDF=Y")</f>
        <v>411.8066</v>
      </c>
      <c r="T47" s="13">
        <f>_xll.BDH("GILD US Equity","IS_NET_ABNORMAL_ITEMS","FQ3 2023","FQ3 2023","Currency=USD","Period=FQ","BEST_FPERIOD_OVERRIDE=FQ","FILING_STATUS=MR","SCALING_FORMAT=MLN","Sort=A","Dates=H","DateFormat=P","Fill=—","Direction=H","UseDPDF=Y")</f>
        <v>309.89</v>
      </c>
      <c r="U47" s="13">
        <f>_xll.BDH("GILD US Equity","IS_NET_ABNORMAL_ITEMS","FQ4 2023","FQ4 2023","Currency=USD","Period=FQ","BEST_FPERIOD_OVERRIDE=FQ","FILING_STATUS=MR","SCALING_FORMAT=MLN","Sort=A","Dates=H","DateFormat=P","Fill=—","Direction=H","UseDPDF=Y")</f>
        <v>545.13</v>
      </c>
      <c r="V47" s="13">
        <f>_xll.BDH("GILD US Equity","IS_NET_ABNORMAL_ITEMS","FQ1 2024","FQ1 2024","Currency=USD","Period=FQ","BEST_FPERIOD_OVERRIDE=FQ","FILING_STATUS=MR","SCALING_FORMAT=MLN","Sort=A","Dates=H","DateFormat=P","Fill=—","Direction=H","UseDPDF=Y")</f>
        <v>5331.49</v>
      </c>
      <c r="W47" s="13">
        <f>_xll.BDH("GILD US Equity","IS_NET_ABNORMAL_ITEMS","FQ2 2024","FQ2 2024","Currency=USD","Period=FQ","BEST_FPERIOD_OVERRIDE=FQ","FILING_STATUS=MR","SCALING_FORMAT=MLN","Sort=A","Dates=H","DateFormat=P","Fill=—","Direction=H","UseDPDF=Y")</f>
        <v>477.02</v>
      </c>
      <c r="X47" s="13">
        <f>_xll.BDH("GILD US Equity","IS_NET_ABNORMAL_ITEMS","FQ3 2024","FQ3 2024","Currency=USD","Period=FQ","BEST_FPERIOD_OVERRIDE=FQ","FILING_STATUS=MR","SCALING_FORMAT=MLN","Sort=A","Dates=H","DateFormat=P","Fill=—","Direction=H","UseDPDF=Y")</f>
        <v>1217.95</v>
      </c>
      <c r="Y47" s="13">
        <f>_xll.BDH("GILD US Equity","IS_NET_ABNORMAL_ITEMS","FQ4 2024","FQ4 2024","Currency=USD","Period=FQ","BEST_FPERIOD_OVERRIDE=FQ","FILING_STATUS=MR","SCALING_FORMAT=MLN","Sort=A","Dates=H","DateFormat=P","Fill=—","Direction=H","UseDPDF=Y")</f>
        <v>140.31</v>
      </c>
      <c r="Z47" s="13"/>
      <c r="AA47" s="13"/>
    </row>
    <row r="48" spans="1:27" x14ac:dyDescent="0.25">
      <c r="A48" s="10" t="s">
        <v>386</v>
      </c>
      <c r="B48" s="10" t="s">
        <v>367</v>
      </c>
      <c r="C48" s="13">
        <f>_xll.BDH("GILD US Equity","XO_GL_NET_OF_TAX","FQ2 2019","FQ2 2019","Currency=USD","Period=FQ","BEST_FPERIOD_OVERRIDE=FQ","FILING_STATUS=MR","SCALING_FORMAT=MLN","Sort=A","Dates=H","DateFormat=P","Fill=—","Direction=H","UseDPDF=Y")</f>
        <v>0</v>
      </c>
      <c r="D48" s="13">
        <f>_xll.BDH("GILD US Equity","XO_GL_NET_OF_TAX","FQ3 2019","FQ3 2019","Currency=USD","Period=FQ","BEST_FPERIOD_OVERRIDE=FQ","FILING_STATUS=MR","SCALING_FORMAT=MLN","Sort=A","Dates=H","DateFormat=P","Fill=—","Direction=H","UseDPDF=Y")</f>
        <v>0</v>
      </c>
      <c r="E48" s="13">
        <f>_xll.BDH("GILD US Equity","XO_GL_NET_OF_TAX","FQ4 2019","FQ4 2019","Currency=USD","Period=FQ","BEST_FPERIOD_OVERRIDE=FQ","FILING_STATUS=MR","SCALING_FORMAT=MLN","Sort=A","Dates=H","DateFormat=P","Fill=—","Direction=H","UseDPDF=Y")</f>
        <v>0</v>
      </c>
      <c r="F48" s="13">
        <f>_xll.BDH("GILD US Equity","XO_GL_NET_OF_TAX","FQ1 2020","FQ1 2020","Currency=USD","Period=FQ","BEST_FPERIOD_OVERRIDE=FQ","FILING_STATUS=MR","SCALING_FORMAT=MLN","Sort=A","Dates=H","DateFormat=P","Fill=—","Direction=H","UseDPDF=Y")</f>
        <v>0</v>
      </c>
      <c r="G48" s="13">
        <f>_xll.BDH("GILD US Equity","XO_GL_NET_OF_TAX","FQ2 2020","FQ2 2020","Currency=USD","Period=FQ","BEST_FPERIOD_OVERRIDE=FQ","FILING_STATUS=MR","SCALING_FORMAT=MLN","Sort=A","Dates=H","DateFormat=P","Fill=—","Direction=H","UseDPDF=Y")</f>
        <v>0</v>
      </c>
      <c r="H48" s="13">
        <f>_xll.BDH("GILD US Equity","XO_GL_NET_OF_TAX","FQ3 2020","FQ3 2020","Currency=USD","Period=FQ","BEST_FPERIOD_OVERRIDE=FQ","FILING_STATUS=MR","SCALING_FORMAT=MLN","Sort=A","Dates=H","DateFormat=P","Fill=—","Direction=H","UseDPDF=Y")</f>
        <v>0</v>
      </c>
      <c r="I48" s="13">
        <f>_xll.BDH("GILD US Equity","XO_GL_NET_OF_TAX","FQ4 2020","FQ4 2020","Currency=USD","Period=FQ","BEST_FPERIOD_OVERRIDE=FQ","FILING_STATUS=MR","SCALING_FORMAT=MLN","Sort=A","Dates=H","DateFormat=P","Fill=—","Direction=H","UseDPDF=Y")</f>
        <v>0</v>
      </c>
      <c r="J48" s="13">
        <f>_xll.BDH("GILD US Equity","XO_GL_NET_OF_TAX","FQ1 2021","FQ1 2021","Currency=USD","Period=FQ","BEST_FPERIOD_OVERRIDE=FQ","FILING_STATUS=MR","SCALING_FORMAT=MLN","Sort=A","Dates=H","DateFormat=P","Fill=—","Direction=H","UseDPDF=Y")</f>
        <v>0</v>
      </c>
      <c r="K48" s="13">
        <f>_xll.BDH("GILD US Equity","XO_GL_NET_OF_TAX","FQ2 2021","FQ2 2021","Currency=USD","Period=FQ","BEST_FPERIOD_OVERRIDE=FQ","FILING_STATUS=MR","SCALING_FORMAT=MLN","Sort=A","Dates=H","DateFormat=P","Fill=—","Direction=H","UseDPDF=Y")</f>
        <v>0</v>
      </c>
      <c r="L48" s="13">
        <f>_xll.BDH("GILD US Equity","XO_GL_NET_OF_TAX","FQ3 2021","FQ3 2021","Currency=USD","Period=FQ","BEST_FPERIOD_OVERRIDE=FQ","FILING_STATUS=MR","SCALING_FORMAT=MLN","Sort=A","Dates=H","DateFormat=P","Fill=—","Direction=H","UseDPDF=Y")</f>
        <v>0</v>
      </c>
      <c r="M48" s="13">
        <f>_xll.BDH("GILD US Equity","XO_GL_NET_OF_TAX","FQ4 2021","FQ4 2021","Currency=USD","Period=FQ","BEST_FPERIOD_OVERRIDE=FQ","FILING_STATUS=MR","SCALING_FORMAT=MLN","Sort=A","Dates=H","DateFormat=P","Fill=—","Direction=H","UseDPDF=Y")</f>
        <v>0</v>
      </c>
      <c r="N48" s="13">
        <f>_xll.BDH("GILD US Equity","XO_GL_NET_OF_TAX","FQ1 2022","FQ1 2022","Currency=USD","Period=FQ","BEST_FPERIOD_OVERRIDE=FQ","FILING_STATUS=MR","SCALING_FORMAT=MLN","Sort=A","Dates=H","DateFormat=P","Fill=—","Direction=H","UseDPDF=Y")</f>
        <v>0</v>
      </c>
      <c r="O48" s="13">
        <f>_xll.BDH("GILD US Equity","XO_GL_NET_OF_TAX","FQ2 2022","FQ2 2022","Currency=USD","Period=FQ","BEST_FPERIOD_OVERRIDE=FQ","FILING_STATUS=MR","SCALING_FORMAT=MLN","Sort=A","Dates=H","DateFormat=P","Fill=—","Direction=H","UseDPDF=Y")</f>
        <v>0</v>
      </c>
      <c r="P48" s="13">
        <f>_xll.BDH("GILD US Equity","XO_GL_NET_OF_TAX","FQ3 2022","FQ3 2022","Currency=USD","Period=FQ","BEST_FPERIOD_OVERRIDE=FQ","FILING_STATUS=MR","SCALING_FORMAT=MLN","Sort=A","Dates=H","DateFormat=P","Fill=—","Direction=H","UseDPDF=Y")</f>
        <v>0</v>
      </c>
      <c r="Q48" s="13">
        <f>_xll.BDH("GILD US Equity","XO_GL_NET_OF_TAX","FQ4 2022","FQ4 2022","Currency=USD","Period=FQ","BEST_FPERIOD_OVERRIDE=FQ","FILING_STATUS=MR","SCALING_FORMAT=MLN","Sort=A","Dates=H","DateFormat=P","Fill=—","Direction=H","UseDPDF=Y")</f>
        <v>0</v>
      </c>
      <c r="R48" s="13">
        <f>_xll.BDH("GILD US Equity","XO_GL_NET_OF_TAX","FQ1 2023","FQ1 2023","Currency=USD","Period=FQ","BEST_FPERIOD_OVERRIDE=FQ","FILING_STATUS=MR","SCALING_FORMAT=MLN","Sort=A","Dates=H","DateFormat=P","Fill=—","Direction=H","UseDPDF=Y")</f>
        <v>0</v>
      </c>
      <c r="S48" s="13">
        <f>_xll.BDH("GILD US Equity","XO_GL_NET_OF_TAX","FQ2 2023","FQ2 2023","Currency=USD","Period=FQ","BEST_FPERIOD_OVERRIDE=FQ","FILING_STATUS=MR","SCALING_FORMAT=MLN","Sort=A","Dates=H","DateFormat=P","Fill=—","Direction=H","UseDPDF=Y")</f>
        <v>0</v>
      </c>
      <c r="T48" s="13">
        <f>_xll.BDH("GILD US Equity","XO_GL_NET_OF_TAX","FQ3 2023","FQ3 2023","Currency=USD","Period=FQ","BEST_FPERIOD_OVERRIDE=FQ","FILING_STATUS=MR","SCALING_FORMAT=MLN","Sort=A","Dates=H","DateFormat=P","Fill=—","Direction=H","UseDPDF=Y")</f>
        <v>0</v>
      </c>
      <c r="U48" s="13">
        <f>_xll.BDH("GILD US Equity","XO_GL_NET_OF_TAX","FQ4 2023","FQ4 2023","Currency=USD","Period=FQ","BEST_FPERIOD_OVERRIDE=FQ","FILING_STATUS=MR","SCALING_FORMAT=MLN","Sort=A","Dates=H","DateFormat=P","Fill=—","Direction=H","UseDPDF=Y")</f>
        <v>0</v>
      </c>
      <c r="V48" s="13">
        <f>_xll.BDH("GILD US Equity","XO_GL_NET_OF_TAX","FQ1 2024","FQ1 2024","Currency=USD","Period=FQ","BEST_FPERIOD_OVERRIDE=FQ","FILING_STATUS=MR","SCALING_FORMAT=MLN","Sort=A","Dates=H","DateFormat=P","Fill=—","Direction=H","UseDPDF=Y")</f>
        <v>0</v>
      </c>
      <c r="W48" s="13">
        <f>_xll.BDH("GILD US Equity","XO_GL_NET_OF_TAX","FQ2 2024","FQ2 2024","Currency=USD","Period=FQ","BEST_FPERIOD_OVERRIDE=FQ","FILING_STATUS=MR","SCALING_FORMAT=MLN","Sort=A","Dates=H","DateFormat=P","Fill=—","Direction=H","UseDPDF=Y")</f>
        <v>0</v>
      </c>
      <c r="X48" s="13">
        <f>_xll.BDH("GILD US Equity","XO_GL_NET_OF_TAX","FQ3 2024","FQ3 2024","Currency=USD","Period=FQ","BEST_FPERIOD_OVERRIDE=FQ","FILING_STATUS=MR","SCALING_FORMAT=MLN","Sort=A","Dates=H","DateFormat=P","Fill=—","Direction=H","UseDPDF=Y")</f>
        <v>0</v>
      </c>
      <c r="Y48" s="13">
        <f>_xll.BDH("GILD US Equity","XO_GL_NET_OF_TAX","FQ4 2024","FQ4 2024","Currency=USD","Period=FQ","BEST_FPERIOD_OVERRIDE=FQ","FILING_STATUS=MR","SCALING_FORMAT=MLN","Sort=A","Dates=H","DateFormat=P","Fill=—","Direction=H","UseDPDF=Y")</f>
        <v>0</v>
      </c>
      <c r="Z48" s="13"/>
      <c r="AA48" s="13"/>
    </row>
    <row r="49" spans="1:27" x14ac:dyDescent="0.25">
      <c r="A49" s="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x14ac:dyDescent="0.25">
      <c r="A50" s="10" t="s">
        <v>259</v>
      </c>
      <c r="B50" s="10" t="s">
        <v>106</v>
      </c>
      <c r="C50" s="13">
        <f>_xll.BDH("GILD US Equity","IS_AVG_NUM_SH_FOR_EPS","FQ2 2019","FQ2 2019","Currency=USD","Period=FQ","BEST_FPERIOD_OVERRIDE=FQ","FILING_STATUS=MR","Sort=A","Dates=H","DateFormat=P","Fill=—","Direction=H","UseDPDF=Y")</f>
        <v>1270</v>
      </c>
      <c r="D50" s="13">
        <f>_xll.BDH("GILD US Equity","IS_AVG_NUM_SH_FOR_EPS","FQ3 2019","FQ3 2019","Currency=USD","Period=FQ","BEST_FPERIOD_OVERRIDE=FQ","FILING_STATUS=MR","Sort=A","Dates=H","DateFormat=P","Fill=—","Direction=H","UseDPDF=Y")</f>
        <v>1267</v>
      </c>
      <c r="E50" s="13">
        <f>_xll.BDH("GILD US Equity","IS_AVG_NUM_SH_FOR_EPS","FQ4 2019","FQ4 2019","Currency=USD","Period=FQ","BEST_FPERIOD_OVERRIDE=FQ","FILING_STATUS=MR","Sort=A","Dates=H","DateFormat=P","Fill=—","Direction=H","UseDPDF=Y")</f>
        <v>1266</v>
      </c>
      <c r="F50" s="13">
        <f>_xll.BDH("GILD US Equity","IS_AVG_NUM_SH_FOR_EPS","FQ1 2020","FQ1 2020","Currency=USD","Period=FQ","BEST_FPERIOD_OVERRIDE=FQ","FILING_STATUS=MR","Sort=A","Dates=H","DateFormat=P","Fill=—","Direction=H","UseDPDF=Y")</f>
        <v>1262</v>
      </c>
      <c r="G50" s="13">
        <f>_xll.BDH("GILD US Equity","IS_AVG_NUM_SH_FOR_EPS","FQ2 2020","FQ2 2020","Currency=USD","Period=FQ","BEST_FPERIOD_OVERRIDE=FQ","FILING_STATUS=MR","Sort=A","Dates=H","DateFormat=P","Fill=—","Direction=H","UseDPDF=Y")</f>
        <v>1255</v>
      </c>
      <c r="H50" s="13">
        <f>_xll.BDH("GILD US Equity","IS_AVG_NUM_SH_FOR_EPS","FQ3 2020","FQ3 2020","Currency=USD","Period=FQ","BEST_FPERIOD_OVERRIDE=FQ","FILING_STATUS=MR","Sort=A","Dates=H","DateFormat=P","Fill=—","Direction=H","UseDPDF=Y")</f>
        <v>1255</v>
      </c>
      <c r="I50" s="13">
        <f>_xll.BDH("GILD US Equity","IS_AVG_NUM_SH_FOR_EPS","FQ4 2020","FQ4 2020","Currency=USD","Period=FQ","BEST_FPERIOD_OVERRIDE=FQ","FILING_STATUS=MR","Sort=A","Dates=H","DateFormat=P","Fill=—","Direction=H","UseDPDF=Y")</f>
        <v>1255</v>
      </c>
      <c r="J50" s="13">
        <f>_xll.BDH("GILD US Equity","IS_AVG_NUM_SH_FOR_EPS","FQ1 2021","FQ1 2021","Currency=USD","Period=FQ","BEST_FPERIOD_OVERRIDE=FQ","FILING_STATUS=MR","Sort=A","Dates=H","DateFormat=P","Fill=—","Direction=H","UseDPDF=Y")</f>
        <v>1256</v>
      </c>
      <c r="K50" s="13">
        <f>_xll.BDH("GILD US Equity","IS_AVG_NUM_SH_FOR_EPS","FQ2 2021","FQ2 2021","Currency=USD","Period=FQ","BEST_FPERIOD_OVERRIDE=FQ","FILING_STATUS=MR","Sort=A","Dates=H","DateFormat=P","Fill=—","Direction=H","UseDPDF=Y")</f>
        <v>1255</v>
      </c>
      <c r="L50" s="13">
        <f>_xll.BDH("GILD US Equity","IS_AVG_NUM_SH_FOR_EPS","FQ3 2021","FQ3 2021","Currency=USD","Period=FQ","BEST_FPERIOD_OVERRIDE=FQ","FILING_STATUS=MR","Sort=A","Dates=H","DateFormat=P","Fill=—","Direction=H","UseDPDF=Y")</f>
        <v>1256</v>
      </c>
      <c r="M50" s="13">
        <f>_xll.BDH("GILD US Equity","IS_AVG_NUM_SH_FOR_EPS","FQ4 2021","FQ4 2021","Currency=USD","Period=FQ","BEST_FPERIOD_OVERRIDE=FQ","FILING_STATUS=MR","Sort=A","Dates=H","DateFormat=P","Fill=—","Direction=H","UseDPDF=Y")</f>
        <v>1256</v>
      </c>
      <c r="N50" s="13">
        <f>_xll.BDH("GILD US Equity","IS_AVG_NUM_SH_FOR_EPS","FQ1 2022","FQ1 2022","Currency=USD","Period=FQ","BEST_FPERIOD_OVERRIDE=FQ","FILING_STATUS=MR","Sort=A","Dates=H","DateFormat=P","Fill=—","Direction=H","UseDPDF=Y")</f>
        <v>1255</v>
      </c>
      <c r="O50" s="13">
        <f>_xll.BDH("GILD US Equity","IS_AVG_NUM_SH_FOR_EPS","FQ2 2022","FQ2 2022","Currency=USD","Period=FQ","BEST_FPERIOD_OVERRIDE=FQ","FILING_STATUS=MR","Sort=A","Dates=H","DateFormat=P","Fill=—","Direction=H","UseDPDF=Y")</f>
        <v>1256</v>
      </c>
      <c r="P50" s="13">
        <f>_xll.BDH("GILD US Equity","IS_AVG_NUM_SH_FOR_EPS","FQ3 2022","FQ3 2022","Currency=USD","Period=FQ","BEST_FPERIOD_OVERRIDE=FQ","FILING_STATUS=MR","Sort=A","Dates=H","DateFormat=P","Fill=—","Direction=H","UseDPDF=Y")</f>
        <v>1255</v>
      </c>
      <c r="Q50" s="13">
        <f>_xll.BDH("GILD US Equity","IS_AVG_NUM_SH_FOR_EPS","FQ4 2022","FQ4 2022","Currency=USD","Period=FQ","BEST_FPERIOD_OVERRIDE=FQ","FILING_STATUS=MR","Sort=A","Dates=H","DateFormat=P","Fill=—","Direction=H","UseDPDF=Y")</f>
        <v>1252</v>
      </c>
      <c r="R50" s="13">
        <f>_xll.BDH("GILD US Equity","IS_AVG_NUM_SH_FOR_EPS","FQ1 2023","FQ1 2023","Currency=USD","Period=FQ","BEST_FPERIOD_OVERRIDE=FQ","FILING_STATUS=MR","Sort=A","Dates=H","DateFormat=P","Fill=—","Direction=H","UseDPDF=Y")</f>
        <v>1248</v>
      </c>
      <c r="S50" s="13">
        <f>_xll.BDH("GILD US Equity","IS_AVG_NUM_SH_FOR_EPS","FQ2 2023","FQ2 2023","Currency=USD","Period=FQ","BEST_FPERIOD_OVERRIDE=FQ","FILING_STATUS=MR","Sort=A","Dates=H","DateFormat=P","Fill=—","Direction=H","UseDPDF=Y")</f>
        <v>1249</v>
      </c>
      <c r="T50" s="13">
        <f>_xll.BDH("GILD US Equity","IS_AVG_NUM_SH_FOR_EPS","FQ3 2023","FQ3 2023","Currency=USD","Period=FQ","BEST_FPERIOD_OVERRIDE=FQ","FILING_STATUS=MR","Sort=A","Dates=H","DateFormat=P","Fill=—","Direction=H","UseDPDF=Y")</f>
        <v>1248</v>
      </c>
      <c r="U50" s="13">
        <f>_xll.BDH("GILD US Equity","IS_AVG_NUM_SH_FOR_EPS","FQ4 2023","FQ4 2023","Currency=USD","Period=FQ","BEST_FPERIOD_OVERRIDE=FQ","FILING_STATUS=MR","Sort=A","Dates=H","DateFormat=P","Fill=—","Direction=H","UseDPDF=Y")</f>
        <v>1248</v>
      </c>
      <c r="V50" s="13">
        <f>_xll.BDH("GILD US Equity","IS_AVG_NUM_SH_FOR_EPS","FQ1 2024","FQ1 2024","Currency=USD","Period=FQ","BEST_FPERIOD_OVERRIDE=FQ","FILING_STATUS=MR","Sort=A","Dates=H","DateFormat=P","Fill=—","Direction=H","UseDPDF=Y")</f>
        <v>1247</v>
      </c>
      <c r="W50" s="13">
        <f>_xll.BDH("GILD US Equity","IS_AVG_NUM_SH_FOR_EPS","FQ2 2024","FQ2 2024","Currency=USD","Period=FQ","BEST_FPERIOD_OVERRIDE=FQ","FILING_STATUS=MR","Sort=A","Dates=H","DateFormat=P","Fill=—","Direction=H","UseDPDF=Y")</f>
        <v>1247</v>
      </c>
      <c r="X50" s="13">
        <f>_xll.BDH("GILD US Equity","IS_AVG_NUM_SH_FOR_EPS","FQ3 2024","FQ3 2024","Currency=USD","Period=FQ","BEST_FPERIOD_OVERRIDE=FQ","FILING_STATUS=MR","Sort=A","Dates=H","DateFormat=P","Fill=—","Direction=H","UseDPDF=Y")</f>
        <v>1247</v>
      </c>
      <c r="Y50" s="13">
        <f>_xll.BDH("GILD US Equity","IS_AVG_NUM_SH_FOR_EPS","FQ4 2024","FQ4 2024","Currency=USD","Period=FQ","BEST_FPERIOD_OVERRIDE=FQ","FILING_STATUS=MR","Sort=A","Dates=H","DateFormat=P","Fill=—","Direction=H","UseDPDF=Y")</f>
        <v>1248</v>
      </c>
      <c r="Z50" s="13"/>
      <c r="AA50" s="13"/>
    </row>
    <row r="51" spans="1:27" x14ac:dyDescent="0.25">
      <c r="A51" s="6" t="s">
        <v>101</v>
      </c>
      <c r="B51" s="6" t="s">
        <v>102</v>
      </c>
      <c r="C51" s="20">
        <f>_xll.BDH("GILD US Equity","IS_EPS","FQ2 2019","FQ2 2019","Currency=USD","Period=FQ","BEST_FPERIOD_OVERRIDE=FQ","FILING_STATUS=MR","FA_ADJUSTED=GAAP","Sort=A","Dates=H","DateFormat=P","Fill=—","Direction=H","UseDPDF=Y")</f>
        <v>1.48</v>
      </c>
      <c r="D51" s="20">
        <f>_xll.BDH("GILD US Equity","IS_EPS","FQ3 2019","FQ3 2019","Currency=USD","Period=FQ","BEST_FPERIOD_OVERRIDE=FQ","FILING_STATUS=MR","FA_ADJUSTED=GAAP","Sort=A","Dates=H","DateFormat=P","Fill=—","Direction=H","UseDPDF=Y")</f>
        <v>-0.92</v>
      </c>
      <c r="E51" s="20">
        <f>_xll.BDH("GILD US Equity","IS_EPS","FQ4 2019","FQ4 2019","Currency=USD","Period=FQ","BEST_FPERIOD_OVERRIDE=FQ","FILING_STATUS=MR","FA_ADJUSTED=GAAP","Sort=A","Dates=H","DateFormat=P","Fill=—","Direction=H","UseDPDF=Y")</f>
        <v>2.13</v>
      </c>
      <c r="F51" s="20">
        <f>_xll.BDH("GILD US Equity","IS_EPS","FQ1 2020","FQ1 2020","Currency=USD","Period=FQ","BEST_FPERIOD_OVERRIDE=FQ","FILING_STATUS=MR","FA_ADJUSTED=GAAP","Sort=A","Dates=H","DateFormat=P","Fill=—","Direction=H","UseDPDF=Y")</f>
        <v>1.23</v>
      </c>
      <c r="G51" s="20">
        <f>_xll.BDH("GILD US Equity","IS_EPS","FQ2 2020","FQ2 2020","Currency=USD","Period=FQ","BEST_FPERIOD_OVERRIDE=FQ","FILING_STATUS=MR","FA_ADJUSTED=GAAP","Sort=A","Dates=H","DateFormat=P","Fill=—","Direction=H","UseDPDF=Y")</f>
        <v>-2.66</v>
      </c>
      <c r="H51" s="20">
        <f>_xll.BDH("GILD US Equity","IS_EPS","FQ3 2020","FQ3 2020","Currency=USD","Period=FQ","BEST_FPERIOD_OVERRIDE=FQ","FILING_STATUS=MR","FA_ADJUSTED=GAAP","Sort=A","Dates=H","DateFormat=P","Fill=—","Direction=H","UseDPDF=Y")</f>
        <v>0.28999999999999998</v>
      </c>
      <c r="I51" s="20">
        <f>_xll.BDH("GILD US Equity","IS_EPS","FQ4 2020","FQ4 2020","Currency=USD","Period=FQ","BEST_FPERIOD_OVERRIDE=FQ","FILING_STATUS=MR","FA_ADJUSTED=GAAP","Sort=A","Dates=H","DateFormat=P","Fill=—","Direction=H","UseDPDF=Y")</f>
        <v>1.24</v>
      </c>
      <c r="J51" s="20">
        <f>_xll.BDH("GILD US Equity","IS_EPS","FQ1 2021","FQ1 2021","Currency=USD","Period=FQ","BEST_FPERIOD_OVERRIDE=FQ","FILING_STATUS=MR","FA_ADJUSTED=GAAP","Sort=A","Dates=H","DateFormat=P","Fill=—","Direction=H","UseDPDF=Y")</f>
        <v>1.38</v>
      </c>
      <c r="K51" s="20">
        <f>_xll.BDH("GILD US Equity","IS_EPS","FQ2 2021","FQ2 2021","Currency=USD","Period=FQ","BEST_FPERIOD_OVERRIDE=FQ","FILING_STATUS=MR","FA_ADJUSTED=GAAP","Sort=A","Dates=H","DateFormat=P","Fill=—","Direction=H","UseDPDF=Y")</f>
        <v>1.21</v>
      </c>
      <c r="L51" s="20">
        <f>_xll.BDH("GILD US Equity","IS_EPS","FQ3 2021","FQ3 2021","Currency=USD","Period=FQ","BEST_FPERIOD_OVERRIDE=FQ","FILING_STATUS=MR","FA_ADJUSTED=GAAP","Sort=A","Dates=H","DateFormat=P","Fill=—","Direction=H","UseDPDF=Y")</f>
        <v>2.06</v>
      </c>
      <c r="M51" s="20">
        <f>_xll.BDH("GILD US Equity","IS_EPS","FQ4 2021","FQ4 2021","Currency=USD","Period=FQ","BEST_FPERIOD_OVERRIDE=FQ","FILING_STATUS=MR","FA_ADJUSTED=GAAP","Sort=A","Dates=H","DateFormat=P","Fill=—","Direction=H","UseDPDF=Y")</f>
        <v>0.3</v>
      </c>
      <c r="N51" s="20">
        <f>_xll.BDH("GILD US Equity","IS_EPS","FQ1 2022","FQ1 2022","Currency=USD","Period=FQ","BEST_FPERIOD_OVERRIDE=FQ","FILING_STATUS=MR","FA_ADJUSTED=GAAP","Sort=A","Dates=H","DateFormat=P","Fill=—","Direction=H","UseDPDF=Y")</f>
        <v>0.02</v>
      </c>
      <c r="O51" s="20">
        <f>_xll.BDH("GILD US Equity","IS_EPS","FQ2 2022","FQ2 2022","Currency=USD","Period=FQ","BEST_FPERIOD_OVERRIDE=FQ","FILING_STATUS=MR","FA_ADJUSTED=GAAP","Sort=A","Dates=H","DateFormat=P","Fill=—","Direction=H","UseDPDF=Y")</f>
        <v>0.91</v>
      </c>
      <c r="P51" s="20">
        <f>_xll.BDH("GILD US Equity","IS_EPS","FQ3 2022","FQ3 2022","Currency=USD","Period=FQ","BEST_FPERIOD_OVERRIDE=FQ","FILING_STATUS=MR","FA_ADJUSTED=GAAP","Sort=A","Dates=H","DateFormat=P","Fill=—","Direction=H","UseDPDF=Y")</f>
        <v>1.43</v>
      </c>
      <c r="Q51" s="20">
        <f>_xll.BDH("GILD US Equity","IS_EPS","FQ4 2022","FQ4 2022","Currency=USD","Period=FQ","BEST_FPERIOD_OVERRIDE=FQ","FILING_STATUS=MR","FA_ADJUSTED=GAAP","Sort=A","Dates=H","DateFormat=P","Fill=—","Direction=H","UseDPDF=Y")</f>
        <v>1.31</v>
      </c>
      <c r="R51" s="20">
        <f>_xll.BDH("GILD US Equity","IS_EPS","FQ1 2023","FQ1 2023","Currency=USD","Period=FQ","BEST_FPERIOD_OVERRIDE=FQ","FILING_STATUS=MR","FA_ADJUSTED=GAAP","Sort=A","Dates=H","DateFormat=P","Fill=—","Direction=H","UseDPDF=Y")</f>
        <v>0.81</v>
      </c>
      <c r="S51" s="20">
        <f>_xll.BDH("GILD US Equity","IS_EPS","FQ2 2023","FQ2 2023","Currency=USD","Period=FQ","BEST_FPERIOD_OVERRIDE=FQ","FILING_STATUS=MR","FA_ADJUSTED=GAAP","Sort=A","Dates=H","DateFormat=P","Fill=—","Direction=H","UseDPDF=Y")</f>
        <v>0.84</v>
      </c>
      <c r="T51" s="20">
        <f>_xll.BDH("GILD US Equity","IS_EPS","FQ3 2023","FQ3 2023","Currency=USD","Period=FQ","BEST_FPERIOD_OVERRIDE=FQ","FILING_STATUS=MR","FA_ADJUSTED=GAAP","Sort=A","Dates=H","DateFormat=P","Fill=—","Direction=H","UseDPDF=Y")</f>
        <v>1.75</v>
      </c>
      <c r="U51" s="20">
        <f>_xll.BDH("GILD US Equity","IS_EPS","FQ4 2023","FQ4 2023","Currency=USD","Period=FQ","BEST_FPERIOD_OVERRIDE=FQ","FILING_STATUS=MR","FA_ADJUSTED=GAAP","Sort=A","Dates=H","DateFormat=P","Fill=—","Direction=H","UseDPDF=Y")</f>
        <v>1.1499999999999999</v>
      </c>
      <c r="V51" s="20">
        <f>_xll.BDH("GILD US Equity","IS_EPS","FQ1 2024","FQ1 2024","Currency=USD","Period=FQ","BEST_FPERIOD_OVERRIDE=FQ","FILING_STATUS=MR","FA_ADJUSTED=GAAP","Sort=A","Dates=H","DateFormat=P","Fill=—","Direction=H","UseDPDF=Y")</f>
        <v>-3.34</v>
      </c>
      <c r="W51" s="20">
        <f>_xll.BDH("GILD US Equity","IS_EPS","FQ2 2024","FQ2 2024","Currency=USD","Period=FQ","BEST_FPERIOD_OVERRIDE=FQ","FILING_STATUS=MR","FA_ADJUSTED=GAAP","Sort=A","Dates=H","DateFormat=P","Fill=—","Direction=H","UseDPDF=Y")</f>
        <v>1.29</v>
      </c>
      <c r="X51" s="20">
        <f>_xll.BDH("GILD US Equity","IS_EPS","FQ3 2024","FQ3 2024","Currency=USD","Period=FQ","BEST_FPERIOD_OVERRIDE=FQ","FILING_STATUS=MR","FA_ADJUSTED=GAAP","Sort=A","Dates=H","DateFormat=P","Fill=—","Direction=H","UseDPDF=Y")</f>
        <v>1</v>
      </c>
      <c r="Y51" s="20">
        <f>_xll.BDH("GILD US Equity","IS_EPS","FQ4 2024","FQ4 2024","Currency=USD","Period=FQ","BEST_FPERIOD_OVERRIDE=FQ","FILING_STATUS=MR","FA_ADJUSTED=GAAP","Sort=A","Dates=H","DateFormat=P","Fill=—","Direction=H","UseDPDF=Y")</f>
        <v>1.43</v>
      </c>
      <c r="Z51" s="20">
        <v>1.2609999999999999</v>
      </c>
      <c r="AA51" s="20">
        <v>1.4650000000000001</v>
      </c>
    </row>
    <row r="52" spans="1:27" x14ac:dyDescent="0.25">
      <c r="A52" s="6" t="s">
        <v>387</v>
      </c>
      <c r="B52" s="6" t="s">
        <v>266</v>
      </c>
      <c r="C52" s="20">
        <f>_xll.BDH("GILD US Equity","IS_EARN_BEF_XO_ITEMS_PER_SH","FQ2 2019","FQ2 2019","Currency=USD","Period=FQ","BEST_FPERIOD_OVERRIDE=FQ","FILING_STATUS=MR","Sort=A","Dates=H","DateFormat=P","Fill=—","Direction=H","UseDPDF=Y")</f>
        <v>1.48</v>
      </c>
      <c r="D52" s="20">
        <f>_xll.BDH("GILD US Equity","IS_EARN_BEF_XO_ITEMS_PER_SH","FQ3 2019","FQ3 2019","Currency=USD","Period=FQ","BEST_FPERIOD_OVERRIDE=FQ","FILING_STATUS=MR","Sort=A","Dates=H","DateFormat=P","Fill=—","Direction=H","UseDPDF=Y")</f>
        <v>-0.92</v>
      </c>
      <c r="E52" s="20">
        <f>_xll.BDH("GILD US Equity","IS_EARN_BEF_XO_ITEMS_PER_SH","FQ4 2019","FQ4 2019","Currency=USD","Period=FQ","BEST_FPERIOD_OVERRIDE=FQ","FILING_STATUS=MR","Sort=A","Dates=H","DateFormat=P","Fill=—","Direction=H","UseDPDF=Y")</f>
        <v>2.13</v>
      </c>
      <c r="F52" s="20">
        <f>_xll.BDH("GILD US Equity","IS_EARN_BEF_XO_ITEMS_PER_SH","FQ1 2020","FQ1 2020","Currency=USD","Period=FQ","BEST_FPERIOD_OVERRIDE=FQ","FILING_STATUS=MR","Sort=A","Dates=H","DateFormat=P","Fill=—","Direction=H","UseDPDF=Y")</f>
        <v>1.23</v>
      </c>
      <c r="G52" s="20">
        <f>_xll.BDH("GILD US Equity","IS_EARN_BEF_XO_ITEMS_PER_SH","FQ2 2020","FQ2 2020","Currency=USD","Period=FQ","BEST_FPERIOD_OVERRIDE=FQ","FILING_STATUS=MR","Sort=A","Dates=H","DateFormat=P","Fill=—","Direction=H","UseDPDF=Y")</f>
        <v>-2.66</v>
      </c>
      <c r="H52" s="20">
        <f>_xll.BDH("GILD US Equity","IS_EARN_BEF_XO_ITEMS_PER_SH","FQ3 2020","FQ3 2020","Currency=USD","Period=FQ","BEST_FPERIOD_OVERRIDE=FQ","FILING_STATUS=MR","Sort=A","Dates=H","DateFormat=P","Fill=—","Direction=H","UseDPDF=Y")</f>
        <v>0.28999999999999998</v>
      </c>
      <c r="I52" s="20">
        <f>_xll.BDH("GILD US Equity","IS_EARN_BEF_XO_ITEMS_PER_SH","FQ4 2020","FQ4 2020","Currency=USD","Period=FQ","BEST_FPERIOD_OVERRIDE=FQ","FILING_STATUS=MR","Sort=A","Dates=H","DateFormat=P","Fill=—","Direction=H","UseDPDF=Y")</f>
        <v>1.24</v>
      </c>
      <c r="J52" s="20">
        <f>_xll.BDH("GILD US Equity","IS_EARN_BEF_XO_ITEMS_PER_SH","FQ1 2021","FQ1 2021","Currency=USD","Period=FQ","BEST_FPERIOD_OVERRIDE=FQ","FILING_STATUS=MR","Sort=A","Dates=H","DateFormat=P","Fill=—","Direction=H","UseDPDF=Y")</f>
        <v>1.38</v>
      </c>
      <c r="K52" s="20">
        <f>_xll.BDH("GILD US Equity","IS_EARN_BEF_XO_ITEMS_PER_SH","FQ2 2021","FQ2 2021","Currency=USD","Period=FQ","BEST_FPERIOD_OVERRIDE=FQ","FILING_STATUS=MR","Sort=A","Dates=H","DateFormat=P","Fill=—","Direction=H","UseDPDF=Y")</f>
        <v>1.21</v>
      </c>
      <c r="L52" s="20">
        <f>_xll.BDH("GILD US Equity","IS_EARN_BEF_XO_ITEMS_PER_SH","FQ3 2021","FQ3 2021","Currency=USD","Period=FQ","BEST_FPERIOD_OVERRIDE=FQ","FILING_STATUS=MR","Sort=A","Dates=H","DateFormat=P","Fill=—","Direction=H","UseDPDF=Y")</f>
        <v>2.06</v>
      </c>
      <c r="M52" s="20">
        <f>_xll.BDH("GILD US Equity","IS_EARN_BEF_XO_ITEMS_PER_SH","FQ4 2021","FQ4 2021","Currency=USD","Period=FQ","BEST_FPERIOD_OVERRIDE=FQ","FILING_STATUS=MR","Sort=A","Dates=H","DateFormat=P","Fill=—","Direction=H","UseDPDF=Y")</f>
        <v>0.3</v>
      </c>
      <c r="N52" s="20">
        <f>_xll.BDH("GILD US Equity","IS_EARN_BEF_XO_ITEMS_PER_SH","FQ1 2022","FQ1 2022","Currency=USD","Period=FQ","BEST_FPERIOD_OVERRIDE=FQ","FILING_STATUS=MR","Sort=A","Dates=H","DateFormat=P","Fill=—","Direction=H","UseDPDF=Y")</f>
        <v>0.02</v>
      </c>
      <c r="O52" s="20">
        <f>_xll.BDH("GILD US Equity","IS_EARN_BEF_XO_ITEMS_PER_SH","FQ2 2022","FQ2 2022","Currency=USD","Period=FQ","BEST_FPERIOD_OVERRIDE=FQ","FILING_STATUS=MR","Sort=A","Dates=H","DateFormat=P","Fill=—","Direction=H","UseDPDF=Y")</f>
        <v>0.91</v>
      </c>
      <c r="P52" s="20">
        <f>_xll.BDH("GILD US Equity","IS_EARN_BEF_XO_ITEMS_PER_SH","FQ3 2022","FQ3 2022","Currency=USD","Period=FQ","BEST_FPERIOD_OVERRIDE=FQ","FILING_STATUS=MR","Sort=A","Dates=H","DateFormat=P","Fill=—","Direction=H","UseDPDF=Y")</f>
        <v>1.43</v>
      </c>
      <c r="Q52" s="20">
        <f>_xll.BDH("GILD US Equity","IS_EARN_BEF_XO_ITEMS_PER_SH","FQ4 2022","FQ4 2022","Currency=USD","Period=FQ","BEST_FPERIOD_OVERRIDE=FQ","FILING_STATUS=MR","Sort=A","Dates=H","DateFormat=P","Fill=—","Direction=H","UseDPDF=Y")</f>
        <v>1.31</v>
      </c>
      <c r="R52" s="20">
        <f>_xll.BDH("GILD US Equity","IS_EARN_BEF_XO_ITEMS_PER_SH","FQ1 2023","FQ1 2023","Currency=USD","Period=FQ","BEST_FPERIOD_OVERRIDE=FQ","FILING_STATUS=MR","Sort=A","Dates=H","DateFormat=P","Fill=—","Direction=H","UseDPDF=Y")</f>
        <v>0.81</v>
      </c>
      <c r="S52" s="20">
        <f>_xll.BDH("GILD US Equity","IS_EARN_BEF_XO_ITEMS_PER_SH","FQ2 2023","FQ2 2023","Currency=USD","Period=FQ","BEST_FPERIOD_OVERRIDE=FQ","FILING_STATUS=MR","Sort=A","Dates=H","DateFormat=P","Fill=—","Direction=H","UseDPDF=Y")</f>
        <v>0.84</v>
      </c>
      <c r="T52" s="20">
        <f>_xll.BDH("GILD US Equity","IS_EARN_BEF_XO_ITEMS_PER_SH","FQ3 2023","FQ3 2023","Currency=USD","Period=FQ","BEST_FPERIOD_OVERRIDE=FQ","FILING_STATUS=MR","Sort=A","Dates=H","DateFormat=P","Fill=—","Direction=H","UseDPDF=Y")</f>
        <v>1.75</v>
      </c>
      <c r="U52" s="20">
        <f>_xll.BDH("GILD US Equity","IS_EARN_BEF_XO_ITEMS_PER_SH","FQ4 2023","FQ4 2023","Currency=USD","Period=FQ","BEST_FPERIOD_OVERRIDE=FQ","FILING_STATUS=MR","Sort=A","Dates=H","DateFormat=P","Fill=—","Direction=H","UseDPDF=Y")</f>
        <v>1.1499999999999999</v>
      </c>
      <c r="V52" s="20">
        <f>_xll.BDH("GILD US Equity","IS_EARN_BEF_XO_ITEMS_PER_SH","FQ1 2024","FQ1 2024","Currency=USD","Period=FQ","BEST_FPERIOD_OVERRIDE=FQ","FILING_STATUS=MR","Sort=A","Dates=H","DateFormat=P","Fill=—","Direction=H","UseDPDF=Y")</f>
        <v>-3.34</v>
      </c>
      <c r="W52" s="20">
        <f>_xll.BDH("GILD US Equity","IS_EARN_BEF_XO_ITEMS_PER_SH","FQ2 2024","FQ2 2024","Currency=USD","Period=FQ","BEST_FPERIOD_OVERRIDE=FQ","FILING_STATUS=MR","Sort=A","Dates=H","DateFormat=P","Fill=—","Direction=H","UseDPDF=Y")</f>
        <v>1.29</v>
      </c>
      <c r="X52" s="20">
        <f>_xll.BDH("GILD US Equity","IS_EARN_BEF_XO_ITEMS_PER_SH","FQ3 2024","FQ3 2024","Currency=USD","Period=FQ","BEST_FPERIOD_OVERRIDE=FQ","FILING_STATUS=MR","Sort=A","Dates=H","DateFormat=P","Fill=—","Direction=H","UseDPDF=Y")</f>
        <v>1</v>
      </c>
      <c r="Y52" s="20">
        <f>_xll.BDH("GILD US Equity","IS_EARN_BEF_XO_ITEMS_PER_SH","FQ4 2024","FQ4 2024","Currency=USD","Period=FQ","BEST_FPERIOD_OVERRIDE=FQ","FILING_STATUS=MR","Sort=A","Dates=H","DateFormat=P","Fill=—","Direction=H","UseDPDF=Y")</f>
        <v>1.43</v>
      </c>
      <c r="Z52" s="20">
        <v>1.2609999999999999</v>
      </c>
      <c r="AA52" s="20">
        <v>1.4650000000000001</v>
      </c>
    </row>
    <row r="53" spans="1:27" x14ac:dyDescent="0.25">
      <c r="A53" s="6" t="s">
        <v>388</v>
      </c>
      <c r="B53" s="6" t="s">
        <v>268</v>
      </c>
      <c r="C53" s="20">
        <f>_xll.BDH("GILD US Equity","IS_BASIC_EPS_CONT_OPS","FQ2 2019","FQ2 2019","Currency=USD","Period=FQ","BEST_FPERIOD_OVERRIDE=FQ","FILING_STATUS=MR","Sort=A","Dates=H","DateFormat=P","Fill=—","Direction=H","UseDPDF=Y")</f>
        <v>1.5306999999999999</v>
      </c>
      <c r="D53" s="20">
        <f>_xll.BDH("GILD US Equity","IS_BASIC_EPS_CONT_OPS","FQ3 2019","FQ3 2019","Currency=USD","Period=FQ","BEST_FPERIOD_OVERRIDE=FQ","FILING_STATUS=MR","Sort=A","Dates=H","DateFormat=P","Fill=—","Direction=H","UseDPDF=Y")</f>
        <v>1.4554</v>
      </c>
      <c r="E53" s="20">
        <f>_xll.BDH("GILD US Equity","IS_BASIC_EPS_CONT_OPS","FQ4 2019","FQ4 2019","Currency=USD","Period=FQ","BEST_FPERIOD_OVERRIDE=FQ","FILING_STATUS=MR","Sort=A","Dates=H","DateFormat=P","Fill=—","Direction=H","UseDPDF=Y")</f>
        <v>0.91069999999999995</v>
      </c>
      <c r="F53" s="20">
        <f>_xll.BDH("GILD US Equity","IS_BASIC_EPS_CONT_OPS","FQ1 2020","FQ1 2020","Currency=USD","Period=FQ","BEST_FPERIOD_OVERRIDE=FQ","FILING_STATUS=MR","Sort=A","Dates=H","DateFormat=P","Fill=—","Direction=H","UseDPDF=Y")</f>
        <v>1.6949000000000001</v>
      </c>
      <c r="G53" s="20">
        <f>_xll.BDH("GILD US Equity","IS_BASIC_EPS_CONT_OPS","FQ2 2020","FQ2 2020","Currency=USD","Period=FQ","BEST_FPERIOD_OVERRIDE=FQ","FILING_STATUS=MR","Sort=A","Dates=H","DateFormat=P","Fill=—","Direction=H","UseDPDF=Y")</f>
        <v>0.93710000000000004</v>
      </c>
      <c r="H53" s="20">
        <f>_xll.BDH("GILD US Equity","IS_BASIC_EPS_CONT_OPS","FQ3 2020","FQ3 2020","Currency=USD","Period=FQ","BEST_FPERIOD_OVERRIDE=FQ","FILING_STATUS=MR","Sort=A","Dates=H","DateFormat=P","Fill=—","Direction=H","UseDPDF=Y")</f>
        <v>1.9372</v>
      </c>
      <c r="I53" s="20">
        <f>_xll.BDH("GILD US Equity","IS_BASIC_EPS_CONT_OPS","FQ4 2020","FQ4 2020","Currency=USD","Period=FQ","BEST_FPERIOD_OVERRIDE=FQ","FILING_STATUS=MR","Sort=A","Dates=H","DateFormat=P","Fill=—","Direction=H","UseDPDF=Y")</f>
        <v>1.9386000000000001</v>
      </c>
      <c r="J53" s="20">
        <f>_xll.BDH("GILD US Equity","IS_BASIC_EPS_CONT_OPS","FQ1 2021","FQ1 2021","Currency=USD","Period=FQ","BEST_FPERIOD_OVERRIDE=FQ","FILING_STATUS=MR","Sort=A","Dates=H","DateFormat=P","Fill=—","Direction=H","UseDPDF=Y")</f>
        <v>2.0924</v>
      </c>
      <c r="K53" s="20">
        <f>_xll.BDH("GILD US Equity","IS_BASIC_EPS_CONT_OPS","FQ2 2021","FQ2 2021","Currency=USD","Period=FQ","BEST_FPERIOD_OVERRIDE=FQ","FILING_STATUS=MR","Sort=A","Dates=H","DateFormat=P","Fill=—","Direction=H","UseDPDF=Y")</f>
        <v>1.5195000000000001</v>
      </c>
      <c r="L53" s="20">
        <f>_xll.BDH("GILD US Equity","IS_BASIC_EPS_CONT_OPS","FQ3 2021","FQ3 2021","Currency=USD","Period=FQ","BEST_FPERIOD_OVERRIDE=FQ","FILING_STATUS=MR","Sort=A","Dates=H","DateFormat=P","Fill=—","Direction=H","UseDPDF=Y")</f>
        <v>2.3184999999999998</v>
      </c>
      <c r="M53" s="20">
        <f>_xll.BDH("GILD US Equity","IS_BASIC_EPS_CONT_OPS","FQ4 2021","FQ4 2021","Currency=USD","Period=FQ","BEST_FPERIOD_OVERRIDE=FQ","FILING_STATUS=MR","Sort=A","Dates=H","DateFormat=P","Fill=—","Direction=H","UseDPDF=Y")</f>
        <v>0.75849999999999995</v>
      </c>
      <c r="N53" s="20">
        <f>_xll.BDH("GILD US Equity","IS_BASIC_EPS_CONT_OPS","FQ1 2022","FQ1 2022","Currency=USD","Period=FQ","BEST_FPERIOD_OVERRIDE=FQ","FILING_STATUS=MR","Sort=A","Dates=H","DateFormat=P","Fill=—","Direction=H","UseDPDF=Y")</f>
        <v>1.7282999999999999</v>
      </c>
      <c r="O53" s="20">
        <f>_xll.BDH("GILD US Equity","IS_BASIC_EPS_CONT_OPS","FQ2 2022","FQ2 2022","Currency=USD","Period=FQ","BEST_FPERIOD_OVERRIDE=FQ","FILING_STATUS=MR","Sort=A","Dates=H","DateFormat=P","Fill=—","Direction=H","UseDPDF=Y")</f>
        <v>1.4353</v>
      </c>
      <c r="P53" s="20">
        <f>_xll.BDH("GILD US Equity","IS_BASIC_EPS_CONT_OPS","FQ3 2022","FQ3 2022","Currency=USD","Period=FQ","BEST_FPERIOD_OVERRIDE=FQ","FILING_STATUS=MR","Sort=A","Dates=H","DateFormat=P","Fill=—","Direction=H","UseDPDF=Y")</f>
        <v>2.1865999999999999</v>
      </c>
      <c r="Q53" s="20">
        <f>_xll.BDH("GILD US Equity","IS_BASIC_EPS_CONT_OPS","FQ4 2022","FQ4 2022","Currency=USD","Period=FQ","BEST_FPERIOD_OVERRIDE=FQ","FILING_STATUS=MR","Sort=A","Dates=H","DateFormat=P","Fill=—","Direction=H","UseDPDF=Y")</f>
        <v>1.5054000000000001</v>
      </c>
      <c r="R53" s="20">
        <f>_xll.BDH("GILD US Equity","IS_BASIC_EPS_CONT_OPS","FQ1 2023","FQ1 2023","Currency=USD","Period=FQ","BEST_FPERIOD_OVERRIDE=FQ","FILING_STATUS=MR","Sort=A","Dates=H","DateFormat=P","Fill=—","Direction=H","UseDPDF=Y")</f>
        <v>1.3476999999999999</v>
      </c>
      <c r="S53" s="20">
        <f>_xll.BDH("GILD US Equity","IS_BASIC_EPS_CONT_OPS","FQ2 2023","FQ2 2023","Currency=USD","Period=FQ","BEST_FPERIOD_OVERRIDE=FQ","FILING_STATUS=MR","Sort=A","Dates=H","DateFormat=P","Fill=—","Direction=H","UseDPDF=Y")</f>
        <v>1.1664000000000001</v>
      </c>
      <c r="T53" s="20">
        <f>_xll.BDH("GILD US Equity","IS_BASIC_EPS_CONT_OPS","FQ3 2023","FQ3 2023","Currency=USD","Period=FQ","BEST_FPERIOD_OVERRIDE=FQ","FILING_STATUS=MR","Sort=A","Dates=H","DateFormat=P","Fill=—","Direction=H","UseDPDF=Y")</f>
        <v>1.9951000000000001</v>
      </c>
      <c r="U53" s="20">
        <f>_xll.BDH("GILD US Equity","IS_BASIC_EPS_CONT_OPS","FQ4 2023","FQ4 2023","Currency=USD","Period=FQ","BEST_FPERIOD_OVERRIDE=FQ","FILING_STATUS=MR","Sort=A","Dates=H","DateFormat=P","Fill=—","Direction=H","UseDPDF=Y")</f>
        <v>1.5818000000000001</v>
      </c>
      <c r="V53" s="20">
        <f>_xll.BDH("GILD US Equity","IS_BASIC_EPS_CONT_OPS","FQ1 2024","FQ1 2024","Currency=USD","Period=FQ","BEST_FPERIOD_OVERRIDE=FQ","FILING_STATUS=MR","Sort=A","Dates=H","DateFormat=P","Fill=—","Direction=H","UseDPDF=Y")</f>
        <v>0.93140000000000001</v>
      </c>
      <c r="W53" s="20">
        <f>_xll.BDH("GILD US Equity","IS_BASIC_EPS_CONT_OPS","FQ2 2024","FQ2 2024","Currency=USD","Period=FQ","BEST_FPERIOD_OVERRIDE=FQ","FILING_STATUS=MR","Sort=A","Dates=H","DateFormat=P","Fill=—","Direction=H","UseDPDF=Y")</f>
        <v>1.6768000000000001</v>
      </c>
      <c r="X53" s="20">
        <f>_xll.BDH("GILD US Equity","IS_BASIC_EPS_CONT_OPS","FQ3 2024","FQ3 2024","Currency=USD","Period=FQ","BEST_FPERIOD_OVERRIDE=FQ","FILING_STATUS=MR","Sort=A","Dates=H","DateFormat=P","Fill=—","Direction=H","UseDPDF=Y")</f>
        <v>1.9815</v>
      </c>
      <c r="Y53" s="20">
        <f>_xll.BDH("GILD US Equity","IS_BASIC_EPS_CONT_OPS","FQ4 2024","FQ4 2024","Currency=USD","Period=FQ","BEST_FPERIOD_OVERRIDE=FQ","FILING_STATUS=MR","Sort=A","Dates=H","DateFormat=P","Fill=—","Direction=H","UseDPDF=Y")</f>
        <v>1.5410999999999999</v>
      </c>
      <c r="Z53" s="20">
        <v>1.7589999999999999</v>
      </c>
      <c r="AA53" s="20">
        <v>1.94</v>
      </c>
    </row>
    <row r="54" spans="1:27" x14ac:dyDescent="0.25">
      <c r="A54" s="6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x14ac:dyDescent="0.25">
      <c r="A55" s="10" t="s">
        <v>258</v>
      </c>
      <c r="B55" s="10" t="s">
        <v>108</v>
      </c>
      <c r="C55" s="13">
        <f>_xll.BDH("GILD US Equity","IS_SH_FOR_DILUTED_EPS","FQ2 2019","FQ2 2019","Currency=USD","Period=FQ","BEST_FPERIOD_OVERRIDE=FQ","FILING_STATUS=MR","Sort=A","Dates=H","DateFormat=P","Fill=—","Direction=H","UseDPDF=Y")</f>
        <v>1277</v>
      </c>
      <c r="D55" s="13">
        <f>_xll.BDH("GILD US Equity","IS_SH_FOR_DILUTED_EPS","FQ3 2019","FQ3 2019","Currency=USD","Period=FQ","BEST_FPERIOD_OVERRIDE=FQ","FILING_STATUS=MR","Sort=A","Dates=H","DateFormat=P","Fill=—","Direction=H","UseDPDF=Y")</f>
        <v>1267</v>
      </c>
      <c r="E55" s="13">
        <f>_xll.BDH("GILD US Equity","IS_SH_FOR_DILUTED_EPS","FQ4 2019","FQ4 2019","Currency=USD","Period=FQ","BEST_FPERIOD_OVERRIDE=FQ","FILING_STATUS=MR","Sort=A","Dates=H","DateFormat=P","Fill=—","Direction=H","UseDPDF=Y")</f>
        <v>1273</v>
      </c>
      <c r="F55" s="13">
        <f>_xll.BDH("GILD US Equity","IS_SH_FOR_DILUTED_EPS","FQ1 2020","FQ1 2020","Currency=USD","Period=FQ","BEST_FPERIOD_OVERRIDE=FQ","FILING_STATUS=MR","Sort=A","Dates=H","DateFormat=P","Fill=—","Direction=H","UseDPDF=Y")</f>
        <v>1270</v>
      </c>
      <c r="G55" s="13">
        <f>_xll.BDH("GILD US Equity","IS_SH_FOR_DILUTED_EPS","FQ2 2020","FQ2 2020","Currency=USD","Period=FQ","BEST_FPERIOD_OVERRIDE=FQ","FILING_STATUS=MR","Sort=A","Dates=H","DateFormat=P","Fill=—","Direction=H","UseDPDF=Y")</f>
        <v>1255</v>
      </c>
      <c r="H55" s="13">
        <f>_xll.BDH("GILD US Equity","IS_SH_FOR_DILUTED_EPS","FQ3 2020","FQ3 2020","Currency=USD","Period=FQ","BEST_FPERIOD_OVERRIDE=FQ","FILING_STATUS=MR","Sort=A","Dates=H","DateFormat=P","Fill=—","Direction=H","UseDPDF=Y")</f>
        <v>1261</v>
      </c>
      <c r="I55" s="13">
        <f>_xll.BDH("GILD US Equity","IS_SH_FOR_DILUTED_EPS","FQ4 2020","FQ4 2020","Currency=USD","Period=FQ","BEST_FPERIOD_OVERRIDE=FQ","FILING_STATUS=MR","Sort=A","Dates=H","DateFormat=P","Fill=—","Direction=H","UseDPDF=Y")</f>
        <v>1259</v>
      </c>
      <c r="J55" s="13">
        <f>_xll.BDH("GILD US Equity","IS_SH_FOR_DILUTED_EPS","FQ1 2021","FQ1 2021","Currency=USD","Period=FQ","BEST_FPERIOD_OVERRIDE=FQ","FILING_STATUS=MR","Sort=A","Dates=H","DateFormat=P","Fill=—","Direction=H","UseDPDF=Y")</f>
        <v>1262</v>
      </c>
      <c r="K55" s="13">
        <f>_xll.BDH("GILD US Equity","IS_SH_FOR_DILUTED_EPS","FQ2 2021","FQ2 2021","Currency=USD","Period=FQ","BEST_FPERIOD_OVERRIDE=FQ","FILING_STATUS=MR","Sort=A","Dates=H","DateFormat=P","Fill=—","Direction=H","UseDPDF=Y")</f>
        <v>1260</v>
      </c>
      <c r="L55" s="13">
        <f>_xll.BDH("GILD US Equity","IS_SH_FOR_DILUTED_EPS","FQ3 2021","FQ3 2021","Currency=USD","Period=FQ","BEST_FPERIOD_OVERRIDE=FQ","FILING_STATUS=MR","Sort=A","Dates=H","DateFormat=P","Fill=—","Direction=H","UseDPDF=Y")</f>
        <v>1262</v>
      </c>
      <c r="M55" s="13">
        <f>_xll.BDH("GILD US Equity","IS_SH_FOR_DILUTED_EPS","FQ4 2021","FQ4 2021","Currency=USD","Period=FQ","BEST_FPERIOD_OVERRIDE=FQ","FILING_STATUS=MR","Sort=A","Dates=H","DateFormat=P","Fill=—","Direction=H","UseDPDF=Y")</f>
        <v>1262</v>
      </c>
      <c r="N55" s="13">
        <f>_xll.BDH("GILD US Equity","IS_SH_FOR_DILUTED_EPS","FQ1 2022","FQ1 2022","Currency=USD","Period=FQ","BEST_FPERIOD_OVERRIDE=FQ","FILING_STATUS=MR","Sort=A","Dates=H","DateFormat=P","Fill=—","Direction=H","UseDPDF=Y")</f>
        <v>1262</v>
      </c>
      <c r="O55" s="13">
        <f>_xll.BDH("GILD US Equity","IS_SH_FOR_DILUTED_EPS","FQ2 2022","FQ2 2022","Currency=USD","Period=FQ","BEST_FPERIOD_OVERRIDE=FQ","FILING_STATUS=MR","Sort=A","Dates=H","DateFormat=P","Fill=—","Direction=H","UseDPDF=Y")</f>
        <v>1260</v>
      </c>
      <c r="P55" s="13">
        <f>_xll.BDH("GILD US Equity","IS_SH_FOR_DILUTED_EPS","FQ3 2022","FQ3 2022","Currency=USD","Period=FQ","BEST_FPERIOD_OVERRIDE=FQ","FILING_STATUS=MR","Sort=A","Dates=H","DateFormat=P","Fill=—","Direction=H","UseDPDF=Y")</f>
        <v>1261</v>
      </c>
      <c r="Q55" s="13">
        <f>_xll.BDH("GILD US Equity","IS_SH_FOR_DILUTED_EPS","FQ4 2022","FQ4 2022","Currency=USD","Period=FQ","BEST_FPERIOD_OVERRIDE=FQ","FILING_STATUS=MR","Sort=A","Dates=H","DateFormat=P","Fill=—","Direction=H","UseDPDF=Y")</f>
        <v>1264</v>
      </c>
      <c r="R55" s="13">
        <f>_xll.BDH("GILD US Equity","IS_SH_FOR_DILUTED_EPS","FQ1 2023","FQ1 2023","Currency=USD","Period=FQ","BEST_FPERIOD_OVERRIDE=FQ","FILING_STATUS=MR","Sort=A","Dates=H","DateFormat=P","Fill=—","Direction=H","UseDPDF=Y")</f>
        <v>1248</v>
      </c>
      <c r="S55" s="13">
        <f>_xll.BDH("GILD US Equity","IS_SH_FOR_DILUTED_EPS","FQ2 2023","FQ2 2023","Currency=USD","Period=FQ","BEST_FPERIOD_OVERRIDE=FQ","FILING_STATUS=MR","Sort=A","Dates=H","DateFormat=P","Fill=—","Direction=H","UseDPDF=Y")</f>
        <v>1258</v>
      </c>
      <c r="T55" s="13">
        <f>_xll.BDH("GILD US Equity","IS_SH_FOR_DILUTED_EPS","FQ3 2023","FQ3 2023","Currency=USD","Period=FQ","BEST_FPERIOD_OVERRIDE=FQ","FILING_STATUS=MR","Sort=A","Dates=H","DateFormat=P","Fill=—","Direction=H","UseDPDF=Y")</f>
        <v>1257</v>
      </c>
      <c r="U55" s="13">
        <f>_xll.BDH("GILD US Equity","IS_SH_FOR_DILUTED_EPS","FQ4 2023","FQ4 2023","Currency=USD","Period=FQ","BEST_FPERIOD_OVERRIDE=FQ","FILING_STATUS=MR","Sort=A","Dates=H","DateFormat=P","Fill=—","Direction=H","UseDPDF=Y")</f>
        <v>1256</v>
      </c>
      <c r="V55" s="13">
        <f>_xll.BDH("GILD US Equity","IS_SH_FOR_DILUTED_EPS","FQ1 2024","FQ1 2024","Currency=USD","Period=FQ","BEST_FPERIOD_OVERRIDE=FQ","FILING_STATUS=MR","Sort=A","Dates=H","DateFormat=P","Fill=—","Direction=H","UseDPDF=Y")</f>
        <v>1247</v>
      </c>
      <c r="W55" s="13">
        <f>_xll.BDH("GILD US Equity","IS_SH_FOR_DILUTED_EPS","FQ2 2024","FQ2 2024","Currency=USD","Period=FQ","BEST_FPERIOD_OVERRIDE=FQ","FILING_STATUS=MR","Sort=A","Dates=H","DateFormat=P","Fill=—","Direction=H","UseDPDF=Y")</f>
        <v>1251</v>
      </c>
      <c r="X55" s="13">
        <f>_xll.BDH("GILD US Equity","IS_SH_FOR_DILUTED_EPS","FQ3 2024","FQ3 2024","Currency=USD","Period=FQ","BEST_FPERIOD_OVERRIDE=FQ","FILING_STATUS=MR","Sort=A","Dates=H","DateFormat=P","Fill=—","Direction=H","UseDPDF=Y")</f>
        <v>1254</v>
      </c>
      <c r="Y55" s="13">
        <f>_xll.BDH("GILD US Equity","IS_SH_FOR_DILUTED_EPS","FQ4 2024","FQ4 2024","Currency=USD","Period=FQ","BEST_FPERIOD_OVERRIDE=FQ","FILING_STATUS=MR","Sort=A","Dates=H","DateFormat=P","Fill=—","Direction=H","UseDPDF=Y")</f>
        <v>1259</v>
      </c>
      <c r="Z55" s="13"/>
      <c r="AA55" s="13"/>
    </row>
    <row r="56" spans="1:27" x14ac:dyDescent="0.25">
      <c r="A56" s="6" t="s">
        <v>103</v>
      </c>
      <c r="B56" s="6" t="s">
        <v>104</v>
      </c>
      <c r="C56" s="20">
        <f>_xll.BDH("GILD US Equity","IS_DILUTED_EPS","FQ2 2019","FQ2 2019","Currency=USD","Period=FQ","BEST_FPERIOD_OVERRIDE=FQ","FILING_STATUS=MR","FA_ADJUSTED=GAAP","Sort=A","Dates=H","DateFormat=P","Fill=—","Direction=H","UseDPDF=Y")</f>
        <v>1.47</v>
      </c>
      <c r="D56" s="20">
        <f>_xll.BDH("GILD US Equity","IS_DILUTED_EPS","FQ3 2019","FQ3 2019","Currency=USD","Period=FQ","BEST_FPERIOD_OVERRIDE=FQ","FILING_STATUS=MR","FA_ADJUSTED=GAAP","Sort=A","Dates=H","DateFormat=P","Fill=—","Direction=H","UseDPDF=Y")</f>
        <v>-0.92</v>
      </c>
      <c r="E56" s="20">
        <f>_xll.BDH("GILD US Equity","IS_DILUTED_EPS","FQ4 2019","FQ4 2019","Currency=USD","Period=FQ","BEST_FPERIOD_OVERRIDE=FQ","FILING_STATUS=MR","FA_ADJUSTED=GAAP","Sort=A","Dates=H","DateFormat=P","Fill=—","Direction=H","UseDPDF=Y")</f>
        <v>2.12</v>
      </c>
      <c r="F56" s="20">
        <f>_xll.BDH("GILD US Equity","IS_DILUTED_EPS","FQ1 2020","FQ1 2020","Currency=USD","Period=FQ","BEST_FPERIOD_OVERRIDE=FQ","FILING_STATUS=MR","FA_ADJUSTED=GAAP","Sort=A","Dates=H","DateFormat=P","Fill=—","Direction=H","UseDPDF=Y")</f>
        <v>1.22</v>
      </c>
      <c r="G56" s="20">
        <f>_xll.BDH("GILD US Equity","IS_DILUTED_EPS","FQ2 2020","FQ2 2020","Currency=USD","Period=FQ","BEST_FPERIOD_OVERRIDE=FQ","FILING_STATUS=MR","FA_ADJUSTED=GAAP","Sort=A","Dates=H","DateFormat=P","Fill=—","Direction=H","UseDPDF=Y")</f>
        <v>-2.66</v>
      </c>
      <c r="H56" s="20">
        <f>_xll.BDH("GILD US Equity","IS_DILUTED_EPS","FQ3 2020","FQ3 2020","Currency=USD","Period=FQ","BEST_FPERIOD_OVERRIDE=FQ","FILING_STATUS=MR","FA_ADJUSTED=GAAP","Sort=A","Dates=H","DateFormat=P","Fill=—","Direction=H","UseDPDF=Y")</f>
        <v>0.28999999999999998</v>
      </c>
      <c r="I56" s="20">
        <f>_xll.BDH("GILD US Equity","IS_DILUTED_EPS","FQ4 2020","FQ4 2020","Currency=USD","Period=FQ","BEST_FPERIOD_OVERRIDE=FQ","FILING_STATUS=MR","FA_ADJUSTED=GAAP","Sort=A","Dates=H","DateFormat=P","Fill=—","Direction=H","UseDPDF=Y")</f>
        <v>1.23</v>
      </c>
      <c r="J56" s="20">
        <f>_xll.BDH("GILD US Equity","IS_DILUTED_EPS","FQ1 2021","FQ1 2021","Currency=USD","Period=FQ","BEST_FPERIOD_OVERRIDE=FQ","FILING_STATUS=MR","FA_ADJUSTED=GAAP","Sort=A","Dates=H","DateFormat=P","Fill=—","Direction=H","UseDPDF=Y")</f>
        <v>1.37</v>
      </c>
      <c r="K56" s="20">
        <f>_xll.BDH("GILD US Equity","IS_DILUTED_EPS","FQ2 2021","FQ2 2021","Currency=USD","Period=FQ","BEST_FPERIOD_OVERRIDE=FQ","FILING_STATUS=MR","FA_ADJUSTED=GAAP","Sort=A","Dates=H","DateFormat=P","Fill=—","Direction=H","UseDPDF=Y")</f>
        <v>1.21</v>
      </c>
      <c r="L56" s="20">
        <f>_xll.BDH("GILD US Equity","IS_DILUTED_EPS","FQ3 2021","FQ3 2021","Currency=USD","Period=FQ","BEST_FPERIOD_OVERRIDE=FQ","FILING_STATUS=MR","FA_ADJUSTED=GAAP","Sort=A","Dates=H","DateFormat=P","Fill=—","Direction=H","UseDPDF=Y")</f>
        <v>2.0499999999999998</v>
      </c>
      <c r="M56" s="20">
        <f>_xll.BDH("GILD US Equity","IS_DILUTED_EPS","FQ4 2021","FQ4 2021","Currency=USD","Period=FQ","BEST_FPERIOD_OVERRIDE=FQ","FILING_STATUS=MR","FA_ADJUSTED=GAAP","Sort=A","Dates=H","DateFormat=P","Fill=—","Direction=H","UseDPDF=Y")</f>
        <v>0.3</v>
      </c>
      <c r="N56" s="20">
        <f>_xll.BDH("GILD US Equity","IS_DILUTED_EPS","FQ1 2022","FQ1 2022","Currency=USD","Period=FQ","BEST_FPERIOD_OVERRIDE=FQ","FILING_STATUS=MR","FA_ADJUSTED=GAAP","Sort=A","Dates=H","DateFormat=P","Fill=—","Direction=H","UseDPDF=Y")</f>
        <v>0.02</v>
      </c>
      <c r="O56" s="20">
        <f>_xll.BDH("GILD US Equity","IS_DILUTED_EPS","FQ2 2022","FQ2 2022","Currency=USD","Period=FQ","BEST_FPERIOD_OVERRIDE=FQ","FILING_STATUS=MR","FA_ADJUSTED=GAAP","Sort=A","Dates=H","DateFormat=P","Fill=—","Direction=H","UseDPDF=Y")</f>
        <v>0.91</v>
      </c>
      <c r="P56" s="20">
        <f>_xll.BDH("GILD US Equity","IS_DILUTED_EPS","FQ3 2022","FQ3 2022","Currency=USD","Period=FQ","BEST_FPERIOD_OVERRIDE=FQ","FILING_STATUS=MR","FA_ADJUSTED=GAAP","Sort=A","Dates=H","DateFormat=P","Fill=—","Direction=H","UseDPDF=Y")</f>
        <v>1.42</v>
      </c>
      <c r="Q56" s="20">
        <f>_xll.BDH("GILD US Equity","IS_DILUTED_EPS","FQ4 2022","FQ4 2022","Currency=USD","Period=FQ","BEST_FPERIOD_OVERRIDE=FQ","FILING_STATUS=MR","FA_ADJUSTED=GAAP","Sort=A","Dates=H","DateFormat=P","Fill=—","Direction=H","UseDPDF=Y")</f>
        <v>1.3</v>
      </c>
      <c r="R56" s="20">
        <f>_xll.BDH("GILD US Equity","IS_DILUTED_EPS","FQ1 2023","FQ1 2023","Currency=USD","Period=FQ","BEST_FPERIOD_OVERRIDE=FQ","FILING_STATUS=MR","FA_ADJUSTED=GAAP","Sort=A","Dates=H","DateFormat=P","Fill=—","Direction=H","UseDPDF=Y")</f>
        <v>0.8</v>
      </c>
      <c r="S56" s="20">
        <f>_xll.BDH("GILD US Equity","IS_DILUTED_EPS","FQ2 2023","FQ2 2023","Currency=USD","Period=FQ","BEST_FPERIOD_OVERRIDE=FQ","FILING_STATUS=MR","FA_ADJUSTED=GAAP","Sort=A","Dates=H","DateFormat=P","Fill=—","Direction=H","UseDPDF=Y")</f>
        <v>0.83</v>
      </c>
      <c r="T56" s="20">
        <f>_xll.BDH("GILD US Equity","IS_DILUTED_EPS","FQ3 2023","FQ3 2023","Currency=USD","Period=FQ","BEST_FPERIOD_OVERRIDE=FQ","FILING_STATUS=MR","FA_ADJUSTED=GAAP","Sort=A","Dates=H","DateFormat=P","Fill=—","Direction=H","UseDPDF=Y")</f>
        <v>1.73</v>
      </c>
      <c r="U56" s="20">
        <f>_xll.BDH("GILD US Equity","IS_DILUTED_EPS","FQ4 2023","FQ4 2023","Currency=USD","Period=FQ","BEST_FPERIOD_OVERRIDE=FQ","FILING_STATUS=MR","FA_ADJUSTED=GAAP","Sort=A","Dates=H","DateFormat=P","Fill=—","Direction=H","UseDPDF=Y")</f>
        <v>1.1399999999999999</v>
      </c>
      <c r="V56" s="20">
        <f>_xll.BDH("GILD US Equity","IS_DILUTED_EPS","FQ1 2024","FQ1 2024","Currency=USD","Period=FQ","BEST_FPERIOD_OVERRIDE=FQ","FILING_STATUS=MR","FA_ADJUSTED=GAAP","Sort=A","Dates=H","DateFormat=P","Fill=—","Direction=H","UseDPDF=Y")</f>
        <v>-3.34</v>
      </c>
      <c r="W56" s="20">
        <f>_xll.BDH("GILD US Equity","IS_DILUTED_EPS","FQ2 2024","FQ2 2024","Currency=USD","Period=FQ","BEST_FPERIOD_OVERRIDE=FQ","FILING_STATUS=MR","FA_ADJUSTED=GAAP","Sort=A","Dates=H","DateFormat=P","Fill=—","Direction=H","UseDPDF=Y")</f>
        <v>1.29</v>
      </c>
      <c r="X56" s="20">
        <f>_xll.BDH("GILD US Equity","IS_DILUTED_EPS","FQ3 2024","FQ3 2024","Currency=USD","Period=FQ","BEST_FPERIOD_OVERRIDE=FQ","FILING_STATUS=MR","FA_ADJUSTED=GAAP","Sort=A","Dates=H","DateFormat=P","Fill=—","Direction=H","UseDPDF=Y")</f>
        <v>1</v>
      </c>
      <c r="Y56" s="20">
        <f>_xll.BDH("GILD US Equity","IS_DILUTED_EPS","FQ4 2024","FQ4 2024","Currency=USD","Period=FQ","BEST_FPERIOD_OVERRIDE=FQ","FILING_STATUS=MR","FA_ADJUSTED=GAAP","Sort=A","Dates=H","DateFormat=P","Fill=—","Direction=H","UseDPDF=Y")</f>
        <v>1.42</v>
      </c>
      <c r="Z56" s="20">
        <v>1.2609999999999999</v>
      </c>
      <c r="AA56" s="20">
        <v>1.4650000000000001</v>
      </c>
    </row>
    <row r="57" spans="1:27" x14ac:dyDescent="0.25">
      <c r="A57" s="6" t="s">
        <v>389</v>
      </c>
      <c r="B57" s="6" t="s">
        <v>271</v>
      </c>
      <c r="C57" s="20">
        <f>_xll.BDH("GILD US Equity","IS_DIL_EPS_BEF_XO","FQ2 2019","FQ2 2019","Currency=USD","Period=FQ","BEST_FPERIOD_OVERRIDE=FQ","FILING_STATUS=MR","Sort=A","Dates=H","DateFormat=P","Fill=—","Direction=H","UseDPDF=Y")</f>
        <v>1.47</v>
      </c>
      <c r="D57" s="20">
        <f>_xll.BDH("GILD US Equity","IS_DIL_EPS_BEF_XO","FQ3 2019","FQ3 2019","Currency=USD","Period=FQ","BEST_FPERIOD_OVERRIDE=FQ","FILING_STATUS=MR","Sort=A","Dates=H","DateFormat=P","Fill=—","Direction=H","UseDPDF=Y")</f>
        <v>-0.92</v>
      </c>
      <c r="E57" s="20">
        <f>_xll.BDH("GILD US Equity","IS_DIL_EPS_BEF_XO","FQ4 2019","FQ4 2019","Currency=USD","Period=FQ","BEST_FPERIOD_OVERRIDE=FQ","FILING_STATUS=MR","Sort=A","Dates=H","DateFormat=P","Fill=—","Direction=H","UseDPDF=Y")</f>
        <v>2.12</v>
      </c>
      <c r="F57" s="20">
        <f>_xll.BDH("GILD US Equity","IS_DIL_EPS_BEF_XO","FQ1 2020","FQ1 2020","Currency=USD","Period=FQ","BEST_FPERIOD_OVERRIDE=FQ","FILING_STATUS=MR","Sort=A","Dates=H","DateFormat=P","Fill=—","Direction=H","UseDPDF=Y")</f>
        <v>1.22</v>
      </c>
      <c r="G57" s="20">
        <f>_xll.BDH("GILD US Equity","IS_DIL_EPS_BEF_XO","FQ2 2020","FQ2 2020","Currency=USD","Period=FQ","BEST_FPERIOD_OVERRIDE=FQ","FILING_STATUS=MR","Sort=A","Dates=H","DateFormat=P","Fill=—","Direction=H","UseDPDF=Y")</f>
        <v>-2.66</v>
      </c>
      <c r="H57" s="20">
        <f>_xll.BDH("GILD US Equity","IS_DIL_EPS_BEF_XO","FQ3 2020","FQ3 2020","Currency=USD","Period=FQ","BEST_FPERIOD_OVERRIDE=FQ","FILING_STATUS=MR","Sort=A","Dates=H","DateFormat=P","Fill=—","Direction=H","UseDPDF=Y")</f>
        <v>0.28999999999999998</v>
      </c>
      <c r="I57" s="20">
        <f>_xll.BDH("GILD US Equity","IS_DIL_EPS_BEF_XO","FQ4 2020","FQ4 2020","Currency=USD","Period=FQ","BEST_FPERIOD_OVERRIDE=FQ","FILING_STATUS=MR","Sort=A","Dates=H","DateFormat=P","Fill=—","Direction=H","UseDPDF=Y")</f>
        <v>1.23</v>
      </c>
      <c r="J57" s="20">
        <f>_xll.BDH("GILD US Equity","IS_DIL_EPS_BEF_XO","FQ1 2021","FQ1 2021","Currency=USD","Period=FQ","BEST_FPERIOD_OVERRIDE=FQ","FILING_STATUS=MR","Sort=A","Dates=H","DateFormat=P","Fill=—","Direction=H","UseDPDF=Y")</f>
        <v>1.37</v>
      </c>
      <c r="K57" s="20">
        <f>_xll.BDH("GILD US Equity","IS_DIL_EPS_BEF_XO","FQ2 2021","FQ2 2021","Currency=USD","Period=FQ","BEST_FPERIOD_OVERRIDE=FQ","FILING_STATUS=MR","Sort=A","Dates=H","DateFormat=P","Fill=—","Direction=H","UseDPDF=Y")</f>
        <v>1.21</v>
      </c>
      <c r="L57" s="20">
        <f>_xll.BDH("GILD US Equity","IS_DIL_EPS_BEF_XO","FQ3 2021","FQ3 2021","Currency=USD","Period=FQ","BEST_FPERIOD_OVERRIDE=FQ","FILING_STATUS=MR","Sort=A","Dates=H","DateFormat=P","Fill=—","Direction=H","UseDPDF=Y")</f>
        <v>2.0499999999999998</v>
      </c>
      <c r="M57" s="20">
        <f>_xll.BDH("GILD US Equity","IS_DIL_EPS_BEF_XO","FQ4 2021","FQ4 2021","Currency=USD","Period=FQ","BEST_FPERIOD_OVERRIDE=FQ","FILING_STATUS=MR","Sort=A","Dates=H","DateFormat=P","Fill=—","Direction=H","UseDPDF=Y")</f>
        <v>0.3</v>
      </c>
      <c r="N57" s="20">
        <f>_xll.BDH("GILD US Equity","IS_DIL_EPS_BEF_XO","FQ1 2022","FQ1 2022","Currency=USD","Period=FQ","BEST_FPERIOD_OVERRIDE=FQ","FILING_STATUS=MR","Sort=A","Dates=H","DateFormat=P","Fill=—","Direction=H","UseDPDF=Y")</f>
        <v>0.02</v>
      </c>
      <c r="O57" s="20">
        <f>_xll.BDH("GILD US Equity","IS_DIL_EPS_BEF_XO","FQ2 2022","FQ2 2022","Currency=USD","Period=FQ","BEST_FPERIOD_OVERRIDE=FQ","FILING_STATUS=MR","Sort=A","Dates=H","DateFormat=P","Fill=—","Direction=H","UseDPDF=Y")</f>
        <v>0.91</v>
      </c>
      <c r="P57" s="20">
        <f>_xll.BDH("GILD US Equity","IS_DIL_EPS_BEF_XO","FQ3 2022","FQ3 2022","Currency=USD","Period=FQ","BEST_FPERIOD_OVERRIDE=FQ","FILING_STATUS=MR","Sort=A","Dates=H","DateFormat=P","Fill=—","Direction=H","UseDPDF=Y")</f>
        <v>1.42</v>
      </c>
      <c r="Q57" s="20">
        <f>_xll.BDH("GILD US Equity","IS_DIL_EPS_BEF_XO","FQ4 2022","FQ4 2022","Currency=USD","Period=FQ","BEST_FPERIOD_OVERRIDE=FQ","FILING_STATUS=MR","Sort=A","Dates=H","DateFormat=P","Fill=—","Direction=H","UseDPDF=Y")</f>
        <v>1.3</v>
      </c>
      <c r="R57" s="20">
        <f>_xll.BDH("GILD US Equity","IS_DIL_EPS_BEF_XO","FQ1 2023","FQ1 2023","Currency=USD","Period=FQ","BEST_FPERIOD_OVERRIDE=FQ","FILING_STATUS=MR","Sort=A","Dates=H","DateFormat=P","Fill=—","Direction=H","UseDPDF=Y")</f>
        <v>0.8</v>
      </c>
      <c r="S57" s="20">
        <f>_xll.BDH("GILD US Equity","IS_DIL_EPS_BEF_XO","FQ2 2023","FQ2 2023","Currency=USD","Period=FQ","BEST_FPERIOD_OVERRIDE=FQ","FILING_STATUS=MR","Sort=A","Dates=H","DateFormat=P","Fill=—","Direction=H","UseDPDF=Y")</f>
        <v>0.83</v>
      </c>
      <c r="T57" s="20">
        <f>_xll.BDH("GILD US Equity","IS_DIL_EPS_BEF_XO","FQ3 2023","FQ3 2023","Currency=USD","Period=FQ","BEST_FPERIOD_OVERRIDE=FQ","FILING_STATUS=MR","Sort=A","Dates=H","DateFormat=P","Fill=—","Direction=H","UseDPDF=Y")</f>
        <v>1.73</v>
      </c>
      <c r="U57" s="20">
        <f>_xll.BDH("GILD US Equity","IS_DIL_EPS_BEF_XO","FQ4 2023","FQ4 2023","Currency=USD","Period=FQ","BEST_FPERIOD_OVERRIDE=FQ","FILING_STATUS=MR","Sort=A","Dates=H","DateFormat=P","Fill=—","Direction=H","UseDPDF=Y")</f>
        <v>1.1399999999999999</v>
      </c>
      <c r="V57" s="20">
        <f>_xll.BDH("GILD US Equity","IS_DIL_EPS_BEF_XO","FQ1 2024","FQ1 2024","Currency=USD","Period=FQ","BEST_FPERIOD_OVERRIDE=FQ","FILING_STATUS=MR","Sort=A","Dates=H","DateFormat=P","Fill=—","Direction=H","UseDPDF=Y")</f>
        <v>-3.34</v>
      </c>
      <c r="W57" s="20">
        <f>_xll.BDH("GILD US Equity","IS_DIL_EPS_BEF_XO","FQ2 2024","FQ2 2024","Currency=USD","Period=FQ","BEST_FPERIOD_OVERRIDE=FQ","FILING_STATUS=MR","Sort=A","Dates=H","DateFormat=P","Fill=—","Direction=H","UseDPDF=Y")</f>
        <v>1.29</v>
      </c>
      <c r="X57" s="20">
        <f>_xll.BDH("GILD US Equity","IS_DIL_EPS_BEF_XO","FQ3 2024","FQ3 2024","Currency=USD","Period=FQ","BEST_FPERIOD_OVERRIDE=FQ","FILING_STATUS=MR","Sort=A","Dates=H","DateFormat=P","Fill=—","Direction=H","UseDPDF=Y")</f>
        <v>1</v>
      </c>
      <c r="Y57" s="20">
        <f>_xll.BDH("GILD US Equity","IS_DIL_EPS_BEF_XO","FQ4 2024","FQ4 2024","Currency=USD","Period=FQ","BEST_FPERIOD_OVERRIDE=FQ","FILING_STATUS=MR","Sort=A","Dates=H","DateFormat=P","Fill=—","Direction=H","UseDPDF=Y")</f>
        <v>1.42</v>
      </c>
      <c r="Z57" s="20">
        <v>1.2609999999999999</v>
      </c>
      <c r="AA57" s="20">
        <v>1.4650000000000001</v>
      </c>
    </row>
    <row r="58" spans="1:27" x14ac:dyDescent="0.25">
      <c r="A58" s="6" t="s">
        <v>390</v>
      </c>
      <c r="B58" s="6" t="s">
        <v>82</v>
      </c>
      <c r="C58" s="20">
        <f>_xll.BDH("GILD US Equity","IS_DIL_EPS_CONT_OPS","FQ2 2019","FQ2 2019","Currency=USD","Period=FQ","BEST_FPERIOD_OVERRIDE=FQ","FILING_STATUS=MR","Sort=A","Dates=H","DateFormat=P","Fill=—","Direction=H","UseDPDF=Y")</f>
        <v>1.5201</v>
      </c>
      <c r="D58" s="20">
        <f>_xll.BDH("GILD US Equity","IS_DIL_EPS_CONT_OPS","FQ3 2019","FQ3 2019","Currency=USD","Period=FQ","BEST_FPERIOD_OVERRIDE=FQ","FILING_STATUS=MR","Sort=A","Dates=H","DateFormat=P","Fill=—","Direction=H","UseDPDF=Y")</f>
        <v>1.4549000000000001</v>
      </c>
      <c r="E58" s="20">
        <f>_xll.BDH("GILD US Equity","IS_DIL_EPS_CONT_OPS","FQ4 2019","FQ4 2019","Currency=USD","Period=FQ","BEST_FPERIOD_OVERRIDE=FQ","FILING_STATUS=MR","Sort=A","Dates=H","DateFormat=P","Fill=—","Direction=H","UseDPDF=Y")</f>
        <v>0.90790000000000004</v>
      </c>
      <c r="F58" s="20">
        <f>_xll.BDH("GILD US Equity","IS_DIL_EPS_CONT_OPS","FQ1 2020","FQ1 2020","Currency=USD","Period=FQ","BEST_FPERIOD_OVERRIDE=FQ","FILING_STATUS=MR","Sort=A","Dates=H","DateFormat=P","Fill=—","Direction=H","UseDPDF=Y")</f>
        <v>1.6830000000000001</v>
      </c>
      <c r="G58" s="20">
        <f>_xll.BDH("GILD US Equity","IS_DIL_EPS_CONT_OPS","FQ2 2020","FQ2 2020","Currency=USD","Period=FQ","BEST_FPERIOD_OVERRIDE=FQ","FILING_STATUS=MR","Sort=A","Dates=H","DateFormat=P","Fill=—","Direction=H","UseDPDF=Y")</f>
        <v>0.93710000000000004</v>
      </c>
      <c r="H58" s="20">
        <f>_xll.BDH("GILD US Equity","IS_DIL_EPS_CONT_OPS","FQ3 2020","FQ3 2020","Currency=USD","Period=FQ","BEST_FPERIOD_OVERRIDE=FQ","FILING_STATUS=MR","Sort=A","Dates=H","DateFormat=P","Fill=—","Direction=H","UseDPDF=Y")</f>
        <v>1.9325000000000001</v>
      </c>
      <c r="I58" s="20">
        <f>_xll.BDH("GILD US Equity","IS_DIL_EPS_CONT_OPS","FQ4 2020","FQ4 2020","Currency=USD","Period=FQ","BEST_FPERIOD_OVERRIDE=FQ","FILING_STATUS=MR","Sort=A","Dates=H","DateFormat=P","Fill=—","Direction=H","UseDPDF=Y")</f>
        <v>1.9306000000000001</v>
      </c>
      <c r="J58" s="20">
        <f>_xll.BDH("GILD US Equity","IS_DIL_EPS_CONT_OPS","FQ1 2021","FQ1 2021","Currency=USD","Period=FQ","BEST_FPERIOD_OVERRIDE=FQ","FILING_STATUS=MR","Sort=A","Dates=H","DateFormat=P","Fill=—","Direction=H","UseDPDF=Y")</f>
        <v>2.0823999999999998</v>
      </c>
      <c r="K58" s="20">
        <f>_xll.BDH("GILD US Equity","IS_DIL_EPS_CONT_OPS","FQ2 2021","FQ2 2021","Currency=USD","Period=FQ","BEST_FPERIOD_OVERRIDE=FQ","FILING_STATUS=MR","Sort=A","Dates=H","DateFormat=P","Fill=—","Direction=H","UseDPDF=Y")</f>
        <v>1.5156000000000001</v>
      </c>
      <c r="L58" s="20">
        <f>_xll.BDH("GILD US Equity","IS_DIL_EPS_CONT_OPS","FQ3 2021","FQ3 2021","Currency=USD","Period=FQ","BEST_FPERIOD_OVERRIDE=FQ","FILING_STATUS=MR","Sort=A","Dates=H","DateFormat=P","Fill=—","Direction=H","UseDPDF=Y")</f>
        <v>2.3035999999999999</v>
      </c>
      <c r="M58" s="20">
        <f>_xll.BDH("GILD US Equity","IS_DIL_EPS_CONT_OPS","FQ4 2021","FQ4 2021","Currency=USD","Period=FQ","BEST_FPERIOD_OVERRIDE=FQ","FILING_STATUS=MR","Sort=A","Dates=H","DateFormat=P","Fill=—","Direction=H","UseDPDF=Y")</f>
        <v>0.75219999999999998</v>
      </c>
      <c r="N58" s="20">
        <f>_xll.BDH("GILD US Equity","IS_DIL_EPS_CONT_OPS","FQ1 2022","FQ1 2022","Currency=USD","Period=FQ","BEST_FPERIOD_OVERRIDE=FQ","FILING_STATUS=MR","Sort=A","Dates=H","DateFormat=P","Fill=—","Direction=H","UseDPDF=Y")</f>
        <v>1.7236</v>
      </c>
      <c r="O58" s="20">
        <f>_xll.BDH("GILD US Equity","IS_DIL_EPS_CONT_OPS","FQ2 2022","FQ2 2022","Currency=USD","Period=FQ","BEST_FPERIOD_OVERRIDE=FQ","FILING_STATUS=MR","Sort=A","Dates=H","DateFormat=P","Fill=—","Direction=H","UseDPDF=Y")</f>
        <v>1.4328000000000001</v>
      </c>
      <c r="P58" s="20">
        <f>_xll.BDH("GILD US Equity","IS_DIL_EPS_CONT_OPS","FQ3 2022","FQ3 2022","Currency=USD","Period=FQ","BEST_FPERIOD_OVERRIDE=FQ","FILING_STATUS=MR","Sort=A","Dates=H","DateFormat=P","Fill=—","Direction=H","UseDPDF=Y")</f>
        <v>2.1774</v>
      </c>
      <c r="Q58" s="20">
        <f>_xll.BDH("GILD US Equity","IS_DIL_EPS_CONT_OPS","FQ4 2022","FQ4 2022","Currency=USD","Period=FQ","BEST_FPERIOD_OVERRIDE=FQ","FILING_STATUS=MR","Sort=A","Dates=H","DateFormat=P","Fill=—","Direction=H","UseDPDF=Y")</f>
        <v>1.4937</v>
      </c>
      <c r="R58" s="20">
        <f>_xll.BDH("GILD US Equity","IS_DIL_EPS_CONT_OPS","FQ1 2023","FQ1 2023","Currency=USD","Period=FQ","BEST_FPERIOD_OVERRIDE=FQ","FILING_STATUS=MR","Sort=A","Dates=H","DateFormat=P","Fill=—","Direction=H","UseDPDF=Y")</f>
        <v>1.3385</v>
      </c>
      <c r="S58" s="20">
        <f>_xll.BDH("GILD US Equity","IS_DIL_EPS_CONT_OPS","FQ2 2023","FQ2 2023","Currency=USD","Period=FQ","BEST_FPERIOD_OVERRIDE=FQ","FILING_STATUS=MR","Sort=A","Dates=H","DateFormat=P","Fill=—","Direction=H","UseDPDF=Y")</f>
        <v>1.1574</v>
      </c>
      <c r="T58" s="20">
        <f>_xll.BDH("GILD US Equity","IS_DIL_EPS_CONT_OPS","FQ3 2023","FQ3 2023","Currency=USD","Period=FQ","BEST_FPERIOD_OVERRIDE=FQ","FILING_STATUS=MR","Sort=A","Dates=H","DateFormat=P","Fill=—","Direction=H","UseDPDF=Y")</f>
        <v>1.9764999999999999</v>
      </c>
      <c r="U58" s="20">
        <f>_xll.BDH("GILD US Equity","IS_DIL_EPS_CONT_OPS","FQ4 2023","FQ4 2023","Currency=USD","Period=FQ","BEST_FPERIOD_OVERRIDE=FQ","FILING_STATUS=MR","Sort=A","Dates=H","DateFormat=P","Fill=—","Direction=H","UseDPDF=Y")</f>
        <v>1.5740000000000001</v>
      </c>
      <c r="V58" s="20">
        <f>_xll.BDH("GILD US Equity","IS_DIL_EPS_CONT_OPS","FQ1 2024","FQ1 2024","Currency=USD","Period=FQ","BEST_FPERIOD_OVERRIDE=FQ","FILING_STATUS=MR","Sort=A","Dates=H","DateFormat=P","Fill=—","Direction=H","UseDPDF=Y")</f>
        <v>0.93140000000000001</v>
      </c>
      <c r="W58" s="20">
        <f>_xll.BDH("GILD US Equity","IS_DIL_EPS_CONT_OPS","FQ2 2024","FQ2 2024","Currency=USD","Period=FQ","BEST_FPERIOD_OVERRIDE=FQ","FILING_STATUS=MR","Sort=A","Dates=H","DateFormat=P","Fill=—","Direction=H","UseDPDF=Y")</f>
        <v>1.6713</v>
      </c>
      <c r="X58" s="20">
        <f>_xll.BDH("GILD US Equity","IS_DIL_EPS_CONT_OPS","FQ3 2024","FQ3 2024","Currency=USD","Period=FQ","BEST_FPERIOD_OVERRIDE=FQ","FILING_STATUS=MR","Sort=A","Dates=H","DateFormat=P","Fill=—","Direction=H","UseDPDF=Y")</f>
        <v>1.9713000000000001</v>
      </c>
      <c r="Y58" s="20">
        <f>_xll.BDH("GILD US Equity","IS_DIL_EPS_CONT_OPS","FQ4 2024","FQ4 2024","Currency=USD","Period=FQ","BEST_FPERIOD_OVERRIDE=FQ","FILING_STATUS=MR","Sort=A","Dates=H","DateFormat=P","Fill=—","Direction=H","UseDPDF=Y")</f>
        <v>1.5314000000000001</v>
      </c>
      <c r="Z58" s="20">
        <v>1.7589999999999999</v>
      </c>
      <c r="AA58" s="20">
        <v>1.94</v>
      </c>
    </row>
    <row r="59" spans="1:27" x14ac:dyDescent="0.25">
      <c r="A59" s="6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x14ac:dyDescent="0.25">
      <c r="A60" s="6" t="s">
        <v>4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 x14ac:dyDescent="0.25">
      <c r="A61" s="10" t="s">
        <v>391</v>
      </c>
      <c r="B61" s="10" t="s">
        <v>392</v>
      </c>
      <c r="C61" s="12" t="s">
        <v>393</v>
      </c>
      <c r="D61" s="12" t="s">
        <v>393</v>
      </c>
      <c r="E61" s="12" t="s">
        <v>393</v>
      </c>
      <c r="F61" s="12" t="s">
        <v>393</v>
      </c>
      <c r="G61" s="12" t="s">
        <v>393</v>
      </c>
      <c r="H61" s="12" t="s">
        <v>393</v>
      </c>
      <c r="I61" s="12" t="s">
        <v>393</v>
      </c>
      <c r="J61" s="12" t="s">
        <v>393</v>
      </c>
      <c r="K61" s="12" t="s">
        <v>393</v>
      </c>
      <c r="L61" s="12" t="s">
        <v>393</v>
      </c>
      <c r="M61" s="12" t="s">
        <v>393</v>
      </c>
      <c r="N61" s="12" t="s">
        <v>393</v>
      </c>
      <c r="O61" s="12" t="s">
        <v>393</v>
      </c>
      <c r="P61" s="12" t="s">
        <v>393</v>
      </c>
      <c r="Q61" s="12" t="s">
        <v>393</v>
      </c>
      <c r="R61" s="12" t="s">
        <v>393</v>
      </c>
      <c r="S61" s="12" t="s">
        <v>393</v>
      </c>
      <c r="T61" s="12" t="s">
        <v>393</v>
      </c>
      <c r="U61" s="12" t="s">
        <v>393</v>
      </c>
      <c r="V61" s="12" t="s">
        <v>393</v>
      </c>
      <c r="W61" s="12" t="s">
        <v>393</v>
      </c>
      <c r="X61" s="12" t="s">
        <v>393</v>
      </c>
      <c r="Y61" s="12" t="s">
        <v>393</v>
      </c>
      <c r="Z61" s="12"/>
      <c r="AA61" s="12"/>
    </row>
    <row r="62" spans="1:27" x14ac:dyDescent="0.25">
      <c r="A62" s="10" t="s">
        <v>78</v>
      </c>
      <c r="B62" s="10" t="s">
        <v>78</v>
      </c>
      <c r="C62" s="13">
        <f>_xll.BDH("GILD US Equity","EBITDA","FQ2 2019","FQ2 2019","Currency=USD","Period=FQ","BEST_FPERIOD_OVERRIDE=FQ","FILING_STATUS=MR","SCALING_FORMAT=MLN","FA_ADJUSTED=Adjusted","Sort=A","Dates=H","DateFormat=P","Fill=—","Direction=H","UseDPDF=Y")</f>
        <v>2980</v>
      </c>
      <c r="D62" s="13">
        <f>_xll.BDH("GILD US Equity","EBITDA","FQ3 2019","FQ3 2019","Currency=USD","Period=FQ","BEST_FPERIOD_OVERRIDE=FQ","FILING_STATUS=MR","SCALING_FORMAT=MLN","FA_ADJUSTED=Adjusted","Sort=A","Dates=H","DateFormat=P","Fill=—","Direction=H","UseDPDF=Y")</f>
        <v>2887</v>
      </c>
      <c r="E62" s="13">
        <f>_xll.BDH("GILD US Equity","EBITDA","FQ4 2019","FQ4 2019","Currency=USD","Period=FQ","BEST_FPERIOD_OVERRIDE=FQ","FILING_STATUS=MR","SCALING_FORMAT=MLN","FA_ADJUSTED=Adjusted","Sort=A","Dates=H","DateFormat=P","Fill=—","Direction=H","UseDPDF=Y")</f>
        <v>2283</v>
      </c>
      <c r="F62" s="13">
        <f>_xll.BDH("GILD US Equity","EBITDA","FQ1 2020","FQ1 2020","Currency=USD","Period=FQ","BEST_FPERIOD_OVERRIDE=FQ","FILING_STATUS=MR","SCALING_FORMAT=MLN","FA_ADJUSTED=Adjusted","Sort=A","Dates=H","DateFormat=P","Fill=—","Direction=H","UseDPDF=Y")</f>
        <v>3114</v>
      </c>
      <c r="G62" s="13">
        <f>_xll.BDH("GILD US Equity","EBITDA","FQ2 2020","FQ2 2020","Currency=USD","Period=FQ","BEST_FPERIOD_OVERRIDE=FQ","FILING_STATUS=MR","SCALING_FORMAT=MLN","FA_ADJUSTED=Adjusted","Sort=A","Dates=H","DateFormat=P","Fill=—","Direction=H","UseDPDF=Y")</f>
        <v>2078</v>
      </c>
      <c r="H62" s="13">
        <f>_xll.BDH("GILD US Equity","EBITDA","FQ3 2020","FQ3 2020","Currency=USD","Period=FQ","BEST_FPERIOD_OVERRIDE=FQ","FILING_STATUS=MR","SCALING_FORMAT=MLN","FA_ADJUSTED=Adjusted","Sort=A","Dates=H","DateFormat=P","Fill=—","Direction=H","UseDPDF=Y")</f>
        <v>3541</v>
      </c>
      <c r="I62" s="13">
        <f>_xll.BDH("GILD US Equity","EBITDA","FQ4 2020","FQ4 2020","Currency=USD","Period=FQ","BEST_FPERIOD_OVERRIDE=FQ","FILING_STATUS=MR","SCALING_FORMAT=MLN","FA_ADJUSTED=Adjusted","Sort=A","Dates=H","DateFormat=P","Fill=—","Direction=H","UseDPDF=Y")</f>
        <v>3502</v>
      </c>
      <c r="J62" s="13">
        <f>_xll.BDH("GILD US Equity","EBITDA","FQ1 2021","FQ1 2021","Currency=USD","Period=FQ","BEST_FPERIOD_OVERRIDE=FQ","FILING_STATUS=MR","SCALING_FORMAT=MLN","FA_ADJUSTED=Adjusted","Sort=A","Dates=H","DateFormat=P","Fill=—","Direction=H","UseDPDF=Y")</f>
        <v>3959</v>
      </c>
      <c r="K62" s="13">
        <f>_xll.BDH("GILD US Equity","EBITDA","FQ2 2021","FQ2 2021","Currency=USD","Period=FQ","BEST_FPERIOD_OVERRIDE=FQ","FILING_STATUS=MR","SCALING_FORMAT=MLN","FA_ADJUSTED=Adjusted","Sort=A","Dates=H","DateFormat=P","Fill=—","Direction=H","UseDPDF=Y")</f>
        <v>3141</v>
      </c>
      <c r="L62" s="13">
        <f>_xll.BDH("GILD US Equity","EBITDA","FQ3 2021","FQ3 2021","Currency=USD","Period=FQ","BEST_FPERIOD_OVERRIDE=FQ","FILING_STATUS=MR","SCALING_FORMAT=MLN","FA_ADJUSTED=Adjusted","Sort=A","Dates=H","DateFormat=P","Fill=—","Direction=H","UseDPDF=Y")</f>
        <v>4367</v>
      </c>
      <c r="M62" s="13">
        <f>_xll.BDH("GILD US Equity","EBITDA","FQ4 2021","FQ4 2021","Currency=USD","Period=FQ","BEST_FPERIOD_OVERRIDE=FQ","FILING_STATUS=MR","SCALING_FORMAT=MLN","FA_ADJUSTED=Adjusted","Sort=A","Dates=H","DateFormat=P","Fill=—","Direction=H","UseDPDF=Y")</f>
        <v>2156.7975000000001</v>
      </c>
      <c r="N62" s="13">
        <f>_xll.BDH("GILD US Equity","EBITDA","FQ1 2022","FQ1 2022","Currency=USD","Period=FQ","BEST_FPERIOD_OVERRIDE=FQ","FILING_STATUS=MR","SCALING_FORMAT=MLN","FA_ADJUSTED=Adjusted","Sort=A","Dates=H","DateFormat=P","Fill=—","Direction=H","UseDPDF=Y")</f>
        <v>3492</v>
      </c>
      <c r="O62" s="13">
        <f>_xll.BDH("GILD US Equity","EBITDA","FQ2 2022","FQ2 2022","Currency=USD","Period=FQ","BEST_FPERIOD_OVERRIDE=FQ","FILING_STATUS=MR","SCALING_FORMAT=MLN","FA_ADJUSTED=Adjusted","Sort=A","Dates=H","DateFormat=P","Fill=—","Direction=H","UseDPDF=Y")</f>
        <v>3277</v>
      </c>
      <c r="P62" s="13">
        <f>_xll.BDH("GILD US Equity","EBITDA","FQ3 2022","FQ3 2022","Currency=USD","Period=FQ","BEST_FPERIOD_OVERRIDE=FQ","FILING_STATUS=MR","SCALING_FORMAT=MLN","FA_ADJUSTED=Adjusted","Sort=A","Dates=H","DateFormat=P","Fill=—","Direction=H","UseDPDF=Y")</f>
        <v>4236</v>
      </c>
      <c r="Q62" s="13">
        <f>_xll.BDH("GILD US Equity","EBITDA","FQ4 2022","FQ4 2022","Currency=USD","Period=FQ","BEST_FPERIOD_OVERRIDE=FQ","FILING_STATUS=MR","SCALING_FORMAT=MLN","FA_ADJUSTED=Adjusted","Sort=A","Dates=H","DateFormat=P","Fill=—","Direction=H","UseDPDF=Y")</f>
        <v>2957</v>
      </c>
      <c r="R62" s="13">
        <f>_xll.BDH("GILD US Equity","EBITDA","FQ1 2023","FQ1 2023","Currency=USD","Period=FQ","BEST_FPERIOD_OVERRIDE=FQ","FILING_STATUS=MR","SCALING_FORMAT=MLN","FA_ADJUSTED=Adjusted","Sort=A","Dates=H","DateFormat=P","Fill=—","Direction=H","UseDPDF=Y")</f>
        <v>2835</v>
      </c>
      <c r="S62" s="13">
        <f>_xll.BDH("GILD US Equity","EBITDA","FQ2 2023","FQ2 2023","Currency=USD","Period=FQ","BEST_FPERIOD_OVERRIDE=FQ","FILING_STATUS=MR","SCALING_FORMAT=MLN","FA_ADJUSTED=Adjusted","Sort=A","Dates=H","DateFormat=P","Fill=—","Direction=H","UseDPDF=Y")</f>
        <v>2544</v>
      </c>
      <c r="T62" s="13">
        <f>_xll.BDH("GILD US Equity","EBITDA","FQ3 2023","FQ3 2023","Currency=USD","Period=FQ","BEST_FPERIOD_OVERRIDE=FQ","FILING_STATUS=MR","SCALING_FORMAT=MLN","FA_ADJUSTED=Adjusted","Sort=A","Dates=H","DateFormat=P","Fill=—","Direction=H","UseDPDF=Y")</f>
        <v>3587</v>
      </c>
      <c r="U62" s="13">
        <f>_xll.BDH("GILD US Equity","EBITDA","FQ4 2023","FQ4 2023","Currency=USD","Period=FQ","BEST_FPERIOD_OVERRIDE=FQ","FILING_STATUS=MR","SCALING_FORMAT=MLN","FA_ADJUSTED=Adjusted","Sort=A","Dates=H","DateFormat=P","Fill=—","Direction=H","UseDPDF=Y")</f>
        <v>3194</v>
      </c>
      <c r="V62" s="13">
        <f>_xll.BDH("GILD US Equity","EBITDA","FQ1 2024","FQ1 2024","Currency=USD","Period=FQ","BEST_FPERIOD_OVERRIDE=FQ","FILING_STATUS=MR","SCALING_FORMAT=MLN","FA_ADJUSTED=Adjusted","Sort=A","Dates=H","DateFormat=P","Fill=—","Direction=H","UseDPDF=Y")</f>
        <v>3125</v>
      </c>
      <c r="W62" s="13">
        <f>_xll.BDH("GILD US Equity","EBITDA","FQ2 2024","FQ2 2024","Currency=USD","Period=FQ","BEST_FPERIOD_OVERRIDE=FQ","FILING_STATUS=MR","SCALING_FORMAT=MLN","FA_ADJUSTED=Adjusted","Sort=A","Dates=H","DateFormat=P","Fill=—","Direction=H","UseDPDF=Y")</f>
        <v>3810</v>
      </c>
      <c r="X62" s="13">
        <f>_xll.BDH("GILD US Equity","EBITDA","FQ3 2024","FQ3 2024","Currency=USD","Period=FQ","BEST_FPERIOD_OVERRIDE=FQ","FILING_STATUS=MR","SCALING_FORMAT=MLN","FA_ADJUSTED=Adjusted","Sort=A","Dates=H","DateFormat=P","Fill=—","Direction=H","UseDPDF=Y")</f>
        <v>3874</v>
      </c>
      <c r="Y62" s="13">
        <f>_xll.BDH("GILD US Equity","EBITDA","FQ4 2024","FQ4 2024","Currency=USD","Period=FQ","BEST_FPERIOD_OVERRIDE=FQ","FILING_STATUS=MR","SCALING_FORMAT=MLN","FA_ADJUSTED=Adjusted","Sort=A","Dates=H","DateFormat=P","Fill=—","Direction=H","UseDPDF=Y")</f>
        <v>3217</v>
      </c>
      <c r="Z62" s="13">
        <v>3141</v>
      </c>
      <c r="AA62" s="13">
        <v>3626</v>
      </c>
    </row>
    <row r="63" spans="1:27" x14ac:dyDescent="0.25">
      <c r="A63" s="10" t="s">
        <v>394</v>
      </c>
      <c r="B63" s="10" t="s">
        <v>395</v>
      </c>
      <c r="C63" s="14">
        <f>_xll.BDH("GILD US Equity","EBITDA_MARGIN","FQ2 2019","FQ2 2019","Currency=USD","Period=FQ","BEST_FPERIOD_OVERRIDE=FQ","FILING_STATUS=MR","FA_ADJUSTED=Adjusted","Sort=A","Dates=H","DateFormat=P","Fill=—","Direction=H","UseDPDF=Y")</f>
        <v>49.97</v>
      </c>
      <c r="D63" s="14">
        <f>_xll.BDH("GILD US Equity","EBITDA_MARGIN","FQ3 2019","FQ3 2019","Currency=USD","Period=FQ","BEST_FPERIOD_OVERRIDE=FQ","FILING_STATUS=MR","FA_ADJUSTED=Adjusted","Sort=A","Dates=H","DateFormat=P","Fill=—","Direction=H","UseDPDF=Y")</f>
        <v>49.500500000000002</v>
      </c>
      <c r="E63" s="14">
        <f>_xll.BDH("GILD US Equity","EBITDA_MARGIN","FQ4 2019","FQ4 2019","Currency=USD","Period=FQ","BEST_FPERIOD_OVERRIDE=FQ","FILING_STATUS=MR","FA_ADJUSTED=Adjusted","Sort=A","Dates=H","DateFormat=P","Fill=—","Direction=H","UseDPDF=Y")</f>
        <v>48.575800000000001</v>
      </c>
      <c r="F63" s="14">
        <f>_xll.BDH("GILD US Equity","EBITDA_MARGIN","FQ1 2020","FQ1 2020","Currency=USD","Period=FQ","BEST_FPERIOD_OVERRIDE=FQ","FILING_STATUS=MR","FA_ADJUSTED=Adjusted","Sort=A","Dates=H","DateFormat=P","Fill=—","Direction=H","UseDPDF=Y")</f>
        <v>49.586199999999998</v>
      </c>
      <c r="G63" s="14">
        <f>_xll.BDH("GILD US Equity","EBITDA_MARGIN","FQ2 2020","FQ2 2020","Currency=USD","Period=FQ","BEST_FPERIOD_OVERRIDE=FQ","FILING_STATUS=MR","FA_ADJUSTED=Adjusted","Sort=A","Dates=H","DateFormat=P","Fill=—","Direction=H","UseDPDF=Y")</f>
        <v>46.730400000000003</v>
      </c>
      <c r="H63" s="14">
        <f>_xll.BDH("GILD US Equity","EBITDA_MARGIN","FQ3 2020","FQ3 2020","Currency=USD","Period=FQ","BEST_FPERIOD_OVERRIDE=FQ","FILING_STATUS=MR","FA_ADJUSTED=Adjusted","Sort=A","Dates=H","DateFormat=P","Fill=—","Direction=H","UseDPDF=Y")</f>
        <v>47.591500000000003</v>
      </c>
      <c r="I63" s="14">
        <f>_xll.BDH("GILD US Equity","EBITDA_MARGIN","FQ4 2020","FQ4 2020","Currency=USD","Period=FQ","BEST_FPERIOD_OVERRIDE=FQ","FILING_STATUS=MR","FA_ADJUSTED=Adjusted","Sort=A","Dates=H","DateFormat=P","Fill=—","Direction=H","UseDPDF=Y")</f>
        <v>49.5565</v>
      </c>
      <c r="J63" s="14">
        <f>_xll.BDH("GILD US Equity","EBITDA_MARGIN","FQ1 2021","FQ1 2021","Currency=USD","Period=FQ","BEST_FPERIOD_OVERRIDE=FQ","FILING_STATUS=MR","FA_ADJUSTED=Adjusted","Sort=A","Dates=H","DateFormat=P","Fill=—","Direction=H","UseDPDF=Y")</f>
        <v>51.165700000000001</v>
      </c>
      <c r="K63" s="14">
        <f>_xll.BDH("GILD US Equity","EBITDA_MARGIN","FQ2 2021","FQ2 2021","Currency=USD","Period=FQ","BEST_FPERIOD_OVERRIDE=FQ","FILING_STATUS=MR","FA_ADJUSTED=Adjusted","Sort=A","Dates=H","DateFormat=P","Fill=—","Direction=H","UseDPDF=Y")</f>
        <v>53.093299999999999</v>
      </c>
      <c r="L63" s="14">
        <f>_xll.BDH("GILD US Equity","EBITDA_MARGIN","FQ3 2021","FQ3 2021","Currency=USD","Period=FQ","BEST_FPERIOD_OVERRIDE=FQ","FILING_STATUS=MR","FA_ADJUSTED=Adjusted","Sort=A","Dates=H","DateFormat=P","Fill=—","Direction=H","UseDPDF=Y")</f>
        <v>54.468400000000003</v>
      </c>
      <c r="M63" s="14">
        <f>_xll.BDH("GILD US Equity","EBITDA_MARGIN","FQ4 2021","FQ4 2021","Currency=USD","Period=FQ","BEST_FPERIOD_OVERRIDE=FQ","FILING_STATUS=MR","FA_ADJUSTED=Adjusted","Sort=A","Dates=H","DateFormat=P","Fill=—","Direction=H","UseDPDF=Y")</f>
        <v>49.8949</v>
      </c>
      <c r="N63" s="14">
        <f>_xll.BDH("GILD US Equity","EBITDA_MARGIN","FQ1 2022","FQ1 2022","Currency=USD","Period=FQ","BEST_FPERIOD_OVERRIDE=FQ","FILING_STATUS=MR","FA_ADJUSTED=Adjusted","Sort=A","Dates=H","DateFormat=P","Fill=—","Direction=H","UseDPDF=Y")</f>
        <v>47.8917</v>
      </c>
      <c r="O63" s="14">
        <f>_xll.BDH("GILD US Equity","EBITDA_MARGIN","FQ2 2022","FQ2 2022","Currency=USD","Period=FQ","BEST_FPERIOD_OVERRIDE=FQ","FILING_STATUS=MR","FA_ADJUSTED=Adjusted","Sort=A","Dates=H","DateFormat=P","Fill=—","Direction=H","UseDPDF=Y")</f>
        <v>48.311100000000003</v>
      </c>
      <c r="P63" s="14">
        <f>_xll.BDH("GILD US Equity","EBITDA_MARGIN","FQ3 2022","FQ3 2022","Currency=USD","Period=FQ","BEST_FPERIOD_OVERRIDE=FQ","FILING_STATUS=MR","FA_ADJUSTED=Adjusted","Sort=A","Dates=H","DateFormat=P","Fill=—","Direction=H","UseDPDF=Y")</f>
        <v>48.503100000000003</v>
      </c>
      <c r="Q63" s="14">
        <f>_xll.BDH("GILD US Equity","EBITDA_MARGIN","FQ4 2022","FQ4 2022","Currency=USD","Period=FQ","BEST_FPERIOD_OVERRIDE=FQ","FILING_STATUS=MR","FA_ADJUSTED=Adjusted","Sort=A","Dates=H","DateFormat=P","Fill=—","Direction=H","UseDPDF=Y")</f>
        <v>51.1785</v>
      </c>
      <c r="R63" s="14">
        <f>_xll.BDH("GILD US Equity","EBITDA_MARGIN","FQ1 2023","FQ1 2023","Currency=USD","Period=FQ","BEST_FPERIOD_OVERRIDE=FQ","FILING_STATUS=MR","FA_ADJUSTED=Adjusted","Sort=A","Dates=H","DateFormat=P","Fill=—","Direction=H","UseDPDF=Y")</f>
        <v>49.199399999999997</v>
      </c>
      <c r="S63" s="14">
        <f>_xll.BDH("GILD US Equity","EBITDA_MARGIN","FQ2 2023","FQ2 2023","Currency=USD","Period=FQ","BEST_FPERIOD_OVERRIDE=FQ","FILING_STATUS=MR","FA_ADJUSTED=Adjusted","Sort=A","Dates=H","DateFormat=P","Fill=—","Direction=H","UseDPDF=Y")</f>
        <v>45.913400000000003</v>
      </c>
      <c r="T63" s="14">
        <f>_xll.BDH("GILD US Equity","EBITDA_MARGIN","FQ3 2023","FQ3 2023","Currency=USD","Period=FQ","BEST_FPERIOD_OVERRIDE=FQ","FILING_STATUS=MR","FA_ADJUSTED=Adjusted","Sort=A","Dates=H","DateFormat=P","Fill=—","Direction=H","UseDPDF=Y")</f>
        <v>43.5289</v>
      </c>
      <c r="U63" s="14">
        <f>_xll.BDH("GILD US Equity","EBITDA_MARGIN","FQ4 2023","FQ4 2023","Currency=USD","Period=FQ","BEST_FPERIOD_OVERRIDE=FQ","FILING_STATUS=MR","FA_ADJUSTED=Adjusted","Sort=A","Dates=H","DateFormat=P","Fill=—","Direction=H","UseDPDF=Y")</f>
        <v>44.842700000000001</v>
      </c>
      <c r="V63" s="14">
        <f>_xll.BDH("GILD US Equity","EBITDA_MARGIN","FQ1 2024","FQ1 2024","Currency=USD","Period=FQ","BEST_FPERIOD_OVERRIDE=FQ","FILING_STATUS=MR","FA_ADJUSTED=Adjusted","Sort=A","Dates=H","DateFormat=P","Fill=—","Direction=H","UseDPDF=Y")</f>
        <v>45.353499999999997</v>
      </c>
      <c r="W63" s="14">
        <f>_xll.BDH("GILD US Equity","EBITDA_MARGIN","FQ2 2024","FQ2 2024","Currency=USD","Period=FQ","BEST_FPERIOD_OVERRIDE=FQ","FILING_STATUS=MR","FA_ADJUSTED=Adjusted","Sort=A","Dates=H","DateFormat=P","Fill=—","Direction=H","UseDPDF=Y")</f>
        <v>49.329300000000003</v>
      </c>
      <c r="X63" s="14">
        <f>_xll.BDH("GILD US Equity","EBITDA_MARGIN","FQ3 2024","FQ3 2024","Currency=USD","Period=FQ","BEST_FPERIOD_OVERRIDE=FQ","FILING_STATUS=MR","FA_ADJUSTED=Adjusted","Sort=A","Dates=H","DateFormat=P","Fill=—","Direction=H","UseDPDF=Y")</f>
        <v>49.482300000000002</v>
      </c>
      <c r="Y63" s="14">
        <f>_xll.BDH("GILD US Equity","EBITDA_MARGIN","FQ4 2024","FQ4 2024","Currency=USD","Period=FQ","BEST_FPERIOD_OVERRIDE=FQ","FILING_STATUS=MR","FA_ADJUSTED=Adjusted","Sort=A","Dates=H","DateFormat=P","Fill=—","Direction=H","UseDPDF=Y")</f>
        <v>48.780999999999999</v>
      </c>
      <c r="Z63" s="14">
        <v>53.624304809222799</v>
      </c>
      <c r="AA63" s="14">
        <v>55.296696936306297</v>
      </c>
    </row>
    <row r="64" spans="1:27" x14ac:dyDescent="0.25">
      <c r="A64" s="10" t="s">
        <v>396</v>
      </c>
      <c r="B64" s="10" t="s">
        <v>396</v>
      </c>
      <c r="C64" s="13">
        <f>_xll.BDH("GILD US Equity","EBITA","FQ2 2019","FQ2 2019","Currency=USD","Period=FQ","BEST_FPERIOD_OVERRIDE=FQ","FILING_STATUS=MR","SCALING_FORMAT=MLN","FA_ADJUSTED=Adjusted","Sort=A","Dates=H","DateFormat=P","Fill=—","Direction=H","UseDPDF=Y")</f>
        <v>2920</v>
      </c>
      <c r="D64" s="13">
        <f>_xll.BDH("GILD US Equity","EBITA","FQ3 2019","FQ3 2019","Currency=USD","Period=FQ","BEST_FPERIOD_OVERRIDE=FQ","FILING_STATUS=MR","SCALING_FORMAT=MLN","FA_ADJUSTED=Adjusted","Sort=A","Dates=H","DateFormat=P","Fill=—","Direction=H","UseDPDF=Y")</f>
        <v>2821</v>
      </c>
      <c r="E64" s="13">
        <f>_xll.BDH("GILD US Equity","EBITA","FQ4 2019","FQ4 2019","Currency=USD","Period=FQ","BEST_FPERIOD_OVERRIDE=FQ","FILING_STATUS=MR","SCALING_FORMAT=MLN","FA_ADJUSTED=Adjusted","Sort=A","Dates=H","DateFormat=P","Fill=—","Direction=H","UseDPDF=Y")</f>
        <v>2214</v>
      </c>
      <c r="F64" s="13">
        <f>_xll.BDH("GILD US Equity","EBITA","FQ1 2020","FQ1 2020","Currency=USD","Period=FQ","BEST_FPERIOD_OVERRIDE=FQ","FILING_STATUS=MR","SCALING_FORMAT=MLN","FA_ADJUSTED=Adjusted","Sort=A","Dates=H","DateFormat=P","Fill=—","Direction=H","UseDPDF=Y")</f>
        <v>3046</v>
      </c>
      <c r="G64" s="13">
        <f>_xll.BDH("GILD US Equity","EBITA","FQ2 2020","FQ2 2020","Currency=USD","Period=FQ","BEST_FPERIOD_OVERRIDE=FQ","FILING_STATUS=MR","SCALING_FORMAT=MLN","FA_ADJUSTED=Adjusted","Sort=A","Dates=H","DateFormat=P","Fill=—","Direction=H","UseDPDF=Y")</f>
        <v>2010</v>
      </c>
      <c r="H64" s="13">
        <f>_xll.BDH("GILD US Equity","EBITA","FQ3 2020","FQ3 2020","Currency=USD","Period=FQ","BEST_FPERIOD_OVERRIDE=FQ","FILING_STATUS=MR","SCALING_FORMAT=MLN","FA_ADJUSTED=Adjusted","Sort=A","Dates=H","DateFormat=P","Fill=—","Direction=H","UseDPDF=Y")</f>
        <v>3468</v>
      </c>
      <c r="I64" s="13">
        <f>_xll.BDH("GILD US Equity","EBITA","FQ4 2020","FQ4 2020","Currency=USD","Period=FQ","BEST_FPERIOD_OVERRIDE=FQ","FILING_STATUS=MR","SCALING_FORMAT=MLN","FA_ADJUSTED=Adjusted","Sort=A","Dates=H","DateFormat=P","Fill=—","Direction=H","UseDPDF=Y")</f>
        <v>3423</v>
      </c>
      <c r="J64" s="13">
        <f>_xll.BDH("GILD US Equity","EBITA","FQ1 2021","FQ1 2021","Currency=USD","Period=FQ","BEST_FPERIOD_OVERRIDE=FQ","FILING_STATUS=MR","SCALING_FORMAT=MLN","FA_ADJUSTED=Adjusted","Sort=A","Dates=H","DateFormat=P","Fill=—","Direction=H","UseDPDF=Y")</f>
        <v>3881</v>
      </c>
      <c r="K64" s="13">
        <f>_xll.BDH("GILD US Equity","EBITA","FQ2 2021","FQ2 2021","Currency=USD","Period=FQ","BEST_FPERIOD_OVERRIDE=FQ","FILING_STATUS=MR","SCALING_FORMAT=MLN","FA_ADJUSTED=Adjusted","Sort=A","Dates=H","DateFormat=P","Fill=—","Direction=H","UseDPDF=Y")</f>
        <v>3062</v>
      </c>
      <c r="L64" s="13">
        <f>_xll.BDH("GILD US Equity","EBITA","FQ3 2021","FQ3 2021","Currency=USD","Period=FQ","BEST_FPERIOD_OVERRIDE=FQ","FILING_STATUS=MR","SCALING_FORMAT=MLN","FA_ADJUSTED=Adjusted","Sort=A","Dates=H","DateFormat=P","Fill=—","Direction=H","UseDPDF=Y")</f>
        <v>4285</v>
      </c>
      <c r="M64" s="13">
        <f>_xll.BDH("GILD US Equity","EBITA","FQ4 2021","FQ4 2021","Currency=USD","Period=FQ","BEST_FPERIOD_OVERRIDE=FQ","FILING_STATUS=MR","SCALING_FORMAT=MLN","FA_ADJUSTED=Adjusted","Sort=A","Dates=H","DateFormat=P","Fill=—","Direction=H","UseDPDF=Y")</f>
        <v>2066.7975000000001</v>
      </c>
      <c r="N64" s="13">
        <f>_xll.BDH("GILD US Equity","EBITA","FQ1 2022","FQ1 2022","Currency=USD","Period=FQ","BEST_FPERIOD_OVERRIDE=FQ","FILING_STATUS=MR","SCALING_FORMAT=MLN","FA_ADJUSTED=Adjusted","Sort=A","Dates=H","DateFormat=P","Fill=—","Direction=H","UseDPDF=Y")</f>
        <v>3412</v>
      </c>
      <c r="O64" s="13">
        <f>_xll.BDH("GILD US Equity","EBITA","FQ2 2022","FQ2 2022","Currency=USD","Period=FQ","BEST_FPERIOD_OVERRIDE=FQ","FILING_STATUS=MR","SCALING_FORMAT=MLN","FA_ADJUSTED=Adjusted","Sort=A","Dates=H","DateFormat=P","Fill=—","Direction=H","UseDPDF=Y")</f>
        <v>3197</v>
      </c>
      <c r="P64" s="13">
        <f>_xll.BDH("GILD US Equity","EBITA","FQ3 2022","FQ3 2022","Currency=USD","Period=FQ","BEST_FPERIOD_OVERRIDE=FQ","FILING_STATUS=MR","SCALING_FORMAT=MLN","FA_ADJUSTED=Adjusted","Sort=A","Dates=H","DateFormat=P","Fill=—","Direction=H","UseDPDF=Y")</f>
        <v>4156</v>
      </c>
      <c r="Q64" s="13">
        <f>_xll.BDH("GILD US Equity","EBITA","FQ4 2022","FQ4 2022","Currency=USD","Period=FQ","BEST_FPERIOD_OVERRIDE=FQ","FILING_STATUS=MR","SCALING_FORMAT=MLN","FA_ADJUSTED=Adjusted","Sort=A","Dates=H","DateFormat=P","Fill=—","Direction=H","UseDPDF=Y")</f>
        <v>2874</v>
      </c>
      <c r="R64" s="13">
        <f>_xll.BDH("GILD US Equity","EBITA","FQ1 2023","FQ1 2023","Currency=USD","Period=FQ","BEST_FPERIOD_OVERRIDE=FQ","FILING_STATUS=MR","SCALING_FORMAT=MLN","FA_ADJUSTED=Adjusted","Sort=A","Dates=H","DateFormat=P","Fill=—","Direction=H","UseDPDF=Y")</f>
        <v>2741</v>
      </c>
      <c r="S64" s="13">
        <f>_xll.BDH("GILD US Equity","EBITA","FQ2 2023","FQ2 2023","Currency=USD","Period=FQ","BEST_FPERIOD_OVERRIDE=FQ","FILING_STATUS=MR","SCALING_FORMAT=MLN","FA_ADJUSTED=Adjusted","Sort=A","Dates=H","DateFormat=P","Fill=—","Direction=H","UseDPDF=Y")</f>
        <v>2461</v>
      </c>
      <c r="T64" s="13">
        <f>_xll.BDH("GILD US Equity","EBITA","FQ3 2023","FQ3 2023","Currency=USD","Period=FQ","BEST_FPERIOD_OVERRIDE=FQ","FILING_STATUS=MR","SCALING_FORMAT=MLN","FA_ADJUSTED=Adjusted","Sort=A","Dates=H","DateFormat=P","Fill=—","Direction=H","UseDPDF=Y")</f>
        <v>3501</v>
      </c>
      <c r="U64" s="13">
        <f>_xll.BDH("GILD US Equity","EBITA","FQ4 2023","FQ4 2023","Currency=USD","Period=FQ","BEST_FPERIOD_OVERRIDE=FQ","FILING_STATUS=MR","SCALING_FORMAT=MLN","FA_ADJUSTED=Adjusted","Sort=A","Dates=H","DateFormat=P","Fill=—","Direction=H","UseDPDF=Y")</f>
        <v>3103</v>
      </c>
      <c r="V64" s="13">
        <f>_xll.BDH("GILD US Equity","EBITA","FQ1 2024","FQ1 2024","Currency=USD","Period=FQ","BEST_FPERIOD_OVERRIDE=FQ","FILING_STATUS=MR","SCALING_FORMAT=MLN","FA_ADJUSTED=Adjusted","Sort=A","Dates=H","DateFormat=P","Fill=—","Direction=H","UseDPDF=Y")</f>
        <v>3031</v>
      </c>
      <c r="W64" s="13">
        <f>_xll.BDH("GILD US Equity","EBITA","FQ2 2024","FQ2 2024","Currency=USD","Period=FQ","BEST_FPERIOD_OVERRIDE=FQ","FILING_STATUS=MR","SCALING_FORMAT=MLN","FA_ADJUSTED=Adjusted","Sort=A","Dates=H","DateFormat=P","Fill=—","Direction=H","UseDPDF=Y")</f>
        <v>3712</v>
      </c>
      <c r="X64" s="13">
        <f>_xll.BDH("GILD US Equity","EBITA","FQ3 2024","FQ3 2024","Currency=USD","Period=FQ","BEST_FPERIOD_OVERRIDE=FQ","FILING_STATUS=MR","SCALING_FORMAT=MLN","FA_ADJUSTED=Adjusted","Sort=A","Dates=H","DateFormat=P","Fill=—","Direction=H","UseDPDF=Y")</f>
        <v>3780</v>
      </c>
      <c r="Y64" s="13">
        <f>_xll.BDH("GILD US Equity","EBITA","FQ4 2024","FQ4 2024","Currency=USD","Period=FQ","BEST_FPERIOD_OVERRIDE=FQ","FILING_STATUS=MR","SCALING_FORMAT=MLN","FA_ADJUSTED=Adjusted","Sort=A","Dates=H","DateFormat=P","Fill=—","Direction=H","UseDPDF=Y")</f>
        <v>3122</v>
      </c>
      <c r="Z64" s="13"/>
      <c r="AA64" s="13"/>
    </row>
    <row r="65" spans="1:27" x14ac:dyDescent="0.25">
      <c r="A65" s="10" t="s">
        <v>141</v>
      </c>
      <c r="B65" s="10" t="s">
        <v>141</v>
      </c>
      <c r="C65" s="13">
        <f>_xll.BDH("GILD US Equity","EBIT","FQ2 2019","FQ2 2019","Currency=USD","Period=FQ","BEST_FPERIOD_OVERRIDE=FQ","FILING_STATUS=MR","SCALING_FORMAT=MLN","FA_ADJUSTED=Adjusted","Sort=A","Dates=H","DateFormat=P","Fill=—","Direction=H","UseDPDF=Y")</f>
        <v>2594</v>
      </c>
      <c r="D65" s="13">
        <f>_xll.BDH("GILD US Equity","EBIT","FQ3 2019","FQ3 2019","Currency=USD","Period=FQ","BEST_FPERIOD_OVERRIDE=FQ","FILING_STATUS=MR","SCALING_FORMAT=MLN","FA_ADJUSTED=Adjusted","Sort=A","Dates=H","DateFormat=P","Fill=—","Direction=H","UseDPDF=Y")</f>
        <v>2496</v>
      </c>
      <c r="E65" s="13">
        <f>_xll.BDH("GILD US Equity","EBIT","FQ4 2019","FQ4 2019","Currency=USD","Period=FQ","BEST_FPERIOD_OVERRIDE=FQ","FILING_STATUS=MR","SCALING_FORMAT=MLN","FA_ADJUSTED=Adjusted","Sort=A","Dates=H","DateFormat=P","Fill=—","Direction=H","UseDPDF=Y")</f>
        <v>1889</v>
      </c>
      <c r="F65" s="13">
        <f>_xll.BDH("GILD US Equity","EBIT","FQ1 2020","FQ1 2020","Currency=USD","Period=FQ","BEST_FPERIOD_OVERRIDE=FQ","FILING_STATUS=MR","SCALING_FORMAT=MLN","FA_ADJUSTED=Adjusted","Sort=A","Dates=H","DateFormat=P","Fill=—","Direction=H","UseDPDF=Y")</f>
        <v>2765</v>
      </c>
      <c r="G65" s="13">
        <f>_xll.BDH("GILD US Equity","EBIT","FQ2 2020","FQ2 2020","Currency=USD","Period=FQ","BEST_FPERIOD_OVERRIDE=FQ","FILING_STATUS=MR","SCALING_FORMAT=MLN","FA_ADJUSTED=Adjusted","Sort=A","Dates=H","DateFormat=P","Fill=—","Direction=H","UseDPDF=Y")</f>
        <v>1729</v>
      </c>
      <c r="H65" s="13">
        <f>_xll.BDH("GILD US Equity","EBIT","FQ3 2020","FQ3 2020","Currency=USD","Period=FQ","BEST_FPERIOD_OVERRIDE=FQ","FILING_STATUS=MR","SCALING_FORMAT=MLN","FA_ADJUSTED=Adjusted","Sort=A","Dates=H","DateFormat=P","Fill=—","Direction=H","UseDPDF=Y")</f>
        <v>3186</v>
      </c>
      <c r="I65" s="13">
        <f>_xll.BDH("GILD US Equity","EBIT","FQ4 2020","FQ4 2020","Currency=USD","Period=FQ","BEST_FPERIOD_OVERRIDE=FQ","FILING_STATUS=MR","SCALING_FORMAT=MLN","FA_ADJUSTED=Adjusted","Sort=A","Dates=H","DateFormat=P","Fill=—","Direction=H","UseDPDF=Y")</f>
        <v>3075</v>
      </c>
      <c r="J65" s="13">
        <f>_xll.BDH("GILD US Equity","EBIT","FQ1 2021","FQ1 2021","Currency=USD","Period=FQ","BEST_FPERIOD_OVERRIDE=FQ","FILING_STATUS=MR","SCALING_FORMAT=MLN","FA_ADJUSTED=Adjusted","Sort=A","Dates=H","DateFormat=P","Fill=—","Direction=H","UseDPDF=Y")</f>
        <v>3486</v>
      </c>
      <c r="K65" s="13">
        <f>_xll.BDH("GILD US Equity","EBIT","FQ2 2021","FQ2 2021","Currency=USD","Period=FQ","BEST_FPERIOD_OVERRIDE=FQ","FILING_STATUS=MR","SCALING_FORMAT=MLN","FA_ADJUSTED=Adjusted","Sort=A","Dates=H","DateFormat=P","Fill=—","Direction=H","UseDPDF=Y")</f>
        <v>2622</v>
      </c>
      <c r="L65" s="13">
        <f>_xll.BDH("GILD US Equity","EBIT","FQ3 2021","FQ3 2021","Currency=USD","Period=FQ","BEST_FPERIOD_OVERRIDE=FQ","FILING_STATUS=MR","SCALING_FORMAT=MLN","FA_ADJUSTED=Adjusted","Sort=A","Dates=H","DateFormat=P","Fill=—","Direction=H","UseDPDF=Y")</f>
        <v>3844</v>
      </c>
      <c r="M65" s="13">
        <f>_xll.BDH("GILD US Equity","EBIT","FQ4 2021","FQ4 2021","Currency=USD","Period=FQ","BEST_FPERIOD_OVERRIDE=FQ","FILING_STATUS=MR","SCALING_FORMAT=MLN","FA_ADJUSTED=Adjusted","Sort=A","Dates=H","DateFormat=P","Fill=—","Direction=H","UseDPDF=Y")</f>
        <v>1621.7974999999999</v>
      </c>
      <c r="N65" s="13">
        <f>_xll.BDH("GILD US Equity","EBIT","FQ1 2022","FQ1 2022","Currency=USD","Period=FQ","BEST_FPERIOD_OVERRIDE=FQ","FILING_STATUS=MR","SCALING_FORMAT=MLN","FA_ADJUSTED=Adjusted","Sort=A","Dates=H","DateFormat=P","Fill=—","Direction=H","UseDPDF=Y")</f>
        <v>2967</v>
      </c>
      <c r="O65" s="13">
        <f>_xll.BDH("GILD US Equity","EBIT","FQ2 2022","FQ2 2022","Currency=USD","Period=FQ","BEST_FPERIOD_OVERRIDE=FQ","FILING_STATUS=MR","SCALING_FORMAT=MLN","FA_ADJUSTED=Adjusted","Sort=A","Dates=H","DateFormat=P","Fill=—","Direction=H","UseDPDF=Y")</f>
        <v>2752</v>
      </c>
      <c r="P65" s="13">
        <f>_xll.BDH("GILD US Equity","EBIT","FQ3 2022","FQ3 2022","Currency=USD","Period=FQ","BEST_FPERIOD_OVERRIDE=FQ","FILING_STATUS=MR","SCALING_FORMAT=MLN","FA_ADJUSTED=Adjusted","Sort=A","Dates=H","DateFormat=P","Fill=—","Direction=H","UseDPDF=Y")</f>
        <v>3711</v>
      </c>
      <c r="Q65" s="13">
        <f>_xll.BDH("GILD US Equity","EBIT","FQ4 2022","FQ4 2022","Currency=USD","Period=FQ","BEST_FPERIOD_OVERRIDE=FQ","FILING_STATUS=MR","SCALING_FORMAT=MLN","FA_ADJUSTED=Adjusted","Sort=A","Dates=H","DateFormat=P","Fill=—","Direction=H","UseDPDF=Y")</f>
        <v>2429</v>
      </c>
      <c r="R65" s="13">
        <f>_xll.BDH("GILD US Equity","EBIT","FQ1 2023","FQ1 2023","Currency=USD","Period=FQ","BEST_FPERIOD_OVERRIDE=FQ","FILING_STATUS=MR","SCALING_FORMAT=MLN","FA_ADJUSTED=Adjusted","Sort=A","Dates=H","DateFormat=P","Fill=—","Direction=H","UseDPDF=Y")</f>
        <v>2195</v>
      </c>
      <c r="S65" s="13">
        <f>_xll.BDH("GILD US Equity","EBIT","FQ2 2023","FQ2 2023","Currency=USD","Period=FQ","BEST_FPERIOD_OVERRIDE=FQ","FILING_STATUS=MR","SCALING_FORMAT=MLN","FA_ADJUSTED=Adjusted","Sort=A","Dates=H","DateFormat=P","Fill=—","Direction=H","UseDPDF=Y")</f>
        <v>1863</v>
      </c>
      <c r="T65" s="13">
        <f>_xll.BDH("GILD US Equity","EBIT","FQ3 2023","FQ3 2023","Currency=USD","Period=FQ","BEST_FPERIOD_OVERRIDE=FQ","FILING_STATUS=MR","SCALING_FORMAT=MLN","FA_ADJUSTED=Adjusted","Sort=A","Dates=H","DateFormat=P","Fill=—","Direction=H","UseDPDF=Y")</f>
        <v>2903</v>
      </c>
      <c r="U65" s="13">
        <f>_xll.BDH("GILD US Equity","EBIT","FQ4 2023","FQ4 2023","Currency=USD","Period=FQ","BEST_FPERIOD_OVERRIDE=FQ","FILING_STATUS=MR","SCALING_FORMAT=MLN","FA_ADJUSTED=Adjusted","Sort=A","Dates=H","DateFormat=P","Fill=—","Direction=H","UseDPDF=Y")</f>
        <v>2506</v>
      </c>
      <c r="V65" s="13">
        <f>_xll.BDH("GILD US Equity","EBIT","FQ1 2024","FQ1 2024","Currency=USD","Period=FQ","BEST_FPERIOD_OVERRIDE=FQ","FILING_STATUS=MR","SCALING_FORMAT=MLN","FA_ADJUSTED=Adjusted","Sort=A","Dates=H","DateFormat=P","Fill=—","Direction=H","UseDPDF=Y")</f>
        <v>2435</v>
      </c>
      <c r="W65" s="13">
        <f>_xll.BDH("GILD US Equity","EBIT","FQ2 2024","FQ2 2024","Currency=USD","Period=FQ","BEST_FPERIOD_OVERRIDE=FQ","FILING_STATUS=MR","SCALING_FORMAT=MLN","FA_ADJUSTED=Adjusted","Sort=A","Dates=H","DateFormat=P","Fill=—","Direction=H","UseDPDF=Y")</f>
        <v>3116</v>
      </c>
      <c r="X65" s="13">
        <f>_xll.BDH("GILD US Equity","EBIT","FQ3 2024","FQ3 2024","Currency=USD","Period=FQ","BEST_FPERIOD_OVERRIDE=FQ","FILING_STATUS=MR","SCALING_FORMAT=MLN","FA_ADJUSTED=Adjusted","Sort=A","Dates=H","DateFormat=P","Fill=—","Direction=H","UseDPDF=Y")</f>
        <v>3184</v>
      </c>
      <c r="Y65" s="13">
        <f>_xll.BDH("GILD US Equity","EBIT","FQ4 2024","FQ4 2024","Currency=USD","Period=FQ","BEST_FPERIOD_OVERRIDE=FQ","FILING_STATUS=MR","SCALING_FORMAT=MLN","FA_ADJUSTED=Adjusted","Sort=A","Dates=H","DateFormat=P","Fill=—","Direction=H","UseDPDF=Y")</f>
        <v>2524</v>
      </c>
      <c r="Z65" s="13">
        <v>2821.3530000000001</v>
      </c>
      <c r="AA65" s="13">
        <v>3173.3130000000001</v>
      </c>
    </row>
    <row r="66" spans="1:27" x14ac:dyDescent="0.25">
      <c r="A66" s="10" t="s">
        <v>397</v>
      </c>
      <c r="B66" s="10" t="s">
        <v>153</v>
      </c>
      <c r="C66" s="14">
        <f>_xll.BDH("GILD US Equity","GROSS_MARGIN","FQ2 2019","FQ2 2019","Currency=USD","Period=FQ","BEST_FPERIOD_OVERRIDE=FQ","FILING_STATUS=MR","FA_ADJUSTED=Adjusted","Sort=A","Dates=H","DateFormat=P","Fill=—","Direction=H","UseDPDF=Y")</f>
        <v>82.409899999999993</v>
      </c>
      <c r="D66" s="14">
        <f>_xll.BDH("GILD US Equity","GROSS_MARGIN","FQ3 2019","FQ3 2019","Currency=USD","Period=FQ","BEST_FPERIOD_OVERRIDE=FQ","FILING_STATUS=MR","FA_ADJUSTED=Adjusted","Sort=A","Dates=H","DateFormat=P","Fill=—","Direction=H","UseDPDF=Y")</f>
        <v>81.531000000000006</v>
      </c>
      <c r="E66" s="14">
        <f>_xll.BDH("GILD US Equity","GROSS_MARGIN","FQ4 2019","FQ4 2019","Currency=USD","Period=FQ","BEST_FPERIOD_OVERRIDE=FQ","FILING_STATUS=MR","FA_ADJUSTED=Adjusted","Sort=A","Dates=H","DateFormat=P","Fill=—","Direction=H","UseDPDF=Y")</f>
        <v>71.372699999999995</v>
      </c>
      <c r="F66" s="14">
        <f>_xll.BDH("GILD US Equity","GROSS_MARGIN","FQ1 2020","FQ1 2020","Currency=USD","Period=FQ","BEST_FPERIOD_OVERRIDE=FQ","FILING_STATUS=MR","FA_ADJUSTED=Adjusted","Sort=A","Dates=H","DateFormat=P","Fill=—","Direction=H","UseDPDF=Y")</f>
        <v>82.534199999999998</v>
      </c>
      <c r="G66" s="14">
        <f>_xll.BDH("GILD US Equity","GROSS_MARGIN","FQ2 2020","FQ2 2020","Currency=USD","Period=FQ","BEST_FPERIOD_OVERRIDE=FQ","FILING_STATUS=MR","FA_ADJUSTED=Adjusted","Sort=A","Dates=H","DateFormat=P","Fill=—","Direction=H","UseDPDF=Y")</f>
        <v>79.311700000000002</v>
      </c>
      <c r="H66" s="14">
        <f>_xll.BDH("GILD US Equity","GROSS_MARGIN","FQ3 2020","FQ3 2020","Currency=USD","Period=FQ","BEST_FPERIOD_OVERRIDE=FQ","FILING_STATUS=MR","FA_ADJUSTED=Adjusted","Sort=A","Dates=H","DateFormat=P","Fill=—","Direction=H","UseDPDF=Y")</f>
        <v>82.651700000000005</v>
      </c>
      <c r="I66" s="14">
        <f>_xll.BDH("GILD US Equity","GROSS_MARGIN","FQ4 2020","FQ4 2020","Currency=USD","Period=FQ","BEST_FPERIOD_OVERRIDE=FQ","FILING_STATUS=MR","FA_ADJUSTED=Adjusted","Sort=A","Dates=H","DateFormat=P","Fill=—","Direction=H","UseDPDF=Y")</f>
        <v>81.161600000000007</v>
      </c>
      <c r="J66" s="14">
        <f>_xll.BDH("GILD US Equity","GROSS_MARGIN","FQ1 2021","FQ1 2021","Currency=USD","Period=FQ","BEST_FPERIOD_OVERRIDE=FQ","FILING_STATUS=MR","FA_ADJUSTED=Adjusted","Sort=A","Dates=H","DateFormat=P","Fill=—","Direction=H","UseDPDF=Y")</f>
        <v>78.810500000000005</v>
      </c>
      <c r="K66" s="14">
        <f>_xll.BDH("GILD US Equity","GROSS_MARGIN","FQ2 2021","FQ2 2021","Currency=USD","Period=FQ","BEST_FPERIOD_OVERRIDE=FQ","FILING_STATUS=MR","FA_ADJUSTED=Adjusted","Sort=A","Dates=H","DateFormat=P","Fill=—","Direction=H","UseDPDF=Y")</f>
        <v>77.641900000000007</v>
      </c>
      <c r="L66" s="14">
        <f>_xll.BDH("GILD US Equity","GROSS_MARGIN","FQ3 2021","FQ3 2021","Currency=USD","Period=FQ","BEST_FPERIOD_OVERRIDE=FQ","FILING_STATUS=MR","FA_ADJUSTED=Adjusted","Sort=A","Dates=H","DateFormat=P","Fill=—","Direction=H","UseDPDF=Y")</f>
        <v>83.5197</v>
      </c>
      <c r="M66" s="14">
        <f>_xll.BDH("GILD US Equity","GROSS_MARGIN","FQ4 2021","FQ4 2021","Currency=USD","Period=FQ","BEST_FPERIOD_OVERRIDE=FQ","FILING_STATUS=MR","FA_ADJUSTED=Adjusted","Sort=A","Dates=H","DateFormat=P","Fill=—","Direction=H","UseDPDF=Y")</f>
        <v>63.735500000000002</v>
      </c>
      <c r="N66" s="14">
        <f>_xll.BDH("GILD US Equity","GROSS_MARGIN","FQ1 2022","FQ1 2022","Currency=USD","Period=FQ","BEST_FPERIOD_OVERRIDE=FQ","FILING_STATUS=MR","FA_ADJUSTED=Adjusted","Sort=A","Dates=H","DateFormat=P","Fill=—","Direction=H","UseDPDF=Y")</f>
        <v>78.391499999999994</v>
      </c>
      <c r="O66" s="14">
        <f>_xll.BDH("GILD US Equity","GROSS_MARGIN","FQ2 2022","FQ2 2022","Currency=USD","Period=FQ","BEST_FPERIOD_OVERRIDE=FQ","FILING_STATUS=MR","FA_ADJUSTED=Adjusted","Sort=A","Dates=H","DateFormat=P","Fill=—","Direction=H","UseDPDF=Y")</f>
        <v>76.9649</v>
      </c>
      <c r="P66" s="14">
        <f>_xll.BDH("GILD US Equity","GROSS_MARGIN","FQ3 2022","FQ3 2022","Currency=USD","Period=FQ","BEST_FPERIOD_OVERRIDE=FQ","FILING_STATUS=MR","FA_ADJUSTED=Adjusted","Sort=A","Dates=H","DateFormat=P","Fill=—","Direction=H","UseDPDF=Y")</f>
        <v>80.190299999999993</v>
      </c>
      <c r="Q66" s="14">
        <f>_xll.BDH("GILD US Equity","GROSS_MARGIN","FQ4 2022","FQ4 2022","Currency=USD","Period=FQ","BEST_FPERIOD_OVERRIDE=FQ","FILING_STATUS=MR","FA_ADJUSTED=Adjusted","Sort=A","Dates=H","DateFormat=P","Fill=—","Direction=H","UseDPDF=Y")</f>
        <v>81.107100000000003</v>
      </c>
      <c r="R66" s="14">
        <f>_xll.BDH("GILD US Equity","GROSS_MARGIN","FQ1 2023","FQ1 2023","Currency=USD","Period=FQ","BEST_FPERIOD_OVERRIDE=FQ","FILING_STATUS=MR","FA_ADJUSTED=Adjusted","Sort=A","Dates=H","DateFormat=P","Fill=—","Direction=H","UseDPDF=Y")</f>
        <v>77.944000000000003</v>
      </c>
      <c r="S66" s="14">
        <f>_xll.BDH("GILD US Equity","GROSS_MARGIN","FQ2 2023","FQ2 2023","Currency=USD","Period=FQ","BEST_FPERIOD_OVERRIDE=FQ","FILING_STATUS=MR","FA_ADJUSTED=Adjusted","Sort=A","Dates=H","DateFormat=P","Fill=—","Direction=H","UseDPDF=Y")</f>
        <v>78.148200000000003</v>
      </c>
      <c r="T66" s="14">
        <f>_xll.BDH("GILD US Equity","GROSS_MARGIN","FQ3 2023","FQ3 2023","Currency=USD","Period=FQ","BEST_FPERIOD_OVERRIDE=FQ","FILING_STATUS=MR","FA_ADJUSTED=Adjusted","Sort=A","Dates=H","DateFormat=P","Fill=—","Direction=H","UseDPDF=Y")</f>
        <v>77.804599999999994</v>
      </c>
      <c r="U66" s="14">
        <f>_xll.BDH("GILD US Equity","GROSS_MARGIN","FQ4 2023","FQ4 2023","Currency=USD","Period=FQ","BEST_FPERIOD_OVERRIDE=FQ","FILING_STATUS=MR","FA_ADJUSTED=Adjusted","Sort=A","Dates=H","DateFormat=P","Fill=—","Direction=H","UseDPDF=Y")</f>
        <v>76.640900000000002</v>
      </c>
      <c r="V66" s="14">
        <f>_xll.BDH("GILD US Equity","GROSS_MARGIN","FQ1 2024","FQ1 2024","Currency=USD","Period=FQ","BEST_FPERIOD_OVERRIDE=FQ","FILING_STATUS=MR","FA_ADJUSTED=Adjusted","Sort=A","Dates=H","DateFormat=P","Fill=—","Direction=H","UseDPDF=Y")</f>
        <v>76.787300000000002</v>
      </c>
      <c r="W66" s="14">
        <f>_xll.BDH("GILD US Equity","GROSS_MARGIN","FQ2 2024","FQ2 2024","Currency=USD","Period=FQ","BEST_FPERIOD_OVERRIDE=FQ","FILING_STATUS=MR","FA_ADJUSTED=Adjusted","Sort=A","Dates=H","DateFormat=P","Fill=—","Direction=H","UseDPDF=Y")</f>
        <v>77.793800000000005</v>
      </c>
      <c r="X66" s="14">
        <f>_xll.BDH("GILD US Equity","GROSS_MARGIN","FQ3 2024","FQ3 2024","Currency=USD","Period=FQ","BEST_FPERIOD_OVERRIDE=FQ","FILING_STATUS=MR","FA_ADJUSTED=Adjusted","Sort=A","Dates=H","DateFormat=P","Fill=—","Direction=H","UseDPDF=Y")</f>
        <v>79.138499999999993</v>
      </c>
      <c r="Y66" s="14">
        <f>_xll.BDH("GILD US Equity","GROSS_MARGIN","FQ4 2024","FQ4 2024","Currency=USD","Period=FQ","BEST_FPERIOD_OVERRIDE=FQ","FILING_STATUS=MR","FA_ADJUSTED=Adjusted","Sort=A","Dates=H","DateFormat=P","Fill=—","Direction=H","UseDPDF=Y")</f>
        <v>79.112200000000001</v>
      </c>
      <c r="Z66" s="14">
        <v>85.647999999999996</v>
      </c>
      <c r="AA66" s="14">
        <v>85.683000000000007</v>
      </c>
    </row>
    <row r="67" spans="1:27" x14ac:dyDescent="0.25">
      <c r="A67" s="10" t="s">
        <v>398</v>
      </c>
      <c r="B67" s="10" t="s">
        <v>399</v>
      </c>
      <c r="C67" s="14">
        <f>_xll.BDH("GILD US Equity","OPER_MARGIN","FQ2 2019","FQ2 2019","Currency=USD","Period=FQ","BEST_FPERIOD_OVERRIDE=FQ","FILING_STATUS=MR","FA_ADJUSTED=Adjusted","Sort=A","Dates=H","DateFormat=P","Fill=—","Direction=H","UseDPDF=Y")</f>
        <v>45.628799999999998</v>
      </c>
      <c r="D67" s="14">
        <f>_xll.BDH("GILD US Equity","OPER_MARGIN","FQ3 2019","FQ3 2019","Currency=USD","Period=FQ","BEST_FPERIOD_OVERRIDE=FQ","FILING_STATUS=MR","FA_ADJUSTED=Adjusted","Sort=A","Dates=H","DateFormat=P","Fill=—","Direction=H","UseDPDF=Y")</f>
        <v>44.5396</v>
      </c>
      <c r="E67" s="14">
        <f>_xll.BDH("GILD US Equity","OPER_MARGIN","FQ4 2019","FQ4 2019","Currency=USD","Period=FQ","BEST_FPERIOD_OVERRIDE=FQ","FILING_STATUS=MR","FA_ADJUSTED=Adjusted","Sort=A","Dates=H","DateFormat=P","Fill=—","Direction=H","UseDPDF=Y")</f>
        <v>32.131300000000003</v>
      </c>
      <c r="F67" s="14">
        <f>_xll.BDH("GILD US Equity","OPER_MARGIN","FQ1 2020","FQ1 2020","Currency=USD","Period=FQ","BEST_FPERIOD_OVERRIDE=FQ","FILING_STATUS=MR","FA_ADJUSTED=Adjusted","Sort=A","Dates=H","DateFormat=P","Fill=—","Direction=H","UseDPDF=Y")</f>
        <v>49.837800000000001</v>
      </c>
      <c r="G67" s="14">
        <f>_xll.BDH("GILD US Equity","OPER_MARGIN","FQ2 2020","FQ2 2020","Currency=USD","Period=FQ","BEST_FPERIOD_OVERRIDE=FQ","FILING_STATUS=MR","FA_ADJUSTED=Adjusted","Sort=A","Dates=H","DateFormat=P","Fill=—","Direction=H","UseDPDF=Y")</f>
        <v>33.618499999999997</v>
      </c>
      <c r="H67" s="14">
        <f>_xll.BDH("GILD US Equity","OPER_MARGIN","FQ3 2020","FQ3 2020","Currency=USD","Period=FQ","BEST_FPERIOD_OVERRIDE=FQ","FILING_STATUS=MR","FA_ADJUSTED=Adjusted","Sort=A","Dates=H","DateFormat=P","Fill=—","Direction=H","UseDPDF=Y")</f>
        <v>48.441499999999998</v>
      </c>
      <c r="I67" s="14">
        <f>_xll.BDH("GILD US Equity","OPER_MARGIN","FQ4 2020","FQ4 2020","Currency=USD","Period=FQ","BEST_FPERIOD_OVERRIDE=FQ","FILING_STATUS=MR","FA_ADJUSTED=Adjusted","Sort=A","Dates=H","DateFormat=P","Fill=—","Direction=H","UseDPDF=Y")</f>
        <v>41.436500000000002</v>
      </c>
      <c r="J67" s="14">
        <f>_xll.BDH("GILD US Equity","OPER_MARGIN","FQ1 2021","FQ1 2021","Currency=USD","Period=FQ","BEST_FPERIOD_OVERRIDE=FQ","FILING_STATUS=MR","FA_ADJUSTED=Adjusted","Sort=A","Dates=H","DateFormat=P","Fill=—","Direction=H","UseDPDF=Y")</f>
        <v>54.273699999999998</v>
      </c>
      <c r="K67" s="14">
        <f>_xll.BDH("GILD US Equity","OPER_MARGIN","FQ2 2021","FQ2 2021","Currency=USD","Period=FQ","BEST_FPERIOD_OVERRIDE=FQ","FILING_STATUS=MR","FA_ADJUSTED=Adjusted","Sort=A","Dates=H","DateFormat=P","Fill=—","Direction=H","UseDPDF=Y")</f>
        <v>42.174700000000001</v>
      </c>
      <c r="L67" s="14">
        <f>_xll.BDH("GILD US Equity","OPER_MARGIN","FQ3 2021","FQ3 2021","Currency=USD","Period=FQ","BEST_FPERIOD_OVERRIDE=FQ","FILING_STATUS=MR","FA_ADJUSTED=Adjusted","Sort=A","Dates=H","DateFormat=P","Fill=—","Direction=H","UseDPDF=Y")</f>
        <v>51.798900000000003</v>
      </c>
      <c r="M67" s="14">
        <f>_xll.BDH("GILD US Equity","OPER_MARGIN","FQ4 2021","FQ4 2021","Currency=USD","Period=FQ","BEST_FPERIOD_OVERRIDE=FQ","FILING_STATUS=MR","FA_ADJUSTED=Adjusted","Sort=A","Dates=H","DateFormat=P","Fill=—","Direction=H","UseDPDF=Y")</f>
        <v>22.388100000000001</v>
      </c>
      <c r="N67" s="14">
        <f>_xll.BDH("GILD US Equity","OPER_MARGIN","FQ1 2022","FQ1 2022","Currency=USD","Period=FQ","BEST_FPERIOD_OVERRIDE=FQ","FILING_STATUS=MR","FA_ADJUSTED=Adjusted","Sort=A","Dates=H","DateFormat=P","Fill=—","Direction=H","UseDPDF=Y")</f>
        <v>45.022799999999997</v>
      </c>
      <c r="O67" s="14">
        <f>_xll.BDH("GILD US Equity","OPER_MARGIN","FQ2 2022","FQ2 2022","Currency=USD","Period=FQ","BEST_FPERIOD_OVERRIDE=FQ","FILING_STATUS=MR","FA_ADJUSTED=Adjusted","Sort=A","Dates=H","DateFormat=P","Fill=—","Direction=H","UseDPDF=Y")</f>
        <v>43.9617</v>
      </c>
      <c r="P67" s="14">
        <f>_xll.BDH("GILD US Equity","OPER_MARGIN","FQ3 2022","FQ3 2022","Currency=USD","Period=FQ","BEST_FPERIOD_OVERRIDE=FQ","FILING_STATUS=MR","FA_ADJUSTED=Adjusted","Sort=A","Dates=H","DateFormat=P","Fill=—","Direction=H","UseDPDF=Y")</f>
        <v>52.698099999999997</v>
      </c>
      <c r="Q67" s="14">
        <f>_xll.BDH("GILD US Equity","OPER_MARGIN","FQ4 2022","FQ4 2022","Currency=USD","Period=FQ","BEST_FPERIOD_OVERRIDE=FQ","FILING_STATUS=MR","FA_ADJUSTED=Adjusted","Sort=A","Dates=H","DateFormat=P","Fill=—","Direction=H","UseDPDF=Y")</f>
        <v>32.873199999999997</v>
      </c>
      <c r="R67" s="14">
        <f>_xll.BDH("GILD US Equity","OPER_MARGIN","FQ1 2023","FQ1 2023","Currency=USD","Period=FQ","BEST_FPERIOD_OVERRIDE=FQ","FILING_STATUS=MR","FA_ADJUSTED=Adjusted","Sort=A","Dates=H","DateFormat=P","Fill=—","Direction=H","UseDPDF=Y")</f>
        <v>34.555999999999997</v>
      </c>
      <c r="S67" s="14">
        <f>_xll.BDH("GILD US Equity","OPER_MARGIN","FQ2 2023","FQ2 2023","Currency=USD","Period=FQ","BEST_FPERIOD_OVERRIDE=FQ","FILING_STATUS=MR","FA_ADJUSTED=Adjusted","Sort=A","Dates=H","DateFormat=P","Fill=—","Direction=H","UseDPDF=Y")</f>
        <v>28.2316</v>
      </c>
      <c r="T67" s="14">
        <f>_xll.BDH("GILD US Equity","OPER_MARGIN","FQ3 2023","FQ3 2023","Currency=USD","Period=FQ","BEST_FPERIOD_OVERRIDE=FQ","FILING_STATUS=MR","FA_ADJUSTED=Adjusted","Sort=A","Dates=H","DateFormat=P","Fill=—","Direction=H","UseDPDF=Y")</f>
        <v>41.171500000000002</v>
      </c>
      <c r="U67" s="14">
        <f>_xll.BDH("GILD US Equity","OPER_MARGIN","FQ4 2023","FQ4 2023","Currency=USD","Period=FQ","BEST_FPERIOD_OVERRIDE=FQ","FILING_STATUS=MR","FA_ADJUSTED=Adjusted","Sort=A","Dates=H","DateFormat=P","Fill=—","Direction=H","UseDPDF=Y")</f>
        <v>35.221400000000003</v>
      </c>
      <c r="V67" s="14">
        <f>_xll.BDH("GILD US Equity","OPER_MARGIN","FQ1 2024","FQ1 2024","Currency=USD","Period=FQ","BEST_FPERIOD_OVERRIDE=FQ","FILING_STATUS=MR","FA_ADJUSTED=Adjusted","Sort=A","Dates=H","DateFormat=P","Fill=—","Direction=H","UseDPDF=Y")</f>
        <v>36.419400000000003</v>
      </c>
      <c r="W67" s="14">
        <f>_xll.BDH("GILD US Equity","OPER_MARGIN","FQ2 2024","FQ2 2024","Currency=USD","Period=FQ","BEST_FPERIOD_OVERRIDE=FQ","FILING_STATUS=MR","FA_ADJUSTED=Adjusted","Sort=A","Dates=H","DateFormat=P","Fill=—","Direction=H","UseDPDF=Y")</f>
        <v>44.815199999999997</v>
      </c>
      <c r="X67" s="14">
        <f>_xll.BDH("GILD US Equity","OPER_MARGIN","FQ3 2024","FQ3 2024","Currency=USD","Period=FQ","BEST_FPERIOD_OVERRIDE=FQ","FILING_STATUS=MR","FA_ADJUSTED=Adjusted","Sort=A","Dates=H","DateFormat=P","Fill=—","Direction=H","UseDPDF=Y")</f>
        <v>42.200099999999999</v>
      </c>
      <c r="Y67" s="14">
        <f>_xll.BDH("GILD US Equity","OPER_MARGIN","FQ4 2024","FQ4 2024","Currency=USD","Period=FQ","BEST_FPERIOD_OVERRIDE=FQ","FILING_STATUS=MR","FA_ADJUSTED=Adjusted","Sort=A","Dates=H","DateFormat=P","Fill=—","Direction=H","UseDPDF=Y")</f>
        <v>33.346499999999999</v>
      </c>
      <c r="Z67" s="14">
        <v>41.709361301275699</v>
      </c>
      <c r="AA67" s="14">
        <v>45.674400274969301</v>
      </c>
    </row>
    <row r="68" spans="1:27" x14ac:dyDescent="0.25">
      <c r="A68" s="10" t="s">
        <v>400</v>
      </c>
      <c r="B68" s="10" t="s">
        <v>401</v>
      </c>
      <c r="C68" s="14">
        <f>_xll.BDH("GILD US Equity","PROF_MARGIN","FQ2 2019","FQ2 2019","Currency=USD","Period=FQ","BEST_FPERIOD_OVERRIDE=FQ","FILING_STATUS=MR","FA_ADJUSTED=Adjusted","Sort=A","Dates=H","DateFormat=P","Fill=—","Direction=H","UseDPDF=Y")</f>
        <v>34.195300000000003</v>
      </c>
      <c r="D68" s="14">
        <f>_xll.BDH("GILD US Equity","PROF_MARGIN","FQ3 2019","FQ3 2019","Currency=USD","Period=FQ","BEST_FPERIOD_OVERRIDE=FQ","FILING_STATUS=MR","FA_ADJUSTED=Adjusted","Sort=A","Dates=H","DateFormat=P","Fill=—","Direction=H","UseDPDF=Y")</f>
        <v>32.905099999999997</v>
      </c>
      <c r="E68" s="14">
        <f>_xll.BDH("GILD US Equity","PROF_MARGIN","FQ4 2019","FQ4 2019","Currency=USD","Period=FQ","BEST_FPERIOD_OVERRIDE=FQ","FILING_STATUS=MR","FA_ADJUSTED=Adjusted","Sort=A","Dates=H","DateFormat=P","Fill=—","Direction=H","UseDPDF=Y")</f>
        <v>19.612200000000001</v>
      </c>
      <c r="F68" s="14">
        <f>_xll.BDH("GILD US Equity","PROF_MARGIN","FQ1 2020","FQ1 2020","Currency=USD","Period=FQ","BEST_FPERIOD_OVERRIDE=FQ","FILING_STATUS=MR","FA_ADJUSTED=Adjusted","Sort=A","Dates=H","DateFormat=P","Fill=—","Direction=H","UseDPDF=Y")</f>
        <v>38.554400000000001</v>
      </c>
      <c r="G68" s="14">
        <f>_xll.BDH("GILD US Equity","PROF_MARGIN","FQ2 2020","FQ2 2020","Currency=USD","Period=FQ","BEST_FPERIOD_OVERRIDE=FQ","FILING_STATUS=MR","FA_ADJUSTED=Adjusted","Sort=A","Dates=H","DateFormat=P","Fill=—","Direction=H","UseDPDF=Y")</f>
        <v>22.866</v>
      </c>
      <c r="H68" s="14">
        <f>_xll.BDH("GILD US Equity","PROF_MARGIN","FQ3 2020","FQ3 2020","Currency=USD","Period=FQ","BEST_FPERIOD_OVERRIDE=FQ","FILING_STATUS=MR","FA_ADJUSTED=Adjusted","Sort=A","Dates=H","DateFormat=P","Fill=—","Direction=H","UseDPDF=Y")</f>
        <v>36.965299999999999</v>
      </c>
      <c r="I68" s="14">
        <f>_xll.BDH("GILD US Equity","PROF_MARGIN","FQ4 2020","FQ4 2020","Currency=USD","Period=FQ","BEST_FPERIOD_OVERRIDE=FQ","FILING_STATUS=MR","FA_ADJUSTED=Adjusted","Sort=A","Dates=H","DateFormat=P","Fill=—","Direction=H","UseDPDF=Y")</f>
        <v>32.785299999999999</v>
      </c>
      <c r="J68" s="14">
        <f>_xll.BDH("GILD US Equity","PROF_MARGIN","FQ1 2021","FQ1 2021","Currency=USD","Period=FQ","BEST_FPERIOD_OVERRIDE=FQ","FILING_STATUS=MR","FA_ADJUSTED=Adjusted","Sort=A","Dates=H","DateFormat=P","Fill=—","Direction=H","UseDPDF=Y")</f>
        <v>40.915500000000002</v>
      </c>
      <c r="K68" s="14">
        <f>_xll.BDH("GILD US Equity","PROF_MARGIN","FQ2 2021","FQ2 2021","Currency=USD","Period=FQ","BEST_FPERIOD_OVERRIDE=FQ","FILING_STATUS=MR","FA_ADJUSTED=Adjusted","Sort=A","Dates=H","DateFormat=P","Fill=—","Direction=H","UseDPDF=Y")</f>
        <v>30.673999999999999</v>
      </c>
      <c r="L68" s="14">
        <f>_xll.BDH("GILD US Equity","PROF_MARGIN","FQ3 2021","FQ3 2021","Currency=USD","Period=FQ","BEST_FPERIOD_OVERRIDE=FQ","FILING_STATUS=MR","FA_ADJUSTED=Adjusted","Sort=A","Dates=H","DateFormat=P","Fill=—","Direction=H","UseDPDF=Y")</f>
        <v>39.240099999999998</v>
      </c>
      <c r="M68" s="14">
        <f>_xll.BDH("GILD US Equity","PROF_MARGIN","FQ4 2021","FQ4 2021","Currency=USD","Period=FQ","BEST_FPERIOD_OVERRIDE=FQ","FILING_STATUS=MR","FA_ADJUSTED=Adjusted","Sort=A","Dates=H","DateFormat=P","Fill=—","Direction=H","UseDPDF=Y")</f>
        <v>13.150499999999999</v>
      </c>
      <c r="N68" s="14">
        <f>_xll.BDH("GILD US Equity","PROF_MARGIN","FQ1 2022","FQ1 2022","Currency=USD","Period=FQ","BEST_FPERIOD_OVERRIDE=FQ","FILING_STATUS=MR","FA_ADJUSTED=Adjusted","Sort=A","Dates=H","DateFormat=P","Fill=—","Direction=H","UseDPDF=Y")</f>
        <v>32.913499999999999</v>
      </c>
      <c r="O68" s="14">
        <f>_xll.BDH("GILD US Equity","PROF_MARGIN","FQ2 2022","FQ2 2022","Currency=USD","Period=FQ","BEST_FPERIOD_OVERRIDE=FQ","FILING_STATUS=MR","FA_ADJUSTED=Adjusted","Sort=A","Dates=H","DateFormat=P","Fill=—","Direction=H","UseDPDF=Y")</f>
        <v>28.7971</v>
      </c>
      <c r="P68" s="14">
        <f>_xll.BDH("GILD US Equity","PROF_MARGIN","FQ3 2022","FQ3 2022","Currency=USD","Period=FQ","BEST_FPERIOD_OVERRIDE=FQ","FILING_STATUS=MR","FA_ADJUSTED=Adjusted","Sort=A","Dates=H","DateFormat=P","Fill=—","Direction=H","UseDPDF=Y")</f>
        <v>38.968000000000004</v>
      </c>
      <c r="Q68" s="14">
        <f>_xll.BDH("GILD US Equity","PROF_MARGIN","FQ4 2022","FQ4 2022","Currency=USD","Period=FQ","BEST_FPERIOD_OVERRIDE=FQ","FILING_STATUS=MR","FA_ADJUSTED=Adjusted","Sort=A","Dates=H","DateFormat=P","Fill=—","Direction=H","UseDPDF=Y")</f>
        <v>25.508500000000002</v>
      </c>
      <c r="R68" s="14">
        <f>_xll.BDH("GILD US Equity","PROF_MARGIN","FQ1 2023","FQ1 2023","Currency=USD","Period=FQ","BEST_FPERIOD_OVERRIDE=FQ","FILING_STATUS=MR","FA_ADJUSTED=Adjusted","Sort=A","Dates=H","DateFormat=P","Fill=—","Direction=H","UseDPDF=Y")</f>
        <v>26.479700000000001</v>
      </c>
      <c r="S68" s="14">
        <f>_xll.BDH("GILD US Equity","PROF_MARGIN","FQ2 2023","FQ2 2023","Currency=USD","Period=FQ","BEST_FPERIOD_OVERRIDE=FQ","FILING_STATUS=MR","FA_ADJUSTED=Adjusted","Sort=A","Dates=H","DateFormat=P","Fill=—","Direction=H","UseDPDF=Y")</f>
        <v>22.0762</v>
      </c>
      <c r="T68" s="14">
        <f>_xll.BDH("GILD US Equity","PROF_MARGIN","FQ3 2023","FQ3 2023","Currency=USD","Period=FQ","BEST_FPERIOD_OVERRIDE=FQ","FILING_STATUS=MR","FA_ADJUSTED=Adjusted","Sort=A","Dates=H","DateFormat=P","Fill=—","Direction=H","UseDPDF=Y")</f>
        <v>35.326799999999999</v>
      </c>
      <c r="U68" s="14">
        <f>_xll.BDH("GILD US Equity","PROF_MARGIN","FQ4 2023","FQ4 2023","Currency=USD","Period=FQ","BEST_FPERIOD_OVERRIDE=FQ","FILING_STATUS=MR","FA_ADJUSTED=Adjusted","Sort=A","Dates=H","DateFormat=P","Fill=—","Direction=H","UseDPDF=Y")</f>
        <v>27.745999999999999</v>
      </c>
      <c r="V68" s="14">
        <f>_xll.BDH("GILD US Equity","PROF_MARGIN","FQ1 2024","FQ1 2024","Currency=USD","Period=FQ","BEST_FPERIOD_OVERRIDE=FQ","FILING_STATUS=MR","FA_ADJUSTED=Adjusted","Sort=A","Dates=H","DateFormat=P","Fill=—","Direction=H","UseDPDF=Y")</f>
        <v>17.372</v>
      </c>
      <c r="W68" s="14">
        <f>_xll.BDH("GILD US Equity","PROF_MARGIN","FQ2 2024","FQ2 2024","Currency=USD","Period=FQ","BEST_FPERIOD_OVERRIDE=FQ","FILING_STATUS=MR","FA_ADJUSTED=Adjusted","Sort=A","Dates=H","DateFormat=P","Fill=—","Direction=H","UseDPDF=Y")</f>
        <v>30.073599999999999</v>
      </c>
      <c r="X68" s="14">
        <f>_xll.BDH("GILD US Equity","PROF_MARGIN","FQ3 2024","FQ3 2024","Currency=USD","Period=FQ","BEST_FPERIOD_OVERRIDE=FQ","FILING_STATUS=MR","FA_ADJUSTED=Adjusted","Sort=A","Dates=H","DateFormat=P","Fill=—","Direction=H","UseDPDF=Y")</f>
        <v>32.749499999999998</v>
      </c>
      <c r="Y68" s="14">
        <f>_xll.BDH("GILD US Equity","PROF_MARGIN","FQ4 2024","FQ4 2024","Currency=USD","Period=FQ","BEST_FPERIOD_OVERRIDE=FQ","FILING_STATUS=MR","FA_ADJUSTED=Adjusted","Sort=A","Dates=H","DateFormat=P","Fill=—","Direction=H","UseDPDF=Y")</f>
        <v>25.410399999999999</v>
      </c>
      <c r="Z68" s="14">
        <v>32.082578637662699</v>
      </c>
      <c r="AA68" s="14">
        <v>34.323193167680103</v>
      </c>
    </row>
    <row r="69" spans="1:27" x14ac:dyDescent="0.25">
      <c r="A69" s="10" t="s">
        <v>402</v>
      </c>
      <c r="B69" s="10" t="s">
        <v>403</v>
      </c>
      <c r="C69" s="14" t="str">
        <f>_xll.BDH("GILD US Equity","ACTUAL_SALES_PER_EMPL","FQ2 2019","FQ2 2019","Currency=USD","Period=FQ","BEST_FPERIOD_OVERRIDE=FQ","FILING_STATUS=MR","FA_ADJUSTED=Adjusted","Sort=A","Dates=H","DateFormat=P","Fill=—","Direction=H","UseDPDF=Y")</f>
        <v>—</v>
      </c>
      <c r="D69" s="14" t="str">
        <f>_xll.BDH("GILD US Equity","ACTUAL_SALES_PER_EMPL","FQ3 2019","FQ3 2019","Currency=USD","Period=FQ","BEST_FPERIOD_OVERRIDE=FQ","FILING_STATUS=MR","FA_ADJUSTED=Adjusted","Sort=A","Dates=H","DateFormat=P","Fill=—","Direction=H","UseDPDF=Y")</f>
        <v>—</v>
      </c>
      <c r="E69" s="14">
        <f>_xll.BDH("GILD US Equity","ACTUAL_SALES_PER_EMPL","FQ4 2019","FQ4 2019","Currency=USD","Period=FQ","BEST_FPERIOD_OVERRIDE=FQ","FILING_STATUS=MR","FA_ADJUSTED=Adjusted","Sort=A","Dates=H","DateFormat=P","Fill=—","Direction=H","UseDPDF=Y")</f>
        <v>498220.33899999998</v>
      </c>
      <c r="F69" s="14" t="str">
        <f>_xll.BDH("GILD US Equity","ACTUAL_SALES_PER_EMPL","FQ1 2020","FQ1 2020","Currency=USD","Period=FQ","BEST_FPERIOD_OVERRIDE=FQ","FILING_STATUS=MR","FA_ADJUSTED=Adjusted","Sort=A","Dates=H","DateFormat=P","Fill=—","Direction=H","UseDPDF=Y")</f>
        <v>—</v>
      </c>
      <c r="G69" s="14" t="str">
        <f>_xll.BDH("GILD US Equity","ACTUAL_SALES_PER_EMPL","FQ2 2020","FQ2 2020","Currency=USD","Period=FQ","BEST_FPERIOD_OVERRIDE=FQ","FILING_STATUS=MR","FA_ADJUSTED=Adjusted","Sort=A","Dates=H","DateFormat=P","Fill=—","Direction=H","UseDPDF=Y")</f>
        <v>—</v>
      </c>
      <c r="H69" s="14" t="str">
        <f>_xll.BDH("GILD US Equity","ACTUAL_SALES_PER_EMPL","FQ3 2020","FQ3 2020","Currency=USD","Period=FQ","BEST_FPERIOD_OVERRIDE=FQ","FILING_STATUS=MR","FA_ADJUSTED=Adjusted","Sort=A","Dates=H","DateFormat=P","Fill=—","Direction=H","UseDPDF=Y")</f>
        <v>—</v>
      </c>
      <c r="I69" s="14">
        <f>_xll.BDH("GILD US Equity","ACTUAL_SALES_PER_EMPL","FQ4 2020","FQ4 2020","Currency=USD","Period=FQ","BEST_FPERIOD_OVERRIDE=FQ","FILING_STATUS=MR","FA_ADJUSTED=Adjusted","Sort=A","Dates=H","DateFormat=P","Fill=—","Direction=H","UseDPDF=Y")</f>
        <v>545661.76470000006</v>
      </c>
      <c r="J69" s="14" t="str">
        <f>_xll.BDH("GILD US Equity","ACTUAL_SALES_PER_EMPL","FQ1 2021","FQ1 2021","Currency=USD","Period=FQ","BEST_FPERIOD_OVERRIDE=FQ","FILING_STATUS=MR","FA_ADJUSTED=Adjusted","Sort=A","Dates=H","DateFormat=P","Fill=—","Direction=H","UseDPDF=Y")</f>
        <v>—</v>
      </c>
      <c r="K69" s="14" t="str">
        <f>_xll.BDH("GILD US Equity","ACTUAL_SALES_PER_EMPL","FQ2 2021","FQ2 2021","Currency=USD","Period=FQ","BEST_FPERIOD_OVERRIDE=FQ","FILING_STATUS=MR","FA_ADJUSTED=Adjusted","Sort=A","Dates=H","DateFormat=P","Fill=—","Direction=H","UseDPDF=Y")</f>
        <v>—</v>
      </c>
      <c r="L69" s="14" t="str">
        <f>_xll.BDH("GILD US Equity","ACTUAL_SALES_PER_EMPL","FQ3 2021","FQ3 2021","Currency=USD","Period=FQ","BEST_FPERIOD_OVERRIDE=FQ","FILING_STATUS=MR","FA_ADJUSTED=Adjusted","Sort=A","Dates=H","DateFormat=P","Fill=—","Direction=H","UseDPDF=Y")</f>
        <v>—</v>
      </c>
      <c r="M69" s="14">
        <f>_xll.BDH("GILD US Equity","ACTUAL_SALES_PER_EMPL","FQ4 2021","FQ4 2021","Currency=USD","Period=FQ","BEST_FPERIOD_OVERRIDE=FQ","FILING_STATUS=MR","FA_ADJUSTED=Adjusted","Sort=A","Dates=H","DateFormat=P","Fill=—","Direction=H","UseDPDF=Y")</f>
        <v>503055.55560000002</v>
      </c>
      <c r="N69" s="14" t="str">
        <f>_xll.BDH("GILD US Equity","ACTUAL_SALES_PER_EMPL","FQ1 2022","FQ1 2022","Currency=USD","Period=FQ","BEST_FPERIOD_OVERRIDE=FQ","FILING_STATUS=MR","FA_ADJUSTED=Adjusted","Sort=A","Dates=H","DateFormat=P","Fill=—","Direction=H","UseDPDF=Y")</f>
        <v>—</v>
      </c>
      <c r="O69" s="14" t="str">
        <f>_xll.BDH("GILD US Equity","ACTUAL_SALES_PER_EMPL","FQ2 2022","FQ2 2022","Currency=USD","Period=FQ","BEST_FPERIOD_OVERRIDE=FQ","FILING_STATUS=MR","FA_ADJUSTED=Adjusted","Sort=A","Dates=H","DateFormat=P","Fill=—","Direction=H","UseDPDF=Y")</f>
        <v>—</v>
      </c>
      <c r="P69" s="14" t="str">
        <f>_xll.BDH("GILD US Equity","ACTUAL_SALES_PER_EMPL","FQ3 2022","FQ3 2022","Currency=USD","Period=FQ","BEST_FPERIOD_OVERRIDE=FQ","FILING_STATUS=MR","FA_ADJUSTED=Adjusted","Sort=A","Dates=H","DateFormat=P","Fill=—","Direction=H","UseDPDF=Y")</f>
        <v>—</v>
      </c>
      <c r="Q69" s="14">
        <f>_xll.BDH("GILD US Equity","ACTUAL_SALES_PER_EMPL","FQ4 2022","FQ4 2022","Currency=USD","Period=FQ","BEST_FPERIOD_OVERRIDE=FQ","FILING_STATUS=MR","FA_ADJUSTED=Adjusted","Sort=A","Dates=H","DateFormat=P","Fill=—","Direction=H","UseDPDF=Y")</f>
        <v>434647.0588</v>
      </c>
      <c r="R69" s="14" t="str">
        <f>_xll.BDH("GILD US Equity","ACTUAL_SALES_PER_EMPL","FQ1 2023","FQ1 2023","Currency=USD","Period=FQ","BEST_FPERIOD_OVERRIDE=FQ","FILING_STATUS=MR","FA_ADJUSTED=Adjusted","Sort=A","Dates=H","DateFormat=P","Fill=—","Direction=H","UseDPDF=Y")</f>
        <v>—</v>
      </c>
      <c r="S69" s="14" t="str">
        <f>_xll.BDH("GILD US Equity","ACTUAL_SALES_PER_EMPL","FQ2 2023","FQ2 2023","Currency=USD","Period=FQ","BEST_FPERIOD_OVERRIDE=FQ","FILING_STATUS=MR","FA_ADJUSTED=Adjusted","Sort=A","Dates=H","DateFormat=P","Fill=—","Direction=H","UseDPDF=Y")</f>
        <v>—</v>
      </c>
      <c r="T69" s="14" t="str">
        <f>_xll.BDH("GILD US Equity","ACTUAL_SALES_PER_EMPL","FQ3 2023","FQ3 2023","Currency=USD","Period=FQ","BEST_FPERIOD_OVERRIDE=FQ","FILING_STATUS=MR","FA_ADJUSTED=Adjusted","Sort=A","Dates=H","DateFormat=P","Fill=—","Direction=H","UseDPDF=Y")</f>
        <v>—</v>
      </c>
      <c r="U69" s="14">
        <f>_xll.BDH("GILD US Equity","ACTUAL_SALES_PER_EMPL","FQ4 2023","FQ4 2023","Currency=USD","Period=FQ","BEST_FPERIOD_OVERRIDE=FQ","FILING_STATUS=MR","FA_ADJUSTED=Adjusted","Sort=A","Dates=H","DateFormat=P","Fill=—","Direction=H","UseDPDF=Y")</f>
        <v>395277.77779999998</v>
      </c>
      <c r="V69" s="14" t="str">
        <f>_xll.BDH("GILD US Equity","ACTUAL_SALES_PER_EMPL","FQ1 2024","FQ1 2024","Currency=USD","Period=FQ","BEST_FPERIOD_OVERRIDE=FQ","FILING_STATUS=MR","FA_ADJUSTED=Adjusted","Sort=A","Dates=H","DateFormat=P","Fill=—","Direction=H","UseDPDF=Y")</f>
        <v>—</v>
      </c>
      <c r="W69" s="14" t="str">
        <f>_xll.BDH("GILD US Equity","ACTUAL_SALES_PER_EMPL","FQ2 2024","FQ2 2024","Currency=USD","Period=FQ","BEST_FPERIOD_OVERRIDE=FQ","FILING_STATUS=MR","FA_ADJUSTED=Adjusted","Sort=A","Dates=H","DateFormat=P","Fill=—","Direction=H","UseDPDF=Y")</f>
        <v>—</v>
      </c>
      <c r="X69" s="14" t="str">
        <f>_xll.BDH("GILD US Equity","ACTUAL_SALES_PER_EMPL","FQ3 2024","FQ3 2024","Currency=USD","Period=FQ","BEST_FPERIOD_OVERRIDE=FQ","FILING_STATUS=MR","FA_ADJUSTED=Adjusted","Sort=A","Dates=H","DateFormat=P","Fill=—","Direction=H","UseDPDF=Y")</f>
        <v>—</v>
      </c>
      <c r="Y69" s="14">
        <f>_xll.BDH("GILD US Equity","ACTUAL_SALES_PER_EMPL","FQ4 2024","FQ4 2024","Currency=USD","Period=FQ","BEST_FPERIOD_OVERRIDE=FQ","FILING_STATUS=MR","FA_ADJUSTED=Adjusted","Sort=A","Dates=H","DateFormat=P","Fill=—","Direction=H","UseDPDF=Y")</f>
        <v>430056.81819999998</v>
      </c>
      <c r="Z69" s="14"/>
      <c r="AA69" s="14"/>
    </row>
    <row r="70" spans="1:27" x14ac:dyDescent="0.25">
      <c r="A70" s="10" t="s">
        <v>404</v>
      </c>
      <c r="B70" s="10" t="s">
        <v>274</v>
      </c>
      <c r="C70" s="14">
        <f>_xll.BDH("GILD US Equity","EQY_DPS","FQ2 2019","FQ2 2019","Currency=USD","Period=FQ","BEST_FPERIOD_OVERRIDE=FQ","FILING_STATUS=MR","Sort=A","Dates=H","DateFormat=P","Fill=—","Direction=H","UseDPDF=Y")</f>
        <v>0.63</v>
      </c>
      <c r="D70" s="14">
        <f>_xll.BDH("GILD US Equity","EQY_DPS","FQ3 2019","FQ3 2019","Currency=USD","Period=FQ","BEST_FPERIOD_OVERRIDE=FQ","FILING_STATUS=MR","Sort=A","Dates=H","DateFormat=P","Fill=—","Direction=H","UseDPDF=Y")</f>
        <v>0.63</v>
      </c>
      <c r="E70" s="14">
        <f>_xll.BDH("GILD US Equity","EQY_DPS","FQ4 2019","FQ4 2019","Currency=USD","Period=FQ","BEST_FPERIOD_OVERRIDE=FQ","FILING_STATUS=MR","Sort=A","Dates=H","DateFormat=P","Fill=—","Direction=H","UseDPDF=Y")</f>
        <v>0.63</v>
      </c>
      <c r="F70" s="14">
        <f>_xll.BDH("GILD US Equity","EQY_DPS","FQ1 2020","FQ1 2020","Currency=USD","Period=FQ","BEST_FPERIOD_OVERRIDE=FQ","FILING_STATUS=MR","Sort=A","Dates=H","DateFormat=P","Fill=—","Direction=H","UseDPDF=Y")</f>
        <v>0.68</v>
      </c>
      <c r="G70" s="14">
        <f>_xll.BDH("GILD US Equity","EQY_DPS","FQ2 2020","FQ2 2020","Currency=USD","Period=FQ","BEST_FPERIOD_OVERRIDE=FQ","FILING_STATUS=MR","Sort=A","Dates=H","DateFormat=P","Fill=—","Direction=H","UseDPDF=Y")</f>
        <v>0.68</v>
      </c>
      <c r="H70" s="14">
        <f>_xll.BDH("GILD US Equity","EQY_DPS","FQ3 2020","FQ3 2020","Currency=USD","Period=FQ","BEST_FPERIOD_OVERRIDE=FQ","FILING_STATUS=MR","Sort=A","Dates=H","DateFormat=P","Fill=—","Direction=H","UseDPDF=Y")</f>
        <v>0.68</v>
      </c>
      <c r="I70" s="14">
        <f>_xll.BDH("GILD US Equity","EQY_DPS","FQ4 2020","FQ4 2020","Currency=USD","Period=FQ","BEST_FPERIOD_OVERRIDE=FQ","FILING_STATUS=MR","Sort=A","Dates=H","DateFormat=P","Fill=—","Direction=H","UseDPDF=Y")</f>
        <v>0.68</v>
      </c>
      <c r="J70" s="14">
        <f>_xll.BDH("GILD US Equity","EQY_DPS","FQ1 2021","FQ1 2021","Currency=USD","Period=FQ","BEST_FPERIOD_OVERRIDE=FQ","FILING_STATUS=MR","Sort=A","Dates=H","DateFormat=P","Fill=—","Direction=H","UseDPDF=Y")</f>
        <v>0.71</v>
      </c>
      <c r="K70" s="14">
        <f>_xll.BDH("GILD US Equity","EQY_DPS","FQ2 2021","FQ2 2021","Currency=USD","Period=FQ","BEST_FPERIOD_OVERRIDE=FQ","FILING_STATUS=MR","Sort=A","Dates=H","DateFormat=P","Fill=—","Direction=H","UseDPDF=Y")</f>
        <v>0.71</v>
      </c>
      <c r="L70" s="14">
        <f>_xll.BDH("GILD US Equity","EQY_DPS","FQ3 2021","FQ3 2021","Currency=USD","Period=FQ","BEST_FPERIOD_OVERRIDE=FQ","FILING_STATUS=MR","Sort=A","Dates=H","DateFormat=P","Fill=—","Direction=H","UseDPDF=Y")</f>
        <v>0.71</v>
      </c>
      <c r="M70" s="14">
        <f>_xll.BDH("GILD US Equity","EQY_DPS","FQ4 2021","FQ4 2021","Currency=USD","Period=FQ","BEST_FPERIOD_OVERRIDE=FQ","FILING_STATUS=MR","Sort=A","Dates=H","DateFormat=P","Fill=—","Direction=H","UseDPDF=Y")</f>
        <v>0.71</v>
      </c>
      <c r="N70" s="14">
        <f>_xll.BDH("GILD US Equity","EQY_DPS","FQ1 2022","FQ1 2022","Currency=USD","Period=FQ","BEST_FPERIOD_OVERRIDE=FQ","FILING_STATUS=MR","Sort=A","Dates=H","DateFormat=P","Fill=—","Direction=H","UseDPDF=Y")</f>
        <v>0.73</v>
      </c>
      <c r="O70" s="14">
        <f>_xll.BDH("GILD US Equity","EQY_DPS","FQ2 2022","FQ2 2022","Currency=USD","Period=FQ","BEST_FPERIOD_OVERRIDE=FQ","FILING_STATUS=MR","Sort=A","Dates=H","DateFormat=P","Fill=—","Direction=H","UseDPDF=Y")</f>
        <v>0.73</v>
      </c>
      <c r="P70" s="14">
        <f>_xll.BDH("GILD US Equity","EQY_DPS","FQ3 2022","FQ3 2022","Currency=USD","Period=FQ","BEST_FPERIOD_OVERRIDE=FQ","FILING_STATUS=MR","Sort=A","Dates=H","DateFormat=P","Fill=—","Direction=H","UseDPDF=Y")</f>
        <v>0.73</v>
      </c>
      <c r="Q70" s="14">
        <f>_xll.BDH("GILD US Equity","EQY_DPS","FQ4 2022","FQ4 2022","Currency=USD","Period=FQ","BEST_FPERIOD_OVERRIDE=FQ","FILING_STATUS=MR","Sort=A","Dates=H","DateFormat=P","Fill=—","Direction=H","UseDPDF=Y")</f>
        <v>0.73</v>
      </c>
      <c r="R70" s="14">
        <f>_xll.BDH("GILD US Equity","EQY_DPS","FQ1 2023","FQ1 2023","Currency=USD","Period=FQ","BEST_FPERIOD_OVERRIDE=FQ","FILING_STATUS=MR","Sort=A","Dates=H","DateFormat=P","Fill=—","Direction=H","UseDPDF=Y")</f>
        <v>0.75</v>
      </c>
      <c r="S70" s="14">
        <f>_xll.BDH("GILD US Equity","EQY_DPS","FQ2 2023","FQ2 2023","Currency=USD","Period=FQ","BEST_FPERIOD_OVERRIDE=FQ","FILING_STATUS=MR","Sort=A","Dates=H","DateFormat=P","Fill=—","Direction=H","UseDPDF=Y")</f>
        <v>0.75</v>
      </c>
      <c r="T70" s="14">
        <f>_xll.BDH("GILD US Equity","EQY_DPS","FQ3 2023","FQ3 2023","Currency=USD","Period=FQ","BEST_FPERIOD_OVERRIDE=FQ","FILING_STATUS=MR","Sort=A","Dates=H","DateFormat=P","Fill=—","Direction=H","UseDPDF=Y")</f>
        <v>0.75</v>
      </c>
      <c r="U70" s="14">
        <f>_xll.BDH("GILD US Equity","EQY_DPS","FQ4 2023","FQ4 2023","Currency=USD","Period=FQ","BEST_FPERIOD_OVERRIDE=FQ","FILING_STATUS=MR","Sort=A","Dates=H","DateFormat=P","Fill=—","Direction=H","UseDPDF=Y")</f>
        <v>0.75</v>
      </c>
      <c r="V70" s="14">
        <f>_xll.BDH("GILD US Equity","EQY_DPS","FQ1 2024","FQ1 2024","Currency=USD","Period=FQ","BEST_FPERIOD_OVERRIDE=FQ","FILING_STATUS=MR","Sort=A","Dates=H","DateFormat=P","Fill=—","Direction=H","UseDPDF=Y")</f>
        <v>0.77</v>
      </c>
      <c r="W70" s="14">
        <f>_xll.BDH("GILD US Equity","EQY_DPS","FQ2 2024","FQ2 2024","Currency=USD","Period=FQ","BEST_FPERIOD_OVERRIDE=FQ","FILING_STATUS=MR","Sort=A","Dates=H","DateFormat=P","Fill=—","Direction=H","UseDPDF=Y")</f>
        <v>0.77</v>
      </c>
      <c r="X70" s="14">
        <f>_xll.BDH("GILD US Equity","EQY_DPS","FQ3 2024","FQ3 2024","Currency=USD","Period=FQ","BEST_FPERIOD_OVERRIDE=FQ","FILING_STATUS=MR","Sort=A","Dates=H","DateFormat=P","Fill=—","Direction=H","UseDPDF=Y")</f>
        <v>0.77</v>
      </c>
      <c r="Y70" s="14">
        <f>_xll.BDH("GILD US Equity","EQY_DPS","FQ4 2024","FQ4 2024","Currency=USD","Period=FQ","BEST_FPERIOD_OVERRIDE=FQ","FILING_STATUS=MR","Sort=A","Dates=H","DateFormat=P","Fill=—","Direction=H","UseDPDF=Y")</f>
        <v>0.77</v>
      </c>
      <c r="Z70" s="14">
        <v>0.77900000000000003</v>
      </c>
      <c r="AA70" s="14">
        <v>0.78100000000000003</v>
      </c>
    </row>
    <row r="71" spans="1:27" x14ac:dyDescent="0.25">
      <c r="A71" s="10" t="s">
        <v>405</v>
      </c>
      <c r="B71" s="10" t="s">
        <v>406</v>
      </c>
      <c r="C71" s="13">
        <f>_xll.BDH("GILD US Equity","IS_TOT_CASH_COM_DVD","FQ2 2019","FQ2 2019","Currency=USD","Period=FQ","BEST_FPERIOD_OVERRIDE=FQ","FILING_STATUS=MR","SCALING_FORMAT=MLN","Sort=A","Dates=H","DateFormat=P","Fill=—","Direction=H","UseDPDF=Y")</f>
        <v>800</v>
      </c>
      <c r="D71" s="13">
        <f>_xll.BDH("GILD US Equity","IS_TOT_CASH_COM_DVD","FQ3 2019","FQ3 2019","Currency=USD","Period=FQ","BEST_FPERIOD_OVERRIDE=FQ","FILING_STATUS=MR","SCALING_FORMAT=MLN","Sort=A","Dates=H","DateFormat=P","Fill=—","Direction=H","UseDPDF=Y")</f>
        <v>804</v>
      </c>
      <c r="E71" s="13">
        <f>_xll.BDH("GILD US Equity","IS_TOT_CASH_COM_DVD","FQ4 2019","FQ4 2019","Currency=USD","Period=FQ","BEST_FPERIOD_OVERRIDE=FQ","FILING_STATUS=MR","SCALING_FORMAT=MLN","Sort=A","Dates=H","DateFormat=P","Fill=—","Direction=H","UseDPDF=Y")</f>
        <v>808</v>
      </c>
      <c r="F71" s="13">
        <f>_xll.BDH("GILD US Equity","IS_TOT_CASH_COM_DVD","FQ1 2020","FQ1 2020","Currency=USD","Period=FQ","BEST_FPERIOD_OVERRIDE=FQ","FILING_STATUS=MR","SCALING_FORMAT=MLN","Sort=A","Dates=H","DateFormat=P","Fill=—","Direction=H","UseDPDF=Y")</f>
        <v>874</v>
      </c>
      <c r="G71" s="13">
        <f>_xll.BDH("GILD US Equity","IS_TOT_CASH_COM_DVD","FQ2 2020","FQ2 2020","Currency=USD","Period=FQ","BEST_FPERIOD_OVERRIDE=FQ","FILING_STATUS=MR","SCALING_FORMAT=MLN","Sort=A","Dates=H","DateFormat=P","Fill=—","Direction=H","UseDPDF=Y")</f>
        <v>853.4</v>
      </c>
      <c r="H71" s="13">
        <f>_xll.BDH("GILD US Equity","IS_TOT_CASH_COM_DVD","FQ3 2020","FQ3 2020","Currency=USD","Period=FQ","BEST_FPERIOD_OVERRIDE=FQ","FILING_STATUS=MR","SCALING_FORMAT=MLN","Sort=A","Dates=H","DateFormat=P","Fill=—","Direction=H","UseDPDF=Y")</f>
        <v>866</v>
      </c>
      <c r="I71" s="13">
        <f>_xll.BDH("GILD US Equity","IS_TOT_CASH_COM_DVD","FQ4 2020","FQ4 2020","Currency=USD","Period=FQ","BEST_FPERIOD_OVERRIDE=FQ","FILING_STATUS=MR","SCALING_FORMAT=MLN","Sort=A","Dates=H","DateFormat=P","Fill=—","Direction=H","UseDPDF=Y")</f>
        <v>865</v>
      </c>
      <c r="J71" s="13">
        <f>_xll.BDH("GILD US Equity","IS_TOT_CASH_COM_DVD","FQ1 2021","FQ1 2021","Currency=USD","Period=FQ","BEST_FPERIOD_OVERRIDE=FQ","FILING_STATUS=MR","SCALING_FORMAT=MLN","Sort=A","Dates=H","DateFormat=P","Fill=—","Direction=H","UseDPDF=Y")</f>
        <v>906</v>
      </c>
      <c r="K71" s="13">
        <f>_xll.BDH("GILD US Equity","IS_TOT_CASH_COM_DVD","FQ2 2021","FQ2 2021","Currency=USD","Period=FQ","BEST_FPERIOD_OVERRIDE=FQ","FILING_STATUS=MR","SCALING_FORMAT=MLN","Sort=A","Dates=H","DateFormat=P","Fill=—","Direction=H","UseDPDF=Y")</f>
        <v>903</v>
      </c>
      <c r="L71" s="13">
        <f>_xll.BDH("GILD US Equity","IS_TOT_CASH_COM_DVD","FQ3 2021","FQ3 2021","Currency=USD","Period=FQ","BEST_FPERIOD_OVERRIDE=FQ","FILING_STATUS=MR","SCALING_FORMAT=MLN","Sort=A","Dates=H","DateFormat=P","Fill=—","Direction=H","UseDPDF=Y")</f>
        <v>905</v>
      </c>
      <c r="M71" s="13">
        <f>_xll.BDH("GILD US Equity","IS_TOT_CASH_COM_DVD","FQ4 2021","FQ4 2021","Currency=USD","Period=FQ","BEST_FPERIOD_OVERRIDE=FQ","FILING_STATUS=MR","SCALING_FORMAT=MLN","Sort=A","Dates=H","DateFormat=P","Fill=—","Direction=H","UseDPDF=Y")</f>
        <v>891.76</v>
      </c>
      <c r="N71" s="13">
        <f>_xll.BDH("GILD US Equity","IS_TOT_CASH_COM_DVD","FQ1 2022","FQ1 2022","Currency=USD","Period=FQ","BEST_FPERIOD_OVERRIDE=FQ","FILING_STATUS=MR","SCALING_FORMAT=MLN","Sort=A","Dates=H","DateFormat=P","Fill=—","Direction=H","UseDPDF=Y")</f>
        <v>932</v>
      </c>
      <c r="O71" s="13">
        <f>_xll.BDH("GILD US Equity","IS_TOT_CASH_COM_DVD","FQ2 2022","FQ2 2022","Currency=USD","Period=FQ","BEST_FPERIOD_OVERRIDE=FQ","FILING_STATUS=MR","SCALING_FORMAT=MLN","Sort=A","Dates=H","DateFormat=P","Fill=—","Direction=H","UseDPDF=Y")</f>
        <v>932</v>
      </c>
      <c r="P71" s="13">
        <f>_xll.BDH("GILD US Equity","IS_TOT_CASH_COM_DVD","FQ3 2022","FQ3 2022","Currency=USD","Period=FQ","BEST_FPERIOD_OVERRIDE=FQ","FILING_STATUS=MR","SCALING_FORMAT=MLN","Sort=A","Dates=H","DateFormat=P","Fill=—","Direction=H","UseDPDF=Y")</f>
        <v>916.15</v>
      </c>
      <c r="Q71" s="13">
        <f>_xll.BDH("GILD US Equity","IS_TOT_CASH_COM_DVD","FQ4 2022","FQ4 2022","Currency=USD","Period=FQ","BEST_FPERIOD_OVERRIDE=FQ","FILING_STATUS=MR","SCALING_FORMAT=MLN","Sort=A","Dates=H","DateFormat=P","Fill=—","Direction=H","UseDPDF=Y")</f>
        <v>913.96</v>
      </c>
      <c r="R71" s="13">
        <f>_xll.BDH("GILD US Equity","IS_TOT_CASH_COM_DVD","FQ1 2023","FQ1 2023","Currency=USD","Period=FQ","BEST_FPERIOD_OVERRIDE=FQ","FILING_STATUS=MR","SCALING_FORMAT=MLN","Sort=A","Dates=H","DateFormat=P","Fill=—","Direction=H","UseDPDF=Y")</f>
        <v>957</v>
      </c>
      <c r="S71" s="13">
        <f>_xll.BDH("GILD US Equity","IS_TOT_CASH_COM_DVD","FQ2 2023","FQ2 2023","Currency=USD","Period=FQ","BEST_FPERIOD_OVERRIDE=FQ","FILING_STATUS=MR","SCALING_FORMAT=MLN","Sort=A","Dates=H","DateFormat=P","Fill=—","Direction=H","UseDPDF=Y")</f>
        <v>954</v>
      </c>
      <c r="T71" s="13">
        <f>_xll.BDH("GILD US Equity","IS_TOT_CASH_COM_DVD","FQ3 2023","FQ3 2023","Currency=USD","Period=FQ","BEST_FPERIOD_OVERRIDE=FQ","FILING_STATUS=MR","SCALING_FORMAT=MLN","Sort=A","Dates=H","DateFormat=P","Fill=—","Direction=H","UseDPDF=Y")</f>
        <v>953</v>
      </c>
      <c r="U71" s="13">
        <f>_xll.BDH("GILD US Equity","IS_TOT_CASH_COM_DVD","FQ4 2023","FQ4 2023","Currency=USD","Period=FQ","BEST_FPERIOD_OVERRIDE=FQ","FILING_STATUS=MR","SCALING_FORMAT=MLN","Sort=A","Dates=H","DateFormat=P","Fill=—","Direction=H","UseDPDF=Y")</f>
        <v>936</v>
      </c>
      <c r="V71" s="13">
        <f>_xll.BDH("GILD US Equity","IS_TOT_CASH_COM_DVD","FQ1 2024","FQ1 2024","Currency=USD","Period=FQ","BEST_FPERIOD_OVERRIDE=FQ","FILING_STATUS=MR","SCALING_FORMAT=MLN","Sort=A","Dates=H","DateFormat=P","Fill=—","Direction=H","UseDPDF=Y")</f>
        <v>980</v>
      </c>
      <c r="W71" s="13">
        <f>_xll.BDH("GILD US Equity","IS_TOT_CASH_COM_DVD","FQ2 2024","FQ2 2024","Currency=USD","Period=FQ","BEST_FPERIOD_OVERRIDE=FQ","FILING_STATUS=MR","SCALING_FORMAT=MLN","Sort=A","Dates=H","DateFormat=P","Fill=—","Direction=H","UseDPDF=Y")</f>
        <v>978</v>
      </c>
      <c r="X71" s="13">
        <f>_xll.BDH("GILD US Equity","IS_TOT_CASH_COM_DVD","FQ3 2024","FQ3 2024","Currency=USD","Period=FQ","BEST_FPERIOD_OVERRIDE=FQ","FILING_STATUS=MR","SCALING_FORMAT=MLN","Sort=A","Dates=H","DateFormat=P","Fill=—","Direction=H","UseDPDF=Y")</f>
        <v>977</v>
      </c>
      <c r="Y71" s="13">
        <f>_xll.BDH("GILD US Equity","IS_TOT_CASH_COM_DVD","FQ4 2024","FQ4 2024","Currency=USD","Period=FQ","BEST_FPERIOD_OVERRIDE=FQ","FILING_STATUS=MR","SCALING_FORMAT=MLN","Sort=A","Dates=H","DateFormat=P","Fill=—","Direction=H","UseDPDF=Y")</f>
        <v>960.96</v>
      </c>
      <c r="Z71" s="13"/>
      <c r="AA71" s="13"/>
    </row>
    <row r="72" spans="1:27" x14ac:dyDescent="0.25">
      <c r="A72" s="10" t="s">
        <v>407</v>
      </c>
      <c r="B72" s="10" t="s">
        <v>408</v>
      </c>
      <c r="C72" s="13">
        <f>_xll.BDH("GILD US Equity","IS_DEPR_EXP","FQ2 2019","FQ2 2019","Currency=USD","Period=FQ","BEST_FPERIOD_OVERRIDE=FQ","FILING_STATUS=MR","SCALING_FORMAT=MLN","Sort=A","Dates=H","DateFormat=P","Fill=—","Direction=H","UseDPDF=Y")</f>
        <v>60</v>
      </c>
      <c r="D72" s="13">
        <f>_xll.BDH("GILD US Equity","IS_DEPR_EXP","FQ3 2019","FQ3 2019","Currency=USD","Period=FQ","BEST_FPERIOD_OVERRIDE=FQ","FILING_STATUS=MR","SCALING_FORMAT=MLN","Sort=A","Dates=H","DateFormat=P","Fill=—","Direction=H","UseDPDF=Y")</f>
        <v>66</v>
      </c>
      <c r="E72" s="13">
        <f>_xll.BDH("GILD US Equity","IS_DEPR_EXP","FQ4 2019","FQ4 2019","Currency=USD","Period=FQ","BEST_FPERIOD_OVERRIDE=FQ","FILING_STATUS=MR","SCALING_FORMAT=MLN","Sort=A","Dates=H","DateFormat=P","Fill=—","Direction=H","UseDPDF=Y")</f>
        <v>69</v>
      </c>
      <c r="F72" s="13">
        <f>_xll.BDH("GILD US Equity","IS_DEPR_EXP","FQ1 2020","FQ1 2020","Currency=USD","Period=FQ","BEST_FPERIOD_OVERRIDE=FQ","FILING_STATUS=MR","SCALING_FORMAT=MLN","Sort=A","Dates=H","DateFormat=P","Fill=—","Direction=H","UseDPDF=Y")</f>
        <v>68</v>
      </c>
      <c r="G72" s="13">
        <f>_xll.BDH("GILD US Equity","IS_DEPR_EXP","FQ2 2020","FQ2 2020","Currency=USD","Period=FQ","BEST_FPERIOD_OVERRIDE=FQ","FILING_STATUS=MR","SCALING_FORMAT=MLN","Sort=A","Dates=H","DateFormat=P","Fill=—","Direction=H","UseDPDF=Y")</f>
        <v>68</v>
      </c>
      <c r="H72" s="13">
        <f>_xll.BDH("GILD US Equity","IS_DEPR_EXP","FQ3 2020","FQ3 2020","Currency=USD","Period=FQ","BEST_FPERIOD_OVERRIDE=FQ","FILING_STATUS=MR","SCALING_FORMAT=MLN","Sort=A","Dates=H","DateFormat=P","Fill=—","Direction=H","UseDPDF=Y")</f>
        <v>73</v>
      </c>
      <c r="I72" s="13">
        <f>_xll.BDH("GILD US Equity","IS_DEPR_EXP","FQ4 2020","FQ4 2020","Currency=USD","Period=FQ","BEST_FPERIOD_OVERRIDE=FQ","FILING_STATUS=MR","SCALING_FORMAT=MLN","Sort=A","Dates=H","DateFormat=P","Fill=—","Direction=H","UseDPDF=Y")</f>
        <v>79</v>
      </c>
      <c r="J72" s="13">
        <f>_xll.BDH("GILD US Equity","IS_DEPR_EXP","FQ1 2021","FQ1 2021","Currency=USD","Period=FQ","BEST_FPERIOD_OVERRIDE=FQ","FILING_STATUS=MR","SCALING_FORMAT=MLN","Sort=A","Dates=H","DateFormat=P","Fill=—","Direction=H","UseDPDF=Y")</f>
        <v>78</v>
      </c>
      <c r="K72" s="13">
        <f>_xll.BDH("GILD US Equity","IS_DEPR_EXP","FQ2 2021","FQ2 2021","Currency=USD","Period=FQ","BEST_FPERIOD_OVERRIDE=FQ","FILING_STATUS=MR","SCALING_FORMAT=MLN","Sort=A","Dates=H","DateFormat=P","Fill=—","Direction=H","UseDPDF=Y")</f>
        <v>79</v>
      </c>
      <c r="L72" s="13">
        <f>_xll.BDH("GILD US Equity","IS_DEPR_EXP","FQ3 2021","FQ3 2021","Currency=USD","Period=FQ","BEST_FPERIOD_OVERRIDE=FQ","FILING_STATUS=MR","SCALING_FORMAT=MLN","Sort=A","Dates=H","DateFormat=P","Fill=—","Direction=H","UseDPDF=Y")</f>
        <v>82</v>
      </c>
      <c r="M72" s="13">
        <f>_xll.BDH("GILD US Equity","IS_DEPR_EXP","FQ4 2021","FQ4 2021","Currency=USD","Period=FQ","BEST_FPERIOD_OVERRIDE=FQ","FILING_STATUS=MR","SCALING_FORMAT=MLN","Sort=A","Dates=H","DateFormat=P","Fill=—","Direction=H","UseDPDF=Y")</f>
        <v>90</v>
      </c>
      <c r="N72" s="13">
        <f>_xll.BDH("GILD US Equity","IS_DEPR_EXP","FQ1 2022","FQ1 2022","Currency=USD","Period=FQ","BEST_FPERIOD_OVERRIDE=FQ","FILING_STATUS=MR","SCALING_FORMAT=MLN","Sort=A","Dates=H","DateFormat=P","Fill=—","Direction=H","UseDPDF=Y")</f>
        <v>80</v>
      </c>
      <c r="O72" s="13">
        <f>_xll.BDH("GILD US Equity","IS_DEPR_EXP","FQ2 2022","FQ2 2022","Currency=USD","Period=FQ","BEST_FPERIOD_OVERRIDE=FQ","FILING_STATUS=MR","SCALING_FORMAT=MLN","Sort=A","Dates=H","DateFormat=P","Fill=—","Direction=H","UseDPDF=Y")</f>
        <v>80</v>
      </c>
      <c r="P72" s="13">
        <f>_xll.BDH("GILD US Equity","IS_DEPR_EXP","FQ3 2022","FQ3 2022","Currency=USD","Period=FQ","BEST_FPERIOD_OVERRIDE=FQ","FILING_STATUS=MR","SCALING_FORMAT=MLN","Sort=A","Dates=H","DateFormat=P","Fill=—","Direction=H","UseDPDF=Y")</f>
        <v>80</v>
      </c>
      <c r="Q72" s="13">
        <f>_xll.BDH("GILD US Equity","IS_DEPR_EXP","FQ4 2022","FQ4 2022","Currency=USD","Period=FQ","BEST_FPERIOD_OVERRIDE=FQ","FILING_STATUS=MR","SCALING_FORMAT=MLN","Sort=A","Dates=H","DateFormat=P","Fill=—","Direction=H","UseDPDF=Y")</f>
        <v>83</v>
      </c>
      <c r="R72" s="13">
        <f>_xll.BDH("GILD US Equity","IS_DEPR_EXP","FQ1 2023","FQ1 2023","Currency=USD","Period=FQ","BEST_FPERIOD_OVERRIDE=FQ","FILING_STATUS=MR","SCALING_FORMAT=MLN","Sort=A","Dates=H","DateFormat=P","Fill=—","Direction=H","UseDPDF=Y")</f>
        <v>94</v>
      </c>
      <c r="S72" s="13">
        <f>_xll.BDH("GILD US Equity","IS_DEPR_EXP","FQ2 2023","FQ2 2023","Currency=USD","Period=FQ","BEST_FPERIOD_OVERRIDE=FQ","FILING_STATUS=MR","SCALING_FORMAT=MLN","Sort=A","Dates=H","DateFormat=P","Fill=—","Direction=H","UseDPDF=Y")</f>
        <v>83</v>
      </c>
      <c r="T72" s="13">
        <f>_xll.BDH("GILD US Equity","IS_DEPR_EXP","FQ3 2023","FQ3 2023","Currency=USD","Period=FQ","BEST_FPERIOD_OVERRIDE=FQ","FILING_STATUS=MR","SCALING_FORMAT=MLN","Sort=A","Dates=H","DateFormat=P","Fill=—","Direction=H","UseDPDF=Y")</f>
        <v>86</v>
      </c>
      <c r="U72" s="13">
        <f>_xll.BDH("GILD US Equity","IS_DEPR_EXP","FQ4 2023","FQ4 2023","Currency=USD","Period=FQ","BEST_FPERIOD_OVERRIDE=FQ","FILING_STATUS=MR","SCALING_FORMAT=MLN","Sort=A","Dates=H","DateFormat=P","Fill=—","Direction=H","UseDPDF=Y")</f>
        <v>91</v>
      </c>
      <c r="V72" s="13">
        <f>_xll.BDH("GILD US Equity","IS_DEPR_EXP","FQ1 2024","FQ1 2024","Currency=USD","Period=FQ","BEST_FPERIOD_OVERRIDE=FQ","FILING_STATUS=MR","SCALING_FORMAT=MLN","Sort=A","Dates=H","DateFormat=P","Fill=—","Direction=H","UseDPDF=Y")</f>
        <v>94</v>
      </c>
      <c r="W72" s="13">
        <f>_xll.BDH("GILD US Equity","IS_DEPR_EXP","FQ2 2024","FQ2 2024","Currency=USD","Period=FQ","BEST_FPERIOD_OVERRIDE=FQ","FILING_STATUS=MR","SCALING_FORMAT=MLN","Sort=A","Dates=H","DateFormat=P","Fill=—","Direction=H","UseDPDF=Y")</f>
        <v>98</v>
      </c>
      <c r="X72" s="13">
        <f>_xll.BDH("GILD US Equity","IS_DEPR_EXP","FQ3 2024","FQ3 2024","Currency=USD","Period=FQ","BEST_FPERIOD_OVERRIDE=FQ","FILING_STATUS=MR","SCALING_FORMAT=MLN","Sort=A","Dates=H","DateFormat=P","Fill=—","Direction=H","UseDPDF=Y")</f>
        <v>94</v>
      </c>
      <c r="Y72" s="13">
        <f>_xll.BDH("GILD US Equity","IS_DEPR_EXP","FQ4 2024","FQ4 2024","Currency=USD","Period=FQ","BEST_FPERIOD_OVERRIDE=FQ","FILING_STATUS=MR","SCALING_FORMAT=MLN","Sort=A","Dates=H","DateFormat=P","Fill=—","Direction=H","UseDPDF=Y")</f>
        <v>95</v>
      </c>
      <c r="Z72" s="13"/>
      <c r="AA72" s="13"/>
    </row>
    <row r="73" spans="1:27" x14ac:dyDescent="0.25">
      <c r="A73" s="10" t="s">
        <v>409</v>
      </c>
      <c r="B73" s="10" t="s">
        <v>410</v>
      </c>
      <c r="C73" s="13">
        <f>_xll.BDH("GILD US Equity","BS_CURR_RENTAL_EXPENSE","FQ2 2019","FQ2 2019","Currency=USD","Period=FQ","BEST_FPERIOD_OVERRIDE=FQ","FILING_STATUS=MR","SCALING_FORMAT=MLN","Sort=A","Dates=H","DateFormat=P","Fill=—","Direction=H","UseDPDF=Y")</f>
        <v>38</v>
      </c>
      <c r="D73" s="13">
        <f>_xll.BDH("GILD US Equity","BS_CURR_RENTAL_EXPENSE","FQ3 2019","FQ3 2019","Currency=USD","Period=FQ","BEST_FPERIOD_OVERRIDE=FQ","FILING_STATUS=MR","SCALING_FORMAT=MLN","Sort=A","Dates=H","DateFormat=P","Fill=—","Direction=H","UseDPDF=Y")</f>
        <v>44</v>
      </c>
      <c r="E73" s="13">
        <f>_xll.BDH("GILD US Equity","BS_CURR_RENTAL_EXPENSE","FQ4 2019","FQ4 2019","Currency=USD","Period=FQ","BEST_FPERIOD_OVERRIDE=FQ","FILING_STATUS=MR","SCALING_FORMAT=MLN","Sort=A","Dates=H","DateFormat=P","Fill=—","Direction=H","UseDPDF=Y")</f>
        <v>44</v>
      </c>
      <c r="F73" s="13" t="str">
        <f>_xll.BDH("GILD US Equity","BS_CURR_RENTAL_EXPENSE","FQ1 2020","FQ1 2020","Currency=USD","Period=FQ","BEST_FPERIOD_OVERRIDE=FQ","FILING_STATUS=MR","SCALING_FORMAT=MLN","Sort=A","Dates=H","DateFormat=P","Fill=—","Direction=H","UseDPDF=Y")</f>
        <v>—</v>
      </c>
      <c r="G73" s="13" t="str">
        <f>_xll.BDH("GILD US Equity","BS_CURR_RENTAL_EXPENSE","FQ2 2020","FQ2 2020","Currency=USD","Period=FQ","BEST_FPERIOD_OVERRIDE=FQ","FILING_STATUS=MR","SCALING_FORMAT=MLN","Sort=A","Dates=H","DateFormat=P","Fill=—","Direction=H","UseDPDF=Y")</f>
        <v>—</v>
      </c>
      <c r="H73" s="13" t="str">
        <f>_xll.BDH("GILD US Equity","BS_CURR_RENTAL_EXPENSE","FQ3 2020","FQ3 2020","Currency=USD","Period=FQ","BEST_FPERIOD_OVERRIDE=FQ","FILING_STATUS=MR","SCALING_FORMAT=MLN","Sort=A","Dates=H","DateFormat=P","Fill=—","Direction=H","UseDPDF=Y")</f>
        <v>—</v>
      </c>
      <c r="I73" s="13" t="str">
        <f>_xll.BDH("GILD US Equity","BS_CURR_RENTAL_EXPENSE","FQ4 2020","FQ4 2020","Currency=USD","Period=FQ","BEST_FPERIOD_OVERRIDE=FQ","FILING_STATUS=MR","SCALING_FORMAT=MLN","Sort=A","Dates=H","DateFormat=P","Fill=—","Direction=H","UseDPDF=Y")</f>
        <v>—</v>
      </c>
      <c r="J73" s="13" t="str">
        <f>_xll.BDH("GILD US Equity","BS_CURR_RENTAL_EXPENSE","FQ1 2021","FQ1 2021","Currency=USD","Period=FQ","BEST_FPERIOD_OVERRIDE=FQ","FILING_STATUS=MR","SCALING_FORMAT=MLN","Sort=A","Dates=H","DateFormat=P","Fill=—","Direction=H","UseDPDF=Y")</f>
        <v>—</v>
      </c>
      <c r="K73" s="13" t="str">
        <f>_xll.BDH("GILD US Equity","BS_CURR_RENTAL_EXPENSE","FQ2 2021","FQ2 2021","Currency=USD","Period=FQ","BEST_FPERIOD_OVERRIDE=FQ","FILING_STATUS=MR","SCALING_FORMAT=MLN","Sort=A","Dates=H","DateFormat=P","Fill=—","Direction=H","UseDPDF=Y")</f>
        <v>—</v>
      </c>
      <c r="L73" s="13" t="str">
        <f>_xll.BDH("GILD US Equity","BS_CURR_RENTAL_EXPENSE","FQ3 2021","FQ3 2021","Currency=USD","Period=FQ","BEST_FPERIOD_OVERRIDE=FQ","FILING_STATUS=MR","SCALING_FORMAT=MLN","Sort=A","Dates=H","DateFormat=P","Fill=—","Direction=H","UseDPDF=Y")</f>
        <v>—</v>
      </c>
      <c r="M73" s="13" t="str">
        <f>_xll.BDH("GILD US Equity","BS_CURR_RENTAL_EXPENSE","FQ4 2021","FQ4 2021","Currency=USD","Period=FQ","BEST_FPERIOD_OVERRIDE=FQ","FILING_STATUS=MR","SCALING_FORMAT=MLN","Sort=A","Dates=H","DateFormat=P","Fill=—","Direction=H","UseDPDF=Y")</f>
        <v>—</v>
      </c>
      <c r="N73" s="13" t="str">
        <f>_xll.BDH("GILD US Equity","BS_CURR_RENTAL_EXPENSE","FQ1 2022","FQ1 2022","Currency=USD","Period=FQ","BEST_FPERIOD_OVERRIDE=FQ","FILING_STATUS=MR","SCALING_FORMAT=MLN","Sort=A","Dates=H","DateFormat=P","Fill=—","Direction=H","UseDPDF=Y")</f>
        <v>—</v>
      </c>
      <c r="O73" s="13" t="str">
        <f>_xll.BDH("GILD US Equity","BS_CURR_RENTAL_EXPENSE","FQ2 2022","FQ2 2022","Currency=USD","Period=FQ","BEST_FPERIOD_OVERRIDE=FQ","FILING_STATUS=MR","SCALING_FORMAT=MLN","Sort=A","Dates=H","DateFormat=P","Fill=—","Direction=H","UseDPDF=Y")</f>
        <v>—</v>
      </c>
      <c r="P73" s="13" t="str">
        <f>_xll.BDH("GILD US Equity","BS_CURR_RENTAL_EXPENSE","FQ3 2022","FQ3 2022","Currency=USD","Period=FQ","BEST_FPERIOD_OVERRIDE=FQ","FILING_STATUS=MR","SCALING_FORMAT=MLN","Sort=A","Dates=H","DateFormat=P","Fill=—","Direction=H","UseDPDF=Y")</f>
        <v>—</v>
      </c>
      <c r="Q73" s="13" t="str">
        <f>_xll.BDH("GILD US Equity","BS_CURR_RENTAL_EXPENSE","FQ4 2022","FQ4 2022","Currency=USD","Period=FQ","BEST_FPERIOD_OVERRIDE=FQ","FILING_STATUS=MR","SCALING_FORMAT=MLN","Sort=A","Dates=H","DateFormat=P","Fill=—","Direction=H","UseDPDF=Y")</f>
        <v>—</v>
      </c>
      <c r="R73" s="13" t="str">
        <f>_xll.BDH("GILD US Equity","BS_CURR_RENTAL_EXPENSE","FQ1 2023","FQ1 2023","Currency=USD","Period=FQ","BEST_FPERIOD_OVERRIDE=FQ","FILING_STATUS=MR","SCALING_FORMAT=MLN","Sort=A","Dates=H","DateFormat=P","Fill=—","Direction=H","UseDPDF=Y")</f>
        <v>—</v>
      </c>
      <c r="S73" s="13" t="str">
        <f>_xll.BDH("GILD US Equity","BS_CURR_RENTAL_EXPENSE","FQ2 2023","FQ2 2023","Currency=USD","Period=FQ","BEST_FPERIOD_OVERRIDE=FQ","FILING_STATUS=MR","SCALING_FORMAT=MLN","Sort=A","Dates=H","DateFormat=P","Fill=—","Direction=H","UseDPDF=Y")</f>
        <v>—</v>
      </c>
      <c r="T73" s="13" t="str">
        <f>_xll.BDH("GILD US Equity","BS_CURR_RENTAL_EXPENSE","FQ3 2023","FQ3 2023","Currency=USD","Period=FQ","BEST_FPERIOD_OVERRIDE=FQ","FILING_STATUS=MR","SCALING_FORMAT=MLN","Sort=A","Dates=H","DateFormat=P","Fill=—","Direction=H","UseDPDF=Y")</f>
        <v>—</v>
      </c>
      <c r="U73" s="13" t="str">
        <f>_xll.BDH("GILD US Equity","BS_CURR_RENTAL_EXPENSE","FQ4 2023","FQ4 2023","Currency=USD","Period=FQ","BEST_FPERIOD_OVERRIDE=FQ","FILING_STATUS=MR","SCALING_FORMAT=MLN","Sort=A","Dates=H","DateFormat=P","Fill=—","Direction=H","UseDPDF=Y")</f>
        <v>—</v>
      </c>
      <c r="V73" s="13" t="str">
        <f>_xll.BDH("GILD US Equity","BS_CURR_RENTAL_EXPENSE","FQ1 2024","FQ1 2024","Currency=USD","Period=FQ","BEST_FPERIOD_OVERRIDE=FQ","FILING_STATUS=MR","SCALING_FORMAT=MLN","Sort=A","Dates=H","DateFormat=P","Fill=—","Direction=H","UseDPDF=Y")</f>
        <v>—</v>
      </c>
      <c r="W73" s="13" t="str">
        <f>_xll.BDH("GILD US Equity","BS_CURR_RENTAL_EXPENSE","FQ2 2024","FQ2 2024","Currency=USD","Period=FQ","BEST_FPERIOD_OVERRIDE=FQ","FILING_STATUS=MR","SCALING_FORMAT=MLN","Sort=A","Dates=H","DateFormat=P","Fill=—","Direction=H","UseDPDF=Y")</f>
        <v>—</v>
      </c>
      <c r="X73" s="13" t="str">
        <f>_xll.BDH("GILD US Equity","BS_CURR_RENTAL_EXPENSE","FQ3 2024","FQ3 2024","Currency=USD","Period=FQ","BEST_FPERIOD_OVERRIDE=FQ","FILING_STATUS=MR","SCALING_FORMAT=MLN","Sort=A","Dates=H","DateFormat=P","Fill=—","Direction=H","UseDPDF=Y")</f>
        <v>—</v>
      </c>
      <c r="Y73" s="13" t="str">
        <f>_xll.BDH("GILD US Equity","BS_CURR_RENTAL_EXPENSE","FQ4 2024","FQ4 2024","Currency=USD","Period=FQ","BEST_FPERIOD_OVERRIDE=FQ","FILING_STATUS=MR","SCALING_FORMAT=MLN","Sort=A","Dates=H","DateFormat=P","Fill=—","Direction=H","UseDPDF=Y")</f>
        <v>—</v>
      </c>
      <c r="Z73" s="13"/>
      <c r="AA73" s="13"/>
    </row>
    <row r="74" spans="1:27" x14ac:dyDescent="0.25">
      <c r="A74" s="7" t="s">
        <v>90</v>
      </c>
      <c r="B74" s="7"/>
      <c r="C74" s="7" t="s">
        <v>5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Adj Highlights</vt:lpstr>
      <vt:lpstr>GAAP Highlights</vt:lpstr>
      <vt:lpstr>Earnings</vt:lpstr>
      <vt:lpstr>Enterprise Value</vt:lpstr>
      <vt:lpstr>Multiples</vt:lpstr>
      <vt:lpstr>Per Share</vt:lpstr>
      <vt:lpstr>Stock Value</vt:lpstr>
      <vt:lpstr>EV Ex Operating Leases</vt:lpstr>
      <vt:lpstr>Income - Adjusted</vt:lpstr>
      <vt:lpstr>Income - GAAP</vt:lpstr>
      <vt:lpstr>Income - As Reported</vt:lpstr>
      <vt:lpstr>Reconciliation</vt:lpstr>
      <vt:lpstr>SBC &amp; Amort</vt:lpstr>
      <vt:lpstr>Adj %</vt:lpstr>
      <vt:lpstr>GAAP %</vt:lpstr>
      <vt:lpstr>Bal Sheet - Standardized</vt:lpstr>
      <vt:lpstr>Bal Sheet - As Reported</vt:lpstr>
      <vt:lpstr>Bal Sheet - Common Size</vt:lpstr>
      <vt:lpstr>Fair Value Analysis</vt:lpstr>
      <vt:lpstr>Cash Flow - Standardized</vt:lpstr>
      <vt:lpstr>Cash Flow - As Reported</vt:lpstr>
      <vt:lpstr>Profitability</vt:lpstr>
      <vt:lpstr>Growth</vt:lpstr>
      <vt:lpstr>Credit</vt:lpstr>
      <vt:lpstr>Credit Ex Operating Leases</vt:lpstr>
      <vt:lpstr>Liquidity</vt:lpstr>
      <vt:lpstr>Working Capital</vt:lpstr>
      <vt:lpstr>Yield Analysis</vt:lpstr>
      <vt:lpstr>DuPont Analysis</vt:lpstr>
      <vt:lpstr>By Measure</vt:lpstr>
      <vt:lpstr>By Geography</vt:lpstr>
      <vt:lpstr>By Segment</vt:lpstr>
      <vt:lpstr>ESG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Student1</cp:lastModifiedBy>
  <dcterms:created xsi:type="dcterms:W3CDTF">2013-04-03T15:49:21Z</dcterms:created>
  <dcterms:modified xsi:type="dcterms:W3CDTF">2025-03-28T18:12:02Z</dcterms:modified>
</cp:coreProperties>
</file>